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showInkAnnotation="0" defaultThemeVersion="124226"/>
  <xr:revisionPtr revIDLastSave="0" documentId="13_ncr:1_{8F35B9C0-C8DA-4754-888B-54B1A875756A}" xr6:coauthVersionLast="47" xr6:coauthVersionMax="47" xr10:uidLastSave="{00000000-0000-0000-0000-000000000000}"/>
  <bookViews>
    <workbookView xWindow="-120" yWindow="-120" windowWidth="29040" windowHeight="15720" tabRatio="853" xr2:uid="{00000000-000D-0000-FFFF-FFFF00000000}"/>
  </bookViews>
  <sheets>
    <sheet name="Mod" sheetId="89" r:id="rId1"/>
    <sheet name="SL-LDW" sheetId="46" r:id="rId2"/>
    <sheet name="GW-LDW" sheetId="45" r:id="rId3"/>
    <sheet name="SD-LDW" sheetId="87" r:id="rId4"/>
    <sheet name="AR" sheetId="54" r:id="rId5"/>
    <sheet name="Chem" sheetId="12" r:id="rId6"/>
    <sheet name="Param" sheetId="15" r:id="rId7"/>
    <sheet name="Eqtn" sheetId="17" r:id="rId8"/>
    <sheet name="SL-Det" sheetId="25" r:id="rId9"/>
    <sheet name="SL-Eq" sheetId="21" r:id="rId10"/>
    <sheet name="Leach" sheetId="28" r:id="rId11"/>
    <sheet name="PW" sheetId="26" r:id="rId12"/>
    <sheet name="SW" sheetId="6" r:id="rId13"/>
    <sheet name="GW-Eq" sheetId="23" r:id="rId14"/>
    <sheet name="SW-MMA" sheetId="88" r:id="rId15"/>
    <sheet name="Partit" sheetId="39" r:id="rId16"/>
    <sheet name="VI" sheetId="51" r:id="rId17"/>
    <sheet name="SD-Det" sheetId="7" r:id="rId18"/>
    <sheet name="SD-Eq" sheetId="33" r:id="rId19"/>
    <sheet name="SD-MMA" sheetId="72" r:id="rId20"/>
    <sheet name="AR-Det" sheetId="52" r:id="rId21"/>
    <sheet name="AR-Eq" sheetId="50" r:id="rId22"/>
  </sheets>
  <definedNames>
    <definedName name="_xlnm._FilterDatabase" localSheetId="4" hidden="1">AR!$A$2:$H$291</definedName>
    <definedName name="_xlnm._FilterDatabase" localSheetId="20" hidden="1">'AR-Det'!$A$2:$S$2</definedName>
    <definedName name="_xlnm._FilterDatabase" localSheetId="21" hidden="1">'AR-Eq'!$A$2:$N$2</definedName>
    <definedName name="_xlnm._FilterDatabase" localSheetId="5" hidden="1">Chem!$A$2:$I$291</definedName>
    <definedName name="_xlnm._FilterDatabase" localSheetId="13" hidden="1">'GW-Eq'!$A$2:$L$2</definedName>
    <definedName name="_xlnm._FilterDatabase" localSheetId="2" hidden="1">'GW-LDW'!$A$2:$W$293</definedName>
    <definedName name="_xlnm._FilterDatabase" localSheetId="10" hidden="1">Leach!$A$2:$R$291</definedName>
    <definedName name="_xlnm._FilterDatabase" localSheetId="6" hidden="1">Param!$A$2:$AO$292</definedName>
    <definedName name="_xlnm._FilterDatabase" localSheetId="15" hidden="1">Partit!$A$2:$M$291</definedName>
    <definedName name="_xlnm._FilterDatabase" localSheetId="11" hidden="1">PW!$A$2:$AB$291</definedName>
    <definedName name="_xlnm._FilterDatabase" localSheetId="17" hidden="1">'SD-Det'!$A$2:$BM$292</definedName>
    <definedName name="_xlnm._FilterDatabase" localSheetId="18" hidden="1">'SD-Eq'!$A$2:$AB$280</definedName>
    <definedName name="_xlnm._FilterDatabase" localSheetId="3" hidden="1">'SD-LDW'!$A$2:$AE$291</definedName>
    <definedName name="_xlnm._FilterDatabase" localSheetId="8" hidden="1">'SL-Det'!$A$2:$S$2</definedName>
    <definedName name="_xlnm._FilterDatabase" localSheetId="9" hidden="1">'SL-Eq'!$A$2:$L$2</definedName>
    <definedName name="_xlnm._FilterDatabase" localSheetId="1" hidden="1">'SL-LDW'!$A$2:$AT$292</definedName>
    <definedName name="_xlnm._FilterDatabase" localSheetId="12" hidden="1">SW!$A$2:$AG$292</definedName>
    <definedName name="_xlnm._FilterDatabase" localSheetId="16" hidden="1">VI!$A$2:$M$280</definedName>
    <definedName name="_xlnm.Print_Area" localSheetId="4">AR!$B$1:$E$280</definedName>
    <definedName name="_xlnm.Print_Area" localSheetId="7">Eqtn!$A$1:$F$471</definedName>
    <definedName name="_xlnm.Print_Area" localSheetId="13">'GW-Eq'!$B$1:$J$280</definedName>
    <definedName name="_xlnm.Print_Area" localSheetId="2">'GW-LDW'!$B$1:$U$280</definedName>
    <definedName name="_xlnm.Print_Area" localSheetId="10">Leach!$B$1:$P$280</definedName>
    <definedName name="_xlnm.Print_Area" localSheetId="6">Param!$B$4:$B$280</definedName>
    <definedName name="_xlnm.Print_Area" localSheetId="15">Partit!$B$1:$K$280</definedName>
    <definedName name="_xlnm.Print_Area" localSheetId="11">PW!$B$1:$Z$280</definedName>
    <definedName name="_xlnm.Print_Area" localSheetId="17">'SD-Det'!$B$1:$BB$280</definedName>
    <definedName name="_xlnm.Print_Area" localSheetId="18">'SD-Eq'!$B$1:$AA$280</definedName>
    <definedName name="_xlnm.Print_Area" localSheetId="8">'SL-Det'!$A$2:$L$274</definedName>
    <definedName name="_xlnm.Print_Area" localSheetId="9">'SL-Eq'!$B$1:$I$280</definedName>
    <definedName name="_xlnm.Print_Area" localSheetId="1">'SL-LDW'!$A$1:$AS$292</definedName>
    <definedName name="_xlnm.Print_Area" localSheetId="12">SW!$B$1:$AC$279</definedName>
    <definedName name="_xlnm.Print_Titles" localSheetId="4">AR!$B:$B,AR!$1:$2</definedName>
    <definedName name="_xlnm.Print_Titles" localSheetId="20">'AR-Det'!$B:$B,'AR-Det'!$1:$2</definedName>
    <definedName name="_xlnm.Print_Titles" localSheetId="21">'AR-Eq'!$B:$B,'AR-Eq'!$1:$2</definedName>
    <definedName name="_xlnm.Print_Titles" localSheetId="5">Chem!$B:$B,Chem!$1:$2</definedName>
    <definedName name="_xlnm.Print_Titles" localSheetId="7">Eqtn!$1:$2</definedName>
    <definedName name="_xlnm.Print_Titles" localSheetId="13">'GW-Eq'!$B:$B,'GW-Eq'!$1:$2</definedName>
    <definedName name="_xlnm.Print_Titles" localSheetId="2">'GW-LDW'!$B:$B,'GW-LDW'!$1:$2</definedName>
    <definedName name="_xlnm.Print_Titles" localSheetId="10">Leach!$B:$B,Leach!$1:$2</definedName>
    <definedName name="_xlnm.Print_Titles" localSheetId="6">Param!$B:$B,Param!$1:$2</definedName>
    <definedName name="_xlnm.Print_Titles" localSheetId="15">Partit!$B:$B,Partit!$1:$2</definedName>
    <definedName name="_xlnm.Print_Titles" localSheetId="11">PW!$B:$B,PW!$1:$2</definedName>
    <definedName name="_xlnm.Print_Titles" localSheetId="17">'SD-Det'!$B:$B,'SD-Det'!$1:$2</definedName>
    <definedName name="_xlnm.Print_Titles" localSheetId="18">'SD-Eq'!$B:$B,'SD-Eq'!$1:$2</definedName>
    <definedName name="_xlnm.Print_Titles" localSheetId="8">'SL-Det'!$B:$B,'SL-Det'!$1:$2</definedName>
    <definedName name="_xlnm.Print_Titles" localSheetId="9">'SL-Eq'!$B:$B,'SL-Eq'!$1:$2</definedName>
    <definedName name="_xlnm.Print_Titles" localSheetId="1">'SL-LDW'!$B:$B,'SL-LDW'!$1:$2</definedName>
    <definedName name="_xlnm.Print_Titles" localSheetId="12">SW!$B:$B,SW!$1:$2</definedName>
    <definedName name="_xlnm.Print_Titles" localSheetId="16">VI!$B:$B,VI!$1:$2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265" i="15" l="1"/>
  <c r="Z266" i="15"/>
  <c r="Z267" i="15"/>
  <c r="Z268" i="15"/>
  <c r="Z269" i="15"/>
  <c r="B265" i="28" l="1"/>
  <c r="C265" i="28"/>
  <c r="P265" i="28" s="1"/>
  <c r="D265" i="28"/>
  <c r="E265" i="28"/>
  <c r="F265" i="28"/>
  <c r="G265" i="28"/>
  <c r="H265" i="28"/>
  <c r="I265" i="28"/>
  <c r="J265" i="28"/>
  <c r="K265" i="28"/>
  <c r="L265" i="28" s="1"/>
  <c r="O265" i="28"/>
  <c r="B266" i="28"/>
  <c r="C266" i="28"/>
  <c r="P266" i="28" s="1"/>
  <c r="D266" i="28"/>
  <c r="E266" i="28"/>
  <c r="F266" i="28"/>
  <c r="G266" i="28"/>
  <c r="H266" i="28"/>
  <c r="I266" i="28"/>
  <c r="J266" i="28"/>
  <c r="K266" i="28"/>
  <c r="L266" i="28" s="1"/>
  <c r="O266" i="28"/>
  <c r="B267" i="28"/>
  <c r="D267" i="28"/>
  <c r="E267" i="28"/>
  <c r="H267" i="28"/>
  <c r="B268" i="28"/>
  <c r="D268" i="28"/>
  <c r="E268" i="28"/>
  <c r="H268" i="28"/>
  <c r="B269" i="28"/>
  <c r="C269" i="28"/>
  <c r="P269" i="28" s="1"/>
  <c r="D269" i="28"/>
  <c r="E269" i="28"/>
  <c r="F269" i="28"/>
  <c r="G269" i="28"/>
  <c r="H269" i="28"/>
  <c r="I269" i="28"/>
  <c r="J269" i="28"/>
  <c r="K269" i="28"/>
  <c r="L269" i="28" s="1"/>
  <c r="O269" i="28"/>
  <c r="M269" i="28" l="1"/>
  <c r="M266" i="28"/>
  <c r="M265" i="28"/>
  <c r="A265" i="54" l="1"/>
  <c r="B265" i="54"/>
  <c r="A266" i="54"/>
  <c r="B266" i="54"/>
  <c r="A267" i="54"/>
  <c r="B267" i="54"/>
  <c r="A268" i="54"/>
  <c r="B268" i="54"/>
  <c r="A269" i="54"/>
  <c r="B269" i="54"/>
  <c r="A265" i="87"/>
  <c r="B265" i="87"/>
  <c r="C265" i="87"/>
  <c r="D265" i="87"/>
  <c r="F265" i="87"/>
  <c r="U265" i="87" s="1"/>
  <c r="G265" i="87"/>
  <c r="H265" i="87"/>
  <c r="I265" i="87"/>
  <c r="J265" i="87"/>
  <c r="K265" i="87"/>
  <c r="L265" i="87"/>
  <c r="M265" i="87"/>
  <c r="N265" i="87"/>
  <c r="E265" i="87" s="1"/>
  <c r="O265" i="87"/>
  <c r="R265" i="87"/>
  <c r="S265" i="87"/>
  <c r="T265" i="87"/>
  <c r="V265" i="87"/>
  <c r="W265" i="87"/>
  <c r="X265" i="87"/>
  <c r="A266" i="87"/>
  <c r="B266" i="87"/>
  <c r="E266" i="87"/>
  <c r="F266" i="87"/>
  <c r="W266" i="87" s="1"/>
  <c r="G266" i="87"/>
  <c r="H266" i="87"/>
  <c r="I266" i="87"/>
  <c r="C266" i="87" s="1"/>
  <c r="J266" i="87"/>
  <c r="D266" i="87" s="1"/>
  <c r="K266" i="87"/>
  <c r="L266" i="87"/>
  <c r="M266" i="87"/>
  <c r="N266" i="87"/>
  <c r="O266" i="87"/>
  <c r="V266" i="87"/>
  <c r="A267" i="87"/>
  <c r="B267" i="87"/>
  <c r="F267" i="87"/>
  <c r="S267" i="87" s="1"/>
  <c r="G267" i="87"/>
  <c r="H267" i="87"/>
  <c r="I267" i="87"/>
  <c r="J267" i="87"/>
  <c r="K267" i="87"/>
  <c r="L267" i="87"/>
  <c r="C267" i="87" s="1"/>
  <c r="M267" i="87"/>
  <c r="D267" i="87" s="1"/>
  <c r="N267" i="87"/>
  <c r="E267" i="87" s="1"/>
  <c r="O267" i="87"/>
  <c r="R267" i="87"/>
  <c r="V267" i="87"/>
  <c r="W267" i="87"/>
  <c r="X267" i="87"/>
  <c r="A268" i="87"/>
  <c r="B268" i="87"/>
  <c r="D268" i="87"/>
  <c r="F268" i="87"/>
  <c r="U268" i="87" s="1"/>
  <c r="G268" i="87"/>
  <c r="H268" i="87"/>
  <c r="C268" i="87" s="1"/>
  <c r="I268" i="87"/>
  <c r="J268" i="87"/>
  <c r="K268" i="87"/>
  <c r="L268" i="87"/>
  <c r="M268" i="87"/>
  <c r="N268" i="87"/>
  <c r="E268" i="87" s="1"/>
  <c r="O268" i="87"/>
  <c r="R268" i="87"/>
  <c r="S268" i="87"/>
  <c r="T268" i="87"/>
  <c r="V268" i="87"/>
  <c r="W268" i="87"/>
  <c r="X268" i="87"/>
  <c r="A269" i="87"/>
  <c r="B269" i="87"/>
  <c r="F269" i="87"/>
  <c r="R269" i="87" s="1"/>
  <c r="G269" i="87"/>
  <c r="H269" i="87"/>
  <c r="I269" i="87"/>
  <c r="J269" i="87"/>
  <c r="K269" i="87"/>
  <c r="L269" i="87"/>
  <c r="C269" i="87" s="1"/>
  <c r="M269" i="87"/>
  <c r="D269" i="87" s="1"/>
  <c r="N269" i="87"/>
  <c r="E269" i="87" s="1"/>
  <c r="O269" i="87"/>
  <c r="V269" i="87"/>
  <c r="W269" i="87"/>
  <c r="X269" i="87"/>
  <c r="A265" i="45"/>
  <c r="B265" i="45"/>
  <c r="F265" i="45"/>
  <c r="H265" i="45"/>
  <c r="A266" i="45"/>
  <c r="B266" i="45"/>
  <c r="F266" i="45"/>
  <c r="H266" i="45"/>
  <c r="A267" i="45"/>
  <c r="B267" i="45"/>
  <c r="A268" i="45"/>
  <c r="B268" i="45"/>
  <c r="F268" i="45"/>
  <c r="A269" i="45"/>
  <c r="B269" i="45"/>
  <c r="F269" i="45"/>
  <c r="G269" i="45"/>
  <c r="H269" i="45"/>
  <c r="A265" i="46"/>
  <c r="B265" i="46"/>
  <c r="H265" i="46"/>
  <c r="K265" i="46"/>
  <c r="N265" i="46"/>
  <c r="O265" i="46"/>
  <c r="P265" i="46"/>
  <c r="A266" i="46"/>
  <c r="B266" i="46"/>
  <c r="H266" i="46"/>
  <c r="I266" i="46"/>
  <c r="K266" i="46"/>
  <c r="L266" i="46"/>
  <c r="N266" i="46"/>
  <c r="O266" i="46"/>
  <c r="P266" i="46"/>
  <c r="A267" i="46"/>
  <c r="B267" i="46"/>
  <c r="H267" i="46"/>
  <c r="O267" i="46"/>
  <c r="P267" i="46"/>
  <c r="A268" i="46"/>
  <c r="B268" i="46"/>
  <c r="H268" i="46"/>
  <c r="O268" i="46"/>
  <c r="P268" i="46"/>
  <c r="A269" i="46"/>
  <c r="B269" i="46"/>
  <c r="C269" i="46"/>
  <c r="V269" i="46" s="1"/>
  <c r="D269" i="46"/>
  <c r="AC269" i="46" s="1"/>
  <c r="H269" i="46"/>
  <c r="E269" i="46" s="1"/>
  <c r="I269" i="46"/>
  <c r="J269" i="46"/>
  <c r="K269" i="46"/>
  <c r="L269" i="46"/>
  <c r="M269" i="46"/>
  <c r="N269" i="46"/>
  <c r="O269" i="46"/>
  <c r="P269" i="46"/>
  <c r="A265" i="39"/>
  <c r="B265" i="39"/>
  <c r="C265" i="39"/>
  <c r="E265" i="39" s="1"/>
  <c r="D265" i="39"/>
  <c r="F265" i="39"/>
  <c r="G265" i="39"/>
  <c r="H265" i="39"/>
  <c r="A266" i="39"/>
  <c r="B266" i="39"/>
  <c r="C266" i="39"/>
  <c r="E266" i="39" s="1"/>
  <c r="D266" i="39"/>
  <c r="F266" i="39"/>
  <c r="H266" i="39"/>
  <c r="A267" i="39"/>
  <c r="B267" i="39"/>
  <c r="D267" i="39"/>
  <c r="F267" i="39"/>
  <c r="H267" i="39"/>
  <c r="A268" i="39"/>
  <c r="B268" i="39"/>
  <c r="D268" i="39"/>
  <c r="F268" i="39"/>
  <c r="H268" i="39"/>
  <c r="A269" i="39"/>
  <c r="B269" i="39"/>
  <c r="C269" i="39"/>
  <c r="D269" i="39"/>
  <c r="E269" i="39"/>
  <c r="F269" i="39"/>
  <c r="G269" i="39" s="1"/>
  <c r="H269" i="39"/>
  <c r="I269" i="39"/>
  <c r="K269" i="39"/>
  <c r="F265" i="26"/>
  <c r="H265" i="26" s="1"/>
  <c r="I265" i="26" s="1"/>
  <c r="J265" i="26" s="1"/>
  <c r="G265" i="26"/>
  <c r="K265" i="26"/>
  <c r="F266" i="26"/>
  <c r="H266" i="26" s="1"/>
  <c r="I266" i="26" s="1"/>
  <c r="J266" i="26" s="1"/>
  <c r="O266" i="26" s="1"/>
  <c r="G266" i="26"/>
  <c r="K266" i="26"/>
  <c r="L266" i="26"/>
  <c r="M266" i="26"/>
  <c r="N266" i="26"/>
  <c r="F267" i="26"/>
  <c r="L267" i="26" s="1"/>
  <c r="M267" i="26" s="1"/>
  <c r="H267" i="26"/>
  <c r="I267" i="26" s="1"/>
  <c r="K267" i="26"/>
  <c r="F268" i="26"/>
  <c r="G268" i="26"/>
  <c r="H268" i="26"/>
  <c r="I268" i="26"/>
  <c r="J268" i="26" s="1"/>
  <c r="O268" i="26" s="1"/>
  <c r="K268" i="26"/>
  <c r="L268" i="26"/>
  <c r="M268" i="26"/>
  <c r="N268" i="26"/>
  <c r="F269" i="26"/>
  <c r="L269" i="26" s="1"/>
  <c r="M269" i="26" s="1"/>
  <c r="N269" i="26" s="1"/>
  <c r="G269" i="26"/>
  <c r="H269" i="26"/>
  <c r="I269" i="26"/>
  <c r="J269" i="26"/>
  <c r="O269" i="26" s="1"/>
  <c r="K269" i="26"/>
  <c r="A265" i="26"/>
  <c r="B265" i="26"/>
  <c r="A266" i="26"/>
  <c r="B266" i="26"/>
  <c r="A267" i="26"/>
  <c r="B267" i="26"/>
  <c r="A268" i="26"/>
  <c r="B268" i="26"/>
  <c r="A269" i="26"/>
  <c r="B269" i="26"/>
  <c r="A265" i="28"/>
  <c r="A266" i="28"/>
  <c r="A267" i="28"/>
  <c r="A268" i="28"/>
  <c r="A269" i="28"/>
  <c r="A265" i="51"/>
  <c r="B265" i="51"/>
  <c r="C265" i="51"/>
  <c r="D265" i="51"/>
  <c r="A266" i="51"/>
  <c r="B266" i="51"/>
  <c r="C266" i="51"/>
  <c r="D266" i="51"/>
  <c r="A267" i="51"/>
  <c r="B267" i="51"/>
  <c r="C267" i="51"/>
  <c r="D267" i="51"/>
  <c r="A268" i="51"/>
  <c r="B268" i="51"/>
  <c r="C268" i="51"/>
  <c r="D268" i="51"/>
  <c r="A269" i="51"/>
  <c r="B269" i="51"/>
  <c r="C269" i="51"/>
  <c r="D269" i="51"/>
  <c r="A265" i="52"/>
  <c r="B265" i="52"/>
  <c r="C265" i="52"/>
  <c r="E265" i="52"/>
  <c r="H265" i="52"/>
  <c r="L265" i="52"/>
  <c r="A266" i="52"/>
  <c r="B266" i="52"/>
  <c r="C266" i="52"/>
  <c r="E266" i="52"/>
  <c r="H266" i="52"/>
  <c r="I266" i="52"/>
  <c r="L266" i="52"/>
  <c r="A267" i="52"/>
  <c r="B267" i="52"/>
  <c r="C267" i="52"/>
  <c r="E267" i="52"/>
  <c r="H267" i="52"/>
  <c r="L267" i="52"/>
  <c r="A268" i="52"/>
  <c r="B268" i="52"/>
  <c r="C268" i="52"/>
  <c r="E268" i="52"/>
  <c r="H268" i="52"/>
  <c r="L268" i="52"/>
  <c r="A269" i="52"/>
  <c r="B269" i="52"/>
  <c r="C269" i="52"/>
  <c r="E269" i="52"/>
  <c r="H269" i="52"/>
  <c r="L269" i="52"/>
  <c r="AU265" i="7"/>
  <c r="AV265" i="7"/>
  <c r="AW265" i="7"/>
  <c r="AX265" i="7"/>
  <c r="AY265" i="7"/>
  <c r="AZ265" i="7"/>
  <c r="BA265" i="7"/>
  <c r="BB265" i="7"/>
  <c r="BC265" i="7"/>
  <c r="BD265" i="7"/>
  <c r="BE265" i="7"/>
  <c r="BF265" i="7"/>
  <c r="BG265" i="7"/>
  <c r="BH265" i="7"/>
  <c r="BI265" i="7"/>
  <c r="BJ265" i="7"/>
  <c r="AU266" i="7"/>
  <c r="AV266" i="7"/>
  <c r="AW266" i="7"/>
  <c r="AX266" i="7"/>
  <c r="AY266" i="7"/>
  <c r="AZ266" i="7"/>
  <c r="BA266" i="7"/>
  <c r="BB266" i="7"/>
  <c r="BC266" i="7"/>
  <c r="BD266" i="7"/>
  <c r="BE266" i="7"/>
  <c r="BF266" i="7"/>
  <c r="BG266" i="7"/>
  <c r="BH266" i="7"/>
  <c r="BI266" i="7"/>
  <c r="BJ266" i="7"/>
  <c r="AU267" i="7"/>
  <c r="AV267" i="7"/>
  <c r="AW267" i="7"/>
  <c r="AX267" i="7"/>
  <c r="AY267" i="7"/>
  <c r="AZ267" i="7"/>
  <c r="BA267" i="7"/>
  <c r="BB267" i="7"/>
  <c r="BC267" i="7"/>
  <c r="BD267" i="7"/>
  <c r="BE267" i="7"/>
  <c r="BF267" i="7"/>
  <c r="BG267" i="7"/>
  <c r="BH267" i="7"/>
  <c r="BI267" i="7"/>
  <c r="BJ267" i="7"/>
  <c r="AU268" i="7"/>
  <c r="AV268" i="7"/>
  <c r="AW268" i="7"/>
  <c r="AX268" i="7"/>
  <c r="AY268" i="7"/>
  <c r="AZ268" i="7"/>
  <c r="BA268" i="7"/>
  <c r="BB268" i="7"/>
  <c r="BC268" i="7"/>
  <c r="BD268" i="7"/>
  <c r="BE268" i="7"/>
  <c r="BF268" i="7"/>
  <c r="BG268" i="7"/>
  <c r="BH268" i="7"/>
  <c r="BI268" i="7"/>
  <c r="BJ268" i="7"/>
  <c r="AU269" i="7"/>
  <c r="AV269" i="7"/>
  <c r="AW269" i="7"/>
  <c r="AX269" i="7"/>
  <c r="AY269" i="7"/>
  <c r="AZ269" i="7"/>
  <c r="BA269" i="7"/>
  <c r="BB269" i="7"/>
  <c r="BC269" i="7"/>
  <c r="BD269" i="7"/>
  <c r="BE269" i="7"/>
  <c r="BF269" i="7"/>
  <c r="BG269" i="7"/>
  <c r="BH269" i="7"/>
  <c r="BI269" i="7"/>
  <c r="BJ269" i="7"/>
  <c r="W265" i="7"/>
  <c r="Z265" i="7" s="1"/>
  <c r="Y265" i="7"/>
  <c r="AN265" i="7"/>
  <c r="AO265" i="7"/>
  <c r="AP265" i="7"/>
  <c r="AQ265" i="7"/>
  <c r="AR265" i="7"/>
  <c r="W266" i="7"/>
  <c r="Y266" i="7"/>
  <c r="Z266" i="7" s="1"/>
  <c r="AN266" i="7"/>
  <c r="AO266" i="7"/>
  <c r="AP266" i="7"/>
  <c r="AQ266" i="7"/>
  <c r="AR266" i="7"/>
  <c r="W267" i="7"/>
  <c r="Y267" i="7"/>
  <c r="Z267" i="7"/>
  <c r="AN267" i="7"/>
  <c r="AO267" i="7"/>
  <c r="AP267" i="7"/>
  <c r="AQ267" i="7"/>
  <c r="AR267" i="7"/>
  <c r="W268" i="7"/>
  <c r="Y268" i="7"/>
  <c r="Z268" i="7"/>
  <c r="AN268" i="7"/>
  <c r="AO268" i="7"/>
  <c r="AP268" i="7"/>
  <c r="AQ268" i="7"/>
  <c r="AR268" i="7"/>
  <c r="W269" i="7"/>
  <c r="Y269" i="7"/>
  <c r="Z269" i="7"/>
  <c r="AN269" i="7"/>
  <c r="AO269" i="7"/>
  <c r="AP269" i="7"/>
  <c r="AQ269" i="7"/>
  <c r="AR269" i="7"/>
  <c r="K265" i="7"/>
  <c r="O265" i="7" s="1"/>
  <c r="L265" i="7"/>
  <c r="P265" i="7" s="1"/>
  <c r="M265" i="7"/>
  <c r="N265" i="7"/>
  <c r="K266" i="7"/>
  <c r="L266" i="7"/>
  <c r="M266" i="7"/>
  <c r="N266" i="7"/>
  <c r="O266" i="7"/>
  <c r="P266" i="7"/>
  <c r="K267" i="7"/>
  <c r="O267" i="7" s="1"/>
  <c r="L267" i="7"/>
  <c r="P267" i="7" s="1"/>
  <c r="M267" i="7"/>
  <c r="N267" i="7"/>
  <c r="K268" i="7"/>
  <c r="O268" i="7" s="1"/>
  <c r="L268" i="7"/>
  <c r="M268" i="7"/>
  <c r="N268" i="7"/>
  <c r="P268" i="7" s="1"/>
  <c r="K269" i="7"/>
  <c r="O269" i="7" s="1"/>
  <c r="L269" i="7"/>
  <c r="P269" i="7" s="1"/>
  <c r="M269" i="7"/>
  <c r="N269" i="7"/>
  <c r="A265" i="7"/>
  <c r="B265" i="7"/>
  <c r="C265" i="7"/>
  <c r="D265" i="7"/>
  <c r="A266" i="7"/>
  <c r="B266" i="7"/>
  <c r="C266" i="7"/>
  <c r="D266" i="7"/>
  <c r="A267" i="7"/>
  <c r="B267" i="7"/>
  <c r="C267" i="7"/>
  <c r="D267" i="7"/>
  <c r="A268" i="7"/>
  <c r="B268" i="7"/>
  <c r="C268" i="7"/>
  <c r="D268" i="7"/>
  <c r="A269" i="7"/>
  <c r="B269" i="7"/>
  <c r="C269" i="7"/>
  <c r="D269" i="7"/>
  <c r="M265" i="25"/>
  <c r="N265" i="25"/>
  <c r="O265" i="25"/>
  <c r="M266" i="25"/>
  <c r="N266" i="25"/>
  <c r="O266" i="25" s="1"/>
  <c r="M267" i="25"/>
  <c r="O267" i="25" s="1"/>
  <c r="N267" i="25"/>
  <c r="M268" i="25"/>
  <c r="N268" i="25"/>
  <c r="O268" i="25"/>
  <c r="M269" i="25"/>
  <c r="N269" i="25"/>
  <c r="O269" i="25"/>
  <c r="K267" i="25"/>
  <c r="L267" i="25"/>
  <c r="K268" i="25"/>
  <c r="L268" i="25"/>
  <c r="A265" i="25"/>
  <c r="B265" i="25"/>
  <c r="C265" i="25"/>
  <c r="D265" i="25"/>
  <c r="E265" i="25"/>
  <c r="A266" i="25"/>
  <c r="B266" i="25"/>
  <c r="C266" i="25"/>
  <c r="D266" i="25"/>
  <c r="E266" i="25" s="1"/>
  <c r="A267" i="25"/>
  <c r="B267" i="25"/>
  <c r="C267" i="25"/>
  <c r="D267" i="25"/>
  <c r="E267" i="25"/>
  <c r="A268" i="25"/>
  <c r="B268" i="25"/>
  <c r="C268" i="25"/>
  <c r="D268" i="25"/>
  <c r="E268" i="25"/>
  <c r="A269" i="25"/>
  <c r="B269" i="25"/>
  <c r="C269" i="25"/>
  <c r="D269" i="25"/>
  <c r="E269" i="25"/>
  <c r="A265" i="50"/>
  <c r="B265" i="50"/>
  <c r="C265" i="50"/>
  <c r="E265" i="50" s="1"/>
  <c r="D265" i="50"/>
  <c r="F265" i="50" s="1"/>
  <c r="D265" i="52" s="1"/>
  <c r="F265" i="52" s="1"/>
  <c r="G265" i="50"/>
  <c r="I265" i="50"/>
  <c r="J265" i="50"/>
  <c r="M265" i="52" s="1"/>
  <c r="N265" i="52" s="1"/>
  <c r="A266" i="50"/>
  <c r="B266" i="50"/>
  <c r="C266" i="50"/>
  <c r="G266" i="50" s="1"/>
  <c r="D266" i="50"/>
  <c r="H266" i="50" s="1"/>
  <c r="E266" i="50"/>
  <c r="F266" i="50"/>
  <c r="D266" i="52" s="1"/>
  <c r="F266" i="52" s="1"/>
  <c r="A267" i="50"/>
  <c r="B267" i="50"/>
  <c r="C267" i="50"/>
  <c r="D267" i="50"/>
  <c r="F267" i="50" s="1"/>
  <c r="D267" i="52" s="1"/>
  <c r="F267" i="52" s="1"/>
  <c r="E267" i="50"/>
  <c r="G267" i="50"/>
  <c r="H267" i="50"/>
  <c r="I267" i="52" s="1"/>
  <c r="J267" i="52" s="1"/>
  <c r="I267" i="50"/>
  <c r="A268" i="50"/>
  <c r="B268" i="50"/>
  <c r="C268" i="50"/>
  <c r="D268" i="50"/>
  <c r="F268" i="50" s="1"/>
  <c r="D268" i="52" s="1"/>
  <c r="F268" i="52" s="1"/>
  <c r="E268" i="50"/>
  <c r="G268" i="50"/>
  <c r="I268" i="50"/>
  <c r="A269" i="50"/>
  <c r="B269" i="50"/>
  <c r="C269" i="50"/>
  <c r="E269" i="50" s="1"/>
  <c r="D269" i="50"/>
  <c r="F269" i="50" s="1"/>
  <c r="D269" i="52" s="1"/>
  <c r="A265" i="33"/>
  <c r="B265" i="33"/>
  <c r="C265" i="33"/>
  <c r="E265" i="33" s="1"/>
  <c r="D265" i="33"/>
  <c r="O265" i="33" s="1"/>
  <c r="A266" i="33"/>
  <c r="B266" i="33"/>
  <c r="C266" i="33"/>
  <c r="G266" i="33" s="1"/>
  <c r="D266" i="33"/>
  <c r="K266" i="33" s="1"/>
  <c r="E266" i="33"/>
  <c r="F266" i="33"/>
  <c r="P266" i="33" s="1"/>
  <c r="A267" i="33"/>
  <c r="B267" i="33"/>
  <c r="C267" i="33"/>
  <c r="I267" i="33" s="1"/>
  <c r="D267" i="33"/>
  <c r="O267" i="33" s="1"/>
  <c r="E267" i="33"/>
  <c r="F267" i="33"/>
  <c r="P267" i="33" s="1"/>
  <c r="G267" i="33"/>
  <c r="H267" i="33"/>
  <c r="A268" i="33"/>
  <c r="B268" i="33"/>
  <c r="C268" i="33"/>
  <c r="D268" i="33"/>
  <c r="K268" i="33" s="1"/>
  <c r="E268" i="33"/>
  <c r="F268" i="33"/>
  <c r="Q268" i="33" s="1"/>
  <c r="G268" i="33"/>
  <c r="H268" i="33"/>
  <c r="I268" i="33"/>
  <c r="J268" i="33"/>
  <c r="A269" i="33"/>
  <c r="B269" i="33"/>
  <c r="C269" i="33"/>
  <c r="D269" i="33" s="1"/>
  <c r="E269" i="33"/>
  <c r="F269" i="33"/>
  <c r="P269" i="33" s="1"/>
  <c r="G269" i="33"/>
  <c r="H269" i="33"/>
  <c r="I269" i="33"/>
  <c r="T269" i="6"/>
  <c r="U269" i="6"/>
  <c r="V269" i="6"/>
  <c r="W269" i="6"/>
  <c r="X269" i="6"/>
  <c r="Y269" i="6"/>
  <c r="Z269" i="6"/>
  <c r="AA269" i="6"/>
  <c r="AB269" i="6"/>
  <c r="AC269" i="6"/>
  <c r="J265" i="6"/>
  <c r="N265" i="6"/>
  <c r="J266" i="6"/>
  <c r="N266" i="6"/>
  <c r="N268" i="6"/>
  <c r="K269" i="6"/>
  <c r="L269" i="6" s="1"/>
  <c r="N269" i="6"/>
  <c r="O269" i="6"/>
  <c r="P269" i="6"/>
  <c r="Q269" i="6"/>
  <c r="I265" i="6"/>
  <c r="K265" i="6" s="1"/>
  <c r="L265" i="6" s="1"/>
  <c r="M265" i="6" s="1"/>
  <c r="I266" i="6"/>
  <c r="K266" i="6" s="1"/>
  <c r="L266" i="6" s="1"/>
  <c r="M266" i="6" s="1"/>
  <c r="I267" i="6"/>
  <c r="I268" i="6"/>
  <c r="O268" i="6" s="1"/>
  <c r="P268" i="6" s="1"/>
  <c r="Q268" i="6" s="1"/>
  <c r="I269" i="6"/>
  <c r="A265" i="6"/>
  <c r="B265" i="6"/>
  <c r="A266" i="6"/>
  <c r="B266" i="6"/>
  <c r="A267" i="6"/>
  <c r="B267" i="6"/>
  <c r="A268" i="6"/>
  <c r="B268" i="6"/>
  <c r="A269" i="6"/>
  <c r="B269" i="6"/>
  <c r="A265" i="23"/>
  <c r="B265" i="23"/>
  <c r="C265" i="23"/>
  <c r="I265" i="23" s="1"/>
  <c r="D265" i="23"/>
  <c r="J265" i="23" s="1"/>
  <c r="E265" i="23"/>
  <c r="F265" i="23"/>
  <c r="G265" i="23"/>
  <c r="H265" i="23"/>
  <c r="A266" i="23"/>
  <c r="B266" i="23"/>
  <c r="C266" i="23"/>
  <c r="I266" i="23" s="1"/>
  <c r="D266" i="23"/>
  <c r="J266" i="23" s="1"/>
  <c r="E266" i="23"/>
  <c r="F266" i="23"/>
  <c r="A267" i="23"/>
  <c r="B267" i="23"/>
  <c r="C267" i="23"/>
  <c r="D267" i="23"/>
  <c r="J267" i="23" s="1"/>
  <c r="N267" i="6" s="1"/>
  <c r="O267" i="6" s="1"/>
  <c r="P267" i="6" s="1"/>
  <c r="Q267" i="6" s="1"/>
  <c r="E267" i="23"/>
  <c r="F267" i="23"/>
  <c r="I267" i="23" s="1"/>
  <c r="J267" i="6" s="1"/>
  <c r="G267" i="23"/>
  <c r="G267" i="26" s="1"/>
  <c r="H267" i="23"/>
  <c r="A268" i="23"/>
  <c r="B268" i="23"/>
  <c r="C268" i="23"/>
  <c r="G268" i="23" s="1"/>
  <c r="D268" i="23"/>
  <c r="H268" i="23" s="1"/>
  <c r="E268" i="23"/>
  <c r="F268" i="23"/>
  <c r="A269" i="23"/>
  <c r="B269" i="23"/>
  <c r="C269" i="23"/>
  <c r="G269" i="23" s="1"/>
  <c r="D269" i="23"/>
  <c r="E269" i="23"/>
  <c r="F269" i="23"/>
  <c r="H269" i="23"/>
  <c r="J269" i="23"/>
  <c r="A265" i="21"/>
  <c r="B265" i="21"/>
  <c r="C265" i="21"/>
  <c r="F265" i="21" s="1"/>
  <c r="D265" i="21"/>
  <c r="G265" i="21" s="1"/>
  <c r="E265" i="21"/>
  <c r="A266" i="21"/>
  <c r="B266" i="21"/>
  <c r="C266" i="21"/>
  <c r="F266" i="21" s="1"/>
  <c r="D266" i="21"/>
  <c r="G266" i="21" s="1"/>
  <c r="E266" i="21"/>
  <c r="H266" i="21"/>
  <c r="I266" i="21"/>
  <c r="A267" i="21"/>
  <c r="B267" i="21"/>
  <c r="C267" i="21"/>
  <c r="F267" i="21" s="1"/>
  <c r="D267" i="21"/>
  <c r="G267" i="21" s="1"/>
  <c r="E267" i="21"/>
  <c r="H267" i="21"/>
  <c r="I267" i="21"/>
  <c r="A268" i="21"/>
  <c r="B268" i="21"/>
  <c r="C268" i="21"/>
  <c r="F268" i="21" s="1"/>
  <c r="D268" i="21"/>
  <c r="G268" i="21" s="1"/>
  <c r="E268" i="21"/>
  <c r="A269" i="21"/>
  <c r="B269" i="21"/>
  <c r="C269" i="21"/>
  <c r="F269" i="21" s="1"/>
  <c r="D269" i="21"/>
  <c r="G269" i="21" s="1"/>
  <c r="E269" i="21"/>
  <c r="I269" i="21"/>
  <c r="AN265" i="15"/>
  <c r="AN266" i="15"/>
  <c r="AN267" i="15"/>
  <c r="AN268" i="15"/>
  <c r="AN269" i="15"/>
  <c r="AK266" i="15"/>
  <c r="AK267" i="15"/>
  <c r="AK268" i="15"/>
  <c r="AK269" i="15"/>
  <c r="AK265" i="15"/>
  <c r="X265" i="15"/>
  <c r="X266" i="15"/>
  <c r="X267" i="15"/>
  <c r="X268" i="15"/>
  <c r="X269" i="15"/>
  <c r="W265" i="15"/>
  <c r="W266" i="15"/>
  <c r="W267" i="15"/>
  <c r="W268" i="15"/>
  <c r="W269" i="15"/>
  <c r="U265" i="15"/>
  <c r="U266" i="15"/>
  <c r="U267" i="15"/>
  <c r="U268" i="15"/>
  <c r="U269" i="15"/>
  <c r="S265" i="15"/>
  <c r="S266" i="15"/>
  <c r="S267" i="15"/>
  <c r="S268" i="15"/>
  <c r="S269" i="15"/>
  <c r="G268" i="52" l="1"/>
  <c r="E268" i="54" s="1"/>
  <c r="C268" i="54"/>
  <c r="E268" i="51"/>
  <c r="F268" i="51" s="1"/>
  <c r="P268" i="26" s="1"/>
  <c r="I268" i="45" s="1"/>
  <c r="E266" i="51"/>
  <c r="C266" i="54"/>
  <c r="G266" i="52"/>
  <c r="E266" i="54" s="1"/>
  <c r="O265" i="52"/>
  <c r="I265" i="51"/>
  <c r="J265" i="51" s="1"/>
  <c r="K267" i="52"/>
  <c r="G267" i="51"/>
  <c r="H267" i="51" s="1"/>
  <c r="C265" i="54"/>
  <c r="E265" i="51"/>
  <c r="F265" i="51" s="1"/>
  <c r="P265" i="26" s="1"/>
  <c r="I265" i="45" s="1"/>
  <c r="G265" i="52"/>
  <c r="E265" i="54" s="1"/>
  <c r="G267" i="52"/>
  <c r="E267" i="54" s="1"/>
  <c r="C267" i="54"/>
  <c r="E267" i="51"/>
  <c r="F267" i="51" s="1"/>
  <c r="P267" i="26" s="1"/>
  <c r="I267" i="45" s="1"/>
  <c r="J267" i="50"/>
  <c r="M267" i="52" s="1"/>
  <c r="N267" i="52" s="1"/>
  <c r="F269" i="52"/>
  <c r="J265" i="52"/>
  <c r="N269" i="52"/>
  <c r="N266" i="52"/>
  <c r="J266" i="52"/>
  <c r="R266" i="26"/>
  <c r="U266" i="26" s="1"/>
  <c r="J268" i="50"/>
  <c r="M268" i="52" s="1"/>
  <c r="N268" i="52" s="1"/>
  <c r="H265" i="50"/>
  <c r="I265" i="52" s="1"/>
  <c r="F266" i="51"/>
  <c r="P266" i="26" s="1"/>
  <c r="I266" i="45" s="1"/>
  <c r="H268" i="50"/>
  <c r="I268" i="52" s="1"/>
  <c r="J268" i="52" s="1"/>
  <c r="U269" i="46"/>
  <c r="J267" i="26"/>
  <c r="N267" i="26"/>
  <c r="K267" i="6"/>
  <c r="L267" i="6" s="1"/>
  <c r="M267" i="6" s="1"/>
  <c r="R267" i="6" s="1"/>
  <c r="O266" i="6"/>
  <c r="P266" i="6" s="1"/>
  <c r="Q266" i="6" s="1"/>
  <c r="R266" i="6" s="1"/>
  <c r="O265" i="6"/>
  <c r="P265" i="6" s="1"/>
  <c r="Q265" i="6" s="1"/>
  <c r="R265" i="6" s="1"/>
  <c r="U266" i="87"/>
  <c r="T266" i="87"/>
  <c r="R266" i="87"/>
  <c r="U269" i="87"/>
  <c r="T269" i="87"/>
  <c r="S269" i="87"/>
  <c r="U267" i="87"/>
  <c r="T267" i="87"/>
  <c r="S266" i="87"/>
  <c r="X266" i="87"/>
  <c r="AJ269" i="46"/>
  <c r="AK269" i="46"/>
  <c r="AG269" i="46"/>
  <c r="AL269" i="46"/>
  <c r="AH269" i="46"/>
  <c r="AI269" i="46"/>
  <c r="AF269" i="46"/>
  <c r="AE269" i="46"/>
  <c r="AD269" i="46"/>
  <c r="AB269" i="46"/>
  <c r="AA269" i="46"/>
  <c r="Z269" i="46"/>
  <c r="T269" i="46"/>
  <c r="X269" i="46"/>
  <c r="S269" i="46"/>
  <c r="Y269" i="46"/>
  <c r="W269" i="46"/>
  <c r="F269" i="46"/>
  <c r="K265" i="39"/>
  <c r="I265" i="39"/>
  <c r="K266" i="39"/>
  <c r="I266" i="39"/>
  <c r="G266" i="39"/>
  <c r="L265" i="26"/>
  <c r="M265" i="26" s="1"/>
  <c r="N265" i="26" s="1"/>
  <c r="O265" i="26" s="1"/>
  <c r="G269" i="50"/>
  <c r="I266" i="50"/>
  <c r="J269" i="50"/>
  <c r="M269" i="52" s="1"/>
  <c r="I269" i="50"/>
  <c r="H269" i="50"/>
  <c r="I269" i="52" s="1"/>
  <c r="J269" i="52" s="1"/>
  <c r="J266" i="50"/>
  <c r="M266" i="52" s="1"/>
  <c r="M269" i="33"/>
  <c r="W269" i="33" s="1"/>
  <c r="J269" i="33"/>
  <c r="S269" i="33" s="1"/>
  <c r="N269" i="33"/>
  <c r="O269" i="33"/>
  <c r="K269" i="33"/>
  <c r="L269" i="33"/>
  <c r="U269" i="33" s="1"/>
  <c r="T268" i="33"/>
  <c r="R266" i="33"/>
  <c r="Q266" i="33"/>
  <c r="T266" i="33" s="1"/>
  <c r="R267" i="33"/>
  <c r="Y267" i="33" s="1"/>
  <c r="N265" i="33"/>
  <c r="Q267" i="33"/>
  <c r="O266" i="33"/>
  <c r="M265" i="33"/>
  <c r="N266" i="33"/>
  <c r="L265" i="33"/>
  <c r="M266" i="33"/>
  <c r="W266" i="33" s="1"/>
  <c r="K265" i="33"/>
  <c r="R269" i="33"/>
  <c r="P268" i="33"/>
  <c r="S268" i="33" s="1"/>
  <c r="N267" i="33"/>
  <c r="X267" i="33" s="1"/>
  <c r="L266" i="33"/>
  <c r="U266" i="33" s="1"/>
  <c r="J265" i="33"/>
  <c r="Q269" i="33"/>
  <c r="O268" i="33"/>
  <c r="M267" i="33"/>
  <c r="W267" i="33" s="1"/>
  <c r="N268" i="33"/>
  <c r="X268" i="33" s="1"/>
  <c r="L267" i="33"/>
  <c r="J266" i="33"/>
  <c r="S266" i="33" s="1"/>
  <c r="H265" i="33"/>
  <c r="M268" i="33"/>
  <c r="K267" i="33"/>
  <c r="T267" i="33" s="1"/>
  <c r="I266" i="33"/>
  <c r="L268" i="33"/>
  <c r="J267" i="33"/>
  <c r="S267" i="33" s="1"/>
  <c r="H266" i="33"/>
  <c r="F265" i="33"/>
  <c r="R268" i="33"/>
  <c r="I265" i="33"/>
  <c r="G265" i="33"/>
  <c r="M269" i="6"/>
  <c r="R269" i="6" s="1"/>
  <c r="H269" i="21"/>
  <c r="J268" i="23"/>
  <c r="I268" i="23"/>
  <c r="J268" i="6" s="1"/>
  <c r="K268" i="6" s="1"/>
  <c r="L268" i="6" s="1"/>
  <c r="M268" i="6" s="1"/>
  <c r="R268" i="6" s="1"/>
  <c r="H266" i="23"/>
  <c r="I269" i="23"/>
  <c r="J269" i="6" s="1"/>
  <c r="G266" i="23"/>
  <c r="I265" i="21"/>
  <c r="I268" i="21"/>
  <c r="H265" i="21"/>
  <c r="H268" i="21"/>
  <c r="O268" i="52" l="1"/>
  <c r="I268" i="51"/>
  <c r="J268" i="51" s="1"/>
  <c r="O267" i="52"/>
  <c r="I267" i="51"/>
  <c r="J267" i="51" s="1"/>
  <c r="O269" i="52"/>
  <c r="I269" i="51"/>
  <c r="J269" i="51" s="1"/>
  <c r="X266" i="26"/>
  <c r="G268" i="51"/>
  <c r="H268" i="51" s="1"/>
  <c r="K268" i="52"/>
  <c r="T266" i="26"/>
  <c r="R268" i="26"/>
  <c r="K265" i="52"/>
  <c r="G265" i="51"/>
  <c r="H265" i="51" s="1"/>
  <c r="G269" i="52"/>
  <c r="E269" i="54" s="1"/>
  <c r="E269" i="51"/>
  <c r="F269" i="51" s="1"/>
  <c r="P269" i="26" s="1"/>
  <c r="C269" i="54"/>
  <c r="W266" i="26"/>
  <c r="Y266" i="26"/>
  <c r="S266" i="26"/>
  <c r="R265" i="26"/>
  <c r="W265" i="26" s="1"/>
  <c r="K269" i="52"/>
  <c r="G269" i="51"/>
  <c r="H269" i="51" s="1"/>
  <c r="Z266" i="26"/>
  <c r="K266" i="52"/>
  <c r="G266" i="51"/>
  <c r="H266" i="51" s="1"/>
  <c r="O266" i="52"/>
  <c r="I266" i="51"/>
  <c r="J266" i="51" s="1"/>
  <c r="V266" i="26"/>
  <c r="O267" i="26"/>
  <c r="AB268" i="6"/>
  <c r="W268" i="6"/>
  <c r="X268" i="6"/>
  <c r="G268" i="45"/>
  <c r="T268" i="6"/>
  <c r="U268" i="6"/>
  <c r="V268" i="6"/>
  <c r="AA268" i="6"/>
  <c r="AC268" i="6"/>
  <c r="Y268" i="6"/>
  <c r="Z268" i="6"/>
  <c r="Z267" i="6"/>
  <c r="AA267" i="6"/>
  <c r="AB267" i="6"/>
  <c r="AC267" i="6"/>
  <c r="U267" i="6"/>
  <c r="V267" i="6"/>
  <c r="W267" i="6"/>
  <c r="X267" i="6"/>
  <c r="Y267" i="6"/>
  <c r="G267" i="45"/>
  <c r="T267" i="6"/>
  <c r="T266" i="6"/>
  <c r="U266" i="6"/>
  <c r="V266" i="6"/>
  <c r="W266" i="6"/>
  <c r="X266" i="6"/>
  <c r="Y266" i="6"/>
  <c r="Z266" i="6"/>
  <c r="AA266" i="6"/>
  <c r="AB266" i="6"/>
  <c r="AC266" i="6"/>
  <c r="G266" i="45"/>
  <c r="Y265" i="6"/>
  <c r="Z265" i="6"/>
  <c r="AA265" i="6"/>
  <c r="AB265" i="6"/>
  <c r="AC265" i="6"/>
  <c r="T265" i="6"/>
  <c r="G265" i="45"/>
  <c r="U265" i="6"/>
  <c r="X265" i="6"/>
  <c r="V265" i="6"/>
  <c r="W265" i="6"/>
  <c r="AM269" i="46"/>
  <c r="AQ269" i="46"/>
  <c r="AN269" i="46"/>
  <c r="AO269" i="46"/>
  <c r="AP269" i="46"/>
  <c r="AR269" i="46"/>
  <c r="V265" i="26"/>
  <c r="U265" i="26"/>
  <c r="R265" i="33"/>
  <c r="Y265" i="33" s="1"/>
  <c r="Q265" i="33"/>
  <c r="P265" i="33"/>
  <c r="S265" i="33" s="1"/>
  <c r="V265" i="33" s="1"/>
  <c r="U268" i="33"/>
  <c r="V268" i="33" s="1"/>
  <c r="T269" i="33"/>
  <c r="T265" i="33"/>
  <c r="W268" i="33"/>
  <c r="Z268" i="33" s="1"/>
  <c r="X269" i="33"/>
  <c r="Z269" i="33" s="1"/>
  <c r="U265" i="33"/>
  <c r="V269" i="33"/>
  <c r="V266" i="33"/>
  <c r="X266" i="33"/>
  <c r="Y269" i="33"/>
  <c r="U267" i="33"/>
  <c r="V267" i="33" s="1"/>
  <c r="Y266" i="33"/>
  <c r="Z266" i="33" s="1"/>
  <c r="Z267" i="33"/>
  <c r="Y268" i="33"/>
  <c r="X265" i="33"/>
  <c r="X268" i="26" l="1"/>
  <c r="S268" i="26"/>
  <c r="W268" i="26"/>
  <c r="Z268" i="26"/>
  <c r="Y268" i="26"/>
  <c r="T268" i="26"/>
  <c r="V268" i="26"/>
  <c r="U268" i="26"/>
  <c r="Z265" i="26"/>
  <c r="Y265" i="26"/>
  <c r="X265" i="26"/>
  <c r="S265" i="26"/>
  <c r="T265" i="26"/>
  <c r="I269" i="45"/>
  <c r="R269" i="26"/>
  <c r="R267" i="26"/>
  <c r="F267" i="45"/>
  <c r="M266" i="46"/>
  <c r="J266" i="46"/>
  <c r="D266" i="45"/>
  <c r="C266" i="45"/>
  <c r="D265" i="45"/>
  <c r="C265" i="45"/>
  <c r="J265" i="46"/>
  <c r="M265" i="46"/>
  <c r="W265" i="33"/>
  <c r="Z265" i="33" s="1"/>
  <c r="D269" i="45" l="1"/>
  <c r="C269" i="45"/>
  <c r="U269" i="26"/>
  <c r="V269" i="26"/>
  <c r="Y269" i="26"/>
  <c r="W269" i="26"/>
  <c r="S269" i="26"/>
  <c r="T269" i="26"/>
  <c r="Z269" i="26"/>
  <c r="X269" i="26"/>
  <c r="V267" i="26"/>
  <c r="Z267" i="26"/>
  <c r="W267" i="26"/>
  <c r="Y267" i="26"/>
  <c r="S267" i="26"/>
  <c r="T267" i="26"/>
  <c r="X267" i="26"/>
  <c r="U267" i="26"/>
  <c r="O266" i="45"/>
  <c r="N266" i="45"/>
  <c r="P266" i="45"/>
  <c r="Q266" i="45"/>
  <c r="M266" i="45"/>
  <c r="R266" i="45"/>
  <c r="U266" i="45"/>
  <c r="T266" i="45"/>
  <c r="S266" i="45"/>
  <c r="E266" i="46"/>
  <c r="C266" i="46"/>
  <c r="F266" i="46"/>
  <c r="D266" i="46"/>
  <c r="F265" i="46"/>
  <c r="E265" i="46"/>
  <c r="M265" i="45"/>
  <c r="N265" i="45"/>
  <c r="O265" i="45"/>
  <c r="P265" i="45"/>
  <c r="Q265" i="45"/>
  <c r="S265" i="45"/>
  <c r="R265" i="45"/>
  <c r="U265" i="45"/>
  <c r="T265" i="45"/>
  <c r="Q265" i="15"/>
  <c r="Q266" i="15"/>
  <c r="Q267" i="15"/>
  <c r="Q268" i="15"/>
  <c r="Q269" i="15"/>
  <c r="M265" i="15"/>
  <c r="M266" i="15"/>
  <c r="M267" i="15"/>
  <c r="M268" i="15"/>
  <c r="M269" i="15"/>
  <c r="I265" i="15"/>
  <c r="J265" i="15"/>
  <c r="I266" i="15"/>
  <c r="J266" i="15"/>
  <c r="I267" i="15"/>
  <c r="J267" i="15" s="1"/>
  <c r="C267" i="39" s="1"/>
  <c r="I268" i="15"/>
  <c r="J268" i="15" s="1"/>
  <c r="C268" i="39" s="1"/>
  <c r="I269" i="15"/>
  <c r="J269" i="15" s="1"/>
  <c r="F265" i="15"/>
  <c r="F266" i="15"/>
  <c r="F269" i="15"/>
  <c r="E265" i="15"/>
  <c r="E266" i="15"/>
  <c r="E267" i="15"/>
  <c r="F267" i="15" s="1"/>
  <c r="C267" i="28" s="1"/>
  <c r="E268" i="15"/>
  <c r="F268" i="15" s="1"/>
  <c r="C268" i="28" s="1"/>
  <c r="E269" i="15"/>
  <c r="A265" i="15"/>
  <c r="B265" i="15"/>
  <c r="A266" i="15"/>
  <c r="B266" i="15"/>
  <c r="A267" i="15"/>
  <c r="B267" i="15"/>
  <c r="A268" i="15"/>
  <c r="B268" i="15"/>
  <c r="A269" i="15"/>
  <c r="B269" i="15"/>
  <c r="P269" i="45" l="1"/>
  <c r="Q269" i="45"/>
  <c r="M269" i="45"/>
  <c r="N269" i="45"/>
  <c r="O269" i="45"/>
  <c r="U269" i="45"/>
  <c r="R269" i="45"/>
  <c r="S269" i="45"/>
  <c r="T269" i="45"/>
  <c r="P267" i="28"/>
  <c r="F267" i="28"/>
  <c r="I267" i="46" s="1"/>
  <c r="I267" i="28"/>
  <c r="J267" i="46" s="1"/>
  <c r="J267" i="28"/>
  <c r="M267" i="46" s="1"/>
  <c r="O267" i="28"/>
  <c r="G267" i="28"/>
  <c r="L267" i="46" s="1"/>
  <c r="I267" i="39"/>
  <c r="E267" i="39"/>
  <c r="G267" i="39"/>
  <c r="K267" i="39"/>
  <c r="P268" i="28"/>
  <c r="O268" i="28"/>
  <c r="J268" i="28"/>
  <c r="M268" i="46" s="1"/>
  <c r="F268" i="28"/>
  <c r="I268" i="46" s="1"/>
  <c r="G268" i="28"/>
  <c r="L268" i="46" s="1"/>
  <c r="I268" i="28"/>
  <c r="J268" i="46" s="1"/>
  <c r="G268" i="39"/>
  <c r="E268" i="39"/>
  <c r="I268" i="39"/>
  <c r="K268" i="39"/>
  <c r="S266" i="46"/>
  <c r="T266" i="46"/>
  <c r="V266" i="46"/>
  <c r="U266" i="46"/>
  <c r="W266" i="46"/>
  <c r="X266" i="46"/>
  <c r="Y266" i="46"/>
  <c r="AF266" i="46"/>
  <c r="Z266" i="46"/>
  <c r="AB266" i="46"/>
  <c r="AA266" i="46"/>
  <c r="AD266" i="46"/>
  <c r="AE266" i="46"/>
  <c r="AC266" i="46"/>
  <c r="AN266" i="46"/>
  <c r="AM266" i="46"/>
  <c r="AP266" i="46"/>
  <c r="AQ266" i="46"/>
  <c r="AR266" i="46"/>
  <c r="AO266" i="46"/>
  <c r="AG266" i="46"/>
  <c r="AK266" i="46"/>
  <c r="AH266" i="46"/>
  <c r="AJ266" i="46"/>
  <c r="AI266" i="46"/>
  <c r="AL266" i="46"/>
  <c r="AG265" i="46"/>
  <c r="AH265" i="46"/>
  <c r="AL265" i="46"/>
  <c r="AI265" i="46"/>
  <c r="AJ265" i="46"/>
  <c r="AK265" i="46"/>
  <c r="AM265" i="46"/>
  <c r="AR265" i="46"/>
  <c r="AO265" i="46"/>
  <c r="AQ265" i="46"/>
  <c r="AN265" i="46"/>
  <c r="AP265" i="46"/>
  <c r="J45" i="15"/>
  <c r="J42" i="15"/>
  <c r="J41" i="15"/>
  <c r="J40" i="15"/>
  <c r="J39" i="15"/>
  <c r="J36" i="15"/>
  <c r="J34" i="15"/>
  <c r="J32" i="15"/>
  <c r="J30" i="15"/>
  <c r="J29" i="15"/>
  <c r="J27" i="15"/>
  <c r="J26" i="15"/>
  <c r="J25" i="15"/>
  <c r="J24" i="15"/>
  <c r="AN291" i="15"/>
  <c r="AJ291" i="15"/>
  <c r="AK291" i="15" s="1"/>
  <c r="Z291" i="15"/>
  <c r="X291" i="15"/>
  <c r="W291" i="15"/>
  <c r="U291" i="15"/>
  <c r="S291" i="15"/>
  <c r="Q291" i="15"/>
  <c r="M291" i="15"/>
  <c r="AN290" i="15"/>
  <c r="AK290" i="15"/>
  <c r="Z290" i="15"/>
  <c r="X290" i="15"/>
  <c r="W290" i="15"/>
  <c r="U290" i="15"/>
  <c r="S290" i="15"/>
  <c r="Q290" i="15"/>
  <c r="M290" i="15"/>
  <c r="AN289" i="15"/>
  <c r="AK289" i="15"/>
  <c r="Z289" i="15"/>
  <c r="X289" i="15"/>
  <c r="W289" i="15"/>
  <c r="U289" i="15"/>
  <c r="S289" i="15"/>
  <c r="Q289" i="15"/>
  <c r="M289" i="15"/>
  <c r="AN288" i="15"/>
  <c r="AK288" i="15"/>
  <c r="Z288" i="15"/>
  <c r="X288" i="15"/>
  <c r="W288" i="15"/>
  <c r="U288" i="15"/>
  <c r="S288" i="15"/>
  <c r="Q288" i="15"/>
  <c r="M288" i="15"/>
  <c r="I288" i="15"/>
  <c r="J288" i="15" s="1"/>
  <c r="E288" i="15"/>
  <c r="F288" i="15" s="1"/>
  <c r="AN287" i="15"/>
  <c r="AK287" i="15"/>
  <c r="Z287" i="15"/>
  <c r="X287" i="15"/>
  <c r="W287" i="15"/>
  <c r="U287" i="15"/>
  <c r="S287" i="15"/>
  <c r="Q287" i="15"/>
  <c r="M287" i="15"/>
  <c r="AN286" i="15"/>
  <c r="AK286" i="15"/>
  <c r="Z286" i="15"/>
  <c r="X286" i="15"/>
  <c r="W286" i="15"/>
  <c r="U286" i="15"/>
  <c r="S286" i="15"/>
  <c r="Q286" i="15"/>
  <c r="M286" i="15"/>
  <c r="AN285" i="15"/>
  <c r="AK285" i="15"/>
  <c r="Z285" i="15"/>
  <c r="X285" i="15"/>
  <c r="W285" i="15"/>
  <c r="U285" i="15"/>
  <c r="S285" i="15"/>
  <c r="Q285" i="15"/>
  <c r="M285" i="15"/>
  <c r="AN284" i="15"/>
  <c r="AK284" i="15"/>
  <c r="Z284" i="15"/>
  <c r="X284" i="15"/>
  <c r="W284" i="15"/>
  <c r="U284" i="15"/>
  <c r="S284" i="15"/>
  <c r="Q284" i="15"/>
  <c r="M284" i="15"/>
  <c r="AN283" i="15"/>
  <c r="AK283" i="15"/>
  <c r="Z283" i="15"/>
  <c r="X283" i="15"/>
  <c r="W283" i="15"/>
  <c r="U283" i="15"/>
  <c r="S283" i="15"/>
  <c r="Q283" i="15"/>
  <c r="M283" i="15"/>
  <c r="I283" i="15"/>
  <c r="J283" i="15" s="1"/>
  <c r="E283" i="15"/>
  <c r="F283" i="15" s="1"/>
  <c r="AN282" i="15"/>
  <c r="AK282" i="15"/>
  <c r="Z282" i="15"/>
  <c r="X282" i="15"/>
  <c r="W282" i="15"/>
  <c r="U282" i="15"/>
  <c r="S282" i="15"/>
  <c r="Q282" i="15"/>
  <c r="M282" i="15"/>
  <c r="F281" i="15"/>
  <c r="AN280" i="15"/>
  <c r="AK280" i="15"/>
  <c r="Z280" i="15"/>
  <c r="X280" i="15"/>
  <c r="W280" i="15"/>
  <c r="U280" i="15"/>
  <c r="S280" i="15"/>
  <c r="Q280" i="15"/>
  <c r="M280" i="15"/>
  <c r="AN279" i="15"/>
  <c r="AK279" i="15"/>
  <c r="Z279" i="15"/>
  <c r="X279" i="15"/>
  <c r="W279" i="15"/>
  <c r="U279" i="15"/>
  <c r="S279" i="15"/>
  <c r="Q279" i="15"/>
  <c r="M279" i="15"/>
  <c r="I279" i="15"/>
  <c r="J279" i="15" s="1"/>
  <c r="E279" i="15"/>
  <c r="F279" i="15" s="1"/>
  <c r="AN278" i="15"/>
  <c r="AK278" i="15"/>
  <c r="Z278" i="15"/>
  <c r="X278" i="15"/>
  <c r="W278" i="15"/>
  <c r="U278" i="15"/>
  <c r="S278" i="15"/>
  <c r="Q278" i="15"/>
  <c r="M278" i="15"/>
  <c r="AN277" i="15"/>
  <c r="AK277" i="15"/>
  <c r="Z277" i="15"/>
  <c r="X277" i="15"/>
  <c r="W277" i="15"/>
  <c r="U277" i="15"/>
  <c r="S277" i="15"/>
  <c r="Q277" i="15"/>
  <c r="M277" i="15"/>
  <c r="AN276" i="15"/>
  <c r="AK276" i="15"/>
  <c r="Z276" i="15"/>
  <c r="X276" i="15"/>
  <c r="W276" i="15"/>
  <c r="U276" i="15"/>
  <c r="S276" i="15"/>
  <c r="Q276" i="15"/>
  <c r="M276" i="15"/>
  <c r="AN275" i="15"/>
  <c r="AK275" i="15"/>
  <c r="Z275" i="15"/>
  <c r="X275" i="15"/>
  <c r="W275" i="15"/>
  <c r="U275" i="15"/>
  <c r="S275" i="15"/>
  <c r="Q275" i="15"/>
  <c r="M275" i="15"/>
  <c r="AN274" i="15"/>
  <c r="AK274" i="15"/>
  <c r="Z274" i="15"/>
  <c r="X274" i="15"/>
  <c r="W274" i="15"/>
  <c r="U274" i="15"/>
  <c r="S274" i="15"/>
  <c r="Q274" i="15"/>
  <c r="M274" i="15"/>
  <c r="AN273" i="15"/>
  <c r="AK273" i="15"/>
  <c r="Z273" i="15"/>
  <c r="X273" i="15"/>
  <c r="W273" i="15"/>
  <c r="U273" i="15"/>
  <c r="S273" i="15"/>
  <c r="Q273" i="15"/>
  <c r="M273" i="15"/>
  <c r="AN272" i="15"/>
  <c r="AK272" i="15"/>
  <c r="Z272" i="15"/>
  <c r="X272" i="15"/>
  <c r="W272" i="15"/>
  <c r="U272" i="15"/>
  <c r="S272" i="15"/>
  <c r="Q272" i="15"/>
  <c r="M272" i="15"/>
  <c r="I272" i="15"/>
  <c r="J272" i="15" s="1"/>
  <c r="E272" i="15"/>
  <c r="F272" i="15" s="1"/>
  <c r="AN271" i="15"/>
  <c r="AK271" i="15"/>
  <c r="Z271" i="15"/>
  <c r="X271" i="15"/>
  <c r="W271" i="15"/>
  <c r="U271" i="15"/>
  <c r="S271" i="15"/>
  <c r="Q271" i="15"/>
  <c r="M271" i="15"/>
  <c r="AN270" i="15"/>
  <c r="AK270" i="15"/>
  <c r="Z270" i="15"/>
  <c r="X270" i="15"/>
  <c r="W270" i="15"/>
  <c r="U270" i="15"/>
  <c r="S270" i="15"/>
  <c r="Q270" i="15"/>
  <c r="M270" i="15"/>
  <c r="AN264" i="15"/>
  <c r="AK264" i="15"/>
  <c r="Z264" i="15"/>
  <c r="X264" i="15"/>
  <c r="W264" i="15"/>
  <c r="U264" i="15"/>
  <c r="S264" i="15"/>
  <c r="Q264" i="15"/>
  <c r="M264" i="15"/>
  <c r="AN263" i="15"/>
  <c r="AK263" i="15"/>
  <c r="Z263" i="15"/>
  <c r="X263" i="15"/>
  <c r="W263" i="15"/>
  <c r="U263" i="15"/>
  <c r="S263" i="15"/>
  <c r="Q263" i="15"/>
  <c r="M263" i="15"/>
  <c r="AN262" i="15"/>
  <c r="AK262" i="15"/>
  <c r="Z262" i="15"/>
  <c r="W262" i="15"/>
  <c r="U262" i="15"/>
  <c r="S262" i="15"/>
  <c r="Q262" i="15"/>
  <c r="M262" i="15"/>
  <c r="AN261" i="15"/>
  <c r="AK261" i="15"/>
  <c r="Z261" i="15"/>
  <c r="W261" i="15"/>
  <c r="U261" i="15"/>
  <c r="S261" i="15"/>
  <c r="Q261" i="15"/>
  <c r="M261" i="15"/>
  <c r="AN260" i="15"/>
  <c r="AK260" i="15"/>
  <c r="Z260" i="15"/>
  <c r="W260" i="15"/>
  <c r="U260" i="15"/>
  <c r="S260" i="15"/>
  <c r="Q260" i="15"/>
  <c r="M260" i="15"/>
  <c r="AN259" i="15"/>
  <c r="AK259" i="15"/>
  <c r="Z259" i="15"/>
  <c r="X259" i="15"/>
  <c r="W259" i="15"/>
  <c r="U259" i="15"/>
  <c r="S259" i="15"/>
  <c r="Q259" i="15"/>
  <c r="M259" i="15"/>
  <c r="AN258" i="15"/>
  <c r="AK258" i="15"/>
  <c r="Z258" i="15"/>
  <c r="X258" i="15"/>
  <c r="W258" i="15"/>
  <c r="U258" i="15"/>
  <c r="S258" i="15"/>
  <c r="Q258" i="15"/>
  <c r="M258" i="15"/>
  <c r="AN257" i="15"/>
  <c r="AK257" i="15"/>
  <c r="Z257" i="15"/>
  <c r="X257" i="15"/>
  <c r="W257" i="15"/>
  <c r="U257" i="15"/>
  <c r="S257" i="15"/>
  <c r="Q257" i="15"/>
  <c r="M257" i="15"/>
  <c r="AN256" i="15"/>
  <c r="AK256" i="15"/>
  <c r="Z256" i="15"/>
  <c r="X256" i="15"/>
  <c r="W256" i="15"/>
  <c r="U256" i="15"/>
  <c r="S256" i="15"/>
  <c r="Q256" i="15"/>
  <c r="M256" i="15"/>
  <c r="AN255" i="15"/>
  <c r="AK255" i="15"/>
  <c r="Z255" i="15"/>
  <c r="X255" i="15"/>
  <c r="W255" i="15"/>
  <c r="U255" i="15"/>
  <c r="S255" i="15"/>
  <c r="Q255" i="15"/>
  <c r="M255" i="15"/>
  <c r="AN254" i="15"/>
  <c r="Z254" i="15"/>
  <c r="X254" i="15"/>
  <c r="W254" i="15"/>
  <c r="U254" i="15"/>
  <c r="S254" i="15"/>
  <c r="Q254" i="15"/>
  <c r="M254" i="15"/>
  <c r="AN253" i="15"/>
  <c r="Z253" i="15"/>
  <c r="X253" i="15"/>
  <c r="W253" i="15"/>
  <c r="U253" i="15"/>
  <c r="S253" i="15"/>
  <c r="Q253" i="15"/>
  <c r="M253" i="15"/>
  <c r="AN252" i="15"/>
  <c r="AK252" i="15"/>
  <c r="Z252" i="15"/>
  <c r="X252" i="15"/>
  <c r="W252" i="15"/>
  <c r="U252" i="15"/>
  <c r="S252" i="15"/>
  <c r="Q252" i="15"/>
  <c r="M252" i="15"/>
  <c r="AN251" i="15"/>
  <c r="AK251" i="15"/>
  <c r="Z251" i="15"/>
  <c r="X251" i="15"/>
  <c r="W251" i="15"/>
  <c r="U251" i="15"/>
  <c r="S251" i="15"/>
  <c r="Q251" i="15"/>
  <c r="M251" i="15"/>
  <c r="AN250" i="15"/>
  <c r="AK250" i="15"/>
  <c r="Z250" i="15"/>
  <c r="X250" i="15"/>
  <c r="W250" i="15"/>
  <c r="U250" i="15"/>
  <c r="S250" i="15"/>
  <c r="Q250" i="15"/>
  <c r="M250" i="15"/>
  <c r="AN249" i="15"/>
  <c r="AK249" i="15"/>
  <c r="Z249" i="15"/>
  <c r="X249" i="15"/>
  <c r="W249" i="15"/>
  <c r="U249" i="15"/>
  <c r="S249" i="15"/>
  <c r="Q249" i="15"/>
  <c r="M249" i="15"/>
  <c r="AN248" i="15"/>
  <c r="AK248" i="15"/>
  <c r="Z248" i="15"/>
  <c r="X248" i="15"/>
  <c r="W248" i="15"/>
  <c r="U248" i="15"/>
  <c r="S248" i="15"/>
  <c r="Q248" i="15"/>
  <c r="M248" i="15"/>
  <c r="F247" i="15"/>
  <c r="AN246" i="15"/>
  <c r="AK246" i="15"/>
  <c r="Z246" i="15"/>
  <c r="X246" i="15"/>
  <c r="W246" i="15"/>
  <c r="U246" i="15"/>
  <c r="S246" i="15"/>
  <c r="Q246" i="15"/>
  <c r="M246" i="15"/>
  <c r="I246" i="15"/>
  <c r="J246" i="15" s="1"/>
  <c r="E246" i="15"/>
  <c r="F246" i="15" s="1"/>
  <c r="AN245" i="15"/>
  <c r="AK245" i="15"/>
  <c r="Z245" i="15"/>
  <c r="X245" i="15"/>
  <c r="W245" i="15"/>
  <c r="U245" i="15"/>
  <c r="S245" i="15"/>
  <c r="Q245" i="15"/>
  <c r="M245" i="15"/>
  <c r="I245" i="15"/>
  <c r="J245" i="15" s="1"/>
  <c r="E245" i="15"/>
  <c r="F245" i="15" s="1"/>
  <c r="AN244" i="15"/>
  <c r="AK244" i="15"/>
  <c r="Z244" i="15"/>
  <c r="X244" i="15"/>
  <c r="W244" i="15"/>
  <c r="U244" i="15"/>
  <c r="S244" i="15"/>
  <c r="Q244" i="15"/>
  <c r="M244" i="15"/>
  <c r="I244" i="15"/>
  <c r="J244" i="15" s="1"/>
  <c r="E244" i="15"/>
  <c r="F244" i="15" s="1"/>
  <c r="AN243" i="15"/>
  <c r="AK243" i="15"/>
  <c r="Z243" i="15"/>
  <c r="X243" i="15"/>
  <c r="W243" i="15"/>
  <c r="U243" i="15"/>
  <c r="S243" i="15"/>
  <c r="Q243" i="15"/>
  <c r="M243" i="15"/>
  <c r="I243" i="15"/>
  <c r="J243" i="15" s="1"/>
  <c r="E243" i="15"/>
  <c r="F243" i="15" s="1"/>
  <c r="AN242" i="15"/>
  <c r="AK242" i="15"/>
  <c r="Z242" i="15"/>
  <c r="X242" i="15"/>
  <c r="W242" i="15"/>
  <c r="U242" i="15"/>
  <c r="S242" i="15"/>
  <c r="Q242" i="15"/>
  <c r="M242" i="15"/>
  <c r="I242" i="15"/>
  <c r="J242" i="15" s="1"/>
  <c r="E242" i="15"/>
  <c r="F242" i="15" s="1"/>
  <c r="AN241" i="15"/>
  <c r="AK241" i="15"/>
  <c r="Z241" i="15"/>
  <c r="X241" i="15"/>
  <c r="W241" i="15"/>
  <c r="U241" i="15"/>
  <c r="S241" i="15"/>
  <c r="Q241" i="15"/>
  <c r="M241" i="15"/>
  <c r="I241" i="15"/>
  <c r="J241" i="15" s="1"/>
  <c r="E241" i="15"/>
  <c r="F241" i="15" s="1"/>
  <c r="F240" i="15"/>
  <c r="AN239" i="15"/>
  <c r="AK239" i="15"/>
  <c r="Z239" i="15"/>
  <c r="X239" i="15"/>
  <c r="U239" i="15"/>
  <c r="S239" i="15"/>
  <c r="Q239" i="15"/>
  <c r="M239" i="15"/>
  <c r="AN238" i="15"/>
  <c r="AK238" i="15"/>
  <c r="Z238" i="15"/>
  <c r="X238" i="15"/>
  <c r="U238" i="15"/>
  <c r="S238" i="15"/>
  <c r="Q238" i="15"/>
  <c r="M238" i="15"/>
  <c r="AN237" i="15"/>
  <c r="AK237" i="15"/>
  <c r="Z237" i="15"/>
  <c r="X237" i="15"/>
  <c r="U237" i="15"/>
  <c r="S237" i="15"/>
  <c r="Q237" i="15"/>
  <c r="M237" i="15"/>
  <c r="AN236" i="15"/>
  <c r="AK236" i="15"/>
  <c r="Z236" i="15"/>
  <c r="X236" i="15"/>
  <c r="U236" i="15"/>
  <c r="S236" i="15"/>
  <c r="Q236" i="15"/>
  <c r="M236" i="15"/>
  <c r="AN235" i="15"/>
  <c r="AK235" i="15"/>
  <c r="Z235" i="15"/>
  <c r="X235" i="15"/>
  <c r="U235" i="15"/>
  <c r="S235" i="15"/>
  <c r="Q235" i="15"/>
  <c r="M235" i="15"/>
  <c r="AN234" i="15"/>
  <c r="AK234" i="15"/>
  <c r="Z234" i="15"/>
  <c r="X234" i="15"/>
  <c r="U234" i="15"/>
  <c r="S234" i="15"/>
  <c r="Q234" i="15"/>
  <c r="M234" i="15"/>
  <c r="AN233" i="15"/>
  <c r="AK233" i="15"/>
  <c r="Z233" i="15"/>
  <c r="X233" i="15"/>
  <c r="U233" i="15"/>
  <c r="S233" i="15"/>
  <c r="Q233" i="15"/>
  <c r="M233" i="15"/>
  <c r="AN232" i="15"/>
  <c r="AK232" i="15"/>
  <c r="Z232" i="15"/>
  <c r="X232" i="15"/>
  <c r="U232" i="15"/>
  <c r="S232" i="15"/>
  <c r="Q232" i="15"/>
  <c r="M232" i="15"/>
  <c r="AN231" i="15"/>
  <c r="AK231" i="15"/>
  <c r="Z231" i="15"/>
  <c r="X231" i="15"/>
  <c r="W231" i="15"/>
  <c r="U231" i="15"/>
  <c r="S231" i="15"/>
  <c r="Q231" i="15"/>
  <c r="M231" i="15"/>
  <c r="Z230" i="15"/>
  <c r="X230" i="15"/>
  <c r="W230" i="15"/>
  <c r="U230" i="15"/>
  <c r="S230" i="15"/>
  <c r="Q230" i="15"/>
  <c r="M230" i="15"/>
  <c r="F229" i="15"/>
  <c r="AN228" i="15"/>
  <c r="AK228" i="15"/>
  <c r="Z228" i="15"/>
  <c r="X228" i="15"/>
  <c r="W228" i="15"/>
  <c r="U228" i="15"/>
  <c r="S228" i="15"/>
  <c r="Q228" i="15"/>
  <c r="M228" i="15"/>
  <c r="AN227" i="15"/>
  <c r="AK227" i="15"/>
  <c r="Z227" i="15"/>
  <c r="X227" i="15"/>
  <c r="W227" i="15"/>
  <c r="U227" i="15"/>
  <c r="S227" i="15"/>
  <c r="Q227" i="15"/>
  <c r="M227" i="15"/>
  <c r="AN226" i="15"/>
  <c r="AK226" i="15"/>
  <c r="Z226" i="15"/>
  <c r="X226" i="15"/>
  <c r="W226" i="15"/>
  <c r="U226" i="15"/>
  <c r="S226" i="15"/>
  <c r="Q226" i="15"/>
  <c r="M226" i="15"/>
  <c r="AN225" i="15"/>
  <c r="AK225" i="15"/>
  <c r="Z225" i="15"/>
  <c r="X225" i="15"/>
  <c r="W225" i="15"/>
  <c r="U225" i="15"/>
  <c r="S225" i="15"/>
  <c r="Q225" i="15"/>
  <c r="M225" i="15"/>
  <c r="AN224" i="15"/>
  <c r="AK224" i="15"/>
  <c r="Z224" i="15"/>
  <c r="X224" i="15"/>
  <c r="W224" i="15"/>
  <c r="U224" i="15"/>
  <c r="S224" i="15"/>
  <c r="Q224" i="15"/>
  <c r="M224" i="15"/>
  <c r="AN223" i="15"/>
  <c r="AK223" i="15"/>
  <c r="Z223" i="15"/>
  <c r="X223" i="15"/>
  <c r="W223" i="15"/>
  <c r="U223" i="15"/>
  <c r="S223" i="15"/>
  <c r="Q223" i="15"/>
  <c r="M223" i="15"/>
  <c r="AN222" i="15"/>
  <c r="AK222" i="15"/>
  <c r="Z222" i="15"/>
  <c r="X222" i="15"/>
  <c r="W222" i="15"/>
  <c r="U222" i="15"/>
  <c r="S222" i="15"/>
  <c r="Q222" i="15"/>
  <c r="M222" i="15"/>
  <c r="AN221" i="15"/>
  <c r="AK221" i="15"/>
  <c r="Z221" i="15"/>
  <c r="X221" i="15"/>
  <c r="W221" i="15"/>
  <c r="U221" i="15"/>
  <c r="S221" i="15"/>
  <c r="Q221" i="15"/>
  <c r="M221" i="15"/>
  <c r="AN220" i="15"/>
  <c r="AK220" i="15"/>
  <c r="Z220" i="15"/>
  <c r="X220" i="15"/>
  <c r="W220" i="15"/>
  <c r="U220" i="15"/>
  <c r="S220" i="15"/>
  <c r="Q220" i="15"/>
  <c r="M220" i="15"/>
  <c r="AN219" i="15"/>
  <c r="AK219" i="15"/>
  <c r="Z219" i="15"/>
  <c r="X219" i="15"/>
  <c r="W219" i="15"/>
  <c r="U219" i="15"/>
  <c r="S219" i="15"/>
  <c r="Q219" i="15"/>
  <c r="M219" i="15"/>
  <c r="I219" i="15"/>
  <c r="J219" i="15" s="1"/>
  <c r="E219" i="15"/>
  <c r="F219" i="15" s="1"/>
  <c r="AN218" i="15"/>
  <c r="AK218" i="15"/>
  <c r="Z218" i="15"/>
  <c r="X218" i="15"/>
  <c r="W218" i="15"/>
  <c r="U218" i="15"/>
  <c r="S218" i="15"/>
  <c r="Q218" i="15"/>
  <c r="M218" i="15"/>
  <c r="AN217" i="15"/>
  <c r="AK217" i="15"/>
  <c r="Z217" i="15"/>
  <c r="X217" i="15"/>
  <c r="W217" i="15"/>
  <c r="U217" i="15"/>
  <c r="S217" i="15"/>
  <c r="Q217" i="15"/>
  <c r="M217" i="15"/>
  <c r="AN216" i="15"/>
  <c r="AK216" i="15"/>
  <c r="Z216" i="15"/>
  <c r="X216" i="15"/>
  <c r="W216" i="15"/>
  <c r="U216" i="15"/>
  <c r="S216" i="15"/>
  <c r="Q216" i="15"/>
  <c r="M216" i="15"/>
  <c r="AN215" i="15"/>
  <c r="AK215" i="15"/>
  <c r="Z215" i="15"/>
  <c r="X215" i="15"/>
  <c r="W215" i="15"/>
  <c r="U215" i="15"/>
  <c r="S215" i="15"/>
  <c r="Q215" i="15"/>
  <c r="M215" i="15"/>
  <c r="AN214" i="15"/>
  <c r="AK214" i="15"/>
  <c r="Z214" i="15"/>
  <c r="X214" i="15"/>
  <c r="W214" i="15"/>
  <c r="U214" i="15"/>
  <c r="S214" i="15"/>
  <c r="Q214" i="15"/>
  <c r="M214" i="15"/>
  <c r="AN213" i="15"/>
  <c r="AK213" i="15"/>
  <c r="Z213" i="15"/>
  <c r="X213" i="15"/>
  <c r="W213" i="15"/>
  <c r="U213" i="15"/>
  <c r="S213" i="15"/>
  <c r="Q213" i="15"/>
  <c r="M213" i="15"/>
  <c r="AN212" i="15"/>
  <c r="AK212" i="15"/>
  <c r="Z212" i="15"/>
  <c r="X212" i="15"/>
  <c r="W212" i="15"/>
  <c r="U212" i="15"/>
  <c r="S212" i="15"/>
  <c r="Q212" i="15"/>
  <c r="M212" i="15"/>
  <c r="AN211" i="15"/>
  <c r="AK211" i="15"/>
  <c r="Z211" i="15"/>
  <c r="X211" i="15"/>
  <c r="W211" i="15"/>
  <c r="U211" i="15"/>
  <c r="S211" i="15"/>
  <c r="Q211" i="15"/>
  <c r="M211" i="15"/>
  <c r="AN210" i="15"/>
  <c r="AK210" i="15"/>
  <c r="Z210" i="15"/>
  <c r="X210" i="15"/>
  <c r="W210" i="15"/>
  <c r="U210" i="15"/>
  <c r="S210" i="15"/>
  <c r="Q210" i="15"/>
  <c r="M210" i="15"/>
  <c r="AN209" i="15"/>
  <c r="AK209" i="15"/>
  <c r="Z209" i="15"/>
  <c r="X209" i="15"/>
  <c r="W209" i="15"/>
  <c r="U209" i="15"/>
  <c r="S209" i="15"/>
  <c r="Q209" i="15"/>
  <c r="M209" i="15"/>
  <c r="AN208" i="15"/>
  <c r="AK208" i="15"/>
  <c r="Z208" i="15"/>
  <c r="X208" i="15"/>
  <c r="W208" i="15"/>
  <c r="U208" i="15"/>
  <c r="S208" i="15"/>
  <c r="Q208" i="15"/>
  <c r="M208" i="15"/>
  <c r="AN207" i="15"/>
  <c r="AK207" i="15"/>
  <c r="Z207" i="15"/>
  <c r="X207" i="15"/>
  <c r="W207" i="15"/>
  <c r="U207" i="15"/>
  <c r="S207" i="15"/>
  <c r="Q207" i="15"/>
  <c r="M207" i="15"/>
  <c r="I207" i="15"/>
  <c r="J207" i="15" s="1"/>
  <c r="E207" i="15"/>
  <c r="F207" i="15" s="1"/>
  <c r="AN206" i="15"/>
  <c r="AK206" i="15"/>
  <c r="Z206" i="15"/>
  <c r="X206" i="15"/>
  <c r="W206" i="15"/>
  <c r="U206" i="15"/>
  <c r="S206" i="15"/>
  <c r="Q206" i="15"/>
  <c r="M206" i="15"/>
  <c r="AN205" i="15"/>
  <c r="AK205" i="15"/>
  <c r="Z205" i="15"/>
  <c r="X205" i="15"/>
  <c r="W205" i="15"/>
  <c r="U205" i="15"/>
  <c r="S205" i="15"/>
  <c r="Q205" i="15"/>
  <c r="M205" i="15"/>
  <c r="AN204" i="15"/>
  <c r="AK204" i="15"/>
  <c r="Z204" i="15"/>
  <c r="X204" i="15"/>
  <c r="W204" i="15"/>
  <c r="U204" i="15"/>
  <c r="S204" i="15"/>
  <c r="Q204" i="15"/>
  <c r="M204" i="15"/>
  <c r="AN203" i="15"/>
  <c r="AK203" i="15"/>
  <c r="Z203" i="15"/>
  <c r="X203" i="15"/>
  <c r="W203" i="15"/>
  <c r="U203" i="15"/>
  <c r="S203" i="15"/>
  <c r="Q203" i="15"/>
  <c r="M203" i="15"/>
  <c r="I203" i="15"/>
  <c r="J203" i="15" s="1"/>
  <c r="E203" i="15"/>
  <c r="F203" i="15" s="1"/>
  <c r="AN202" i="15"/>
  <c r="AK202" i="15"/>
  <c r="Z202" i="15"/>
  <c r="X202" i="15"/>
  <c r="W202" i="15"/>
  <c r="U202" i="15"/>
  <c r="S202" i="15"/>
  <c r="Q202" i="15"/>
  <c r="M202" i="15"/>
  <c r="AN201" i="15"/>
  <c r="AK201" i="15"/>
  <c r="Z201" i="15"/>
  <c r="X201" i="15"/>
  <c r="W201" i="15"/>
  <c r="U201" i="15"/>
  <c r="S201" i="15"/>
  <c r="Q201" i="15"/>
  <c r="M201" i="15"/>
  <c r="I201" i="15"/>
  <c r="J201" i="15" s="1"/>
  <c r="E201" i="15"/>
  <c r="F201" i="15" s="1"/>
  <c r="AN200" i="15"/>
  <c r="AK200" i="15"/>
  <c r="Z200" i="15"/>
  <c r="X200" i="15"/>
  <c r="W200" i="15"/>
  <c r="U200" i="15"/>
  <c r="S200" i="15"/>
  <c r="Q200" i="15"/>
  <c r="M200" i="15"/>
  <c r="AN199" i="15"/>
  <c r="AK199" i="15"/>
  <c r="Z199" i="15"/>
  <c r="X199" i="15"/>
  <c r="W199" i="15"/>
  <c r="U199" i="15"/>
  <c r="S199" i="15"/>
  <c r="Q199" i="15"/>
  <c r="M199" i="15"/>
  <c r="AN198" i="15"/>
  <c r="AK198" i="15"/>
  <c r="Z198" i="15"/>
  <c r="X198" i="15"/>
  <c r="W198" i="15"/>
  <c r="U198" i="15"/>
  <c r="S198" i="15"/>
  <c r="Q198" i="15"/>
  <c r="M198" i="15"/>
  <c r="AN197" i="15"/>
  <c r="AK197" i="15"/>
  <c r="Z197" i="15"/>
  <c r="X197" i="15"/>
  <c r="W197" i="15"/>
  <c r="U197" i="15"/>
  <c r="S197" i="15"/>
  <c r="Q197" i="15"/>
  <c r="M197" i="15"/>
  <c r="AN196" i="15"/>
  <c r="AK196" i="15"/>
  <c r="Z196" i="15"/>
  <c r="X196" i="15"/>
  <c r="W196" i="15"/>
  <c r="U196" i="15"/>
  <c r="S196" i="15"/>
  <c r="Q196" i="15"/>
  <c r="M196" i="15"/>
  <c r="AN195" i="15"/>
  <c r="AK195" i="15"/>
  <c r="Z195" i="15"/>
  <c r="X195" i="15"/>
  <c r="W195" i="15"/>
  <c r="U195" i="15"/>
  <c r="S195" i="15"/>
  <c r="Q195" i="15"/>
  <c r="M195" i="15"/>
  <c r="AN194" i="15"/>
  <c r="AK194" i="15"/>
  <c r="Z194" i="15"/>
  <c r="X194" i="15"/>
  <c r="W194" i="15"/>
  <c r="U194" i="15"/>
  <c r="S194" i="15"/>
  <c r="Q194" i="15"/>
  <c r="M194" i="15"/>
  <c r="AN193" i="15"/>
  <c r="AK193" i="15"/>
  <c r="Z193" i="15"/>
  <c r="X193" i="15"/>
  <c r="W193" i="15"/>
  <c r="U193" i="15"/>
  <c r="S193" i="15"/>
  <c r="Q193" i="15"/>
  <c r="M193" i="15"/>
  <c r="AN192" i="15"/>
  <c r="AK192" i="15"/>
  <c r="Z192" i="15"/>
  <c r="X192" i="15"/>
  <c r="W192" i="15"/>
  <c r="U192" i="15"/>
  <c r="S192" i="15"/>
  <c r="Q192" i="15"/>
  <c r="M192" i="15"/>
  <c r="AN191" i="15"/>
  <c r="AK191" i="15"/>
  <c r="Z191" i="15"/>
  <c r="X191" i="15"/>
  <c r="W191" i="15"/>
  <c r="U191" i="15"/>
  <c r="S191" i="15"/>
  <c r="Q191" i="15"/>
  <c r="M191" i="15"/>
  <c r="I191" i="15"/>
  <c r="J191" i="15" s="1"/>
  <c r="E191" i="15"/>
  <c r="F191" i="15" s="1"/>
  <c r="AN190" i="15"/>
  <c r="AK190" i="15"/>
  <c r="Z190" i="15"/>
  <c r="X190" i="15"/>
  <c r="W190" i="15"/>
  <c r="U190" i="15"/>
  <c r="S190" i="15"/>
  <c r="Q190" i="15"/>
  <c r="M190" i="15"/>
  <c r="AN189" i="15"/>
  <c r="AK189" i="15"/>
  <c r="Z189" i="15"/>
  <c r="X189" i="15"/>
  <c r="W189" i="15"/>
  <c r="U189" i="15"/>
  <c r="S189" i="15"/>
  <c r="Q189" i="15"/>
  <c r="M189" i="15"/>
  <c r="AN188" i="15"/>
  <c r="AK188" i="15"/>
  <c r="Z188" i="15"/>
  <c r="X188" i="15"/>
  <c r="W188" i="15"/>
  <c r="U188" i="15"/>
  <c r="S188" i="15"/>
  <c r="Q188" i="15"/>
  <c r="M188" i="15"/>
  <c r="AN187" i="15"/>
  <c r="AK187" i="15"/>
  <c r="Z187" i="15"/>
  <c r="X187" i="15"/>
  <c r="W187" i="15"/>
  <c r="U187" i="15"/>
  <c r="S187" i="15"/>
  <c r="Q187" i="15"/>
  <c r="M187" i="15"/>
  <c r="I187" i="15"/>
  <c r="J187" i="15" s="1"/>
  <c r="E187" i="15"/>
  <c r="F187" i="15" s="1"/>
  <c r="AN186" i="15"/>
  <c r="AK186" i="15"/>
  <c r="Z186" i="15"/>
  <c r="X186" i="15"/>
  <c r="W186" i="15"/>
  <c r="U186" i="15"/>
  <c r="S186" i="15"/>
  <c r="Q186" i="15"/>
  <c r="M186" i="15"/>
  <c r="I186" i="15"/>
  <c r="J186" i="15" s="1"/>
  <c r="E186" i="15"/>
  <c r="F186" i="15" s="1"/>
  <c r="AN185" i="15"/>
  <c r="AK185" i="15"/>
  <c r="Z185" i="15"/>
  <c r="X185" i="15"/>
  <c r="W185" i="15"/>
  <c r="U185" i="15"/>
  <c r="S185" i="15"/>
  <c r="Q185" i="15"/>
  <c r="M185" i="15"/>
  <c r="AN184" i="15"/>
  <c r="AK184" i="15"/>
  <c r="Z184" i="15"/>
  <c r="X184" i="15"/>
  <c r="W184" i="15"/>
  <c r="U184" i="15"/>
  <c r="S184" i="15"/>
  <c r="Q184" i="15"/>
  <c r="M184" i="15"/>
  <c r="AN183" i="15"/>
  <c r="AK183" i="15"/>
  <c r="Z183" i="15"/>
  <c r="X183" i="15"/>
  <c r="W183" i="15"/>
  <c r="U183" i="15"/>
  <c r="S183" i="15"/>
  <c r="Q183" i="15"/>
  <c r="M183" i="15"/>
  <c r="AN182" i="15"/>
  <c r="AK182" i="15"/>
  <c r="Z182" i="15"/>
  <c r="X182" i="15"/>
  <c r="W182" i="15"/>
  <c r="U182" i="15"/>
  <c r="S182" i="15"/>
  <c r="Q182" i="15"/>
  <c r="M182" i="15"/>
  <c r="AN181" i="15"/>
  <c r="AK181" i="15"/>
  <c r="Z181" i="15"/>
  <c r="X181" i="15"/>
  <c r="W181" i="15"/>
  <c r="U181" i="15"/>
  <c r="S181" i="15"/>
  <c r="Q181" i="15"/>
  <c r="M181" i="15"/>
  <c r="AN180" i="15"/>
  <c r="AK180" i="15"/>
  <c r="Z180" i="15"/>
  <c r="X180" i="15"/>
  <c r="W180" i="15"/>
  <c r="U180" i="15"/>
  <c r="S180" i="15"/>
  <c r="Q180" i="15"/>
  <c r="M180" i="15"/>
  <c r="AN179" i="15"/>
  <c r="AK179" i="15"/>
  <c r="Z179" i="15"/>
  <c r="X179" i="15"/>
  <c r="W179" i="15"/>
  <c r="U179" i="15"/>
  <c r="S179" i="15"/>
  <c r="Q179" i="15"/>
  <c r="M179" i="15"/>
  <c r="AN178" i="15"/>
  <c r="AK178" i="15"/>
  <c r="Z178" i="15"/>
  <c r="X178" i="15"/>
  <c r="W178" i="15"/>
  <c r="U178" i="15"/>
  <c r="S178" i="15"/>
  <c r="Q178" i="15"/>
  <c r="M178" i="15"/>
  <c r="AN177" i="15"/>
  <c r="AK177" i="15"/>
  <c r="Z177" i="15"/>
  <c r="X177" i="15"/>
  <c r="W177" i="15"/>
  <c r="U177" i="15"/>
  <c r="S177" i="15"/>
  <c r="Q177" i="15"/>
  <c r="M177" i="15"/>
  <c r="AN176" i="15"/>
  <c r="AK176" i="15"/>
  <c r="Z176" i="15"/>
  <c r="X176" i="15"/>
  <c r="W176" i="15"/>
  <c r="U176" i="15"/>
  <c r="S176" i="15"/>
  <c r="Q176" i="15"/>
  <c r="M176" i="15"/>
  <c r="AN175" i="15"/>
  <c r="AK175" i="15"/>
  <c r="Z175" i="15"/>
  <c r="X175" i="15"/>
  <c r="W175" i="15"/>
  <c r="U175" i="15"/>
  <c r="S175" i="15"/>
  <c r="Q175" i="15"/>
  <c r="M175" i="15"/>
  <c r="AN174" i="15"/>
  <c r="AK174" i="15"/>
  <c r="Z174" i="15"/>
  <c r="X174" i="15"/>
  <c r="W174" i="15"/>
  <c r="U174" i="15"/>
  <c r="S174" i="15"/>
  <c r="Q174" i="15"/>
  <c r="M174" i="15"/>
  <c r="AN173" i="15"/>
  <c r="AK173" i="15"/>
  <c r="Z173" i="15"/>
  <c r="X173" i="15"/>
  <c r="W173" i="15"/>
  <c r="U173" i="15"/>
  <c r="S173" i="15"/>
  <c r="Q173" i="15"/>
  <c r="M173" i="15"/>
  <c r="AN172" i="15"/>
  <c r="AK172" i="15"/>
  <c r="Z172" i="15"/>
  <c r="X172" i="15"/>
  <c r="W172" i="15"/>
  <c r="U172" i="15"/>
  <c r="S172" i="15"/>
  <c r="Q172" i="15"/>
  <c r="M172" i="15"/>
  <c r="AN171" i="15"/>
  <c r="AK171" i="15"/>
  <c r="Z171" i="15"/>
  <c r="X171" i="15"/>
  <c r="W171" i="15"/>
  <c r="U171" i="15"/>
  <c r="S171" i="15"/>
  <c r="Q171" i="15"/>
  <c r="M171" i="15"/>
  <c r="AN170" i="15"/>
  <c r="AK170" i="15"/>
  <c r="Z170" i="15"/>
  <c r="X170" i="15"/>
  <c r="W170" i="15"/>
  <c r="U170" i="15"/>
  <c r="S170" i="15"/>
  <c r="Q170" i="15"/>
  <c r="M170" i="15"/>
  <c r="AN169" i="15"/>
  <c r="AK169" i="15"/>
  <c r="Z169" i="15"/>
  <c r="X169" i="15"/>
  <c r="W169" i="15"/>
  <c r="U169" i="15"/>
  <c r="S169" i="15"/>
  <c r="Q169" i="15"/>
  <c r="M169" i="15"/>
  <c r="AN168" i="15"/>
  <c r="AK168" i="15"/>
  <c r="Z168" i="15"/>
  <c r="X168" i="15"/>
  <c r="W168" i="15"/>
  <c r="U168" i="15"/>
  <c r="S168" i="15"/>
  <c r="Q168" i="15"/>
  <c r="M168" i="15"/>
  <c r="AN167" i="15"/>
  <c r="AK167" i="15"/>
  <c r="Z167" i="15"/>
  <c r="X167" i="15"/>
  <c r="W167" i="15"/>
  <c r="U167" i="15"/>
  <c r="S167" i="15"/>
  <c r="Q167" i="15"/>
  <c r="M167" i="15"/>
  <c r="AN166" i="15"/>
  <c r="AK166" i="15"/>
  <c r="Z166" i="15"/>
  <c r="X166" i="15"/>
  <c r="W166" i="15"/>
  <c r="U166" i="15"/>
  <c r="S166" i="15"/>
  <c r="Q166" i="15"/>
  <c r="M166" i="15"/>
  <c r="I166" i="15"/>
  <c r="J166" i="15" s="1"/>
  <c r="E166" i="15"/>
  <c r="F166" i="15" s="1"/>
  <c r="AN165" i="15"/>
  <c r="AK165" i="15"/>
  <c r="Z165" i="15"/>
  <c r="X165" i="15"/>
  <c r="W165" i="15"/>
  <c r="U165" i="15"/>
  <c r="S165" i="15"/>
  <c r="Q165" i="15"/>
  <c r="M165" i="15"/>
  <c r="AN164" i="15"/>
  <c r="AK164" i="15"/>
  <c r="Z164" i="15"/>
  <c r="X164" i="15"/>
  <c r="W164" i="15"/>
  <c r="U164" i="15"/>
  <c r="S164" i="15"/>
  <c r="Q164" i="15"/>
  <c r="M164" i="15"/>
  <c r="AN163" i="15"/>
  <c r="AK163" i="15"/>
  <c r="Z163" i="15"/>
  <c r="X163" i="15"/>
  <c r="W163" i="15"/>
  <c r="U163" i="15"/>
  <c r="S163" i="15"/>
  <c r="Q163" i="15"/>
  <c r="M163" i="15"/>
  <c r="AN162" i="15"/>
  <c r="AK162" i="15"/>
  <c r="Z162" i="15"/>
  <c r="X162" i="15"/>
  <c r="W162" i="15"/>
  <c r="U162" i="15"/>
  <c r="S162" i="15"/>
  <c r="Q162" i="15"/>
  <c r="M162" i="15"/>
  <c r="AN161" i="15"/>
  <c r="AK161" i="15"/>
  <c r="Z161" i="15"/>
  <c r="X161" i="15"/>
  <c r="W161" i="15"/>
  <c r="U161" i="15"/>
  <c r="S161" i="15"/>
  <c r="Q161" i="15"/>
  <c r="M161" i="15"/>
  <c r="AN160" i="15"/>
  <c r="AK160" i="15"/>
  <c r="Z160" i="15"/>
  <c r="X160" i="15"/>
  <c r="W160" i="15"/>
  <c r="U160" i="15"/>
  <c r="S160" i="15"/>
  <c r="Q160" i="15"/>
  <c r="M160" i="15"/>
  <c r="AN159" i="15"/>
  <c r="AK159" i="15"/>
  <c r="Z159" i="15"/>
  <c r="X159" i="15"/>
  <c r="W159" i="15"/>
  <c r="U159" i="15"/>
  <c r="S159" i="15"/>
  <c r="Q159" i="15"/>
  <c r="M159" i="15"/>
  <c r="AN158" i="15"/>
  <c r="AK158" i="15"/>
  <c r="Z158" i="15"/>
  <c r="X158" i="15"/>
  <c r="W158" i="15"/>
  <c r="U158" i="15"/>
  <c r="S158" i="15"/>
  <c r="Q158" i="15"/>
  <c r="M158" i="15"/>
  <c r="AN157" i="15"/>
  <c r="AK157" i="15"/>
  <c r="Z157" i="15"/>
  <c r="X157" i="15"/>
  <c r="W157" i="15"/>
  <c r="U157" i="15"/>
  <c r="S157" i="15"/>
  <c r="Q157" i="15"/>
  <c r="M157" i="15"/>
  <c r="AN156" i="15"/>
  <c r="AK156" i="15"/>
  <c r="Z156" i="15"/>
  <c r="X156" i="15"/>
  <c r="W156" i="15"/>
  <c r="U156" i="15"/>
  <c r="S156" i="15"/>
  <c r="Q156" i="15"/>
  <c r="M156" i="15"/>
  <c r="AN155" i="15"/>
  <c r="AK155" i="15"/>
  <c r="Z155" i="15"/>
  <c r="X155" i="15"/>
  <c r="W155" i="15"/>
  <c r="U155" i="15"/>
  <c r="S155" i="15"/>
  <c r="Q155" i="15"/>
  <c r="M155" i="15"/>
  <c r="I155" i="15"/>
  <c r="J155" i="15" s="1"/>
  <c r="E155" i="15"/>
  <c r="F155" i="15" s="1"/>
  <c r="AN154" i="15"/>
  <c r="AK154" i="15"/>
  <c r="Z154" i="15"/>
  <c r="X154" i="15"/>
  <c r="W154" i="15"/>
  <c r="U154" i="15"/>
  <c r="S154" i="15"/>
  <c r="Q154" i="15"/>
  <c r="M154" i="15"/>
  <c r="AN153" i="15"/>
  <c r="AK153" i="15"/>
  <c r="Z153" i="15"/>
  <c r="X153" i="15"/>
  <c r="W153" i="15"/>
  <c r="U153" i="15"/>
  <c r="S153" i="15"/>
  <c r="Q153" i="15"/>
  <c r="M153" i="15"/>
  <c r="AN152" i="15"/>
  <c r="AK152" i="15"/>
  <c r="Z152" i="15"/>
  <c r="X152" i="15"/>
  <c r="W152" i="15"/>
  <c r="U152" i="15"/>
  <c r="S152" i="15"/>
  <c r="Q152" i="15"/>
  <c r="M152" i="15"/>
  <c r="AN151" i="15"/>
  <c r="AK151" i="15"/>
  <c r="Z151" i="15"/>
  <c r="X151" i="15"/>
  <c r="W151" i="15"/>
  <c r="U151" i="15"/>
  <c r="S151" i="15"/>
  <c r="Q151" i="15"/>
  <c r="M151" i="15"/>
  <c r="AN150" i="15"/>
  <c r="AK150" i="15"/>
  <c r="Z150" i="15"/>
  <c r="X150" i="15"/>
  <c r="W150" i="15"/>
  <c r="U150" i="15"/>
  <c r="S150" i="15"/>
  <c r="Q150" i="15"/>
  <c r="M150" i="15"/>
  <c r="AN149" i="15"/>
  <c r="AK149" i="15"/>
  <c r="Z149" i="15"/>
  <c r="X149" i="15"/>
  <c r="W149" i="15"/>
  <c r="U149" i="15"/>
  <c r="S149" i="15"/>
  <c r="Q149" i="15"/>
  <c r="M149" i="15"/>
  <c r="AN148" i="15"/>
  <c r="AK148" i="15"/>
  <c r="Z148" i="15"/>
  <c r="X148" i="15"/>
  <c r="W148" i="15"/>
  <c r="U148" i="15"/>
  <c r="S148" i="15"/>
  <c r="Q148" i="15"/>
  <c r="M148" i="15"/>
  <c r="AN147" i="15"/>
  <c r="AK147" i="15"/>
  <c r="Z147" i="15"/>
  <c r="X147" i="15"/>
  <c r="W147" i="15"/>
  <c r="U147" i="15"/>
  <c r="S147" i="15"/>
  <c r="Q147" i="15"/>
  <c r="M147" i="15"/>
  <c r="F146" i="15"/>
  <c r="AN145" i="15"/>
  <c r="AK145" i="15"/>
  <c r="Z145" i="15"/>
  <c r="X145" i="15"/>
  <c r="W145" i="15"/>
  <c r="U145" i="15"/>
  <c r="S145" i="15"/>
  <c r="Q145" i="15"/>
  <c r="M145" i="15"/>
  <c r="AN144" i="15"/>
  <c r="AK144" i="15"/>
  <c r="Z144" i="15"/>
  <c r="X144" i="15"/>
  <c r="W144" i="15"/>
  <c r="U144" i="15"/>
  <c r="S144" i="15"/>
  <c r="Q144" i="15"/>
  <c r="M144" i="15"/>
  <c r="AN143" i="15"/>
  <c r="AK143" i="15"/>
  <c r="Z143" i="15"/>
  <c r="X143" i="15"/>
  <c r="W143" i="15"/>
  <c r="U143" i="15"/>
  <c r="S143" i="15"/>
  <c r="Q143" i="15"/>
  <c r="M143" i="15"/>
  <c r="AN142" i="15"/>
  <c r="AK142" i="15"/>
  <c r="Z142" i="15"/>
  <c r="X142" i="15"/>
  <c r="W142" i="15"/>
  <c r="U142" i="15"/>
  <c r="S142" i="15"/>
  <c r="Q142" i="15"/>
  <c r="M142" i="15"/>
  <c r="AN141" i="15"/>
  <c r="AK141" i="15"/>
  <c r="Z141" i="15"/>
  <c r="X141" i="15"/>
  <c r="W141" i="15"/>
  <c r="U141" i="15"/>
  <c r="S141" i="15"/>
  <c r="M141" i="15"/>
  <c r="I141" i="15"/>
  <c r="E141" i="15"/>
  <c r="F141" i="15" s="1"/>
  <c r="AN140" i="15"/>
  <c r="AK140" i="15"/>
  <c r="Z140" i="15"/>
  <c r="X140" i="15"/>
  <c r="W140" i="15"/>
  <c r="U140" i="15"/>
  <c r="S140" i="15"/>
  <c r="Q140" i="15"/>
  <c r="M140" i="15"/>
  <c r="AN139" i="15"/>
  <c r="AK139" i="15"/>
  <c r="Z139" i="15"/>
  <c r="X139" i="15"/>
  <c r="W139" i="15"/>
  <c r="U139" i="15"/>
  <c r="S139" i="15"/>
  <c r="Q139" i="15"/>
  <c r="M139" i="15"/>
  <c r="AN138" i="15"/>
  <c r="Z138" i="15"/>
  <c r="X138" i="15"/>
  <c r="W138" i="15"/>
  <c r="U138" i="15"/>
  <c r="S138" i="15"/>
  <c r="Q138" i="15"/>
  <c r="M138" i="15"/>
  <c r="AN137" i="15"/>
  <c r="AK137" i="15"/>
  <c r="Z137" i="15"/>
  <c r="X137" i="15"/>
  <c r="W137" i="15"/>
  <c r="U137" i="15"/>
  <c r="S137" i="15"/>
  <c r="Q137" i="15"/>
  <c r="M137" i="15"/>
  <c r="AN136" i="15"/>
  <c r="AK136" i="15"/>
  <c r="Z136" i="15"/>
  <c r="X136" i="15"/>
  <c r="W136" i="15"/>
  <c r="U136" i="15"/>
  <c r="S136" i="15"/>
  <c r="Q136" i="15"/>
  <c r="M136" i="15"/>
  <c r="AN135" i="15"/>
  <c r="AK135" i="15"/>
  <c r="Z135" i="15"/>
  <c r="X135" i="15"/>
  <c r="W135" i="15"/>
  <c r="U135" i="15"/>
  <c r="S135" i="15"/>
  <c r="Q135" i="15"/>
  <c r="M135" i="15"/>
  <c r="AN134" i="15"/>
  <c r="AK134" i="15"/>
  <c r="Z134" i="15"/>
  <c r="X134" i="15"/>
  <c r="W134" i="15"/>
  <c r="U134" i="15"/>
  <c r="S134" i="15"/>
  <c r="Q134" i="15"/>
  <c r="M134" i="15"/>
  <c r="I134" i="15"/>
  <c r="J134" i="15" s="1"/>
  <c r="E134" i="15"/>
  <c r="F134" i="15" s="1"/>
  <c r="AN133" i="15"/>
  <c r="AK133" i="15"/>
  <c r="Z133" i="15"/>
  <c r="X133" i="15"/>
  <c r="W133" i="15"/>
  <c r="U133" i="15"/>
  <c r="S133" i="15"/>
  <c r="Q133" i="15"/>
  <c r="M133" i="15"/>
  <c r="I133" i="15"/>
  <c r="J133" i="15" s="1"/>
  <c r="E133" i="15"/>
  <c r="F133" i="15" s="1"/>
  <c r="AN132" i="15"/>
  <c r="AK132" i="15"/>
  <c r="Z132" i="15"/>
  <c r="X132" i="15"/>
  <c r="W132" i="15"/>
  <c r="U132" i="15"/>
  <c r="S132" i="15"/>
  <c r="Q132" i="15"/>
  <c r="M132" i="15"/>
  <c r="AN131" i="15"/>
  <c r="AK131" i="15"/>
  <c r="Z131" i="15"/>
  <c r="X131" i="15"/>
  <c r="W131" i="15"/>
  <c r="U131" i="15"/>
  <c r="S131" i="15"/>
  <c r="Q131" i="15"/>
  <c r="M131" i="15"/>
  <c r="AN130" i="15"/>
  <c r="AK130" i="15"/>
  <c r="Z130" i="15"/>
  <c r="X130" i="15"/>
  <c r="W130" i="15"/>
  <c r="U130" i="15"/>
  <c r="S130" i="15"/>
  <c r="Q130" i="15"/>
  <c r="M130" i="15"/>
  <c r="I130" i="15"/>
  <c r="J130" i="15" s="1"/>
  <c r="E130" i="15"/>
  <c r="F130" i="15" s="1"/>
  <c r="AN129" i="15"/>
  <c r="AK129" i="15"/>
  <c r="Z129" i="15"/>
  <c r="X129" i="15"/>
  <c r="W129" i="15"/>
  <c r="U129" i="15"/>
  <c r="S129" i="15"/>
  <c r="Q129" i="15"/>
  <c r="M129" i="15"/>
  <c r="AN128" i="15"/>
  <c r="AK128" i="15"/>
  <c r="Z128" i="15"/>
  <c r="X128" i="15"/>
  <c r="W128" i="15"/>
  <c r="U128" i="15"/>
  <c r="S128" i="15"/>
  <c r="Q128" i="15"/>
  <c r="M128" i="15"/>
  <c r="AN127" i="15"/>
  <c r="AK127" i="15"/>
  <c r="Z127" i="15"/>
  <c r="X127" i="15"/>
  <c r="W127" i="15"/>
  <c r="U127" i="15"/>
  <c r="S127" i="15"/>
  <c r="Q127" i="15"/>
  <c r="M127" i="15"/>
  <c r="AN126" i="15"/>
  <c r="AK126" i="15"/>
  <c r="Z126" i="15"/>
  <c r="X126" i="15"/>
  <c r="W126" i="15"/>
  <c r="U126" i="15"/>
  <c r="S126" i="15"/>
  <c r="Q126" i="15"/>
  <c r="M126" i="15"/>
  <c r="AN125" i="15"/>
  <c r="AK125" i="15"/>
  <c r="Z125" i="15"/>
  <c r="X125" i="15"/>
  <c r="W125" i="15"/>
  <c r="U125" i="15"/>
  <c r="S125" i="15"/>
  <c r="Q125" i="15"/>
  <c r="M125" i="15"/>
  <c r="I125" i="15"/>
  <c r="J125" i="15" s="1"/>
  <c r="E125" i="15"/>
  <c r="F125" i="15" s="1"/>
  <c r="AN124" i="15"/>
  <c r="AK124" i="15"/>
  <c r="Z124" i="15"/>
  <c r="X124" i="15"/>
  <c r="W124" i="15"/>
  <c r="U124" i="15"/>
  <c r="S124" i="15"/>
  <c r="Q124" i="15"/>
  <c r="M124" i="15"/>
  <c r="AN123" i="15"/>
  <c r="AK123" i="15"/>
  <c r="Z123" i="15"/>
  <c r="X123" i="15"/>
  <c r="W123" i="15"/>
  <c r="U123" i="15"/>
  <c r="S123" i="15"/>
  <c r="Q123" i="15"/>
  <c r="M123" i="15"/>
  <c r="AN122" i="15"/>
  <c r="AK122" i="15"/>
  <c r="Z122" i="15"/>
  <c r="X122" i="15"/>
  <c r="W122" i="15"/>
  <c r="U122" i="15"/>
  <c r="S122" i="15"/>
  <c r="Q122" i="15"/>
  <c r="M122" i="15"/>
  <c r="AN121" i="15"/>
  <c r="AK121" i="15"/>
  <c r="Z121" i="15"/>
  <c r="X121" i="15"/>
  <c r="W121" i="15"/>
  <c r="U121" i="15"/>
  <c r="S121" i="15"/>
  <c r="Q121" i="15"/>
  <c r="M121" i="15"/>
  <c r="AN120" i="15"/>
  <c r="AK120" i="15"/>
  <c r="Z120" i="15"/>
  <c r="X120" i="15"/>
  <c r="W120" i="15"/>
  <c r="U120" i="15"/>
  <c r="S120" i="15"/>
  <c r="Q120" i="15"/>
  <c r="M120" i="15"/>
  <c r="AN119" i="15"/>
  <c r="AK119" i="15"/>
  <c r="Z119" i="15"/>
  <c r="X119" i="15"/>
  <c r="W119" i="15"/>
  <c r="U119" i="15"/>
  <c r="S119" i="15"/>
  <c r="Q119" i="15"/>
  <c r="M119" i="15"/>
  <c r="AN118" i="15"/>
  <c r="AK118" i="15"/>
  <c r="Z118" i="15"/>
  <c r="X118" i="15"/>
  <c r="W118" i="15"/>
  <c r="U118" i="15"/>
  <c r="S118" i="15"/>
  <c r="Q118" i="15"/>
  <c r="M118" i="15"/>
  <c r="AN117" i="15"/>
  <c r="AK117" i="15"/>
  <c r="Z117" i="15"/>
  <c r="X117" i="15"/>
  <c r="W117" i="15"/>
  <c r="U117" i="15"/>
  <c r="S117" i="15"/>
  <c r="Q117" i="15"/>
  <c r="M117" i="15"/>
  <c r="AN116" i="15"/>
  <c r="AK116" i="15"/>
  <c r="Z116" i="15"/>
  <c r="X116" i="15"/>
  <c r="W116" i="15"/>
  <c r="U116" i="15"/>
  <c r="S116" i="15"/>
  <c r="Q116" i="15"/>
  <c r="M116" i="15"/>
  <c r="AN115" i="15"/>
  <c r="AK115" i="15"/>
  <c r="Z115" i="15"/>
  <c r="X115" i="15"/>
  <c r="W115" i="15"/>
  <c r="U115" i="15"/>
  <c r="S115" i="15"/>
  <c r="Q115" i="15"/>
  <c r="M115" i="15"/>
  <c r="AN114" i="15"/>
  <c r="AK114" i="15"/>
  <c r="Z114" i="15"/>
  <c r="X114" i="15"/>
  <c r="W114" i="15"/>
  <c r="U114" i="15"/>
  <c r="S114" i="15"/>
  <c r="Q114" i="15"/>
  <c r="M114" i="15"/>
  <c r="AN113" i="15"/>
  <c r="AK113" i="15"/>
  <c r="Z113" i="15"/>
  <c r="X113" i="15"/>
  <c r="W113" i="15"/>
  <c r="U113" i="15"/>
  <c r="S113" i="15"/>
  <c r="Q113" i="15"/>
  <c r="M113" i="15"/>
  <c r="AN112" i="15"/>
  <c r="AK112" i="15"/>
  <c r="Z112" i="15"/>
  <c r="X112" i="15"/>
  <c r="W112" i="15"/>
  <c r="U112" i="15"/>
  <c r="S112" i="15"/>
  <c r="Q112" i="15"/>
  <c r="M112" i="15"/>
  <c r="AN111" i="15"/>
  <c r="AK111" i="15"/>
  <c r="Z111" i="15"/>
  <c r="X111" i="15"/>
  <c r="W111" i="15"/>
  <c r="U111" i="15"/>
  <c r="S111" i="15"/>
  <c r="Q111" i="15"/>
  <c r="M111" i="15"/>
  <c r="AN110" i="15"/>
  <c r="AK110" i="15"/>
  <c r="Z110" i="15"/>
  <c r="X110" i="15"/>
  <c r="W110" i="15"/>
  <c r="U110" i="15"/>
  <c r="S110" i="15"/>
  <c r="Q110" i="15"/>
  <c r="M110" i="15"/>
  <c r="AN109" i="15"/>
  <c r="AK109" i="15"/>
  <c r="Z109" i="15"/>
  <c r="X109" i="15"/>
  <c r="W109" i="15"/>
  <c r="U109" i="15"/>
  <c r="S109" i="15"/>
  <c r="Q109" i="15"/>
  <c r="M109" i="15"/>
  <c r="AN108" i="15"/>
  <c r="AK108" i="15"/>
  <c r="Z108" i="15"/>
  <c r="X108" i="15"/>
  <c r="W108" i="15"/>
  <c r="U108" i="15"/>
  <c r="S108" i="15"/>
  <c r="Q108" i="15"/>
  <c r="M108" i="15"/>
  <c r="AN107" i="15"/>
  <c r="AK107" i="15"/>
  <c r="Z107" i="15"/>
  <c r="X107" i="15"/>
  <c r="W107" i="15"/>
  <c r="U107" i="15"/>
  <c r="S107" i="15"/>
  <c r="Q107" i="15"/>
  <c r="M107" i="15"/>
  <c r="AN106" i="15"/>
  <c r="AK106" i="15"/>
  <c r="Z106" i="15"/>
  <c r="X106" i="15"/>
  <c r="W106" i="15"/>
  <c r="U106" i="15"/>
  <c r="S106" i="15"/>
  <c r="Q106" i="15"/>
  <c r="M106" i="15"/>
  <c r="AN105" i="15"/>
  <c r="AK105" i="15"/>
  <c r="Z105" i="15"/>
  <c r="X105" i="15"/>
  <c r="W105" i="15"/>
  <c r="U105" i="15"/>
  <c r="S105" i="15"/>
  <c r="Q105" i="15"/>
  <c r="M105" i="15"/>
  <c r="AN104" i="15"/>
  <c r="AK104" i="15"/>
  <c r="Z104" i="15"/>
  <c r="X104" i="15"/>
  <c r="W104" i="15"/>
  <c r="U104" i="15"/>
  <c r="S104" i="15"/>
  <c r="Q104" i="15"/>
  <c r="M104" i="15"/>
  <c r="AN103" i="15"/>
  <c r="AK103" i="15"/>
  <c r="Z103" i="15"/>
  <c r="X103" i="15"/>
  <c r="W103" i="15"/>
  <c r="U103" i="15"/>
  <c r="S103" i="15"/>
  <c r="Q103" i="15"/>
  <c r="M103" i="15"/>
  <c r="AN102" i="15"/>
  <c r="AK102" i="15"/>
  <c r="Z102" i="15"/>
  <c r="X102" i="15"/>
  <c r="W102" i="15"/>
  <c r="U102" i="15"/>
  <c r="S102" i="15"/>
  <c r="Q102" i="15"/>
  <c r="M102" i="15"/>
  <c r="AN101" i="15"/>
  <c r="AK101" i="15"/>
  <c r="Z101" i="15"/>
  <c r="X101" i="15"/>
  <c r="W101" i="15"/>
  <c r="U101" i="15"/>
  <c r="S101" i="15"/>
  <c r="Q101" i="15"/>
  <c r="M101" i="15"/>
  <c r="AN100" i="15"/>
  <c r="AK100" i="15"/>
  <c r="Z100" i="15"/>
  <c r="X100" i="15"/>
  <c r="W100" i="15"/>
  <c r="U100" i="15"/>
  <c r="S100" i="15"/>
  <c r="Q100" i="15"/>
  <c r="M100" i="15"/>
  <c r="I100" i="15"/>
  <c r="J100" i="15" s="1"/>
  <c r="E100" i="15"/>
  <c r="F100" i="15" s="1"/>
  <c r="AN99" i="15"/>
  <c r="AK99" i="15"/>
  <c r="Z99" i="15"/>
  <c r="X99" i="15"/>
  <c r="W99" i="15"/>
  <c r="U99" i="15"/>
  <c r="S99" i="15"/>
  <c r="Q99" i="15"/>
  <c r="M99" i="15"/>
  <c r="AN98" i="15"/>
  <c r="AK98" i="15"/>
  <c r="Z98" i="15"/>
  <c r="X98" i="15"/>
  <c r="W98" i="15"/>
  <c r="U98" i="15"/>
  <c r="S98" i="15"/>
  <c r="Q98" i="15"/>
  <c r="M98" i="15"/>
  <c r="I98" i="15"/>
  <c r="J98" i="15" s="1"/>
  <c r="E98" i="15"/>
  <c r="F98" i="15" s="1"/>
  <c r="AN97" i="15"/>
  <c r="AK97" i="15"/>
  <c r="Z97" i="15"/>
  <c r="X97" i="15"/>
  <c r="W97" i="15"/>
  <c r="U97" i="15"/>
  <c r="S97" i="15"/>
  <c r="Q97" i="15"/>
  <c r="M97" i="15"/>
  <c r="AN96" i="15"/>
  <c r="AK96" i="15"/>
  <c r="Z96" i="15"/>
  <c r="X96" i="15"/>
  <c r="W96" i="15"/>
  <c r="U96" i="15"/>
  <c r="S96" i="15"/>
  <c r="Q96" i="15"/>
  <c r="M96" i="15"/>
  <c r="AN95" i="15"/>
  <c r="AK95" i="15"/>
  <c r="Z95" i="15"/>
  <c r="X95" i="15"/>
  <c r="W95" i="15"/>
  <c r="U95" i="15"/>
  <c r="S95" i="15"/>
  <c r="Q95" i="15"/>
  <c r="M95" i="15"/>
  <c r="AN94" i="15"/>
  <c r="AK94" i="15"/>
  <c r="Z94" i="15"/>
  <c r="X94" i="15"/>
  <c r="W94" i="15"/>
  <c r="U94" i="15"/>
  <c r="S94" i="15"/>
  <c r="Q94" i="15"/>
  <c r="M94" i="15"/>
  <c r="AN93" i="15"/>
  <c r="AK93" i="15"/>
  <c r="Z93" i="15"/>
  <c r="X93" i="15"/>
  <c r="W93" i="15"/>
  <c r="U93" i="15"/>
  <c r="S93" i="15"/>
  <c r="Q93" i="15"/>
  <c r="M93" i="15"/>
  <c r="I93" i="15"/>
  <c r="J93" i="15" s="1"/>
  <c r="E93" i="15"/>
  <c r="F93" i="15" s="1"/>
  <c r="AN92" i="15"/>
  <c r="AK92" i="15"/>
  <c r="Z92" i="15"/>
  <c r="X92" i="15"/>
  <c r="W92" i="15"/>
  <c r="U92" i="15"/>
  <c r="S92" i="15"/>
  <c r="Q92" i="15"/>
  <c r="M92" i="15"/>
  <c r="I92" i="15"/>
  <c r="J92" i="15" s="1"/>
  <c r="E92" i="15"/>
  <c r="F92" i="15" s="1"/>
  <c r="AN91" i="15"/>
  <c r="AK91" i="15"/>
  <c r="Z91" i="15"/>
  <c r="X91" i="15"/>
  <c r="W91" i="15"/>
  <c r="U91" i="15"/>
  <c r="S91" i="15"/>
  <c r="Q91" i="15"/>
  <c r="M91" i="15"/>
  <c r="AN90" i="15"/>
  <c r="AK90" i="15"/>
  <c r="Z90" i="15"/>
  <c r="X90" i="15"/>
  <c r="W90" i="15"/>
  <c r="U90" i="15"/>
  <c r="S90" i="15"/>
  <c r="Q90" i="15"/>
  <c r="M90" i="15"/>
  <c r="I90" i="15"/>
  <c r="J90" i="15" s="1"/>
  <c r="E90" i="15"/>
  <c r="F90" i="15" s="1"/>
  <c r="AN89" i="15"/>
  <c r="AK89" i="15"/>
  <c r="Z89" i="15"/>
  <c r="X89" i="15"/>
  <c r="W89" i="15"/>
  <c r="U89" i="15"/>
  <c r="S89" i="15"/>
  <c r="Q89" i="15"/>
  <c r="M89" i="15"/>
  <c r="AN88" i="15"/>
  <c r="AK88" i="15"/>
  <c r="Z88" i="15"/>
  <c r="X88" i="15"/>
  <c r="W88" i="15"/>
  <c r="U88" i="15"/>
  <c r="S88" i="15"/>
  <c r="Q88" i="15"/>
  <c r="M88" i="15"/>
  <c r="I88" i="15"/>
  <c r="J88" i="15" s="1"/>
  <c r="E88" i="15"/>
  <c r="F88" i="15" s="1"/>
  <c r="AN87" i="15"/>
  <c r="AK87" i="15"/>
  <c r="Z87" i="15"/>
  <c r="X87" i="15"/>
  <c r="W87" i="15"/>
  <c r="U87" i="15"/>
  <c r="S87" i="15"/>
  <c r="Q87" i="15"/>
  <c r="M87" i="15"/>
  <c r="AN86" i="15"/>
  <c r="AK86" i="15"/>
  <c r="Z86" i="15"/>
  <c r="X86" i="15"/>
  <c r="W86" i="15"/>
  <c r="U86" i="15"/>
  <c r="S86" i="15"/>
  <c r="Q86" i="15"/>
  <c r="M86" i="15"/>
  <c r="AN85" i="15"/>
  <c r="AK85" i="15"/>
  <c r="Z85" i="15"/>
  <c r="X85" i="15"/>
  <c r="W85" i="15"/>
  <c r="U85" i="15"/>
  <c r="S85" i="15"/>
  <c r="Q85" i="15"/>
  <c r="M85" i="15"/>
  <c r="AN84" i="15"/>
  <c r="AK84" i="15"/>
  <c r="Z84" i="15"/>
  <c r="X84" i="15"/>
  <c r="W84" i="15"/>
  <c r="U84" i="15"/>
  <c r="S84" i="15"/>
  <c r="Q84" i="15"/>
  <c r="M84" i="15"/>
  <c r="AN83" i="15"/>
  <c r="AK83" i="15"/>
  <c r="Z83" i="15"/>
  <c r="X83" i="15"/>
  <c r="W83" i="15"/>
  <c r="U83" i="15"/>
  <c r="S83" i="15"/>
  <c r="Q83" i="15"/>
  <c r="M83" i="15"/>
  <c r="AN82" i="15"/>
  <c r="AK82" i="15"/>
  <c r="Z82" i="15"/>
  <c r="X82" i="15"/>
  <c r="W82" i="15"/>
  <c r="U82" i="15"/>
  <c r="S82" i="15"/>
  <c r="Q82" i="15"/>
  <c r="M82" i="15"/>
  <c r="AN81" i="15"/>
  <c r="AK81" i="15"/>
  <c r="Z81" i="15"/>
  <c r="X81" i="15"/>
  <c r="W81" i="15"/>
  <c r="U81" i="15"/>
  <c r="S81" i="15"/>
  <c r="Q81" i="15"/>
  <c r="M81" i="15"/>
  <c r="AN80" i="15"/>
  <c r="AK80" i="15"/>
  <c r="Z80" i="15"/>
  <c r="X80" i="15"/>
  <c r="W80" i="15"/>
  <c r="U80" i="15"/>
  <c r="S80" i="15"/>
  <c r="Q80" i="15"/>
  <c r="M80" i="15"/>
  <c r="AN79" i="15"/>
  <c r="AK79" i="15"/>
  <c r="Z79" i="15"/>
  <c r="X79" i="15"/>
  <c r="W79" i="15"/>
  <c r="U79" i="15"/>
  <c r="S79" i="15"/>
  <c r="Q79" i="15"/>
  <c r="M79" i="15"/>
  <c r="F78" i="15"/>
  <c r="AN77" i="15"/>
  <c r="AK77" i="15"/>
  <c r="AE77" i="15"/>
  <c r="AD77" i="15"/>
  <c r="AC77" i="15"/>
  <c r="AB77" i="15"/>
  <c r="AA77" i="15"/>
  <c r="Y77" i="15"/>
  <c r="Z77" i="15" s="1"/>
  <c r="V77" i="15"/>
  <c r="X77" i="15" s="1"/>
  <c r="U77" i="15"/>
  <c r="S77" i="15"/>
  <c r="N77" i="15"/>
  <c r="K77" i="15"/>
  <c r="M77" i="15" s="1"/>
  <c r="C77" i="15"/>
  <c r="AN76" i="15"/>
  <c r="AK76" i="15"/>
  <c r="Z76" i="15"/>
  <c r="X76" i="15"/>
  <c r="W76" i="15"/>
  <c r="U76" i="15"/>
  <c r="S76" i="15"/>
  <c r="Q76" i="15"/>
  <c r="M76" i="15"/>
  <c r="I76" i="15"/>
  <c r="J76" i="15" s="1"/>
  <c r="E76" i="15"/>
  <c r="F76" i="15" s="1"/>
  <c r="AN75" i="15"/>
  <c r="AK75" i="15"/>
  <c r="Z75" i="15"/>
  <c r="X75" i="15"/>
  <c r="W75" i="15"/>
  <c r="U75" i="15"/>
  <c r="S75" i="15"/>
  <c r="Q75" i="15"/>
  <c r="M75" i="15"/>
  <c r="I75" i="15"/>
  <c r="J75" i="15" s="1"/>
  <c r="E75" i="15"/>
  <c r="F75" i="15" s="1"/>
  <c r="AN74" i="15"/>
  <c r="AK74" i="15"/>
  <c r="Z74" i="15"/>
  <c r="X74" i="15"/>
  <c r="W74" i="15"/>
  <c r="U74" i="15"/>
  <c r="S74" i="15"/>
  <c r="Q74" i="15"/>
  <c r="M74" i="15"/>
  <c r="I74" i="15"/>
  <c r="J74" i="15" s="1"/>
  <c r="E74" i="15"/>
  <c r="F74" i="15" s="1"/>
  <c r="AN73" i="15"/>
  <c r="AK73" i="15"/>
  <c r="Z73" i="15"/>
  <c r="X73" i="15"/>
  <c r="W73" i="15"/>
  <c r="U73" i="15"/>
  <c r="S73" i="15"/>
  <c r="Q73" i="15"/>
  <c r="M73" i="15"/>
  <c r="AN72" i="15"/>
  <c r="AK72" i="15"/>
  <c r="Z72" i="15"/>
  <c r="X72" i="15"/>
  <c r="W72" i="15"/>
  <c r="U72" i="15"/>
  <c r="S72" i="15"/>
  <c r="Q72" i="15"/>
  <c r="M72" i="15"/>
  <c r="I72" i="15"/>
  <c r="J72" i="15" s="1"/>
  <c r="E72" i="15"/>
  <c r="F72" i="15" s="1"/>
  <c r="AN71" i="15"/>
  <c r="AK71" i="15"/>
  <c r="Z71" i="15"/>
  <c r="X71" i="15"/>
  <c r="W71" i="15"/>
  <c r="U71" i="15"/>
  <c r="S71" i="15"/>
  <c r="Q71" i="15"/>
  <c r="M71" i="15"/>
  <c r="AN70" i="15"/>
  <c r="AK70" i="15"/>
  <c r="Z70" i="15"/>
  <c r="X70" i="15"/>
  <c r="W70" i="15"/>
  <c r="U70" i="15"/>
  <c r="S70" i="15"/>
  <c r="Q70" i="15"/>
  <c r="M70" i="15"/>
  <c r="AN69" i="15"/>
  <c r="AK69" i="15"/>
  <c r="Z69" i="15"/>
  <c r="X69" i="15"/>
  <c r="W69" i="15"/>
  <c r="U69" i="15"/>
  <c r="S69" i="15"/>
  <c r="Q69" i="15"/>
  <c r="M69" i="15"/>
  <c r="AN68" i="15"/>
  <c r="AK68" i="15"/>
  <c r="Z68" i="15"/>
  <c r="X68" i="15"/>
  <c r="W68" i="15"/>
  <c r="U68" i="15"/>
  <c r="S68" i="15"/>
  <c r="Q68" i="15"/>
  <c r="M68" i="15"/>
  <c r="I68" i="15"/>
  <c r="J68" i="15" s="1"/>
  <c r="E68" i="15"/>
  <c r="F68" i="15" s="1"/>
  <c r="AN67" i="15"/>
  <c r="AK67" i="15"/>
  <c r="Z67" i="15"/>
  <c r="X67" i="15"/>
  <c r="W67" i="15"/>
  <c r="U67" i="15"/>
  <c r="S67" i="15"/>
  <c r="Q67" i="15"/>
  <c r="M67" i="15"/>
  <c r="AN66" i="15"/>
  <c r="AK66" i="15"/>
  <c r="Z66" i="15"/>
  <c r="X66" i="15"/>
  <c r="W66" i="15"/>
  <c r="U66" i="15"/>
  <c r="S66" i="15"/>
  <c r="Q66" i="15"/>
  <c r="M66" i="15"/>
  <c r="AN65" i="15"/>
  <c r="AK65" i="15"/>
  <c r="Z65" i="15"/>
  <c r="X65" i="15"/>
  <c r="W65" i="15"/>
  <c r="U65" i="15"/>
  <c r="S65" i="15"/>
  <c r="Q65" i="15"/>
  <c r="M65" i="15"/>
  <c r="AN64" i="15"/>
  <c r="AK64" i="15"/>
  <c r="Z64" i="15"/>
  <c r="X64" i="15"/>
  <c r="W64" i="15"/>
  <c r="U64" i="15"/>
  <c r="S64" i="15"/>
  <c r="Q64" i="15"/>
  <c r="M64" i="15"/>
  <c r="AN63" i="15"/>
  <c r="AK63" i="15"/>
  <c r="Z63" i="15"/>
  <c r="X63" i="15"/>
  <c r="W63" i="15"/>
  <c r="U63" i="15"/>
  <c r="S63" i="15"/>
  <c r="Q63" i="15"/>
  <c r="M63" i="15"/>
  <c r="AN62" i="15"/>
  <c r="AK62" i="15"/>
  <c r="Z62" i="15"/>
  <c r="X62" i="15"/>
  <c r="W62" i="15"/>
  <c r="U62" i="15"/>
  <c r="S62" i="15"/>
  <c r="Q62" i="15"/>
  <c r="M62" i="15"/>
  <c r="AN61" i="15"/>
  <c r="AK61" i="15"/>
  <c r="Z61" i="15"/>
  <c r="X61" i="15"/>
  <c r="W61" i="15"/>
  <c r="W77" i="15" s="1"/>
  <c r="U61" i="15"/>
  <c r="S61" i="15"/>
  <c r="Q61" i="15"/>
  <c r="M61" i="15"/>
  <c r="AN60" i="15"/>
  <c r="AK60" i="15"/>
  <c r="Z60" i="15"/>
  <c r="X60" i="15"/>
  <c r="W60" i="15"/>
  <c r="U60" i="15"/>
  <c r="S60" i="15"/>
  <c r="Q60" i="15"/>
  <c r="M60" i="15"/>
  <c r="I60" i="15"/>
  <c r="J60" i="15" s="1"/>
  <c r="E60" i="15"/>
  <c r="F60" i="15" s="1"/>
  <c r="AN59" i="15"/>
  <c r="AK59" i="15"/>
  <c r="Z59" i="15"/>
  <c r="X59" i="15"/>
  <c r="W59" i="15"/>
  <c r="U59" i="15"/>
  <c r="S59" i="15"/>
  <c r="Q59" i="15"/>
  <c r="M59" i="15"/>
  <c r="I59" i="15"/>
  <c r="J59" i="15" s="1"/>
  <c r="E59" i="15"/>
  <c r="F59" i="15" s="1"/>
  <c r="AN58" i="15"/>
  <c r="AK58" i="15"/>
  <c r="Z58" i="15"/>
  <c r="X58" i="15"/>
  <c r="W58" i="15"/>
  <c r="U58" i="15"/>
  <c r="S58" i="15"/>
  <c r="Q58" i="15"/>
  <c r="M58" i="15"/>
  <c r="AN57" i="15"/>
  <c r="AK57" i="15"/>
  <c r="Z57" i="15"/>
  <c r="X57" i="15"/>
  <c r="W57" i="15"/>
  <c r="U57" i="15"/>
  <c r="S57" i="15"/>
  <c r="Q57" i="15"/>
  <c r="M57" i="15"/>
  <c r="AN56" i="15"/>
  <c r="AK56" i="15"/>
  <c r="Z56" i="15"/>
  <c r="X56" i="15"/>
  <c r="W56" i="15"/>
  <c r="U56" i="15"/>
  <c r="S56" i="15"/>
  <c r="Q56" i="15"/>
  <c r="M56" i="15"/>
  <c r="AN55" i="15"/>
  <c r="AK55" i="15"/>
  <c r="Z55" i="15"/>
  <c r="X55" i="15"/>
  <c r="W55" i="15"/>
  <c r="U55" i="15"/>
  <c r="S55" i="15"/>
  <c r="Q55" i="15"/>
  <c r="M55" i="15"/>
  <c r="AN54" i="15"/>
  <c r="AK54" i="15"/>
  <c r="Z54" i="15"/>
  <c r="X54" i="15"/>
  <c r="W54" i="15"/>
  <c r="U54" i="15"/>
  <c r="S54" i="15"/>
  <c r="Q54" i="15"/>
  <c r="M54" i="15"/>
  <c r="I54" i="15"/>
  <c r="J54" i="15" s="1"/>
  <c r="E54" i="15"/>
  <c r="F54" i="15" s="1"/>
  <c r="AN53" i="15"/>
  <c r="AK53" i="15"/>
  <c r="Z53" i="15"/>
  <c r="X53" i="15"/>
  <c r="W53" i="15"/>
  <c r="U53" i="15"/>
  <c r="S53" i="15"/>
  <c r="Q53" i="15"/>
  <c r="M53" i="15"/>
  <c r="F52" i="15"/>
  <c r="AN51" i="15"/>
  <c r="AK51" i="15"/>
  <c r="Z51" i="15"/>
  <c r="X51" i="15"/>
  <c r="W51" i="15"/>
  <c r="U51" i="15"/>
  <c r="S51" i="15"/>
  <c r="Q51" i="15"/>
  <c r="M51" i="15"/>
  <c r="I51" i="15"/>
  <c r="J51" i="15" s="1"/>
  <c r="E51" i="15"/>
  <c r="F51" i="15" s="1"/>
  <c r="AN50" i="15"/>
  <c r="AK50" i="15"/>
  <c r="Z50" i="15"/>
  <c r="X50" i="15"/>
  <c r="W50" i="15"/>
  <c r="U50" i="15"/>
  <c r="S50" i="15"/>
  <c r="Q50" i="15"/>
  <c r="M50" i="15"/>
  <c r="AN49" i="15"/>
  <c r="AK49" i="15"/>
  <c r="Z49" i="15"/>
  <c r="X49" i="15"/>
  <c r="W49" i="15"/>
  <c r="U49" i="15"/>
  <c r="S49" i="15"/>
  <c r="Q49" i="15"/>
  <c r="M49" i="15"/>
  <c r="AN48" i="15"/>
  <c r="AK48" i="15"/>
  <c r="Z48" i="15"/>
  <c r="X48" i="15"/>
  <c r="W48" i="15"/>
  <c r="U48" i="15"/>
  <c r="S48" i="15"/>
  <c r="Q48" i="15"/>
  <c r="M48" i="15"/>
  <c r="I48" i="15"/>
  <c r="J48" i="15" s="1"/>
  <c r="E48" i="15"/>
  <c r="F48" i="15" s="1"/>
  <c r="AN47" i="15"/>
  <c r="AK47" i="15"/>
  <c r="Z47" i="15"/>
  <c r="X47" i="15"/>
  <c r="W47" i="15"/>
  <c r="U47" i="15"/>
  <c r="S47" i="15"/>
  <c r="Q47" i="15"/>
  <c r="M47" i="15"/>
  <c r="I47" i="15"/>
  <c r="J47" i="15" s="1"/>
  <c r="E47" i="15"/>
  <c r="F47" i="15" s="1"/>
  <c r="F46" i="15"/>
  <c r="AK45" i="15"/>
  <c r="Z45" i="15"/>
  <c r="X45" i="15"/>
  <c r="W45" i="15"/>
  <c r="U45" i="15"/>
  <c r="S45" i="15"/>
  <c r="Q45" i="15"/>
  <c r="M45" i="15"/>
  <c r="I45" i="15"/>
  <c r="F45" i="15"/>
  <c r="E45" i="15"/>
  <c r="AK44" i="15"/>
  <c r="Z44" i="15"/>
  <c r="X44" i="15"/>
  <c r="W44" i="15"/>
  <c r="U44" i="15"/>
  <c r="S44" i="15"/>
  <c r="Q44" i="15"/>
  <c r="M44" i="15"/>
  <c r="I44" i="15"/>
  <c r="J44" i="15" s="1"/>
  <c r="F44" i="15"/>
  <c r="E44" i="15"/>
  <c r="AK43" i="15"/>
  <c r="Z43" i="15"/>
  <c r="X43" i="15"/>
  <c r="W43" i="15"/>
  <c r="U43" i="15"/>
  <c r="S43" i="15"/>
  <c r="Q43" i="15"/>
  <c r="M43" i="15"/>
  <c r="I43" i="15"/>
  <c r="J43" i="15" s="1"/>
  <c r="F43" i="15"/>
  <c r="E43" i="15"/>
  <c r="AK42" i="15"/>
  <c r="Z42" i="15"/>
  <c r="X42" i="15"/>
  <c r="W42" i="15"/>
  <c r="U42" i="15"/>
  <c r="S42" i="15"/>
  <c r="Q42" i="15"/>
  <c r="M42" i="15"/>
  <c r="I42" i="15"/>
  <c r="F42" i="15"/>
  <c r="E42" i="15"/>
  <c r="AK41" i="15"/>
  <c r="Z41" i="15"/>
  <c r="X41" i="15"/>
  <c r="W41" i="15"/>
  <c r="U41" i="15"/>
  <c r="S41" i="15"/>
  <c r="Q41" i="15"/>
  <c r="M41" i="15"/>
  <c r="I41" i="15"/>
  <c r="F41" i="15"/>
  <c r="E41" i="15"/>
  <c r="AK40" i="15"/>
  <c r="Z40" i="15"/>
  <c r="X40" i="15"/>
  <c r="W40" i="15"/>
  <c r="U40" i="15"/>
  <c r="S40" i="15"/>
  <c r="Q40" i="15"/>
  <c r="M40" i="15"/>
  <c r="I40" i="15"/>
  <c r="F40" i="15"/>
  <c r="E40" i="15"/>
  <c r="AK39" i="15"/>
  <c r="Z39" i="15"/>
  <c r="X39" i="15"/>
  <c r="W39" i="15"/>
  <c r="U39" i="15"/>
  <c r="S39" i="15"/>
  <c r="Q39" i="15"/>
  <c r="M39" i="15"/>
  <c r="I39" i="15"/>
  <c r="F39" i="15"/>
  <c r="E39" i="15"/>
  <c r="AK38" i="15"/>
  <c r="Z38" i="15"/>
  <c r="X38" i="15"/>
  <c r="W38" i="15"/>
  <c r="U38" i="15"/>
  <c r="S38" i="15"/>
  <c r="Q38" i="15"/>
  <c r="M38" i="15"/>
  <c r="I38" i="15"/>
  <c r="J38" i="15" s="1"/>
  <c r="F38" i="15"/>
  <c r="E38" i="15"/>
  <c r="AK37" i="15"/>
  <c r="Z37" i="15"/>
  <c r="X37" i="15"/>
  <c r="W37" i="15"/>
  <c r="U37" i="15"/>
  <c r="S37" i="15"/>
  <c r="Q37" i="15"/>
  <c r="M37" i="15"/>
  <c r="I37" i="15"/>
  <c r="J37" i="15" s="1"/>
  <c r="F37" i="15"/>
  <c r="E37" i="15"/>
  <c r="AK36" i="15"/>
  <c r="Z36" i="15"/>
  <c r="X36" i="15"/>
  <c r="W36" i="15"/>
  <c r="U36" i="15"/>
  <c r="S36" i="15"/>
  <c r="Q36" i="15"/>
  <c r="M36" i="15"/>
  <c r="I36" i="15"/>
  <c r="F36" i="15"/>
  <c r="E36" i="15"/>
  <c r="AK35" i="15"/>
  <c r="Z35" i="15"/>
  <c r="X35" i="15"/>
  <c r="W35" i="15"/>
  <c r="U35" i="15"/>
  <c r="S35" i="15"/>
  <c r="Q35" i="15"/>
  <c r="M35" i="15"/>
  <c r="I35" i="15"/>
  <c r="J35" i="15" s="1"/>
  <c r="F35" i="15"/>
  <c r="E35" i="15"/>
  <c r="AK34" i="15"/>
  <c r="Z34" i="15"/>
  <c r="X34" i="15"/>
  <c r="W34" i="15"/>
  <c r="U34" i="15"/>
  <c r="S34" i="15"/>
  <c r="Q34" i="15"/>
  <c r="M34" i="15"/>
  <c r="I34" i="15"/>
  <c r="F34" i="15"/>
  <c r="E34" i="15"/>
  <c r="AK33" i="15"/>
  <c r="Z33" i="15"/>
  <c r="X33" i="15"/>
  <c r="W33" i="15"/>
  <c r="U33" i="15"/>
  <c r="S33" i="15"/>
  <c r="Q33" i="15"/>
  <c r="M33" i="15"/>
  <c r="I33" i="15"/>
  <c r="J33" i="15" s="1"/>
  <c r="F33" i="15"/>
  <c r="E33" i="15"/>
  <c r="AK32" i="15"/>
  <c r="Z32" i="15"/>
  <c r="X32" i="15"/>
  <c r="W32" i="15"/>
  <c r="U32" i="15"/>
  <c r="S32" i="15"/>
  <c r="Q32" i="15"/>
  <c r="M32" i="15"/>
  <c r="I32" i="15"/>
  <c r="F32" i="15"/>
  <c r="E32" i="15"/>
  <c r="AK31" i="15"/>
  <c r="Z31" i="15"/>
  <c r="X31" i="15"/>
  <c r="W31" i="15"/>
  <c r="U31" i="15"/>
  <c r="S31" i="15"/>
  <c r="Q31" i="15"/>
  <c r="M31" i="15"/>
  <c r="I31" i="15"/>
  <c r="J31" i="15" s="1"/>
  <c r="F31" i="15"/>
  <c r="E31" i="15"/>
  <c r="AK30" i="15"/>
  <c r="Z30" i="15"/>
  <c r="X30" i="15"/>
  <c r="W30" i="15"/>
  <c r="U30" i="15"/>
  <c r="S30" i="15"/>
  <c r="Q30" i="15"/>
  <c r="M30" i="15"/>
  <c r="I30" i="15"/>
  <c r="F30" i="15"/>
  <c r="E30" i="15"/>
  <c r="AK29" i="15"/>
  <c r="Z29" i="15"/>
  <c r="X29" i="15"/>
  <c r="W29" i="15"/>
  <c r="U29" i="15"/>
  <c r="S29" i="15"/>
  <c r="Q29" i="15"/>
  <c r="M29" i="15"/>
  <c r="I29" i="15"/>
  <c r="F29" i="15"/>
  <c r="E29" i="15"/>
  <c r="AK28" i="15"/>
  <c r="Z28" i="15"/>
  <c r="X28" i="15"/>
  <c r="W28" i="15"/>
  <c r="U28" i="15"/>
  <c r="S28" i="15"/>
  <c r="Q28" i="15"/>
  <c r="M28" i="15"/>
  <c r="I28" i="15"/>
  <c r="J28" i="15" s="1"/>
  <c r="F28" i="15"/>
  <c r="E28" i="15"/>
  <c r="AK27" i="15"/>
  <c r="Z27" i="15"/>
  <c r="X27" i="15"/>
  <c r="W27" i="15"/>
  <c r="U27" i="15"/>
  <c r="S27" i="15"/>
  <c r="Q27" i="15"/>
  <c r="M27" i="15"/>
  <c r="I27" i="15"/>
  <c r="F27" i="15"/>
  <c r="E27" i="15"/>
  <c r="AN26" i="15"/>
  <c r="AK26" i="15"/>
  <c r="Z26" i="15"/>
  <c r="X26" i="15"/>
  <c r="W26" i="15"/>
  <c r="U26" i="15"/>
  <c r="S26" i="15"/>
  <c r="Q26" i="15"/>
  <c r="M26" i="15"/>
  <c r="I26" i="15"/>
  <c r="F26" i="15"/>
  <c r="E26" i="15"/>
  <c r="AN25" i="15"/>
  <c r="AK25" i="15"/>
  <c r="Z25" i="15"/>
  <c r="X25" i="15"/>
  <c r="W25" i="15"/>
  <c r="U25" i="15"/>
  <c r="S25" i="15"/>
  <c r="Q25" i="15"/>
  <c r="M25" i="15"/>
  <c r="I25" i="15"/>
  <c r="F25" i="15"/>
  <c r="E25" i="15"/>
  <c r="AK24" i="15"/>
  <c r="Z24" i="15"/>
  <c r="X24" i="15"/>
  <c r="W24" i="15"/>
  <c r="U24" i="15"/>
  <c r="S24" i="15"/>
  <c r="Q24" i="15"/>
  <c r="M24" i="15"/>
  <c r="I24" i="15"/>
  <c r="F24" i="15"/>
  <c r="E24" i="15"/>
  <c r="AN23" i="15"/>
  <c r="AK23" i="15"/>
  <c r="Z23" i="15"/>
  <c r="X23" i="15"/>
  <c r="W23" i="15"/>
  <c r="U23" i="15"/>
  <c r="S23" i="15"/>
  <c r="Q23" i="15"/>
  <c r="M23" i="15"/>
  <c r="I23" i="15"/>
  <c r="J23" i="15" s="1"/>
  <c r="F23" i="15"/>
  <c r="E23" i="15"/>
  <c r="AN22" i="15"/>
  <c r="AK22" i="15"/>
  <c r="Z22" i="15"/>
  <c r="X22" i="15"/>
  <c r="W22" i="15"/>
  <c r="U22" i="15"/>
  <c r="S22" i="15"/>
  <c r="Q22" i="15"/>
  <c r="M22" i="15"/>
  <c r="I22" i="15"/>
  <c r="J22" i="15" s="1"/>
  <c r="F22" i="15"/>
  <c r="E22" i="15"/>
  <c r="F21" i="15"/>
  <c r="AN20" i="15"/>
  <c r="AK20" i="15"/>
  <c r="Z20" i="15"/>
  <c r="X20" i="15"/>
  <c r="W20" i="15"/>
  <c r="U20" i="15"/>
  <c r="S20" i="15"/>
  <c r="Q20" i="15"/>
  <c r="M20" i="15"/>
  <c r="I20" i="15"/>
  <c r="J20" i="15" s="1"/>
  <c r="E20" i="15"/>
  <c r="F20" i="15" s="1"/>
  <c r="AN19" i="15"/>
  <c r="AK19" i="15"/>
  <c r="Z19" i="15"/>
  <c r="X19" i="15"/>
  <c r="W19" i="15"/>
  <c r="U19" i="15"/>
  <c r="S19" i="15"/>
  <c r="Q19" i="15"/>
  <c r="M19" i="15"/>
  <c r="I19" i="15"/>
  <c r="J19" i="15" s="1"/>
  <c r="E19" i="15"/>
  <c r="F19" i="15" s="1"/>
  <c r="AN18" i="15"/>
  <c r="AK18" i="15"/>
  <c r="Z18" i="15"/>
  <c r="X18" i="15"/>
  <c r="W18" i="15"/>
  <c r="U18" i="15"/>
  <c r="S18" i="15"/>
  <c r="Q18" i="15"/>
  <c r="M18" i="15"/>
  <c r="I18" i="15"/>
  <c r="J18" i="15" s="1"/>
  <c r="E18" i="15"/>
  <c r="F18" i="15" s="1"/>
  <c r="AN17" i="15"/>
  <c r="AK17" i="15"/>
  <c r="Z17" i="15"/>
  <c r="X17" i="15"/>
  <c r="W17" i="15"/>
  <c r="U17" i="15"/>
  <c r="S17" i="15"/>
  <c r="Q17" i="15"/>
  <c r="M17" i="15"/>
  <c r="I17" i="15"/>
  <c r="J17" i="15" s="1"/>
  <c r="E17" i="15"/>
  <c r="F17" i="15" s="1"/>
  <c r="AN16" i="15"/>
  <c r="AK16" i="15"/>
  <c r="U16" i="15"/>
  <c r="S16" i="15"/>
  <c r="Q16" i="15"/>
  <c r="M16" i="15"/>
  <c r="I16" i="15"/>
  <c r="J16" i="15" s="1"/>
  <c r="F16" i="15"/>
  <c r="E16" i="15"/>
  <c r="AN15" i="15"/>
  <c r="AK15" i="15"/>
  <c r="Z15" i="15"/>
  <c r="X15" i="15"/>
  <c r="W15" i="15"/>
  <c r="U15" i="15"/>
  <c r="S15" i="15"/>
  <c r="Q15" i="15"/>
  <c r="M15" i="15"/>
  <c r="I15" i="15"/>
  <c r="J15" i="15" s="1"/>
  <c r="F15" i="15"/>
  <c r="E15" i="15"/>
  <c r="AN14" i="15"/>
  <c r="AK14" i="15"/>
  <c r="U14" i="15"/>
  <c r="S14" i="15"/>
  <c r="Q14" i="15"/>
  <c r="M14" i="15"/>
  <c r="I14" i="15"/>
  <c r="J14" i="15" s="1"/>
  <c r="E14" i="15"/>
  <c r="F14" i="15" s="1"/>
  <c r="AN13" i="15"/>
  <c r="AK13" i="15"/>
  <c r="U13" i="15"/>
  <c r="S13" i="15"/>
  <c r="Q13" i="15"/>
  <c r="M13" i="15"/>
  <c r="I13" i="15"/>
  <c r="J13" i="15" s="1"/>
  <c r="E13" i="15"/>
  <c r="F13" i="15" s="1"/>
  <c r="F12" i="15"/>
  <c r="AN11" i="15"/>
  <c r="Z11" i="15"/>
  <c r="X11" i="15"/>
  <c r="W11" i="15"/>
  <c r="U11" i="15"/>
  <c r="S11" i="15"/>
  <c r="Q11" i="15"/>
  <c r="M11" i="15"/>
  <c r="AN10" i="15"/>
  <c r="Z10" i="15"/>
  <c r="X10" i="15"/>
  <c r="W10" i="15"/>
  <c r="U10" i="15"/>
  <c r="S10" i="15"/>
  <c r="Q10" i="15"/>
  <c r="M10" i="15"/>
  <c r="AN9" i="15"/>
  <c r="AK9" i="15"/>
  <c r="Z9" i="15"/>
  <c r="X9" i="15"/>
  <c r="W9" i="15"/>
  <c r="U9" i="15"/>
  <c r="S9" i="15"/>
  <c r="Q9" i="15"/>
  <c r="M9" i="15"/>
  <c r="AK8" i="15"/>
  <c r="Z8" i="15"/>
  <c r="X8" i="15"/>
  <c r="W8" i="15"/>
  <c r="U8" i="15"/>
  <c r="S8" i="15"/>
  <c r="Q8" i="15"/>
  <c r="M8" i="15"/>
  <c r="F7" i="15"/>
  <c r="AK6" i="15"/>
  <c r="Z6" i="15"/>
  <c r="X6" i="15"/>
  <c r="W6" i="15"/>
  <c r="U6" i="15"/>
  <c r="S6" i="15"/>
  <c r="Q6" i="15"/>
  <c r="M6" i="15"/>
  <c r="AK5" i="15"/>
  <c r="Z5" i="15"/>
  <c r="X5" i="15"/>
  <c r="W5" i="15"/>
  <c r="U5" i="15"/>
  <c r="S5" i="15"/>
  <c r="Q5" i="15"/>
  <c r="M5" i="15"/>
  <c r="AK4" i="15"/>
  <c r="Z4" i="15"/>
  <c r="X4" i="15"/>
  <c r="W4" i="15"/>
  <c r="U4" i="15"/>
  <c r="S4" i="15"/>
  <c r="Q4" i="15"/>
  <c r="M4" i="15"/>
  <c r="K267" i="28" l="1"/>
  <c r="H267" i="45"/>
  <c r="K268" i="28"/>
  <c r="H268" i="45"/>
  <c r="J206" i="23"/>
  <c r="J135" i="23"/>
  <c r="J81" i="23"/>
  <c r="J77" i="23"/>
  <c r="J30" i="23"/>
  <c r="F15" i="88"/>
  <c r="G32" i="88" s="1"/>
  <c r="E15" i="88"/>
  <c r="F32" i="88" s="1"/>
  <c r="D15" i="88"/>
  <c r="E29" i="88" s="1"/>
  <c r="C15" i="88"/>
  <c r="D29" i="88" s="1"/>
  <c r="D267" i="45" l="1"/>
  <c r="C267" i="45"/>
  <c r="L267" i="28"/>
  <c r="K267" i="46" s="1"/>
  <c r="M267" i="28"/>
  <c r="N267" i="46" s="1"/>
  <c r="L268" i="28"/>
  <c r="K268" i="46" s="1"/>
  <c r="M268" i="28"/>
  <c r="N268" i="46" s="1"/>
  <c r="D268" i="45"/>
  <c r="C268" i="45"/>
  <c r="F29" i="88"/>
  <c r="E32" i="88"/>
  <c r="E28" i="88"/>
  <c r="G29" i="88"/>
  <c r="H29" i="88" s="1"/>
  <c r="D30" i="88"/>
  <c r="E30" i="88"/>
  <c r="F30" i="88"/>
  <c r="D32" i="88"/>
  <c r="D31" i="88"/>
  <c r="E31" i="88"/>
  <c r="G28" i="88"/>
  <c r="F31" i="88"/>
  <c r="G30" i="88"/>
  <c r="D28" i="88"/>
  <c r="F28" i="88"/>
  <c r="G31" i="88"/>
  <c r="R267" i="45" l="1"/>
  <c r="T267" i="45"/>
  <c r="U267" i="45"/>
  <c r="S267" i="45"/>
  <c r="D267" i="46"/>
  <c r="F267" i="46"/>
  <c r="E267" i="46"/>
  <c r="C267" i="46"/>
  <c r="O267" i="45"/>
  <c r="P267" i="45"/>
  <c r="Q267" i="45"/>
  <c r="M267" i="45"/>
  <c r="N267" i="45"/>
  <c r="O268" i="45"/>
  <c r="P268" i="45"/>
  <c r="Q268" i="45"/>
  <c r="N268" i="45"/>
  <c r="M268" i="45"/>
  <c r="T268" i="45"/>
  <c r="U268" i="45"/>
  <c r="R268" i="45"/>
  <c r="S268" i="45"/>
  <c r="D268" i="46"/>
  <c r="F268" i="46"/>
  <c r="E268" i="46"/>
  <c r="C268" i="46"/>
  <c r="H32" i="88"/>
  <c r="H30" i="88"/>
  <c r="H31" i="88"/>
  <c r="H28" i="88"/>
  <c r="T267" i="46" l="1"/>
  <c r="W267" i="46"/>
  <c r="U267" i="46"/>
  <c r="S267" i="46"/>
  <c r="V267" i="46"/>
  <c r="Y267" i="46"/>
  <c r="X267" i="46"/>
  <c r="AQ267" i="46"/>
  <c r="AR267" i="46"/>
  <c r="AO267" i="46"/>
  <c r="AM267" i="46"/>
  <c r="AN267" i="46"/>
  <c r="AP267" i="46"/>
  <c r="AL267" i="46"/>
  <c r="AH267" i="46"/>
  <c r="AI267" i="46"/>
  <c r="AJ267" i="46"/>
  <c r="AK267" i="46"/>
  <c r="AG267" i="46"/>
  <c r="Z267" i="46"/>
  <c r="AE267" i="46"/>
  <c r="AB267" i="46"/>
  <c r="AD267" i="46"/>
  <c r="AC267" i="46"/>
  <c r="AF267" i="46"/>
  <c r="AA267" i="46"/>
  <c r="U268" i="46"/>
  <c r="T268" i="46"/>
  <c r="Y268" i="46"/>
  <c r="W268" i="46"/>
  <c r="S268" i="46"/>
  <c r="V268" i="46"/>
  <c r="X268" i="46"/>
  <c r="AE268" i="46"/>
  <c r="AB268" i="46"/>
  <c r="Z268" i="46"/>
  <c r="AA268" i="46"/>
  <c r="AC268" i="46"/>
  <c r="AF268" i="46"/>
  <c r="AD268" i="46"/>
  <c r="AR268" i="46"/>
  <c r="AP268" i="46"/>
  <c r="AM268" i="46"/>
  <c r="AO268" i="46"/>
  <c r="AQ268" i="46"/>
  <c r="AN268" i="46"/>
  <c r="AL268" i="46"/>
  <c r="AH268" i="46"/>
  <c r="AK268" i="46"/>
  <c r="AG268" i="46"/>
  <c r="AI268" i="46"/>
  <c r="AJ268" i="46"/>
  <c r="D77" i="6"/>
  <c r="E77" i="6"/>
  <c r="F77" i="6"/>
  <c r="G77" i="6"/>
  <c r="H77" i="6"/>
  <c r="C77" i="6"/>
  <c r="I77" i="6" s="1"/>
  <c r="F61" i="50" l="1"/>
  <c r="J61" i="23"/>
  <c r="H61" i="23"/>
  <c r="G61" i="21"/>
  <c r="C27" i="23" l="1"/>
  <c r="C254" i="33" l="1"/>
  <c r="C253" i="33"/>
  <c r="C230" i="33"/>
  <c r="C138" i="33"/>
  <c r="C11" i="33"/>
  <c r="C10" i="33"/>
  <c r="I11" i="33" l="1"/>
  <c r="H11" i="33"/>
  <c r="G11" i="33"/>
  <c r="F11" i="33"/>
  <c r="D11" i="33"/>
  <c r="E11" i="33"/>
  <c r="G230" i="33"/>
  <c r="I230" i="33"/>
  <c r="H230" i="33"/>
  <c r="F230" i="33"/>
  <c r="P230" i="33" s="1"/>
  <c r="D230" i="33"/>
  <c r="E230" i="33"/>
  <c r="F253" i="33"/>
  <c r="D253" i="33"/>
  <c r="I253" i="33"/>
  <c r="H253" i="33"/>
  <c r="I138" i="33"/>
  <c r="H138" i="33"/>
  <c r="D138" i="33"/>
  <c r="F138" i="33"/>
  <c r="I254" i="33"/>
  <c r="H254" i="33"/>
  <c r="D254" i="33"/>
  <c r="H10" i="33"/>
  <c r="G10" i="33"/>
  <c r="E10" i="33"/>
  <c r="I10" i="33"/>
  <c r="F10" i="33"/>
  <c r="D10" i="33"/>
  <c r="F254" i="33"/>
  <c r="Q230" i="33" l="1"/>
  <c r="R230" i="33"/>
  <c r="R10" i="33"/>
  <c r="P10" i="33"/>
  <c r="Q10" i="33"/>
  <c r="N11" i="33"/>
  <c r="K11" i="33"/>
  <c r="L11" i="33"/>
  <c r="J11" i="33"/>
  <c r="M11" i="33"/>
  <c r="O11" i="33"/>
  <c r="R11" i="33"/>
  <c r="Q11" i="33"/>
  <c r="P11" i="33"/>
  <c r="N10" i="33"/>
  <c r="M10" i="33"/>
  <c r="L10" i="33"/>
  <c r="K10" i="33"/>
  <c r="O10" i="33"/>
  <c r="J10" i="33"/>
  <c r="N254" i="33"/>
  <c r="M254" i="33"/>
  <c r="L254" i="33"/>
  <c r="K254" i="33"/>
  <c r="J254" i="33"/>
  <c r="O254" i="33"/>
  <c r="N230" i="33"/>
  <c r="O230" i="33"/>
  <c r="M230" i="33"/>
  <c r="L230" i="33"/>
  <c r="K230" i="33"/>
  <c r="J230" i="33"/>
  <c r="O253" i="33"/>
  <c r="L253" i="33"/>
  <c r="J253" i="33"/>
  <c r="N253" i="33"/>
  <c r="M253" i="33"/>
  <c r="K253" i="33"/>
  <c r="A49" i="50"/>
  <c r="A234" i="50"/>
  <c r="A233" i="50"/>
  <c r="A232" i="50"/>
  <c r="A231" i="50"/>
  <c r="A230" i="50"/>
  <c r="A234" i="52"/>
  <c r="A233" i="52"/>
  <c r="A232" i="52"/>
  <c r="A231" i="52"/>
  <c r="A230" i="52"/>
  <c r="A49" i="52"/>
  <c r="A234" i="33"/>
  <c r="A233" i="33"/>
  <c r="A232" i="33"/>
  <c r="A231" i="33"/>
  <c r="A230" i="33"/>
  <c r="A49" i="33"/>
  <c r="A234" i="7"/>
  <c r="A233" i="7"/>
  <c r="A232" i="7"/>
  <c r="A231" i="7"/>
  <c r="A230" i="7"/>
  <c r="A49" i="7"/>
  <c r="A234" i="51"/>
  <c r="A233" i="51"/>
  <c r="A232" i="51"/>
  <c r="A231" i="51"/>
  <c r="A230" i="51"/>
  <c r="A49" i="51"/>
  <c r="A234" i="39"/>
  <c r="A233" i="39"/>
  <c r="A232" i="39"/>
  <c r="A231" i="39"/>
  <c r="A230" i="39"/>
  <c r="A49" i="39"/>
  <c r="A49" i="23"/>
  <c r="A234" i="23"/>
  <c r="A233" i="23"/>
  <c r="A232" i="23"/>
  <c r="A231" i="23"/>
  <c r="A230" i="23"/>
  <c r="A49" i="6"/>
  <c r="A234" i="6"/>
  <c r="A233" i="6"/>
  <c r="A232" i="6"/>
  <c r="A231" i="6"/>
  <c r="A230" i="6"/>
  <c r="A49" i="26"/>
  <c r="A234" i="26"/>
  <c r="A233" i="26"/>
  <c r="A232" i="26"/>
  <c r="A231" i="26"/>
  <c r="A230" i="26"/>
  <c r="A234" i="28"/>
  <c r="A233" i="28"/>
  <c r="A232" i="28"/>
  <c r="A231" i="28"/>
  <c r="A230" i="28"/>
  <c r="A49" i="28"/>
  <c r="A49" i="21"/>
  <c r="A234" i="21"/>
  <c r="A233" i="21"/>
  <c r="A232" i="21"/>
  <c r="A231" i="21"/>
  <c r="A230" i="21"/>
  <c r="A49" i="25"/>
  <c r="A234" i="25"/>
  <c r="A233" i="25"/>
  <c r="A232" i="25"/>
  <c r="A231" i="25"/>
  <c r="A230" i="25"/>
  <c r="A234" i="15"/>
  <c r="A233" i="15"/>
  <c r="A232" i="15"/>
  <c r="A231" i="15"/>
  <c r="A230" i="15"/>
  <c r="A49" i="15"/>
  <c r="A49" i="54"/>
  <c r="A234" i="54"/>
  <c r="A233" i="54"/>
  <c r="A232" i="54"/>
  <c r="A231" i="54"/>
  <c r="A230" i="54"/>
  <c r="A291" i="87"/>
  <c r="A290" i="87"/>
  <c r="A289" i="87"/>
  <c r="A288" i="87"/>
  <c r="A287" i="87"/>
  <c r="A286" i="87"/>
  <c r="A285" i="87"/>
  <c r="A284" i="87"/>
  <c r="A283" i="87"/>
  <c r="A282" i="87"/>
  <c r="A281" i="87"/>
  <c r="A280" i="87"/>
  <c r="A279" i="87"/>
  <c r="A278" i="87"/>
  <c r="A277" i="87"/>
  <c r="A276" i="87"/>
  <c r="A275" i="87"/>
  <c r="A274" i="87"/>
  <c r="A273" i="87"/>
  <c r="A272" i="87"/>
  <c r="A271" i="87"/>
  <c r="A270" i="87"/>
  <c r="A264" i="87"/>
  <c r="A263" i="87"/>
  <c r="A262" i="87"/>
  <c r="A261" i="87"/>
  <c r="A260" i="87"/>
  <c r="A259" i="87"/>
  <c r="A258" i="87"/>
  <c r="A257" i="87"/>
  <c r="A256" i="87"/>
  <c r="A255" i="87"/>
  <c r="A254" i="87"/>
  <c r="A253" i="87"/>
  <c r="A252" i="87"/>
  <c r="A251" i="87"/>
  <c r="A250" i="87"/>
  <c r="A249" i="87"/>
  <c r="A248" i="87"/>
  <c r="A247" i="87"/>
  <c r="A246" i="87"/>
  <c r="A245" i="87"/>
  <c r="A244" i="87"/>
  <c r="A243" i="87"/>
  <c r="A242" i="87"/>
  <c r="A241" i="87"/>
  <c r="A240" i="87"/>
  <c r="A239" i="87"/>
  <c r="A238" i="87"/>
  <c r="A237" i="87"/>
  <c r="A236" i="87"/>
  <c r="A235" i="87"/>
  <c r="A234" i="87"/>
  <c r="A233" i="87"/>
  <c r="A232" i="87"/>
  <c r="A231" i="87"/>
  <c r="A230" i="87"/>
  <c r="A229" i="87"/>
  <c r="A228" i="87"/>
  <c r="A227" i="87"/>
  <c r="A226" i="87"/>
  <c r="A225" i="87"/>
  <c r="A224" i="87"/>
  <c r="A223" i="87"/>
  <c r="A222" i="87"/>
  <c r="A221" i="87"/>
  <c r="A220" i="87"/>
  <c r="A219" i="87"/>
  <c r="A218" i="87"/>
  <c r="A217" i="87"/>
  <c r="A216" i="87"/>
  <c r="A215" i="87"/>
  <c r="A214" i="87"/>
  <c r="A213" i="87"/>
  <c r="A212" i="87"/>
  <c r="A211" i="87"/>
  <c r="A210" i="87"/>
  <c r="A209" i="87"/>
  <c r="A208" i="87"/>
  <c r="A207" i="87"/>
  <c r="A206" i="87"/>
  <c r="A205" i="87"/>
  <c r="A204" i="87"/>
  <c r="A203" i="87"/>
  <c r="A202" i="87"/>
  <c r="A201" i="87"/>
  <c r="A200" i="87"/>
  <c r="A199" i="87"/>
  <c r="A198" i="87"/>
  <c r="A197" i="87"/>
  <c r="A196" i="87"/>
  <c r="A195" i="87"/>
  <c r="A194" i="87"/>
  <c r="A193" i="87"/>
  <c r="A192" i="87"/>
  <c r="A191" i="87"/>
  <c r="A190" i="87"/>
  <c r="A189" i="87"/>
  <c r="A188" i="87"/>
  <c r="A187" i="87"/>
  <c r="A186" i="87"/>
  <c r="A185" i="87"/>
  <c r="A184" i="87"/>
  <c r="A183" i="87"/>
  <c r="A182" i="87"/>
  <c r="A181" i="87"/>
  <c r="A180" i="87"/>
  <c r="A179" i="87"/>
  <c r="A178" i="87"/>
  <c r="A177" i="87"/>
  <c r="A176" i="87"/>
  <c r="A175" i="87"/>
  <c r="A174" i="87"/>
  <c r="A173" i="87"/>
  <c r="A172" i="87"/>
  <c r="A171" i="87"/>
  <c r="A170" i="87"/>
  <c r="A169" i="87"/>
  <c r="A168" i="87"/>
  <c r="A167" i="87"/>
  <c r="A166" i="87"/>
  <c r="A165" i="87"/>
  <c r="A164" i="87"/>
  <c r="A163" i="87"/>
  <c r="A162" i="87"/>
  <c r="A161" i="87"/>
  <c r="A160" i="87"/>
  <c r="A159" i="87"/>
  <c r="A158" i="87"/>
  <c r="A157" i="87"/>
  <c r="A156" i="87"/>
  <c r="A155" i="87"/>
  <c r="A154" i="87"/>
  <c r="A153" i="87"/>
  <c r="A152" i="87"/>
  <c r="A151" i="87"/>
  <c r="A150" i="87"/>
  <c r="A149" i="87"/>
  <c r="A148" i="87"/>
  <c r="A147" i="87"/>
  <c r="A146" i="87"/>
  <c r="A145" i="87"/>
  <c r="A144" i="87"/>
  <c r="A143" i="87"/>
  <c r="A142" i="87"/>
  <c r="A141" i="87"/>
  <c r="A140" i="87"/>
  <c r="A139" i="87"/>
  <c r="A138" i="87"/>
  <c r="A137" i="87"/>
  <c r="A136" i="87"/>
  <c r="A135" i="87"/>
  <c r="A134" i="87"/>
  <c r="A133" i="87"/>
  <c r="A132" i="87"/>
  <c r="A131" i="87"/>
  <c r="A130" i="87"/>
  <c r="A129" i="87"/>
  <c r="A128" i="87"/>
  <c r="A127" i="87"/>
  <c r="A126" i="87"/>
  <c r="A125" i="87"/>
  <c r="A124" i="87"/>
  <c r="A123" i="87"/>
  <c r="A122" i="87"/>
  <c r="A121" i="87"/>
  <c r="A120" i="87"/>
  <c r="A119" i="87"/>
  <c r="A118" i="87"/>
  <c r="A117" i="87"/>
  <c r="A116" i="87"/>
  <c r="A115" i="87"/>
  <c r="A114" i="87"/>
  <c r="A113" i="87"/>
  <c r="A112" i="87"/>
  <c r="A111" i="87"/>
  <c r="A110" i="87"/>
  <c r="A109" i="87"/>
  <c r="A108" i="87"/>
  <c r="A107" i="87"/>
  <c r="A106" i="87"/>
  <c r="A105" i="87"/>
  <c r="A104" i="87"/>
  <c r="A103" i="87"/>
  <c r="A102" i="87"/>
  <c r="A101" i="87"/>
  <c r="A100" i="87"/>
  <c r="A99" i="87"/>
  <c r="A98" i="87"/>
  <c r="A97" i="87"/>
  <c r="A96" i="87"/>
  <c r="A95" i="87"/>
  <c r="A94" i="87"/>
  <c r="A93" i="87"/>
  <c r="A92" i="87"/>
  <c r="A91" i="87"/>
  <c r="A90" i="87"/>
  <c r="A89" i="87"/>
  <c r="A88" i="87"/>
  <c r="A87" i="87"/>
  <c r="A86" i="87"/>
  <c r="A85" i="87"/>
  <c r="A84" i="87"/>
  <c r="A83" i="87"/>
  <c r="A82" i="87"/>
  <c r="A81" i="87"/>
  <c r="A80" i="87"/>
  <c r="A79" i="87"/>
  <c r="A78" i="87"/>
  <c r="A77" i="87"/>
  <c r="A76" i="87"/>
  <c r="A75" i="87"/>
  <c r="A74" i="87"/>
  <c r="A73" i="87"/>
  <c r="A72" i="87"/>
  <c r="A71" i="87"/>
  <c r="A70" i="87"/>
  <c r="A69" i="87"/>
  <c r="A68" i="87"/>
  <c r="A67" i="87"/>
  <c r="A66" i="87"/>
  <c r="A65" i="87"/>
  <c r="A64" i="87"/>
  <c r="A63" i="87"/>
  <c r="A62" i="87"/>
  <c r="A61" i="87"/>
  <c r="A60" i="87"/>
  <c r="A59" i="87"/>
  <c r="A58" i="87"/>
  <c r="A57" i="87"/>
  <c r="A56" i="87"/>
  <c r="A55" i="87"/>
  <c r="A54"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A17" i="87"/>
  <c r="A16" i="87"/>
  <c r="A15" i="87"/>
  <c r="A14" i="87"/>
  <c r="A13" i="87"/>
  <c r="A12" i="87"/>
  <c r="A11" i="87"/>
  <c r="A10" i="87"/>
  <c r="A9" i="87"/>
  <c r="A8" i="87"/>
  <c r="A7" i="87"/>
  <c r="A6" i="87"/>
  <c r="A5" i="87"/>
  <c r="A4" i="87"/>
  <c r="A291" i="45"/>
  <c r="A290" i="45"/>
  <c r="A289" i="45"/>
  <c r="A288" i="45"/>
  <c r="A287" i="45"/>
  <c r="A286" i="45"/>
  <c r="A285" i="45"/>
  <c r="A284" i="45"/>
  <c r="A283" i="45"/>
  <c r="A282" i="45"/>
  <c r="A281" i="45"/>
  <c r="A280" i="45"/>
  <c r="A279" i="45"/>
  <c r="A278" i="45"/>
  <c r="A277" i="45"/>
  <c r="A276" i="45"/>
  <c r="A275" i="45"/>
  <c r="A274" i="45"/>
  <c r="A273" i="45"/>
  <c r="A272" i="45"/>
  <c r="A271" i="45"/>
  <c r="A270" i="45"/>
  <c r="A264" i="45"/>
  <c r="A263" i="45"/>
  <c r="A262" i="45"/>
  <c r="A261" i="45"/>
  <c r="A260" i="45"/>
  <c r="A259" i="45"/>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291" i="46"/>
  <c r="A290" i="46"/>
  <c r="A289" i="46"/>
  <c r="A288" i="46"/>
  <c r="A287" i="46"/>
  <c r="A286" i="46"/>
  <c r="A285" i="46"/>
  <c r="A284" i="46"/>
  <c r="A283" i="46"/>
  <c r="A282" i="46"/>
  <c r="A281" i="46"/>
  <c r="A280" i="46"/>
  <c r="A279" i="46"/>
  <c r="A278" i="46"/>
  <c r="A277" i="46"/>
  <c r="A276" i="46"/>
  <c r="A275" i="46"/>
  <c r="A274" i="46"/>
  <c r="A273" i="46"/>
  <c r="A272" i="46"/>
  <c r="A271" i="46"/>
  <c r="A270" i="46"/>
  <c r="A264" i="46"/>
  <c r="A263" i="46"/>
  <c r="A262" i="46"/>
  <c r="A261" i="46"/>
  <c r="A260" i="46"/>
  <c r="A259" i="46"/>
  <c r="A258" i="46"/>
  <c r="A257" i="46"/>
  <c r="A256" i="46"/>
  <c r="A255" i="46"/>
  <c r="A254" i="46"/>
  <c r="A253" i="46"/>
  <c r="A252" i="46"/>
  <c r="A251" i="46"/>
  <c r="A250" i="46"/>
  <c r="A249" i="46"/>
  <c r="A248" i="46"/>
  <c r="A247" i="46"/>
  <c r="A246" i="46"/>
  <c r="A245" i="46"/>
  <c r="A244" i="46"/>
  <c r="A243" i="46"/>
  <c r="A242" i="46"/>
  <c r="A241" i="46"/>
  <c r="A240" i="46"/>
  <c r="A239" i="46"/>
  <c r="A238" i="46"/>
  <c r="A237" i="46"/>
  <c r="A236" i="46"/>
  <c r="A235" i="46"/>
  <c r="A234" i="46"/>
  <c r="A233" i="46"/>
  <c r="A232" i="46"/>
  <c r="A231" i="46"/>
  <c r="A230" i="46"/>
  <c r="A229" i="46"/>
  <c r="A228" i="46"/>
  <c r="A227" i="46"/>
  <c r="A226" i="46"/>
  <c r="A225" i="46"/>
  <c r="A224" i="46"/>
  <c r="A223" i="46"/>
  <c r="A222" i="46"/>
  <c r="A221" i="46"/>
  <c r="A220" i="46"/>
  <c r="A219" i="46"/>
  <c r="A218" i="46"/>
  <c r="A217" i="46"/>
  <c r="A216" i="46"/>
  <c r="A215" i="46"/>
  <c r="A214" i="46"/>
  <c r="A213" i="46"/>
  <c r="A212" i="46"/>
  <c r="A211" i="46"/>
  <c r="A210" i="46"/>
  <c r="A209" i="46"/>
  <c r="A208" i="46"/>
  <c r="A207" i="46"/>
  <c r="A206" i="46"/>
  <c r="A205" i="46"/>
  <c r="A204" i="46"/>
  <c r="A203" i="46"/>
  <c r="A202" i="46"/>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5" i="46"/>
  <c r="A4" i="46"/>
  <c r="D196" i="25" l="1"/>
  <c r="J239" i="25" l="1"/>
  <c r="J238" i="25"/>
  <c r="J237" i="25"/>
  <c r="J236" i="25"/>
  <c r="J235" i="25"/>
  <c r="J234" i="25"/>
  <c r="J233" i="25"/>
  <c r="I239" i="25"/>
  <c r="I238" i="25"/>
  <c r="I237" i="25"/>
  <c r="I236" i="25"/>
  <c r="I235" i="25"/>
  <c r="I234" i="25"/>
  <c r="I233" i="25"/>
  <c r="B234" i="54" l="1"/>
  <c r="B230" i="54" l="1"/>
  <c r="B49" i="54"/>
  <c r="B234" i="87"/>
  <c r="J234" i="87"/>
  <c r="K234" i="87"/>
  <c r="M234" i="87"/>
  <c r="D234" i="87" s="1"/>
  <c r="N234" i="87"/>
  <c r="P234" i="87"/>
  <c r="P230" i="87"/>
  <c r="N230" i="87"/>
  <c r="M230" i="87"/>
  <c r="K230" i="87"/>
  <c r="J230" i="87"/>
  <c r="B230" i="87"/>
  <c r="B49" i="87"/>
  <c r="J49" i="87"/>
  <c r="K49" i="87"/>
  <c r="M49" i="87"/>
  <c r="D49" i="87" s="1"/>
  <c r="N49" i="87"/>
  <c r="P49" i="87"/>
  <c r="B230" i="45"/>
  <c r="B234" i="45"/>
  <c r="B49" i="45"/>
  <c r="B234" i="46"/>
  <c r="P234" i="46"/>
  <c r="B230" i="46"/>
  <c r="B49" i="46"/>
  <c r="B234" i="28"/>
  <c r="B230" i="28"/>
  <c r="B49" i="28"/>
  <c r="B234" i="26"/>
  <c r="F234" i="26"/>
  <c r="H234" i="26" s="1"/>
  <c r="I234" i="26" s="1"/>
  <c r="F230" i="26"/>
  <c r="L230" i="26" s="1"/>
  <c r="M230" i="26" s="1"/>
  <c r="B230" i="26"/>
  <c r="B49" i="26"/>
  <c r="F49" i="26"/>
  <c r="H49" i="26" s="1"/>
  <c r="I49" i="26" s="1"/>
  <c r="B234" i="39"/>
  <c r="B230" i="39"/>
  <c r="B49" i="39"/>
  <c r="B234" i="51"/>
  <c r="C234" i="51"/>
  <c r="C230" i="51"/>
  <c r="B230" i="51"/>
  <c r="B49" i="51"/>
  <c r="C49" i="51"/>
  <c r="B234" i="52"/>
  <c r="E234" i="52"/>
  <c r="E230" i="52"/>
  <c r="B230" i="52"/>
  <c r="B49" i="52"/>
  <c r="E49" i="52"/>
  <c r="B234" i="7"/>
  <c r="W234" i="7"/>
  <c r="Y234" i="7"/>
  <c r="L234" i="87" s="1"/>
  <c r="AN234" i="7"/>
  <c r="AO234" i="7"/>
  <c r="AP234" i="7"/>
  <c r="AQ234" i="7"/>
  <c r="AR234" i="7"/>
  <c r="H234" i="39" s="1"/>
  <c r="AR230" i="7"/>
  <c r="H230" i="39" s="1"/>
  <c r="AQ230" i="7"/>
  <c r="AP230" i="7"/>
  <c r="AO230" i="7"/>
  <c r="AN230" i="7"/>
  <c r="Y230" i="7"/>
  <c r="L230" i="87" s="1"/>
  <c r="W230" i="7"/>
  <c r="D230" i="7"/>
  <c r="O230" i="87" s="1"/>
  <c r="C230" i="7"/>
  <c r="M230" i="7" s="1"/>
  <c r="I230" i="87" s="1"/>
  <c r="B230" i="7"/>
  <c r="B49" i="7"/>
  <c r="W49" i="7"/>
  <c r="Y49" i="7"/>
  <c r="L49" i="87" s="1"/>
  <c r="AN49" i="7"/>
  <c r="AO49" i="7"/>
  <c r="AP49" i="7"/>
  <c r="AQ49" i="7"/>
  <c r="AR49" i="7"/>
  <c r="H49" i="39" s="1"/>
  <c r="E234" i="87" l="1"/>
  <c r="E230" i="87"/>
  <c r="D230" i="87"/>
  <c r="G230" i="87"/>
  <c r="E49" i="87"/>
  <c r="L234" i="26"/>
  <c r="M234" i="26" s="1"/>
  <c r="H230" i="26"/>
  <c r="I230" i="26" s="1"/>
  <c r="L49" i="26"/>
  <c r="M49" i="26" s="1"/>
  <c r="N230" i="7"/>
  <c r="L230" i="7"/>
  <c r="K230" i="7"/>
  <c r="P230" i="7" l="1"/>
  <c r="F230" i="39" s="1"/>
  <c r="O230" i="7"/>
  <c r="Z230" i="7" s="1"/>
  <c r="H230" i="87"/>
  <c r="C230" i="87" s="1"/>
  <c r="AY230" i="7" l="1"/>
  <c r="AZ230" i="7"/>
  <c r="BB230" i="7"/>
  <c r="BA230" i="7"/>
  <c r="F230" i="87"/>
  <c r="O230" i="46"/>
  <c r="D230" i="39"/>
  <c r="AV230" i="7"/>
  <c r="AU230" i="7"/>
  <c r="AX230" i="7"/>
  <c r="AW230" i="7"/>
  <c r="BI230" i="7"/>
  <c r="BH230" i="7"/>
  <c r="BG230" i="7"/>
  <c r="BF230" i="7"/>
  <c r="BE230" i="7"/>
  <c r="BD230" i="7"/>
  <c r="BC230" i="7"/>
  <c r="BJ230" i="7"/>
  <c r="X230" i="87" l="1"/>
  <c r="V230" i="87"/>
  <c r="U230" i="87"/>
  <c r="S230" i="87"/>
  <c r="R230" i="87"/>
  <c r="W230" i="87"/>
  <c r="T230" i="87"/>
  <c r="B234" i="6"/>
  <c r="I234" i="6"/>
  <c r="I230" i="6"/>
  <c r="K230" i="6" s="1"/>
  <c r="L230" i="6" s="1"/>
  <c r="B230" i="6"/>
  <c r="B49" i="6"/>
  <c r="I49" i="6"/>
  <c r="B234" i="25"/>
  <c r="J230" i="25"/>
  <c r="I230" i="25"/>
  <c r="B230" i="25"/>
  <c r="B49" i="25"/>
  <c r="I49" i="25"/>
  <c r="J49" i="25"/>
  <c r="B234" i="50"/>
  <c r="B230" i="50"/>
  <c r="B49" i="50"/>
  <c r="B234" i="33"/>
  <c r="B230" i="33"/>
  <c r="B49" i="33"/>
  <c r="B234" i="23"/>
  <c r="C234" i="23"/>
  <c r="D234" i="23"/>
  <c r="H234" i="23" s="1"/>
  <c r="K234" i="26" s="1"/>
  <c r="N234" i="26" s="1"/>
  <c r="E234" i="23"/>
  <c r="F234" i="23"/>
  <c r="F230" i="23"/>
  <c r="E230" i="23"/>
  <c r="D230" i="23"/>
  <c r="H230" i="23" s="1"/>
  <c r="K230" i="26" s="1"/>
  <c r="N230" i="26" s="1"/>
  <c r="C230" i="23"/>
  <c r="B230" i="23"/>
  <c r="B49" i="23"/>
  <c r="C49" i="23"/>
  <c r="I49" i="23" s="1"/>
  <c r="D49" i="23"/>
  <c r="H49" i="23" s="1"/>
  <c r="K49" i="26" s="1"/>
  <c r="N49" i="26" s="1"/>
  <c r="E49" i="23"/>
  <c r="F49" i="23"/>
  <c r="B234" i="21"/>
  <c r="C234" i="21"/>
  <c r="D234" i="21"/>
  <c r="G234" i="21" s="1"/>
  <c r="D234" i="25" s="1"/>
  <c r="E234" i="21"/>
  <c r="E230" i="21"/>
  <c r="D230" i="21"/>
  <c r="I230" i="21" s="1"/>
  <c r="N230" i="25" s="1"/>
  <c r="C230" i="21"/>
  <c r="B230" i="21"/>
  <c r="B49" i="21"/>
  <c r="C49" i="21"/>
  <c r="F49" i="21" s="1"/>
  <c r="C49" i="25" s="1"/>
  <c r="D49" i="21"/>
  <c r="G49" i="21" s="1"/>
  <c r="D49" i="25" s="1"/>
  <c r="E49" i="21"/>
  <c r="D234" i="50"/>
  <c r="C234" i="50"/>
  <c r="B234" i="15"/>
  <c r="D230" i="50"/>
  <c r="H230" i="50" s="1"/>
  <c r="I230" i="52" s="1"/>
  <c r="C230" i="50"/>
  <c r="E230" i="50" s="1"/>
  <c r="C230" i="52" s="1"/>
  <c r="B230" i="15"/>
  <c r="D49" i="50"/>
  <c r="F49" i="50" s="1"/>
  <c r="D49" i="52" s="1"/>
  <c r="C49" i="50"/>
  <c r="E49" i="50" s="1"/>
  <c r="C49" i="52" s="1"/>
  <c r="B49" i="15"/>
  <c r="P49" i="46" l="1"/>
  <c r="P230" i="46"/>
  <c r="G49" i="23"/>
  <c r="G49" i="26" s="1"/>
  <c r="J49" i="26" s="1"/>
  <c r="O49" i="26" s="1"/>
  <c r="C49" i="7"/>
  <c r="K49" i="7" s="1"/>
  <c r="H49" i="87" s="1"/>
  <c r="C49" i="33"/>
  <c r="C234" i="7"/>
  <c r="K234" i="7" s="1"/>
  <c r="C234" i="33"/>
  <c r="F49" i="52"/>
  <c r="E49" i="51" s="1"/>
  <c r="E49" i="25"/>
  <c r="J49" i="6"/>
  <c r="K49" i="6" s="1"/>
  <c r="L49" i="6" s="1"/>
  <c r="M49" i="6" s="1"/>
  <c r="I230" i="23"/>
  <c r="D49" i="28"/>
  <c r="D49" i="51"/>
  <c r="F234" i="50"/>
  <c r="D234" i="52" s="1"/>
  <c r="J234" i="50"/>
  <c r="M234" i="52" s="1"/>
  <c r="E234" i="50"/>
  <c r="C234" i="52" s="1"/>
  <c r="I234" i="50"/>
  <c r="L234" i="52" s="1"/>
  <c r="G234" i="50"/>
  <c r="H234" i="52" s="1"/>
  <c r="D230" i="28"/>
  <c r="D230" i="51"/>
  <c r="D234" i="28"/>
  <c r="D234" i="51"/>
  <c r="O230" i="6"/>
  <c r="P230" i="6" s="1"/>
  <c r="H234" i="50"/>
  <c r="I234" i="52" s="1"/>
  <c r="F230" i="50"/>
  <c r="D230" i="52" s="1"/>
  <c r="F230" i="52" s="1"/>
  <c r="I230" i="50"/>
  <c r="L230" i="52" s="1"/>
  <c r="J230" i="50"/>
  <c r="M230" i="52" s="1"/>
  <c r="G230" i="50"/>
  <c r="H230" i="52" s="1"/>
  <c r="J230" i="52" s="1"/>
  <c r="I49" i="50"/>
  <c r="L49" i="52" s="1"/>
  <c r="J49" i="50"/>
  <c r="M49" i="52" s="1"/>
  <c r="H49" i="50"/>
  <c r="I49" i="52" s="1"/>
  <c r="G49" i="50"/>
  <c r="H49" i="52" s="1"/>
  <c r="Y230" i="33"/>
  <c r="S230" i="33"/>
  <c r="J234" i="23"/>
  <c r="I234" i="23"/>
  <c r="J230" i="23"/>
  <c r="J49" i="23"/>
  <c r="I234" i="21"/>
  <c r="N234" i="25" s="1"/>
  <c r="G230" i="21"/>
  <c r="D230" i="25" s="1"/>
  <c r="I49" i="21"/>
  <c r="N49" i="25" s="1"/>
  <c r="H49" i="21"/>
  <c r="M49" i="25" s="1"/>
  <c r="E49" i="28" l="1"/>
  <c r="F49" i="28" s="1"/>
  <c r="I49" i="46" s="1"/>
  <c r="N234" i="7"/>
  <c r="L49" i="7"/>
  <c r="M234" i="7"/>
  <c r="I234" i="87" s="1"/>
  <c r="L234" i="7"/>
  <c r="M49" i="7"/>
  <c r="O49" i="7" s="1"/>
  <c r="N49" i="52"/>
  <c r="I49" i="51" s="1"/>
  <c r="J49" i="51" s="1"/>
  <c r="G49" i="52"/>
  <c r="E49" i="54" s="1"/>
  <c r="G49" i="87"/>
  <c r="G234" i="87"/>
  <c r="N49" i="7"/>
  <c r="F49" i="45"/>
  <c r="J230" i="6"/>
  <c r="M230" i="6" s="1"/>
  <c r="O49" i="25"/>
  <c r="C49" i="54"/>
  <c r="E234" i="33"/>
  <c r="D234" i="33"/>
  <c r="I234" i="33"/>
  <c r="H234" i="33"/>
  <c r="G234" i="33"/>
  <c r="F234" i="33"/>
  <c r="F49" i="33"/>
  <c r="E49" i="33"/>
  <c r="G49" i="33"/>
  <c r="I49" i="33"/>
  <c r="D49" i="33"/>
  <c r="H49" i="33"/>
  <c r="N230" i="52"/>
  <c r="O230" i="52" s="1"/>
  <c r="H49" i="46"/>
  <c r="F49" i="51"/>
  <c r="P49" i="26" s="1"/>
  <c r="J49" i="52"/>
  <c r="N234" i="52"/>
  <c r="O234" i="52" s="1"/>
  <c r="N49" i="6"/>
  <c r="O49" i="6" s="1"/>
  <c r="P49" i="6" s="1"/>
  <c r="Q49" i="6" s="1"/>
  <c r="R49" i="6" s="1"/>
  <c r="G230" i="52"/>
  <c r="E230" i="54" s="1"/>
  <c r="E230" i="51"/>
  <c r="F230" i="51" s="1"/>
  <c r="P230" i="26" s="1"/>
  <c r="C230" i="54"/>
  <c r="U230" i="33"/>
  <c r="F234" i="52"/>
  <c r="J234" i="52"/>
  <c r="N230" i="6"/>
  <c r="Q230" i="6" s="1"/>
  <c r="J234" i="6"/>
  <c r="H234" i="87"/>
  <c r="N234" i="6"/>
  <c r="K230" i="52"/>
  <c r="G230" i="51"/>
  <c r="H230" i="51" s="1"/>
  <c r="T230" i="33"/>
  <c r="W230" i="33"/>
  <c r="X230" i="33"/>
  <c r="P234" i="7" l="1"/>
  <c r="BB234" i="7" s="1"/>
  <c r="C234" i="87"/>
  <c r="O234" i="7"/>
  <c r="G49" i="28"/>
  <c r="L49" i="46" s="1"/>
  <c r="P49" i="7"/>
  <c r="F49" i="39" s="1"/>
  <c r="O49" i="52"/>
  <c r="I49" i="87"/>
  <c r="C49" i="87" s="1"/>
  <c r="R230" i="6"/>
  <c r="Z230" i="6" s="1"/>
  <c r="I230" i="51"/>
  <c r="J230" i="51" s="1"/>
  <c r="V230" i="33"/>
  <c r="F234" i="39"/>
  <c r="I234" i="51"/>
  <c r="J234" i="51" s="1"/>
  <c r="P234" i="33"/>
  <c r="R234" i="33"/>
  <c r="Q234" i="33"/>
  <c r="Q49" i="33"/>
  <c r="R49" i="33"/>
  <c r="P49" i="33"/>
  <c r="O234" i="33"/>
  <c r="N234" i="33"/>
  <c r="L234" i="33"/>
  <c r="M234" i="33"/>
  <c r="K234" i="33"/>
  <c r="J234" i="33"/>
  <c r="L49" i="33"/>
  <c r="M49" i="33"/>
  <c r="N49" i="33"/>
  <c r="O49" i="33"/>
  <c r="J49" i="33"/>
  <c r="K49" i="33"/>
  <c r="O234" i="6"/>
  <c r="P234" i="6" s="1"/>
  <c r="Q234" i="6" s="1"/>
  <c r="K234" i="6"/>
  <c r="L234" i="6" s="1"/>
  <c r="M234" i="6" s="1"/>
  <c r="K49" i="52"/>
  <c r="G49" i="51"/>
  <c r="H49" i="51" s="1"/>
  <c r="AV49" i="7"/>
  <c r="AX49" i="7"/>
  <c r="AW49" i="7"/>
  <c r="AU49" i="7"/>
  <c r="Z49" i="7"/>
  <c r="I49" i="45"/>
  <c r="R49" i="26"/>
  <c r="G234" i="52"/>
  <c r="E234" i="54" s="1"/>
  <c r="C234" i="54"/>
  <c r="E234" i="51"/>
  <c r="F234" i="51" s="1"/>
  <c r="P234" i="26" s="1"/>
  <c r="I230" i="45"/>
  <c r="K234" i="52"/>
  <c r="G234" i="51"/>
  <c r="H234" i="51" s="1"/>
  <c r="Z234" i="7"/>
  <c r="AX234" i="7"/>
  <c r="AU234" i="7"/>
  <c r="AV234" i="7"/>
  <c r="AW234" i="7"/>
  <c r="H49" i="28"/>
  <c r="G49" i="45"/>
  <c r="Z230" i="33"/>
  <c r="BA234" i="7" l="1"/>
  <c r="AY234" i="7"/>
  <c r="AZ234" i="7"/>
  <c r="H230" i="28"/>
  <c r="J230" i="28" s="1"/>
  <c r="M230" i="46" s="1"/>
  <c r="G230" i="45"/>
  <c r="V230" i="6"/>
  <c r="W230" i="6"/>
  <c r="AB230" i="6"/>
  <c r="BB49" i="7"/>
  <c r="AZ49" i="7"/>
  <c r="AY49" i="7"/>
  <c r="BA49" i="7"/>
  <c r="AA230" i="6"/>
  <c r="T230" i="6"/>
  <c r="X230" i="6"/>
  <c r="Y230" i="6"/>
  <c r="AC230" i="6"/>
  <c r="U230" i="6"/>
  <c r="S49" i="33"/>
  <c r="X234" i="33"/>
  <c r="S234" i="33"/>
  <c r="Y234" i="33"/>
  <c r="W234" i="33"/>
  <c r="Y49" i="33"/>
  <c r="U234" i="33"/>
  <c r="T49" i="33"/>
  <c r="X49" i="33"/>
  <c r="W49" i="33"/>
  <c r="U49" i="33"/>
  <c r="T234" i="33"/>
  <c r="R234" i="6"/>
  <c r="Y234" i="6" s="1"/>
  <c r="U49" i="26"/>
  <c r="W49" i="26"/>
  <c r="Z49" i="26"/>
  <c r="V49" i="26"/>
  <c r="Y49" i="26"/>
  <c r="T49" i="26"/>
  <c r="X49" i="26"/>
  <c r="S49" i="26"/>
  <c r="D49" i="39"/>
  <c r="F49" i="87"/>
  <c r="O49" i="46"/>
  <c r="BJ49" i="7"/>
  <c r="BD49" i="7"/>
  <c r="BE49" i="7"/>
  <c r="BG49" i="7"/>
  <c r="BI49" i="7"/>
  <c r="BF49" i="7"/>
  <c r="BH49" i="7"/>
  <c r="BC49" i="7"/>
  <c r="I234" i="45"/>
  <c r="BH234" i="7"/>
  <c r="BI234" i="7"/>
  <c r="BJ234" i="7"/>
  <c r="O234" i="46"/>
  <c r="BG234" i="7"/>
  <c r="BC234" i="7"/>
  <c r="F234" i="87"/>
  <c r="BD234" i="7"/>
  <c r="BE234" i="7"/>
  <c r="BF234" i="7"/>
  <c r="D234" i="39"/>
  <c r="C291" i="51"/>
  <c r="C290" i="51"/>
  <c r="C289" i="51"/>
  <c r="C288" i="51"/>
  <c r="C287" i="51"/>
  <c r="C286" i="51"/>
  <c r="C285" i="51"/>
  <c r="C284" i="51"/>
  <c r="C283" i="51"/>
  <c r="C282" i="51"/>
  <c r="C280" i="51"/>
  <c r="C279" i="51"/>
  <c r="C278" i="51"/>
  <c r="C277" i="51"/>
  <c r="C276" i="51"/>
  <c r="C275" i="51"/>
  <c r="C274" i="51"/>
  <c r="C273" i="51"/>
  <c r="C272" i="51"/>
  <c r="C271" i="51"/>
  <c r="C270" i="51"/>
  <c r="C264" i="51"/>
  <c r="C263" i="51"/>
  <c r="D262" i="51"/>
  <c r="C262" i="51"/>
  <c r="D261" i="51"/>
  <c r="C261" i="51"/>
  <c r="D260" i="51"/>
  <c r="C260" i="51"/>
  <c r="C259" i="51"/>
  <c r="C258" i="51"/>
  <c r="C257" i="51"/>
  <c r="C256" i="51"/>
  <c r="C255" i="51"/>
  <c r="C254" i="51"/>
  <c r="C253" i="51"/>
  <c r="C252" i="51"/>
  <c r="C251" i="51"/>
  <c r="C250" i="51"/>
  <c r="C249" i="51"/>
  <c r="C248" i="51"/>
  <c r="C246" i="51"/>
  <c r="C245" i="51"/>
  <c r="C244" i="51"/>
  <c r="C243" i="51"/>
  <c r="C242" i="51"/>
  <c r="C241" i="51"/>
  <c r="C239" i="51"/>
  <c r="C238" i="51"/>
  <c r="C237" i="51"/>
  <c r="C236" i="51"/>
  <c r="C235" i="51"/>
  <c r="C233" i="51"/>
  <c r="C232" i="51"/>
  <c r="C231" i="51"/>
  <c r="C228" i="51"/>
  <c r="C227" i="51"/>
  <c r="C226" i="51"/>
  <c r="C225" i="51"/>
  <c r="C224" i="51"/>
  <c r="C223" i="51"/>
  <c r="C222" i="51"/>
  <c r="C221" i="51"/>
  <c r="C220" i="51"/>
  <c r="C219" i="51"/>
  <c r="C218" i="51"/>
  <c r="C217" i="51"/>
  <c r="C216" i="51"/>
  <c r="C215" i="51"/>
  <c r="C214" i="51"/>
  <c r="C213" i="51"/>
  <c r="C212" i="51"/>
  <c r="C211" i="51"/>
  <c r="C210" i="51"/>
  <c r="C209" i="51"/>
  <c r="C208" i="51"/>
  <c r="C207" i="51"/>
  <c r="C206" i="51"/>
  <c r="C205" i="51"/>
  <c r="C204" i="51"/>
  <c r="C203" i="51"/>
  <c r="C202" i="51"/>
  <c r="C201" i="51"/>
  <c r="C200" i="51"/>
  <c r="C199" i="51"/>
  <c r="C198" i="51"/>
  <c r="C197" i="51"/>
  <c r="C196" i="51"/>
  <c r="C195" i="51"/>
  <c r="C194" i="51"/>
  <c r="C193" i="51"/>
  <c r="C192" i="51"/>
  <c r="C191" i="51"/>
  <c r="C190" i="51"/>
  <c r="D189" i="51"/>
  <c r="C189" i="51"/>
  <c r="C188" i="51"/>
  <c r="C187" i="51"/>
  <c r="C186" i="51"/>
  <c r="C185" i="51"/>
  <c r="C184" i="51"/>
  <c r="C183" i="51"/>
  <c r="C182" i="51"/>
  <c r="C181" i="51"/>
  <c r="C180" i="51"/>
  <c r="C179" i="51"/>
  <c r="C178" i="51"/>
  <c r="C177" i="51"/>
  <c r="C176" i="51"/>
  <c r="C175" i="51"/>
  <c r="C174" i="51"/>
  <c r="C173" i="51"/>
  <c r="C172" i="51"/>
  <c r="C171" i="51"/>
  <c r="C170" i="51"/>
  <c r="C169" i="51"/>
  <c r="C168" i="51"/>
  <c r="C167" i="51"/>
  <c r="C166" i="51"/>
  <c r="C165" i="51"/>
  <c r="C164" i="51"/>
  <c r="C163" i="51"/>
  <c r="C162" i="51"/>
  <c r="C161" i="51"/>
  <c r="C160" i="51"/>
  <c r="C159" i="51"/>
  <c r="C158" i="51"/>
  <c r="C157" i="51"/>
  <c r="C156" i="51"/>
  <c r="C155" i="51"/>
  <c r="C154" i="51"/>
  <c r="C153" i="51"/>
  <c r="C152" i="51"/>
  <c r="C151" i="51"/>
  <c r="C150" i="51"/>
  <c r="C149" i="51"/>
  <c r="C148" i="51"/>
  <c r="C147" i="51"/>
  <c r="C145" i="51"/>
  <c r="C144" i="51"/>
  <c r="C143" i="51"/>
  <c r="C142" i="51"/>
  <c r="C141" i="51"/>
  <c r="C140" i="51"/>
  <c r="C139" i="51"/>
  <c r="C138" i="51"/>
  <c r="C137" i="51"/>
  <c r="C136" i="51"/>
  <c r="C135" i="51"/>
  <c r="C134" i="51"/>
  <c r="C133" i="51"/>
  <c r="C132" i="51"/>
  <c r="C131" i="51"/>
  <c r="C130" i="51"/>
  <c r="C129" i="51"/>
  <c r="C128" i="51"/>
  <c r="C127" i="51"/>
  <c r="C126" i="51"/>
  <c r="C125" i="51"/>
  <c r="C124" i="51"/>
  <c r="C123" i="51"/>
  <c r="C122" i="51"/>
  <c r="C121" i="51"/>
  <c r="C120" i="51"/>
  <c r="C119" i="51"/>
  <c r="C118" i="51"/>
  <c r="C117" i="51"/>
  <c r="C116" i="51"/>
  <c r="C115" i="51"/>
  <c r="C114" i="51"/>
  <c r="C113" i="51"/>
  <c r="C112" i="51"/>
  <c r="C111" i="51"/>
  <c r="C110" i="51"/>
  <c r="C109" i="51"/>
  <c r="C108" i="51"/>
  <c r="C107" i="51"/>
  <c r="C106" i="51"/>
  <c r="C105" i="51"/>
  <c r="C104" i="51"/>
  <c r="C103" i="51"/>
  <c r="C102" i="51"/>
  <c r="C101" i="51"/>
  <c r="C100" i="51"/>
  <c r="C99" i="51"/>
  <c r="C98" i="51"/>
  <c r="C97" i="51"/>
  <c r="C96" i="51"/>
  <c r="C95" i="51"/>
  <c r="C94" i="51"/>
  <c r="C93" i="51"/>
  <c r="C92" i="51"/>
  <c r="C91" i="51"/>
  <c r="C90" i="51"/>
  <c r="C89" i="51"/>
  <c r="C88" i="51"/>
  <c r="C87" i="51"/>
  <c r="C86" i="51"/>
  <c r="C85" i="51"/>
  <c r="C84" i="51"/>
  <c r="C83" i="51"/>
  <c r="C82" i="51"/>
  <c r="C81" i="51"/>
  <c r="C80" i="51"/>
  <c r="C79" i="51"/>
  <c r="C77" i="51"/>
  <c r="C76" i="51"/>
  <c r="C75" i="51"/>
  <c r="C74" i="51"/>
  <c r="C73" i="51"/>
  <c r="C72" i="51"/>
  <c r="C71" i="51"/>
  <c r="C70" i="51"/>
  <c r="C69" i="51"/>
  <c r="C68" i="51"/>
  <c r="C67" i="51"/>
  <c r="C66" i="51"/>
  <c r="C65" i="51"/>
  <c r="C64" i="51"/>
  <c r="C63" i="51"/>
  <c r="C62" i="51"/>
  <c r="C61" i="51"/>
  <c r="C60" i="51"/>
  <c r="C59" i="51"/>
  <c r="C58" i="51"/>
  <c r="C57" i="51"/>
  <c r="C56" i="51"/>
  <c r="C55" i="51"/>
  <c r="C54" i="51"/>
  <c r="C53" i="51"/>
  <c r="C51" i="51"/>
  <c r="C50" i="51"/>
  <c r="C48" i="51"/>
  <c r="C47" i="51"/>
  <c r="C45" i="51"/>
  <c r="C44" i="51"/>
  <c r="C43" i="51"/>
  <c r="C42" i="51"/>
  <c r="C41" i="51"/>
  <c r="C40" i="51"/>
  <c r="C39" i="51"/>
  <c r="C38" i="51"/>
  <c r="C37" i="51"/>
  <c r="C36" i="51"/>
  <c r="C35" i="51"/>
  <c r="C34" i="51"/>
  <c r="C33" i="51"/>
  <c r="C32" i="51"/>
  <c r="C31" i="51"/>
  <c r="C30" i="51"/>
  <c r="C29" i="51"/>
  <c r="C28" i="51"/>
  <c r="C27" i="51"/>
  <c r="C26" i="51"/>
  <c r="C25" i="51"/>
  <c r="C24" i="51"/>
  <c r="C23" i="51"/>
  <c r="C22" i="51"/>
  <c r="C20" i="51"/>
  <c r="C19" i="51"/>
  <c r="C18" i="51"/>
  <c r="C17" i="51"/>
  <c r="C16" i="51"/>
  <c r="C15" i="51"/>
  <c r="C14" i="51"/>
  <c r="C13" i="51"/>
  <c r="C11" i="51"/>
  <c r="C10" i="51"/>
  <c r="C9" i="51"/>
  <c r="C8" i="51"/>
  <c r="D6" i="51"/>
  <c r="C6" i="51"/>
  <c r="C5" i="51"/>
  <c r="I230" i="28" l="1"/>
  <c r="J230" i="46" s="1"/>
  <c r="V234" i="33"/>
  <c r="Z234" i="33"/>
  <c r="X49" i="87"/>
  <c r="T49" i="87"/>
  <c r="U49" i="87"/>
  <c r="V49" i="87"/>
  <c r="W49" i="87"/>
  <c r="R49" i="87"/>
  <c r="S49" i="87"/>
  <c r="Z49" i="33"/>
  <c r="X234" i="87"/>
  <c r="V234" i="87"/>
  <c r="U234" i="87"/>
  <c r="W234" i="87"/>
  <c r="T234" i="87"/>
  <c r="S234" i="87"/>
  <c r="R234" i="87"/>
  <c r="V49" i="33"/>
  <c r="W234" i="6"/>
  <c r="U234" i="6"/>
  <c r="X234" i="6"/>
  <c r="V234" i="6"/>
  <c r="AA234" i="6"/>
  <c r="AB234" i="6"/>
  <c r="G234" i="45"/>
  <c r="AC234" i="6"/>
  <c r="H234" i="28"/>
  <c r="T234" i="6"/>
  <c r="Z234" i="6"/>
  <c r="L11" i="7" l="1"/>
  <c r="K11" i="7"/>
  <c r="L10" i="7"/>
  <c r="K10" i="7"/>
  <c r="G11" i="87" l="1"/>
  <c r="G10" i="87"/>
  <c r="J291" i="87"/>
  <c r="J290" i="87"/>
  <c r="J289" i="87"/>
  <c r="J288" i="87"/>
  <c r="J287" i="87"/>
  <c r="J286" i="87"/>
  <c r="J285" i="87"/>
  <c r="J284" i="87"/>
  <c r="J283" i="87"/>
  <c r="J282" i="87"/>
  <c r="J280" i="87"/>
  <c r="J279" i="87"/>
  <c r="J278" i="87"/>
  <c r="J277" i="87"/>
  <c r="J276" i="87"/>
  <c r="J275" i="87"/>
  <c r="J274" i="87"/>
  <c r="J273" i="87"/>
  <c r="J272" i="87"/>
  <c r="J271" i="87"/>
  <c r="J270" i="87"/>
  <c r="J264" i="87"/>
  <c r="J263" i="87"/>
  <c r="J262" i="87"/>
  <c r="J261" i="87"/>
  <c r="J260" i="87"/>
  <c r="J259" i="87"/>
  <c r="J258" i="87"/>
  <c r="J257" i="87"/>
  <c r="J256" i="87"/>
  <c r="J255" i="87"/>
  <c r="J254" i="87"/>
  <c r="J253" i="87"/>
  <c r="J252" i="87"/>
  <c r="J251" i="87"/>
  <c r="J250" i="87"/>
  <c r="J249" i="87"/>
  <c r="J248" i="87"/>
  <c r="J246" i="87"/>
  <c r="J245" i="87"/>
  <c r="J244" i="87"/>
  <c r="J243" i="87"/>
  <c r="J242" i="87"/>
  <c r="J241" i="87"/>
  <c r="J239" i="87"/>
  <c r="J238" i="87"/>
  <c r="J237" i="87"/>
  <c r="J236" i="87"/>
  <c r="J235" i="87"/>
  <c r="J233" i="87"/>
  <c r="J232" i="87"/>
  <c r="J231"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J108" i="87"/>
  <c r="J107" i="87"/>
  <c r="J106" i="87"/>
  <c r="J105" i="87"/>
  <c r="J104" i="87"/>
  <c r="J103" i="87"/>
  <c r="J102" i="87"/>
  <c r="J101" i="87"/>
  <c r="J100" i="87"/>
  <c r="J99" i="87"/>
  <c r="J98" i="87"/>
  <c r="J97" i="87"/>
  <c r="J96" i="87"/>
  <c r="J95" i="87"/>
  <c r="J94" i="87"/>
  <c r="J93" i="87"/>
  <c r="J92" i="87"/>
  <c r="J91" i="87"/>
  <c r="J90" i="87"/>
  <c r="J89" i="87"/>
  <c r="J88" i="87"/>
  <c r="J87" i="87"/>
  <c r="J86" i="87"/>
  <c r="J85" i="87"/>
  <c r="J84" i="87"/>
  <c r="J83" i="87"/>
  <c r="J82" i="87"/>
  <c r="J81" i="87"/>
  <c r="J80" i="87"/>
  <c r="J79" i="87"/>
  <c r="J77" i="87"/>
  <c r="J76" i="87"/>
  <c r="J75" i="87"/>
  <c r="J74" i="87"/>
  <c r="J73" i="87"/>
  <c r="J72" i="87"/>
  <c r="J71" i="87"/>
  <c r="J70" i="87"/>
  <c r="J69" i="87"/>
  <c r="J68" i="87"/>
  <c r="J67" i="87"/>
  <c r="J66" i="87"/>
  <c r="J65" i="87"/>
  <c r="J64" i="87"/>
  <c r="J63" i="87"/>
  <c r="J62" i="87"/>
  <c r="J61" i="87"/>
  <c r="J60" i="87"/>
  <c r="J59" i="87"/>
  <c r="J58" i="87"/>
  <c r="J57" i="87"/>
  <c r="J56" i="87"/>
  <c r="J55" i="87"/>
  <c r="J54" i="87"/>
  <c r="J53" i="87"/>
  <c r="J51" i="87"/>
  <c r="J50" i="87"/>
  <c r="J48" i="87"/>
  <c r="J47" i="87"/>
  <c r="J45" i="87"/>
  <c r="J44" i="87"/>
  <c r="J43" i="87"/>
  <c r="J42" i="87"/>
  <c r="J41" i="87"/>
  <c r="J40" i="87"/>
  <c r="J39" i="87"/>
  <c r="J38" i="87"/>
  <c r="J37" i="87"/>
  <c r="J36" i="87"/>
  <c r="J35" i="87"/>
  <c r="J34" i="87"/>
  <c r="J33" i="87"/>
  <c r="J32" i="87"/>
  <c r="J31" i="87"/>
  <c r="J30" i="87"/>
  <c r="J29" i="87"/>
  <c r="J28" i="87"/>
  <c r="J27" i="87"/>
  <c r="J26" i="87"/>
  <c r="J25" i="87"/>
  <c r="J24" i="87"/>
  <c r="J23" i="87"/>
  <c r="J22" i="87"/>
  <c r="J20" i="87"/>
  <c r="J19" i="87"/>
  <c r="J18" i="87"/>
  <c r="J17" i="87"/>
  <c r="J16" i="87"/>
  <c r="J15" i="87"/>
  <c r="J14" i="87"/>
  <c r="J13" i="87"/>
  <c r="J11" i="87"/>
  <c r="J10" i="87"/>
  <c r="J9" i="87"/>
  <c r="J8" i="87"/>
  <c r="J6" i="87"/>
  <c r="J5" i="87"/>
  <c r="J4" i="87"/>
  <c r="A16" i="50" l="1"/>
  <c r="A15" i="50"/>
  <c r="A14" i="50"/>
  <c r="A13" i="50"/>
  <c r="A16" i="52"/>
  <c r="A15" i="52"/>
  <c r="A14" i="52"/>
  <c r="A13" i="52"/>
  <c r="A16" i="33"/>
  <c r="A15" i="33"/>
  <c r="A14" i="33"/>
  <c r="A13" i="33"/>
  <c r="A16" i="7"/>
  <c r="A15" i="7"/>
  <c r="A14" i="7"/>
  <c r="A13" i="7"/>
  <c r="A16" i="51"/>
  <c r="A15" i="51"/>
  <c r="A14" i="51"/>
  <c r="A13" i="51"/>
  <c r="A16" i="39"/>
  <c r="A15" i="39"/>
  <c r="A14" i="39"/>
  <c r="A13" i="39"/>
  <c r="A16" i="23"/>
  <c r="A15" i="23"/>
  <c r="A14" i="23"/>
  <c r="A13" i="23"/>
  <c r="A16" i="6"/>
  <c r="A15" i="6"/>
  <c r="A14" i="6"/>
  <c r="A13" i="6"/>
  <c r="A16" i="26"/>
  <c r="A15" i="26"/>
  <c r="A14" i="26"/>
  <c r="A13" i="26"/>
  <c r="A16" i="28"/>
  <c r="A15" i="28"/>
  <c r="A14" i="28"/>
  <c r="A13" i="28"/>
  <c r="A16" i="21"/>
  <c r="A15" i="21"/>
  <c r="A14" i="21"/>
  <c r="A13" i="21"/>
  <c r="A16" i="25"/>
  <c r="A15" i="25"/>
  <c r="A14" i="25"/>
  <c r="A13" i="25"/>
  <c r="A16" i="15"/>
  <c r="A15" i="15"/>
  <c r="A14" i="15"/>
  <c r="A13" i="15"/>
  <c r="A16" i="54"/>
  <c r="A15" i="54"/>
  <c r="A14" i="54"/>
  <c r="A13" i="54"/>
  <c r="B16" i="54" l="1"/>
  <c r="B14" i="54"/>
  <c r="B13" i="54"/>
  <c r="N16" i="87"/>
  <c r="M16" i="87"/>
  <c r="D16" i="87" s="1"/>
  <c r="K16" i="87"/>
  <c r="P16" i="87"/>
  <c r="B16" i="87"/>
  <c r="N14" i="87"/>
  <c r="M14" i="87"/>
  <c r="D14" i="87" s="1"/>
  <c r="K14" i="87"/>
  <c r="P14" i="87"/>
  <c r="B14" i="87"/>
  <c r="N13" i="87"/>
  <c r="M13" i="87"/>
  <c r="D13" i="87" s="1"/>
  <c r="K13" i="87"/>
  <c r="P13" i="87"/>
  <c r="B13" i="87"/>
  <c r="B16" i="45"/>
  <c r="B14" i="45"/>
  <c r="B13" i="45"/>
  <c r="B16" i="46"/>
  <c r="B14" i="46"/>
  <c r="B13" i="46"/>
  <c r="B16" i="28"/>
  <c r="B14" i="28"/>
  <c r="B13" i="28"/>
  <c r="F16" i="26"/>
  <c r="F14" i="26"/>
  <c r="F13" i="26"/>
  <c r="H13" i="26" s="1"/>
  <c r="I13" i="26" s="1"/>
  <c r="B16" i="26"/>
  <c r="B14" i="26"/>
  <c r="B13" i="26"/>
  <c r="H16" i="39"/>
  <c r="B16" i="39"/>
  <c r="H14" i="39"/>
  <c r="B14" i="39"/>
  <c r="H13" i="39"/>
  <c r="B13" i="39"/>
  <c r="B16" i="51"/>
  <c r="B14" i="51"/>
  <c r="B13" i="51"/>
  <c r="E16" i="52"/>
  <c r="B16" i="52"/>
  <c r="E14" i="52"/>
  <c r="B14" i="52"/>
  <c r="E13" i="52"/>
  <c r="B13" i="52"/>
  <c r="Y16" i="7"/>
  <c r="L16" i="87" s="1"/>
  <c r="W16" i="7"/>
  <c r="Y14" i="7"/>
  <c r="L14" i="87" s="1"/>
  <c r="W14" i="7"/>
  <c r="Y13" i="7"/>
  <c r="L13" i="87" s="1"/>
  <c r="W13" i="7"/>
  <c r="B16" i="7"/>
  <c r="B14" i="7"/>
  <c r="B13" i="7"/>
  <c r="I16" i="6"/>
  <c r="K16" i="6" s="1"/>
  <c r="L16" i="6" s="1"/>
  <c r="I14" i="6"/>
  <c r="K14" i="6" s="1"/>
  <c r="L14" i="6" s="1"/>
  <c r="I13" i="6"/>
  <c r="O16" i="6" l="1"/>
  <c r="P16" i="6" s="1"/>
  <c r="E16" i="87"/>
  <c r="E13" i="87"/>
  <c r="E14" i="87"/>
  <c r="O14" i="6"/>
  <c r="P14" i="6" s="1"/>
  <c r="B16" i="6"/>
  <c r="B14" i="6"/>
  <c r="B13" i="6"/>
  <c r="J16" i="25"/>
  <c r="I16" i="25"/>
  <c r="J14" i="25"/>
  <c r="I14" i="25"/>
  <c r="J13" i="25"/>
  <c r="I13" i="25"/>
  <c r="D16" i="50"/>
  <c r="F16" i="50" s="1"/>
  <c r="D16" i="52" s="1"/>
  <c r="B16" i="50"/>
  <c r="D14" i="50"/>
  <c r="J14" i="50" s="1"/>
  <c r="M14" i="52" s="1"/>
  <c r="B14" i="50"/>
  <c r="D13" i="50"/>
  <c r="J13" i="50" s="1"/>
  <c r="M13" i="52" s="1"/>
  <c r="B13" i="50"/>
  <c r="B16" i="33"/>
  <c r="B14" i="33"/>
  <c r="B13" i="33"/>
  <c r="F16" i="23"/>
  <c r="E16" i="23"/>
  <c r="D16" i="23"/>
  <c r="H16" i="23" s="1"/>
  <c r="K16" i="26" s="1"/>
  <c r="L16" i="26" s="1"/>
  <c r="M16" i="26" s="1"/>
  <c r="N16" i="26" s="1"/>
  <c r="C16" i="23"/>
  <c r="B16" i="23"/>
  <c r="F14" i="23"/>
  <c r="E14" i="23"/>
  <c r="D14" i="23"/>
  <c r="J14" i="23" s="1"/>
  <c r="N14" i="6" s="1"/>
  <c r="C14" i="23"/>
  <c r="I14" i="23" s="1"/>
  <c r="J14" i="6" s="1"/>
  <c r="M14" i="6" s="1"/>
  <c r="B14" i="23"/>
  <c r="F13" i="23"/>
  <c r="E13" i="23"/>
  <c r="D13" i="23"/>
  <c r="H13" i="23" s="1"/>
  <c r="K13" i="26" s="1"/>
  <c r="L13" i="26" s="1"/>
  <c r="M13" i="26" s="1"/>
  <c r="N13" i="26" s="1"/>
  <c r="C13" i="23"/>
  <c r="I13" i="23" s="1"/>
  <c r="J13" i="6" s="1"/>
  <c r="K13" i="6" s="1"/>
  <c r="L13" i="6" s="1"/>
  <c r="M13" i="6" s="1"/>
  <c r="B13" i="23"/>
  <c r="E16" i="21"/>
  <c r="D16" i="21"/>
  <c r="G16" i="21" s="1"/>
  <c r="D16" i="25" s="1"/>
  <c r="C16" i="21"/>
  <c r="B16" i="21"/>
  <c r="E14" i="21"/>
  <c r="D14" i="21"/>
  <c r="G14" i="21" s="1"/>
  <c r="D14" i="25" s="1"/>
  <c r="C14" i="21"/>
  <c r="H14" i="21" s="1"/>
  <c r="M14" i="25" s="1"/>
  <c r="B14" i="21"/>
  <c r="E13" i="21"/>
  <c r="D13" i="21"/>
  <c r="C13" i="21"/>
  <c r="H13" i="21" s="1"/>
  <c r="M13" i="25" s="1"/>
  <c r="B13" i="21"/>
  <c r="B16" i="25"/>
  <c r="B14" i="25"/>
  <c r="B13" i="25"/>
  <c r="G13" i="21" l="1"/>
  <c r="D13" i="25" s="1"/>
  <c r="C14" i="7"/>
  <c r="L14" i="7" s="1"/>
  <c r="C14" i="33"/>
  <c r="C13" i="7"/>
  <c r="K13" i="7" s="1"/>
  <c r="C13" i="33"/>
  <c r="C16" i="7"/>
  <c r="L16" i="7" s="1"/>
  <c r="C16" i="33"/>
  <c r="P13" i="46"/>
  <c r="P14" i="46"/>
  <c r="P16" i="46"/>
  <c r="G13" i="23"/>
  <c r="G13" i="26" s="1"/>
  <c r="J13" i="26" s="1"/>
  <c r="O13" i="26" s="1"/>
  <c r="I16" i="21"/>
  <c r="N16" i="25" s="1"/>
  <c r="J16" i="23"/>
  <c r="N16" i="6" s="1"/>
  <c r="Q16" i="6" s="1"/>
  <c r="I14" i="21"/>
  <c r="N14" i="25" s="1"/>
  <c r="O14" i="25" s="1"/>
  <c r="Q14" i="6"/>
  <c r="R14" i="6" s="1"/>
  <c r="AA14" i="6" s="1"/>
  <c r="I16" i="23"/>
  <c r="H16" i="50"/>
  <c r="I16" i="52" s="1"/>
  <c r="J16" i="50"/>
  <c r="M16" i="52" s="1"/>
  <c r="I13" i="21"/>
  <c r="N13" i="25" s="1"/>
  <c r="O13" i="25" s="1"/>
  <c r="F13" i="50"/>
  <c r="D13" i="52" s="1"/>
  <c r="H13" i="50"/>
  <c r="I13" i="52" s="1"/>
  <c r="F14" i="50"/>
  <c r="D14" i="52" s="1"/>
  <c r="H14" i="50"/>
  <c r="I14" i="52" s="1"/>
  <c r="H14" i="23"/>
  <c r="K14" i="26" s="1"/>
  <c r="G14" i="23"/>
  <c r="G14" i="26" s="1"/>
  <c r="J13" i="23"/>
  <c r="F13" i="21"/>
  <c r="C13" i="25" s="1"/>
  <c r="F14" i="21"/>
  <c r="C14" i="25" s="1"/>
  <c r="E14" i="25" s="1"/>
  <c r="C16" i="50"/>
  <c r="C14" i="50"/>
  <c r="I14" i="50" s="1"/>
  <c r="L14" i="52" s="1"/>
  <c r="N14" i="52" s="1"/>
  <c r="I14" i="51" s="1"/>
  <c r="C13" i="50"/>
  <c r="D16" i="51"/>
  <c r="D14" i="51"/>
  <c r="D13" i="51"/>
  <c r="B16" i="15"/>
  <c r="B14" i="15"/>
  <c r="B13" i="15"/>
  <c r="M16" i="7" l="1"/>
  <c r="I16" i="87" s="1"/>
  <c r="E13" i="25"/>
  <c r="H13" i="46" s="1"/>
  <c r="G14" i="87"/>
  <c r="M14" i="7"/>
  <c r="I14" i="87" s="1"/>
  <c r="M13" i="7"/>
  <c r="I13" i="87" s="1"/>
  <c r="K14" i="7"/>
  <c r="L13" i="7"/>
  <c r="G13" i="87"/>
  <c r="N13" i="7"/>
  <c r="N14" i="7"/>
  <c r="P14" i="7" s="1"/>
  <c r="N16" i="7"/>
  <c r="P16" i="7" s="1"/>
  <c r="K16" i="7"/>
  <c r="G16" i="87"/>
  <c r="F16" i="33"/>
  <c r="E16" i="33"/>
  <c r="I16" i="33"/>
  <c r="D16" i="33"/>
  <c r="H16" i="33"/>
  <c r="G16" i="33"/>
  <c r="I13" i="33"/>
  <c r="G13" i="33"/>
  <c r="F13" i="33"/>
  <c r="D13" i="33"/>
  <c r="H13" i="33"/>
  <c r="E13" i="33"/>
  <c r="D14" i="33"/>
  <c r="H14" i="33"/>
  <c r="G14" i="33"/>
  <c r="F14" i="33"/>
  <c r="E14" i="33"/>
  <c r="I14" i="33"/>
  <c r="L14" i="26"/>
  <c r="M14" i="26" s="1"/>
  <c r="N14" i="26" s="1"/>
  <c r="J14" i="51"/>
  <c r="H14" i="26"/>
  <c r="I14" i="26" s="1"/>
  <c r="J14" i="26" s="1"/>
  <c r="E13" i="28"/>
  <c r="F13" i="28" s="1"/>
  <c r="I13" i="46" s="1"/>
  <c r="F13" i="45"/>
  <c r="Y14" i="6"/>
  <c r="W14" i="6"/>
  <c r="V14" i="6"/>
  <c r="AC14" i="6"/>
  <c r="U14" i="6"/>
  <c r="AB14" i="6"/>
  <c r="X14" i="6"/>
  <c r="C13" i="28"/>
  <c r="C13" i="39"/>
  <c r="C14" i="28"/>
  <c r="H14" i="46"/>
  <c r="C14" i="39"/>
  <c r="C16" i="39"/>
  <c r="D14" i="28"/>
  <c r="D16" i="28"/>
  <c r="G14" i="50"/>
  <c r="H14" i="52" s="1"/>
  <c r="J14" i="52" s="1"/>
  <c r="G14" i="51" s="1"/>
  <c r="H14" i="51" s="1"/>
  <c r="O14" i="52"/>
  <c r="N13" i="6"/>
  <c r="O13" i="6" s="1"/>
  <c r="P13" i="6" s="1"/>
  <c r="Q13" i="6" s="1"/>
  <c r="R13" i="6" s="1"/>
  <c r="H14" i="28"/>
  <c r="G14" i="45"/>
  <c r="E14" i="50"/>
  <c r="C14" i="52" s="1"/>
  <c r="F14" i="52" s="1"/>
  <c r="E14" i="51" s="1"/>
  <c r="F14" i="51" s="1"/>
  <c r="Z14" i="6"/>
  <c r="T14" i="6"/>
  <c r="C16" i="28"/>
  <c r="D13" i="28"/>
  <c r="J16" i="6"/>
  <c r="M16" i="6" s="1"/>
  <c r="R16" i="6" s="1"/>
  <c r="O16" i="7" l="1"/>
  <c r="O13" i="7"/>
  <c r="O14" i="7"/>
  <c r="P13" i="7"/>
  <c r="BB13" i="7" s="1"/>
  <c r="P13" i="33"/>
  <c r="R13" i="33"/>
  <c r="Q13" i="33"/>
  <c r="J13" i="33"/>
  <c r="L13" i="33"/>
  <c r="O13" i="33"/>
  <c r="M13" i="33"/>
  <c r="N13" i="33"/>
  <c r="K13" i="33"/>
  <c r="R14" i="33"/>
  <c r="Q14" i="33"/>
  <c r="P14" i="33"/>
  <c r="M16" i="33"/>
  <c r="L16" i="33"/>
  <c r="K16" i="33"/>
  <c r="J16" i="33"/>
  <c r="N16" i="33"/>
  <c r="O16" i="33"/>
  <c r="O14" i="33"/>
  <c r="N14" i="33"/>
  <c r="M14" i="33"/>
  <c r="L14" i="33"/>
  <c r="J14" i="33"/>
  <c r="K14" i="33"/>
  <c r="R16" i="33"/>
  <c r="P16" i="33"/>
  <c r="Q16" i="33"/>
  <c r="G13" i="28"/>
  <c r="L13" i="46" s="1"/>
  <c r="O14" i="26"/>
  <c r="AZ14" i="7"/>
  <c r="F14" i="39"/>
  <c r="G14" i="39" s="1"/>
  <c r="AY14" i="7"/>
  <c r="BB14" i="7"/>
  <c r="BA14" i="7"/>
  <c r="I14" i="28"/>
  <c r="J14" i="46" s="1"/>
  <c r="J14" i="28"/>
  <c r="M14" i="46" s="1"/>
  <c r="H16" i="28"/>
  <c r="G16" i="45"/>
  <c r="U16" i="6"/>
  <c r="T16" i="6"/>
  <c r="Z16" i="6"/>
  <c r="AC16" i="6"/>
  <c r="AB16" i="6"/>
  <c r="AA16" i="6"/>
  <c r="X16" i="6"/>
  <c r="W16" i="6"/>
  <c r="V16" i="6"/>
  <c r="Y16" i="6"/>
  <c r="T13" i="6"/>
  <c r="AC13" i="6"/>
  <c r="V13" i="6"/>
  <c r="AB13" i="6"/>
  <c r="W13" i="6"/>
  <c r="Z13" i="6"/>
  <c r="U13" i="6"/>
  <c r="H13" i="28"/>
  <c r="X13" i="6"/>
  <c r="G13" i="45"/>
  <c r="Y13" i="6"/>
  <c r="AA13" i="6"/>
  <c r="H13" i="87"/>
  <c r="C13" i="87" s="1"/>
  <c r="K13" i="39"/>
  <c r="I13" i="39"/>
  <c r="K14" i="52"/>
  <c r="H14" i="87"/>
  <c r="C14" i="87" s="1"/>
  <c r="K16" i="39"/>
  <c r="I16" i="39"/>
  <c r="G14" i="52"/>
  <c r="E14" i="54" s="1"/>
  <c r="C14" i="54"/>
  <c r="P14" i="26"/>
  <c r="K14" i="39"/>
  <c r="I14" i="39"/>
  <c r="H16" i="87"/>
  <c r="C16" i="87" s="1"/>
  <c r="P14" i="28"/>
  <c r="O14" i="28"/>
  <c r="O13" i="28"/>
  <c r="P13" i="28"/>
  <c r="P246" i="87"/>
  <c r="P245" i="87"/>
  <c r="P244" i="87"/>
  <c r="P243" i="87"/>
  <c r="P242" i="87"/>
  <c r="P241" i="87"/>
  <c r="P239" i="87"/>
  <c r="P238" i="87"/>
  <c r="P237" i="87"/>
  <c r="P236" i="87"/>
  <c r="P235" i="87"/>
  <c r="P233" i="87"/>
  <c r="P232" i="87"/>
  <c r="P231" i="87"/>
  <c r="P228" i="87"/>
  <c r="P227" i="87"/>
  <c r="P226" i="87"/>
  <c r="P225" i="87"/>
  <c r="P224" i="87"/>
  <c r="P223" i="87"/>
  <c r="P222" i="87"/>
  <c r="P221" i="87"/>
  <c r="P220" i="87"/>
  <c r="P219" i="87"/>
  <c r="P218" i="87"/>
  <c r="P217" i="87"/>
  <c r="P216" i="87"/>
  <c r="P215" i="87"/>
  <c r="P214" i="87"/>
  <c r="P213" i="87"/>
  <c r="P212" i="87"/>
  <c r="P211" i="87"/>
  <c r="P210" i="87"/>
  <c r="P209" i="87"/>
  <c r="P208" i="87"/>
  <c r="P207" i="87"/>
  <c r="P206" i="87"/>
  <c r="P205" i="87"/>
  <c r="P204" i="87"/>
  <c r="P203" i="87"/>
  <c r="P202" i="87"/>
  <c r="P201" i="87"/>
  <c r="P200" i="87"/>
  <c r="P199" i="87"/>
  <c r="P198" i="87"/>
  <c r="P197" i="87"/>
  <c r="P196" i="87"/>
  <c r="P195" i="87"/>
  <c r="P194" i="87"/>
  <c r="P193" i="87"/>
  <c r="P192" i="87"/>
  <c r="P191" i="87"/>
  <c r="P190" i="87"/>
  <c r="P189" i="87"/>
  <c r="P188" i="87"/>
  <c r="P187" i="87"/>
  <c r="P186" i="87"/>
  <c r="P185" i="87"/>
  <c r="P184" i="87"/>
  <c r="P183" i="87"/>
  <c r="P182" i="87"/>
  <c r="P181" i="87"/>
  <c r="P180" i="87"/>
  <c r="P179" i="87"/>
  <c r="P178" i="87"/>
  <c r="P177" i="87"/>
  <c r="P176" i="87"/>
  <c r="P175" i="87"/>
  <c r="P174" i="87"/>
  <c r="P173" i="87"/>
  <c r="P172" i="87"/>
  <c r="P171" i="87"/>
  <c r="P170" i="87"/>
  <c r="P169" i="87"/>
  <c r="P168" i="87"/>
  <c r="P167" i="87"/>
  <c r="P166" i="87"/>
  <c r="P165" i="87"/>
  <c r="P164" i="87"/>
  <c r="P163" i="87"/>
  <c r="P162" i="87"/>
  <c r="P161" i="87"/>
  <c r="P160" i="87"/>
  <c r="P159" i="87"/>
  <c r="P158" i="87"/>
  <c r="P157" i="87"/>
  <c r="P156" i="87"/>
  <c r="P155" i="87"/>
  <c r="P154" i="87"/>
  <c r="P153" i="87"/>
  <c r="P152" i="87"/>
  <c r="P151" i="87"/>
  <c r="P150" i="87"/>
  <c r="P149" i="87"/>
  <c r="P148" i="87"/>
  <c r="P147" i="87"/>
  <c r="P145" i="87"/>
  <c r="P144" i="87"/>
  <c r="P143" i="87"/>
  <c r="P142" i="87"/>
  <c r="P141" i="87"/>
  <c r="P140" i="87"/>
  <c r="P139" i="87"/>
  <c r="P138" i="87"/>
  <c r="P137" i="87"/>
  <c r="P136" i="87"/>
  <c r="P135" i="87"/>
  <c r="P134" i="87"/>
  <c r="P133" i="87"/>
  <c r="P132" i="87"/>
  <c r="P131" i="87"/>
  <c r="P130" i="87"/>
  <c r="P129" i="87"/>
  <c r="P128" i="87"/>
  <c r="P127" i="87"/>
  <c r="P126" i="87"/>
  <c r="P125" i="87"/>
  <c r="P124" i="87"/>
  <c r="P123" i="87"/>
  <c r="P122" i="87"/>
  <c r="P121" i="87"/>
  <c r="P120" i="87"/>
  <c r="P119" i="87"/>
  <c r="P118" i="87"/>
  <c r="P117" i="87"/>
  <c r="P116" i="87"/>
  <c r="P115" i="87"/>
  <c r="P114" i="87"/>
  <c r="P113" i="87"/>
  <c r="P112" i="87"/>
  <c r="P111" i="87"/>
  <c r="P110" i="87"/>
  <c r="P109" i="87"/>
  <c r="P108" i="87"/>
  <c r="P107" i="87"/>
  <c r="P106" i="87"/>
  <c r="P105" i="87"/>
  <c r="P104" i="87"/>
  <c r="P103" i="87"/>
  <c r="P102" i="87"/>
  <c r="P101" i="87"/>
  <c r="P100" i="87"/>
  <c r="P99" i="87"/>
  <c r="P98" i="87"/>
  <c r="P97" i="87"/>
  <c r="P96" i="87"/>
  <c r="P95" i="87"/>
  <c r="P94" i="87"/>
  <c r="P93" i="87"/>
  <c r="P92" i="87"/>
  <c r="P91" i="87"/>
  <c r="P90" i="87"/>
  <c r="P89" i="87"/>
  <c r="P88" i="87"/>
  <c r="P87" i="87"/>
  <c r="P86" i="87"/>
  <c r="P85" i="87"/>
  <c r="P84" i="87"/>
  <c r="P83" i="87"/>
  <c r="P82" i="87"/>
  <c r="P81" i="87"/>
  <c r="P80" i="87"/>
  <c r="P79" i="87"/>
  <c r="P77" i="87"/>
  <c r="P76" i="87"/>
  <c r="P75" i="87"/>
  <c r="P74" i="87"/>
  <c r="P73" i="87"/>
  <c r="P72" i="87"/>
  <c r="P71" i="87"/>
  <c r="P70" i="87"/>
  <c r="P69" i="87"/>
  <c r="P68" i="87"/>
  <c r="P67" i="87"/>
  <c r="P66" i="87"/>
  <c r="P65" i="87"/>
  <c r="P64" i="87"/>
  <c r="P63" i="87"/>
  <c r="P62" i="87"/>
  <c r="P61" i="87"/>
  <c r="P60" i="87"/>
  <c r="P59" i="87"/>
  <c r="P58" i="87"/>
  <c r="P57" i="87"/>
  <c r="P56" i="87"/>
  <c r="P55" i="87"/>
  <c r="P54" i="87"/>
  <c r="P53" i="87"/>
  <c r="P51" i="87"/>
  <c r="P50" i="87"/>
  <c r="P48" i="87"/>
  <c r="P47" i="87"/>
  <c r="P45" i="87"/>
  <c r="P44" i="87"/>
  <c r="P43" i="87"/>
  <c r="P42" i="87"/>
  <c r="P41" i="87"/>
  <c r="P40" i="87"/>
  <c r="P39" i="87"/>
  <c r="P38" i="87"/>
  <c r="P37" i="87"/>
  <c r="P36" i="87"/>
  <c r="P35" i="87"/>
  <c r="P34" i="87"/>
  <c r="P33" i="87"/>
  <c r="P32" i="87"/>
  <c r="P31" i="87"/>
  <c r="P30" i="87"/>
  <c r="P29" i="87"/>
  <c r="P28" i="87"/>
  <c r="P27" i="87"/>
  <c r="P26" i="87"/>
  <c r="P25" i="87"/>
  <c r="P24" i="87"/>
  <c r="P23" i="87"/>
  <c r="P22" i="87"/>
  <c r="P20" i="87"/>
  <c r="P19" i="87"/>
  <c r="P18" i="87"/>
  <c r="P17" i="87"/>
  <c r="P15" i="87"/>
  <c r="P11" i="87"/>
  <c r="P10" i="87"/>
  <c r="P9" i="87"/>
  <c r="P8" i="87"/>
  <c r="P6" i="87"/>
  <c r="P5" i="87"/>
  <c r="P4" i="87"/>
  <c r="N11" i="7"/>
  <c r="P11" i="7" s="1"/>
  <c r="N10" i="7"/>
  <c r="P10" i="7" s="1"/>
  <c r="Y291" i="7"/>
  <c r="Y290" i="7"/>
  <c r="Y289" i="7"/>
  <c r="Y288" i="7"/>
  <c r="Y287" i="7"/>
  <c r="Y286" i="7"/>
  <c r="Y285" i="7"/>
  <c r="Y284" i="7"/>
  <c r="Y283" i="7"/>
  <c r="Y282" i="7"/>
  <c r="Y280" i="7"/>
  <c r="Y279" i="7"/>
  <c r="Y278" i="7"/>
  <c r="Y277" i="7"/>
  <c r="Y276" i="7"/>
  <c r="Y275" i="7"/>
  <c r="Y274" i="7"/>
  <c r="Y273" i="7"/>
  <c r="Y272" i="7"/>
  <c r="Y271" i="7"/>
  <c r="Y270" i="7"/>
  <c r="Y264" i="7"/>
  <c r="Y263" i="7"/>
  <c r="Y262" i="7"/>
  <c r="Y261" i="7"/>
  <c r="Y260" i="7"/>
  <c r="Y259" i="7"/>
  <c r="Y258" i="7"/>
  <c r="Y257" i="7"/>
  <c r="Y256" i="7"/>
  <c r="Y255" i="7"/>
  <c r="Y254" i="7"/>
  <c r="Y253" i="7"/>
  <c r="Y252" i="7"/>
  <c r="Y251" i="7"/>
  <c r="Y250" i="7"/>
  <c r="Y249" i="7"/>
  <c r="Y248" i="7"/>
  <c r="Y246" i="7"/>
  <c r="Y245" i="7"/>
  <c r="Y244" i="7"/>
  <c r="Y243" i="7"/>
  <c r="Y242" i="7"/>
  <c r="Y241" i="7"/>
  <c r="Y239" i="7"/>
  <c r="Y238" i="7"/>
  <c r="Y237" i="7"/>
  <c r="Y236" i="7"/>
  <c r="Y235" i="7"/>
  <c r="Y233" i="7"/>
  <c r="Y232" i="7"/>
  <c r="Y231"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7" i="7"/>
  <c r="Y76" i="7"/>
  <c r="Y75" i="7"/>
  <c r="Y74" i="7"/>
  <c r="Y73" i="7"/>
  <c r="Y72" i="7"/>
  <c r="Y71" i="7"/>
  <c r="Y70" i="7"/>
  <c r="Y69" i="7"/>
  <c r="Y68" i="7"/>
  <c r="Y67" i="7"/>
  <c r="Y66" i="7"/>
  <c r="Y65" i="7"/>
  <c r="Y64" i="7"/>
  <c r="Y63" i="7"/>
  <c r="Y62" i="7"/>
  <c r="Y61" i="7"/>
  <c r="Y60" i="7"/>
  <c r="Y59" i="7"/>
  <c r="Y58" i="7"/>
  <c r="Y57" i="7"/>
  <c r="Y56" i="7"/>
  <c r="Y55" i="7"/>
  <c r="Y54" i="7"/>
  <c r="Y53" i="7"/>
  <c r="Y51" i="7"/>
  <c r="Y50" i="7"/>
  <c r="Y48" i="7"/>
  <c r="Y47" i="7"/>
  <c r="Y45" i="7"/>
  <c r="Y44" i="7"/>
  <c r="Y43" i="7"/>
  <c r="Y42" i="7"/>
  <c r="Y41" i="7"/>
  <c r="Y40" i="7"/>
  <c r="Y39" i="7"/>
  <c r="Y38" i="7"/>
  <c r="Y37" i="7"/>
  <c r="Y36" i="7"/>
  <c r="Y35" i="7"/>
  <c r="Y34" i="7"/>
  <c r="Y33" i="7"/>
  <c r="Y32" i="7"/>
  <c r="Y31" i="7"/>
  <c r="Y30" i="7"/>
  <c r="Y29" i="7"/>
  <c r="Y28" i="7"/>
  <c r="Y27" i="7"/>
  <c r="Y26" i="7"/>
  <c r="Y25" i="7"/>
  <c r="Y24" i="7"/>
  <c r="Y23" i="7"/>
  <c r="Y22" i="7"/>
  <c r="Y20" i="7"/>
  <c r="Y19" i="7"/>
  <c r="Y18" i="7"/>
  <c r="Y17" i="7"/>
  <c r="Y15" i="7"/>
  <c r="Y11" i="7"/>
  <c r="Y10" i="7"/>
  <c r="Y9" i="7"/>
  <c r="Y8" i="7"/>
  <c r="Y6" i="7"/>
  <c r="Y5" i="7"/>
  <c r="Y4" i="7"/>
  <c r="M291" i="87"/>
  <c r="D291" i="87" s="1"/>
  <c r="M290" i="87"/>
  <c r="D290" i="87" s="1"/>
  <c r="M289" i="87"/>
  <c r="D289" i="87" s="1"/>
  <c r="M288" i="87"/>
  <c r="D288" i="87" s="1"/>
  <c r="M287" i="87"/>
  <c r="D287" i="87" s="1"/>
  <c r="M286" i="87"/>
  <c r="D286" i="87" s="1"/>
  <c r="M285" i="87"/>
  <c r="D285" i="87" s="1"/>
  <c r="M284" i="87"/>
  <c r="D284" i="87" s="1"/>
  <c r="M283" i="87"/>
  <c r="D283" i="87" s="1"/>
  <c r="M282" i="87"/>
  <c r="D282" i="87" s="1"/>
  <c r="M280" i="87"/>
  <c r="D280" i="87" s="1"/>
  <c r="M279" i="87"/>
  <c r="D279" i="87" s="1"/>
  <c r="M278" i="87"/>
  <c r="D278" i="87" s="1"/>
  <c r="M277" i="87"/>
  <c r="D277" i="87" s="1"/>
  <c r="M276" i="87"/>
  <c r="D276" i="87" s="1"/>
  <c r="M275" i="87"/>
  <c r="D275" i="87" s="1"/>
  <c r="M274" i="87"/>
  <c r="D274" i="87" s="1"/>
  <c r="M273" i="87"/>
  <c r="D273" i="87" s="1"/>
  <c r="M272" i="87"/>
  <c r="D272" i="87" s="1"/>
  <c r="M271" i="87"/>
  <c r="D271" i="87" s="1"/>
  <c r="M270" i="87"/>
  <c r="D270" i="87" s="1"/>
  <c r="M264" i="87"/>
  <c r="D264" i="87" s="1"/>
  <c r="M263" i="87"/>
  <c r="D263" i="87" s="1"/>
  <c r="M262" i="87"/>
  <c r="D262" i="87" s="1"/>
  <c r="M261" i="87"/>
  <c r="D261" i="87" s="1"/>
  <c r="M260" i="87"/>
  <c r="D260" i="87" s="1"/>
  <c r="M259" i="87"/>
  <c r="D259" i="87" s="1"/>
  <c r="M258" i="87"/>
  <c r="D258" i="87" s="1"/>
  <c r="M257" i="87"/>
  <c r="D257" i="87" s="1"/>
  <c r="M256" i="87"/>
  <c r="D256" i="87" s="1"/>
  <c r="M255" i="87"/>
  <c r="D255" i="87" s="1"/>
  <c r="M254" i="87"/>
  <c r="D254" i="87" s="1"/>
  <c r="M253" i="87"/>
  <c r="D253" i="87" s="1"/>
  <c r="M252" i="87"/>
  <c r="D252" i="87" s="1"/>
  <c r="M251" i="87"/>
  <c r="D251" i="87" s="1"/>
  <c r="M250" i="87"/>
  <c r="D250" i="87" s="1"/>
  <c r="M249" i="87"/>
  <c r="D249" i="87" s="1"/>
  <c r="M248" i="87"/>
  <c r="D248" i="87" s="1"/>
  <c r="M246" i="87"/>
  <c r="D246" i="87" s="1"/>
  <c r="M245" i="87"/>
  <c r="D245" i="87" s="1"/>
  <c r="M244" i="87"/>
  <c r="D244" i="87" s="1"/>
  <c r="M243" i="87"/>
  <c r="D243" i="87" s="1"/>
  <c r="M242" i="87"/>
  <c r="D242" i="87" s="1"/>
  <c r="M241" i="87"/>
  <c r="D241" i="87" s="1"/>
  <c r="M239" i="87"/>
  <c r="D239" i="87" s="1"/>
  <c r="M238" i="87"/>
  <c r="D238" i="87" s="1"/>
  <c r="M237" i="87"/>
  <c r="D237" i="87" s="1"/>
  <c r="M236" i="87"/>
  <c r="D236" i="87" s="1"/>
  <c r="M235" i="87"/>
  <c r="D235" i="87" s="1"/>
  <c r="M233" i="87"/>
  <c r="D233" i="87" s="1"/>
  <c r="M232" i="87"/>
  <c r="D232" i="87" s="1"/>
  <c r="M231" i="87"/>
  <c r="D231" i="87" s="1"/>
  <c r="M228" i="87"/>
  <c r="D228" i="87" s="1"/>
  <c r="M227" i="87"/>
  <c r="D227" i="87" s="1"/>
  <c r="M226" i="87"/>
  <c r="D226" i="87" s="1"/>
  <c r="M225" i="87"/>
  <c r="D225" i="87" s="1"/>
  <c r="M224" i="87"/>
  <c r="D224" i="87" s="1"/>
  <c r="M223" i="87"/>
  <c r="D223" i="87" s="1"/>
  <c r="M222" i="87"/>
  <c r="D222" i="87" s="1"/>
  <c r="M221" i="87"/>
  <c r="D221" i="87" s="1"/>
  <c r="M220" i="87"/>
  <c r="D220" i="87" s="1"/>
  <c r="M219" i="87"/>
  <c r="D219" i="87" s="1"/>
  <c r="M218" i="87"/>
  <c r="D218" i="87" s="1"/>
  <c r="M217" i="87"/>
  <c r="D217" i="87" s="1"/>
  <c r="M216" i="87"/>
  <c r="D216" i="87" s="1"/>
  <c r="M215" i="87"/>
  <c r="D215" i="87" s="1"/>
  <c r="M214" i="87"/>
  <c r="D214" i="87" s="1"/>
  <c r="M213" i="87"/>
  <c r="D213" i="87" s="1"/>
  <c r="M212" i="87"/>
  <c r="D212" i="87" s="1"/>
  <c r="M211" i="87"/>
  <c r="D211" i="87" s="1"/>
  <c r="M210" i="87"/>
  <c r="D210" i="87" s="1"/>
  <c r="M209" i="87"/>
  <c r="D209" i="87" s="1"/>
  <c r="M208" i="87"/>
  <c r="D208" i="87" s="1"/>
  <c r="M207" i="87"/>
  <c r="D207" i="87" s="1"/>
  <c r="M206" i="87"/>
  <c r="D206" i="87" s="1"/>
  <c r="M205" i="87"/>
  <c r="D205" i="87" s="1"/>
  <c r="M204" i="87"/>
  <c r="D204" i="87" s="1"/>
  <c r="M203" i="87"/>
  <c r="D203" i="87" s="1"/>
  <c r="M202" i="87"/>
  <c r="D202" i="87" s="1"/>
  <c r="M201" i="87"/>
  <c r="D201" i="87" s="1"/>
  <c r="M200" i="87"/>
  <c r="D200" i="87" s="1"/>
  <c r="M199" i="87"/>
  <c r="D199" i="87" s="1"/>
  <c r="M198" i="87"/>
  <c r="D198" i="87" s="1"/>
  <c r="M197" i="87"/>
  <c r="D197" i="87" s="1"/>
  <c r="M196" i="87"/>
  <c r="D196" i="87" s="1"/>
  <c r="M195" i="87"/>
  <c r="D195" i="87" s="1"/>
  <c r="M194" i="87"/>
  <c r="D194" i="87" s="1"/>
  <c r="M193" i="87"/>
  <c r="D193" i="87" s="1"/>
  <c r="M192" i="87"/>
  <c r="D192" i="87" s="1"/>
  <c r="M191" i="87"/>
  <c r="D191" i="87" s="1"/>
  <c r="M190" i="87"/>
  <c r="D190" i="87" s="1"/>
  <c r="M189" i="87"/>
  <c r="D189" i="87" s="1"/>
  <c r="M188" i="87"/>
  <c r="D188" i="87" s="1"/>
  <c r="M187" i="87"/>
  <c r="D187" i="87" s="1"/>
  <c r="M186" i="87"/>
  <c r="D186" i="87" s="1"/>
  <c r="M185" i="87"/>
  <c r="D185" i="87" s="1"/>
  <c r="M184" i="87"/>
  <c r="D184" i="87" s="1"/>
  <c r="M183" i="87"/>
  <c r="D183" i="87" s="1"/>
  <c r="M182" i="87"/>
  <c r="D182" i="87" s="1"/>
  <c r="M181" i="87"/>
  <c r="D181" i="87" s="1"/>
  <c r="M180" i="87"/>
  <c r="D180" i="87" s="1"/>
  <c r="M179" i="87"/>
  <c r="D179" i="87" s="1"/>
  <c r="M178" i="87"/>
  <c r="D178" i="87" s="1"/>
  <c r="M177" i="87"/>
  <c r="D177" i="87" s="1"/>
  <c r="M176" i="87"/>
  <c r="D176" i="87" s="1"/>
  <c r="M175" i="87"/>
  <c r="D175" i="87" s="1"/>
  <c r="M174" i="87"/>
  <c r="D174" i="87" s="1"/>
  <c r="M173" i="87"/>
  <c r="D173" i="87" s="1"/>
  <c r="M172" i="87"/>
  <c r="D172" i="87" s="1"/>
  <c r="M171" i="87"/>
  <c r="D171" i="87" s="1"/>
  <c r="M170" i="87"/>
  <c r="D170" i="87" s="1"/>
  <c r="M169" i="87"/>
  <c r="D169" i="87" s="1"/>
  <c r="M168" i="87"/>
  <c r="D168" i="87" s="1"/>
  <c r="M167" i="87"/>
  <c r="D167" i="87" s="1"/>
  <c r="M166" i="87"/>
  <c r="D166" i="87" s="1"/>
  <c r="M165" i="87"/>
  <c r="D165" i="87" s="1"/>
  <c r="M164" i="87"/>
  <c r="D164" i="87" s="1"/>
  <c r="M163" i="87"/>
  <c r="D163" i="87" s="1"/>
  <c r="M162" i="87"/>
  <c r="D162" i="87" s="1"/>
  <c r="M161" i="87"/>
  <c r="D161" i="87" s="1"/>
  <c r="M160" i="87"/>
  <c r="D160" i="87" s="1"/>
  <c r="M159" i="87"/>
  <c r="D159" i="87" s="1"/>
  <c r="M158" i="87"/>
  <c r="D158" i="87" s="1"/>
  <c r="M157" i="87"/>
  <c r="D157" i="87" s="1"/>
  <c r="M156" i="87"/>
  <c r="D156" i="87" s="1"/>
  <c r="M155" i="87"/>
  <c r="D155" i="87" s="1"/>
  <c r="M154" i="87"/>
  <c r="D154" i="87" s="1"/>
  <c r="M153" i="87"/>
  <c r="D153" i="87" s="1"/>
  <c r="M152" i="87"/>
  <c r="D152" i="87" s="1"/>
  <c r="M151" i="87"/>
  <c r="D151" i="87" s="1"/>
  <c r="M150" i="87"/>
  <c r="D150" i="87" s="1"/>
  <c r="M149" i="87"/>
  <c r="D149" i="87" s="1"/>
  <c r="M148" i="87"/>
  <c r="D148" i="87" s="1"/>
  <c r="M147" i="87"/>
  <c r="D147" i="87" s="1"/>
  <c r="M145" i="87"/>
  <c r="D145" i="87" s="1"/>
  <c r="M144" i="87"/>
  <c r="D144" i="87" s="1"/>
  <c r="M143" i="87"/>
  <c r="D143" i="87" s="1"/>
  <c r="M142" i="87"/>
  <c r="D142" i="87" s="1"/>
  <c r="M141" i="87"/>
  <c r="D141" i="87" s="1"/>
  <c r="M140" i="87"/>
  <c r="D140" i="87" s="1"/>
  <c r="M139" i="87"/>
  <c r="D139" i="87" s="1"/>
  <c r="M138" i="87"/>
  <c r="D138" i="87" s="1"/>
  <c r="M137" i="87"/>
  <c r="D137" i="87" s="1"/>
  <c r="M136" i="87"/>
  <c r="D136" i="87" s="1"/>
  <c r="M135" i="87"/>
  <c r="D135" i="87" s="1"/>
  <c r="M134" i="87"/>
  <c r="D134" i="87" s="1"/>
  <c r="M133" i="87"/>
  <c r="D133" i="87" s="1"/>
  <c r="M132" i="87"/>
  <c r="D132" i="87" s="1"/>
  <c r="M131" i="87"/>
  <c r="D131" i="87" s="1"/>
  <c r="M130" i="87"/>
  <c r="D130" i="87" s="1"/>
  <c r="M129" i="87"/>
  <c r="D129" i="87" s="1"/>
  <c r="M128" i="87"/>
  <c r="D128" i="87" s="1"/>
  <c r="M127" i="87"/>
  <c r="D127" i="87" s="1"/>
  <c r="M126" i="87"/>
  <c r="D126" i="87" s="1"/>
  <c r="M125" i="87"/>
  <c r="D125" i="87" s="1"/>
  <c r="M124" i="87"/>
  <c r="D124" i="87" s="1"/>
  <c r="M123" i="87"/>
  <c r="D123" i="87" s="1"/>
  <c r="M122" i="87"/>
  <c r="D122" i="87" s="1"/>
  <c r="M121" i="87"/>
  <c r="D121" i="87" s="1"/>
  <c r="M120" i="87"/>
  <c r="D120" i="87" s="1"/>
  <c r="M119" i="87"/>
  <c r="D119" i="87" s="1"/>
  <c r="M118" i="87"/>
  <c r="D118" i="87" s="1"/>
  <c r="M117" i="87"/>
  <c r="D117" i="87" s="1"/>
  <c r="M116" i="87"/>
  <c r="D116" i="87" s="1"/>
  <c r="M115" i="87"/>
  <c r="D115" i="87" s="1"/>
  <c r="M114" i="87"/>
  <c r="D114" i="87" s="1"/>
  <c r="M113" i="87"/>
  <c r="D113" i="87" s="1"/>
  <c r="M112" i="87"/>
  <c r="D112" i="87" s="1"/>
  <c r="M111" i="87"/>
  <c r="D111" i="87" s="1"/>
  <c r="M110" i="87"/>
  <c r="D110" i="87" s="1"/>
  <c r="M109" i="87"/>
  <c r="D109" i="87" s="1"/>
  <c r="M108" i="87"/>
  <c r="D108" i="87" s="1"/>
  <c r="M107" i="87"/>
  <c r="D107" i="87" s="1"/>
  <c r="M106" i="87"/>
  <c r="D106" i="87" s="1"/>
  <c r="M105" i="87"/>
  <c r="D105" i="87" s="1"/>
  <c r="M104" i="87"/>
  <c r="D104" i="87" s="1"/>
  <c r="M103" i="87"/>
  <c r="D103" i="87" s="1"/>
  <c r="M102" i="87"/>
  <c r="D102" i="87" s="1"/>
  <c r="M101" i="87"/>
  <c r="D101" i="87" s="1"/>
  <c r="M100" i="87"/>
  <c r="D100" i="87" s="1"/>
  <c r="M99" i="87"/>
  <c r="D99" i="87" s="1"/>
  <c r="M98" i="87"/>
  <c r="D98" i="87" s="1"/>
  <c r="M97" i="87"/>
  <c r="D97" i="87" s="1"/>
  <c r="M96" i="87"/>
  <c r="D96" i="87" s="1"/>
  <c r="M95" i="87"/>
  <c r="D95" i="87" s="1"/>
  <c r="M94" i="87"/>
  <c r="D94" i="87" s="1"/>
  <c r="M93" i="87"/>
  <c r="D93" i="87" s="1"/>
  <c r="M92" i="87"/>
  <c r="D92" i="87" s="1"/>
  <c r="M91" i="87"/>
  <c r="D91" i="87" s="1"/>
  <c r="M90" i="87"/>
  <c r="D90" i="87" s="1"/>
  <c r="M89" i="87"/>
  <c r="D89" i="87" s="1"/>
  <c r="M88" i="87"/>
  <c r="D88" i="87" s="1"/>
  <c r="M87" i="87"/>
  <c r="D87" i="87" s="1"/>
  <c r="M86" i="87"/>
  <c r="D86" i="87" s="1"/>
  <c r="M85" i="87"/>
  <c r="D85" i="87" s="1"/>
  <c r="M84" i="87"/>
  <c r="D84" i="87" s="1"/>
  <c r="M83" i="87"/>
  <c r="D83" i="87" s="1"/>
  <c r="M82" i="87"/>
  <c r="D82" i="87" s="1"/>
  <c r="M81" i="87"/>
  <c r="D81" i="87" s="1"/>
  <c r="M80" i="87"/>
  <c r="D80" i="87" s="1"/>
  <c r="M79" i="87"/>
  <c r="D79" i="87" s="1"/>
  <c r="M77" i="87"/>
  <c r="D77" i="87" s="1"/>
  <c r="M76" i="87"/>
  <c r="D76" i="87" s="1"/>
  <c r="M75" i="87"/>
  <c r="D75" i="87" s="1"/>
  <c r="M74" i="87"/>
  <c r="D74" i="87" s="1"/>
  <c r="M73" i="87"/>
  <c r="D73" i="87" s="1"/>
  <c r="M72" i="87"/>
  <c r="D72" i="87" s="1"/>
  <c r="M71" i="87"/>
  <c r="D71" i="87" s="1"/>
  <c r="M70" i="87"/>
  <c r="D70" i="87" s="1"/>
  <c r="M69" i="87"/>
  <c r="D69" i="87" s="1"/>
  <c r="M68" i="87"/>
  <c r="D68" i="87" s="1"/>
  <c r="M67" i="87"/>
  <c r="D67" i="87" s="1"/>
  <c r="M66" i="87"/>
  <c r="D66" i="87" s="1"/>
  <c r="M65" i="87"/>
  <c r="D65" i="87" s="1"/>
  <c r="M64" i="87"/>
  <c r="D64" i="87" s="1"/>
  <c r="M63" i="87"/>
  <c r="D63" i="87" s="1"/>
  <c r="M62" i="87"/>
  <c r="D62" i="87" s="1"/>
  <c r="M61" i="87"/>
  <c r="D61" i="87" s="1"/>
  <c r="M60" i="87"/>
  <c r="D60" i="87" s="1"/>
  <c r="M59" i="87"/>
  <c r="D59" i="87" s="1"/>
  <c r="M58" i="87"/>
  <c r="D58" i="87" s="1"/>
  <c r="M57" i="87"/>
  <c r="D57" i="87" s="1"/>
  <c r="M56" i="87"/>
  <c r="D56" i="87" s="1"/>
  <c r="M55" i="87"/>
  <c r="D55" i="87" s="1"/>
  <c r="M54" i="87"/>
  <c r="D54" i="87" s="1"/>
  <c r="M53" i="87"/>
  <c r="D53" i="87" s="1"/>
  <c r="M51" i="87"/>
  <c r="D51" i="87" s="1"/>
  <c r="M50" i="87"/>
  <c r="D50" i="87" s="1"/>
  <c r="M48" i="87"/>
  <c r="D48" i="87" s="1"/>
  <c r="M47" i="87"/>
  <c r="D47" i="87" s="1"/>
  <c r="M45" i="87"/>
  <c r="D45" i="87" s="1"/>
  <c r="M44" i="87"/>
  <c r="D44" i="87" s="1"/>
  <c r="M43" i="87"/>
  <c r="D43" i="87" s="1"/>
  <c r="M42" i="87"/>
  <c r="D42" i="87" s="1"/>
  <c r="M41" i="87"/>
  <c r="D41" i="87" s="1"/>
  <c r="M40" i="87"/>
  <c r="D40" i="87" s="1"/>
  <c r="M39" i="87"/>
  <c r="D39" i="87" s="1"/>
  <c r="M38" i="87"/>
  <c r="D38" i="87" s="1"/>
  <c r="M37" i="87"/>
  <c r="D37" i="87" s="1"/>
  <c r="M36" i="87"/>
  <c r="D36" i="87" s="1"/>
  <c r="M35" i="87"/>
  <c r="D35" i="87" s="1"/>
  <c r="M34" i="87"/>
  <c r="D34" i="87" s="1"/>
  <c r="M33" i="87"/>
  <c r="D33" i="87" s="1"/>
  <c r="M32" i="87"/>
  <c r="D32" i="87" s="1"/>
  <c r="M31" i="87"/>
  <c r="D31" i="87" s="1"/>
  <c r="M30" i="87"/>
  <c r="D30" i="87" s="1"/>
  <c r="M29" i="87"/>
  <c r="D29" i="87" s="1"/>
  <c r="M28" i="87"/>
  <c r="D28" i="87" s="1"/>
  <c r="M27" i="87"/>
  <c r="D27" i="87" s="1"/>
  <c r="M26" i="87"/>
  <c r="D26" i="87" s="1"/>
  <c r="M25" i="87"/>
  <c r="D25" i="87" s="1"/>
  <c r="M24" i="87"/>
  <c r="D24" i="87" s="1"/>
  <c r="M23" i="87"/>
  <c r="D23" i="87" s="1"/>
  <c r="M22" i="87"/>
  <c r="D22" i="87" s="1"/>
  <c r="M20" i="87"/>
  <c r="D20" i="87" s="1"/>
  <c r="M19" i="87"/>
  <c r="D19" i="87" s="1"/>
  <c r="M18" i="87"/>
  <c r="D18" i="87" s="1"/>
  <c r="M17" i="87"/>
  <c r="D17" i="87" s="1"/>
  <c r="M15" i="87"/>
  <c r="D15" i="87" s="1"/>
  <c r="M11" i="87"/>
  <c r="D11" i="87" s="1"/>
  <c r="M10" i="87"/>
  <c r="D10" i="87" s="1"/>
  <c r="M9" i="87"/>
  <c r="D9" i="87" s="1"/>
  <c r="M8" i="87"/>
  <c r="D8" i="87" s="1"/>
  <c r="M6" i="87"/>
  <c r="D6" i="87" s="1"/>
  <c r="M5" i="87"/>
  <c r="D5" i="87" s="1"/>
  <c r="M4" i="87"/>
  <c r="D4" i="87" s="1"/>
  <c r="AZ13" i="7" l="1"/>
  <c r="F13" i="39"/>
  <c r="G13" i="39" s="1"/>
  <c r="S13" i="33"/>
  <c r="BA13" i="7"/>
  <c r="AY13" i="7"/>
  <c r="W13" i="33"/>
  <c r="Y16" i="33"/>
  <c r="T13" i="33"/>
  <c r="X13" i="33"/>
  <c r="S16" i="33"/>
  <c r="Y13" i="33"/>
  <c r="U13" i="33"/>
  <c r="U14" i="33"/>
  <c r="Y14" i="33"/>
  <c r="X14" i="33"/>
  <c r="W14" i="33"/>
  <c r="X16" i="33"/>
  <c r="T16" i="33"/>
  <c r="U16" i="33"/>
  <c r="E14" i="28"/>
  <c r="G14" i="28" s="1"/>
  <c r="L14" i="46" s="1"/>
  <c r="T14" i="33"/>
  <c r="W16" i="33"/>
  <c r="S14" i="33"/>
  <c r="F14" i="45"/>
  <c r="AV14" i="7"/>
  <c r="Z14" i="7"/>
  <c r="AU14" i="7"/>
  <c r="AX14" i="7"/>
  <c r="AW14" i="7"/>
  <c r="Z16" i="7"/>
  <c r="AU16" i="7"/>
  <c r="AX16" i="7"/>
  <c r="AW16" i="7"/>
  <c r="AV16" i="7"/>
  <c r="J16" i="28"/>
  <c r="M16" i="46" s="1"/>
  <c r="I16" i="28"/>
  <c r="J16" i="46" s="1"/>
  <c r="AY16" i="7"/>
  <c r="BB16" i="7"/>
  <c r="BA16" i="7"/>
  <c r="F16" i="39"/>
  <c r="G16" i="39" s="1"/>
  <c r="AZ16" i="7"/>
  <c r="AV13" i="7"/>
  <c r="AU13" i="7"/>
  <c r="Z13" i="7"/>
  <c r="AX13" i="7"/>
  <c r="AW13" i="7"/>
  <c r="I13" i="28"/>
  <c r="J13" i="46" s="1"/>
  <c r="J13" i="28"/>
  <c r="M13" i="46" s="1"/>
  <c r="I14" i="45"/>
  <c r="R14" i="26"/>
  <c r="L291" i="87"/>
  <c r="L290" i="87"/>
  <c r="L289" i="87"/>
  <c r="L288" i="87"/>
  <c r="L287" i="87"/>
  <c r="L286" i="87"/>
  <c r="L285" i="87"/>
  <c r="L284" i="87"/>
  <c r="L283" i="87"/>
  <c r="L282" i="87"/>
  <c r="L280" i="87"/>
  <c r="L279" i="87"/>
  <c r="L278" i="87"/>
  <c r="L277" i="87"/>
  <c r="L276" i="87"/>
  <c r="L275" i="87"/>
  <c r="L274" i="87"/>
  <c r="L273" i="87"/>
  <c r="L272" i="87"/>
  <c r="L271" i="87"/>
  <c r="L270" i="87"/>
  <c r="L264" i="87"/>
  <c r="L263" i="87"/>
  <c r="L262" i="87"/>
  <c r="L261" i="87"/>
  <c r="L260" i="87"/>
  <c r="L259" i="87"/>
  <c r="L258" i="87"/>
  <c r="L257" i="87"/>
  <c r="L256" i="87"/>
  <c r="L255" i="87"/>
  <c r="L254" i="87"/>
  <c r="L253" i="87"/>
  <c r="L252" i="87"/>
  <c r="L251" i="87"/>
  <c r="L250" i="87"/>
  <c r="L249" i="87"/>
  <c r="L248" i="87"/>
  <c r="L246" i="87"/>
  <c r="L245" i="87"/>
  <c r="L244" i="87"/>
  <c r="L243" i="87"/>
  <c r="L242" i="87"/>
  <c r="L241" i="87"/>
  <c r="L239" i="87"/>
  <c r="L238" i="87"/>
  <c r="L237" i="87"/>
  <c r="L236" i="87"/>
  <c r="L235" i="87"/>
  <c r="L233" i="87"/>
  <c r="L232" i="87"/>
  <c r="L231" i="87"/>
  <c r="L228" i="87"/>
  <c r="L227" i="87"/>
  <c r="L226" i="87"/>
  <c r="L225" i="87"/>
  <c r="L224" i="87"/>
  <c r="L223" i="87"/>
  <c r="L222" i="87"/>
  <c r="L221" i="87"/>
  <c r="L220" i="87"/>
  <c r="L219" i="87"/>
  <c r="L218" i="87"/>
  <c r="L217" i="87"/>
  <c r="L216" i="87"/>
  <c r="L215" i="87"/>
  <c r="L214" i="87"/>
  <c r="L213" i="87"/>
  <c r="L212" i="87"/>
  <c r="L211" i="87"/>
  <c r="L210" i="87"/>
  <c r="L209" i="87"/>
  <c r="L208" i="87"/>
  <c r="L207" i="87"/>
  <c r="L206" i="87"/>
  <c r="L205" i="87"/>
  <c r="L204" i="87"/>
  <c r="L203" i="87"/>
  <c r="L202" i="87"/>
  <c r="L201" i="87"/>
  <c r="L200" i="87"/>
  <c r="L199" i="87"/>
  <c r="L198" i="87"/>
  <c r="L197" i="87"/>
  <c r="L196" i="87"/>
  <c r="L195" i="87"/>
  <c r="L194" i="87"/>
  <c r="L193" i="87"/>
  <c r="L192" i="87"/>
  <c r="L191" i="87"/>
  <c r="L190" i="87"/>
  <c r="L189" i="87"/>
  <c r="L188" i="87"/>
  <c r="L187" i="87"/>
  <c r="L186" i="87"/>
  <c r="L185" i="87"/>
  <c r="L184" i="87"/>
  <c r="L183" i="87"/>
  <c r="L182" i="87"/>
  <c r="L181" i="87"/>
  <c r="L180" i="87"/>
  <c r="L179" i="87"/>
  <c r="L178" i="87"/>
  <c r="L177" i="87"/>
  <c r="L176" i="87"/>
  <c r="L175" i="87"/>
  <c r="L174" i="87"/>
  <c r="L173" i="87"/>
  <c r="L172" i="87"/>
  <c r="L171" i="87"/>
  <c r="L170" i="87"/>
  <c r="L169" i="87"/>
  <c r="L168" i="87"/>
  <c r="L167" i="87"/>
  <c r="L166" i="87"/>
  <c r="L165" i="87"/>
  <c r="L164" i="87"/>
  <c r="L163" i="87"/>
  <c r="L162" i="87"/>
  <c r="L161" i="87"/>
  <c r="L160" i="87"/>
  <c r="L159" i="87"/>
  <c r="L158" i="87"/>
  <c r="L157" i="87"/>
  <c r="L156" i="87"/>
  <c r="L155" i="87"/>
  <c r="L154" i="87"/>
  <c r="L153" i="87"/>
  <c r="L152" i="87"/>
  <c r="L151" i="87"/>
  <c r="L150" i="87"/>
  <c r="L149" i="87"/>
  <c r="L148" i="87"/>
  <c r="L147" i="87"/>
  <c r="L145" i="87"/>
  <c r="L144" i="87"/>
  <c r="L143" i="87"/>
  <c r="L142" i="87"/>
  <c r="L141" i="87"/>
  <c r="L140" i="87"/>
  <c r="L139" i="87"/>
  <c r="L138" i="87"/>
  <c r="L137" i="87"/>
  <c r="L136" i="87"/>
  <c r="L135" i="87"/>
  <c r="L134" i="87"/>
  <c r="L133" i="87"/>
  <c r="L132" i="87"/>
  <c r="L131" i="87"/>
  <c r="L130" i="87"/>
  <c r="L129" i="87"/>
  <c r="L128" i="87"/>
  <c r="L127" i="87"/>
  <c r="L126" i="87"/>
  <c r="L125" i="87"/>
  <c r="L124" i="87"/>
  <c r="L123" i="87"/>
  <c r="L122" i="87"/>
  <c r="L121" i="87"/>
  <c r="L120" i="87"/>
  <c r="L119" i="87"/>
  <c r="L118" i="87"/>
  <c r="L117" i="87"/>
  <c r="L116" i="87"/>
  <c r="L115" i="87"/>
  <c r="L114" i="87"/>
  <c r="L113" i="87"/>
  <c r="L112" i="87"/>
  <c r="L111" i="87"/>
  <c r="L110" i="87"/>
  <c r="L109" i="87"/>
  <c r="L108" i="87"/>
  <c r="L107" i="87"/>
  <c r="L106" i="87"/>
  <c r="L105" i="87"/>
  <c r="L104" i="87"/>
  <c r="L103" i="87"/>
  <c r="L102" i="87"/>
  <c r="L101" i="87"/>
  <c r="L100" i="87"/>
  <c r="L99" i="87"/>
  <c r="L98" i="87"/>
  <c r="L97" i="87"/>
  <c r="L96" i="87"/>
  <c r="L95" i="87"/>
  <c r="L94" i="87"/>
  <c r="L93" i="87"/>
  <c r="L92" i="87"/>
  <c r="L91" i="87"/>
  <c r="L90" i="87"/>
  <c r="L89" i="87"/>
  <c r="L88" i="87"/>
  <c r="L87" i="87"/>
  <c r="L86" i="87"/>
  <c r="L85" i="87"/>
  <c r="L84" i="87"/>
  <c r="L83" i="87"/>
  <c r="L82" i="87"/>
  <c r="L81" i="87"/>
  <c r="L80" i="87"/>
  <c r="L79" i="87"/>
  <c r="L77" i="87"/>
  <c r="C77" i="87" s="1"/>
  <c r="L76" i="87"/>
  <c r="L75" i="87"/>
  <c r="L74" i="87"/>
  <c r="L73" i="87"/>
  <c r="L72" i="87"/>
  <c r="L71" i="87"/>
  <c r="L70" i="87"/>
  <c r="L69" i="87"/>
  <c r="L68" i="87"/>
  <c r="L67" i="87"/>
  <c r="L66" i="87"/>
  <c r="L65" i="87"/>
  <c r="L64" i="87"/>
  <c r="L63" i="87"/>
  <c r="L62" i="87"/>
  <c r="L61" i="87"/>
  <c r="L60" i="87"/>
  <c r="L59" i="87"/>
  <c r="L58" i="87"/>
  <c r="L57" i="87"/>
  <c r="L56" i="87"/>
  <c r="L55" i="87"/>
  <c r="L54" i="87"/>
  <c r="L53" i="87"/>
  <c r="L51" i="87"/>
  <c r="L50" i="87"/>
  <c r="L48" i="87"/>
  <c r="L47" i="87"/>
  <c r="L45" i="87"/>
  <c r="L44" i="87"/>
  <c r="L43" i="87"/>
  <c r="L42" i="87"/>
  <c r="L41" i="87"/>
  <c r="L40" i="87"/>
  <c r="L39" i="87"/>
  <c r="L38" i="87"/>
  <c r="L37" i="87"/>
  <c r="L36" i="87"/>
  <c r="L35" i="87"/>
  <c r="L34" i="87"/>
  <c r="L33" i="87"/>
  <c r="L32" i="87"/>
  <c r="L31" i="87"/>
  <c r="L30" i="87"/>
  <c r="L29" i="87"/>
  <c r="L28" i="87"/>
  <c r="L27" i="87"/>
  <c r="L26" i="87"/>
  <c r="L25" i="87"/>
  <c r="L24" i="87"/>
  <c r="C24" i="87" s="1"/>
  <c r="L23" i="87"/>
  <c r="L22" i="87"/>
  <c r="L20" i="87"/>
  <c r="L19" i="87"/>
  <c r="L18" i="87"/>
  <c r="L17" i="87"/>
  <c r="L15" i="87"/>
  <c r="L11" i="87"/>
  <c r="L10" i="87"/>
  <c r="L9" i="87"/>
  <c r="L8" i="87"/>
  <c r="C8" i="87" s="1"/>
  <c r="L6" i="87"/>
  <c r="L5" i="87"/>
  <c r="L4" i="87"/>
  <c r="C4" i="87" s="1"/>
  <c r="N291" i="87"/>
  <c r="N290" i="87"/>
  <c r="N289" i="87"/>
  <c r="N288" i="87"/>
  <c r="N287" i="87"/>
  <c r="N286" i="87"/>
  <c r="N285" i="87"/>
  <c r="N284" i="87"/>
  <c r="N283" i="87"/>
  <c r="N282" i="87"/>
  <c r="N280" i="87"/>
  <c r="N279" i="87"/>
  <c r="N278" i="87"/>
  <c r="N277" i="87"/>
  <c r="N276" i="87"/>
  <c r="N275" i="87"/>
  <c r="N274" i="87"/>
  <c r="N273" i="87"/>
  <c r="N272" i="87"/>
  <c r="N271" i="87"/>
  <c r="N270" i="87"/>
  <c r="N264" i="87"/>
  <c r="N263" i="87"/>
  <c r="N262" i="87"/>
  <c r="N261" i="87"/>
  <c r="N260" i="87"/>
  <c r="N259" i="87"/>
  <c r="N258" i="87"/>
  <c r="N257" i="87"/>
  <c r="N256" i="87"/>
  <c r="N255" i="87"/>
  <c r="N254" i="87"/>
  <c r="N253" i="87"/>
  <c r="N252" i="87"/>
  <c r="N251" i="87"/>
  <c r="N250" i="87"/>
  <c r="N249" i="87"/>
  <c r="N248" i="87"/>
  <c r="N246" i="87"/>
  <c r="N245" i="87"/>
  <c r="N244" i="87"/>
  <c r="N243" i="87"/>
  <c r="N242" i="87"/>
  <c r="N241" i="87"/>
  <c r="N239" i="87"/>
  <c r="N238" i="87"/>
  <c r="N237" i="87"/>
  <c r="N236" i="87"/>
  <c r="N235" i="87"/>
  <c r="N233" i="87"/>
  <c r="N232" i="87"/>
  <c r="N231" i="87"/>
  <c r="N228" i="87"/>
  <c r="N227" i="87"/>
  <c r="N226" i="87"/>
  <c r="N225" i="87"/>
  <c r="N224" i="87"/>
  <c r="N223" i="87"/>
  <c r="N222" i="87"/>
  <c r="N221" i="87"/>
  <c r="N220" i="87"/>
  <c r="N219" i="87"/>
  <c r="N218" i="87"/>
  <c r="N217" i="87"/>
  <c r="N216" i="87"/>
  <c r="N215" i="87"/>
  <c r="N214" i="87"/>
  <c r="N213" i="87"/>
  <c r="N212" i="87"/>
  <c r="N211" i="87"/>
  <c r="N210" i="87"/>
  <c r="N209" i="87"/>
  <c r="N208" i="87"/>
  <c r="N207" i="87"/>
  <c r="N206" i="87"/>
  <c r="N205" i="87"/>
  <c r="N204" i="87"/>
  <c r="N203" i="87"/>
  <c r="N202" i="87"/>
  <c r="N201" i="87"/>
  <c r="N200" i="87"/>
  <c r="N199" i="87"/>
  <c r="N198" i="87"/>
  <c r="N197" i="87"/>
  <c r="N196" i="87"/>
  <c r="N195" i="87"/>
  <c r="N194" i="87"/>
  <c r="N193" i="87"/>
  <c r="N192" i="87"/>
  <c r="N191" i="87"/>
  <c r="N190" i="87"/>
  <c r="N189" i="87"/>
  <c r="N188" i="87"/>
  <c r="N187" i="87"/>
  <c r="N186" i="87"/>
  <c r="N185" i="87"/>
  <c r="N184" i="87"/>
  <c r="N183" i="87"/>
  <c r="N182" i="87"/>
  <c r="N181" i="87"/>
  <c r="N180" i="87"/>
  <c r="N179" i="87"/>
  <c r="N178" i="87"/>
  <c r="N177" i="87"/>
  <c r="N176" i="87"/>
  <c r="N175" i="87"/>
  <c r="N174" i="87"/>
  <c r="N173" i="87"/>
  <c r="N172" i="87"/>
  <c r="N171" i="87"/>
  <c r="N170" i="87"/>
  <c r="N169" i="87"/>
  <c r="N168" i="87"/>
  <c r="N167" i="87"/>
  <c r="N166" i="87"/>
  <c r="N165" i="87"/>
  <c r="N164" i="87"/>
  <c r="N163" i="87"/>
  <c r="N162" i="87"/>
  <c r="N161" i="87"/>
  <c r="N160" i="87"/>
  <c r="N159" i="87"/>
  <c r="N158" i="87"/>
  <c r="N157" i="87"/>
  <c r="N156" i="87"/>
  <c r="N155" i="87"/>
  <c r="N154" i="87"/>
  <c r="N153" i="87"/>
  <c r="N152" i="87"/>
  <c r="N151" i="87"/>
  <c r="N150" i="87"/>
  <c r="N149" i="87"/>
  <c r="N148" i="87"/>
  <c r="N147" i="87"/>
  <c r="N145" i="87"/>
  <c r="N144" i="87"/>
  <c r="N143" i="87"/>
  <c r="E143" i="87" s="1"/>
  <c r="N142" i="87"/>
  <c r="N141" i="87"/>
  <c r="N140" i="87"/>
  <c r="N139" i="87"/>
  <c r="N138" i="87"/>
  <c r="N137" i="87"/>
  <c r="N136" i="87"/>
  <c r="E136" i="87" s="1"/>
  <c r="N135" i="87"/>
  <c r="N134" i="87"/>
  <c r="N133" i="87"/>
  <c r="N132" i="87"/>
  <c r="N131" i="87"/>
  <c r="N130" i="87"/>
  <c r="N129" i="87"/>
  <c r="N128" i="87"/>
  <c r="N127" i="87"/>
  <c r="N126" i="87"/>
  <c r="N125" i="87"/>
  <c r="N124" i="87"/>
  <c r="N123" i="87"/>
  <c r="N122" i="87"/>
  <c r="N121" i="87"/>
  <c r="N120" i="87"/>
  <c r="E120" i="87" s="1"/>
  <c r="N119" i="87"/>
  <c r="N118" i="87"/>
  <c r="N117" i="87"/>
  <c r="N116" i="87"/>
  <c r="N115" i="87"/>
  <c r="N114" i="87"/>
  <c r="N113" i="87"/>
  <c r="N112" i="87"/>
  <c r="N111" i="87"/>
  <c r="N110" i="87"/>
  <c r="N109" i="87"/>
  <c r="N108" i="87"/>
  <c r="E108" i="87" s="1"/>
  <c r="N107" i="87"/>
  <c r="N106" i="87"/>
  <c r="N105" i="87"/>
  <c r="N104" i="87"/>
  <c r="N103" i="87"/>
  <c r="E103" i="87" s="1"/>
  <c r="N102" i="87"/>
  <c r="N101" i="87"/>
  <c r="E101" i="87" s="1"/>
  <c r="N100" i="87"/>
  <c r="N99" i="87"/>
  <c r="N98" i="87"/>
  <c r="N97" i="87"/>
  <c r="N96" i="87"/>
  <c r="N95" i="87"/>
  <c r="N94" i="87"/>
  <c r="N93" i="87"/>
  <c r="N92" i="87"/>
  <c r="N91" i="87"/>
  <c r="E91" i="87" s="1"/>
  <c r="N90" i="87"/>
  <c r="N89" i="87"/>
  <c r="E89" i="87" s="1"/>
  <c r="N88" i="87"/>
  <c r="N87" i="87"/>
  <c r="N86" i="87"/>
  <c r="N85" i="87"/>
  <c r="N84" i="87"/>
  <c r="N83" i="87"/>
  <c r="N82" i="87"/>
  <c r="N81" i="87"/>
  <c r="N80" i="87"/>
  <c r="N79" i="87"/>
  <c r="N77" i="87"/>
  <c r="N76" i="87"/>
  <c r="N75" i="87"/>
  <c r="E75" i="87" s="1"/>
  <c r="N74" i="87"/>
  <c r="E74" i="87" s="1"/>
  <c r="N73" i="87"/>
  <c r="E73" i="87" s="1"/>
  <c r="N72" i="87"/>
  <c r="E72" i="87" s="1"/>
  <c r="N71" i="87"/>
  <c r="E71" i="87" s="1"/>
  <c r="N70" i="87"/>
  <c r="E70" i="87" s="1"/>
  <c r="N69" i="87"/>
  <c r="N68" i="87"/>
  <c r="N67" i="87"/>
  <c r="E67" i="87" s="1"/>
  <c r="N66" i="87"/>
  <c r="E66" i="87" s="1"/>
  <c r="N65" i="87"/>
  <c r="E65" i="87" s="1"/>
  <c r="N64" i="87"/>
  <c r="E64" i="87" s="1"/>
  <c r="N63" i="87"/>
  <c r="E63" i="87" s="1"/>
  <c r="N62" i="87"/>
  <c r="E62" i="87" s="1"/>
  <c r="N61" i="87"/>
  <c r="E61" i="87" s="1"/>
  <c r="N60" i="87"/>
  <c r="E60" i="87" s="1"/>
  <c r="N59" i="87"/>
  <c r="E59" i="87" s="1"/>
  <c r="N58" i="87"/>
  <c r="N57" i="87"/>
  <c r="N56" i="87"/>
  <c r="E56" i="87" s="1"/>
  <c r="N55" i="87"/>
  <c r="E55" i="87" s="1"/>
  <c r="N54" i="87"/>
  <c r="N53" i="87"/>
  <c r="E53" i="87" s="1"/>
  <c r="N51" i="87"/>
  <c r="N50" i="87"/>
  <c r="N48" i="87"/>
  <c r="N47" i="87"/>
  <c r="N45" i="87"/>
  <c r="N44" i="87"/>
  <c r="N43" i="87"/>
  <c r="N42" i="87"/>
  <c r="N41" i="87"/>
  <c r="N40" i="87"/>
  <c r="N39" i="87"/>
  <c r="N38" i="87"/>
  <c r="N37" i="87"/>
  <c r="N36" i="87"/>
  <c r="N35" i="87"/>
  <c r="N34" i="87"/>
  <c r="N33" i="87"/>
  <c r="N32" i="87"/>
  <c r="N31" i="87"/>
  <c r="N30" i="87"/>
  <c r="N29" i="87"/>
  <c r="N28" i="87"/>
  <c r="N27" i="87"/>
  <c r="N26" i="87"/>
  <c r="N25" i="87"/>
  <c r="N24" i="87"/>
  <c r="N23" i="87"/>
  <c r="N22" i="87"/>
  <c r="N20" i="87"/>
  <c r="N19" i="87"/>
  <c r="N18" i="87"/>
  <c r="N17" i="87"/>
  <c r="N15" i="87"/>
  <c r="N11" i="87"/>
  <c r="N10" i="87"/>
  <c r="N9" i="87"/>
  <c r="N8" i="87"/>
  <c r="N6" i="87"/>
  <c r="N5" i="87"/>
  <c r="N4" i="87"/>
  <c r="E4" i="87" s="1"/>
  <c r="W291" i="7"/>
  <c r="W290" i="7"/>
  <c r="W289" i="7"/>
  <c r="W288" i="7"/>
  <c r="W287" i="7"/>
  <c r="W286" i="7"/>
  <c r="W285" i="7"/>
  <c r="W284" i="7"/>
  <c r="W283" i="7"/>
  <c r="W282" i="7"/>
  <c r="W280" i="7"/>
  <c r="W279" i="7"/>
  <c r="W278" i="7"/>
  <c r="W277" i="7"/>
  <c r="W276" i="7"/>
  <c r="W275" i="7"/>
  <c r="W274" i="7"/>
  <c r="W273" i="7"/>
  <c r="W272" i="7"/>
  <c r="W271" i="7"/>
  <c r="W270" i="7"/>
  <c r="W264" i="7"/>
  <c r="W263" i="7"/>
  <c r="W262" i="7"/>
  <c r="W261" i="7"/>
  <c r="W260" i="7"/>
  <c r="W259" i="7"/>
  <c r="W258" i="7"/>
  <c r="W257" i="7"/>
  <c r="W256" i="7"/>
  <c r="W255" i="7"/>
  <c r="W254" i="7"/>
  <c r="W253" i="7"/>
  <c r="W252" i="7"/>
  <c r="W251" i="7"/>
  <c r="W250" i="7"/>
  <c r="W249" i="7"/>
  <c r="W248" i="7"/>
  <c r="W246" i="7"/>
  <c r="W245" i="7"/>
  <c r="W244" i="7"/>
  <c r="W243" i="7"/>
  <c r="W242" i="7"/>
  <c r="W241" i="7"/>
  <c r="W239" i="7"/>
  <c r="W238" i="7"/>
  <c r="W237" i="7"/>
  <c r="W236" i="7"/>
  <c r="W235" i="7"/>
  <c r="W233" i="7"/>
  <c r="W232" i="7"/>
  <c r="W231" i="7"/>
  <c r="W228" i="7"/>
  <c r="W227" i="7"/>
  <c r="W226" i="7"/>
  <c r="W225" i="7"/>
  <c r="W224" i="7"/>
  <c r="W223" i="7"/>
  <c r="W222" i="7"/>
  <c r="W221" i="7"/>
  <c r="W220" i="7"/>
  <c r="W219" i="7"/>
  <c r="W218" i="7"/>
  <c r="W217" i="7"/>
  <c r="W216" i="7"/>
  <c r="W215" i="7"/>
  <c r="W214" i="7"/>
  <c r="W213" i="7"/>
  <c r="W212" i="7"/>
  <c r="W211" i="7"/>
  <c r="W210" i="7"/>
  <c r="W209" i="7"/>
  <c r="W208" i="7"/>
  <c r="W207" i="7"/>
  <c r="W206" i="7"/>
  <c r="W205" i="7"/>
  <c r="W204" i="7"/>
  <c r="W203" i="7"/>
  <c r="W202" i="7"/>
  <c r="W201" i="7"/>
  <c r="W200" i="7"/>
  <c r="W199" i="7"/>
  <c r="W198" i="7"/>
  <c r="W197" i="7"/>
  <c r="W196" i="7"/>
  <c r="W195" i="7"/>
  <c r="W194" i="7"/>
  <c r="W193" i="7"/>
  <c r="W192" i="7"/>
  <c r="W191" i="7"/>
  <c r="W190" i="7"/>
  <c r="W189" i="7"/>
  <c r="W188" i="7"/>
  <c r="W187" i="7"/>
  <c r="W186" i="7"/>
  <c r="W185" i="7"/>
  <c r="W184" i="7"/>
  <c r="W183" i="7"/>
  <c r="W182" i="7"/>
  <c r="W181" i="7"/>
  <c r="W180" i="7"/>
  <c r="W179" i="7"/>
  <c r="W178" i="7"/>
  <c r="W177" i="7"/>
  <c r="W176" i="7"/>
  <c r="W175" i="7"/>
  <c r="W174" i="7"/>
  <c r="W173" i="7"/>
  <c r="W172" i="7"/>
  <c r="W171" i="7"/>
  <c r="W170" i="7"/>
  <c r="W169" i="7"/>
  <c r="W168" i="7"/>
  <c r="W167" i="7"/>
  <c r="W166" i="7"/>
  <c r="W165" i="7"/>
  <c r="W164" i="7"/>
  <c r="W163" i="7"/>
  <c r="W162" i="7"/>
  <c r="W161" i="7"/>
  <c r="W160" i="7"/>
  <c r="W159" i="7"/>
  <c r="W158" i="7"/>
  <c r="W157" i="7"/>
  <c r="W156" i="7"/>
  <c r="W155" i="7"/>
  <c r="W154" i="7"/>
  <c r="W153" i="7"/>
  <c r="W152" i="7"/>
  <c r="W151" i="7"/>
  <c r="W150" i="7"/>
  <c r="W149" i="7"/>
  <c r="W148" i="7"/>
  <c r="W147" i="7"/>
  <c r="W145" i="7"/>
  <c r="W144" i="7"/>
  <c r="W143" i="7"/>
  <c r="Z143" i="7" s="1"/>
  <c r="W142" i="7"/>
  <c r="W141" i="7"/>
  <c r="W140" i="7"/>
  <c r="W139" i="7"/>
  <c r="Z139" i="7" s="1"/>
  <c r="W138" i="7"/>
  <c r="W137" i="7"/>
  <c r="W136" i="7"/>
  <c r="Z136" i="7" s="1"/>
  <c r="W135" i="7"/>
  <c r="W134" i="7"/>
  <c r="W133" i="7"/>
  <c r="W132" i="7"/>
  <c r="W131" i="7"/>
  <c r="W130" i="7"/>
  <c r="W129" i="7"/>
  <c r="W128" i="7"/>
  <c r="Z128" i="7" s="1"/>
  <c r="W127" i="7"/>
  <c r="W126" i="7"/>
  <c r="W125" i="7"/>
  <c r="W124" i="7"/>
  <c r="W123" i="7"/>
  <c r="W122" i="7"/>
  <c r="W121" i="7"/>
  <c r="W120" i="7"/>
  <c r="Z120" i="7" s="1"/>
  <c r="W119" i="7"/>
  <c r="W118" i="7"/>
  <c r="W117" i="7"/>
  <c r="W116" i="7"/>
  <c r="W115" i="7"/>
  <c r="W114" i="7"/>
  <c r="W113" i="7"/>
  <c r="W112" i="7"/>
  <c r="W111" i="7"/>
  <c r="W110" i="7"/>
  <c r="W109" i="7"/>
  <c r="Z109" i="7" s="1"/>
  <c r="W108" i="7"/>
  <c r="Z108" i="7" s="1"/>
  <c r="W107" i="7"/>
  <c r="W106" i="7"/>
  <c r="W105" i="7"/>
  <c r="W104" i="7"/>
  <c r="W103" i="7"/>
  <c r="Z103" i="7" s="1"/>
  <c r="W102" i="7"/>
  <c r="W101" i="7"/>
  <c r="Z101" i="7" s="1"/>
  <c r="W100" i="7"/>
  <c r="W99" i="7"/>
  <c r="W98" i="7"/>
  <c r="W97" i="7"/>
  <c r="W96" i="7"/>
  <c r="W95" i="7"/>
  <c r="W94" i="7"/>
  <c r="W93" i="7"/>
  <c r="W92" i="7"/>
  <c r="W91" i="7"/>
  <c r="Z91" i="7" s="1"/>
  <c r="W90" i="7"/>
  <c r="W89" i="7"/>
  <c r="Z89" i="7" s="1"/>
  <c r="W88" i="7"/>
  <c r="W87" i="7"/>
  <c r="W86" i="7"/>
  <c r="W85" i="7"/>
  <c r="W84" i="7"/>
  <c r="W83" i="7"/>
  <c r="Z83" i="7" s="1"/>
  <c r="W82" i="7"/>
  <c r="Z82" i="7" s="1"/>
  <c r="W81" i="7"/>
  <c r="W80" i="7"/>
  <c r="W79" i="7"/>
  <c r="W77" i="7"/>
  <c r="Z77" i="7" s="1"/>
  <c r="W76" i="7"/>
  <c r="W75" i="7"/>
  <c r="Z75" i="7" s="1"/>
  <c r="W74" i="7"/>
  <c r="Z74" i="7" s="1"/>
  <c r="W73" i="7"/>
  <c r="Z73" i="7" s="1"/>
  <c r="W72" i="7"/>
  <c r="Z72" i="7" s="1"/>
  <c r="W71" i="7"/>
  <c r="Z71" i="7" s="1"/>
  <c r="W70" i="7"/>
  <c r="Z70" i="7" s="1"/>
  <c r="W69" i="7"/>
  <c r="W68" i="7"/>
  <c r="W67" i="7"/>
  <c r="Z67" i="7" s="1"/>
  <c r="W66" i="7"/>
  <c r="Z66" i="7" s="1"/>
  <c r="W65" i="7"/>
  <c r="Z65" i="7" s="1"/>
  <c r="W64" i="7"/>
  <c r="Z64" i="7" s="1"/>
  <c r="W63" i="7"/>
  <c r="Z63" i="7" s="1"/>
  <c r="W62" i="7"/>
  <c r="Z62" i="7" s="1"/>
  <c r="W61" i="7"/>
  <c r="Z61" i="7" s="1"/>
  <c r="W60" i="7"/>
  <c r="Z60" i="7" s="1"/>
  <c r="W59" i="7"/>
  <c r="Z59" i="7" s="1"/>
  <c r="W58" i="7"/>
  <c r="W57" i="7"/>
  <c r="W56" i="7"/>
  <c r="Z56" i="7" s="1"/>
  <c r="W55" i="7"/>
  <c r="Z55" i="7" s="1"/>
  <c r="W54" i="7"/>
  <c r="W53" i="7"/>
  <c r="Z53" i="7" s="1"/>
  <c r="W51" i="7"/>
  <c r="W50" i="7"/>
  <c r="W48" i="7"/>
  <c r="W47" i="7"/>
  <c r="W45" i="7"/>
  <c r="Z45" i="7" s="1"/>
  <c r="W44" i="7"/>
  <c r="W43" i="7"/>
  <c r="W42" i="7"/>
  <c r="W41" i="7"/>
  <c r="Z41" i="7" s="1"/>
  <c r="W40" i="7"/>
  <c r="W39" i="7"/>
  <c r="W38" i="7"/>
  <c r="W37" i="7"/>
  <c r="W36" i="7"/>
  <c r="Z36" i="7" s="1"/>
  <c r="W35" i="7"/>
  <c r="W34" i="7"/>
  <c r="Z34" i="7" s="1"/>
  <c r="W33" i="7"/>
  <c r="W32" i="7"/>
  <c r="Z32" i="7" s="1"/>
  <c r="W31" i="7"/>
  <c r="W30" i="7"/>
  <c r="W29" i="7"/>
  <c r="W28" i="7"/>
  <c r="Z28" i="7" s="1"/>
  <c r="W27" i="7"/>
  <c r="Z27" i="7" s="1"/>
  <c r="W26" i="7"/>
  <c r="W25" i="7"/>
  <c r="W24" i="7"/>
  <c r="Z24" i="7" s="1"/>
  <c r="W23" i="7"/>
  <c r="W22" i="7"/>
  <c r="W20" i="7"/>
  <c r="W19" i="7"/>
  <c r="W18" i="7"/>
  <c r="W17" i="7"/>
  <c r="W15" i="7"/>
  <c r="W11" i="7"/>
  <c r="W10" i="7"/>
  <c r="W9" i="7"/>
  <c r="W8" i="7"/>
  <c r="Z8" i="7" s="1"/>
  <c r="W6" i="7"/>
  <c r="W5" i="7"/>
  <c r="W4" i="7"/>
  <c r="Z4" i="7" s="1"/>
  <c r="K291" i="87"/>
  <c r="K290" i="87"/>
  <c r="K289" i="87"/>
  <c r="K288" i="87"/>
  <c r="K287" i="87"/>
  <c r="K286" i="87"/>
  <c r="K285" i="87"/>
  <c r="K284" i="87"/>
  <c r="K283" i="87"/>
  <c r="K282" i="87"/>
  <c r="K280" i="87"/>
  <c r="K279" i="87"/>
  <c r="K278" i="87"/>
  <c r="K277" i="87"/>
  <c r="K276" i="87"/>
  <c r="K275" i="87"/>
  <c r="K274" i="87"/>
  <c r="K273" i="87"/>
  <c r="K272" i="87"/>
  <c r="K271" i="87"/>
  <c r="K270" i="87"/>
  <c r="K264" i="87"/>
  <c r="K263" i="87"/>
  <c r="K262" i="87"/>
  <c r="K261" i="87"/>
  <c r="K260" i="87"/>
  <c r="K259" i="87"/>
  <c r="K258" i="87"/>
  <c r="K257" i="87"/>
  <c r="K256" i="87"/>
  <c r="K255" i="87"/>
  <c r="K254" i="87"/>
  <c r="K253" i="87"/>
  <c r="K252" i="87"/>
  <c r="K251" i="87"/>
  <c r="K250" i="87"/>
  <c r="K249" i="87"/>
  <c r="K248" i="87"/>
  <c r="K246" i="87"/>
  <c r="K245" i="87"/>
  <c r="K244" i="87"/>
  <c r="K243" i="87"/>
  <c r="K242" i="87"/>
  <c r="K241" i="87"/>
  <c r="K239" i="87"/>
  <c r="K238" i="87"/>
  <c r="K237" i="87"/>
  <c r="K236" i="87"/>
  <c r="K235" i="87"/>
  <c r="K233" i="87"/>
  <c r="K232" i="87"/>
  <c r="K231" i="87"/>
  <c r="K228" i="87"/>
  <c r="K227" i="87"/>
  <c r="K226" i="87"/>
  <c r="K225" i="87"/>
  <c r="K224" i="87"/>
  <c r="K223" i="87"/>
  <c r="K222" i="87"/>
  <c r="K221" i="87"/>
  <c r="K220" i="87"/>
  <c r="K219" i="87"/>
  <c r="K218" i="87"/>
  <c r="K217" i="87"/>
  <c r="K216" i="87"/>
  <c r="K215" i="87"/>
  <c r="K214" i="87"/>
  <c r="K213" i="87"/>
  <c r="K212" i="87"/>
  <c r="K211" i="87"/>
  <c r="K210" i="87"/>
  <c r="K209" i="87"/>
  <c r="K208" i="87"/>
  <c r="K207" i="87"/>
  <c r="K206" i="87"/>
  <c r="K205" i="87"/>
  <c r="K204" i="87"/>
  <c r="K203" i="87"/>
  <c r="K202" i="87"/>
  <c r="K201" i="87"/>
  <c r="K200" i="87"/>
  <c r="K199" i="87"/>
  <c r="K198" i="87"/>
  <c r="K197" i="87"/>
  <c r="K196" i="87"/>
  <c r="K195" i="87"/>
  <c r="K194" i="87"/>
  <c r="K193" i="87"/>
  <c r="K192" i="87"/>
  <c r="K191" i="87"/>
  <c r="K190" i="87"/>
  <c r="K189" i="87"/>
  <c r="K188" i="87"/>
  <c r="K187" i="87"/>
  <c r="K186" i="87"/>
  <c r="K185" i="87"/>
  <c r="K184" i="87"/>
  <c r="K183" i="87"/>
  <c r="K182" i="87"/>
  <c r="K181" i="87"/>
  <c r="K180" i="87"/>
  <c r="K179" i="87"/>
  <c r="K178" i="87"/>
  <c r="K177" i="87"/>
  <c r="K176" i="87"/>
  <c r="K175" i="87"/>
  <c r="K174" i="87"/>
  <c r="K173" i="87"/>
  <c r="K172" i="87"/>
  <c r="K171" i="87"/>
  <c r="K170" i="87"/>
  <c r="K169" i="87"/>
  <c r="K168" i="87"/>
  <c r="K167" i="87"/>
  <c r="K166" i="87"/>
  <c r="K165" i="87"/>
  <c r="K164" i="87"/>
  <c r="K163" i="87"/>
  <c r="K162" i="87"/>
  <c r="K161" i="87"/>
  <c r="K160" i="87"/>
  <c r="K159" i="87"/>
  <c r="K158" i="87"/>
  <c r="K157" i="87"/>
  <c r="K156" i="87"/>
  <c r="K155" i="87"/>
  <c r="K154" i="87"/>
  <c r="K153" i="87"/>
  <c r="K152" i="87"/>
  <c r="K151" i="87"/>
  <c r="K150" i="87"/>
  <c r="K149" i="87"/>
  <c r="K148" i="87"/>
  <c r="K147" i="87"/>
  <c r="K145" i="87"/>
  <c r="K144" i="87"/>
  <c r="K143" i="87"/>
  <c r="K142" i="87"/>
  <c r="K141" i="87"/>
  <c r="K140" i="87"/>
  <c r="K139" i="87"/>
  <c r="K138" i="87"/>
  <c r="K137" i="87"/>
  <c r="K136" i="87"/>
  <c r="K135" i="87"/>
  <c r="K134" i="87"/>
  <c r="K133" i="87"/>
  <c r="K132" i="87"/>
  <c r="K131" i="87"/>
  <c r="K130" i="87"/>
  <c r="K129" i="87"/>
  <c r="K128" i="87"/>
  <c r="K127" i="87"/>
  <c r="K126" i="87"/>
  <c r="K125" i="87"/>
  <c r="K124" i="87"/>
  <c r="K123" i="87"/>
  <c r="K122" i="87"/>
  <c r="K121" i="87"/>
  <c r="K120" i="87"/>
  <c r="K119" i="87"/>
  <c r="K118" i="87"/>
  <c r="K117" i="87"/>
  <c r="K116" i="87"/>
  <c r="K115" i="87"/>
  <c r="K114" i="87"/>
  <c r="K113" i="87"/>
  <c r="K112" i="87"/>
  <c r="K111" i="87"/>
  <c r="K110" i="87"/>
  <c r="K109" i="87"/>
  <c r="K108" i="87"/>
  <c r="K107" i="87"/>
  <c r="K106" i="87"/>
  <c r="K105" i="87"/>
  <c r="K104" i="87"/>
  <c r="K103" i="87"/>
  <c r="K102" i="87"/>
  <c r="K101" i="87"/>
  <c r="K100" i="87"/>
  <c r="K99" i="87"/>
  <c r="K98" i="87"/>
  <c r="K97" i="87"/>
  <c r="K96" i="87"/>
  <c r="K95" i="87"/>
  <c r="K94" i="87"/>
  <c r="K93" i="87"/>
  <c r="K92" i="87"/>
  <c r="K91" i="87"/>
  <c r="K90" i="87"/>
  <c r="K89" i="87"/>
  <c r="K88" i="87"/>
  <c r="K87" i="87"/>
  <c r="K86" i="87"/>
  <c r="K85" i="87"/>
  <c r="K84" i="87"/>
  <c r="K83" i="87"/>
  <c r="K82" i="87"/>
  <c r="K81" i="87"/>
  <c r="K80" i="87"/>
  <c r="K79" i="87"/>
  <c r="K77" i="87"/>
  <c r="K76" i="87"/>
  <c r="K75" i="87"/>
  <c r="K74" i="87"/>
  <c r="K73" i="87"/>
  <c r="K72" i="87"/>
  <c r="K71" i="87"/>
  <c r="K70" i="87"/>
  <c r="K69" i="87"/>
  <c r="K68" i="87"/>
  <c r="K67" i="87"/>
  <c r="K66" i="87"/>
  <c r="K65" i="87"/>
  <c r="K64" i="87"/>
  <c r="K63" i="87"/>
  <c r="K62" i="87"/>
  <c r="K61" i="87"/>
  <c r="K60" i="87"/>
  <c r="K59" i="87"/>
  <c r="K58" i="87"/>
  <c r="K57" i="87"/>
  <c r="K56" i="87"/>
  <c r="K55" i="87"/>
  <c r="K54" i="87"/>
  <c r="K53" i="87"/>
  <c r="K51" i="87"/>
  <c r="K50" i="87"/>
  <c r="K48" i="87"/>
  <c r="K47" i="87"/>
  <c r="K45" i="87"/>
  <c r="K44" i="87"/>
  <c r="K43" i="87"/>
  <c r="K42" i="87"/>
  <c r="K41" i="87"/>
  <c r="K40" i="87"/>
  <c r="K39" i="87"/>
  <c r="K38" i="87"/>
  <c r="K37" i="87"/>
  <c r="K36" i="87"/>
  <c r="K35" i="87"/>
  <c r="K34" i="87"/>
  <c r="K33" i="87"/>
  <c r="K32" i="87"/>
  <c r="K31" i="87"/>
  <c r="K30" i="87"/>
  <c r="K29" i="87"/>
  <c r="K28" i="87"/>
  <c r="K27" i="87"/>
  <c r="K26" i="87"/>
  <c r="K25" i="87"/>
  <c r="K24" i="87"/>
  <c r="K23" i="87"/>
  <c r="K22" i="87"/>
  <c r="K20" i="87"/>
  <c r="K19" i="87"/>
  <c r="K18" i="87"/>
  <c r="K17" i="87"/>
  <c r="K15" i="87"/>
  <c r="K11" i="87"/>
  <c r="K10" i="87"/>
  <c r="K9" i="87"/>
  <c r="K8" i="87"/>
  <c r="K6" i="87"/>
  <c r="K5" i="87"/>
  <c r="K4" i="87"/>
  <c r="V13" i="33" l="1"/>
  <c r="Z13" i="33"/>
  <c r="V14" i="33"/>
  <c r="Z16" i="33"/>
  <c r="Z14" i="33"/>
  <c r="V16" i="33"/>
  <c r="F14" i="28"/>
  <c r="I14" i="46" s="1"/>
  <c r="V14" i="26"/>
  <c r="W14" i="26"/>
  <c r="U14" i="26"/>
  <c r="T14" i="26"/>
  <c r="S14" i="26"/>
  <c r="X14" i="26"/>
  <c r="Z14" i="26"/>
  <c r="Y14" i="26"/>
  <c r="BG14" i="7"/>
  <c r="BF14" i="7"/>
  <c r="BE14" i="7"/>
  <c r="O14" i="46"/>
  <c r="F14" i="87"/>
  <c r="BC14" i="7"/>
  <c r="D14" i="39"/>
  <c r="E14" i="39" s="1"/>
  <c r="BJ14" i="7"/>
  <c r="BI14" i="7"/>
  <c r="BH14" i="7"/>
  <c r="BD14" i="7"/>
  <c r="F13" i="87"/>
  <c r="BG13" i="7"/>
  <c r="BE13" i="7"/>
  <c r="BJ13" i="7"/>
  <c r="BF13" i="7"/>
  <c r="BD13" i="7"/>
  <c r="BC13" i="7"/>
  <c r="O13" i="46"/>
  <c r="BI13" i="7"/>
  <c r="D13" i="39"/>
  <c r="E13" i="39" s="1"/>
  <c r="BH13" i="7"/>
  <c r="BH16" i="7"/>
  <c r="BG16" i="7"/>
  <c r="BF16" i="7"/>
  <c r="BE16" i="7"/>
  <c r="BJ16" i="7"/>
  <c r="F16" i="87"/>
  <c r="BD16" i="7"/>
  <c r="D16" i="39"/>
  <c r="E16" i="39" s="1"/>
  <c r="BC16" i="7"/>
  <c r="O16" i="46"/>
  <c r="BI16" i="7"/>
  <c r="E5" i="87"/>
  <c r="BI66" i="7"/>
  <c r="BH66" i="7"/>
  <c r="BG66" i="7"/>
  <c r="BE66" i="7"/>
  <c r="BJ66" i="7"/>
  <c r="BD66" i="7"/>
  <c r="BI74" i="7"/>
  <c r="BH74" i="7"/>
  <c r="BG74" i="7"/>
  <c r="BE74" i="7"/>
  <c r="BJ74" i="7"/>
  <c r="BD74" i="7"/>
  <c r="BI83" i="7"/>
  <c r="BH83" i="7"/>
  <c r="BG83" i="7"/>
  <c r="BE83" i="7"/>
  <c r="BJ83" i="7"/>
  <c r="BD83" i="7"/>
  <c r="BI91" i="7"/>
  <c r="BH91" i="7"/>
  <c r="BG91" i="7"/>
  <c r="BE91" i="7"/>
  <c r="BJ91" i="7"/>
  <c r="BD91" i="7"/>
  <c r="BI139" i="7"/>
  <c r="BH139" i="7"/>
  <c r="BG139" i="7"/>
  <c r="BE139" i="7"/>
  <c r="BJ139" i="7"/>
  <c r="BD139" i="7"/>
  <c r="BG24" i="7"/>
  <c r="BJ24" i="7"/>
  <c r="BE24" i="7"/>
  <c r="BD24" i="7"/>
  <c r="BH24" i="7"/>
  <c r="BI24" i="7"/>
  <c r="BG32" i="7"/>
  <c r="BE32" i="7"/>
  <c r="BD32" i="7"/>
  <c r="BJ32" i="7"/>
  <c r="BH32" i="7"/>
  <c r="BI32" i="7"/>
  <c r="BI59" i="7"/>
  <c r="BH59" i="7"/>
  <c r="BG59" i="7"/>
  <c r="BE59" i="7"/>
  <c r="BJ59" i="7"/>
  <c r="BD59" i="7"/>
  <c r="BI67" i="7"/>
  <c r="BH67" i="7"/>
  <c r="BG67" i="7"/>
  <c r="BE67" i="7"/>
  <c r="BJ67" i="7"/>
  <c r="BD67" i="7"/>
  <c r="BI75" i="7"/>
  <c r="BH75" i="7"/>
  <c r="BG75" i="7"/>
  <c r="BE75" i="7"/>
  <c r="BJ75" i="7"/>
  <c r="BD75" i="7"/>
  <c r="BI108" i="7"/>
  <c r="BH108" i="7"/>
  <c r="BG108" i="7"/>
  <c r="BE108" i="7"/>
  <c r="BJ108" i="7"/>
  <c r="BD108" i="7"/>
  <c r="BG41" i="7"/>
  <c r="BE41" i="7"/>
  <c r="BD41" i="7"/>
  <c r="BJ41" i="7"/>
  <c r="BI41" i="7"/>
  <c r="BH41" i="7"/>
  <c r="BI60" i="7"/>
  <c r="BH60" i="7"/>
  <c r="BG60" i="7"/>
  <c r="BE60" i="7"/>
  <c r="BD60" i="7"/>
  <c r="BJ60" i="7"/>
  <c r="BI101" i="7"/>
  <c r="BH101" i="7"/>
  <c r="BG101" i="7"/>
  <c r="BE101" i="7"/>
  <c r="BD101" i="7"/>
  <c r="BJ101" i="7"/>
  <c r="BI109" i="7"/>
  <c r="BH109" i="7"/>
  <c r="BG109" i="7"/>
  <c r="BE109" i="7"/>
  <c r="BD109" i="7"/>
  <c r="BJ109" i="7"/>
  <c r="BG4" i="7"/>
  <c r="BJ4" i="7"/>
  <c r="BI4" i="7"/>
  <c r="BH4" i="7"/>
  <c r="BG34" i="7"/>
  <c r="BE34" i="7"/>
  <c r="BD34" i="7"/>
  <c r="BJ34" i="7"/>
  <c r="BI34" i="7"/>
  <c r="BH34" i="7"/>
  <c r="BG53" i="7"/>
  <c r="BJ53" i="7"/>
  <c r="BE53" i="7"/>
  <c r="BD53" i="7"/>
  <c r="BI53" i="7"/>
  <c r="BH53" i="7"/>
  <c r="BI61" i="7"/>
  <c r="BH61" i="7"/>
  <c r="BG61" i="7"/>
  <c r="BE61" i="7"/>
  <c r="BD61" i="7"/>
  <c r="BJ61" i="7"/>
  <c r="BI77" i="7"/>
  <c r="BH77" i="7"/>
  <c r="BG77" i="7"/>
  <c r="BE77" i="7"/>
  <c r="BD77" i="7"/>
  <c r="BJ77" i="7"/>
  <c r="BG27" i="7"/>
  <c r="BE27" i="7"/>
  <c r="BD27" i="7"/>
  <c r="BJ27" i="7"/>
  <c r="BI27" i="7"/>
  <c r="BH27" i="7"/>
  <c r="BI62" i="7"/>
  <c r="BH62" i="7"/>
  <c r="BG62" i="7"/>
  <c r="BE62" i="7"/>
  <c r="BJ62" i="7"/>
  <c r="BD62" i="7"/>
  <c r="BI70" i="7"/>
  <c r="BH70" i="7"/>
  <c r="BG70" i="7"/>
  <c r="BE70" i="7"/>
  <c r="BJ70" i="7"/>
  <c r="BD70" i="7"/>
  <c r="BI103" i="7"/>
  <c r="BH103" i="7"/>
  <c r="BG103" i="7"/>
  <c r="BE103" i="7"/>
  <c r="BJ103" i="7"/>
  <c r="BD103" i="7"/>
  <c r="BI143" i="7"/>
  <c r="BH143" i="7"/>
  <c r="BG143" i="7"/>
  <c r="BE143" i="7"/>
  <c r="BJ143" i="7"/>
  <c r="BD143" i="7"/>
  <c r="BG28" i="7"/>
  <c r="BE28" i="7"/>
  <c r="BJ28" i="7"/>
  <c r="BD28" i="7"/>
  <c r="BH28" i="7"/>
  <c r="BI28" i="7"/>
  <c r="BG36" i="7"/>
  <c r="BE36" i="7"/>
  <c r="BD36" i="7"/>
  <c r="BJ36" i="7"/>
  <c r="BI36" i="7"/>
  <c r="BH36" i="7"/>
  <c r="BG55" i="7"/>
  <c r="BE55" i="7"/>
  <c r="BD55" i="7"/>
  <c r="BJ55" i="7"/>
  <c r="BI55" i="7"/>
  <c r="BH55" i="7"/>
  <c r="BI63" i="7"/>
  <c r="BH63" i="7"/>
  <c r="BG63" i="7"/>
  <c r="BE63" i="7"/>
  <c r="BJ63" i="7"/>
  <c r="BD63" i="7"/>
  <c r="BI71" i="7"/>
  <c r="BH71" i="7"/>
  <c r="BG71" i="7"/>
  <c r="BE71" i="7"/>
  <c r="BJ71" i="7"/>
  <c r="BD71" i="7"/>
  <c r="BI120" i="7"/>
  <c r="BH120" i="7"/>
  <c r="BG120" i="7"/>
  <c r="BE120" i="7"/>
  <c r="BJ120" i="7"/>
  <c r="BD120" i="7"/>
  <c r="BI128" i="7"/>
  <c r="BH128" i="7"/>
  <c r="BG128" i="7"/>
  <c r="BE128" i="7"/>
  <c r="BJ128" i="7"/>
  <c r="BD128" i="7"/>
  <c r="BI136" i="7"/>
  <c r="BH136" i="7"/>
  <c r="BG136" i="7"/>
  <c r="BE136" i="7"/>
  <c r="BJ136" i="7"/>
  <c r="BD136" i="7"/>
  <c r="BG8" i="7"/>
  <c r="BJ8" i="7"/>
  <c r="BE8" i="7"/>
  <c r="BD8" i="7"/>
  <c r="BI8" i="7"/>
  <c r="BH8" i="7"/>
  <c r="BG45" i="7"/>
  <c r="BJ45" i="7"/>
  <c r="BE45" i="7"/>
  <c r="BD45" i="7"/>
  <c r="BI45" i="7"/>
  <c r="BH45" i="7"/>
  <c r="BG56" i="7"/>
  <c r="BE56" i="7"/>
  <c r="BJ56" i="7"/>
  <c r="BD56" i="7"/>
  <c r="BI56" i="7"/>
  <c r="BH56" i="7"/>
  <c r="BI64" i="7"/>
  <c r="BH64" i="7"/>
  <c r="BG64" i="7"/>
  <c r="BE64" i="7"/>
  <c r="BJ64" i="7"/>
  <c r="BD64" i="7"/>
  <c r="BI72" i="7"/>
  <c r="BH72" i="7"/>
  <c r="BG72" i="7"/>
  <c r="BE72" i="7"/>
  <c r="BJ72" i="7"/>
  <c r="BD72" i="7"/>
  <c r="BI89" i="7"/>
  <c r="BH89" i="7"/>
  <c r="BG89" i="7"/>
  <c r="BE89" i="7"/>
  <c r="BJ89" i="7"/>
  <c r="BD89" i="7"/>
  <c r="BI65" i="7"/>
  <c r="BH65" i="7"/>
  <c r="BG65" i="7"/>
  <c r="BE65" i="7"/>
  <c r="BJ65" i="7"/>
  <c r="BD65" i="7"/>
  <c r="BI73" i="7"/>
  <c r="BH73" i="7"/>
  <c r="BG73" i="7"/>
  <c r="BE73" i="7"/>
  <c r="BJ73" i="7"/>
  <c r="BD73" i="7"/>
  <c r="BI82" i="7"/>
  <c r="BH82" i="7"/>
  <c r="BG82" i="7"/>
  <c r="BE82" i="7"/>
  <c r="BJ82" i="7"/>
  <c r="BD82" i="7"/>
  <c r="BE4" i="7"/>
  <c r="BD4" i="7"/>
  <c r="O83" i="46"/>
  <c r="F83" i="87"/>
  <c r="O24" i="46"/>
  <c r="F24" i="87"/>
  <c r="O32" i="46"/>
  <c r="F32" i="87"/>
  <c r="O59" i="46"/>
  <c r="F59" i="87"/>
  <c r="O67" i="46"/>
  <c r="F67" i="87"/>
  <c r="O75" i="46"/>
  <c r="F75" i="87"/>
  <c r="O108" i="46"/>
  <c r="F108" i="87"/>
  <c r="O41" i="46"/>
  <c r="F41" i="87"/>
  <c r="O60" i="46"/>
  <c r="F60" i="87"/>
  <c r="O101" i="46"/>
  <c r="F101" i="87"/>
  <c r="O109" i="46"/>
  <c r="F109" i="87"/>
  <c r="O66" i="46"/>
  <c r="F66" i="87"/>
  <c r="O4" i="46"/>
  <c r="F4" i="87"/>
  <c r="O34" i="46"/>
  <c r="F34" i="87"/>
  <c r="O53" i="46"/>
  <c r="F53" i="87"/>
  <c r="O61" i="46"/>
  <c r="F61" i="87"/>
  <c r="O77" i="46"/>
  <c r="F77" i="87"/>
  <c r="O91" i="46"/>
  <c r="F91" i="87"/>
  <c r="O27" i="46"/>
  <c r="F27" i="87"/>
  <c r="O62" i="46"/>
  <c r="F62" i="87"/>
  <c r="O70" i="46"/>
  <c r="F70" i="87"/>
  <c r="O103" i="46"/>
  <c r="F103" i="87"/>
  <c r="O74" i="46"/>
  <c r="F74" i="87"/>
  <c r="O28" i="46"/>
  <c r="F28" i="87"/>
  <c r="F36" i="87"/>
  <c r="O36" i="46"/>
  <c r="F55" i="87"/>
  <c r="O55" i="46"/>
  <c r="O63" i="46"/>
  <c r="F63" i="87"/>
  <c r="F71" i="87"/>
  <c r="O71" i="46"/>
  <c r="F120" i="87"/>
  <c r="O120" i="46"/>
  <c r="O128" i="46"/>
  <c r="F128" i="87"/>
  <c r="F136" i="87"/>
  <c r="O136" i="46"/>
  <c r="F8" i="87"/>
  <c r="O8" i="46"/>
  <c r="F45" i="87"/>
  <c r="O45" i="46"/>
  <c r="F56" i="87"/>
  <c r="O56" i="46"/>
  <c r="O64" i="46"/>
  <c r="F64" i="87"/>
  <c r="F72" i="87"/>
  <c r="O72" i="46"/>
  <c r="F89" i="87"/>
  <c r="O89" i="46"/>
  <c r="O65" i="46"/>
  <c r="F65" i="87"/>
  <c r="O73" i="46"/>
  <c r="F73" i="87"/>
  <c r="O82" i="46"/>
  <c r="F82" i="87"/>
  <c r="O143" i="46"/>
  <c r="F143" i="87"/>
  <c r="O139" i="46"/>
  <c r="F139" i="87"/>
  <c r="E10" i="87"/>
  <c r="E23" i="87"/>
  <c r="E31" i="87"/>
  <c r="E39" i="87"/>
  <c r="E48" i="87"/>
  <c r="E58" i="87"/>
  <c r="E83" i="87"/>
  <c r="E99" i="87"/>
  <c r="E107" i="87"/>
  <c r="E115" i="87"/>
  <c r="E123" i="87"/>
  <c r="E131" i="87"/>
  <c r="E139" i="87"/>
  <c r="E11" i="87"/>
  <c r="E24" i="87"/>
  <c r="E32" i="87"/>
  <c r="E40" i="87"/>
  <c r="E50" i="87"/>
  <c r="E84" i="87"/>
  <c r="E92" i="87"/>
  <c r="E100" i="87"/>
  <c r="E116" i="87"/>
  <c r="E124" i="87"/>
  <c r="E132" i="87"/>
  <c r="E15" i="87"/>
  <c r="E25" i="87"/>
  <c r="E33" i="87"/>
  <c r="E41" i="87"/>
  <c r="E51" i="87"/>
  <c r="E68" i="87"/>
  <c r="E76" i="87"/>
  <c r="E85" i="87"/>
  <c r="E93" i="87"/>
  <c r="E109" i="87"/>
  <c r="E117" i="87"/>
  <c r="E125" i="87"/>
  <c r="E133" i="87"/>
  <c r="E17" i="87"/>
  <c r="E26" i="87"/>
  <c r="E34" i="87"/>
  <c r="E42" i="87"/>
  <c r="E69" i="87"/>
  <c r="E77" i="87"/>
  <c r="E86" i="87"/>
  <c r="E94" i="87"/>
  <c r="E102" i="87"/>
  <c r="E110" i="87"/>
  <c r="E118" i="87"/>
  <c r="E126" i="87"/>
  <c r="E134" i="87"/>
  <c r="E142" i="87"/>
  <c r="E151" i="87"/>
  <c r="E159" i="87"/>
  <c r="E167" i="87"/>
  <c r="E175" i="87"/>
  <c r="E183" i="87"/>
  <c r="E191" i="87"/>
  <c r="E199" i="87"/>
  <c r="E207" i="87"/>
  <c r="E215" i="87"/>
  <c r="E223" i="87"/>
  <c r="E233" i="87"/>
  <c r="E243" i="87"/>
  <c r="E252" i="87"/>
  <c r="E260" i="87"/>
  <c r="E270" i="87"/>
  <c r="E278" i="87"/>
  <c r="E287" i="87"/>
  <c r="E18" i="87"/>
  <c r="E27" i="87"/>
  <c r="E35" i="87"/>
  <c r="E43" i="87"/>
  <c r="E54" i="87"/>
  <c r="E79" i="87"/>
  <c r="E87" i="87"/>
  <c r="E95" i="87"/>
  <c r="E111" i="87"/>
  <c r="E119" i="87"/>
  <c r="E127" i="87"/>
  <c r="E135" i="87"/>
  <c r="E152" i="87"/>
  <c r="E160" i="87"/>
  <c r="E168" i="87"/>
  <c r="E176" i="87"/>
  <c r="E184" i="87"/>
  <c r="E192" i="87"/>
  <c r="E200" i="87"/>
  <c r="E208" i="87"/>
  <c r="E216" i="87"/>
  <c r="E224" i="87"/>
  <c r="E235" i="87"/>
  <c r="E244" i="87"/>
  <c r="E253" i="87"/>
  <c r="E261" i="87"/>
  <c r="E271" i="87"/>
  <c r="E279" i="87"/>
  <c r="E288" i="87"/>
  <c r="E6" i="87"/>
  <c r="E19" i="87"/>
  <c r="E28" i="87"/>
  <c r="E36" i="87"/>
  <c r="E44" i="87"/>
  <c r="E80" i="87"/>
  <c r="E88" i="87"/>
  <c r="E96" i="87"/>
  <c r="E104" i="87"/>
  <c r="E112" i="87"/>
  <c r="E128" i="87"/>
  <c r="E144" i="87"/>
  <c r="E153" i="87"/>
  <c r="E161" i="87"/>
  <c r="E169" i="87"/>
  <c r="E177" i="87"/>
  <c r="E185" i="87"/>
  <c r="E193" i="87"/>
  <c r="E201" i="87"/>
  <c r="E209" i="87"/>
  <c r="E217" i="87"/>
  <c r="E225" i="87"/>
  <c r="E236" i="87"/>
  <c r="E245" i="87"/>
  <c r="E254" i="87"/>
  <c r="E262" i="87"/>
  <c r="E272" i="87"/>
  <c r="E8" i="87"/>
  <c r="E20" i="87"/>
  <c r="E29" i="87"/>
  <c r="E37" i="87"/>
  <c r="E45" i="87"/>
  <c r="E81" i="87"/>
  <c r="E97" i="87"/>
  <c r="E105" i="87"/>
  <c r="E113" i="87"/>
  <c r="E121" i="87"/>
  <c r="E129" i="87"/>
  <c r="E137" i="87"/>
  <c r="E9" i="87"/>
  <c r="E22" i="87"/>
  <c r="E30" i="87"/>
  <c r="E38" i="87"/>
  <c r="E47" i="87"/>
  <c r="E57" i="87"/>
  <c r="E82" i="87"/>
  <c r="E90" i="87"/>
  <c r="E98" i="87"/>
  <c r="E106" i="87"/>
  <c r="E114" i="87"/>
  <c r="E122" i="87"/>
  <c r="E130" i="87"/>
  <c r="E138" i="87"/>
  <c r="E280" i="87"/>
  <c r="E289" i="87"/>
  <c r="E145" i="87"/>
  <c r="E154" i="87"/>
  <c r="E162" i="87"/>
  <c r="E170" i="87"/>
  <c r="E178" i="87"/>
  <c r="E186" i="87"/>
  <c r="E194" i="87"/>
  <c r="E202" i="87"/>
  <c r="E210" i="87"/>
  <c r="E218" i="87"/>
  <c r="E226" i="87"/>
  <c r="E237" i="87"/>
  <c r="E246" i="87"/>
  <c r="E255" i="87"/>
  <c r="E263" i="87"/>
  <c r="E273" i="87"/>
  <c r="E282" i="87"/>
  <c r="E290" i="87"/>
  <c r="E147" i="87"/>
  <c r="E155" i="87"/>
  <c r="E163" i="87"/>
  <c r="E171" i="87"/>
  <c r="E179" i="87"/>
  <c r="E187" i="87"/>
  <c r="E195" i="87"/>
  <c r="E203" i="87"/>
  <c r="E211" i="87"/>
  <c r="E219" i="87"/>
  <c r="E227" i="87"/>
  <c r="E238" i="87"/>
  <c r="E248" i="87"/>
  <c r="E256" i="87"/>
  <c r="E264" i="87"/>
  <c r="E274" i="87"/>
  <c r="E283" i="87"/>
  <c r="E291" i="87"/>
  <c r="E148" i="87"/>
  <c r="E156" i="87"/>
  <c r="E164" i="87"/>
  <c r="E172" i="87"/>
  <c r="E180" i="87"/>
  <c r="E188" i="87"/>
  <c r="E196" i="87"/>
  <c r="E204" i="87"/>
  <c r="E212" i="87"/>
  <c r="E220" i="87"/>
  <c r="E228" i="87"/>
  <c r="E239" i="87"/>
  <c r="E249" i="87"/>
  <c r="E257" i="87"/>
  <c r="E275" i="87"/>
  <c r="E284" i="87"/>
  <c r="E140" i="87"/>
  <c r="E149" i="87"/>
  <c r="E157" i="87"/>
  <c r="E165" i="87"/>
  <c r="E173" i="87"/>
  <c r="E181" i="87"/>
  <c r="E189" i="87"/>
  <c r="E197" i="87"/>
  <c r="E205" i="87"/>
  <c r="E213" i="87"/>
  <c r="E221" i="87"/>
  <c r="E231" i="87"/>
  <c r="E241" i="87"/>
  <c r="E250" i="87"/>
  <c r="E258" i="87"/>
  <c r="E276" i="87"/>
  <c r="E285" i="87"/>
  <c r="E141" i="87"/>
  <c r="E150" i="87"/>
  <c r="E158" i="87"/>
  <c r="E166" i="87"/>
  <c r="E174" i="87"/>
  <c r="E182" i="87"/>
  <c r="E190" i="87"/>
  <c r="E198" i="87"/>
  <c r="E206" i="87"/>
  <c r="E214" i="87"/>
  <c r="E222" i="87"/>
  <c r="E232" i="87"/>
  <c r="E242" i="87"/>
  <c r="E251" i="87"/>
  <c r="E259" i="87"/>
  <c r="E277" i="87"/>
  <c r="E286" i="87"/>
  <c r="X64" i="87" l="1"/>
  <c r="T64" i="87"/>
  <c r="V64" i="87"/>
  <c r="U64" i="87"/>
  <c r="X62" i="87"/>
  <c r="V62" i="87"/>
  <c r="U62" i="87"/>
  <c r="T62" i="87"/>
  <c r="T103" i="87"/>
  <c r="X103" i="87"/>
  <c r="U103" i="87"/>
  <c r="V103" i="87"/>
  <c r="T53" i="87"/>
  <c r="X53" i="87"/>
  <c r="V53" i="87"/>
  <c r="U53" i="87"/>
  <c r="T41" i="87"/>
  <c r="X41" i="87"/>
  <c r="V41" i="87"/>
  <c r="U41" i="87"/>
  <c r="T83" i="87"/>
  <c r="X83" i="87"/>
  <c r="V83" i="87"/>
  <c r="U83" i="87"/>
  <c r="T71" i="87"/>
  <c r="X71" i="87"/>
  <c r="V71" i="87"/>
  <c r="U71" i="87"/>
  <c r="X56" i="87"/>
  <c r="V56" i="87"/>
  <c r="U56" i="87"/>
  <c r="T56" i="87"/>
  <c r="T34" i="87"/>
  <c r="X34" i="87"/>
  <c r="V34" i="87"/>
  <c r="U34" i="87"/>
  <c r="X27" i="87"/>
  <c r="V27" i="87"/>
  <c r="U27" i="87"/>
  <c r="T27" i="87"/>
  <c r="X66" i="87"/>
  <c r="T66" i="87"/>
  <c r="U66" i="87"/>
  <c r="V66" i="87"/>
  <c r="T67" i="87"/>
  <c r="X67" i="87"/>
  <c r="V67" i="87"/>
  <c r="U67" i="87"/>
  <c r="T13" i="87"/>
  <c r="R13" i="87"/>
  <c r="X13" i="87"/>
  <c r="U13" i="87"/>
  <c r="S13" i="87"/>
  <c r="W13" i="87"/>
  <c r="V13" i="87"/>
  <c r="X143" i="87"/>
  <c r="V143" i="87"/>
  <c r="U143" i="87"/>
  <c r="T143" i="87"/>
  <c r="T75" i="87"/>
  <c r="X75" i="87"/>
  <c r="V75" i="87"/>
  <c r="U75" i="87"/>
  <c r="T63" i="87"/>
  <c r="X63" i="87"/>
  <c r="V63" i="87"/>
  <c r="U63" i="87"/>
  <c r="T55" i="87"/>
  <c r="X55" i="87"/>
  <c r="V55" i="87"/>
  <c r="U55" i="87"/>
  <c r="T59" i="87"/>
  <c r="X59" i="87"/>
  <c r="V59" i="87"/>
  <c r="U59" i="87"/>
  <c r="X16" i="87"/>
  <c r="W16" i="87"/>
  <c r="V16" i="87"/>
  <c r="R16" i="87"/>
  <c r="U16" i="87"/>
  <c r="T16" i="87"/>
  <c r="S16" i="87"/>
  <c r="X72" i="87"/>
  <c r="V72" i="87"/>
  <c r="U72" i="87"/>
  <c r="T72" i="87"/>
  <c r="X108" i="87"/>
  <c r="T108" i="87"/>
  <c r="V108" i="87"/>
  <c r="U108" i="87"/>
  <c r="T45" i="87"/>
  <c r="X45" i="87"/>
  <c r="V45" i="87"/>
  <c r="U45" i="87"/>
  <c r="T73" i="87"/>
  <c r="X73" i="87"/>
  <c r="U73" i="87"/>
  <c r="V73" i="87"/>
  <c r="T91" i="87"/>
  <c r="X91" i="87"/>
  <c r="V91" i="87"/>
  <c r="U91" i="87"/>
  <c r="T8" i="87"/>
  <c r="X8" i="87"/>
  <c r="U8" i="87"/>
  <c r="V8" i="87"/>
  <c r="X14" i="87"/>
  <c r="V14" i="87"/>
  <c r="U14" i="87"/>
  <c r="T14" i="87"/>
  <c r="S14" i="87"/>
  <c r="W14" i="87"/>
  <c r="R14" i="87"/>
  <c r="X70" i="87"/>
  <c r="U70" i="87"/>
  <c r="T70" i="87"/>
  <c r="V70" i="87"/>
  <c r="T4" i="87"/>
  <c r="X4" i="87"/>
  <c r="U4" i="87"/>
  <c r="V4" i="87"/>
  <c r="T32" i="87"/>
  <c r="X32" i="87"/>
  <c r="V32" i="87"/>
  <c r="U32" i="87"/>
  <c r="T109" i="87"/>
  <c r="X109" i="87"/>
  <c r="V109" i="87"/>
  <c r="U109" i="87"/>
  <c r="T65" i="87"/>
  <c r="X65" i="87"/>
  <c r="V65" i="87"/>
  <c r="U65" i="87"/>
  <c r="T28" i="87"/>
  <c r="X28" i="87"/>
  <c r="V28" i="87"/>
  <c r="U28" i="87"/>
  <c r="T101" i="87"/>
  <c r="X101" i="87"/>
  <c r="V101" i="87"/>
  <c r="U101" i="87"/>
  <c r="U136" i="87"/>
  <c r="X136" i="87"/>
  <c r="V136" i="87"/>
  <c r="T136" i="87"/>
  <c r="U120" i="87"/>
  <c r="X120" i="87"/>
  <c r="V120" i="87"/>
  <c r="T120" i="87"/>
  <c r="X139" i="87"/>
  <c r="V139" i="87"/>
  <c r="U139" i="87"/>
  <c r="T139" i="87"/>
  <c r="X82" i="87"/>
  <c r="T82" i="87"/>
  <c r="V82" i="87"/>
  <c r="U82" i="87"/>
  <c r="U128" i="87"/>
  <c r="V128" i="87"/>
  <c r="X128" i="87"/>
  <c r="T128" i="87"/>
  <c r="X74" i="87"/>
  <c r="V74" i="87"/>
  <c r="U74" i="87"/>
  <c r="T74" i="87"/>
  <c r="T61" i="87"/>
  <c r="X61" i="87"/>
  <c r="V61" i="87"/>
  <c r="U61" i="87"/>
  <c r="X60" i="87"/>
  <c r="V60" i="87"/>
  <c r="U60" i="87"/>
  <c r="T60" i="87"/>
  <c r="T24" i="87"/>
  <c r="X24" i="87"/>
  <c r="V24" i="87"/>
  <c r="U24" i="87"/>
  <c r="T89" i="87"/>
  <c r="X89" i="87"/>
  <c r="V89" i="87"/>
  <c r="U89" i="87"/>
  <c r="U77" i="87"/>
  <c r="X77" i="87"/>
  <c r="T77" i="87"/>
  <c r="V77" i="87"/>
  <c r="X36" i="87"/>
  <c r="T36" i="87"/>
  <c r="V36" i="87"/>
  <c r="U36" i="87"/>
  <c r="K14" i="28"/>
  <c r="H14" i="45"/>
  <c r="H13" i="45"/>
  <c r="K13" i="28"/>
  <c r="H16" i="45"/>
  <c r="K16" i="28"/>
  <c r="Z292" i="87"/>
  <c r="B291" i="87"/>
  <c r="B290" i="87"/>
  <c r="B289" i="87"/>
  <c r="B288" i="87"/>
  <c r="B287" i="87"/>
  <c r="B286" i="87"/>
  <c r="B285" i="87"/>
  <c r="B284" i="87"/>
  <c r="B283" i="87"/>
  <c r="B282" i="87"/>
  <c r="B281" i="87"/>
  <c r="R281" i="87" s="1"/>
  <c r="B280" i="87"/>
  <c r="B279" i="87"/>
  <c r="B278" i="87"/>
  <c r="B277" i="87"/>
  <c r="B276" i="87"/>
  <c r="B275" i="87"/>
  <c r="B274" i="87"/>
  <c r="B273" i="87"/>
  <c r="B272" i="87"/>
  <c r="B271" i="87"/>
  <c r="B270" i="87"/>
  <c r="B264" i="87"/>
  <c r="B263" i="87"/>
  <c r="B262" i="87"/>
  <c r="B261" i="87"/>
  <c r="B260" i="87"/>
  <c r="B259" i="87"/>
  <c r="B258" i="87"/>
  <c r="B257" i="87"/>
  <c r="B256" i="87"/>
  <c r="B255" i="87"/>
  <c r="B254" i="87"/>
  <c r="B253" i="87"/>
  <c r="B252" i="87"/>
  <c r="B251" i="87"/>
  <c r="B250" i="87"/>
  <c r="B249" i="87"/>
  <c r="B248" i="87"/>
  <c r="B247" i="87"/>
  <c r="R247" i="87" s="1"/>
  <c r="B246" i="87"/>
  <c r="B245" i="87"/>
  <c r="B244" i="87"/>
  <c r="B243" i="87"/>
  <c r="B242" i="87"/>
  <c r="B241" i="87"/>
  <c r="B240" i="87"/>
  <c r="R240" i="87" s="1"/>
  <c r="B239" i="87"/>
  <c r="B238" i="87"/>
  <c r="B237" i="87"/>
  <c r="B236" i="87"/>
  <c r="B235" i="87"/>
  <c r="B233" i="87"/>
  <c r="B232" i="87"/>
  <c r="B231" i="87"/>
  <c r="B229" i="87"/>
  <c r="R229" i="87" s="1"/>
  <c r="B228" i="87"/>
  <c r="B227" i="87"/>
  <c r="B226" i="87"/>
  <c r="B225" i="87"/>
  <c r="B224" i="87"/>
  <c r="B223" i="87"/>
  <c r="B222" i="87"/>
  <c r="B221" i="87"/>
  <c r="B220" i="87"/>
  <c r="B219" i="87"/>
  <c r="B218" i="87"/>
  <c r="B217" i="87"/>
  <c r="B216" i="87"/>
  <c r="B215" i="87"/>
  <c r="B214" i="87"/>
  <c r="B213" i="87"/>
  <c r="B212" i="87"/>
  <c r="B211" i="87"/>
  <c r="B210" i="87"/>
  <c r="B209" i="87"/>
  <c r="B208" i="87"/>
  <c r="B207" i="87"/>
  <c r="B206" i="87"/>
  <c r="B205" i="87"/>
  <c r="B204" i="87"/>
  <c r="B203" i="87"/>
  <c r="B202" i="87"/>
  <c r="B201" i="87"/>
  <c r="B200" i="87"/>
  <c r="B199" i="87"/>
  <c r="B198" i="87"/>
  <c r="B197" i="87"/>
  <c r="B196" i="87"/>
  <c r="B195" i="87"/>
  <c r="B194" i="87"/>
  <c r="B193" i="87"/>
  <c r="B192" i="87"/>
  <c r="B191" i="87"/>
  <c r="B190" i="87"/>
  <c r="B189" i="87"/>
  <c r="B188" i="87"/>
  <c r="B187" i="87"/>
  <c r="B186" i="87"/>
  <c r="B185" i="87"/>
  <c r="B184" i="87"/>
  <c r="B183" i="87"/>
  <c r="B182" i="87"/>
  <c r="B181" i="87"/>
  <c r="B180" i="87"/>
  <c r="B179" i="87"/>
  <c r="B178" i="87"/>
  <c r="B177" i="87"/>
  <c r="B176" i="87"/>
  <c r="B175" i="87"/>
  <c r="B174" i="87"/>
  <c r="B173" i="87"/>
  <c r="B172" i="87"/>
  <c r="B171" i="87"/>
  <c r="B170" i="87"/>
  <c r="B169" i="87"/>
  <c r="B168" i="87"/>
  <c r="B167" i="87"/>
  <c r="B166" i="87"/>
  <c r="B165" i="87"/>
  <c r="B164" i="87"/>
  <c r="B163" i="87"/>
  <c r="B162" i="87"/>
  <c r="B161" i="87"/>
  <c r="B160" i="87"/>
  <c r="B159" i="87"/>
  <c r="B158" i="87"/>
  <c r="B157" i="87"/>
  <c r="B156" i="87"/>
  <c r="B155" i="87"/>
  <c r="B154" i="87"/>
  <c r="B153" i="87"/>
  <c r="B152" i="87"/>
  <c r="B151" i="87"/>
  <c r="B150" i="87"/>
  <c r="B149" i="87"/>
  <c r="B148" i="87"/>
  <c r="B147" i="87"/>
  <c r="B146" i="87"/>
  <c r="R146" i="87" s="1"/>
  <c r="B145" i="87"/>
  <c r="B144" i="87"/>
  <c r="B143" i="87"/>
  <c r="B142" i="87"/>
  <c r="B141" i="87"/>
  <c r="B140" i="87"/>
  <c r="B139" i="87"/>
  <c r="B138" i="87"/>
  <c r="B137" i="87"/>
  <c r="B136" i="87"/>
  <c r="B135" i="87"/>
  <c r="B134" i="87"/>
  <c r="B133" i="87"/>
  <c r="B132" i="87"/>
  <c r="B131" i="87"/>
  <c r="B130" i="87"/>
  <c r="B129" i="87"/>
  <c r="B128" i="87"/>
  <c r="B127" i="87"/>
  <c r="B126" i="87"/>
  <c r="B125" i="87"/>
  <c r="B124" i="87"/>
  <c r="B123" i="87"/>
  <c r="B122" i="87"/>
  <c r="B121" i="87"/>
  <c r="B120" i="87"/>
  <c r="B119" i="87"/>
  <c r="B118" i="87"/>
  <c r="B117" i="87"/>
  <c r="B116" i="87"/>
  <c r="B115" i="87"/>
  <c r="B114" i="87"/>
  <c r="B113" i="87"/>
  <c r="B112" i="87"/>
  <c r="B111" i="87"/>
  <c r="B110" i="87"/>
  <c r="B109" i="87"/>
  <c r="B108" i="87"/>
  <c r="B107" i="87"/>
  <c r="B106" i="87"/>
  <c r="B105" i="87"/>
  <c r="B104" i="87"/>
  <c r="B103" i="87"/>
  <c r="B102" i="87"/>
  <c r="B101" i="87"/>
  <c r="B100" i="87"/>
  <c r="B99" i="87"/>
  <c r="B98" i="87"/>
  <c r="B97" i="87"/>
  <c r="B96" i="87"/>
  <c r="B95" i="87"/>
  <c r="B94" i="87"/>
  <c r="B93" i="87"/>
  <c r="B92" i="87"/>
  <c r="B91" i="87"/>
  <c r="B90" i="87"/>
  <c r="B89" i="87"/>
  <c r="B88" i="87"/>
  <c r="B87" i="87"/>
  <c r="B86" i="87"/>
  <c r="B85" i="87"/>
  <c r="B84" i="87"/>
  <c r="B83" i="87"/>
  <c r="B82" i="87"/>
  <c r="B81" i="87"/>
  <c r="B80" i="87"/>
  <c r="B79" i="87"/>
  <c r="B78" i="87"/>
  <c r="R78" i="87" s="1"/>
  <c r="B77" i="87"/>
  <c r="B76" i="87"/>
  <c r="B75" i="87"/>
  <c r="B74" i="87"/>
  <c r="B73" i="87"/>
  <c r="B72" i="87"/>
  <c r="B71" i="87"/>
  <c r="B70" i="87"/>
  <c r="B69" i="87"/>
  <c r="B68" i="87"/>
  <c r="B67" i="87"/>
  <c r="B66" i="87"/>
  <c r="B65" i="87"/>
  <c r="B64" i="87"/>
  <c r="B63" i="87"/>
  <c r="B62" i="87"/>
  <c r="B61" i="87"/>
  <c r="B60" i="87"/>
  <c r="B59" i="87"/>
  <c r="B58" i="87"/>
  <c r="B57" i="87"/>
  <c r="B56" i="87"/>
  <c r="B55" i="87"/>
  <c r="B54" i="87"/>
  <c r="B53" i="87"/>
  <c r="B52" i="87"/>
  <c r="R52" i="87" s="1"/>
  <c r="B51" i="87"/>
  <c r="B50" i="87"/>
  <c r="B48" i="87"/>
  <c r="B47" i="87"/>
  <c r="B46" i="87"/>
  <c r="R46" i="87" s="1"/>
  <c r="B45" i="87"/>
  <c r="B44" i="87"/>
  <c r="B43" i="87"/>
  <c r="B42" i="87"/>
  <c r="B41" i="87"/>
  <c r="B40" i="87"/>
  <c r="B39" i="87"/>
  <c r="B38" i="87"/>
  <c r="B37" i="87"/>
  <c r="B36" i="87"/>
  <c r="B35" i="87"/>
  <c r="B34" i="87"/>
  <c r="B33" i="87"/>
  <c r="B32" i="87"/>
  <c r="B31" i="87"/>
  <c r="B30" i="87"/>
  <c r="B29" i="87"/>
  <c r="B28" i="87"/>
  <c r="B27" i="87"/>
  <c r="B26" i="87"/>
  <c r="B25" i="87"/>
  <c r="B24" i="87"/>
  <c r="B23" i="87"/>
  <c r="B22" i="87"/>
  <c r="B21" i="87"/>
  <c r="R21" i="87" s="1"/>
  <c r="B20" i="87"/>
  <c r="B19" i="87"/>
  <c r="B18" i="87"/>
  <c r="B17" i="87"/>
  <c r="B15" i="87"/>
  <c r="B12" i="87"/>
  <c r="R12" i="87" s="1"/>
  <c r="B11" i="87"/>
  <c r="B10" i="87"/>
  <c r="B9" i="87"/>
  <c r="B8" i="87"/>
  <c r="B7" i="87"/>
  <c r="R7" i="87" s="1"/>
  <c r="B6" i="87"/>
  <c r="B5" i="87"/>
  <c r="B4" i="87"/>
  <c r="B3" i="87"/>
  <c r="R3" i="87" s="1"/>
  <c r="A3" i="87"/>
  <c r="D14" i="45" l="1"/>
  <c r="C14" i="45"/>
  <c r="M14" i="28"/>
  <c r="N14" i="46" s="1"/>
  <c r="L14" i="28"/>
  <c r="K14" i="46" s="1"/>
  <c r="M16" i="28"/>
  <c r="N16" i="46" s="1"/>
  <c r="L16" i="28"/>
  <c r="K16" i="46" s="1"/>
  <c r="L13" i="28"/>
  <c r="K13" i="46" s="1"/>
  <c r="M13" i="28"/>
  <c r="N13" i="46" s="1"/>
  <c r="O5" i="25"/>
  <c r="O4" i="25"/>
  <c r="U14" i="45" l="1"/>
  <c r="T14" i="45"/>
  <c r="R14" i="45"/>
  <c r="S14" i="45"/>
  <c r="F13" i="46"/>
  <c r="D13" i="46"/>
  <c r="E13" i="46"/>
  <c r="C13" i="46"/>
  <c r="C14" i="46"/>
  <c r="E14" i="46"/>
  <c r="F14" i="46"/>
  <c r="D14" i="46"/>
  <c r="M14" i="45"/>
  <c r="N14" i="45"/>
  <c r="Q14" i="45"/>
  <c r="P14" i="45"/>
  <c r="O14" i="45"/>
  <c r="X13" i="46" l="1"/>
  <c r="W13" i="46"/>
  <c r="U13" i="46"/>
  <c r="T13" i="46"/>
  <c r="S13" i="46"/>
  <c r="Y13" i="46"/>
  <c r="V13" i="46"/>
  <c r="AA13" i="46"/>
  <c r="Z13" i="46"/>
  <c r="AC13" i="46"/>
  <c r="AF13" i="46"/>
  <c r="AD13" i="46"/>
  <c r="AE13" i="46"/>
  <c r="AB13" i="46"/>
  <c r="AI13" i="46"/>
  <c r="AG13" i="46"/>
  <c r="AK13" i="46"/>
  <c r="AJ13" i="46"/>
  <c r="AL13" i="46"/>
  <c r="AH13" i="46"/>
  <c r="AP13" i="46"/>
  <c r="AN13" i="46"/>
  <c r="AM13" i="46"/>
  <c r="AO13" i="46"/>
  <c r="AR13" i="46"/>
  <c r="AQ13" i="46"/>
  <c r="AL14" i="46"/>
  <c r="AI14" i="46"/>
  <c r="AH14" i="46"/>
  <c r="AJ14" i="46"/>
  <c r="AG14" i="46"/>
  <c r="AK14" i="46"/>
  <c r="AC14" i="46"/>
  <c r="AA14" i="46"/>
  <c r="Z14" i="46"/>
  <c r="AF14" i="46"/>
  <c r="AD14" i="46"/>
  <c r="AE14" i="46"/>
  <c r="AB14" i="46"/>
  <c r="V14" i="46"/>
  <c r="W14" i="46"/>
  <c r="T14" i="46"/>
  <c r="U14" i="46"/>
  <c r="S14" i="46"/>
  <c r="Y14" i="46"/>
  <c r="X14" i="46"/>
  <c r="AM14" i="46"/>
  <c r="AN14" i="46"/>
  <c r="AO14" i="46"/>
  <c r="AP14" i="46"/>
  <c r="AQ14" i="46"/>
  <c r="AR14" i="46"/>
  <c r="Q45" i="46"/>
  <c r="Q44" i="46"/>
  <c r="Q43" i="46"/>
  <c r="Q42" i="46"/>
  <c r="Q41" i="46"/>
  <c r="Q40" i="46"/>
  <c r="Q39" i="46"/>
  <c r="Q38" i="46"/>
  <c r="Q37" i="46"/>
  <c r="Q36" i="46"/>
  <c r="Q35" i="46"/>
  <c r="Q34" i="46"/>
  <c r="Q33" i="46"/>
  <c r="Q32" i="46"/>
  <c r="Q31" i="46"/>
  <c r="Q30" i="46"/>
  <c r="Q29" i="46"/>
  <c r="Q28" i="46"/>
  <c r="Q27" i="46"/>
  <c r="Q26" i="46"/>
  <c r="Q25" i="46"/>
  <c r="Q24" i="46"/>
  <c r="Q23" i="46"/>
  <c r="Q22" i="46"/>
  <c r="D45" i="7" l="1"/>
  <c r="D44" i="7"/>
  <c r="O44" i="87" s="1"/>
  <c r="D43" i="7"/>
  <c r="O43" i="87" s="1"/>
  <c r="D42" i="7"/>
  <c r="O42" i="87" s="1"/>
  <c r="D41" i="7"/>
  <c r="D40" i="7"/>
  <c r="O40" i="87" s="1"/>
  <c r="D39" i="7"/>
  <c r="O39" i="87" s="1"/>
  <c r="D38" i="7"/>
  <c r="O38" i="87" s="1"/>
  <c r="D37" i="7"/>
  <c r="O37" i="87" s="1"/>
  <c r="D36" i="7"/>
  <c r="D35" i="7"/>
  <c r="O35" i="87" s="1"/>
  <c r="D34" i="7"/>
  <c r="D33" i="7"/>
  <c r="O33" i="87" s="1"/>
  <c r="D32" i="7"/>
  <c r="D31" i="7"/>
  <c r="O31" i="87" s="1"/>
  <c r="D30" i="7"/>
  <c r="O30" i="87" s="1"/>
  <c r="D29" i="7"/>
  <c r="O29" i="87" s="1"/>
  <c r="D28" i="7"/>
  <c r="D27" i="7"/>
  <c r="D24" i="7"/>
  <c r="D8" i="7"/>
  <c r="D6" i="7"/>
  <c r="O6" i="87" s="1"/>
  <c r="D5" i="7"/>
  <c r="O5" i="87" s="1"/>
  <c r="D4" i="7"/>
  <c r="BC4" i="7" l="1"/>
  <c r="O4" i="87"/>
  <c r="W4" i="87" s="1"/>
  <c r="BC34" i="7"/>
  <c r="O34" i="87"/>
  <c r="W34" i="87" s="1"/>
  <c r="BC41" i="7"/>
  <c r="O41" i="87"/>
  <c r="W41" i="87" s="1"/>
  <c r="BC27" i="7"/>
  <c r="O27" i="87"/>
  <c r="W27" i="87" s="1"/>
  <c r="BC28" i="7"/>
  <c r="O28" i="87"/>
  <c r="W28" i="87" s="1"/>
  <c r="BC36" i="7"/>
  <c r="O36" i="87"/>
  <c r="W36" i="87" s="1"/>
  <c r="BC8" i="7"/>
  <c r="O8" i="87"/>
  <c r="W8" i="87" s="1"/>
  <c r="BC45" i="7"/>
  <c r="O45" i="87"/>
  <c r="W45" i="87" s="1"/>
  <c r="BC24" i="7"/>
  <c r="O24" i="87"/>
  <c r="W24" i="87" s="1"/>
  <c r="BC32" i="7"/>
  <c r="O32" i="87"/>
  <c r="W32" i="87" s="1"/>
  <c r="E33" i="72"/>
  <c r="E32" i="72"/>
  <c r="E138" i="33" l="1"/>
  <c r="G138" i="33"/>
  <c r="E253" i="33" l="1"/>
  <c r="G253" i="33"/>
  <c r="E254" i="33"/>
  <c r="G254" i="33"/>
  <c r="C33" i="72"/>
  <c r="C32" i="72"/>
  <c r="A148" i="50"/>
  <c r="A148" i="52"/>
  <c r="A148" i="33"/>
  <c r="A148" i="51"/>
  <c r="A148" i="39"/>
  <c r="A148" i="23"/>
  <c r="A148" i="6"/>
  <c r="A148" i="26"/>
  <c r="A148" i="28"/>
  <c r="A148" i="21"/>
  <c r="A148" i="25"/>
  <c r="A148" i="7"/>
  <c r="A148" i="54"/>
  <c r="A148" i="15"/>
  <c r="A149" i="15"/>
  <c r="B252" i="54"/>
  <c r="B252" i="45"/>
  <c r="B252" i="46"/>
  <c r="B252" i="28"/>
  <c r="H252" i="26"/>
  <c r="I252" i="26" s="1"/>
  <c r="L252" i="26"/>
  <c r="M252" i="26" s="1"/>
  <c r="B252" i="26"/>
  <c r="B252" i="39"/>
  <c r="B252" i="51"/>
  <c r="E252" i="52"/>
  <c r="B252" i="52"/>
  <c r="AR252" i="7"/>
  <c r="AQ252" i="7"/>
  <c r="AP252" i="7"/>
  <c r="AO252" i="7"/>
  <c r="AN252" i="7"/>
  <c r="B252" i="7"/>
  <c r="A149" i="50" l="1"/>
  <c r="A149" i="52"/>
  <c r="A149" i="33"/>
  <c r="A149" i="39"/>
  <c r="A149" i="23"/>
  <c r="A149" i="26"/>
  <c r="A149" i="51"/>
  <c r="A149" i="6"/>
  <c r="A149" i="28"/>
  <c r="A149" i="25"/>
  <c r="A149" i="54"/>
  <c r="A149" i="21"/>
  <c r="A149" i="7"/>
  <c r="H252" i="39"/>
  <c r="I252" i="6"/>
  <c r="B252" i="6"/>
  <c r="J252" i="25"/>
  <c r="I252" i="25"/>
  <c r="B252" i="25"/>
  <c r="B252" i="50"/>
  <c r="B252" i="33"/>
  <c r="C252" i="23"/>
  <c r="D252" i="23"/>
  <c r="H252" i="23" s="1"/>
  <c r="K252" i="26" s="1"/>
  <c r="N252" i="26" s="1"/>
  <c r="E252" i="23"/>
  <c r="F252" i="23"/>
  <c r="B252" i="23"/>
  <c r="C252" i="21"/>
  <c r="D252" i="21"/>
  <c r="G252" i="21" s="1"/>
  <c r="D252" i="25" s="1"/>
  <c r="E252" i="21"/>
  <c r="B252" i="21"/>
  <c r="D252" i="50"/>
  <c r="C252" i="50"/>
  <c r="B252" i="15"/>
  <c r="C252" i="7" l="1"/>
  <c r="L252" i="7" s="1"/>
  <c r="C252" i="33"/>
  <c r="D252" i="51"/>
  <c r="D251" i="51"/>
  <c r="A150" i="33"/>
  <c r="A150" i="39"/>
  <c r="A150" i="50"/>
  <c r="A150" i="52"/>
  <c r="A150" i="51"/>
  <c r="A150" i="23"/>
  <c r="A150" i="26"/>
  <c r="A150" i="6"/>
  <c r="A150" i="28"/>
  <c r="A150" i="21"/>
  <c r="A150" i="7"/>
  <c r="A150" i="25"/>
  <c r="A150" i="54"/>
  <c r="A150" i="15"/>
  <c r="P252" i="46"/>
  <c r="F252" i="21"/>
  <c r="C252" i="25" s="1"/>
  <c r="E252" i="25" s="1"/>
  <c r="I252" i="21"/>
  <c r="N252" i="25" s="1"/>
  <c r="H252" i="50"/>
  <c r="I252" i="52" s="1"/>
  <c r="J252" i="50"/>
  <c r="M252" i="52" s="1"/>
  <c r="F252" i="50"/>
  <c r="D252" i="52" s="1"/>
  <c r="G252" i="50"/>
  <c r="H252" i="52" s="1"/>
  <c r="I252" i="50"/>
  <c r="L252" i="52" s="1"/>
  <c r="E252" i="50"/>
  <c r="C252" i="52" s="1"/>
  <c r="D252" i="28"/>
  <c r="J252" i="23"/>
  <c r="I252" i="23"/>
  <c r="B148" i="54"/>
  <c r="B148" i="45"/>
  <c r="B148" i="46"/>
  <c r="B148" i="28"/>
  <c r="F148" i="26"/>
  <c r="L148" i="26" s="1"/>
  <c r="M148" i="26" s="1"/>
  <c r="B148" i="26"/>
  <c r="B148" i="39"/>
  <c r="B148" i="51"/>
  <c r="E148" i="52"/>
  <c r="B148" i="52"/>
  <c r="AN148" i="7"/>
  <c r="AO148" i="7"/>
  <c r="AP148" i="7"/>
  <c r="AQ148" i="7"/>
  <c r="AR148" i="7"/>
  <c r="B148" i="7"/>
  <c r="I148" i="6"/>
  <c r="O148" i="6" s="1"/>
  <c r="P148" i="6" s="1"/>
  <c r="B148" i="6"/>
  <c r="I148" i="25"/>
  <c r="I149" i="25"/>
  <c r="P149" i="46" s="1"/>
  <c r="J148" i="25"/>
  <c r="B148" i="25"/>
  <c r="B148" i="50"/>
  <c r="B148" i="33"/>
  <c r="C148" i="23"/>
  <c r="G148" i="23" s="1"/>
  <c r="G148" i="26" s="1"/>
  <c r="D148" i="23"/>
  <c r="E148" i="23"/>
  <c r="F148" i="23"/>
  <c r="B148" i="23"/>
  <c r="D148" i="21"/>
  <c r="E148" i="21"/>
  <c r="C148" i="21"/>
  <c r="F148" i="21" s="1"/>
  <c r="C148" i="25" s="1"/>
  <c r="B148" i="21"/>
  <c r="D148" i="50"/>
  <c r="C148" i="50"/>
  <c r="B148" i="15"/>
  <c r="B235" i="54"/>
  <c r="B235" i="45"/>
  <c r="B235" i="46"/>
  <c r="B235" i="28"/>
  <c r="F235" i="26"/>
  <c r="H235" i="26" s="1"/>
  <c r="I235" i="26" s="1"/>
  <c r="B235" i="26"/>
  <c r="B235" i="39"/>
  <c r="E235" i="52"/>
  <c r="B235" i="51"/>
  <c r="B235" i="52"/>
  <c r="AN235" i="7"/>
  <c r="AO235" i="7"/>
  <c r="AP235" i="7"/>
  <c r="AQ235" i="7"/>
  <c r="AR235" i="7"/>
  <c r="B235" i="7"/>
  <c r="B235" i="6"/>
  <c r="I235" i="6"/>
  <c r="K235" i="6" s="1"/>
  <c r="L235" i="6" s="1"/>
  <c r="P235" i="46"/>
  <c r="B235" i="25"/>
  <c r="B235" i="50"/>
  <c r="B235" i="33"/>
  <c r="B235" i="23"/>
  <c r="C235" i="23"/>
  <c r="D235" i="23"/>
  <c r="J235" i="23" s="1"/>
  <c r="E235" i="23"/>
  <c r="F235" i="23"/>
  <c r="B235" i="21"/>
  <c r="C235" i="21"/>
  <c r="D235" i="21"/>
  <c r="G235" i="21" s="1"/>
  <c r="D235" i="25" s="1"/>
  <c r="E235" i="21"/>
  <c r="C233" i="21"/>
  <c r="D233" i="21"/>
  <c r="G233" i="21" s="1"/>
  <c r="D233" i="25" s="1"/>
  <c r="E233" i="21"/>
  <c r="D238" i="50"/>
  <c r="D237" i="50"/>
  <c r="F237" i="50" s="1"/>
  <c r="D237" i="52" s="1"/>
  <c r="D236" i="50"/>
  <c r="D235" i="50"/>
  <c r="D233" i="50"/>
  <c r="F233" i="50" s="1"/>
  <c r="D233" i="52" s="1"/>
  <c r="D232" i="50"/>
  <c r="C239" i="50"/>
  <c r="C237" i="50"/>
  <c r="E237" i="50" s="1"/>
  <c r="C237" i="52" s="1"/>
  <c r="C236" i="50"/>
  <c r="E236" i="50" s="1"/>
  <c r="C236" i="52" s="1"/>
  <c r="C235" i="50"/>
  <c r="C233" i="50"/>
  <c r="G233" i="50" s="1"/>
  <c r="H233" i="52" s="1"/>
  <c r="C232" i="50"/>
  <c r="C231" i="50"/>
  <c r="D235" i="51"/>
  <c r="B235" i="15"/>
  <c r="A147" i="50"/>
  <c r="A146" i="50"/>
  <c r="A145" i="50"/>
  <c r="A144" i="50"/>
  <c r="A143" i="50"/>
  <c r="A142" i="50"/>
  <c r="A141" i="50"/>
  <c r="A140" i="50"/>
  <c r="A139" i="50"/>
  <c r="A138" i="50"/>
  <c r="A137" i="50"/>
  <c r="A136" i="50"/>
  <c r="A135" i="50"/>
  <c r="A134" i="50"/>
  <c r="A133" i="50"/>
  <c r="A132" i="50"/>
  <c r="A131" i="50"/>
  <c r="A130" i="50"/>
  <c r="A129" i="50"/>
  <c r="A128" i="50"/>
  <c r="A127" i="50"/>
  <c r="A126" i="50"/>
  <c r="A125" i="50"/>
  <c r="A124" i="50"/>
  <c r="A123" i="50"/>
  <c r="A122" i="50"/>
  <c r="A121" i="50"/>
  <c r="A120" i="50"/>
  <c r="A119" i="50"/>
  <c r="A118" i="50"/>
  <c r="A117" i="50"/>
  <c r="A116" i="50"/>
  <c r="A115" i="50"/>
  <c r="A114" i="50"/>
  <c r="A113" i="50"/>
  <c r="A112" i="50"/>
  <c r="A111" i="50"/>
  <c r="A110" i="50"/>
  <c r="A109" i="50"/>
  <c r="A108" i="50"/>
  <c r="A107" i="50"/>
  <c r="A106" i="50"/>
  <c r="A105" i="50"/>
  <c r="A104" i="50"/>
  <c r="A103" i="50"/>
  <c r="A102" i="50"/>
  <c r="A101" i="50"/>
  <c r="A100" i="50"/>
  <c r="A99" i="50"/>
  <c r="A98" i="50"/>
  <c r="A97" i="50"/>
  <c r="A96" i="50"/>
  <c r="A95" i="50"/>
  <c r="A94" i="50"/>
  <c r="A93" i="50"/>
  <c r="A92" i="50"/>
  <c r="A91" i="50"/>
  <c r="A90" i="50"/>
  <c r="A89" i="50"/>
  <c r="A88" i="50"/>
  <c r="A87" i="50"/>
  <c r="A86" i="50"/>
  <c r="A85" i="50"/>
  <c r="A84" i="50"/>
  <c r="A83" i="50"/>
  <c r="A82" i="50"/>
  <c r="A81" i="50"/>
  <c r="A80" i="50"/>
  <c r="A79" i="50"/>
  <c r="A78" i="50"/>
  <c r="A77" i="50"/>
  <c r="A76" i="50"/>
  <c r="A75" i="50"/>
  <c r="A74" i="50"/>
  <c r="A73" i="50"/>
  <c r="A72" i="50"/>
  <c r="A71" i="50"/>
  <c r="A70" i="50"/>
  <c r="A69" i="50"/>
  <c r="A68" i="50"/>
  <c r="A67" i="50"/>
  <c r="A66" i="50"/>
  <c r="A65" i="50"/>
  <c r="A64" i="50"/>
  <c r="A63" i="50"/>
  <c r="A62" i="50"/>
  <c r="A61" i="50"/>
  <c r="A60" i="50"/>
  <c r="A59" i="50"/>
  <c r="A58" i="50"/>
  <c r="A57" i="50"/>
  <c r="A56" i="50"/>
  <c r="A55" i="50"/>
  <c r="A54" i="50"/>
  <c r="A53" i="50"/>
  <c r="A52" i="50"/>
  <c r="A51" i="50"/>
  <c r="A50"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1" i="50"/>
  <c r="A20" i="50"/>
  <c r="A19" i="50"/>
  <c r="A18" i="50"/>
  <c r="A17" i="50"/>
  <c r="A12" i="50"/>
  <c r="A11" i="50"/>
  <c r="A10" i="50"/>
  <c r="A9" i="50"/>
  <c r="A8" i="50"/>
  <c r="A7" i="50"/>
  <c r="A6" i="50"/>
  <c r="A5" i="50"/>
  <c r="A4" i="50"/>
  <c r="A3" i="50"/>
  <c r="A147" i="52"/>
  <c r="A146" i="52"/>
  <c r="A145" i="52"/>
  <c r="A144" i="52"/>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A103" i="52"/>
  <c r="A102" i="52"/>
  <c r="A101" i="52"/>
  <c r="A100" i="52"/>
  <c r="A99" i="52"/>
  <c r="A98" i="52"/>
  <c r="A97" i="52"/>
  <c r="A96" i="52"/>
  <c r="A95" i="52"/>
  <c r="A94" i="52"/>
  <c r="A93" i="52"/>
  <c r="A92" i="52"/>
  <c r="A91" i="52"/>
  <c r="A90" i="52"/>
  <c r="A89" i="52"/>
  <c r="A88" i="52"/>
  <c r="A87" i="52"/>
  <c r="A86" i="52"/>
  <c r="A85" i="52"/>
  <c r="A84" i="52"/>
  <c r="A83" i="52"/>
  <c r="A82" i="52"/>
  <c r="A81" i="52"/>
  <c r="A80"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8" i="52"/>
  <c r="A47" i="52"/>
  <c r="A46" i="52"/>
  <c r="A45" i="52"/>
  <c r="A44" i="52"/>
  <c r="A43" i="52"/>
  <c r="A42" i="52"/>
  <c r="A41" i="52"/>
  <c r="A40" i="52"/>
  <c r="A39" i="52"/>
  <c r="A38" i="52"/>
  <c r="A37" i="52"/>
  <c r="A36" i="52"/>
  <c r="A35" i="52"/>
  <c r="A34" i="52"/>
  <c r="A33" i="52"/>
  <c r="A32" i="52"/>
  <c r="A31" i="52"/>
  <c r="A30" i="52"/>
  <c r="A29" i="52"/>
  <c r="A28" i="52"/>
  <c r="A27" i="52"/>
  <c r="A26" i="52"/>
  <c r="A25" i="52"/>
  <c r="A24" i="52"/>
  <c r="A23" i="52"/>
  <c r="A22" i="52"/>
  <c r="A21" i="52"/>
  <c r="A20" i="52"/>
  <c r="A19" i="52"/>
  <c r="A18" i="52"/>
  <c r="A17" i="52"/>
  <c r="A12" i="52"/>
  <c r="A11" i="52"/>
  <c r="A10" i="52"/>
  <c r="A9" i="52"/>
  <c r="A8" i="52"/>
  <c r="A7" i="52"/>
  <c r="A6" i="52"/>
  <c r="A5" i="52"/>
  <c r="A4" i="52"/>
  <c r="A3" i="52"/>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2" i="33"/>
  <c r="A11" i="33"/>
  <c r="A10" i="33"/>
  <c r="A9" i="33"/>
  <c r="A8" i="33"/>
  <c r="A7" i="33"/>
  <c r="A6" i="33"/>
  <c r="A5" i="33"/>
  <c r="A4" i="33"/>
  <c r="A3" i="33"/>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2" i="51"/>
  <c r="A11" i="51"/>
  <c r="A10" i="51"/>
  <c r="A9" i="51"/>
  <c r="A8" i="51"/>
  <c r="A7" i="51"/>
  <c r="A6" i="51"/>
  <c r="A5" i="51"/>
  <c r="A4" i="51"/>
  <c r="A3" i="51"/>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2" i="39"/>
  <c r="A11" i="39"/>
  <c r="A10" i="39"/>
  <c r="A9" i="39"/>
  <c r="A8" i="39"/>
  <c r="A7" i="39"/>
  <c r="A6" i="39"/>
  <c r="A5" i="39"/>
  <c r="A4" i="39"/>
  <c r="A3" i="39"/>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2" i="23"/>
  <c r="A11" i="23"/>
  <c r="A10" i="23"/>
  <c r="A9" i="23"/>
  <c r="A8" i="23"/>
  <c r="A7" i="23"/>
  <c r="A6" i="23"/>
  <c r="A5" i="23"/>
  <c r="A4" i="23"/>
  <c r="A3" i="23"/>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2" i="6"/>
  <c r="A11" i="6"/>
  <c r="A10" i="6"/>
  <c r="A9" i="6"/>
  <c r="A8" i="6"/>
  <c r="A7" i="6"/>
  <c r="A6" i="6"/>
  <c r="A5" i="6"/>
  <c r="A4" i="6"/>
  <c r="A3" i="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2" i="26"/>
  <c r="A11" i="26"/>
  <c r="A10" i="26"/>
  <c r="A9" i="26"/>
  <c r="A8" i="26"/>
  <c r="A7" i="26"/>
  <c r="A6" i="26"/>
  <c r="A5" i="26"/>
  <c r="A4" i="26"/>
  <c r="A3" i="26"/>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2" i="28"/>
  <c r="A11" i="28"/>
  <c r="A10" i="28"/>
  <c r="A9" i="28"/>
  <c r="A8" i="28"/>
  <c r="A7" i="28"/>
  <c r="A6" i="28"/>
  <c r="A5" i="28"/>
  <c r="A4" i="28"/>
  <c r="A3" i="28"/>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2" i="21"/>
  <c r="A11" i="21"/>
  <c r="A10" i="21"/>
  <c r="A9" i="21"/>
  <c r="A8" i="21"/>
  <c r="A7" i="21"/>
  <c r="A6" i="21"/>
  <c r="A5" i="21"/>
  <c r="A4" i="21"/>
  <c r="A3" i="21"/>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2" i="25"/>
  <c r="A11" i="25"/>
  <c r="A10" i="25"/>
  <c r="A9" i="25"/>
  <c r="A8" i="25"/>
  <c r="A7" i="25"/>
  <c r="A6" i="25"/>
  <c r="A5" i="25"/>
  <c r="A4" i="25"/>
  <c r="A3" i="2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2" i="15"/>
  <c r="A11" i="15"/>
  <c r="A10" i="15"/>
  <c r="A9" i="15"/>
  <c r="A8" i="15"/>
  <c r="A7" i="15"/>
  <c r="A6" i="15"/>
  <c r="A5" i="15"/>
  <c r="A4" i="15"/>
  <c r="A3" i="15"/>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2" i="54"/>
  <c r="A11" i="54"/>
  <c r="A10" i="54"/>
  <c r="A9" i="54"/>
  <c r="A8" i="54"/>
  <c r="A7" i="54"/>
  <c r="A6" i="54"/>
  <c r="A5" i="54"/>
  <c r="A4" i="54"/>
  <c r="A3" i="54"/>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2" i="7"/>
  <c r="A11" i="7"/>
  <c r="A10" i="7"/>
  <c r="A9" i="7"/>
  <c r="A8" i="7"/>
  <c r="A7" i="7"/>
  <c r="A6" i="7"/>
  <c r="A5" i="7"/>
  <c r="A4" i="7"/>
  <c r="A3" i="7"/>
  <c r="A3" i="45"/>
  <c r="A3" i="46"/>
  <c r="B232" i="54"/>
  <c r="B232" i="45"/>
  <c r="B232" i="46"/>
  <c r="B232" i="28"/>
  <c r="F232" i="26"/>
  <c r="H232" i="26" s="1"/>
  <c r="I232" i="26" s="1"/>
  <c r="B232" i="26"/>
  <c r="B232" i="39"/>
  <c r="B232" i="51"/>
  <c r="AR232" i="7"/>
  <c r="H232" i="39" s="1"/>
  <c r="AQ232" i="7"/>
  <c r="AP232" i="7"/>
  <c r="AO232" i="7"/>
  <c r="AN232" i="7"/>
  <c r="B232" i="7"/>
  <c r="I232" i="6"/>
  <c r="K232" i="6" s="1"/>
  <c r="L232" i="6" s="1"/>
  <c r="B232" i="6"/>
  <c r="E232" i="52"/>
  <c r="B232" i="52"/>
  <c r="J232" i="25"/>
  <c r="I232" i="25"/>
  <c r="B232" i="25"/>
  <c r="B232" i="50"/>
  <c r="B232" i="33"/>
  <c r="D232" i="23"/>
  <c r="C232" i="23"/>
  <c r="F232" i="23"/>
  <c r="E232" i="23"/>
  <c r="B232" i="23"/>
  <c r="D232" i="21"/>
  <c r="C232" i="21"/>
  <c r="E232" i="21"/>
  <c r="B232" i="21"/>
  <c r="B232" i="15"/>
  <c r="F291" i="26"/>
  <c r="H291" i="26" s="1"/>
  <c r="I291" i="26" s="1"/>
  <c r="C291" i="23"/>
  <c r="E291" i="23"/>
  <c r="D291" i="23"/>
  <c r="H291" i="23" s="1"/>
  <c r="K291" i="26" s="1"/>
  <c r="D291" i="51"/>
  <c r="C291" i="50"/>
  <c r="E291" i="50" s="1"/>
  <c r="C291" i="52" s="1"/>
  <c r="D291" i="50"/>
  <c r="F291" i="50" s="1"/>
  <c r="D291" i="52" s="1"/>
  <c r="F290" i="26"/>
  <c r="L290" i="26" s="1"/>
  <c r="M290" i="26" s="1"/>
  <c r="C290" i="23"/>
  <c r="E290" i="23"/>
  <c r="D290" i="23"/>
  <c r="H290" i="23" s="1"/>
  <c r="K290" i="26" s="1"/>
  <c r="D290" i="51"/>
  <c r="C290" i="50"/>
  <c r="E290" i="50" s="1"/>
  <c r="C290" i="52" s="1"/>
  <c r="D290" i="50"/>
  <c r="F290" i="50" s="1"/>
  <c r="D290" i="52" s="1"/>
  <c r="F289" i="26"/>
  <c r="C289" i="23"/>
  <c r="E289" i="23"/>
  <c r="D289" i="23"/>
  <c r="H289" i="23" s="1"/>
  <c r="K289" i="26" s="1"/>
  <c r="C289" i="50"/>
  <c r="E289" i="50" s="1"/>
  <c r="C289" i="52" s="1"/>
  <c r="D289" i="50"/>
  <c r="F289" i="50" s="1"/>
  <c r="D289" i="52" s="1"/>
  <c r="F288" i="26"/>
  <c r="H288" i="26" s="1"/>
  <c r="I288" i="26" s="1"/>
  <c r="C288" i="23"/>
  <c r="G288" i="23" s="1"/>
  <c r="G288" i="26" s="1"/>
  <c r="D288" i="23"/>
  <c r="H288" i="23" s="1"/>
  <c r="K288" i="26" s="1"/>
  <c r="D288" i="51"/>
  <c r="C288" i="50"/>
  <c r="E288" i="50" s="1"/>
  <c r="C288" i="52" s="1"/>
  <c r="D288" i="50"/>
  <c r="F288" i="50" s="1"/>
  <c r="D288" i="52" s="1"/>
  <c r="F287" i="26"/>
  <c r="H287" i="26" s="1"/>
  <c r="I287" i="26" s="1"/>
  <c r="C287" i="23"/>
  <c r="E287" i="23"/>
  <c r="D287" i="23"/>
  <c r="H287" i="23" s="1"/>
  <c r="K287" i="26" s="1"/>
  <c r="D287" i="51"/>
  <c r="C287" i="50"/>
  <c r="E287" i="50" s="1"/>
  <c r="C287" i="52" s="1"/>
  <c r="D287" i="50"/>
  <c r="F287" i="50" s="1"/>
  <c r="D287" i="52" s="1"/>
  <c r="F286" i="26"/>
  <c r="C286" i="23"/>
  <c r="E286" i="23"/>
  <c r="D286" i="23"/>
  <c r="H286" i="23" s="1"/>
  <c r="K286" i="26" s="1"/>
  <c r="D286" i="51"/>
  <c r="C286" i="50"/>
  <c r="E286" i="50" s="1"/>
  <c r="C286" i="52" s="1"/>
  <c r="D286" i="50"/>
  <c r="F285" i="26"/>
  <c r="H285" i="26" s="1"/>
  <c r="I285" i="26" s="1"/>
  <c r="C285" i="23"/>
  <c r="E285" i="23"/>
  <c r="D285" i="23"/>
  <c r="H285" i="23" s="1"/>
  <c r="K285" i="26" s="1"/>
  <c r="D285" i="51"/>
  <c r="C285" i="50"/>
  <c r="G285" i="50" s="1"/>
  <c r="H285" i="52" s="1"/>
  <c r="D285" i="50"/>
  <c r="F285" i="50" s="1"/>
  <c r="D285" i="52" s="1"/>
  <c r="F284" i="26"/>
  <c r="C284" i="23"/>
  <c r="E284" i="23"/>
  <c r="D284" i="23"/>
  <c r="H284" i="23" s="1"/>
  <c r="K284" i="26" s="1"/>
  <c r="D284" i="51"/>
  <c r="C284" i="50"/>
  <c r="E284" i="50" s="1"/>
  <c r="C284" i="52" s="1"/>
  <c r="D284" i="50"/>
  <c r="F284" i="50" s="1"/>
  <c r="D284" i="52" s="1"/>
  <c r="F283" i="26"/>
  <c r="L283" i="26" s="1"/>
  <c r="M283" i="26" s="1"/>
  <c r="C283" i="23"/>
  <c r="G283" i="23" s="1"/>
  <c r="G283" i="26" s="1"/>
  <c r="D283" i="23"/>
  <c r="H283" i="23" s="1"/>
  <c r="K283" i="26" s="1"/>
  <c r="D283" i="51"/>
  <c r="C283" i="50"/>
  <c r="E283" i="50" s="1"/>
  <c r="C283" i="52" s="1"/>
  <c r="D283" i="50"/>
  <c r="F282" i="26"/>
  <c r="C282" i="23"/>
  <c r="E282" i="23"/>
  <c r="D282" i="23"/>
  <c r="H282" i="23" s="1"/>
  <c r="K282" i="26" s="1"/>
  <c r="D282" i="51"/>
  <c r="C282" i="50"/>
  <c r="E282" i="50" s="1"/>
  <c r="C282" i="52" s="1"/>
  <c r="D282" i="50"/>
  <c r="H282" i="50" s="1"/>
  <c r="I282" i="52" s="1"/>
  <c r="F280" i="26"/>
  <c r="C280" i="23"/>
  <c r="E280" i="23"/>
  <c r="D280" i="23"/>
  <c r="D280" i="51"/>
  <c r="C280" i="50"/>
  <c r="D280" i="50"/>
  <c r="F279" i="26"/>
  <c r="H279" i="26" s="1"/>
  <c r="I279" i="26" s="1"/>
  <c r="C279" i="23"/>
  <c r="G279" i="23" s="1"/>
  <c r="G279" i="26" s="1"/>
  <c r="D279" i="23"/>
  <c r="H279" i="23" s="1"/>
  <c r="K279" i="26" s="1"/>
  <c r="C279" i="50"/>
  <c r="E279" i="50" s="1"/>
  <c r="C279" i="52" s="1"/>
  <c r="D279" i="50"/>
  <c r="F279" i="50" s="1"/>
  <c r="D279" i="52" s="1"/>
  <c r="F278" i="26"/>
  <c r="H278" i="26" s="1"/>
  <c r="I278" i="26" s="1"/>
  <c r="C278" i="23"/>
  <c r="E278" i="23"/>
  <c r="D278" i="23"/>
  <c r="D278" i="51"/>
  <c r="C278" i="50"/>
  <c r="E278" i="50" s="1"/>
  <c r="C278" i="52" s="1"/>
  <c r="D278" i="50"/>
  <c r="F277" i="26"/>
  <c r="C277" i="23"/>
  <c r="E277" i="23"/>
  <c r="D277" i="23"/>
  <c r="H277" i="23" s="1"/>
  <c r="K277" i="26" s="1"/>
  <c r="C277" i="50"/>
  <c r="E277" i="50" s="1"/>
  <c r="C277" i="52" s="1"/>
  <c r="D277" i="50"/>
  <c r="H277" i="50" s="1"/>
  <c r="I277" i="52" s="1"/>
  <c r="F276" i="26"/>
  <c r="L276" i="26" s="1"/>
  <c r="M276" i="26" s="1"/>
  <c r="C276" i="23"/>
  <c r="E276" i="23"/>
  <c r="D276" i="23"/>
  <c r="H276" i="23" s="1"/>
  <c r="K276" i="26" s="1"/>
  <c r="D276" i="51"/>
  <c r="C276" i="50"/>
  <c r="E276" i="50" s="1"/>
  <c r="C276" i="52" s="1"/>
  <c r="D276" i="50"/>
  <c r="F276" i="50" s="1"/>
  <c r="D276" i="52" s="1"/>
  <c r="F275" i="26"/>
  <c r="C275" i="23"/>
  <c r="E275" i="23"/>
  <c r="D275" i="23"/>
  <c r="D275" i="51"/>
  <c r="C275" i="50"/>
  <c r="E275" i="50" s="1"/>
  <c r="C275" i="52" s="1"/>
  <c r="D275" i="50"/>
  <c r="F274" i="26"/>
  <c r="C274" i="23"/>
  <c r="E274" i="23"/>
  <c r="D274" i="23"/>
  <c r="D274" i="51"/>
  <c r="C274" i="50"/>
  <c r="G274" i="50" s="1"/>
  <c r="H274" i="52" s="1"/>
  <c r="D274" i="50"/>
  <c r="F273" i="26"/>
  <c r="C273" i="23"/>
  <c r="E273" i="23"/>
  <c r="D273" i="23"/>
  <c r="D273" i="51"/>
  <c r="C273" i="50"/>
  <c r="E273" i="50" s="1"/>
  <c r="C273" i="52" s="1"/>
  <c r="D273" i="50"/>
  <c r="F272" i="26"/>
  <c r="H272" i="26" s="1"/>
  <c r="I272" i="26" s="1"/>
  <c r="C272" i="23"/>
  <c r="G272" i="23" s="1"/>
  <c r="G272" i="26" s="1"/>
  <c r="D272" i="23"/>
  <c r="H272" i="23" s="1"/>
  <c r="K272" i="26" s="1"/>
  <c r="D272" i="51"/>
  <c r="C272" i="50"/>
  <c r="G272" i="50" s="1"/>
  <c r="H272" i="52" s="1"/>
  <c r="D272" i="50"/>
  <c r="F272" i="50" s="1"/>
  <c r="D272" i="52" s="1"/>
  <c r="F271" i="26"/>
  <c r="H271" i="26" s="1"/>
  <c r="I271" i="26" s="1"/>
  <c r="C271" i="23"/>
  <c r="G271" i="23" s="1"/>
  <c r="G271" i="26" s="1"/>
  <c r="D271" i="23"/>
  <c r="H271" i="23" s="1"/>
  <c r="K271" i="26" s="1"/>
  <c r="D271" i="51"/>
  <c r="C271" i="50"/>
  <c r="D271" i="50"/>
  <c r="F271" i="50" s="1"/>
  <c r="D271" i="52" s="1"/>
  <c r="F270" i="26"/>
  <c r="C270" i="23"/>
  <c r="E270" i="23"/>
  <c r="D270" i="23"/>
  <c r="H270" i="23" s="1"/>
  <c r="K270" i="26" s="1"/>
  <c r="D270" i="51"/>
  <c r="C270" i="50"/>
  <c r="E270" i="50" s="1"/>
  <c r="C270" i="52" s="1"/>
  <c r="D270" i="50"/>
  <c r="F270" i="50" s="1"/>
  <c r="D270" i="52" s="1"/>
  <c r="F264" i="26"/>
  <c r="H264" i="26" s="1"/>
  <c r="I264" i="26" s="1"/>
  <c r="C264" i="23"/>
  <c r="E264" i="23"/>
  <c r="D264" i="23"/>
  <c r="C264" i="50"/>
  <c r="E264" i="50" s="1"/>
  <c r="C264" i="52" s="1"/>
  <c r="D264" i="50"/>
  <c r="F263" i="26"/>
  <c r="L263" i="26" s="1"/>
  <c r="M263" i="26" s="1"/>
  <c r="C263" i="23"/>
  <c r="E263" i="23"/>
  <c r="D263" i="23"/>
  <c r="H263" i="23" s="1"/>
  <c r="K263" i="26" s="1"/>
  <c r="C263" i="50"/>
  <c r="E263" i="50" s="1"/>
  <c r="C263" i="52" s="1"/>
  <c r="D263" i="50"/>
  <c r="F263" i="50" s="1"/>
  <c r="D263" i="52" s="1"/>
  <c r="F262" i="26"/>
  <c r="H262" i="26" s="1"/>
  <c r="I262" i="26" s="1"/>
  <c r="C262" i="23"/>
  <c r="E262" i="23"/>
  <c r="D262" i="23"/>
  <c r="C262" i="50"/>
  <c r="D262" i="50"/>
  <c r="F261" i="26"/>
  <c r="L261" i="26" s="1"/>
  <c r="M261" i="26" s="1"/>
  <c r="C261" i="23"/>
  <c r="E261" i="23"/>
  <c r="D261" i="23"/>
  <c r="C261" i="50"/>
  <c r="E261" i="50" s="1"/>
  <c r="C261" i="52" s="1"/>
  <c r="D261" i="50"/>
  <c r="F260" i="26"/>
  <c r="H260" i="26" s="1"/>
  <c r="I260" i="26" s="1"/>
  <c r="C260" i="23"/>
  <c r="E260" i="23"/>
  <c r="D260" i="23"/>
  <c r="C260" i="50"/>
  <c r="E260" i="50" s="1"/>
  <c r="C260" i="52" s="1"/>
  <c r="D260" i="50"/>
  <c r="F259" i="26"/>
  <c r="L259" i="26" s="1"/>
  <c r="M259" i="26" s="1"/>
  <c r="C259" i="23"/>
  <c r="E259" i="23"/>
  <c r="D259" i="23"/>
  <c r="D259" i="51"/>
  <c r="C259" i="50"/>
  <c r="D259" i="50"/>
  <c r="F258" i="26"/>
  <c r="H258" i="26" s="1"/>
  <c r="I258" i="26" s="1"/>
  <c r="C258" i="23"/>
  <c r="E258" i="23"/>
  <c r="D258" i="23"/>
  <c r="D258" i="51"/>
  <c r="C258" i="50"/>
  <c r="D258" i="50"/>
  <c r="F257" i="26"/>
  <c r="L257" i="26" s="1"/>
  <c r="M257" i="26" s="1"/>
  <c r="C257" i="23"/>
  <c r="E257" i="23"/>
  <c r="D257" i="23"/>
  <c r="D257" i="51"/>
  <c r="C257" i="50"/>
  <c r="E257" i="50" s="1"/>
  <c r="C257" i="52" s="1"/>
  <c r="D257" i="50"/>
  <c r="F256" i="26"/>
  <c r="H256" i="26" s="1"/>
  <c r="I256" i="26" s="1"/>
  <c r="C256" i="23"/>
  <c r="E256" i="23"/>
  <c r="D256" i="23"/>
  <c r="H256" i="23" s="1"/>
  <c r="K256" i="26" s="1"/>
  <c r="D256" i="51"/>
  <c r="C256" i="50"/>
  <c r="E256" i="50" s="1"/>
  <c r="C256" i="52" s="1"/>
  <c r="D256" i="50"/>
  <c r="F256" i="50" s="1"/>
  <c r="D256" i="52" s="1"/>
  <c r="F255" i="26"/>
  <c r="C255" i="23"/>
  <c r="E255" i="23"/>
  <c r="D255" i="23"/>
  <c r="D255" i="51"/>
  <c r="C255" i="50"/>
  <c r="D255" i="50"/>
  <c r="F254" i="26"/>
  <c r="H254" i="26" s="1"/>
  <c r="I254" i="26" s="1"/>
  <c r="C254" i="23"/>
  <c r="E254" i="23"/>
  <c r="D254" i="23"/>
  <c r="H254" i="23" s="1"/>
  <c r="K254" i="26" s="1"/>
  <c r="D254" i="51"/>
  <c r="C254" i="50"/>
  <c r="D254" i="50"/>
  <c r="F254" i="50" s="1"/>
  <c r="D254" i="52" s="1"/>
  <c r="F253" i="26"/>
  <c r="H253" i="26" s="1"/>
  <c r="I253" i="26" s="1"/>
  <c r="C253" i="23"/>
  <c r="E253" i="23"/>
  <c r="D253" i="23"/>
  <c r="H253" i="23" s="1"/>
  <c r="K253" i="26" s="1"/>
  <c r="C253" i="50"/>
  <c r="E253" i="50" s="1"/>
  <c r="C253" i="52" s="1"/>
  <c r="D253" i="50"/>
  <c r="F251" i="26"/>
  <c r="L251" i="26" s="1"/>
  <c r="M251" i="26" s="1"/>
  <c r="C251" i="23"/>
  <c r="D251" i="23"/>
  <c r="H251" i="23" s="1"/>
  <c r="K251" i="26" s="1"/>
  <c r="C251" i="50"/>
  <c r="E251" i="50" s="1"/>
  <c r="C251" i="52" s="1"/>
  <c r="D251" i="50"/>
  <c r="F251" i="50" s="1"/>
  <c r="D251" i="52" s="1"/>
  <c r="F250" i="26"/>
  <c r="H250" i="26" s="1"/>
  <c r="I250" i="26" s="1"/>
  <c r="C250" i="23"/>
  <c r="D250" i="23"/>
  <c r="E250" i="23"/>
  <c r="C250" i="50"/>
  <c r="E250" i="50" s="1"/>
  <c r="C250" i="52" s="1"/>
  <c r="D250" i="50"/>
  <c r="F249" i="26"/>
  <c r="L249" i="26" s="1"/>
  <c r="M249" i="26" s="1"/>
  <c r="C249" i="23"/>
  <c r="E249" i="23"/>
  <c r="D249" i="23"/>
  <c r="C249" i="50"/>
  <c r="E249" i="50" s="1"/>
  <c r="C249" i="52" s="1"/>
  <c r="D249" i="50"/>
  <c r="F248" i="26"/>
  <c r="H248" i="26" s="1"/>
  <c r="I248" i="26" s="1"/>
  <c r="C248" i="23"/>
  <c r="E248" i="23"/>
  <c r="D248" i="23"/>
  <c r="C248" i="50"/>
  <c r="E248" i="50" s="1"/>
  <c r="C248" i="52" s="1"/>
  <c r="D248" i="50"/>
  <c r="F246" i="26"/>
  <c r="H246" i="26" s="1"/>
  <c r="I246" i="26" s="1"/>
  <c r="G246" i="26"/>
  <c r="D246" i="23"/>
  <c r="H246" i="23" s="1"/>
  <c r="K246" i="26" s="1"/>
  <c r="D246" i="51"/>
  <c r="D246" i="50"/>
  <c r="C246" i="52"/>
  <c r="F245" i="26"/>
  <c r="H245" i="26" s="1"/>
  <c r="I245" i="26" s="1"/>
  <c r="G245" i="26"/>
  <c r="D245" i="23"/>
  <c r="H245" i="23" s="1"/>
  <c r="K245" i="26" s="1"/>
  <c r="D245" i="51"/>
  <c r="C245" i="50"/>
  <c r="D245" i="50"/>
  <c r="F245" i="50" s="1"/>
  <c r="D245" i="52" s="1"/>
  <c r="F244" i="26"/>
  <c r="L244" i="26" s="1"/>
  <c r="M244" i="26" s="1"/>
  <c r="G244" i="26"/>
  <c r="D244" i="23"/>
  <c r="H244" i="23" s="1"/>
  <c r="K244" i="26" s="1"/>
  <c r="D244" i="50"/>
  <c r="F244" i="50" s="1"/>
  <c r="D244" i="52" s="1"/>
  <c r="C244" i="52"/>
  <c r="F243" i="26"/>
  <c r="L243" i="26" s="1"/>
  <c r="M243" i="26" s="1"/>
  <c r="G243" i="26"/>
  <c r="D243" i="23"/>
  <c r="D243" i="51"/>
  <c r="D243" i="50"/>
  <c r="F243" i="50" s="1"/>
  <c r="D243" i="52" s="1"/>
  <c r="C243" i="52"/>
  <c r="F242" i="26"/>
  <c r="H242" i="26" s="1"/>
  <c r="I242" i="26" s="1"/>
  <c r="J242" i="26" s="1"/>
  <c r="D242" i="23"/>
  <c r="H242" i="23" s="1"/>
  <c r="K242" i="26" s="1"/>
  <c r="D242" i="51"/>
  <c r="D242" i="50"/>
  <c r="H242" i="50" s="1"/>
  <c r="I242" i="52" s="1"/>
  <c r="C242" i="52"/>
  <c r="F241" i="26"/>
  <c r="L241" i="26" s="1"/>
  <c r="M241" i="26" s="1"/>
  <c r="G241" i="26"/>
  <c r="D241" i="23"/>
  <c r="D241" i="51"/>
  <c r="D241" i="50"/>
  <c r="F241" i="50" s="1"/>
  <c r="D241" i="52" s="1"/>
  <c r="C241" i="52"/>
  <c r="F239" i="26"/>
  <c r="O239" i="26" s="1"/>
  <c r="C239" i="23"/>
  <c r="E239" i="23"/>
  <c r="D239" i="23"/>
  <c r="D239" i="51"/>
  <c r="D239" i="50"/>
  <c r="F239" i="50" s="1"/>
  <c r="D239" i="52" s="1"/>
  <c r="F238" i="26"/>
  <c r="O238" i="26" s="1"/>
  <c r="C238" i="23"/>
  <c r="E238" i="23"/>
  <c r="D238" i="23"/>
  <c r="D238" i="51"/>
  <c r="C238" i="50"/>
  <c r="E238" i="50" s="1"/>
  <c r="C238" i="52" s="1"/>
  <c r="F237" i="26"/>
  <c r="C237" i="23"/>
  <c r="E237" i="23"/>
  <c r="D237" i="23"/>
  <c r="H237" i="23" s="1"/>
  <c r="K237" i="26" s="1"/>
  <c r="D237" i="51"/>
  <c r="F236" i="26"/>
  <c r="C236" i="23"/>
  <c r="E236" i="23"/>
  <c r="D236" i="23"/>
  <c r="H236" i="23" s="1"/>
  <c r="K236" i="26" s="1"/>
  <c r="D236" i="51"/>
  <c r="F233" i="26"/>
  <c r="C233" i="23"/>
  <c r="E233" i="23"/>
  <c r="D233" i="23"/>
  <c r="H233" i="23" s="1"/>
  <c r="K233" i="26" s="1"/>
  <c r="F231" i="26"/>
  <c r="C231" i="23"/>
  <c r="E231" i="23"/>
  <c r="D231" i="23"/>
  <c r="H231" i="23" s="1"/>
  <c r="K231" i="26" s="1"/>
  <c r="D231" i="51"/>
  <c r="D231" i="50"/>
  <c r="F228" i="26"/>
  <c r="C228" i="23"/>
  <c r="E228" i="23"/>
  <c r="D228" i="23"/>
  <c r="J228" i="23" s="1"/>
  <c r="C228" i="50"/>
  <c r="I228" i="50" s="1"/>
  <c r="L228" i="52" s="1"/>
  <c r="D228" i="50"/>
  <c r="H228" i="50" s="1"/>
  <c r="I228" i="52" s="1"/>
  <c r="F227" i="26"/>
  <c r="C227" i="23"/>
  <c r="E227" i="23"/>
  <c r="D227" i="23"/>
  <c r="C227" i="50"/>
  <c r="I227" i="50" s="1"/>
  <c r="L227" i="52" s="1"/>
  <c r="D227" i="50"/>
  <c r="F226" i="26"/>
  <c r="H226" i="26" s="1"/>
  <c r="I226" i="26" s="1"/>
  <c r="C226" i="23"/>
  <c r="E226" i="23"/>
  <c r="D226" i="23"/>
  <c r="J226" i="23" s="1"/>
  <c r="C226" i="50"/>
  <c r="I226" i="50" s="1"/>
  <c r="L226" i="52" s="1"/>
  <c r="D226" i="50"/>
  <c r="H226" i="50" s="1"/>
  <c r="I226" i="52" s="1"/>
  <c r="F225" i="26"/>
  <c r="L225" i="26" s="1"/>
  <c r="M225" i="26" s="1"/>
  <c r="C225" i="23"/>
  <c r="E225" i="23"/>
  <c r="D225" i="23"/>
  <c r="C225" i="50"/>
  <c r="D225" i="50"/>
  <c r="F224" i="26"/>
  <c r="H224" i="26" s="1"/>
  <c r="I224" i="26" s="1"/>
  <c r="C224" i="23"/>
  <c r="E224" i="23"/>
  <c r="D224" i="23"/>
  <c r="C224" i="50"/>
  <c r="D224" i="50"/>
  <c r="F223" i="26"/>
  <c r="H223" i="26" s="1"/>
  <c r="I223" i="26" s="1"/>
  <c r="C223" i="23"/>
  <c r="E223" i="23"/>
  <c r="D223" i="23"/>
  <c r="C223" i="50"/>
  <c r="D223" i="50"/>
  <c r="F223" i="50" s="1"/>
  <c r="D223" i="52" s="1"/>
  <c r="F222" i="26"/>
  <c r="H222" i="26" s="1"/>
  <c r="I222" i="26" s="1"/>
  <c r="C222" i="23"/>
  <c r="E222" i="23"/>
  <c r="D222" i="23"/>
  <c r="C222" i="50"/>
  <c r="D222" i="50"/>
  <c r="H222" i="50" s="1"/>
  <c r="I222" i="52" s="1"/>
  <c r="F221" i="26"/>
  <c r="H221" i="26" s="1"/>
  <c r="I221" i="26" s="1"/>
  <c r="C221" i="23"/>
  <c r="E221" i="23"/>
  <c r="K221" i="26"/>
  <c r="C221" i="50"/>
  <c r="I221" i="50" s="1"/>
  <c r="L221" i="52" s="1"/>
  <c r="D221" i="50"/>
  <c r="F221" i="50" s="1"/>
  <c r="D221" i="52" s="1"/>
  <c r="F220" i="26"/>
  <c r="H220" i="26" s="1"/>
  <c r="I220" i="26" s="1"/>
  <c r="C220" i="23"/>
  <c r="E220" i="23"/>
  <c r="D220" i="23"/>
  <c r="J220" i="23" s="1"/>
  <c r="C220" i="50"/>
  <c r="D220" i="50"/>
  <c r="F220" i="50" s="1"/>
  <c r="D220" i="52" s="1"/>
  <c r="F219" i="26"/>
  <c r="L219" i="26" s="1"/>
  <c r="M219" i="26" s="1"/>
  <c r="C219" i="23"/>
  <c r="G219" i="23" s="1"/>
  <c r="G219" i="26" s="1"/>
  <c r="D219" i="23"/>
  <c r="H219" i="23" s="1"/>
  <c r="K219" i="26" s="1"/>
  <c r="D219" i="51"/>
  <c r="C219" i="50"/>
  <c r="E219" i="50" s="1"/>
  <c r="C219" i="52" s="1"/>
  <c r="D219" i="50"/>
  <c r="F219" i="50" s="1"/>
  <c r="D219" i="52" s="1"/>
  <c r="F218" i="26"/>
  <c r="G218" i="26"/>
  <c r="K218" i="26"/>
  <c r="C218" i="52"/>
  <c r="D218" i="52"/>
  <c r="F217" i="26"/>
  <c r="C217" i="23"/>
  <c r="E217" i="23"/>
  <c r="D217" i="23"/>
  <c r="C217" i="50"/>
  <c r="D217" i="50"/>
  <c r="F216" i="26"/>
  <c r="C216" i="23"/>
  <c r="E216" i="23"/>
  <c r="D216" i="23"/>
  <c r="H216" i="23" s="1"/>
  <c r="K216" i="26" s="1"/>
  <c r="C216" i="50"/>
  <c r="D216" i="50"/>
  <c r="F216" i="50" s="1"/>
  <c r="D216" i="52" s="1"/>
  <c r="F215" i="26"/>
  <c r="L215" i="26" s="1"/>
  <c r="M215" i="26" s="1"/>
  <c r="C215" i="23"/>
  <c r="E215" i="23"/>
  <c r="D215" i="23"/>
  <c r="H215" i="23" s="1"/>
  <c r="K215" i="26" s="1"/>
  <c r="C215" i="50"/>
  <c r="E215" i="50" s="1"/>
  <c r="C215" i="52" s="1"/>
  <c r="D215" i="50"/>
  <c r="F214" i="26"/>
  <c r="C214" i="23"/>
  <c r="E214" i="23"/>
  <c r="D214" i="23"/>
  <c r="H214" i="23" s="1"/>
  <c r="K214" i="26" s="1"/>
  <c r="C214" i="50"/>
  <c r="D214" i="50"/>
  <c r="F213" i="26"/>
  <c r="H213" i="26" s="1"/>
  <c r="I213" i="26" s="1"/>
  <c r="C213" i="23"/>
  <c r="E213" i="23"/>
  <c r="D213" i="23"/>
  <c r="H213" i="23" s="1"/>
  <c r="K213" i="26" s="1"/>
  <c r="F212" i="26"/>
  <c r="C212" i="23"/>
  <c r="E212" i="23"/>
  <c r="D212" i="23"/>
  <c r="C212" i="50"/>
  <c r="I212" i="50" s="1"/>
  <c r="L212" i="52" s="1"/>
  <c r="D212" i="50"/>
  <c r="F211" i="26"/>
  <c r="H211" i="26" s="1"/>
  <c r="I211" i="26" s="1"/>
  <c r="C211" i="23"/>
  <c r="E211" i="23"/>
  <c r="D211" i="23"/>
  <c r="C211" i="50"/>
  <c r="E211" i="50" s="1"/>
  <c r="C211" i="52" s="1"/>
  <c r="D211" i="50"/>
  <c r="F210" i="26"/>
  <c r="L210" i="26" s="1"/>
  <c r="M210" i="26" s="1"/>
  <c r="C210" i="23"/>
  <c r="E210" i="23"/>
  <c r="D210" i="23"/>
  <c r="C210" i="50"/>
  <c r="E210" i="50" s="1"/>
  <c r="C210" i="52" s="1"/>
  <c r="D210" i="50"/>
  <c r="F209" i="26"/>
  <c r="C209" i="23"/>
  <c r="E209" i="23"/>
  <c r="D209" i="23"/>
  <c r="H209" i="23" s="1"/>
  <c r="K209" i="26" s="1"/>
  <c r="C209" i="50"/>
  <c r="D209" i="50"/>
  <c r="F209" i="50" s="1"/>
  <c r="D209" i="52" s="1"/>
  <c r="F208" i="26"/>
  <c r="H208" i="26" s="1"/>
  <c r="I208" i="26" s="1"/>
  <c r="C208" i="23"/>
  <c r="E208" i="23"/>
  <c r="D208" i="23"/>
  <c r="C208" i="50"/>
  <c r="D208" i="50"/>
  <c r="F208" i="50" s="1"/>
  <c r="D208" i="52" s="1"/>
  <c r="F207" i="26"/>
  <c r="H207" i="26" s="1"/>
  <c r="I207" i="26" s="1"/>
  <c r="C207" i="23"/>
  <c r="G207" i="23" s="1"/>
  <c r="G207" i="26" s="1"/>
  <c r="D207" i="23"/>
  <c r="H207" i="23" s="1"/>
  <c r="K207" i="26" s="1"/>
  <c r="D207" i="51"/>
  <c r="C207" i="50"/>
  <c r="E207" i="50" s="1"/>
  <c r="C207" i="52" s="1"/>
  <c r="D207" i="50"/>
  <c r="F207" i="50" s="1"/>
  <c r="D207" i="52" s="1"/>
  <c r="F206" i="26"/>
  <c r="C206" i="23"/>
  <c r="E206" i="23"/>
  <c r="K206" i="26"/>
  <c r="D206" i="51"/>
  <c r="C206" i="50"/>
  <c r="D206" i="52"/>
  <c r="F205" i="26"/>
  <c r="H205" i="26" s="1"/>
  <c r="I205" i="26" s="1"/>
  <c r="C205" i="23"/>
  <c r="D205" i="23"/>
  <c r="E205" i="23"/>
  <c r="D205" i="51"/>
  <c r="C205" i="50"/>
  <c r="D205" i="50"/>
  <c r="F204" i="26"/>
  <c r="H204" i="26" s="1"/>
  <c r="I204" i="26" s="1"/>
  <c r="C204" i="23"/>
  <c r="E204" i="23"/>
  <c r="D204" i="23"/>
  <c r="D204" i="51"/>
  <c r="C204" i="50"/>
  <c r="D204" i="50"/>
  <c r="H204" i="50" s="1"/>
  <c r="I204" i="52" s="1"/>
  <c r="F203" i="26"/>
  <c r="H203" i="26" s="1"/>
  <c r="I203" i="26" s="1"/>
  <c r="C203" i="23"/>
  <c r="G203" i="23" s="1"/>
  <c r="G203" i="26" s="1"/>
  <c r="D203" i="23"/>
  <c r="D203" i="51"/>
  <c r="C203" i="50"/>
  <c r="E203" i="50" s="1"/>
  <c r="C203" i="52" s="1"/>
  <c r="D203" i="50"/>
  <c r="F203" i="50" s="1"/>
  <c r="D203" i="52" s="1"/>
  <c r="F202" i="26"/>
  <c r="L202" i="26" s="1"/>
  <c r="M202" i="26" s="1"/>
  <c r="C202" i="23"/>
  <c r="E202" i="23"/>
  <c r="D202" i="23"/>
  <c r="D202" i="51"/>
  <c r="C202" i="50"/>
  <c r="D202" i="50"/>
  <c r="F202" i="50" s="1"/>
  <c r="D202" i="52" s="1"/>
  <c r="F201" i="26"/>
  <c r="L201" i="26" s="1"/>
  <c r="M201" i="26" s="1"/>
  <c r="C201" i="23"/>
  <c r="G201" i="23" s="1"/>
  <c r="G201" i="26" s="1"/>
  <c r="D201" i="23"/>
  <c r="H201" i="23" s="1"/>
  <c r="K201" i="26" s="1"/>
  <c r="D201" i="51"/>
  <c r="C201" i="50"/>
  <c r="E201" i="50" s="1"/>
  <c r="D201" i="50"/>
  <c r="F200" i="26"/>
  <c r="L200" i="26" s="1"/>
  <c r="M200" i="26" s="1"/>
  <c r="C200" i="23"/>
  <c r="D200" i="23"/>
  <c r="J200" i="23" s="1"/>
  <c r="C200" i="50"/>
  <c r="D200" i="50"/>
  <c r="F200" i="50" s="1"/>
  <c r="D200" i="52" s="1"/>
  <c r="F199" i="26"/>
  <c r="L199" i="26" s="1"/>
  <c r="M199" i="26" s="1"/>
  <c r="C199" i="23"/>
  <c r="E199" i="23"/>
  <c r="D199" i="23"/>
  <c r="C199" i="50"/>
  <c r="D199" i="50"/>
  <c r="F198" i="26"/>
  <c r="H198" i="26" s="1"/>
  <c r="I198" i="26" s="1"/>
  <c r="C198" i="23"/>
  <c r="E198" i="23"/>
  <c r="D198" i="23"/>
  <c r="H198" i="23" s="1"/>
  <c r="K198" i="26" s="1"/>
  <c r="C198" i="50"/>
  <c r="D198" i="50"/>
  <c r="H198" i="50" s="1"/>
  <c r="I198" i="52" s="1"/>
  <c r="F197" i="26"/>
  <c r="H197" i="26" s="1"/>
  <c r="I197" i="26" s="1"/>
  <c r="C197" i="23"/>
  <c r="E197" i="23"/>
  <c r="D197" i="23"/>
  <c r="F196" i="26"/>
  <c r="H196" i="26" s="1"/>
  <c r="I196" i="26" s="1"/>
  <c r="C196" i="23"/>
  <c r="E196" i="23"/>
  <c r="D196" i="23"/>
  <c r="F195" i="26"/>
  <c r="C195" i="23"/>
  <c r="E195" i="23"/>
  <c r="D195" i="23"/>
  <c r="C195" i="50"/>
  <c r="D195" i="50"/>
  <c r="F194" i="26"/>
  <c r="H194" i="26" s="1"/>
  <c r="I194" i="26" s="1"/>
  <c r="C194" i="23"/>
  <c r="E194" i="23"/>
  <c r="D194" i="23"/>
  <c r="C194" i="50"/>
  <c r="D194" i="50"/>
  <c r="F194" i="50" s="1"/>
  <c r="D194" i="52" s="1"/>
  <c r="F193" i="26"/>
  <c r="H193" i="26" s="1"/>
  <c r="I193" i="26" s="1"/>
  <c r="C193" i="23"/>
  <c r="K193" i="26"/>
  <c r="D193" i="51"/>
  <c r="C193" i="50"/>
  <c r="D193" i="52"/>
  <c r="F192" i="26"/>
  <c r="C192" i="23"/>
  <c r="E192" i="23"/>
  <c r="D192" i="23"/>
  <c r="D192" i="51"/>
  <c r="C192" i="50"/>
  <c r="D192" i="50"/>
  <c r="F191" i="26"/>
  <c r="L191" i="26" s="1"/>
  <c r="M191" i="26" s="1"/>
  <c r="C191" i="23"/>
  <c r="G191" i="23" s="1"/>
  <c r="G191" i="26" s="1"/>
  <c r="D191" i="23"/>
  <c r="H191" i="23" s="1"/>
  <c r="K191" i="26" s="1"/>
  <c r="D191" i="51"/>
  <c r="C191" i="50"/>
  <c r="D191" i="50"/>
  <c r="F191" i="50" s="1"/>
  <c r="D191" i="52" s="1"/>
  <c r="F190" i="26"/>
  <c r="L190" i="26" s="1"/>
  <c r="M190" i="26" s="1"/>
  <c r="C190" i="23"/>
  <c r="G190" i="23" s="1"/>
  <c r="G190" i="26" s="1"/>
  <c r="D190" i="23"/>
  <c r="D190" i="51"/>
  <c r="F189" i="26"/>
  <c r="L189" i="26" s="1"/>
  <c r="M189" i="26" s="1"/>
  <c r="C189" i="23"/>
  <c r="E189" i="23"/>
  <c r="D189" i="23"/>
  <c r="C189" i="50"/>
  <c r="D189" i="50"/>
  <c r="F188" i="26"/>
  <c r="H188" i="26" s="1"/>
  <c r="I188" i="26" s="1"/>
  <c r="C188" i="23"/>
  <c r="E188" i="23"/>
  <c r="D188" i="23"/>
  <c r="C188" i="50"/>
  <c r="D188" i="50"/>
  <c r="F187" i="26"/>
  <c r="H187" i="26" s="1"/>
  <c r="I187" i="26" s="1"/>
  <c r="C187" i="23"/>
  <c r="D187" i="23"/>
  <c r="H187" i="23" s="1"/>
  <c r="K187" i="26" s="1"/>
  <c r="D187" i="51"/>
  <c r="C187" i="50"/>
  <c r="D187" i="50"/>
  <c r="F186" i="26"/>
  <c r="L186" i="26" s="1"/>
  <c r="M186" i="26" s="1"/>
  <c r="C186" i="23"/>
  <c r="G186" i="23" s="1"/>
  <c r="G186" i="26" s="1"/>
  <c r="D186" i="23"/>
  <c r="H186" i="23" s="1"/>
  <c r="K186" i="26" s="1"/>
  <c r="D186" i="51"/>
  <c r="C186" i="50"/>
  <c r="E186" i="50" s="1"/>
  <c r="C186" i="52" s="1"/>
  <c r="D186" i="50"/>
  <c r="F185" i="26"/>
  <c r="H185" i="26" s="1"/>
  <c r="I185" i="26" s="1"/>
  <c r="C185" i="23"/>
  <c r="E185" i="23"/>
  <c r="D185" i="23"/>
  <c r="H185" i="23" s="1"/>
  <c r="K185" i="26" s="1"/>
  <c r="C185" i="50"/>
  <c r="E185" i="50" s="1"/>
  <c r="C185" i="52" s="1"/>
  <c r="D185" i="50"/>
  <c r="F184" i="26"/>
  <c r="C184" i="23"/>
  <c r="E184" i="23"/>
  <c r="D184" i="23"/>
  <c r="C184" i="50"/>
  <c r="D184" i="50"/>
  <c r="F183" i="26"/>
  <c r="H183" i="26" s="1"/>
  <c r="I183" i="26" s="1"/>
  <c r="C183" i="23"/>
  <c r="G183" i="23" s="1"/>
  <c r="G183" i="26" s="1"/>
  <c r="D183" i="23"/>
  <c r="H183" i="23" s="1"/>
  <c r="K183" i="26" s="1"/>
  <c r="C183" i="50"/>
  <c r="E183" i="50" s="1"/>
  <c r="C183" i="52" s="1"/>
  <c r="D183" i="50"/>
  <c r="F183" i="50" s="1"/>
  <c r="D183" i="52" s="1"/>
  <c r="F182" i="26"/>
  <c r="C182" i="23"/>
  <c r="E182" i="23"/>
  <c r="D182" i="23"/>
  <c r="C182" i="50"/>
  <c r="D182" i="50"/>
  <c r="F182" i="50" s="1"/>
  <c r="D182" i="52" s="1"/>
  <c r="F181" i="26"/>
  <c r="C181" i="23"/>
  <c r="E181" i="23"/>
  <c r="D181" i="23"/>
  <c r="J181" i="23" s="1"/>
  <c r="C181" i="50"/>
  <c r="D181" i="50"/>
  <c r="H181" i="50" s="1"/>
  <c r="I181" i="52" s="1"/>
  <c r="F180" i="26"/>
  <c r="C180" i="23"/>
  <c r="E180" i="23"/>
  <c r="D180" i="23"/>
  <c r="C180" i="50"/>
  <c r="D180" i="50"/>
  <c r="H180" i="50" s="1"/>
  <c r="I180" i="52" s="1"/>
  <c r="F179" i="26"/>
  <c r="C179" i="23"/>
  <c r="E179" i="23"/>
  <c r="D179" i="23"/>
  <c r="C179" i="50"/>
  <c r="I179" i="50" s="1"/>
  <c r="L179" i="52" s="1"/>
  <c r="D179" i="50"/>
  <c r="F178" i="26"/>
  <c r="H178" i="26" s="1"/>
  <c r="I178" i="26" s="1"/>
  <c r="C178" i="23"/>
  <c r="E178" i="23"/>
  <c r="D178" i="23"/>
  <c r="C178" i="50"/>
  <c r="G178" i="50" s="1"/>
  <c r="H178" i="52" s="1"/>
  <c r="D178" i="50"/>
  <c r="F177" i="26"/>
  <c r="H177" i="26" s="1"/>
  <c r="I177" i="26" s="1"/>
  <c r="C177" i="23"/>
  <c r="E177" i="23"/>
  <c r="D177" i="23"/>
  <c r="C177" i="50"/>
  <c r="D177" i="50"/>
  <c r="F177" i="50" s="1"/>
  <c r="D177" i="52" s="1"/>
  <c r="F176" i="26"/>
  <c r="H176" i="26" s="1"/>
  <c r="I176" i="26" s="1"/>
  <c r="C176" i="23"/>
  <c r="G176" i="23" s="1"/>
  <c r="G176" i="26" s="1"/>
  <c r="D176" i="23"/>
  <c r="H176" i="23" s="1"/>
  <c r="K176" i="26" s="1"/>
  <c r="D176" i="51"/>
  <c r="C176" i="50"/>
  <c r="E176" i="50" s="1"/>
  <c r="C176" i="52" s="1"/>
  <c r="D176" i="50"/>
  <c r="F175" i="26"/>
  <c r="C175" i="23"/>
  <c r="E175" i="23"/>
  <c r="D175" i="23"/>
  <c r="D175" i="51"/>
  <c r="C175" i="50"/>
  <c r="E175" i="50" s="1"/>
  <c r="C175" i="52" s="1"/>
  <c r="D175" i="50"/>
  <c r="F174" i="26"/>
  <c r="L174" i="26" s="1"/>
  <c r="M174" i="26" s="1"/>
  <c r="C174" i="23"/>
  <c r="E174" i="23"/>
  <c r="D174" i="23"/>
  <c r="H174" i="23" s="1"/>
  <c r="K174" i="26" s="1"/>
  <c r="C174" i="50"/>
  <c r="D174" i="50"/>
  <c r="F174" i="50" s="1"/>
  <c r="D174" i="52" s="1"/>
  <c r="F173" i="26"/>
  <c r="C173" i="23"/>
  <c r="E173" i="23"/>
  <c r="K173" i="26"/>
  <c r="D173" i="51"/>
  <c r="C173" i="50"/>
  <c r="D173" i="52"/>
  <c r="F172" i="26"/>
  <c r="C172" i="23"/>
  <c r="E172" i="23"/>
  <c r="D172" i="23"/>
  <c r="D172" i="51"/>
  <c r="C172" i="50"/>
  <c r="D172" i="50"/>
  <c r="F172" i="50" s="1"/>
  <c r="D172" i="52" s="1"/>
  <c r="F171" i="26"/>
  <c r="L171" i="26" s="1"/>
  <c r="M171" i="26" s="1"/>
  <c r="C171" i="23"/>
  <c r="E171" i="23"/>
  <c r="D171" i="23"/>
  <c r="H171" i="23" s="1"/>
  <c r="K171" i="26" s="1"/>
  <c r="D171" i="51"/>
  <c r="C171" i="50"/>
  <c r="I171" i="50" s="1"/>
  <c r="L171" i="52" s="1"/>
  <c r="D171" i="50"/>
  <c r="F171" i="50" s="1"/>
  <c r="D171" i="52" s="1"/>
  <c r="F170" i="26"/>
  <c r="H170" i="26" s="1"/>
  <c r="I170" i="26" s="1"/>
  <c r="C170" i="23"/>
  <c r="E170" i="23"/>
  <c r="D170" i="23"/>
  <c r="H170" i="23" s="1"/>
  <c r="K170" i="26" s="1"/>
  <c r="C170" i="50"/>
  <c r="E170" i="50" s="1"/>
  <c r="C170" i="52" s="1"/>
  <c r="D170" i="50"/>
  <c r="F169" i="26"/>
  <c r="L169" i="26" s="1"/>
  <c r="M169" i="26" s="1"/>
  <c r="C169" i="23"/>
  <c r="G169" i="23" s="1"/>
  <c r="G169" i="26" s="1"/>
  <c r="D169" i="23"/>
  <c r="E169" i="23"/>
  <c r="D169" i="51"/>
  <c r="C169" i="50"/>
  <c r="D169" i="50"/>
  <c r="F168" i="26"/>
  <c r="H168" i="26" s="1"/>
  <c r="I168" i="26" s="1"/>
  <c r="C168" i="23"/>
  <c r="D168" i="23"/>
  <c r="D168" i="51"/>
  <c r="C168" i="50"/>
  <c r="D168" i="50"/>
  <c r="F168" i="50" s="1"/>
  <c r="D168" i="52" s="1"/>
  <c r="F167" i="26"/>
  <c r="C167" i="23"/>
  <c r="E167" i="23"/>
  <c r="D167" i="23"/>
  <c r="D167" i="51"/>
  <c r="C167" i="50"/>
  <c r="D167" i="50"/>
  <c r="F166" i="26"/>
  <c r="H166" i="26" s="1"/>
  <c r="I166" i="26" s="1"/>
  <c r="C166" i="23"/>
  <c r="G166" i="23" s="1"/>
  <c r="G166" i="26" s="1"/>
  <c r="D166" i="23"/>
  <c r="H166" i="23" s="1"/>
  <c r="K166" i="26" s="1"/>
  <c r="D166" i="51"/>
  <c r="C166" i="50"/>
  <c r="E166" i="50" s="1"/>
  <c r="C166" i="52" s="1"/>
  <c r="D166" i="50"/>
  <c r="F166" i="50" s="1"/>
  <c r="D166" i="52" s="1"/>
  <c r="F165" i="26"/>
  <c r="H165" i="26" s="1"/>
  <c r="I165" i="26" s="1"/>
  <c r="C165" i="23"/>
  <c r="G165" i="23" s="1"/>
  <c r="G165" i="26" s="1"/>
  <c r="D165" i="23"/>
  <c r="C165" i="50"/>
  <c r="D165" i="50"/>
  <c r="F164" i="26"/>
  <c r="C164" i="23"/>
  <c r="E164" i="23"/>
  <c r="D164" i="23"/>
  <c r="D164" i="51"/>
  <c r="C164" i="50"/>
  <c r="D164" i="50"/>
  <c r="F164" i="50" s="1"/>
  <c r="D164" i="52" s="1"/>
  <c r="F163" i="26"/>
  <c r="C163" i="23"/>
  <c r="E163" i="23"/>
  <c r="D163" i="23"/>
  <c r="C163" i="50"/>
  <c r="D163" i="50"/>
  <c r="F162" i="26"/>
  <c r="L162" i="26" s="1"/>
  <c r="M162" i="26" s="1"/>
  <c r="C162" i="23"/>
  <c r="E162" i="23"/>
  <c r="D162" i="23"/>
  <c r="C162" i="50"/>
  <c r="D162" i="50"/>
  <c r="F162" i="50" s="1"/>
  <c r="D162" i="52" s="1"/>
  <c r="F161" i="26"/>
  <c r="H161" i="26" s="1"/>
  <c r="I161" i="26" s="1"/>
  <c r="C161" i="23"/>
  <c r="E161" i="23"/>
  <c r="D161" i="23"/>
  <c r="C161" i="50"/>
  <c r="E161" i="50" s="1"/>
  <c r="C161" i="52" s="1"/>
  <c r="D161" i="50"/>
  <c r="F160" i="26"/>
  <c r="L160" i="26" s="1"/>
  <c r="M160" i="26" s="1"/>
  <c r="C160" i="23"/>
  <c r="E160" i="23"/>
  <c r="D160" i="23"/>
  <c r="C160" i="50"/>
  <c r="E160" i="50" s="1"/>
  <c r="C160" i="52" s="1"/>
  <c r="D160" i="50"/>
  <c r="J160" i="50" s="1"/>
  <c r="M160" i="52" s="1"/>
  <c r="F159" i="26"/>
  <c r="H159" i="26" s="1"/>
  <c r="I159" i="26" s="1"/>
  <c r="C159" i="23"/>
  <c r="E159" i="23"/>
  <c r="D159" i="23"/>
  <c r="H159" i="23" s="1"/>
  <c r="K159" i="26" s="1"/>
  <c r="C159" i="50"/>
  <c r="E159" i="50" s="1"/>
  <c r="C159" i="52" s="1"/>
  <c r="D159" i="50"/>
  <c r="F159" i="50" s="1"/>
  <c r="D159" i="52" s="1"/>
  <c r="F158" i="26"/>
  <c r="H158" i="26" s="1"/>
  <c r="I158" i="26" s="1"/>
  <c r="C158" i="23"/>
  <c r="E158" i="23"/>
  <c r="D158" i="23"/>
  <c r="C158" i="50"/>
  <c r="I158" i="50" s="1"/>
  <c r="L158" i="52" s="1"/>
  <c r="D158" i="50"/>
  <c r="F158" i="50" s="1"/>
  <c r="D158" i="52" s="1"/>
  <c r="F157" i="26"/>
  <c r="L157" i="26" s="1"/>
  <c r="M157" i="26" s="1"/>
  <c r="C157" i="23"/>
  <c r="E157" i="23"/>
  <c r="D157" i="23"/>
  <c r="C157" i="50"/>
  <c r="D157" i="50"/>
  <c r="F156" i="26"/>
  <c r="C156" i="23"/>
  <c r="E156" i="23"/>
  <c r="D156" i="23"/>
  <c r="C156" i="50"/>
  <c r="E156" i="50" s="1"/>
  <c r="C156" i="52" s="1"/>
  <c r="D156" i="50"/>
  <c r="F155" i="26"/>
  <c r="L155" i="26" s="1"/>
  <c r="M155" i="26" s="1"/>
  <c r="C155" i="23"/>
  <c r="G155" i="23" s="1"/>
  <c r="G155" i="26" s="1"/>
  <c r="D155" i="23"/>
  <c r="H155" i="23" s="1"/>
  <c r="K155" i="26" s="1"/>
  <c r="C155" i="50"/>
  <c r="E155" i="50" s="1"/>
  <c r="C155" i="52" s="1"/>
  <c r="D155" i="50"/>
  <c r="F155" i="50" s="1"/>
  <c r="D155" i="52" s="1"/>
  <c r="F154" i="26"/>
  <c r="H154" i="26" s="1"/>
  <c r="I154" i="26" s="1"/>
  <c r="C154" i="23"/>
  <c r="G154" i="23" s="1"/>
  <c r="G154" i="26" s="1"/>
  <c r="D154" i="23"/>
  <c r="C154" i="50"/>
  <c r="D154" i="50"/>
  <c r="F153" i="26"/>
  <c r="L153" i="26" s="1"/>
  <c r="M153" i="26" s="1"/>
  <c r="C153" i="23"/>
  <c r="E153" i="23"/>
  <c r="D153" i="23"/>
  <c r="C153" i="50"/>
  <c r="D153" i="50"/>
  <c r="F153" i="50" s="1"/>
  <c r="D153" i="52" s="1"/>
  <c r="F152" i="26"/>
  <c r="C152" i="23"/>
  <c r="E152" i="23"/>
  <c r="D152" i="23"/>
  <c r="C152" i="50"/>
  <c r="D152" i="50"/>
  <c r="F151" i="26"/>
  <c r="H151" i="26" s="1"/>
  <c r="I151" i="26" s="1"/>
  <c r="C151" i="23"/>
  <c r="E151" i="23"/>
  <c r="D151" i="23"/>
  <c r="C151" i="50"/>
  <c r="E151" i="50" s="1"/>
  <c r="C151" i="52" s="1"/>
  <c r="D151" i="50"/>
  <c r="F151" i="50" s="1"/>
  <c r="D151" i="52" s="1"/>
  <c r="F150" i="26"/>
  <c r="L150" i="26" s="1"/>
  <c r="M150" i="26" s="1"/>
  <c r="C150" i="23"/>
  <c r="E150" i="23"/>
  <c r="D150" i="23"/>
  <c r="C150" i="50"/>
  <c r="D150" i="50"/>
  <c r="F149" i="26"/>
  <c r="L149" i="26" s="1"/>
  <c r="M149" i="26" s="1"/>
  <c r="C149" i="23"/>
  <c r="E149" i="23"/>
  <c r="D149" i="23"/>
  <c r="C149" i="50"/>
  <c r="D149" i="50"/>
  <c r="F149" i="50" s="1"/>
  <c r="D149" i="52" s="1"/>
  <c r="F147" i="26"/>
  <c r="L147" i="26" s="1"/>
  <c r="M147" i="26" s="1"/>
  <c r="C147" i="23"/>
  <c r="E147" i="23"/>
  <c r="D147" i="23"/>
  <c r="H147" i="23" s="1"/>
  <c r="K147" i="26" s="1"/>
  <c r="C147" i="50"/>
  <c r="G147" i="50" s="1"/>
  <c r="H147" i="52" s="1"/>
  <c r="D147" i="50"/>
  <c r="H147" i="50" s="1"/>
  <c r="I147" i="52" s="1"/>
  <c r="F145" i="26"/>
  <c r="H145" i="26" s="1"/>
  <c r="I145" i="26" s="1"/>
  <c r="C145" i="23"/>
  <c r="E145" i="23"/>
  <c r="D145" i="23"/>
  <c r="C145" i="50"/>
  <c r="E145" i="50" s="1"/>
  <c r="C145" i="52" s="1"/>
  <c r="D145" i="50"/>
  <c r="F144" i="26"/>
  <c r="H144" i="26" s="1"/>
  <c r="I144" i="26" s="1"/>
  <c r="C144" i="23"/>
  <c r="E144" i="23"/>
  <c r="D144" i="23"/>
  <c r="H144" i="23" s="1"/>
  <c r="K144" i="26" s="1"/>
  <c r="C144" i="50"/>
  <c r="D144" i="50"/>
  <c r="F144" i="50" s="1"/>
  <c r="D144" i="52" s="1"/>
  <c r="F143" i="26"/>
  <c r="C143" i="23"/>
  <c r="E143" i="23"/>
  <c r="D143" i="23"/>
  <c r="C143" i="50"/>
  <c r="D143" i="50"/>
  <c r="F143" i="50" s="1"/>
  <c r="D143" i="52" s="1"/>
  <c r="F142" i="26"/>
  <c r="H142" i="26" s="1"/>
  <c r="I142" i="26" s="1"/>
  <c r="C142" i="23"/>
  <c r="E142" i="23"/>
  <c r="D142" i="23"/>
  <c r="H142" i="23" s="1"/>
  <c r="K142" i="26" s="1"/>
  <c r="C142" i="50"/>
  <c r="G142" i="50" s="1"/>
  <c r="H142" i="52" s="1"/>
  <c r="D142" i="50"/>
  <c r="F142" i="50" s="1"/>
  <c r="D142" i="52" s="1"/>
  <c r="F141" i="26"/>
  <c r="H141" i="26" s="1"/>
  <c r="I141" i="26" s="1"/>
  <c r="C141" i="23"/>
  <c r="G141" i="23" s="1"/>
  <c r="G141" i="26" s="1"/>
  <c r="D141" i="23"/>
  <c r="H141" i="23" s="1"/>
  <c r="K141" i="26" s="1"/>
  <c r="D141" i="51"/>
  <c r="C141" i="50"/>
  <c r="E141" i="50" s="1"/>
  <c r="C141" i="52" s="1"/>
  <c r="D141" i="50"/>
  <c r="J141" i="50" s="1"/>
  <c r="M141" i="52" s="1"/>
  <c r="F140" i="26"/>
  <c r="H140" i="26" s="1"/>
  <c r="I140" i="26" s="1"/>
  <c r="C140" i="23"/>
  <c r="E140" i="23"/>
  <c r="D140" i="23"/>
  <c r="H140" i="23" s="1"/>
  <c r="K140" i="26" s="1"/>
  <c r="C140" i="50"/>
  <c r="D140" i="50"/>
  <c r="J140" i="50" s="1"/>
  <c r="M140" i="52" s="1"/>
  <c r="F139" i="26"/>
  <c r="L139" i="26" s="1"/>
  <c r="M139" i="26" s="1"/>
  <c r="C139" i="23"/>
  <c r="E139" i="23"/>
  <c r="D139" i="23"/>
  <c r="C139" i="50"/>
  <c r="D139" i="50"/>
  <c r="F139" i="50" s="1"/>
  <c r="D139" i="52" s="1"/>
  <c r="C138" i="23"/>
  <c r="E138" i="23"/>
  <c r="D138" i="23"/>
  <c r="C138" i="50"/>
  <c r="E138" i="50" s="1"/>
  <c r="C138" i="52" s="1"/>
  <c r="D138" i="50"/>
  <c r="F137" i="26"/>
  <c r="L137" i="26" s="1"/>
  <c r="M137" i="26" s="1"/>
  <c r="C137" i="23"/>
  <c r="D137" i="23"/>
  <c r="E137" i="23"/>
  <c r="C137" i="50"/>
  <c r="E137" i="50" s="1"/>
  <c r="C137" i="52" s="1"/>
  <c r="D137" i="50"/>
  <c r="F136" i="26"/>
  <c r="H136" i="26" s="1"/>
  <c r="I136" i="26" s="1"/>
  <c r="C136" i="23"/>
  <c r="D136" i="23"/>
  <c r="E136" i="23"/>
  <c r="C136" i="50"/>
  <c r="D136" i="50"/>
  <c r="F135" i="26"/>
  <c r="H135" i="26" s="1"/>
  <c r="I135" i="26" s="1"/>
  <c r="C135" i="23"/>
  <c r="E135" i="23"/>
  <c r="K135" i="26"/>
  <c r="C135" i="50"/>
  <c r="D135" i="52"/>
  <c r="F134" i="26"/>
  <c r="L134" i="26" s="1"/>
  <c r="M134" i="26" s="1"/>
  <c r="C134" i="23"/>
  <c r="G134" i="23" s="1"/>
  <c r="G134" i="26" s="1"/>
  <c r="D134" i="23"/>
  <c r="H134" i="23" s="1"/>
  <c r="K134" i="26" s="1"/>
  <c r="D134" i="51"/>
  <c r="C134" i="50"/>
  <c r="I134" i="50" s="1"/>
  <c r="L134" i="52" s="1"/>
  <c r="D134" i="50"/>
  <c r="H134" i="50" s="1"/>
  <c r="I134" i="52" s="1"/>
  <c r="F133" i="26"/>
  <c r="H133" i="26" s="1"/>
  <c r="I133" i="26" s="1"/>
  <c r="C133" i="23"/>
  <c r="G133" i="23" s="1"/>
  <c r="G133" i="26" s="1"/>
  <c r="D133" i="23"/>
  <c r="H133" i="23" s="1"/>
  <c r="K133" i="26" s="1"/>
  <c r="D133" i="51"/>
  <c r="C133" i="50"/>
  <c r="G133" i="50" s="1"/>
  <c r="H133" i="52" s="1"/>
  <c r="D133" i="50"/>
  <c r="F133" i="50" s="1"/>
  <c r="D133" i="52" s="1"/>
  <c r="F132" i="26"/>
  <c r="L132" i="26" s="1"/>
  <c r="M132" i="26" s="1"/>
  <c r="C132" i="23"/>
  <c r="E132" i="23"/>
  <c r="D132" i="23"/>
  <c r="D132" i="51"/>
  <c r="C132" i="50"/>
  <c r="D132" i="50"/>
  <c r="F131" i="26"/>
  <c r="H131" i="26" s="1"/>
  <c r="I131" i="26" s="1"/>
  <c r="C131" i="23"/>
  <c r="E131" i="23"/>
  <c r="D131" i="23"/>
  <c r="D131" i="51"/>
  <c r="C131" i="50"/>
  <c r="D131" i="50"/>
  <c r="F131" i="50" s="1"/>
  <c r="D131" i="52" s="1"/>
  <c r="F130" i="26"/>
  <c r="L130" i="26" s="1"/>
  <c r="M130" i="26" s="1"/>
  <c r="C130" i="23"/>
  <c r="G130" i="23" s="1"/>
  <c r="G130" i="26" s="1"/>
  <c r="D130" i="23"/>
  <c r="H130" i="23" s="1"/>
  <c r="K130" i="26" s="1"/>
  <c r="D130" i="51"/>
  <c r="C130" i="50"/>
  <c r="E130" i="50" s="1"/>
  <c r="C130" i="52" s="1"/>
  <c r="D130" i="50"/>
  <c r="F130" i="50" s="1"/>
  <c r="D130" i="52" s="1"/>
  <c r="F129" i="26"/>
  <c r="H129" i="26" s="1"/>
  <c r="I129" i="26" s="1"/>
  <c r="C129" i="23"/>
  <c r="E129" i="23"/>
  <c r="D129" i="23"/>
  <c r="H129" i="23" s="1"/>
  <c r="K129" i="26" s="1"/>
  <c r="D129" i="51"/>
  <c r="C129" i="50"/>
  <c r="D129" i="50"/>
  <c r="F129" i="50" s="1"/>
  <c r="D129" i="52" s="1"/>
  <c r="F128" i="26"/>
  <c r="L128" i="26" s="1"/>
  <c r="M128" i="26" s="1"/>
  <c r="C128" i="23"/>
  <c r="E128" i="23"/>
  <c r="D128" i="23"/>
  <c r="D128" i="51"/>
  <c r="C128" i="50"/>
  <c r="D128" i="50"/>
  <c r="F128" i="50" s="1"/>
  <c r="D128" i="52" s="1"/>
  <c r="F127" i="26"/>
  <c r="H127" i="26" s="1"/>
  <c r="I127" i="26" s="1"/>
  <c r="C127" i="23"/>
  <c r="E127" i="23"/>
  <c r="D127" i="23"/>
  <c r="H127" i="23" s="1"/>
  <c r="K127" i="26" s="1"/>
  <c r="D127" i="51"/>
  <c r="C127" i="50"/>
  <c r="D127" i="50"/>
  <c r="F127" i="50" s="1"/>
  <c r="D127" i="52" s="1"/>
  <c r="F126" i="26"/>
  <c r="L126" i="26" s="1"/>
  <c r="M126" i="26" s="1"/>
  <c r="C126" i="23"/>
  <c r="E126" i="23"/>
  <c r="D126" i="23"/>
  <c r="D126" i="51"/>
  <c r="C126" i="50"/>
  <c r="I126" i="50" s="1"/>
  <c r="L126" i="52" s="1"/>
  <c r="D126" i="50"/>
  <c r="F126" i="50" s="1"/>
  <c r="D126" i="52" s="1"/>
  <c r="F125" i="26"/>
  <c r="L125" i="26" s="1"/>
  <c r="M125" i="26" s="1"/>
  <c r="C125" i="23"/>
  <c r="D125" i="23"/>
  <c r="H125" i="23" s="1"/>
  <c r="K125" i="26" s="1"/>
  <c r="C125" i="50"/>
  <c r="E125" i="50" s="1"/>
  <c r="C125" i="52" s="1"/>
  <c r="D125" i="50"/>
  <c r="F125" i="50" s="1"/>
  <c r="D125" i="52" s="1"/>
  <c r="F124" i="26"/>
  <c r="L124" i="26" s="1"/>
  <c r="M124" i="26" s="1"/>
  <c r="C124" i="23"/>
  <c r="E124" i="23"/>
  <c r="D124" i="23"/>
  <c r="C124" i="50"/>
  <c r="D124" i="50"/>
  <c r="F124" i="50" s="1"/>
  <c r="D124" i="52" s="1"/>
  <c r="F123" i="26"/>
  <c r="H123" i="26" s="1"/>
  <c r="I123" i="26" s="1"/>
  <c r="C123" i="23"/>
  <c r="E123" i="23"/>
  <c r="D123" i="23"/>
  <c r="C123" i="50"/>
  <c r="D123" i="50"/>
  <c r="F122" i="26"/>
  <c r="C122" i="23"/>
  <c r="E122" i="23"/>
  <c r="D122" i="23"/>
  <c r="C122" i="50"/>
  <c r="D122" i="50"/>
  <c r="F122" i="50" s="1"/>
  <c r="D122" i="52" s="1"/>
  <c r="F121" i="26"/>
  <c r="H121" i="26" s="1"/>
  <c r="I121" i="26" s="1"/>
  <c r="C121" i="23"/>
  <c r="E121" i="23"/>
  <c r="D121" i="23"/>
  <c r="C121" i="50"/>
  <c r="E121" i="50" s="1"/>
  <c r="C121" i="52" s="1"/>
  <c r="D121" i="50"/>
  <c r="F120" i="26"/>
  <c r="C120" i="23"/>
  <c r="E120" i="23"/>
  <c r="D120" i="23"/>
  <c r="C120" i="50"/>
  <c r="E120" i="50" s="1"/>
  <c r="C120" i="52" s="1"/>
  <c r="D120" i="50"/>
  <c r="F119" i="26"/>
  <c r="H119" i="26" s="1"/>
  <c r="I119" i="26" s="1"/>
  <c r="C119" i="23"/>
  <c r="D119" i="23"/>
  <c r="E119" i="23"/>
  <c r="C119" i="50"/>
  <c r="E119" i="50" s="1"/>
  <c r="C119" i="52" s="1"/>
  <c r="D119" i="50"/>
  <c r="F118" i="26"/>
  <c r="H118" i="26" s="1"/>
  <c r="I118" i="26" s="1"/>
  <c r="C118" i="23"/>
  <c r="E118" i="23"/>
  <c r="D118" i="23"/>
  <c r="C118" i="50"/>
  <c r="D118" i="50"/>
  <c r="F117" i="26"/>
  <c r="L117" i="26" s="1"/>
  <c r="M117" i="26" s="1"/>
  <c r="C117" i="23"/>
  <c r="E117" i="23"/>
  <c r="D117" i="23"/>
  <c r="H117" i="23" s="1"/>
  <c r="K117" i="26" s="1"/>
  <c r="C117" i="50"/>
  <c r="E117" i="50" s="1"/>
  <c r="C117" i="52" s="1"/>
  <c r="D117" i="50"/>
  <c r="F117" i="50" s="1"/>
  <c r="D117" i="52" s="1"/>
  <c r="F116" i="26"/>
  <c r="H116" i="26" s="1"/>
  <c r="I116" i="26" s="1"/>
  <c r="C116" i="23"/>
  <c r="E116" i="23"/>
  <c r="D116" i="23"/>
  <c r="C116" i="50"/>
  <c r="E116" i="50" s="1"/>
  <c r="C116" i="52" s="1"/>
  <c r="D116" i="50"/>
  <c r="F116" i="50" s="1"/>
  <c r="D116" i="52" s="1"/>
  <c r="F115" i="26"/>
  <c r="L115" i="26" s="1"/>
  <c r="M115" i="26" s="1"/>
  <c r="C115" i="23"/>
  <c r="E115" i="23"/>
  <c r="D115" i="23"/>
  <c r="C115" i="50"/>
  <c r="D115" i="50"/>
  <c r="F114" i="26"/>
  <c r="L114" i="26" s="1"/>
  <c r="M114" i="26" s="1"/>
  <c r="C114" i="23"/>
  <c r="E114" i="23"/>
  <c r="D114" i="23"/>
  <c r="H114" i="23" s="1"/>
  <c r="K114" i="26" s="1"/>
  <c r="C114" i="50"/>
  <c r="E114" i="50" s="1"/>
  <c r="C114" i="52" s="1"/>
  <c r="D114" i="50"/>
  <c r="F114" i="50" s="1"/>
  <c r="D114" i="52" s="1"/>
  <c r="F113" i="26"/>
  <c r="L113" i="26" s="1"/>
  <c r="M113" i="26" s="1"/>
  <c r="C113" i="23"/>
  <c r="E113" i="23"/>
  <c r="D113" i="23"/>
  <c r="H113" i="23" s="1"/>
  <c r="K113" i="26" s="1"/>
  <c r="C113" i="50"/>
  <c r="D113" i="50"/>
  <c r="F113" i="50" s="1"/>
  <c r="D113" i="52" s="1"/>
  <c r="F112" i="26"/>
  <c r="L112" i="26" s="1"/>
  <c r="M112" i="26" s="1"/>
  <c r="C112" i="23"/>
  <c r="E112" i="23"/>
  <c r="D112" i="23"/>
  <c r="H112" i="23" s="1"/>
  <c r="K112" i="26" s="1"/>
  <c r="C112" i="50"/>
  <c r="D112" i="50"/>
  <c r="F112" i="50" s="1"/>
  <c r="D112" i="52" s="1"/>
  <c r="F111" i="26"/>
  <c r="H111" i="26" s="1"/>
  <c r="I111" i="26" s="1"/>
  <c r="C111" i="23"/>
  <c r="E111" i="23"/>
  <c r="D111" i="23"/>
  <c r="H111" i="23" s="1"/>
  <c r="K111" i="26" s="1"/>
  <c r="C111" i="50"/>
  <c r="I111" i="50" s="1"/>
  <c r="L111" i="52" s="1"/>
  <c r="D111" i="50"/>
  <c r="F111" i="50" s="1"/>
  <c r="D111" i="52" s="1"/>
  <c r="F110" i="26"/>
  <c r="L110" i="26" s="1"/>
  <c r="M110" i="26" s="1"/>
  <c r="C110" i="23"/>
  <c r="E110" i="23"/>
  <c r="D110" i="23"/>
  <c r="H110" i="23" s="1"/>
  <c r="K110" i="26" s="1"/>
  <c r="C110" i="50"/>
  <c r="E110" i="50" s="1"/>
  <c r="C110" i="52" s="1"/>
  <c r="D110" i="50"/>
  <c r="F110" i="50" s="1"/>
  <c r="D110" i="52" s="1"/>
  <c r="F109" i="26"/>
  <c r="L109" i="26" s="1"/>
  <c r="M109" i="26" s="1"/>
  <c r="C109" i="23"/>
  <c r="E109" i="23"/>
  <c r="D109" i="23"/>
  <c r="H109" i="23" s="1"/>
  <c r="K109" i="26" s="1"/>
  <c r="C109" i="50"/>
  <c r="E109" i="50" s="1"/>
  <c r="C109" i="52" s="1"/>
  <c r="D109" i="50"/>
  <c r="F109" i="50" s="1"/>
  <c r="D109" i="52" s="1"/>
  <c r="F108" i="26"/>
  <c r="H108" i="26" s="1"/>
  <c r="I108" i="26" s="1"/>
  <c r="C108" i="23"/>
  <c r="D108" i="23"/>
  <c r="H108" i="23" s="1"/>
  <c r="K108" i="26" s="1"/>
  <c r="C108" i="50"/>
  <c r="E108" i="50" s="1"/>
  <c r="C108" i="52" s="1"/>
  <c r="D108" i="50"/>
  <c r="F108" i="50" s="1"/>
  <c r="D108" i="52" s="1"/>
  <c r="F107" i="26"/>
  <c r="L107" i="26" s="1"/>
  <c r="M107" i="26" s="1"/>
  <c r="C107" i="23"/>
  <c r="E107" i="23"/>
  <c r="D107" i="23"/>
  <c r="H107" i="23" s="1"/>
  <c r="K107" i="26" s="1"/>
  <c r="C107" i="50"/>
  <c r="E107" i="50" s="1"/>
  <c r="C107" i="52" s="1"/>
  <c r="D107" i="50"/>
  <c r="J107" i="50" s="1"/>
  <c r="M107" i="52" s="1"/>
  <c r="F106" i="26"/>
  <c r="C106" i="23"/>
  <c r="E106" i="23"/>
  <c r="D106" i="23"/>
  <c r="C106" i="50"/>
  <c r="D106" i="50"/>
  <c r="F105" i="26"/>
  <c r="H105" i="26" s="1"/>
  <c r="I105" i="26" s="1"/>
  <c r="C105" i="23"/>
  <c r="E105" i="23"/>
  <c r="D105" i="23"/>
  <c r="H105" i="23" s="1"/>
  <c r="K105" i="26" s="1"/>
  <c r="C105" i="50"/>
  <c r="E105" i="50" s="1"/>
  <c r="C105" i="52" s="1"/>
  <c r="D105" i="50"/>
  <c r="F105" i="50" s="1"/>
  <c r="D105" i="52" s="1"/>
  <c r="F104" i="26"/>
  <c r="H104" i="26" s="1"/>
  <c r="I104" i="26" s="1"/>
  <c r="C104" i="23"/>
  <c r="D104" i="23"/>
  <c r="E104" i="23"/>
  <c r="C104" i="50"/>
  <c r="E104" i="50" s="1"/>
  <c r="C104" i="52" s="1"/>
  <c r="D104" i="50"/>
  <c r="F103" i="26"/>
  <c r="C103" i="23"/>
  <c r="E103" i="23"/>
  <c r="D103" i="23"/>
  <c r="C103" i="50"/>
  <c r="D103" i="50"/>
  <c r="F102" i="26"/>
  <c r="L102" i="26" s="1"/>
  <c r="M102" i="26" s="1"/>
  <c r="C102" i="23"/>
  <c r="G102" i="23" s="1"/>
  <c r="G102" i="26" s="1"/>
  <c r="D102" i="23"/>
  <c r="C102" i="50"/>
  <c r="E102" i="50" s="1"/>
  <c r="C102" i="52" s="1"/>
  <c r="D102" i="50"/>
  <c r="J102" i="50" s="1"/>
  <c r="M102" i="52" s="1"/>
  <c r="F101" i="26"/>
  <c r="C101" i="23"/>
  <c r="E101" i="23"/>
  <c r="D101" i="23"/>
  <c r="C101" i="50"/>
  <c r="D101" i="50"/>
  <c r="F101" i="50" s="1"/>
  <c r="D101" i="52" s="1"/>
  <c r="F100" i="26"/>
  <c r="L100" i="26" s="1"/>
  <c r="M100" i="26" s="1"/>
  <c r="C100" i="23"/>
  <c r="D100" i="23"/>
  <c r="H100" i="23" s="1"/>
  <c r="K100" i="26" s="1"/>
  <c r="D100" i="51"/>
  <c r="C100" i="50"/>
  <c r="E100" i="50" s="1"/>
  <c r="C100" i="52" s="1"/>
  <c r="D100" i="50"/>
  <c r="F99" i="26"/>
  <c r="H99" i="26" s="1"/>
  <c r="I99" i="26" s="1"/>
  <c r="C99" i="23"/>
  <c r="E99" i="23"/>
  <c r="D99" i="23"/>
  <c r="H99" i="23" s="1"/>
  <c r="K99" i="26" s="1"/>
  <c r="D99" i="51"/>
  <c r="C99" i="50"/>
  <c r="D99" i="50"/>
  <c r="F99" i="50" s="1"/>
  <c r="D99" i="52" s="1"/>
  <c r="F98" i="26"/>
  <c r="L98" i="26" s="1"/>
  <c r="M98" i="26" s="1"/>
  <c r="C98" i="23"/>
  <c r="G98" i="23" s="1"/>
  <c r="G98" i="26" s="1"/>
  <c r="D98" i="23"/>
  <c r="H98" i="23" s="1"/>
  <c r="K98" i="26" s="1"/>
  <c r="C98" i="50"/>
  <c r="D98" i="50"/>
  <c r="F97" i="26"/>
  <c r="H97" i="26" s="1"/>
  <c r="I97" i="26" s="1"/>
  <c r="C97" i="23"/>
  <c r="E97" i="23"/>
  <c r="D97" i="23"/>
  <c r="H97" i="23" s="1"/>
  <c r="K97" i="26" s="1"/>
  <c r="C97" i="50"/>
  <c r="D97" i="50"/>
  <c r="F96" i="26"/>
  <c r="L96" i="26" s="1"/>
  <c r="M96" i="26" s="1"/>
  <c r="C96" i="23"/>
  <c r="E96" i="23"/>
  <c r="D96" i="23"/>
  <c r="H96" i="23" s="1"/>
  <c r="K96" i="26" s="1"/>
  <c r="C96" i="50"/>
  <c r="D96" i="50"/>
  <c r="F96" i="50" s="1"/>
  <c r="D96" i="52" s="1"/>
  <c r="F95" i="26"/>
  <c r="H95" i="26" s="1"/>
  <c r="I95" i="26" s="1"/>
  <c r="C95" i="23"/>
  <c r="E95" i="23"/>
  <c r="D95" i="23"/>
  <c r="H95" i="23" s="1"/>
  <c r="K95" i="26" s="1"/>
  <c r="D95" i="51"/>
  <c r="C95" i="50"/>
  <c r="D95" i="50"/>
  <c r="F95" i="50" s="1"/>
  <c r="D95" i="52" s="1"/>
  <c r="F94" i="26"/>
  <c r="H94" i="26" s="1"/>
  <c r="I94" i="26" s="1"/>
  <c r="C94" i="23"/>
  <c r="E94" i="23"/>
  <c r="D94" i="23"/>
  <c r="C94" i="50"/>
  <c r="E94" i="50" s="1"/>
  <c r="C94" i="52" s="1"/>
  <c r="D94" i="50"/>
  <c r="J94" i="50" s="1"/>
  <c r="M94" i="52" s="1"/>
  <c r="F93" i="26"/>
  <c r="L93" i="26" s="1"/>
  <c r="M93" i="26" s="1"/>
  <c r="C93" i="23"/>
  <c r="D93" i="23"/>
  <c r="H93" i="23" s="1"/>
  <c r="K93" i="26" s="1"/>
  <c r="C93" i="50"/>
  <c r="D93" i="50"/>
  <c r="F93" i="50" s="1"/>
  <c r="D93" i="52" s="1"/>
  <c r="F92" i="26"/>
  <c r="H92" i="26" s="1"/>
  <c r="I92" i="26" s="1"/>
  <c r="C92" i="23"/>
  <c r="G92" i="23" s="1"/>
  <c r="G92" i="26" s="1"/>
  <c r="D92" i="23"/>
  <c r="H92" i="23" s="1"/>
  <c r="K92" i="26" s="1"/>
  <c r="D92" i="51"/>
  <c r="C92" i="50"/>
  <c r="G92" i="50" s="1"/>
  <c r="H92" i="52" s="1"/>
  <c r="D92" i="50"/>
  <c r="F92" i="50" s="1"/>
  <c r="D92" i="52" s="1"/>
  <c r="F91" i="26"/>
  <c r="H91" i="26" s="1"/>
  <c r="I91" i="26" s="1"/>
  <c r="C91" i="23"/>
  <c r="E91" i="23"/>
  <c r="D91" i="23"/>
  <c r="D91" i="51"/>
  <c r="C91" i="50"/>
  <c r="E91" i="50" s="1"/>
  <c r="C91" i="52" s="1"/>
  <c r="D91" i="50"/>
  <c r="F91" i="50" s="1"/>
  <c r="D91" i="52" s="1"/>
  <c r="F90" i="26"/>
  <c r="L90" i="26" s="1"/>
  <c r="M90" i="26" s="1"/>
  <c r="C90" i="23"/>
  <c r="G90" i="23" s="1"/>
  <c r="G90" i="26" s="1"/>
  <c r="D90" i="23"/>
  <c r="H90" i="23" s="1"/>
  <c r="K90" i="26" s="1"/>
  <c r="D90" i="51"/>
  <c r="C90" i="50"/>
  <c r="D90" i="50"/>
  <c r="F89" i="26"/>
  <c r="C89" i="23"/>
  <c r="E89" i="23"/>
  <c r="D89" i="23"/>
  <c r="D89" i="51"/>
  <c r="C89" i="50"/>
  <c r="D89" i="50"/>
  <c r="F88" i="26"/>
  <c r="H88" i="26" s="1"/>
  <c r="I88" i="26" s="1"/>
  <c r="C88" i="23"/>
  <c r="G88" i="23" s="1"/>
  <c r="G88" i="26" s="1"/>
  <c r="D88" i="23"/>
  <c r="D88" i="51"/>
  <c r="C88" i="50"/>
  <c r="E88" i="50" s="1"/>
  <c r="C88" i="52" s="1"/>
  <c r="D88" i="50"/>
  <c r="F88" i="50" s="1"/>
  <c r="D88" i="52" s="1"/>
  <c r="F87" i="26"/>
  <c r="H87" i="26" s="1"/>
  <c r="I87" i="26" s="1"/>
  <c r="C87" i="23"/>
  <c r="E87" i="23"/>
  <c r="D87" i="23"/>
  <c r="D87" i="51"/>
  <c r="C87" i="50"/>
  <c r="E87" i="50" s="1"/>
  <c r="C87" i="52" s="1"/>
  <c r="D87" i="50"/>
  <c r="F86" i="26"/>
  <c r="H86" i="26" s="1"/>
  <c r="I86" i="26" s="1"/>
  <c r="C86" i="23"/>
  <c r="G86" i="23" s="1"/>
  <c r="G86" i="26" s="1"/>
  <c r="D86" i="23"/>
  <c r="E86" i="23"/>
  <c r="D86" i="51"/>
  <c r="C86" i="50"/>
  <c r="E86" i="50" s="1"/>
  <c r="C86" i="52" s="1"/>
  <c r="D86" i="50"/>
  <c r="F85" i="26"/>
  <c r="H85" i="26" s="1"/>
  <c r="I85" i="26" s="1"/>
  <c r="C85" i="23"/>
  <c r="G85" i="23" s="1"/>
  <c r="G85" i="26" s="1"/>
  <c r="D85" i="23"/>
  <c r="E85" i="23"/>
  <c r="D85" i="51"/>
  <c r="C85" i="50"/>
  <c r="E85" i="50" s="1"/>
  <c r="C85" i="52" s="1"/>
  <c r="D85" i="50"/>
  <c r="F84" i="26"/>
  <c r="H84" i="26" s="1"/>
  <c r="I84" i="26" s="1"/>
  <c r="C84" i="23"/>
  <c r="E84" i="23"/>
  <c r="D84" i="23"/>
  <c r="H84" i="23" s="1"/>
  <c r="K84" i="26" s="1"/>
  <c r="C84" i="50"/>
  <c r="E84" i="50" s="1"/>
  <c r="C84" i="52" s="1"/>
  <c r="D84" i="50"/>
  <c r="F83" i="26"/>
  <c r="H83" i="26" s="1"/>
  <c r="I83" i="26" s="1"/>
  <c r="C83" i="23"/>
  <c r="E83" i="23"/>
  <c r="D83" i="23"/>
  <c r="H83" i="23" s="1"/>
  <c r="K83" i="26" s="1"/>
  <c r="D83" i="51"/>
  <c r="C83" i="50"/>
  <c r="E83" i="50" s="1"/>
  <c r="C83" i="52" s="1"/>
  <c r="D83" i="50"/>
  <c r="F83" i="50" s="1"/>
  <c r="D83" i="52" s="1"/>
  <c r="F82" i="26"/>
  <c r="L82" i="26" s="1"/>
  <c r="M82" i="26" s="1"/>
  <c r="C82" i="23"/>
  <c r="E82" i="23"/>
  <c r="D82" i="23"/>
  <c r="H82" i="23" s="1"/>
  <c r="K82" i="26" s="1"/>
  <c r="C82" i="50"/>
  <c r="E82" i="50" s="1"/>
  <c r="C82" i="52" s="1"/>
  <c r="D82" i="50"/>
  <c r="F81" i="26"/>
  <c r="L81" i="26" s="1"/>
  <c r="M81" i="26" s="1"/>
  <c r="C81" i="23"/>
  <c r="E81" i="23"/>
  <c r="K81" i="26"/>
  <c r="D81" i="51"/>
  <c r="C81" i="50"/>
  <c r="G81" i="50" s="1"/>
  <c r="H81" i="52" s="1"/>
  <c r="D81" i="52"/>
  <c r="F80" i="26"/>
  <c r="H80" i="26" s="1"/>
  <c r="I80" i="26" s="1"/>
  <c r="C80" i="23"/>
  <c r="G80" i="23" s="1"/>
  <c r="G80" i="26" s="1"/>
  <c r="D80" i="23"/>
  <c r="E80" i="23"/>
  <c r="C80" i="50"/>
  <c r="E80" i="50" s="1"/>
  <c r="C80" i="52" s="1"/>
  <c r="D80" i="50"/>
  <c r="F79" i="26"/>
  <c r="H79" i="26" s="1"/>
  <c r="I79" i="26" s="1"/>
  <c r="C79" i="23"/>
  <c r="E79" i="23"/>
  <c r="D79" i="23"/>
  <c r="C79" i="50"/>
  <c r="D79" i="50"/>
  <c r="F61" i="26"/>
  <c r="F77" i="26" s="1"/>
  <c r="C77" i="23"/>
  <c r="K77" i="26"/>
  <c r="C77" i="50"/>
  <c r="E77" i="50" s="1"/>
  <c r="C77" i="52" s="1"/>
  <c r="D77" i="52"/>
  <c r="F76" i="26"/>
  <c r="L76" i="26" s="1"/>
  <c r="M76" i="26" s="1"/>
  <c r="C76" i="23"/>
  <c r="D76" i="23"/>
  <c r="H76" i="23" s="1"/>
  <c r="K76" i="26" s="1"/>
  <c r="D76" i="51"/>
  <c r="C76" i="50"/>
  <c r="G76" i="50" s="1"/>
  <c r="H76" i="52" s="1"/>
  <c r="D76" i="50"/>
  <c r="F76" i="50" s="1"/>
  <c r="D76" i="52" s="1"/>
  <c r="F75" i="26"/>
  <c r="H75" i="26" s="1"/>
  <c r="I75" i="26" s="1"/>
  <c r="C75" i="23"/>
  <c r="D75" i="23"/>
  <c r="H75" i="23" s="1"/>
  <c r="K75" i="26" s="1"/>
  <c r="C75" i="50"/>
  <c r="G75" i="50" s="1"/>
  <c r="H75" i="52" s="1"/>
  <c r="D75" i="50"/>
  <c r="F75" i="50" s="1"/>
  <c r="D75" i="52" s="1"/>
  <c r="F74" i="26"/>
  <c r="L74" i="26" s="1"/>
  <c r="M74" i="26" s="1"/>
  <c r="C74" i="23"/>
  <c r="D74" i="23"/>
  <c r="D74" i="51"/>
  <c r="C74" i="50"/>
  <c r="E74" i="50" s="1"/>
  <c r="C74" i="52" s="1"/>
  <c r="D74" i="50"/>
  <c r="F74" i="50" s="1"/>
  <c r="D74" i="52" s="1"/>
  <c r="F73" i="26"/>
  <c r="H73" i="26" s="1"/>
  <c r="I73" i="26" s="1"/>
  <c r="C73" i="23"/>
  <c r="E73" i="23"/>
  <c r="D73" i="23"/>
  <c r="H73" i="23" s="1"/>
  <c r="K73" i="26" s="1"/>
  <c r="C73" i="50"/>
  <c r="E73" i="50" s="1"/>
  <c r="C73" i="52" s="1"/>
  <c r="D73" i="50"/>
  <c r="F73" i="50" s="1"/>
  <c r="D73" i="52" s="1"/>
  <c r="F72" i="26"/>
  <c r="H72" i="26" s="1"/>
  <c r="I72" i="26" s="1"/>
  <c r="C72" i="23"/>
  <c r="G72" i="23" s="1"/>
  <c r="G72" i="26" s="1"/>
  <c r="D72" i="23"/>
  <c r="D72" i="51"/>
  <c r="C72" i="50"/>
  <c r="D72" i="50"/>
  <c r="F72" i="50" s="1"/>
  <c r="D72" i="52" s="1"/>
  <c r="F71" i="26"/>
  <c r="L71" i="26" s="1"/>
  <c r="M71" i="26" s="1"/>
  <c r="C71" i="23"/>
  <c r="E71" i="23"/>
  <c r="D71" i="23"/>
  <c r="D71" i="51"/>
  <c r="C71" i="50"/>
  <c r="D71" i="50"/>
  <c r="F70" i="26"/>
  <c r="L70" i="26" s="1"/>
  <c r="M70" i="26" s="1"/>
  <c r="C70" i="23"/>
  <c r="E70" i="23"/>
  <c r="D70" i="23"/>
  <c r="D70" i="51"/>
  <c r="C70" i="50"/>
  <c r="E70" i="50" s="1"/>
  <c r="C70" i="52" s="1"/>
  <c r="D70" i="50"/>
  <c r="F70" i="50" s="1"/>
  <c r="D70" i="52" s="1"/>
  <c r="F69" i="26"/>
  <c r="H69" i="26" s="1"/>
  <c r="I69" i="26" s="1"/>
  <c r="C69" i="23"/>
  <c r="E69" i="23"/>
  <c r="D69" i="23"/>
  <c r="D69" i="51"/>
  <c r="C69" i="50"/>
  <c r="D69" i="50"/>
  <c r="F69" i="50" s="1"/>
  <c r="D69" i="52" s="1"/>
  <c r="F68" i="26"/>
  <c r="H68" i="26" s="1"/>
  <c r="I68" i="26" s="1"/>
  <c r="C68" i="23"/>
  <c r="G68" i="23" s="1"/>
  <c r="G68" i="26" s="1"/>
  <c r="D68" i="23"/>
  <c r="H68" i="23" s="1"/>
  <c r="K68" i="26" s="1"/>
  <c r="D68" i="51"/>
  <c r="C68" i="50"/>
  <c r="G68" i="50" s="1"/>
  <c r="H68" i="52" s="1"/>
  <c r="D68" i="50"/>
  <c r="H68" i="50" s="1"/>
  <c r="I68" i="52" s="1"/>
  <c r="F67" i="26"/>
  <c r="L67" i="26" s="1"/>
  <c r="M67" i="26" s="1"/>
  <c r="C67" i="23"/>
  <c r="D67" i="23"/>
  <c r="C67" i="50"/>
  <c r="E67" i="50" s="1"/>
  <c r="C67" i="52" s="1"/>
  <c r="D67" i="50"/>
  <c r="F67" i="50" s="1"/>
  <c r="D67" i="52" s="1"/>
  <c r="F66" i="26"/>
  <c r="L66" i="26" s="1"/>
  <c r="M66" i="26" s="1"/>
  <c r="C66" i="23"/>
  <c r="E66" i="23"/>
  <c r="D66" i="23"/>
  <c r="H66" i="23" s="1"/>
  <c r="K66" i="26" s="1"/>
  <c r="D66" i="51"/>
  <c r="C66" i="50"/>
  <c r="E66" i="50" s="1"/>
  <c r="C66" i="52" s="1"/>
  <c r="D66" i="50"/>
  <c r="F65" i="26"/>
  <c r="L65" i="26" s="1"/>
  <c r="M65" i="26" s="1"/>
  <c r="C65" i="23"/>
  <c r="E65" i="23"/>
  <c r="D65" i="23"/>
  <c r="H65" i="23" s="1"/>
  <c r="K65" i="26" s="1"/>
  <c r="C65" i="50"/>
  <c r="D65" i="50"/>
  <c r="H65" i="50" s="1"/>
  <c r="I65" i="52" s="1"/>
  <c r="F64" i="26"/>
  <c r="H64" i="26" s="1"/>
  <c r="I64" i="26" s="1"/>
  <c r="C64" i="23"/>
  <c r="E64" i="23"/>
  <c r="D64" i="23"/>
  <c r="H64" i="23" s="1"/>
  <c r="K64" i="26" s="1"/>
  <c r="C64" i="50"/>
  <c r="D64" i="50"/>
  <c r="F63" i="26"/>
  <c r="L63" i="26" s="1"/>
  <c r="M63" i="26" s="1"/>
  <c r="C63" i="23"/>
  <c r="D63" i="23"/>
  <c r="H63" i="23" s="1"/>
  <c r="K63" i="26" s="1"/>
  <c r="C63" i="50"/>
  <c r="D63" i="50"/>
  <c r="H63" i="50" s="1"/>
  <c r="I63" i="52" s="1"/>
  <c r="F62" i="26"/>
  <c r="H62" i="26" s="1"/>
  <c r="I62" i="26" s="1"/>
  <c r="C62" i="23"/>
  <c r="D62" i="23"/>
  <c r="H62" i="23" s="1"/>
  <c r="K62" i="26" s="1"/>
  <c r="D62" i="51"/>
  <c r="C62" i="50"/>
  <c r="E62" i="50" s="1"/>
  <c r="C62" i="52" s="1"/>
  <c r="D62" i="50"/>
  <c r="E61" i="23"/>
  <c r="K61" i="26"/>
  <c r="D61" i="51"/>
  <c r="I61" i="50"/>
  <c r="L61" i="52" s="1"/>
  <c r="D61" i="52"/>
  <c r="F60" i="26"/>
  <c r="H60" i="26" s="1"/>
  <c r="I60" i="26" s="1"/>
  <c r="C60" i="23"/>
  <c r="G60" i="23" s="1"/>
  <c r="G60" i="26" s="1"/>
  <c r="D60" i="23"/>
  <c r="H60" i="23" s="1"/>
  <c r="K60" i="26" s="1"/>
  <c r="C60" i="50"/>
  <c r="E60" i="50" s="1"/>
  <c r="C60" i="52" s="1"/>
  <c r="D60" i="50"/>
  <c r="H60" i="50" s="1"/>
  <c r="I60" i="52" s="1"/>
  <c r="F59" i="26"/>
  <c r="H59" i="26" s="1"/>
  <c r="I59" i="26" s="1"/>
  <c r="C59" i="23"/>
  <c r="D59" i="23"/>
  <c r="H59" i="23" s="1"/>
  <c r="K59" i="26" s="1"/>
  <c r="D59" i="51"/>
  <c r="C59" i="50"/>
  <c r="D59" i="50"/>
  <c r="F59" i="50" s="1"/>
  <c r="D59" i="52" s="1"/>
  <c r="F58" i="26"/>
  <c r="H58" i="26" s="1"/>
  <c r="I58" i="26" s="1"/>
  <c r="C58" i="23"/>
  <c r="D58" i="23"/>
  <c r="D58" i="51"/>
  <c r="C58" i="50"/>
  <c r="I58" i="50" s="1"/>
  <c r="L58" i="52" s="1"/>
  <c r="D58" i="50"/>
  <c r="F58" i="50" s="1"/>
  <c r="D58" i="52" s="1"/>
  <c r="F57" i="26"/>
  <c r="H57" i="26" s="1"/>
  <c r="I57" i="26" s="1"/>
  <c r="C57" i="23"/>
  <c r="D57" i="23"/>
  <c r="H57" i="23" s="1"/>
  <c r="K57" i="26" s="1"/>
  <c r="D57" i="51"/>
  <c r="C57" i="50"/>
  <c r="D57" i="50"/>
  <c r="F57" i="50" s="1"/>
  <c r="D57" i="52" s="1"/>
  <c r="F56" i="26"/>
  <c r="L56" i="26" s="1"/>
  <c r="M56" i="26" s="1"/>
  <c r="C56" i="23"/>
  <c r="D56" i="23"/>
  <c r="H56" i="23" s="1"/>
  <c r="K56" i="26" s="1"/>
  <c r="D56" i="51"/>
  <c r="C56" i="50"/>
  <c r="I56" i="50" s="1"/>
  <c r="L56" i="52" s="1"/>
  <c r="D56" i="50"/>
  <c r="F56" i="50" s="1"/>
  <c r="D56" i="52" s="1"/>
  <c r="F55" i="26"/>
  <c r="H55" i="26" s="1"/>
  <c r="I55" i="26" s="1"/>
  <c r="C55" i="23"/>
  <c r="E55" i="23"/>
  <c r="D55" i="23"/>
  <c r="H55" i="23" s="1"/>
  <c r="K55" i="26" s="1"/>
  <c r="C55" i="50"/>
  <c r="D55" i="50"/>
  <c r="F54" i="26"/>
  <c r="H54" i="26" s="1"/>
  <c r="I54" i="26" s="1"/>
  <c r="C54" i="23"/>
  <c r="D54" i="23"/>
  <c r="H54" i="23" s="1"/>
  <c r="K54" i="26" s="1"/>
  <c r="C54" i="50"/>
  <c r="D54" i="50"/>
  <c r="F54" i="50" s="1"/>
  <c r="D54" i="52" s="1"/>
  <c r="F53" i="26"/>
  <c r="L53" i="26" s="1"/>
  <c r="M53" i="26" s="1"/>
  <c r="C53" i="23"/>
  <c r="E53" i="23"/>
  <c r="D53" i="23"/>
  <c r="H53" i="23" s="1"/>
  <c r="K53" i="26" s="1"/>
  <c r="C53" i="50"/>
  <c r="D53" i="50"/>
  <c r="F51" i="26"/>
  <c r="L51" i="26" s="1"/>
  <c r="M51" i="26" s="1"/>
  <c r="C51" i="23"/>
  <c r="G51" i="23" s="1"/>
  <c r="G51" i="26" s="1"/>
  <c r="D51" i="23"/>
  <c r="H51" i="23" s="1"/>
  <c r="K51" i="26" s="1"/>
  <c r="C51" i="50"/>
  <c r="E51" i="50" s="1"/>
  <c r="C51" i="52" s="1"/>
  <c r="D51" i="50"/>
  <c r="F51" i="50" s="1"/>
  <c r="D51" i="52" s="1"/>
  <c r="F50" i="26"/>
  <c r="L50" i="26" s="1"/>
  <c r="M50" i="26" s="1"/>
  <c r="C50" i="23"/>
  <c r="E50" i="23"/>
  <c r="D50" i="23"/>
  <c r="H50" i="23" s="1"/>
  <c r="K50" i="26" s="1"/>
  <c r="D50" i="51"/>
  <c r="C50" i="50"/>
  <c r="D50" i="50"/>
  <c r="H50" i="50" s="1"/>
  <c r="I50" i="52" s="1"/>
  <c r="F48" i="26"/>
  <c r="H48" i="26" s="1"/>
  <c r="I48" i="26" s="1"/>
  <c r="C48" i="23"/>
  <c r="G48" i="23" s="1"/>
  <c r="G48" i="26" s="1"/>
  <c r="D48" i="23"/>
  <c r="H48" i="23" s="1"/>
  <c r="K48" i="26" s="1"/>
  <c r="D48" i="28"/>
  <c r="C48" i="50"/>
  <c r="E48" i="50" s="1"/>
  <c r="C48" i="52" s="1"/>
  <c r="D48" i="50"/>
  <c r="J48" i="50" s="1"/>
  <c r="M48" i="52" s="1"/>
  <c r="F47" i="26"/>
  <c r="H47" i="26" s="1"/>
  <c r="I47" i="26" s="1"/>
  <c r="C47" i="23"/>
  <c r="G47" i="23" s="1"/>
  <c r="G47" i="26" s="1"/>
  <c r="D47" i="23"/>
  <c r="H47" i="23" s="1"/>
  <c r="K47" i="26" s="1"/>
  <c r="D47" i="51"/>
  <c r="C47" i="50"/>
  <c r="D47" i="50"/>
  <c r="F45" i="26"/>
  <c r="C45" i="23"/>
  <c r="E45" i="23"/>
  <c r="D45" i="23"/>
  <c r="H45" i="23" s="1"/>
  <c r="K45" i="26" s="1"/>
  <c r="D45" i="51"/>
  <c r="C45" i="50"/>
  <c r="I45" i="50" s="1"/>
  <c r="L45" i="52" s="1"/>
  <c r="D45" i="50"/>
  <c r="F45" i="50" s="1"/>
  <c r="D45" i="52" s="1"/>
  <c r="F44" i="26"/>
  <c r="H44" i="26" s="1"/>
  <c r="I44" i="26" s="1"/>
  <c r="C44" i="23"/>
  <c r="E44" i="23"/>
  <c r="D44" i="23"/>
  <c r="D44" i="51"/>
  <c r="C44" i="50"/>
  <c r="D44" i="50"/>
  <c r="F44" i="50" s="1"/>
  <c r="D44" i="52" s="1"/>
  <c r="F43" i="26"/>
  <c r="L43" i="26" s="1"/>
  <c r="M43" i="26" s="1"/>
  <c r="C43" i="23"/>
  <c r="E43" i="23"/>
  <c r="D43" i="23"/>
  <c r="H43" i="23" s="1"/>
  <c r="K43" i="26" s="1"/>
  <c r="D43" i="51"/>
  <c r="C43" i="50"/>
  <c r="D43" i="50"/>
  <c r="F43" i="50" s="1"/>
  <c r="D43" i="52" s="1"/>
  <c r="F42" i="26"/>
  <c r="C42" i="23"/>
  <c r="E42" i="23"/>
  <c r="D42" i="23"/>
  <c r="H42" i="23" s="1"/>
  <c r="K42" i="26" s="1"/>
  <c r="C42" i="50"/>
  <c r="D42" i="50"/>
  <c r="F41" i="26"/>
  <c r="C41" i="23"/>
  <c r="E41" i="23"/>
  <c r="D41" i="23"/>
  <c r="C41" i="50"/>
  <c r="D41" i="50"/>
  <c r="F41" i="50" s="1"/>
  <c r="D41" i="52" s="1"/>
  <c r="F40" i="26"/>
  <c r="C40" i="23"/>
  <c r="E40" i="23"/>
  <c r="D40" i="23"/>
  <c r="D40" i="51"/>
  <c r="C40" i="50"/>
  <c r="D40" i="50"/>
  <c r="F40" i="50" s="1"/>
  <c r="D40" i="52" s="1"/>
  <c r="F39" i="26"/>
  <c r="L39" i="26" s="1"/>
  <c r="M39" i="26" s="1"/>
  <c r="C39" i="23"/>
  <c r="E39" i="23"/>
  <c r="D39" i="23"/>
  <c r="H39" i="23" s="1"/>
  <c r="K39" i="26" s="1"/>
  <c r="C39" i="50"/>
  <c r="D39" i="50"/>
  <c r="F38" i="26"/>
  <c r="H38" i="26" s="1"/>
  <c r="I38" i="26" s="1"/>
  <c r="C38" i="23"/>
  <c r="E38" i="23"/>
  <c r="D38" i="23"/>
  <c r="D38" i="51"/>
  <c r="C38" i="50"/>
  <c r="D38" i="50"/>
  <c r="F38" i="50" s="1"/>
  <c r="D38" i="52" s="1"/>
  <c r="F37" i="26"/>
  <c r="H37" i="26" s="1"/>
  <c r="I37" i="26" s="1"/>
  <c r="C37" i="23"/>
  <c r="E37" i="23"/>
  <c r="D37" i="23"/>
  <c r="H37" i="23" s="1"/>
  <c r="K37" i="26" s="1"/>
  <c r="D37" i="51"/>
  <c r="C37" i="50"/>
  <c r="I37" i="50" s="1"/>
  <c r="L37" i="52" s="1"/>
  <c r="D37" i="50"/>
  <c r="F37" i="50" s="1"/>
  <c r="D37" i="52" s="1"/>
  <c r="F36" i="26"/>
  <c r="C36" i="23"/>
  <c r="I36" i="23" s="1"/>
  <c r="D36" i="23"/>
  <c r="D36" i="51"/>
  <c r="C36" i="50"/>
  <c r="D36" i="50"/>
  <c r="F36" i="50" s="1"/>
  <c r="D36" i="52" s="1"/>
  <c r="F35" i="26"/>
  <c r="C35" i="23"/>
  <c r="E35" i="23"/>
  <c r="D35" i="23"/>
  <c r="J35" i="23" s="1"/>
  <c r="C35" i="50"/>
  <c r="D35" i="50"/>
  <c r="F35" i="50" s="1"/>
  <c r="D35" i="52" s="1"/>
  <c r="F34" i="26"/>
  <c r="C34" i="23"/>
  <c r="G34" i="23" s="1"/>
  <c r="G34" i="26" s="1"/>
  <c r="D34" i="23"/>
  <c r="H34" i="23" s="1"/>
  <c r="K34" i="26" s="1"/>
  <c r="C34" i="50"/>
  <c r="D34" i="50"/>
  <c r="F34" i="50" s="1"/>
  <c r="D34" i="52" s="1"/>
  <c r="F33" i="26"/>
  <c r="C33" i="23"/>
  <c r="E33" i="23"/>
  <c r="D33" i="23"/>
  <c r="H33" i="23" s="1"/>
  <c r="K33" i="26" s="1"/>
  <c r="D33" i="51"/>
  <c r="C33" i="50"/>
  <c r="E33" i="50" s="1"/>
  <c r="C33" i="52" s="1"/>
  <c r="D33" i="50"/>
  <c r="H33" i="50" s="1"/>
  <c r="I33" i="52" s="1"/>
  <c r="F32" i="26"/>
  <c r="C32" i="23"/>
  <c r="E32" i="23"/>
  <c r="D32" i="23"/>
  <c r="C32" i="50"/>
  <c r="E32" i="50" s="1"/>
  <c r="C32" i="52" s="1"/>
  <c r="D32" i="50"/>
  <c r="F31" i="26"/>
  <c r="H31" i="26" s="1"/>
  <c r="I31" i="26" s="1"/>
  <c r="C31" i="23"/>
  <c r="E31" i="23"/>
  <c r="D31" i="23"/>
  <c r="D31" i="51"/>
  <c r="C31" i="50"/>
  <c r="I31" i="50" s="1"/>
  <c r="L31" i="52" s="1"/>
  <c r="D31" i="50"/>
  <c r="F30" i="26"/>
  <c r="L30" i="26" s="1"/>
  <c r="M30" i="26" s="1"/>
  <c r="C30" i="23"/>
  <c r="E30" i="23"/>
  <c r="K30" i="26"/>
  <c r="C30" i="50"/>
  <c r="I30" i="50" s="1"/>
  <c r="L30" i="52" s="1"/>
  <c r="D30" i="52"/>
  <c r="F29" i="26"/>
  <c r="L29" i="26" s="1"/>
  <c r="M29" i="26" s="1"/>
  <c r="C29" i="23"/>
  <c r="E29" i="23"/>
  <c r="D29" i="23"/>
  <c r="H29" i="23" s="1"/>
  <c r="K29" i="26" s="1"/>
  <c r="C29" i="50"/>
  <c r="E29" i="50" s="1"/>
  <c r="C29" i="52" s="1"/>
  <c r="D29" i="50"/>
  <c r="F29" i="50" s="1"/>
  <c r="D29" i="52" s="1"/>
  <c r="F28" i="26"/>
  <c r="C28" i="23"/>
  <c r="G28" i="23" s="1"/>
  <c r="G28" i="26" s="1"/>
  <c r="D28" i="23"/>
  <c r="H28" i="23" s="1"/>
  <c r="K28" i="26" s="1"/>
  <c r="D28" i="51"/>
  <c r="C28" i="50"/>
  <c r="E28" i="50" s="1"/>
  <c r="C28" i="52" s="1"/>
  <c r="D28" i="50"/>
  <c r="F27" i="26"/>
  <c r="E27" i="23"/>
  <c r="D27" i="23"/>
  <c r="C27" i="50"/>
  <c r="D27" i="50"/>
  <c r="F26" i="26"/>
  <c r="C26" i="23"/>
  <c r="E26" i="23"/>
  <c r="D26" i="23"/>
  <c r="C26" i="50"/>
  <c r="D26" i="50"/>
  <c r="F25" i="26"/>
  <c r="E25" i="23"/>
  <c r="D25" i="23"/>
  <c r="H25" i="23" s="1"/>
  <c r="K25" i="26" s="1"/>
  <c r="D25" i="51"/>
  <c r="C25" i="50"/>
  <c r="D25" i="50"/>
  <c r="F24" i="26"/>
  <c r="E24" i="23"/>
  <c r="D24" i="23"/>
  <c r="D24" i="51"/>
  <c r="C24" i="50"/>
  <c r="I24" i="50" s="1"/>
  <c r="L24" i="52" s="1"/>
  <c r="D24" i="50"/>
  <c r="F23" i="26"/>
  <c r="E23" i="23"/>
  <c r="D23" i="23"/>
  <c r="C23" i="50"/>
  <c r="D23" i="50"/>
  <c r="F22" i="26"/>
  <c r="H22" i="26" s="1"/>
  <c r="I22" i="26" s="1"/>
  <c r="C22" i="23"/>
  <c r="E22" i="23"/>
  <c r="D22" i="23"/>
  <c r="H22" i="23" s="1"/>
  <c r="K22" i="26" s="1"/>
  <c r="C22" i="50"/>
  <c r="D22" i="50"/>
  <c r="H22" i="50" s="1"/>
  <c r="I22" i="52" s="1"/>
  <c r="F20" i="26"/>
  <c r="L20" i="26" s="1"/>
  <c r="M20" i="26" s="1"/>
  <c r="C20" i="23"/>
  <c r="G20" i="23" s="1"/>
  <c r="G20" i="26" s="1"/>
  <c r="D20" i="23"/>
  <c r="H20" i="23" s="1"/>
  <c r="K20" i="26" s="1"/>
  <c r="C20" i="50"/>
  <c r="G20" i="50" s="1"/>
  <c r="H20" i="52" s="1"/>
  <c r="D20" i="50"/>
  <c r="F19" i="26"/>
  <c r="C19" i="23"/>
  <c r="G19" i="23" s="1"/>
  <c r="G19" i="26" s="1"/>
  <c r="D19" i="23"/>
  <c r="H19" i="23" s="1"/>
  <c r="K19" i="26" s="1"/>
  <c r="D19" i="51"/>
  <c r="C19" i="50"/>
  <c r="D19" i="50"/>
  <c r="F19" i="50" s="1"/>
  <c r="D19" i="52" s="1"/>
  <c r="F18" i="26"/>
  <c r="C18" i="23"/>
  <c r="E18" i="23"/>
  <c r="D18" i="23"/>
  <c r="H18" i="23" s="1"/>
  <c r="K18" i="26" s="1"/>
  <c r="C18" i="50"/>
  <c r="E18" i="50" s="1"/>
  <c r="C18" i="52" s="1"/>
  <c r="D18" i="50"/>
  <c r="H18" i="50" s="1"/>
  <c r="I18" i="52" s="1"/>
  <c r="F17" i="26"/>
  <c r="C17" i="23"/>
  <c r="E17" i="23"/>
  <c r="D17" i="23"/>
  <c r="H17" i="23" s="1"/>
  <c r="K17" i="26" s="1"/>
  <c r="C17" i="50"/>
  <c r="E17" i="50" s="1"/>
  <c r="C17" i="52" s="1"/>
  <c r="D17" i="50"/>
  <c r="F15" i="26"/>
  <c r="C15" i="23"/>
  <c r="E15" i="23"/>
  <c r="D15" i="23"/>
  <c r="D15" i="51"/>
  <c r="C15" i="50"/>
  <c r="D15" i="50"/>
  <c r="F15" i="50" s="1"/>
  <c r="D15" i="52" s="1"/>
  <c r="F11" i="26"/>
  <c r="H11" i="26" s="1"/>
  <c r="I11" i="26" s="1"/>
  <c r="C11" i="23"/>
  <c r="D11" i="23"/>
  <c r="J11" i="23" s="1"/>
  <c r="F10" i="26"/>
  <c r="H10" i="26" s="1"/>
  <c r="I10" i="26" s="1"/>
  <c r="C10" i="23"/>
  <c r="D10" i="23"/>
  <c r="J10" i="23" s="1"/>
  <c r="D10" i="51"/>
  <c r="F9" i="26"/>
  <c r="C9" i="23"/>
  <c r="E9" i="23"/>
  <c r="D9" i="23"/>
  <c r="C9" i="50"/>
  <c r="D9" i="50"/>
  <c r="F8" i="26"/>
  <c r="C8" i="23"/>
  <c r="E8" i="23"/>
  <c r="D8" i="23"/>
  <c r="C8" i="50"/>
  <c r="D8" i="50"/>
  <c r="F6" i="26"/>
  <c r="C6" i="23"/>
  <c r="E6" i="23"/>
  <c r="D6" i="23"/>
  <c r="C6" i="50"/>
  <c r="D6" i="50"/>
  <c r="F5" i="26"/>
  <c r="C5" i="23"/>
  <c r="D5" i="23"/>
  <c r="E5" i="23"/>
  <c r="C5" i="50"/>
  <c r="I5" i="50" s="1"/>
  <c r="L5" i="52" s="1"/>
  <c r="D5" i="50"/>
  <c r="F4" i="26"/>
  <c r="C4" i="23"/>
  <c r="D4" i="23"/>
  <c r="E4" i="23"/>
  <c r="C4" i="51"/>
  <c r="C4" i="50"/>
  <c r="I4" i="50" s="1"/>
  <c r="L4" i="52" s="1"/>
  <c r="D4" i="50"/>
  <c r="I61" i="6"/>
  <c r="F1" i="15"/>
  <c r="D202" i="17"/>
  <c r="D203" i="17"/>
  <c r="D204" i="17"/>
  <c r="J1" i="15"/>
  <c r="D443" i="17"/>
  <c r="D446" i="17"/>
  <c r="D444" i="17" s="1"/>
  <c r="D445" i="17"/>
  <c r="D447" i="17"/>
  <c r="D448" i="17"/>
  <c r="D452" i="17" s="1"/>
  <c r="D449" i="17"/>
  <c r="E443" i="17"/>
  <c r="E446" i="17"/>
  <c r="E444" i="17"/>
  <c r="E445" i="17"/>
  <c r="E447" i="17"/>
  <c r="E448" i="17"/>
  <c r="E452" i="17" s="1"/>
  <c r="E449" i="17"/>
  <c r="F443" i="17"/>
  <c r="F446" i="17"/>
  <c r="F444" i="17"/>
  <c r="F445" i="17"/>
  <c r="F447" i="17"/>
  <c r="F448" i="17"/>
  <c r="F452" i="17" s="1"/>
  <c r="F449" i="17"/>
  <c r="D237" i="17"/>
  <c r="D238" i="17"/>
  <c r="D419" i="17"/>
  <c r="D420" i="17"/>
  <c r="E419" i="17"/>
  <c r="E420" i="17"/>
  <c r="F419" i="17"/>
  <c r="F420" i="17"/>
  <c r="C26" i="72"/>
  <c r="C13" i="72"/>
  <c r="C14" i="72"/>
  <c r="C18" i="72"/>
  <c r="D13" i="72"/>
  <c r="D14" i="72"/>
  <c r="D18" i="72"/>
  <c r="C15" i="72"/>
  <c r="C16" i="72"/>
  <c r="D15" i="72"/>
  <c r="D16" i="72"/>
  <c r="D205" i="17"/>
  <c r="P16" i="28" s="1"/>
  <c r="D206" i="17"/>
  <c r="D63" i="17"/>
  <c r="D68" i="17" s="1"/>
  <c r="D81" i="17"/>
  <c r="D87" i="17"/>
  <c r="D88" i="17"/>
  <c r="D89" i="17"/>
  <c r="J218" i="23"/>
  <c r="D20" i="17"/>
  <c r="D25" i="17" s="1"/>
  <c r="D46" i="17"/>
  <c r="D231" i="28"/>
  <c r="D145" i="28"/>
  <c r="D128" i="28"/>
  <c r="D126" i="28"/>
  <c r="F291" i="23"/>
  <c r="F290" i="23"/>
  <c r="F289" i="23"/>
  <c r="F287" i="23"/>
  <c r="F286" i="23"/>
  <c r="F285" i="23"/>
  <c r="F284" i="23"/>
  <c r="F282" i="23"/>
  <c r="F280" i="23"/>
  <c r="F278" i="23"/>
  <c r="F277" i="23"/>
  <c r="F276" i="23"/>
  <c r="F275" i="23"/>
  <c r="F274" i="23"/>
  <c r="F273" i="23"/>
  <c r="F270" i="23"/>
  <c r="F264" i="23"/>
  <c r="F263" i="23"/>
  <c r="F262" i="23"/>
  <c r="F261" i="23"/>
  <c r="F260" i="23"/>
  <c r="F259" i="23"/>
  <c r="F258" i="23"/>
  <c r="F257" i="23"/>
  <c r="F256" i="23"/>
  <c r="F255" i="23"/>
  <c r="F254" i="23"/>
  <c r="F253" i="23"/>
  <c r="F250" i="23"/>
  <c r="F249" i="23"/>
  <c r="F248" i="23"/>
  <c r="F239" i="23"/>
  <c r="F238" i="23"/>
  <c r="F237" i="23"/>
  <c r="F236" i="23"/>
  <c r="F233" i="23"/>
  <c r="F231" i="23"/>
  <c r="F228" i="23"/>
  <c r="F227" i="23"/>
  <c r="F226" i="23"/>
  <c r="F225" i="23"/>
  <c r="F224" i="23"/>
  <c r="F223" i="23"/>
  <c r="F222" i="23"/>
  <c r="F221" i="23"/>
  <c r="D221" i="23"/>
  <c r="F220" i="23"/>
  <c r="C218" i="23"/>
  <c r="F218" i="23"/>
  <c r="F217" i="23"/>
  <c r="F216" i="23"/>
  <c r="F215" i="23"/>
  <c r="F214" i="23"/>
  <c r="F213" i="23"/>
  <c r="F212" i="23"/>
  <c r="F211" i="23"/>
  <c r="F210" i="23"/>
  <c r="F209" i="23"/>
  <c r="F208" i="23"/>
  <c r="F206" i="23"/>
  <c r="F205" i="23"/>
  <c r="F204" i="23"/>
  <c r="F202" i="23"/>
  <c r="F199" i="23"/>
  <c r="F198" i="23"/>
  <c r="F197" i="23"/>
  <c r="F196" i="23"/>
  <c r="F195" i="23"/>
  <c r="F194" i="23"/>
  <c r="D193" i="23"/>
  <c r="F193" i="23"/>
  <c r="F192" i="23"/>
  <c r="F189" i="23"/>
  <c r="F188" i="23"/>
  <c r="F185" i="23"/>
  <c r="F184" i="23"/>
  <c r="F182" i="23"/>
  <c r="F181" i="23"/>
  <c r="F180" i="23"/>
  <c r="F179" i="23"/>
  <c r="F178" i="23"/>
  <c r="F177" i="23"/>
  <c r="F175" i="23"/>
  <c r="F174" i="23"/>
  <c r="F173" i="23"/>
  <c r="D173" i="23"/>
  <c r="F172" i="23"/>
  <c r="F171" i="23"/>
  <c r="F170" i="23"/>
  <c r="F169" i="23"/>
  <c r="F167" i="23"/>
  <c r="F164" i="23"/>
  <c r="F163" i="23"/>
  <c r="F162" i="23"/>
  <c r="F161" i="23"/>
  <c r="F160" i="23"/>
  <c r="F159" i="23"/>
  <c r="F158" i="23"/>
  <c r="F157" i="23"/>
  <c r="F156" i="23"/>
  <c r="F153" i="23"/>
  <c r="F152" i="23"/>
  <c r="F151" i="23"/>
  <c r="F150" i="23"/>
  <c r="F149" i="23"/>
  <c r="F147" i="23"/>
  <c r="F145" i="23"/>
  <c r="F144" i="23"/>
  <c r="F143" i="23"/>
  <c r="F142" i="23"/>
  <c r="F140" i="23"/>
  <c r="F139" i="23"/>
  <c r="F138" i="23"/>
  <c r="F137" i="23"/>
  <c r="F136" i="23"/>
  <c r="F135" i="23"/>
  <c r="F132" i="23"/>
  <c r="F131" i="23"/>
  <c r="F129" i="23"/>
  <c r="F128" i="23"/>
  <c r="F127" i="23"/>
  <c r="F126" i="23"/>
  <c r="F124" i="23"/>
  <c r="F123" i="23"/>
  <c r="F122" i="23"/>
  <c r="F121" i="23"/>
  <c r="F120" i="23"/>
  <c r="F119" i="23"/>
  <c r="F118" i="23"/>
  <c r="F117" i="23"/>
  <c r="F116" i="23"/>
  <c r="F115" i="23"/>
  <c r="F114" i="23"/>
  <c r="F113" i="23"/>
  <c r="F112" i="23"/>
  <c r="F111" i="23"/>
  <c r="F110" i="23"/>
  <c r="F109" i="23"/>
  <c r="F107" i="23"/>
  <c r="F105" i="23"/>
  <c r="F104" i="23"/>
  <c r="F103" i="23"/>
  <c r="F101" i="23"/>
  <c r="F99" i="23"/>
  <c r="F97" i="23"/>
  <c r="F96" i="23"/>
  <c r="F95" i="23"/>
  <c r="F94" i="23"/>
  <c r="F91" i="23"/>
  <c r="F89" i="23"/>
  <c r="F87" i="23"/>
  <c r="F86" i="23"/>
  <c r="F85" i="23"/>
  <c r="F84" i="23"/>
  <c r="F83" i="23"/>
  <c r="F82" i="23"/>
  <c r="F81" i="23"/>
  <c r="F80" i="23"/>
  <c r="F79" i="23"/>
  <c r="F73" i="23"/>
  <c r="F71" i="23"/>
  <c r="F70" i="23"/>
  <c r="F69" i="23"/>
  <c r="F66" i="23"/>
  <c r="F65" i="23"/>
  <c r="F64" i="23"/>
  <c r="F61" i="23"/>
  <c r="F55" i="23"/>
  <c r="F53" i="23"/>
  <c r="F50" i="23"/>
  <c r="F45" i="23"/>
  <c r="F44" i="23"/>
  <c r="F43" i="23"/>
  <c r="F42" i="23"/>
  <c r="F41" i="23"/>
  <c r="F40" i="23"/>
  <c r="F39" i="23"/>
  <c r="F38" i="23"/>
  <c r="F37" i="23"/>
  <c r="F35" i="23"/>
  <c r="F33" i="23"/>
  <c r="F32" i="23"/>
  <c r="F31" i="23"/>
  <c r="F30" i="23"/>
  <c r="F29" i="23"/>
  <c r="F27" i="23"/>
  <c r="I27" i="23" s="1"/>
  <c r="F26" i="23"/>
  <c r="F25" i="23"/>
  <c r="F24" i="23"/>
  <c r="F23" i="23"/>
  <c r="F22" i="23"/>
  <c r="F18" i="23"/>
  <c r="F17" i="23"/>
  <c r="F15" i="23"/>
  <c r="F9" i="23"/>
  <c r="F8" i="23"/>
  <c r="F6" i="23"/>
  <c r="F5" i="23"/>
  <c r="C254" i="7"/>
  <c r="C253" i="7"/>
  <c r="H138" i="39"/>
  <c r="B32" i="72"/>
  <c r="D32" i="72"/>
  <c r="AN275" i="7"/>
  <c r="AO275" i="7"/>
  <c r="AP275" i="7"/>
  <c r="AQ275" i="7"/>
  <c r="AR275" i="7"/>
  <c r="B275" i="7"/>
  <c r="D280" i="17"/>
  <c r="D275" i="21"/>
  <c r="E275" i="21"/>
  <c r="D124" i="17"/>
  <c r="D128" i="17"/>
  <c r="D131" i="17"/>
  <c r="C275" i="21"/>
  <c r="D106" i="17"/>
  <c r="D111" i="17" s="1"/>
  <c r="D239" i="21"/>
  <c r="C239" i="21"/>
  <c r="E239" i="21"/>
  <c r="D238" i="21"/>
  <c r="C238" i="21"/>
  <c r="E238" i="21"/>
  <c r="D237" i="21"/>
  <c r="I237" i="21" s="1"/>
  <c r="N237" i="25" s="1"/>
  <c r="C237" i="21"/>
  <c r="E237" i="21"/>
  <c r="D236" i="21"/>
  <c r="G236" i="21" s="1"/>
  <c r="D236" i="25" s="1"/>
  <c r="C236" i="21"/>
  <c r="E236" i="21"/>
  <c r="D231" i="21"/>
  <c r="G231" i="21" s="1"/>
  <c r="D231" i="25" s="1"/>
  <c r="C231" i="21"/>
  <c r="E231" i="21"/>
  <c r="B275" i="54"/>
  <c r="E275" i="52"/>
  <c r="E239" i="52"/>
  <c r="B239" i="54"/>
  <c r="E238" i="52"/>
  <c r="B238" i="54"/>
  <c r="E237" i="52"/>
  <c r="B237" i="54"/>
  <c r="E236" i="52"/>
  <c r="B236" i="54"/>
  <c r="E233" i="52"/>
  <c r="B233" i="54"/>
  <c r="E231" i="52"/>
  <c r="B231" i="54"/>
  <c r="B229" i="54"/>
  <c r="B275" i="45"/>
  <c r="B239" i="45"/>
  <c r="B238" i="45"/>
  <c r="B237" i="45"/>
  <c r="B236" i="45"/>
  <c r="B233" i="45"/>
  <c r="B231" i="45"/>
  <c r="B229" i="45"/>
  <c r="M229" i="45" s="1"/>
  <c r="B275" i="46"/>
  <c r="B239" i="46"/>
  <c r="B238" i="46"/>
  <c r="B237" i="46"/>
  <c r="B236" i="46"/>
  <c r="B233" i="46"/>
  <c r="B231" i="46"/>
  <c r="B229" i="46"/>
  <c r="S229" i="46" s="1"/>
  <c r="B275" i="28"/>
  <c r="AR276" i="7"/>
  <c r="H276" i="39" s="1"/>
  <c r="AR239" i="7"/>
  <c r="H239" i="39" s="1"/>
  <c r="B239" i="28"/>
  <c r="AR238" i="7"/>
  <c r="B238" i="28"/>
  <c r="AR237" i="7"/>
  <c r="H237" i="39" s="1"/>
  <c r="B237" i="28"/>
  <c r="AR236" i="7"/>
  <c r="H236" i="39" s="1"/>
  <c r="B236" i="28"/>
  <c r="AR233" i="7"/>
  <c r="H233" i="39" s="1"/>
  <c r="B233" i="28"/>
  <c r="AR231" i="7"/>
  <c r="B231" i="28"/>
  <c r="B229" i="28"/>
  <c r="D314" i="17"/>
  <c r="D322" i="17" s="1"/>
  <c r="D318" i="17"/>
  <c r="B275" i="26"/>
  <c r="B239" i="26"/>
  <c r="B238" i="26"/>
  <c r="B237" i="26"/>
  <c r="B236" i="26"/>
  <c r="B233" i="26"/>
  <c r="B231" i="26"/>
  <c r="B229" i="26"/>
  <c r="B275" i="39"/>
  <c r="B239" i="39"/>
  <c r="B238" i="39"/>
  <c r="B237" i="39"/>
  <c r="B236" i="39"/>
  <c r="B233" i="39"/>
  <c r="B231" i="39"/>
  <c r="B229" i="39"/>
  <c r="B275" i="51"/>
  <c r="D356" i="17"/>
  <c r="D360" i="17"/>
  <c r="D341" i="17"/>
  <c r="D362" i="17" s="1"/>
  <c r="B239" i="51"/>
  <c r="B238" i="51"/>
  <c r="B237" i="51"/>
  <c r="B236" i="51"/>
  <c r="B233" i="51"/>
  <c r="B231" i="51"/>
  <c r="B229" i="51"/>
  <c r="B275" i="52"/>
  <c r="B239" i="52"/>
  <c r="B238" i="52"/>
  <c r="B237" i="52"/>
  <c r="B236" i="52"/>
  <c r="B233" i="52"/>
  <c r="B231" i="52"/>
  <c r="B229" i="52"/>
  <c r="AQ239" i="7"/>
  <c r="AP239" i="7"/>
  <c r="AO239" i="7"/>
  <c r="AN239" i="7"/>
  <c r="AQ238" i="7"/>
  <c r="AP238" i="7"/>
  <c r="AO238" i="7"/>
  <c r="AN238" i="7"/>
  <c r="AQ237" i="7"/>
  <c r="AP237" i="7"/>
  <c r="AO237" i="7"/>
  <c r="AN237" i="7"/>
  <c r="AQ236" i="7"/>
  <c r="AP236" i="7"/>
  <c r="AO236" i="7"/>
  <c r="AN236" i="7"/>
  <c r="AQ233" i="7"/>
  <c r="AP233" i="7"/>
  <c r="AO233" i="7"/>
  <c r="AN233" i="7"/>
  <c r="AQ231" i="7"/>
  <c r="AP231" i="7"/>
  <c r="AO231" i="7"/>
  <c r="AN231" i="7"/>
  <c r="B239" i="7"/>
  <c r="B238" i="7"/>
  <c r="B237" i="7"/>
  <c r="B236" i="7"/>
  <c r="B233" i="7"/>
  <c r="B231" i="7"/>
  <c r="B229" i="7"/>
  <c r="AU229" i="7" s="1"/>
  <c r="I239" i="6"/>
  <c r="I238" i="6"/>
  <c r="I237" i="6"/>
  <c r="I236" i="6"/>
  <c r="K236" i="6" s="1"/>
  <c r="L236" i="6" s="1"/>
  <c r="I233" i="6"/>
  <c r="I231" i="6"/>
  <c r="K231" i="6" s="1"/>
  <c r="L231" i="6" s="1"/>
  <c r="I275" i="6"/>
  <c r="B275" i="6"/>
  <c r="B239" i="6"/>
  <c r="B238" i="6"/>
  <c r="B237" i="6"/>
  <c r="B236" i="6"/>
  <c r="B233" i="6"/>
  <c r="B231" i="6"/>
  <c r="B229" i="6"/>
  <c r="T229" i="6" s="1"/>
  <c r="J231" i="25"/>
  <c r="P237" i="46"/>
  <c r="P236" i="46"/>
  <c r="I231" i="25"/>
  <c r="B275" i="25"/>
  <c r="P275" i="46"/>
  <c r="D148" i="17"/>
  <c r="D153" i="17" s="1"/>
  <c r="H252" i="21" s="1"/>
  <c r="M252" i="25" s="1"/>
  <c r="D166" i="17"/>
  <c r="D170" i="17"/>
  <c r="D172" i="17"/>
  <c r="D173" i="17"/>
  <c r="B239" i="25"/>
  <c r="B238" i="25"/>
  <c r="B237" i="25"/>
  <c r="B236" i="25"/>
  <c r="B233" i="25"/>
  <c r="B231" i="25"/>
  <c r="B229" i="25"/>
  <c r="B275" i="50"/>
  <c r="B239" i="50"/>
  <c r="B238" i="50"/>
  <c r="B237" i="50"/>
  <c r="B236" i="50"/>
  <c r="B233" i="50"/>
  <c r="B231" i="50"/>
  <c r="B229" i="50"/>
  <c r="B275" i="33"/>
  <c r="B239" i="33"/>
  <c r="B238" i="33"/>
  <c r="B237" i="33"/>
  <c r="B236" i="33"/>
  <c r="B233" i="33"/>
  <c r="B231" i="33"/>
  <c r="B229" i="33"/>
  <c r="B275" i="23"/>
  <c r="B239" i="23"/>
  <c r="B238" i="23"/>
  <c r="B237" i="23"/>
  <c r="B236" i="23"/>
  <c r="B233" i="23"/>
  <c r="B231" i="23"/>
  <c r="B229" i="23"/>
  <c r="B275" i="21"/>
  <c r="B239" i="21"/>
  <c r="B238" i="21"/>
  <c r="B237" i="21"/>
  <c r="B236" i="21"/>
  <c r="B233" i="21"/>
  <c r="B231" i="21"/>
  <c r="B229" i="21"/>
  <c r="B275" i="15"/>
  <c r="B239" i="15"/>
  <c r="B238" i="15"/>
  <c r="B237" i="15"/>
  <c r="B236" i="15"/>
  <c r="B233" i="15"/>
  <c r="B231" i="15"/>
  <c r="B229" i="15"/>
  <c r="D218" i="50"/>
  <c r="D213" i="50"/>
  <c r="D206" i="50"/>
  <c r="D197" i="50"/>
  <c r="F197" i="50" s="1"/>
  <c r="D197" i="52" s="1"/>
  <c r="D196" i="50"/>
  <c r="D193" i="50"/>
  <c r="D190" i="50"/>
  <c r="H190" i="50" s="1"/>
  <c r="I190" i="52" s="1"/>
  <c r="D173" i="50"/>
  <c r="D135" i="50"/>
  <c r="D81" i="50"/>
  <c r="H61" i="50"/>
  <c r="I61" i="52" s="1"/>
  <c r="D30" i="50"/>
  <c r="D11" i="50"/>
  <c r="J11" i="50" s="1"/>
  <c r="M11" i="52" s="1"/>
  <c r="D10" i="50"/>
  <c r="F10" i="50" s="1"/>
  <c r="D10" i="52" s="1"/>
  <c r="C246" i="50"/>
  <c r="C244" i="50"/>
  <c r="C243" i="50"/>
  <c r="C242" i="50"/>
  <c r="C241" i="50"/>
  <c r="C218" i="50"/>
  <c r="C213" i="50"/>
  <c r="C197" i="50"/>
  <c r="C196" i="50"/>
  <c r="C190" i="50"/>
  <c r="C11" i="50"/>
  <c r="I11" i="50" s="1"/>
  <c r="L11" i="52" s="1"/>
  <c r="C10" i="50"/>
  <c r="G10" i="50" s="1"/>
  <c r="H10" i="52" s="1"/>
  <c r="D377" i="17"/>
  <c r="J271" i="50"/>
  <c r="M271" i="52" s="1"/>
  <c r="D338" i="17"/>
  <c r="L244" i="52"/>
  <c r="L243" i="52"/>
  <c r="L242" i="52"/>
  <c r="L241" i="52"/>
  <c r="E291" i="52"/>
  <c r="E290" i="52"/>
  <c r="E289" i="52"/>
  <c r="E288" i="52"/>
  <c r="E287" i="52"/>
  <c r="E286" i="52"/>
  <c r="E285" i="52"/>
  <c r="E284" i="52"/>
  <c r="E283" i="52"/>
  <c r="E282" i="52"/>
  <c r="E280" i="52"/>
  <c r="E279" i="52"/>
  <c r="E278" i="52"/>
  <c r="E277" i="52"/>
  <c r="E276" i="52"/>
  <c r="E274" i="52"/>
  <c r="E273" i="52"/>
  <c r="E272" i="52"/>
  <c r="E271" i="52"/>
  <c r="E270" i="52"/>
  <c r="E264" i="52"/>
  <c r="E263" i="52"/>
  <c r="E262" i="52"/>
  <c r="E261" i="52"/>
  <c r="E260" i="52"/>
  <c r="E259" i="52"/>
  <c r="E258" i="52"/>
  <c r="E257" i="52"/>
  <c r="E256" i="52"/>
  <c r="E255" i="52"/>
  <c r="E254" i="52"/>
  <c r="E253" i="52"/>
  <c r="E251" i="52"/>
  <c r="E250" i="52"/>
  <c r="E249" i="52"/>
  <c r="E248" i="52"/>
  <c r="E246" i="52"/>
  <c r="E245" i="52"/>
  <c r="E244" i="52"/>
  <c r="E243" i="52"/>
  <c r="E242" i="52"/>
  <c r="E241" i="52"/>
  <c r="E228" i="52"/>
  <c r="E227" i="52"/>
  <c r="E226" i="52"/>
  <c r="E225" i="52"/>
  <c r="E224" i="52"/>
  <c r="E223" i="52"/>
  <c r="E222" i="52"/>
  <c r="E221" i="52"/>
  <c r="E220" i="52"/>
  <c r="E219" i="52"/>
  <c r="E218" i="52"/>
  <c r="E217" i="52"/>
  <c r="E216" i="52"/>
  <c r="E215" i="52"/>
  <c r="E214" i="52"/>
  <c r="E213" i="52"/>
  <c r="E212" i="52"/>
  <c r="E211" i="52"/>
  <c r="E210" i="52"/>
  <c r="E209" i="52"/>
  <c r="E208" i="52"/>
  <c r="E207" i="52"/>
  <c r="E206" i="52"/>
  <c r="E205" i="52"/>
  <c r="E204" i="52"/>
  <c r="E203" i="52"/>
  <c r="E202" i="52"/>
  <c r="E201" i="52"/>
  <c r="E200" i="52"/>
  <c r="E199" i="52"/>
  <c r="E198" i="52"/>
  <c r="E197" i="52"/>
  <c r="E196" i="52"/>
  <c r="E195" i="52"/>
  <c r="E194" i="52"/>
  <c r="E193" i="52"/>
  <c r="E192" i="52"/>
  <c r="E191" i="52"/>
  <c r="E190" i="52"/>
  <c r="E189" i="52"/>
  <c r="E188" i="52"/>
  <c r="E187" i="52"/>
  <c r="E186" i="52"/>
  <c r="E185" i="52"/>
  <c r="E184" i="52"/>
  <c r="E183" i="52"/>
  <c r="E182" i="52"/>
  <c r="E181" i="52"/>
  <c r="E180" i="52"/>
  <c r="E179" i="52"/>
  <c r="E178" i="52"/>
  <c r="E177" i="52"/>
  <c r="E176" i="52"/>
  <c r="E175" i="52"/>
  <c r="E174" i="52"/>
  <c r="E173" i="52"/>
  <c r="E172" i="52"/>
  <c r="E171" i="52"/>
  <c r="E170" i="52"/>
  <c r="E169" i="52"/>
  <c r="E168" i="52"/>
  <c r="E167" i="52"/>
  <c r="E166" i="52"/>
  <c r="E165" i="52"/>
  <c r="E164" i="52"/>
  <c r="E163" i="52"/>
  <c r="E162" i="52"/>
  <c r="E161" i="52"/>
  <c r="E160" i="52"/>
  <c r="E159" i="52"/>
  <c r="E158" i="52"/>
  <c r="E157" i="52"/>
  <c r="E156" i="52"/>
  <c r="E155" i="52"/>
  <c r="E154" i="52"/>
  <c r="E153" i="52"/>
  <c r="E152" i="52"/>
  <c r="E151" i="52"/>
  <c r="E150" i="52"/>
  <c r="E149" i="52"/>
  <c r="E147" i="52"/>
  <c r="E145" i="52"/>
  <c r="E144" i="52"/>
  <c r="E143" i="52"/>
  <c r="E142" i="52"/>
  <c r="E141" i="52"/>
  <c r="E140" i="52"/>
  <c r="E139" i="52"/>
  <c r="E138" i="52"/>
  <c r="E137" i="52"/>
  <c r="E136" i="52"/>
  <c r="E135"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1" i="52"/>
  <c r="E100" i="52"/>
  <c r="E99" i="52"/>
  <c r="E98" i="52"/>
  <c r="E97" i="52"/>
  <c r="E96" i="52"/>
  <c r="E95" i="52"/>
  <c r="E94" i="52"/>
  <c r="E93" i="52"/>
  <c r="E92" i="52"/>
  <c r="E91" i="52"/>
  <c r="E90" i="52"/>
  <c r="E89" i="52"/>
  <c r="E88" i="52"/>
  <c r="E87" i="52"/>
  <c r="E86" i="52"/>
  <c r="E85" i="52"/>
  <c r="E84" i="52"/>
  <c r="E83" i="52"/>
  <c r="E82" i="52"/>
  <c r="E81" i="52"/>
  <c r="E80" i="52"/>
  <c r="E79" i="52"/>
  <c r="E77" i="52"/>
  <c r="E76" i="52"/>
  <c r="E75" i="52"/>
  <c r="E74" i="52"/>
  <c r="E73" i="52"/>
  <c r="E72" i="52"/>
  <c r="E71" i="52"/>
  <c r="E70" i="52"/>
  <c r="E69" i="52"/>
  <c r="E68" i="52"/>
  <c r="E67" i="52"/>
  <c r="E66" i="52"/>
  <c r="E65" i="52"/>
  <c r="E64" i="52"/>
  <c r="E63" i="52"/>
  <c r="E62" i="52"/>
  <c r="E61" i="52"/>
  <c r="E60" i="52"/>
  <c r="E59" i="52"/>
  <c r="E58" i="52"/>
  <c r="E57" i="52"/>
  <c r="E56" i="52"/>
  <c r="E55" i="52"/>
  <c r="E54" i="52"/>
  <c r="E53" i="52"/>
  <c r="E51" i="52"/>
  <c r="E50" i="52"/>
  <c r="E48" i="52"/>
  <c r="E47" i="52"/>
  <c r="E45" i="52"/>
  <c r="E44" i="52"/>
  <c r="E43" i="52"/>
  <c r="E42" i="52"/>
  <c r="E41" i="52"/>
  <c r="E40" i="52"/>
  <c r="E39" i="52"/>
  <c r="E38" i="52"/>
  <c r="E37" i="52"/>
  <c r="E36" i="52"/>
  <c r="E35" i="52"/>
  <c r="E34" i="52"/>
  <c r="E33" i="52"/>
  <c r="E32" i="52"/>
  <c r="E31" i="52"/>
  <c r="E30" i="52"/>
  <c r="E29" i="52"/>
  <c r="E28" i="52"/>
  <c r="E27" i="52"/>
  <c r="E26" i="52"/>
  <c r="E25" i="52"/>
  <c r="E24" i="52"/>
  <c r="E23" i="52"/>
  <c r="E22" i="52"/>
  <c r="E20" i="52"/>
  <c r="E19" i="52"/>
  <c r="E18" i="52"/>
  <c r="E17" i="52"/>
  <c r="E15" i="52"/>
  <c r="E11" i="52"/>
  <c r="E10" i="52"/>
  <c r="E9" i="52"/>
  <c r="E8" i="52"/>
  <c r="E6" i="52"/>
  <c r="E5" i="52"/>
  <c r="E4" i="52"/>
  <c r="D296" i="17"/>
  <c r="D301" i="17" s="1"/>
  <c r="D254" i="17"/>
  <c r="D259" i="17" s="1"/>
  <c r="B213" i="52"/>
  <c r="B190" i="52"/>
  <c r="B213" i="54"/>
  <c r="B190" i="54"/>
  <c r="B213" i="45"/>
  <c r="B190" i="45"/>
  <c r="B213" i="46"/>
  <c r="B190" i="46"/>
  <c r="B213" i="28"/>
  <c r="B190" i="28"/>
  <c r="B213" i="26"/>
  <c r="B190" i="26"/>
  <c r="B213" i="39"/>
  <c r="B190" i="39"/>
  <c r="B213" i="51"/>
  <c r="B190" i="51"/>
  <c r="B213" i="7"/>
  <c r="AN213" i="7"/>
  <c r="AO213" i="7"/>
  <c r="AP213" i="7"/>
  <c r="AQ213" i="7"/>
  <c r="AR213" i="7"/>
  <c r="H213" i="39" s="1"/>
  <c r="B190" i="7"/>
  <c r="AN190" i="7"/>
  <c r="AO190" i="7"/>
  <c r="AP190" i="7"/>
  <c r="AQ190" i="7"/>
  <c r="AR190" i="7"/>
  <c r="B213" i="6"/>
  <c r="I213" i="6"/>
  <c r="K213" i="6" s="1"/>
  <c r="L213" i="6" s="1"/>
  <c r="B190" i="6"/>
  <c r="I190" i="6"/>
  <c r="O190" i="6" s="1"/>
  <c r="P190" i="6" s="1"/>
  <c r="B213" i="25"/>
  <c r="I213" i="25"/>
  <c r="J213" i="25"/>
  <c r="B190" i="25"/>
  <c r="I190" i="25"/>
  <c r="P190" i="46" s="1"/>
  <c r="J190" i="25"/>
  <c r="B213" i="50"/>
  <c r="B190" i="50"/>
  <c r="B213" i="33"/>
  <c r="B190" i="33"/>
  <c r="B213" i="23"/>
  <c r="B190" i="23"/>
  <c r="E190" i="23"/>
  <c r="F190" i="23"/>
  <c r="B213" i="21"/>
  <c r="C213" i="21"/>
  <c r="D213" i="21"/>
  <c r="I213" i="21" s="1"/>
  <c r="N213" i="25" s="1"/>
  <c r="E213" i="21"/>
  <c r="B190" i="21"/>
  <c r="C190" i="21"/>
  <c r="H190" i="21" s="1"/>
  <c r="M190" i="25" s="1"/>
  <c r="D190" i="21"/>
  <c r="E190" i="21"/>
  <c r="B213" i="15"/>
  <c r="B190" i="15"/>
  <c r="B9" i="54"/>
  <c r="B9" i="45"/>
  <c r="B9" i="46"/>
  <c r="B9" i="28"/>
  <c r="B9" i="26"/>
  <c r="B10" i="26"/>
  <c r="B9" i="39"/>
  <c r="B9" i="51"/>
  <c r="B9" i="52"/>
  <c r="AR9" i="7"/>
  <c r="H9" i="39" s="1"/>
  <c r="AQ9" i="7"/>
  <c r="AP9" i="7"/>
  <c r="AO9" i="7"/>
  <c r="AN9" i="7"/>
  <c r="B9" i="7"/>
  <c r="I9" i="6"/>
  <c r="B9" i="6"/>
  <c r="J9" i="25"/>
  <c r="I9" i="25"/>
  <c r="B9" i="25"/>
  <c r="B9" i="50"/>
  <c r="B9" i="33"/>
  <c r="B9" i="23"/>
  <c r="E9" i="21"/>
  <c r="D9" i="21"/>
  <c r="C9" i="21"/>
  <c r="B9" i="21"/>
  <c r="B9" i="15"/>
  <c r="D33" i="72"/>
  <c r="B33" i="72"/>
  <c r="J244" i="6"/>
  <c r="J242" i="6"/>
  <c r="AR6" i="7"/>
  <c r="H6" i="39" s="1"/>
  <c r="AR8" i="7"/>
  <c r="H8" i="39" s="1"/>
  <c r="AR10" i="7"/>
  <c r="AR11" i="7"/>
  <c r="H11" i="39" s="1"/>
  <c r="AR15" i="7"/>
  <c r="H15" i="39" s="1"/>
  <c r="AR17" i="7"/>
  <c r="H17" i="39" s="1"/>
  <c r="AR18" i="7"/>
  <c r="AR19" i="7"/>
  <c r="H19" i="39" s="1"/>
  <c r="AR20" i="7"/>
  <c r="H20" i="39" s="1"/>
  <c r="AR22" i="7"/>
  <c r="H22" i="39" s="1"/>
  <c r="AR23" i="7"/>
  <c r="AR24" i="7"/>
  <c r="H24" i="39" s="1"/>
  <c r="AR25" i="7"/>
  <c r="H25" i="39" s="1"/>
  <c r="AR26" i="7"/>
  <c r="AR27" i="7"/>
  <c r="H27" i="39" s="1"/>
  <c r="AR28" i="7"/>
  <c r="H28" i="39" s="1"/>
  <c r="AR29" i="7"/>
  <c r="H29" i="39" s="1"/>
  <c r="AR30" i="7"/>
  <c r="AR31" i="7"/>
  <c r="H31" i="39" s="1"/>
  <c r="AR32" i="7"/>
  <c r="H32" i="39" s="1"/>
  <c r="AR33" i="7"/>
  <c r="H33" i="39" s="1"/>
  <c r="AR34" i="7"/>
  <c r="H34" i="39" s="1"/>
  <c r="AR35" i="7"/>
  <c r="H35" i="39" s="1"/>
  <c r="AR36" i="7"/>
  <c r="H36" i="39" s="1"/>
  <c r="AR37" i="7"/>
  <c r="AR38" i="7"/>
  <c r="H38" i="39" s="1"/>
  <c r="AR39" i="7"/>
  <c r="H39" i="39" s="1"/>
  <c r="AR40" i="7"/>
  <c r="H40" i="39" s="1"/>
  <c r="AR41" i="7"/>
  <c r="AR42" i="7"/>
  <c r="H42" i="39" s="1"/>
  <c r="AR43" i="7"/>
  <c r="H43" i="39" s="1"/>
  <c r="AR44" i="7"/>
  <c r="AR45" i="7"/>
  <c r="H45" i="39" s="1"/>
  <c r="AR47" i="7"/>
  <c r="H47" i="39" s="1"/>
  <c r="AR48" i="7"/>
  <c r="H48" i="39" s="1"/>
  <c r="AR50" i="7"/>
  <c r="AR51" i="7"/>
  <c r="H51" i="39" s="1"/>
  <c r="AR54" i="7"/>
  <c r="H54" i="39" s="1"/>
  <c r="AR57" i="7"/>
  <c r="H57" i="39" s="1"/>
  <c r="AR58" i="7"/>
  <c r="H58" i="39" s="1"/>
  <c r="AR68" i="7"/>
  <c r="H68" i="39" s="1"/>
  <c r="AR69" i="7"/>
  <c r="H69" i="39" s="1"/>
  <c r="AR76" i="7"/>
  <c r="H76" i="39" s="1"/>
  <c r="AR77" i="7"/>
  <c r="H77" i="39" s="1"/>
  <c r="AR79" i="7"/>
  <c r="H79" i="39" s="1"/>
  <c r="AR80" i="7"/>
  <c r="AR81" i="7"/>
  <c r="H81" i="39" s="1"/>
  <c r="AR82" i="7"/>
  <c r="H82" i="39" s="1"/>
  <c r="AR83" i="7"/>
  <c r="H83" i="39" s="1"/>
  <c r="AR84" i="7"/>
  <c r="AR85" i="7"/>
  <c r="H85" i="39" s="1"/>
  <c r="AR86" i="7"/>
  <c r="H86" i="39" s="1"/>
  <c r="AR87" i="7"/>
  <c r="AR88" i="7"/>
  <c r="H88" i="39" s="1"/>
  <c r="AR90" i="7"/>
  <c r="H90" i="39" s="1"/>
  <c r="AR92" i="7"/>
  <c r="H92" i="39" s="1"/>
  <c r="AR93" i="7"/>
  <c r="H93" i="39" s="1"/>
  <c r="AR94" i="7"/>
  <c r="H94" i="39" s="1"/>
  <c r="AR95" i="7"/>
  <c r="H95" i="39" s="1"/>
  <c r="AR96" i="7"/>
  <c r="H96" i="39" s="1"/>
  <c r="AR97" i="7"/>
  <c r="AR98" i="7"/>
  <c r="AR99" i="7"/>
  <c r="H99" i="39" s="1"/>
  <c r="AR100" i="7"/>
  <c r="H100" i="39" s="1"/>
  <c r="AR102" i="7"/>
  <c r="H102" i="39" s="1"/>
  <c r="AR104" i="7"/>
  <c r="H104" i="39" s="1"/>
  <c r="AR105" i="7"/>
  <c r="AR106" i="7"/>
  <c r="H106" i="39" s="1"/>
  <c r="AR107" i="7"/>
  <c r="H107" i="39" s="1"/>
  <c r="AR110" i="7"/>
  <c r="AR111" i="7"/>
  <c r="H111" i="39" s="1"/>
  <c r="AR112" i="7"/>
  <c r="H112" i="39" s="1"/>
  <c r="AR113" i="7"/>
  <c r="AR114" i="7"/>
  <c r="H114" i="39" s="1"/>
  <c r="AR115" i="7"/>
  <c r="H115" i="39" s="1"/>
  <c r="AR116" i="7"/>
  <c r="H116" i="39" s="1"/>
  <c r="AR117" i="7"/>
  <c r="H117" i="39" s="1"/>
  <c r="AR118" i="7"/>
  <c r="H118" i="39" s="1"/>
  <c r="AR119" i="7"/>
  <c r="H119" i="39" s="1"/>
  <c r="AR121" i="7"/>
  <c r="H121" i="39" s="1"/>
  <c r="AR122" i="7"/>
  <c r="AR123" i="7"/>
  <c r="H123" i="39" s="1"/>
  <c r="AR124" i="7"/>
  <c r="H124" i="39" s="1"/>
  <c r="AR125" i="7"/>
  <c r="H125" i="39" s="1"/>
  <c r="AR126" i="7"/>
  <c r="H126" i="39" s="1"/>
  <c r="AR127" i="7"/>
  <c r="H127" i="39" s="1"/>
  <c r="AR129" i="7"/>
  <c r="H129" i="39" s="1"/>
  <c r="AR130" i="7"/>
  <c r="H130" i="39" s="1"/>
  <c r="AR131" i="7"/>
  <c r="H131" i="39" s="1"/>
  <c r="AR132" i="7"/>
  <c r="H132" i="39" s="1"/>
  <c r="AR133" i="7"/>
  <c r="H133" i="39" s="1"/>
  <c r="AR134" i="7"/>
  <c r="H134" i="39" s="1"/>
  <c r="AR135" i="7"/>
  <c r="H135" i="39" s="1"/>
  <c r="AR137" i="7"/>
  <c r="H137" i="39" s="1"/>
  <c r="AR139" i="7"/>
  <c r="H139" i="39" s="1"/>
  <c r="AR140" i="7"/>
  <c r="H140" i="39" s="1"/>
  <c r="AR141" i="7"/>
  <c r="AR142" i="7"/>
  <c r="H142" i="39" s="1"/>
  <c r="AR144" i="7"/>
  <c r="H144" i="39" s="1"/>
  <c r="AR145" i="7"/>
  <c r="H145" i="39" s="1"/>
  <c r="AR147" i="7"/>
  <c r="H147" i="39" s="1"/>
  <c r="AR149" i="7"/>
  <c r="H149" i="39" s="1"/>
  <c r="AR150" i="7"/>
  <c r="H150" i="39" s="1"/>
  <c r="AR151" i="7"/>
  <c r="H151" i="39" s="1"/>
  <c r="AR152" i="7"/>
  <c r="AR153" i="7"/>
  <c r="H153" i="39" s="1"/>
  <c r="AR154" i="7"/>
  <c r="H154" i="39" s="1"/>
  <c r="AR155" i="7"/>
  <c r="H155" i="39" s="1"/>
  <c r="AR156" i="7"/>
  <c r="H156" i="39" s="1"/>
  <c r="AR157" i="7"/>
  <c r="H157" i="39" s="1"/>
  <c r="AR158" i="7"/>
  <c r="H158" i="39" s="1"/>
  <c r="AR159" i="7"/>
  <c r="AR160" i="7"/>
  <c r="H160" i="39" s="1"/>
  <c r="AR161" i="7"/>
  <c r="H161" i="39" s="1"/>
  <c r="AR162" i="7"/>
  <c r="AR163" i="7"/>
  <c r="H163" i="39" s="1"/>
  <c r="AR164" i="7"/>
  <c r="H164" i="39" s="1"/>
  <c r="AR165" i="7"/>
  <c r="H165" i="39" s="1"/>
  <c r="AR166" i="7"/>
  <c r="AR167" i="7"/>
  <c r="H167" i="39" s="1"/>
  <c r="AR168" i="7"/>
  <c r="H168" i="39" s="1"/>
  <c r="AR169" i="7"/>
  <c r="AR170" i="7"/>
  <c r="H170" i="39" s="1"/>
  <c r="AR171" i="7"/>
  <c r="H171" i="39" s="1"/>
  <c r="AR172" i="7"/>
  <c r="H172" i="39" s="1"/>
  <c r="AR173" i="7"/>
  <c r="H173" i="39" s="1"/>
  <c r="AR174" i="7"/>
  <c r="AR175" i="7"/>
  <c r="H175" i="39" s="1"/>
  <c r="AR176" i="7"/>
  <c r="H176" i="39" s="1"/>
  <c r="AR177" i="7"/>
  <c r="H177" i="39" s="1"/>
  <c r="AR178" i="7"/>
  <c r="H178" i="39" s="1"/>
  <c r="AR179" i="7"/>
  <c r="H179" i="39" s="1"/>
  <c r="AR180" i="7"/>
  <c r="H180" i="39" s="1"/>
  <c r="AR181" i="7"/>
  <c r="H181" i="39" s="1"/>
  <c r="AR182" i="7"/>
  <c r="AR183" i="7"/>
  <c r="H183" i="39" s="1"/>
  <c r="AR184" i="7"/>
  <c r="H184" i="39" s="1"/>
  <c r="AR185" i="7"/>
  <c r="H185" i="39" s="1"/>
  <c r="AR186" i="7"/>
  <c r="H186" i="39" s="1"/>
  <c r="AR187" i="7"/>
  <c r="H187" i="39" s="1"/>
  <c r="AR188" i="7"/>
  <c r="AR189" i="7"/>
  <c r="H189" i="39" s="1"/>
  <c r="AR191" i="7"/>
  <c r="H191" i="39" s="1"/>
  <c r="AR192" i="7"/>
  <c r="H192" i="39" s="1"/>
  <c r="AR193" i="7"/>
  <c r="H193" i="39" s="1"/>
  <c r="AR194" i="7"/>
  <c r="H194" i="39" s="1"/>
  <c r="AR195" i="7"/>
  <c r="H195" i="39" s="1"/>
  <c r="AR196" i="7"/>
  <c r="H196" i="39" s="1"/>
  <c r="AR197" i="7"/>
  <c r="H197" i="39" s="1"/>
  <c r="AR198" i="7"/>
  <c r="H198" i="39" s="1"/>
  <c r="AR199" i="7"/>
  <c r="H199" i="39" s="1"/>
  <c r="AR200" i="7"/>
  <c r="H200" i="39" s="1"/>
  <c r="AR201" i="7"/>
  <c r="H201" i="39" s="1"/>
  <c r="AR202" i="7"/>
  <c r="AR203" i="7"/>
  <c r="H203" i="39" s="1"/>
  <c r="AR204" i="7"/>
  <c r="H204" i="39" s="1"/>
  <c r="AR205" i="7"/>
  <c r="H205" i="39" s="1"/>
  <c r="AR206" i="7"/>
  <c r="H206" i="39" s="1"/>
  <c r="AR207" i="7"/>
  <c r="H207" i="39" s="1"/>
  <c r="AR208" i="7"/>
  <c r="H208" i="39" s="1"/>
  <c r="AR209" i="7"/>
  <c r="H209" i="39" s="1"/>
  <c r="AR210" i="7"/>
  <c r="AR211" i="7"/>
  <c r="H211" i="39" s="1"/>
  <c r="AR212" i="7"/>
  <c r="H212" i="39" s="1"/>
  <c r="AR214" i="7"/>
  <c r="H214" i="39" s="1"/>
  <c r="AR215" i="7"/>
  <c r="AR216" i="7"/>
  <c r="H216" i="39" s="1"/>
  <c r="AR217" i="7"/>
  <c r="H217" i="39" s="1"/>
  <c r="AR218" i="7"/>
  <c r="H218" i="39" s="1"/>
  <c r="AR219" i="7"/>
  <c r="H219" i="39" s="1"/>
  <c r="AR220" i="7"/>
  <c r="H220" i="39" s="1"/>
  <c r="AR221" i="7"/>
  <c r="H221" i="39" s="1"/>
  <c r="AR222" i="7"/>
  <c r="H222" i="39" s="1"/>
  <c r="AR223" i="7"/>
  <c r="H223" i="39" s="1"/>
  <c r="AR224" i="7"/>
  <c r="H224" i="39" s="1"/>
  <c r="AR225" i="7"/>
  <c r="H225" i="39" s="1"/>
  <c r="AR226" i="7"/>
  <c r="AR227" i="7"/>
  <c r="H227" i="39" s="1"/>
  <c r="AR228" i="7"/>
  <c r="H228" i="39" s="1"/>
  <c r="AR241" i="7"/>
  <c r="H241" i="39" s="1"/>
  <c r="AR242" i="7"/>
  <c r="H242" i="39" s="1"/>
  <c r="AR243" i="7"/>
  <c r="H243" i="39" s="1"/>
  <c r="AR244" i="7"/>
  <c r="AR245" i="7"/>
  <c r="H245" i="39" s="1"/>
  <c r="AR246" i="7"/>
  <c r="H246" i="39" s="1"/>
  <c r="AR248" i="7"/>
  <c r="H248" i="39" s="1"/>
  <c r="AR249" i="7"/>
  <c r="H249" i="39" s="1"/>
  <c r="AR250" i="7"/>
  <c r="H250" i="39" s="1"/>
  <c r="AR251" i="7"/>
  <c r="H251" i="39" s="1"/>
  <c r="AR253" i="7"/>
  <c r="AR254" i="7"/>
  <c r="H254" i="39" s="1"/>
  <c r="AR255" i="7"/>
  <c r="H255" i="39" s="1"/>
  <c r="AR256" i="7"/>
  <c r="H256" i="39" s="1"/>
  <c r="AR257" i="7"/>
  <c r="H257" i="39" s="1"/>
  <c r="AR258" i="7"/>
  <c r="H258" i="39" s="1"/>
  <c r="AR259" i="7"/>
  <c r="H259" i="39" s="1"/>
  <c r="AR260" i="7"/>
  <c r="H260" i="39" s="1"/>
  <c r="AR261" i="7"/>
  <c r="AR262" i="7"/>
  <c r="AR263" i="7"/>
  <c r="AR264" i="7"/>
  <c r="H264" i="39" s="1"/>
  <c r="AR270" i="7"/>
  <c r="H270" i="39" s="1"/>
  <c r="AR271" i="7"/>
  <c r="AR272" i="7"/>
  <c r="H272" i="39" s="1"/>
  <c r="AR273" i="7"/>
  <c r="H273" i="39" s="1"/>
  <c r="AR274" i="7"/>
  <c r="H274" i="39" s="1"/>
  <c r="AR277" i="7"/>
  <c r="AR278" i="7"/>
  <c r="H278" i="39" s="1"/>
  <c r="AR279" i="7"/>
  <c r="H279" i="39" s="1"/>
  <c r="AR280" i="7"/>
  <c r="H280" i="39" s="1"/>
  <c r="AR282" i="7"/>
  <c r="AR283" i="7"/>
  <c r="H283" i="39" s="1"/>
  <c r="AR284" i="7"/>
  <c r="H284" i="39" s="1"/>
  <c r="AR285" i="7"/>
  <c r="AR286" i="7"/>
  <c r="H286" i="39" s="1"/>
  <c r="AR287" i="7"/>
  <c r="H287" i="39" s="1"/>
  <c r="AR288" i="7"/>
  <c r="H288" i="39" s="1"/>
  <c r="AR289" i="7"/>
  <c r="H289" i="39" s="1"/>
  <c r="B242" i="33"/>
  <c r="B197" i="33"/>
  <c r="B242" i="54"/>
  <c r="B197" i="54"/>
  <c r="B20" i="54"/>
  <c r="B242" i="45"/>
  <c r="B197" i="45"/>
  <c r="B20" i="45"/>
  <c r="L242" i="46"/>
  <c r="I242" i="46"/>
  <c r="B242" i="46"/>
  <c r="B197" i="46"/>
  <c r="B20" i="46"/>
  <c r="B242" i="28"/>
  <c r="B197" i="28"/>
  <c r="B20" i="28"/>
  <c r="B242" i="26"/>
  <c r="B197" i="26"/>
  <c r="B20" i="26"/>
  <c r="B242" i="39"/>
  <c r="B197" i="39"/>
  <c r="B20" i="39"/>
  <c r="B242" i="51"/>
  <c r="B197" i="51"/>
  <c r="B20" i="51"/>
  <c r="B242" i="52"/>
  <c r="B197" i="52"/>
  <c r="B20" i="52"/>
  <c r="AQ242" i="7"/>
  <c r="AP242" i="7"/>
  <c r="AO242" i="7"/>
  <c r="AN242" i="7"/>
  <c r="B242" i="7"/>
  <c r="B197" i="7"/>
  <c r="AN197" i="7"/>
  <c r="AO197" i="7"/>
  <c r="AP197" i="7"/>
  <c r="AQ197" i="7"/>
  <c r="AQ20" i="7"/>
  <c r="AP20" i="7"/>
  <c r="AO20" i="7"/>
  <c r="AN20" i="7"/>
  <c r="B20" i="7"/>
  <c r="I242" i="6"/>
  <c r="B242" i="6"/>
  <c r="B197" i="6"/>
  <c r="I197" i="6"/>
  <c r="K197" i="6" s="1"/>
  <c r="L197" i="6" s="1"/>
  <c r="I20" i="6"/>
  <c r="B20" i="6"/>
  <c r="M242" i="25"/>
  <c r="J242" i="25"/>
  <c r="I242" i="25"/>
  <c r="C242" i="25"/>
  <c r="B242" i="25"/>
  <c r="B197" i="25"/>
  <c r="I197" i="25"/>
  <c r="J197" i="25"/>
  <c r="J20" i="25"/>
  <c r="I20" i="25"/>
  <c r="B20" i="25"/>
  <c r="B242" i="50"/>
  <c r="B197" i="50"/>
  <c r="B20" i="50"/>
  <c r="B20" i="33"/>
  <c r="B242" i="23"/>
  <c r="C242" i="23"/>
  <c r="E242" i="23"/>
  <c r="F242" i="23"/>
  <c r="B197" i="23"/>
  <c r="B20" i="23"/>
  <c r="E20" i="23"/>
  <c r="F20" i="23"/>
  <c r="B242" i="21"/>
  <c r="C242" i="21"/>
  <c r="D242" i="21"/>
  <c r="G242" i="21" s="1"/>
  <c r="D242" i="25" s="1"/>
  <c r="E242" i="21"/>
  <c r="B197" i="21"/>
  <c r="C197" i="21"/>
  <c r="D197" i="21"/>
  <c r="E197" i="21"/>
  <c r="E20" i="21"/>
  <c r="D20" i="21"/>
  <c r="C20" i="21"/>
  <c r="H20" i="21" s="1"/>
  <c r="M20" i="25" s="1"/>
  <c r="B20" i="21"/>
  <c r="B242" i="15"/>
  <c r="B197" i="15"/>
  <c r="B20" i="15"/>
  <c r="I245" i="25"/>
  <c r="AP292" i="15"/>
  <c r="M242" i="46"/>
  <c r="J242" i="46"/>
  <c r="I291" i="6"/>
  <c r="K291" i="6" s="1"/>
  <c r="L291" i="6" s="1"/>
  <c r="I290" i="6"/>
  <c r="K290" i="6" s="1"/>
  <c r="L290" i="6" s="1"/>
  <c r="I289" i="6"/>
  <c r="K289" i="6" s="1"/>
  <c r="L289" i="6" s="1"/>
  <c r="I288" i="6"/>
  <c r="O288" i="6" s="1"/>
  <c r="P288" i="6" s="1"/>
  <c r="I287" i="6"/>
  <c r="K287" i="6" s="1"/>
  <c r="L287" i="6" s="1"/>
  <c r="I286" i="6"/>
  <c r="K286" i="6" s="1"/>
  <c r="L286" i="6" s="1"/>
  <c r="I285" i="6"/>
  <c r="K285" i="6" s="1"/>
  <c r="L285" i="6" s="1"/>
  <c r="I284" i="6"/>
  <c r="I283" i="6"/>
  <c r="K283" i="6" s="1"/>
  <c r="L283" i="6" s="1"/>
  <c r="I282" i="6"/>
  <c r="I280" i="6"/>
  <c r="I279" i="6"/>
  <c r="K279" i="6" s="1"/>
  <c r="L279" i="6" s="1"/>
  <c r="I278" i="6"/>
  <c r="I277" i="6"/>
  <c r="I276" i="6"/>
  <c r="I274" i="6"/>
  <c r="I273" i="6"/>
  <c r="I272" i="6"/>
  <c r="K272" i="6" s="1"/>
  <c r="L272" i="6" s="1"/>
  <c r="I271" i="6"/>
  <c r="I270" i="6"/>
  <c r="I264" i="6"/>
  <c r="I263" i="6"/>
  <c r="I262" i="6"/>
  <c r="I261" i="6"/>
  <c r="I260" i="6"/>
  <c r="I259" i="6"/>
  <c r="I258" i="6"/>
  <c r="I257" i="6"/>
  <c r="I256" i="6"/>
  <c r="I255" i="6"/>
  <c r="I254" i="6"/>
  <c r="K254" i="6" s="1"/>
  <c r="L254" i="6" s="1"/>
  <c r="I253" i="6"/>
  <c r="O253" i="6" s="1"/>
  <c r="P253" i="6" s="1"/>
  <c r="I251" i="6"/>
  <c r="K251" i="6" s="1"/>
  <c r="L251" i="6" s="1"/>
  <c r="I250" i="6"/>
  <c r="I249" i="6"/>
  <c r="I248" i="6"/>
  <c r="I246" i="6"/>
  <c r="I245" i="6"/>
  <c r="I244" i="6"/>
  <c r="I243" i="6"/>
  <c r="I241" i="6"/>
  <c r="I228" i="6"/>
  <c r="I227" i="6"/>
  <c r="I226" i="6"/>
  <c r="K226" i="6" s="1"/>
  <c r="L226" i="6" s="1"/>
  <c r="I225" i="6"/>
  <c r="K225" i="6" s="1"/>
  <c r="L225" i="6" s="1"/>
  <c r="I224" i="6"/>
  <c r="O224" i="6" s="1"/>
  <c r="P224" i="6" s="1"/>
  <c r="I223" i="6"/>
  <c r="K223" i="6" s="1"/>
  <c r="L223" i="6" s="1"/>
  <c r="I222" i="6"/>
  <c r="K222" i="6" s="1"/>
  <c r="L222" i="6" s="1"/>
  <c r="I221" i="6"/>
  <c r="O221" i="6" s="1"/>
  <c r="P221" i="6" s="1"/>
  <c r="I220" i="6"/>
  <c r="O220" i="6" s="1"/>
  <c r="P220" i="6" s="1"/>
  <c r="I219" i="6"/>
  <c r="K219" i="6" s="1"/>
  <c r="L219" i="6" s="1"/>
  <c r="I218" i="6"/>
  <c r="I217" i="6"/>
  <c r="I216" i="6"/>
  <c r="I215" i="6"/>
  <c r="O215" i="6" s="1"/>
  <c r="P215" i="6" s="1"/>
  <c r="I214" i="6"/>
  <c r="I212" i="6"/>
  <c r="I211" i="6"/>
  <c r="I210" i="6"/>
  <c r="K210" i="6" s="1"/>
  <c r="L210" i="6" s="1"/>
  <c r="I209" i="6"/>
  <c r="K209" i="6" s="1"/>
  <c r="L209" i="6" s="1"/>
  <c r="I208" i="6"/>
  <c r="O208" i="6" s="1"/>
  <c r="P208" i="6" s="1"/>
  <c r="I207" i="6"/>
  <c r="K207" i="6" s="1"/>
  <c r="L207" i="6" s="1"/>
  <c r="I206" i="6"/>
  <c r="I205" i="6"/>
  <c r="K205" i="6" s="1"/>
  <c r="L205" i="6" s="1"/>
  <c r="I204" i="6"/>
  <c r="K204" i="6" s="1"/>
  <c r="L204" i="6" s="1"/>
  <c r="I203" i="6"/>
  <c r="K203" i="6" s="1"/>
  <c r="L203" i="6" s="1"/>
  <c r="I202" i="6"/>
  <c r="I201" i="6"/>
  <c r="K201" i="6" s="1"/>
  <c r="L201" i="6" s="1"/>
  <c r="I200" i="6"/>
  <c r="K200" i="6" s="1"/>
  <c r="L200" i="6" s="1"/>
  <c r="I199" i="6"/>
  <c r="O199" i="6" s="1"/>
  <c r="P199" i="6" s="1"/>
  <c r="I198" i="6"/>
  <c r="K198" i="6" s="1"/>
  <c r="L198" i="6" s="1"/>
  <c r="I196" i="6"/>
  <c r="K196" i="6" s="1"/>
  <c r="L196" i="6" s="1"/>
  <c r="I195" i="6"/>
  <c r="O195" i="6" s="1"/>
  <c r="P195" i="6" s="1"/>
  <c r="I194" i="6"/>
  <c r="K194" i="6" s="1"/>
  <c r="L194" i="6" s="1"/>
  <c r="I193" i="6"/>
  <c r="K193" i="6" s="1"/>
  <c r="L193" i="6" s="1"/>
  <c r="I192" i="6"/>
  <c r="I191" i="6"/>
  <c r="K191" i="6" s="1"/>
  <c r="L191" i="6" s="1"/>
  <c r="I189" i="6"/>
  <c r="I188" i="6"/>
  <c r="I187" i="6"/>
  <c r="I186" i="6"/>
  <c r="K186" i="6" s="1"/>
  <c r="L186" i="6" s="1"/>
  <c r="I185" i="6"/>
  <c r="I184" i="6"/>
  <c r="I183" i="6"/>
  <c r="I182" i="6"/>
  <c r="I181" i="6"/>
  <c r="K181" i="6" s="1"/>
  <c r="L181" i="6" s="1"/>
  <c r="I180" i="6"/>
  <c r="I179" i="6"/>
  <c r="I178" i="6"/>
  <c r="I177" i="6"/>
  <c r="K177" i="6" s="1"/>
  <c r="L177" i="6" s="1"/>
  <c r="I176" i="6"/>
  <c r="K176" i="6" s="1"/>
  <c r="L176" i="6" s="1"/>
  <c r="I175" i="6"/>
  <c r="I174" i="6"/>
  <c r="K174" i="6" s="1"/>
  <c r="L174" i="6" s="1"/>
  <c r="I173" i="6"/>
  <c r="O173" i="6" s="1"/>
  <c r="P173" i="6" s="1"/>
  <c r="I172" i="6"/>
  <c r="I171" i="6"/>
  <c r="O171" i="6" s="1"/>
  <c r="P171" i="6" s="1"/>
  <c r="I170" i="6"/>
  <c r="K170" i="6" s="1"/>
  <c r="L170" i="6" s="1"/>
  <c r="I169" i="6"/>
  <c r="K169" i="6" s="1"/>
  <c r="L169" i="6" s="1"/>
  <c r="I168" i="6"/>
  <c r="O168" i="6" s="1"/>
  <c r="P168" i="6" s="1"/>
  <c r="I167" i="6"/>
  <c r="I166" i="6"/>
  <c r="K166" i="6" s="1"/>
  <c r="L166" i="6" s="1"/>
  <c r="I165" i="6"/>
  <c r="K165" i="6" s="1"/>
  <c r="L165" i="6" s="1"/>
  <c r="I164" i="6"/>
  <c r="I163" i="6"/>
  <c r="I162" i="6"/>
  <c r="K162" i="6" s="1"/>
  <c r="L162" i="6" s="1"/>
  <c r="I161" i="6"/>
  <c r="I160" i="6"/>
  <c r="O160" i="6" s="1"/>
  <c r="P160" i="6" s="1"/>
  <c r="I159" i="6"/>
  <c r="I158" i="6"/>
  <c r="K158" i="6" s="1"/>
  <c r="L158" i="6" s="1"/>
  <c r="I157" i="6"/>
  <c r="I156" i="6"/>
  <c r="I155" i="6"/>
  <c r="O155" i="6" s="1"/>
  <c r="P155" i="6" s="1"/>
  <c r="I154" i="6"/>
  <c r="K154" i="6" s="1"/>
  <c r="L154" i="6" s="1"/>
  <c r="I153" i="6"/>
  <c r="O153" i="6" s="1"/>
  <c r="P153" i="6" s="1"/>
  <c r="I152" i="6"/>
  <c r="I151" i="6"/>
  <c r="I150" i="6"/>
  <c r="I149" i="6"/>
  <c r="I147" i="6"/>
  <c r="K147" i="6" s="1"/>
  <c r="L147" i="6" s="1"/>
  <c r="B244" i="54"/>
  <c r="B141" i="54"/>
  <c r="B86" i="54"/>
  <c r="AM128" i="7"/>
  <c r="AJ128" i="7"/>
  <c r="AI128" i="7"/>
  <c r="AH128" i="7"/>
  <c r="AG128" i="7"/>
  <c r="AD128" i="7"/>
  <c r="AC128" i="7"/>
  <c r="AB128" i="7"/>
  <c r="AA128" i="7"/>
  <c r="AA109" i="7"/>
  <c r="AB109" i="7"/>
  <c r="AC109" i="7"/>
  <c r="AD109" i="7"/>
  <c r="AG109" i="7"/>
  <c r="AH109" i="7"/>
  <c r="AI109" i="7"/>
  <c r="AJ109" i="7"/>
  <c r="AM109" i="7"/>
  <c r="AM143" i="7"/>
  <c r="AJ143" i="7"/>
  <c r="AI143" i="7"/>
  <c r="AH143" i="7"/>
  <c r="AG143" i="7"/>
  <c r="AD143" i="7"/>
  <c r="AC143" i="7"/>
  <c r="AB143" i="7"/>
  <c r="AA143" i="7"/>
  <c r="AM136" i="7"/>
  <c r="AJ136" i="7"/>
  <c r="AI136" i="7"/>
  <c r="AH136" i="7"/>
  <c r="AG136" i="7"/>
  <c r="AD136" i="7"/>
  <c r="AC136" i="7"/>
  <c r="AB136" i="7"/>
  <c r="AA136" i="7"/>
  <c r="AM120" i="7"/>
  <c r="AJ120" i="7"/>
  <c r="AI120" i="7"/>
  <c r="AH120" i="7"/>
  <c r="AG120" i="7"/>
  <c r="AD120" i="7"/>
  <c r="AC120" i="7"/>
  <c r="AB120" i="7"/>
  <c r="AA120" i="7"/>
  <c r="AM108" i="7"/>
  <c r="AJ108" i="7"/>
  <c r="AI108" i="7"/>
  <c r="AH108" i="7"/>
  <c r="AG108" i="7"/>
  <c r="AD108" i="7"/>
  <c r="AC108" i="7"/>
  <c r="AB108" i="7"/>
  <c r="AA108" i="7"/>
  <c r="AM103" i="7"/>
  <c r="AJ103" i="7"/>
  <c r="AI103" i="7"/>
  <c r="AH103" i="7"/>
  <c r="AG103" i="7"/>
  <c r="AD103" i="7"/>
  <c r="AC103" i="7"/>
  <c r="AB103" i="7"/>
  <c r="AA103" i="7"/>
  <c r="AM101" i="7"/>
  <c r="AJ101" i="7"/>
  <c r="AI101" i="7"/>
  <c r="AH101" i="7"/>
  <c r="AG101" i="7"/>
  <c r="AD101" i="7"/>
  <c r="AC101" i="7"/>
  <c r="AB101" i="7"/>
  <c r="AA101" i="7"/>
  <c r="AM91" i="7"/>
  <c r="AJ91" i="7"/>
  <c r="AI91" i="7"/>
  <c r="AH91" i="7"/>
  <c r="AG91" i="7"/>
  <c r="AD91" i="7"/>
  <c r="AC91" i="7"/>
  <c r="AB91" i="7"/>
  <c r="AA91" i="7"/>
  <c r="AM89" i="7"/>
  <c r="AJ89" i="7"/>
  <c r="AI89" i="7"/>
  <c r="AH89" i="7"/>
  <c r="AG89" i="7"/>
  <c r="AD89" i="7"/>
  <c r="AC89" i="7"/>
  <c r="AB89" i="7"/>
  <c r="AA89" i="7"/>
  <c r="AM75" i="7"/>
  <c r="AJ75" i="7"/>
  <c r="AI75" i="7"/>
  <c r="AM74" i="7"/>
  <c r="AJ74" i="7"/>
  <c r="AI74" i="7"/>
  <c r="AM73" i="7"/>
  <c r="AJ73" i="7"/>
  <c r="AI73" i="7"/>
  <c r="AM72" i="7"/>
  <c r="AJ72" i="7"/>
  <c r="AI72" i="7"/>
  <c r="AM71" i="7"/>
  <c r="AJ71" i="7"/>
  <c r="AI71" i="7"/>
  <c r="AM70" i="7"/>
  <c r="AJ70" i="7"/>
  <c r="AI70" i="7"/>
  <c r="AM67" i="7"/>
  <c r="AJ67" i="7"/>
  <c r="AI67" i="7"/>
  <c r="AM66" i="7"/>
  <c r="AJ66" i="7"/>
  <c r="AI66" i="7"/>
  <c r="AM65" i="7"/>
  <c r="AJ65" i="7"/>
  <c r="AI65" i="7"/>
  <c r="AM64" i="7"/>
  <c r="AJ64" i="7"/>
  <c r="AI64" i="7"/>
  <c r="AM63" i="7"/>
  <c r="AJ63" i="7"/>
  <c r="AI63" i="7"/>
  <c r="AM62" i="7"/>
  <c r="AJ62" i="7"/>
  <c r="AI62" i="7"/>
  <c r="AM61" i="7"/>
  <c r="AJ61" i="7"/>
  <c r="AI61" i="7"/>
  <c r="AM60" i="7"/>
  <c r="AJ60" i="7"/>
  <c r="AI60" i="7"/>
  <c r="AM59" i="7"/>
  <c r="AJ59" i="7"/>
  <c r="AI59" i="7"/>
  <c r="AM56" i="7"/>
  <c r="AJ56" i="7"/>
  <c r="AI56" i="7"/>
  <c r="AM55" i="7"/>
  <c r="AJ55" i="7"/>
  <c r="AI55" i="7"/>
  <c r="AM53" i="7"/>
  <c r="AJ53" i="7"/>
  <c r="AI53" i="7"/>
  <c r="AH75" i="7"/>
  <c r="AH74" i="7"/>
  <c r="AH73" i="7"/>
  <c r="AH72" i="7"/>
  <c r="AH71" i="7"/>
  <c r="AH70" i="7"/>
  <c r="AH67" i="7"/>
  <c r="AH66" i="7"/>
  <c r="AH65" i="7"/>
  <c r="AH64" i="7"/>
  <c r="AH63" i="7"/>
  <c r="AH62" i="7"/>
  <c r="AH61" i="7"/>
  <c r="AH60" i="7"/>
  <c r="AH59" i="7"/>
  <c r="AH56" i="7"/>
  <c r="AH55" i="7"/>
  <c r="AH53" i="7"/>
  <c r="AP53" i="7" s="1"/>
  <c r="AG75" i="7"/>
  <c r="AG74" i="7"/>
  <c r="AG73" i="7"/>
  <c r="AG72" i="7"/>
  <c r="AG71" i="7"/>
  <c r="AG70" i="7"/>
  <c r="AG67" i="7"/>
  <c r="AG66" i="7"/>
  <c r="AG65" i="7"/>
  <c r="AG64" i="7"/>
  <c r="AG63" i="7"/>
  <c r="AG62" i="7"/>
  <c r="AG61" i="7"/>
  <c r="AG60" i="7"/>
  <c r="AG59" i="7"/>
  <c r="AG56" i="7"/>
  <c r="AG55" i="7"/>
  <c r="AG53" i="7"/>
  <c r="AD75" i="7"/>
  <c r="AC75" i="7"/>
  <c r="AD74" i="7"/>
  <c r="AD73" i="7"/>
  <c r="AD72" i="7"/>
  <c r="AD71" i="7"/>
  <c r="AD70" i="7"/>
  <c r="AD67" i="7"/>
  <c r="AD66" i="7"/>
  <c r="AD65" i="7"/>
  <c r="AD64" i="7"/>
  <c r="AD63" i="7"/>
  <c r="AD62" i="7"/>
  <c r="AD61" i="7"/>
  <c r="AC61" i="7"/>
  <c r="AD60" i="7"/>
  <c r="AD59" i="7"/>
  <c r="AD56" i="7"/>
  <c r="AD55" i="7"/>
  <c r="AD53" i="7"/>
  <c r="AC74" i="7"/>
  <c r="AC73" i="7"/>
  <c r="AC72" i="7"/>
  <c r="AC71" i="7"/>
  <c r="AC70" i="7"/>
  <c r="AC67" i="7"/>
  <c r="AC66" i="7"/>
  <c r="AC65" i="7"/>
  <c r="AC64" i="7"/>
  <c r="AC63" i="7"/>
  <c r="AC62" i="7"/>
  <c r="AC60" i="7"/>
  <c r="AO60" i="7" s="1"/>
  <c r="AC59" i="7"/>
  <c r="AC56" i="7"/>
  <c r="AC55" i="7"/>
  <c r="AC53" i="7"/>
  <c r="AO53" i="7" s="1"/>
  <c r="AB75" i="7"/>
  <c r="AB74" i="7"/>
  <c r="AB73" i="7"/>
  <c r="AB72" i="7"/>
  <c r="AB71" i="7"/>
  <c r="AB70" i="7"/>
  <c r="AB67" i="7"/>
  <c r="AB66" i="7"/>
  <c r="AB65" i="7"/>
  <c r="AB64" i="7"/>
  <c r="AB63" i="7"/>
  <c r="AB62" i="7"/>
  <c r="AB61" i="7"/>
  <c r="AB60" i="7"/>
  <c r="AB59" i="7"/>
  <c r="AB56" i="7"/>
  <c r="AB55" i="7"/>
  <c r="AA55" i="7"/>
  <c r="AB53" i="7"/>
  <c r="AA75" i="7"/>
  <c r="AA74" i="7"/>
  <c r="AA73" i="7"/>
  <c r="AA72" i="7"/>
  <c r="AA71" i="7"/>
  <c r="AA70" i="7"/>
  <c r="AA67" i="7"/>
  <c r="AA66" i="7"/>
  <c r="AA65" i="7"/>
  <c r="AA64" i="7"/>
  <c r="AA63" i="7"/>
  <c r="AA62" i="7"/>
  <c r="AA61" i="7"/>
  <c r="AA60" i="7"/>
  <c r="AA59" i="7"/>
  <c r="AA56" i="7"/>
  <c r="AA53" i="7"/>
  <c r="AM4" i="7"/>
  <c r="AM5" i="7" s="1"/>
  <c r="AL4" i="7"/>
  <c r="AL5" i="7" s="1"/>
  <c r="AK4" i="7"/>
  <c r="AK5" i="7" s="1"/>
  <c r="AJ4" i="7"/>
  <c r="AJ5" i="7" s="1"/>
  <c r="AI4" i="7"/>
  <c r="AI5" i="7" s="1"/>
  <c r="AH4" i="7"/>
  <c r="AH5" i="7" s="1"/>
  <c r="AG4" i="7"/>
  <c r="AG5" i="7" s="1"/>
  <c r="AF4" i="7"/>
  <c r="AE4" i="7"/>
  <c r="AE5" i="7" s="1"/>
  <c r="AD4" i="7"/>
  <c r="AD5" i="7" s="1"/>
  <c r="AB4" i="7"/>
  <c r="AB5" i="7" s="1"/>
  <c r="AC4" i="7"/>
  <c r="AC5" i="7" s="1"/>
  <c r="AA4" i="7"/>
  <c r="AA5" i="7" s="1"/>
  <c r="I145" i="6"/>
  <c r="B141" i="6"/>
  <c r="I141" i="6"/>
  <c r="AP8" i="7"/>
  <c r="B138" i="54"/>
  <c r="B138" i="45"/>
  <c r="P138" i="46"/>
  <c r="B138" i="46"/>
  <c r="B138" i="28"/>
  <c r="B138" i="26"/>
  <c r="B138" i="39"/>
  <c r="B138" i="51"/>
  <c r="B138" i="52"/>
  <c r="C138" i="7"/>
  <c r="B138" i="7"/>
  <c r="B138" i="6"/>
  <c r="B138" i="25"/>
  <c r="B138" i="50"/>
  <c r="B138" i="33"/>
  <c r="B138" i="23"/>
  <c r="E138" i="21"/>
  <c r="D138" i="21"/>
  <c r="C138" i="21"/>
  <c r="B138" i="21"/>
  <c r="B138" i="15"/>
  <c r="BL292" i="7"/>
  <c r="H292" i="54"/>
  <c r="B291" i="54"/>
  <c r="B290" i="54"/>
  <c r="B289" i="54"/>
  <c r="B288" i="54"/>
  <c r="B287" i="54"/>
  <c r="B286" i="54"/>
  <c r="B285" i="54"/>
  <c r="B284" i="54"/>
  <c r="B283" i="54"/>
  <c r="B282" i="54"/>
  <c r="B281" i="54"/>
  <c r="B280" i="54"/>
  <c r="W292" i="45"/>
  <c r="B291" i="45"/>
  <c r="B290" i="45"/>
  <c r="B289" i="45"/>
  <c r="B288" i="45"/>
  <c r="B287" i="45"/>
  <c r="B286" i="45"/>
  <c r="B285" i="45"/>
  <c r="B284" i="45"/>
  <c r="B283" i="45"/>
  <c r="B282" i="45"/>
  <c r="B281" i="45"/>
  <c r="M281" i="45" s="1"/>
  <c r="B280" i="45"/>
  <c r="AT292" i="46"/>
  <c r="B291" i="46"/>
  <c r="B290" i="46"/>
  <c r="B289" i="46"/>
  <c r="B288" i="46"/>
  <c r="B287" i="46"/>
  <c r="B286" i="46"/>
  <c r="B285" i="46"/>
  <c r="B284" i="46"/>
  <c r="B283" i="46"/>
  <c r="B282" i="46"/>
  <c r="B281" i="46"/>
  <c r="S281" i="46" s="1"/>
  <c r="B280" i="46"/>
  <c r="R292" i="28"/>
  <c r="B291" i="28"/>
  <c r="B290" i="28"/>
  <c r="B289" i="28"/>
  <c r="B288" i="28"/>
  <c r="B287" i="28"/>
  <c r="B286" i="28"/>
  <c r="B285" i="28"/>
  <c r="B284" i="28"/>
  <c r="B283" i="28"/>
  <c r="B282" i="28"/>
  <c r="B281" i="28"/>
  <c r="B280" i="28"/>
  <c r="AB292" i="26"/>
  <c r="B291" i="26"/>
  <c r="B290" i="26"/>
  <c r="B289" i="26"/>
  <c r="B288" i="26"/>
  <c r="B287" i="26"/>
  <c r="B286" i="26"/>
  <c r="B285" i="26"/>
  <c r="B284" i="26"/>
  <c r="B283" i="26"/>
  <c r="B282" i="26"/>
  <c r="B281" i="26"/>
  <c r="R281" i="26" s="1"/>
  <c r="B280" i="26"/>
  <c r="B291" i="39"/>
  <c r="B290" i="39"/>
  <c r="B289" i="39"/>
  <c r="B288" i="39"/>
  <c r="B287" i="39"/>
  <c r="B286" i="39"/>
  <c r="B285" i="39"/>
  <c r="B284" i="39"/>
  <c r="B283" i="39"/>
  <c r="B282" i="39"/>
  <c r="B281" i="39"/>
  <c r="M292" i="39"/>
  <c r="B280" i="39"/>
  <c r="M292" i="51"/>
  <c r="B291" i="51"/>
  <c r="B290" i="51"/>
  <c r="B289" i="51"/>
  <c r="B288" i="51"/>
  <c r="B287" i="51"/>
  <c r="B286" i="51"/>
  <c r="B285" i="51"/>
  <c r="B284" i="51"/>
  <c r="B283" i="51"/>
  <c r="B282" i="51"/>
  <c r="B281" i="51"/>
  <c r="B280" i="51"/>
  <c r="S292" i="52"/>
  <c r="B291" i="52"/>
  <c r="B290" i="52"/>
  <c r="B289" i="52"/>
  <c r="B288" i="52"/>
  <c r="B287" i="52"/>
  <c r="B286" i="52"/>
  <c r="B285" i="52"/>
  <c r="B284" i="52"/>
  <c r="B283" i="52"/>
  <c r="B282" i="52"/>
  <c r="B281" i="52"/>
  <c r="B280" i="52"/>
  <c r="AR291" i="7"/>
  <c r="H291" i="39" s="1"/>
  <c r="AR290" i="7"/>
  <c r="H290" i="39" s="1"/>
  <c r="AQ291" i="7"/>
  <c r="AQ290" i="7"/>
  <c r="AQ289" i="7"/>
  <c r="AQ288" i="7"/>
  <c r="AQ287" i="7"/>
  <c r="AQ286" i="7"/>
  <c r="AQ285" i="7"/>
  <c r="AQ284" i="7"/>
  <c r="AQ283" i="7"/>
  <c r="AQ282" i="7"/>
  <c r="AP291" i="7"/>
  <c r="AP290" i="7"/>
  <c r="AP289" i="7"/>
  <c r="AP288" i="7"/>
  <c r="AP287" i="7"/>
  <c r="AP286" i="7"/>
  <c r="AP285" i="7"/>
  <c r="AP284" i="7"/>
  <c r="AP283" i="7"/>
  <c r="AP282" i="7"/>
  <c r="AO291" i="7"/>
  <c r="AO290" i="7"/>
  <c r="AO289" i="7"/>
  <c r="AO288" i="7"/>
  <c r="AO287" i="7"/>
  <c r="AO286" i="7"/>
  <c r="AO285" i="7"/>
  <c r="AO284" i="7"/>
  <c r="AO283" i="7"/>
  <c r="AO282" i="7"/>
  <c r="AN291" i="7"/>
  <c r="AN290" i="7"/>
  <c r="AN289" i="7"/>
  <c r="AN288" i="7"/>
  <c r="AN287" i="7"/>
  <c r="AN286" i="7"/>
  <c r="AN285" i="7"/>
  <c r="AN284" i="7"/>
  <c r="AN283" i="7"/>
  <c r="AN282" i="7"/>
  <c r="B291" i="7"/>
  <c r="B290" i="7"/>
  <c r="B289" i="7"/>
  <c r="B288" i="7"/>
  <c r="B287" i="7"/>
  <c r="B286" i="7"/>
  <c r="B285" i="7"/>
  <c r="B284" i="7"/>
  <c r="B283" i="7"/>
  <c r="B282" i="7"/>
  <c r="B281" i="7"/>
  <c r="AU281" i="7" s="1"/>
  <c r="B280" i="7"/>
  <c r="AE292" i="6"/>
  <c r="B291" i="6"/>
  <c r="B290" i="6"/>
  <c r="B289" i="6"/>
  <c r="B288" i="6"/>
  <c r="B287" i="6"/>
  <c r="B286" i="6"/>
  <c r="B285" i="6"/>
  <c r="B284" i="6"/>
  <c r="B283" i="6"/>
  <c r="B282" i="6"/>
  <c r="B281" i="6"/>
  <c r="T281" i="6" s="1"/>
  <c r="B280" i="6"/>
  <c r="S292" i="25"/>
  <c r="J291" i="25"/>
  <c r="J290" i="25"/>
  <c r="J289" i="25"/>
  <c r="J288" i="25"/>
  <c r="J287" i="25"/>
  <c r="J286" i="25"/>
  <c r="J285" i="25"/>
  <c r="J284" i="25"/>
  <c r="J283" i="25"/>
  <c r="J282" i="25"/>
  <c r="I291" i="25"/>
  <c r="I290" i="25"/>
  <c r="I289" i="25"/>
  <c r="I288" i="25"/>
  <c r="I287" i="25"/>
  <c r="P287" i="46" s="1"/>
  <c r="I286" i="25"/>
  <c r="I285" i="25"/>
  <c r="I284" i="25"/>
  <c r="I283" i="25"/>
  <c r="I282" i="25"/>
  <c r="B291" i="25"/>
  <c r="B290" i="25"/>
  <c r="B289" i="25"/>
  <c r="B288" i="25"/>
  <c r="B287" i="25"/>
  <c r="B286" i="25"/>
  <c r="B285" i="25"/>
  <c r="B284" i="25"/>
  <c r="B283" i="25"/>
  <c r="B282" i="25"/>
  <c r="B281" i="25"/>
  <c r="B280" i="25"/>
  <c r="L292" i="50"/>
  <c r="B291" i="50"/>
  <c r="B290" i="50"/>
  <c r="B289" i="50"/>
  <c r="B288" i="50"/>
  <c r="B287" i="50"/>
  <c r="B286" i="50"/>
  <c r="B285" i="50"/>
  <c r="B284" i="50"/>
  <c r="B283" i="50"/>
  <c r="B282" i="50"/>
  <c r="B281" i="50"/>
  <c r="B280" i="50"/>
  <c r="B291" i="33"/>
  <c r="B290" i="33"/>
  <c r="B289" i="33"/>
  <c r="B288" i="33"/>
  <c r="B287" i="33"/>
  <c r="B286" i="33"/>
  <c r="B285" i="33"/>
  <c r="B284" i="33"/>
  <c r="B283" i="33"/>
  <c r="B282" i="33"/>
  <c r="B281" i="33"/>
  <c r="B280" i="33"/>
  <c r="F288" i="23"/>
  <c r="F283" i="23"/>
  <c r="E288" i="23"/>
  <c r="E283" i="23"/>
  <c r="L292" i="23"/>
  <c r="B291" i="23"/>
  <c r="B290" i="23"/>
  <c r="B289" i="23"/>
  <c r="B288" i="23"/>
  <c r="B287" i="23"/>
  <c r="B286" i="23"/>
  <c r="B285" i="23"/>
  <c r="B284" i="23"/>
  <c r="B283" i="23"/>
  <c r="B282" i="23"/>
  <c r="B281" i="23"/>
  <c r="B280" i="23"/>
  <c r="E291" i="21"/>
  <c r="E290" i="21"/>
  <c r="E289" i="21"/>
  <c r="E288" i="21"/>
  <c r="E287" i="21"/>
  <c r="E286" i="21"/>
  <c r="C286" i="21"/>
  <c r="E285" i="21"/>
  <c r="E284" i="21"/>
  <c r="E283" i="21"/>
  <c r="E282" i="21"/>
  <c r="D291" i="21"/>
  <c r="G291" i="21" s="1"/>
  <c r="D291" i="25" s="1"/>
  <c r="D290" i="21"/>
  <c r="D289" i="21"/>
  <c r="I289" i="21" s="1"/>
  <c r="N289" i="25" s="1"/>
  <c r="D288" i="21"/>
  <c r="I288" i="21" s="1"/>
  <c r="N288" i="25" s="1"/>
  <c r="C288" i="21"/>
  <c r="H288" i="21" s="1"/>
  <c r="M288" i="25" s="1"/>
  <c r="D287" i="21"/>
  <c r="G287" i="21" s="1"/>
  <c r="D287" i="25" s="1"/>
  <c r="D286" i="21"/>
  <c r="I286" i="21" s="1"/>
  <c r="N286" i="25" s="1"/>
  <c r="D285" i="21"/>
  <c r="G285" i="21" s="1"/>
  <c r="D285" i="25" s="1"/>
  <c r="D284" i="21"/>
  <c r="D283" i="21"/>
  <c r="G283" i="21" s="1"/>
  <c r="D283" i="25" s="1"/>
  <c r="D282" i="21"/>
  <c r="C291" i="21"/>
  <c r="C290" i="21"/>
  <c r="C289" i="21"/>
  <c r="C287" i="21"/>
  <c r="C285" i="21"/>
  <c r="C284" i="21"/>
  <c r="C283" i="21"/>
  <c r="H283" i="21" s="1"/>
  <c r="M283" i="25" s="1"/>
  <c r="C282" i="21"/>
  <c r="K292" i="21"/>
  <c r="B291" i="21"/>
  <c r="B290" i="21"/>
  <c r="B289" i="21"/>
  <c r="B288" i="21"/>
  <c r="B287" i="21"/>
  <c r="B286" i="21"/>
  <c r="B285" i="21"/>
  <c r="B284" i="21"/>
  <c r="B283" i="21"/>
  <c r="B282" i="21"/>
  <c r="B281" i="21"/>
  <c r="B280" i="21"/>
  <c r="B291" i="15"/>
  <c r="B290" i="15"/>
  <c r="B289" i="15"/>
  <c r="B288" i="15"/>
  <c r="B287" i="15"/>
  <c r="B286" i="15"/>
  <c r="B285" i="15"/>
  <c r="B284" i="15"/>
  <c r="B283" i="15"/>
  <c r="B282" i="15"/>
  <c r="B281" i="15"/>
  <c r="B280" i="15"/>
  <c r="B19" i="54"/>
  <c r="B18" i="54"/>
  <c r="B17" i="54"/>
  <c r="B15" i="54"/>
  <c r="B12" i="54"/>
  <c r="B244" i="45"/>
  <c r="B141" i="45"/>
  <c r="B86" i="45"/>
  <c r="B19" i="45"/>
  <c r="B18" i="45"/>
  <c r="B17" i="45"/>
  <c r="B15" i="45"/>
  <c r="B12" i="45"/>
  <c r="M12" i="45" s="1"/>
  <c r="B244" i="46"/>
  <c r="I244" i="46"/>
  <c r="L244" i="46"/>
  <c r="B141" i="46"/>
  <c r="B86" i="46"/>
  <c r="B19" i="46"/>
  <c r="B18" i="46"/>
  <c r="B17" i="46"/>
  <c r="B15" i="46"/>
  <c r="B12" i="46"/>
  <c r="S12" i="46" s="1"/>
  <c r="B244" i="28"/>
  <c r="B141" i="28"/>
  <c r="B86" i="28"/>
  <c r="B19" i="28"/>
  <c r="B18" i="28"/>
  <c r="B17" i="28"/>
  <c r="B15" i="28"/>
  <c r="B12" i="28"/>
  <c r="B244" i="26"/>
  <c r="B141" i="26"/>
  <c r="B86" i="26"/>
  <c r="B19" i="26"/>
  <c r="B18" i="26"/>
  <c r="B17" i="26"/>
  <c r="B15" i="26"/>
  <c r="B12" i="26"/>
  <c r="B244" i="39"/>
  <c r="B141" i="39"/>
  <c r="B86" i="39"/>
  <c r="B19" i="39"/>
  <c r="B18" i="39"/>
  <c r="B17" i="39"/>
  <c r="B15" i="39"/>
  <c r="B12" i="39"/>
  <c r="B244" i="51"/>
  <c r="B141" i="51"/>
  <c r="B86" i="51"/>
  <c r="B19" i="51"/>
  <c r="B18" i="51"/>
  <c r="B17" i="51"/>
  <c r="B15" i="51"/>
  <c r="B12" i="51"/>
  <c r="B244" i="52"/>
  <c r="B141" i="52"/>
  <c r="B86" i="52"/>
  <c r="B19" i="52"/>
  <c r="B18" i="52"/>
  <c r="B17" i="52"/>
  <c r="B15" i="52"/>
  <c r="B12" i="52"/>
  <c r="B141" i="7"/>
  <c r="AN141" i="7"/>
  <c r="AO141" i="7"/>
  <c r="AP141" i="7"/>
  <c r="AQ141" i="7"/>
  <c r="B86" i="7"/>
  <c r="AN86" i="7"/>
  <c r="AO86" i="7"/>
  <c r="AP86" i="7"/>
  <c r="AQ86" i="7"/>
  <c r="AQ19" i="7"/>
  <c r="AP19" i="7"/>
  <c r="AO19" i="7"/>
  <c r="AN19" i="7"/>
  <c r="B19" i="7"/>
  <c r="AQ18" i="7"/>
  <c r="AP18" i="7"/>
  <c r="AO18" i="7"/>
  <c r="AN18" i="7"/>
  <c r="B18" i="7"/>
  <c r="AQ17" i="7"/>
  <c r="AP17" i="7"/>
  <c r="AO17" i="7"/>
  <c r="AN17" i="7"/>
  <c r="B17" i="7"/>
  <c r="AQ15" i="7"/>
  <c r="AP15" i="7"/>
  <c r="AO15" i="7"/>
  <c r="AN15" i="7"/>
  <c r="B15" i="7"/>
  <c r="B244" i="7"/>
  <c r="AN244" i="7"/>
  <c r="AO244" i="7"/>
  <c r="AP244" i="7"/>
  <c r="AQ244" i="7"/>
  <c r="B12" i="7"/>
  <c r="AU12" i="7" s="1"/>
  <c r="B244" i="6"/>
  <c r="B86" i="6"/>
  <c r="I86" i="6"/>
  <c r="I19" i="6"/>
  <c r="K19" i="6" s="1"/>
  <c r="L19" i="6" s="1"/>
  <c r="B19" i="6"/>
  <c r="I18" i="6"/>
  <c r="B18" i="6"/>
  <c r="I17" i="6"/>
  <c r="K17" i="6" s="1"/>
  <c r="L17" i="6" s="1"/>
  <c r="B17" i="6"/>
  <c r="I15" i="6"/>
  <c r="B15" i="6"/>
  <c r="B12" i="6"/>
  <c r="T12" i="6" s="1"/>
  <c r="B244" i="25"/>
  <c r="C244" i="25"/>
  <c r="I244" i="25"/>
  <c r="J244" i="25"/>
  <c r="B141" i="25"/>
  <c r="I141" i="25"/>
  <c r="P141" i="46" s="1"/>
  <c r="J141" i="25"/>
  <c r="B86" i="25"/>
  <c r="I86" i="25"/>
  <c r="J86" i="25"/>
  <c r="J19" i="25"/>
  <c r="I19" i="25"/>
  <c r="B19" i="25"/>
  <c r="J18" i="25"/>
  <c r="I18" i="25"/>
  <c r="B18" i="25"/>
  <c r="J17" i="25"/>
  <c r="I17" i="25"/>
  <c r="B17" i="25"/>
  <c r="J15" i="25"/>
  <c r="I15" i="25"/>
  <c r="P15" i="46" s="1"/>
  <c r="B15" i="25"/>
  <c r="B12" i="25"/>
  <c r="B244" i="50"/>
  <c r="B141" i="50"/>
  <c r="B86" i="50"/>
  <c r="B19" i="50"/>
  <c r="B18" i="50"/>
  <c r="B17" i="50"/>
  <c r="B15" i="50"/>
  <c r="B12" i="50"/>
  <c r="B244" i="33"/>
  <c r="B141" i="33"/>
  <c r="B86" i="33"/>
  <c r="B19" i="33"/>
  <c r="B18" i="33"/>
  <c r="B17" i="33"/>
  <c r="B15" i="33"/>
  <c r="B12" i="33"/>
  <c r="B244" i="23"/>
  <c r="C244" i="23"/>
  <c r="E244" i="23"/>
  <c r="F244" i="23"/>
  <c r="B141" i="23"/>
  <c r="E141" i="23"/>
  <c r="F141" i="23"/>
  <c r="B86" i="23"/>
  <c r="F19" i="23"/>
  <c r="E19" i="23"/>
  <c r="B19" i="23"/>
  <c r="B18" i="23"/>
  <c r="B17" i="23"/>
  <c r="B15" i="23"/>
  <c r="B12" i="23"/>
  <c r="B244" i="21"/>
  <c r="C244" i="21"/>
  <c r="M244" i="25"/>
  <c r="D244" i="21"/>
  <c r="G244" i="21" s="1"/>
  <c r="D244" i="25" s="1"/>
  <c r="E244" i="21"/>
  <c r="B141" i="21"/>
  <c r="C141" i="21"/>
  <c r="F141" i="21" s="1"/>
  <c r="C141" i="25" s="1"/>
  <c r="D141" i="21"/>
  <c r="I141" i="21" s="1"/>
  <c r="N141" i="25" s="1"/>
  <c r="E141" i="21"/>
  <c r="B86" i="21"/>
  <c r="C86" i="21"/>
  <c r="F86" i="21" s="1"/>
  <c r="C86" i="25" s="1"/>
  <c r="D86" i="21"/>
  <c r="E86" i="21"/>
  <c r="E19" i="21"/>
  <c r="D19" i="21"/>
  <c r="C19" i="21"/>
  <c r="E18" i="21"/>
  <c r="D18" i="21"/>
  <c r="I18" i="21" s="1"/>
  <c r="N18" i="25" s="1"/>
  <c r="C18" i="21"/>
  <c r="E17" i="21"/>
  <c r="C17" i="21"/>
  <c r="D17" i="21"/>
  <c r="I17" i="21" s="1"/>
  <c r="N17" i="25" s="1"/>
  <c r="E15" i="21"/>
  <c r="D15" i="21"/>
  <c r="C15" i="21"/>
  <c r="B19" i="21"/>
  <c r="B18" i="21"/>
  <c r="B17" i="21"/>
  <c r="B15" i="21"/>
  <c r="B12" i="21"/>
  <c r="P86" i="46"/>
  <c r="B86" i="15"/>
  <c r="B244" i="15"/>
  <c r="B141" i="15"/>
  <c r="B19" i="15"/>
  <c r="B18" i="15"/>
  <c r="B17" i="15"/>
  <c r="B15" i="15"/>
  <c r="B12" i="15"/>
  <c r="B11"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9" i="15"/>
  <c r="B140" i="15"/>
  <c r="B142" i="15"/>
  <c r="B143" i="15"/>
  <c r="B144" i="15"/>
  <c r="B145" i="15"/>
  <c r="B146" i="15"/>
  <c r="B147"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1" i="15"/>
  <c r="B192" i="15"/>
  <c r="B193" i="15"/>
  <c r="B194" i="15"/>
  <c r="B195" i="15"/>
  <c r="B196" i="15"/>
  <c r="B198" i="15"/>
  <c r="B199" i="15"/>
  <c r="B200" i="15"/>
  <c r="B201" i="15"/>
  <c r="B202" i="15"/>
  <c r="B203" i="15"/>
  <c r="B204" i="15"/>
  <c r="B205" i="15"/>
  <c r="B206" i="15"/>
  <c r="B207" i="15"/>
  <c r="B208" i="15"/>
  <c r="B209" i="15"/>
  <c r="B210" i="15"/>
  <c r="B211" i="15"/>
  <c r="B212" i="15"/>
  <c r="B214" i="15"/>
  <c r="B215" i="15"/>
  <c r="B216" i="15"/>
  <c r="B217" i="15"/>
  <c r="B218" i="15"/>
  <c r="B219" i="15"/>
  <c r="B220" i="15"/>
  <c r="B221" i="15"/>
  <c r="B222" i="15"/>
  <c r="B223" i="15"/>
  <c r="B224" i="15"/>
  <c r="B225" i="15"/>
  <c r="B226" i="15"/>
  <c r="B227" i="15"/>
  <c r="B228" i="15"/>
  <c r="B240" i="15"/>
  <c r="B241" i="15"/>
  <c r="B243" i="15"/>
  <c r="B245" i="15"/>
  <c r="B246" i="15"/>
  <c r="B247" i="15"/>
  <c r="B248" i="15"/>
  <c r="B249" i="15"/>
  <c r="B250" i="15"/>
  <c r="B251" i="15"/>
  <c r="B253" i="15"/>
  <c r="B254" i="15"/>
  <c r="B255" i="15"/>
  <c r="B256" i="15"/>
  <c r="B257" i="15"/>
  <c r="B258" i="15"/>
  <c r="B259" i="15"/>
  <c r="B260" i="15"/>
  <c r="B261" i="15"/>
  <c r="B262" i="15"/>
  <c r="B263" i="15"/>
  <c r="B264" i="15"/>
  <c r="B270" i="15"/>
  <c r="B271" i="15"/>
  <c r="B272" i="15"/>
  <c r="B273" i="15"/>
  <c r="B274" i="15"/>
  <c r="B276" i="15"/>
  <c r="B277" i="15"/>
  <c r="B278" i="15"/>
  <c r="B279" i="15"/>
  <c r="C35" i="21"/>
  <c r="B246" i="54"/>
  <c r="B246" i="45"/>
  <c r="B246" i="46"/>
  <c r="B246" i="28"/>
  <c r="B246" i="26"/>
  <c r="B246" i="39"/>
  <c r="B246" i="51"/>
  <c r="B246" i="52"/>
  <c r="AQ246" i="7"/>
  <c r="AP246" i="7"/>
  <c r="AO246" i="7"/>
  <c r="AN246" i="7"/>
  <c r="B246" i="7"/>
  <c r="B246" i="6"/>
  <c r="J246" i="25"/>
  <c r="I246" i="25"/>
  <c r="B246" i="25"/>
  <c r="B246" i="50"/>
  <c r="B246" i="33"/>
  <c r="B246" i="23"/>
  <c r="C246" i="23"/>
  <c r="E246" i="23"/>
  <c r="F246" i="23"/>
  <c r="B246" i="21"/>
  <c r="C246" i="21"/>
  <c r="C246" i="25"/>
  <c r="D246" i="21"/>
  <c r="G246" i="21" s="1"/>
  <c r="D246" i="25" s="1"/>
  <c r="E246" i="21"/>
  <c r="M246" i="25"/>
  <c r="I246" i="46"/>
  <c r="L246" i="46"/>
  <c r="B28" i="54"/>
  <c r="B28" i="45"/>
  <c r="B28" i="46"/>
  <c r="B28" i="28"/>
  <c r="B28" i="26"/>
  <c r="B28" i="39"/>
  <c r="B28" i="51"/>
  <c r="B28" i="52"/>
  <c r="AN28" i="7"/>
  <c r="AO28" i="7"/>
  <c r="AP28" i="7"/>
  <c r="AQ28" i="7"/>
  <c r="B28" i="7"/>
  <c r="I28" i="6"/>
  <c r="K28" i="6" s="1"/>
  <c r="L28" i="6" s="1"/>
  <c r="B28" i="6"/>
  <c r="J28" i="25"/>
  <c r="I28" i="25"/>
  <c r="B28" i="25"/>
  <c r="B28" i="50"/>
  <c r="B28" i="33"/>
  <c r="F28" i="23"/>
  <c r="E28" i="23"/>
  <c r="B28" i="23"/>
  <c r="B27" i="23"/>
  <c r="B28" i="21"/>
  <c r="C28" i="21"/>
  <c r="H28" i="21" s="1"/>
  <c r="M28" i="25" s="1"/>
  <c r="D28" i="21"/>
  <c r="E28" i="21"/>
  <c r="B142" i="54"/>
  <c r="B127" i="54"/>
  <c r="B110" i="54"/>
  <c r="B111" i="54"/>
  <c r="B112" i="54"/>
  <c r="B106" i="54"/>
  <c r="B142" i="45"/>
  <c r="B127" i="45"/>
  <c r="B110" i="45"/>
  <c r="B111" i="45"/>
  <c r="B112" i="45"/>
  <c r="B106" i="45"/>
  <c r="B142" i="46"/>
  <c r="B127" i="46"/>
  <c r="B110" i="46"/>
  <c r="B111" i="46"/>
  <c r="B112" i="46"/>
  <c r="B106" i="46"/>
  <c r="B142" i="28"/>
  <c r="B127" i="28"/>
  <c r="B110" i="28"/>
  <c r="B111" i="28"/>
  <c r="B112" i="28"/>
  <c r="B106" i="28"/>
  <c r="B142" i="26"/>
  <c r="B127" i="26"/>
  <c r="B110" i="26"/>
  <c r="B111" i="26"/>
  <c r="B112" i="26"/>
  <c r="B106" i="26"/>
  <c r="B142" i="39"/>
  <c r="B127" i="39"/>
  <c r="B110" i="39"/>
  <c r="B111" i="39"/>
  <c r="B112" i="39"/>
  <c r="B106" i="39"/>
  <c r="B142" i="51"/>
  <c r="B127" i="51"/>
  <c r="B110" i="51"/>
  <c r="B111" i="51"/>
  <c r="B112" i="51"/>
  <c r="B106" i="51"/>
  <c r="B142" i="52"/>
  <c r="B127" i="52"/>
  <c r="B110" i="52"/>
  <c r="B111" i="52"/>
  <c r="B112" i="52"/>
  <c r="B106" i="52"/>
  <c r="B142" i="7"/>
  <c r="AN142" i="7"/>
  <c r="AO142" i="7"/>
  <c r="AP142" i="7"/>
  <c r="AQ142" i="7"/>
  <c r="B127" i="7"/>
  <c r="AN127" i="7"/>
  <c r="AO127" i="7"/>
  <c r="AP127" i="7"/>
  <c r="AQ127" i="7"/>
  <c r="B110" i="7"/>
  <c r="AO110" i="7"/>
  <c r="B111" i="7"/>
  <c r="B112" i="7"/>
  <c r="AN112" i="7"/>
  <c r="B106" i="7"/>
  <c r="AN106" i="7"/>
  <c r="AO106" i="7"/>
  <c r="AP106" i="7"/>
  <c r="AQ106" i="7"/>
  <c r="B142" i="6"/>
  <c r="B127" i="6"/>
  <c r="I127" i="6"/>
  <c r="K127" i="6" s="1"/>
  <c r="L127" i="6" s="1"/>
  <c r="B110" i="6"/>
  <c r="I110" i="6"/>
  <c r="K110" i="6" s="1"/>
  <c r="L110" i="6" s="1"/>
  <c r="B111" i="6"/>
  <c r="I111" i="6"/>
  <c r="K111" i="6" s="1"/>
  <c r="L111" i="6" s="1"/>
  <c r="B112" i="6"/>
  <c r="I112" i="6"/>
  <c r="K112" i="6" s="1"/>
  <c r="L112" i="6" s="1"/>
  <c r="B106" i="6"/>
  <c r="I106" i="6"/>
  <c r="O106" i="6" s="1"/>
  <c r="P106" i="6" s="1"/>
  <c r="B142" i="25"/>
  <c r="I142" i="25"/>
  <c r="J142" i="25"/>
  <c r="B127" i="25"/>
  <c r="I127" i="25"/>
  <c r="J127" i="25"/>
  <c r="B110" i="25"/>
  <c r="I110" i="25"/>
  <c r="J110" i="25"/>
  <c r="B111" i="25"/>
  <c r="I111" i="25"/>
  <c r="J111" i="25"/>
  <c r="B112" i="25"/>
  <c r="I112" i="25"/>
  <c r="J112" i="25"/>
  <c r="B106" i="25"/>
  <c r="I106" i="25"/>
  <c r="J106" i="25"/>
  <c r="B142" i="50"/>
  <c r="B127" i="50"/>
  <c r="B110" i="50"/>
  <c r="B111" i="50"/>
  <c r="B112" i="50"/>
  <c r="B106" i="50"/>
  <c r="B142" i="33"/>
  <c r="B127" i="33"/>
  <c r="B110" i="33"/>
  <c r="B111" i="33"/>
  <c r="B112" i="33"/>
  <c r="B106" i="33"/>
  <c r="B142" i="23"/>
  <c r="B127" i="23"/>
  <c r="B110" i="23"/>
  <c r="B111" i="23"/>
  <c r="B112" i="23"/>
  <c r="B106" i="23"/>
  <c r="B142" i="21"/>
  <c r="C142" i="21"/>
  <c r="D142" i="21"/>
  <c r="E142" i="21"/>
  <c r="B127" i="21"/>
  <c r="C127" i="21"/>
  <c r="E127" i="21"/>
  <c r="D127" i="21"/>
  <c r="B110" i="21"/>
  <c r="C110" i="21"/>
  <c r="D110" i="21"/>
  <c r="E110" i="21"/>
  <c r="B111" i="21"/>
  <c r="C111" i="21"/>
  <c r="E111" i="21"/>
  <c r="D111" i="21"/>
  <c r="G111" i="21" s="1"/>
  <c r="D111" i="25" s="1"/>
  <c r="B112" i="21"/>
  <c r="C112" i="21"/>
  <c r="D112" i="21"/>
  <c r="G112" i="21" s="1"/>
  <c r="D112" i="25" s="1"/>
  <c r="E112" i="21"/>
  <c r="B106" i="21"/>
  <c r="C106" i="21"/>
  <c r="E106" i="21"/>
  <c r="D106" i="21"/>
  <c r="AO112" i="7"/>
  <c r="AO111" i="7"/>
  <c r="AQ112" i="7"/>
  <c r="AQ111" i="7"/>
  <c r="AQ110" i="7"/>
  <c r="J280" i="25"/>
  <c r="J279" i="25"/>
  <c r="J278" i="25"/>
  <c r="J277" i="25"/>
  <c r="J276" i="25"/>
  <c r="J274" i="25"/>
  <c r="J273" i="25"/>
  <c r="J272" i="25"/>
  <c r="J271" i="25"/>
  <c r="J270" i="25"/>
  <c r="J268" i="25"/>
  <c r="J267" i="25"/>
  <c r="J264" i="25"/>
  <c r="J263" i="25"/>
  <c r="J262" i="25"/>
  <c r="J261" i="25"/>
  <c r="J260" i="25"/>
  <c r="J259" i="25"/>
  <c r="J258" i="25"/>
  <c r="J257" i="25"/>
  <c r="J256" i="25"/>
  <c r="J255" i="25"/>
  <c r="J254" i="25"/>
  <c r="J253" i="25"/>
  <c r="J251" i="25"/>
  <c r="J250" i="25"/>
  <c r="J249" i="25"/>
  <c r="J248" i="25"/>
  <c r="J245" i="25"/>
  <c r="J243" i="25"/>
  <c r="J241" i="25"/>
  <c r="J228" i="25"/>
  <c r="J227" i="25"/>
  <c r="J226" i="25"/>
  <c r="J225" i="25"/>
  <c r="J224" i="25"/>
  <c r="J223" i="25"/>
  <c r="J222" i="25"/>
  <c r="J221" i="25"/>
  <c r="J220" i="25"/>
  <c r="J219" i="25"/>
  <c r="J218" i="25"/>
  <c r="J217" i="25"/>
  <c r="J216" i="25"/>
  <c r="J215" i="25"/>
  <c r="J214" i="25"/>
  <c r="J212" i="25"/>
  <c r="J211" i="25"/>
  <c r="J210" i="25"/>
  <c r="J209" i="25"/>
  <c r="J208" i="25"/>
  <c r="J207" i="25"/>
  <c r="J206" i="25"/>
  <c r="J205" i="25"/>
  <c r="J204" i="25"/>
  <c r="J203" i="25"/>
  <c r="J202" i="25"/>
  <c r="J201" i="25"/>
  <c r="J200" i="25"/>
  <c r="J199" i="25"/>
  <c r="J198" i="25"/>
  <c r="J196" i="25"/>
  <c r="J195" i="25"/>
  <c r="J194" i="25"/>
  <c r="J193" i="25"/>
  <c r="J192" i="25"/>
  <c r="J191"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7" i="25"/>
  <c r="J145" i="25"/>
  <c r="J144" i="25"/>
  <c r="J143" i="25"/>
  <c r="J140" i="25"/>
  <c r="J139" i="25"/>
  <c r="J137" i="25"/>
  <c r="J136" i="25"/>
  <c r="J135" i="25"/>
  <c r="J134" i="25"/>
  <c r="J133" i="25"/>
  <c r="J132" i="25"/>
  <c r="J131" i="25"/>
  <c r="J130" i="25"/>
  <c r="J129" i="25"/>
  <c r="J128" i="25"/>
  <c r="J126" i="25"/>
  <c r="J125" i="25"/>
  <c r="J124" i="25"/>
  <c r="J123" i="25"/>
  <c r="J122" i="25"/>
  <c r="J121" i="25"/>
  <c r="J120" i="25"/>
  <c r="J119" i="25"/>
  <c r="J118" i="25"/>
  <c r="J117" i="25"/>
  <c r="J116" i="25"/>
  <c r="J115" i="25"/>
  <c r="J114" i="25"/>
  <c r="J113" i="25"/>
  <c r="J109" i="25"/>
  <c r="J108" i="25"/>
  <c r="J107" i="25"/>
  <c r="J105" i="25"/>
  <c r="J104" i="25"/>
  <c r="J103" i="25"/>
  <c r="J102" i="25"/>
  <c r="J101" i="25"/>
  <c r="J100" i="25"/>
  <c r="J99" i="25"/>
  <c r="J98" i="25"/>
  <c r="J97" i="25"/>
  <c r="J96" i="25"/>
  <c r="J95" i="25"/>
  <c r="J94" i="25"/>
  <c r="J93" i="25"/>
  <c r="J92" i="25"/>
  <c r="J91" i="25"/>
  <c r="J90" i="25"/>
  <c r="J89" i="25"/>
  <c r="J88" i="25"/>
  <c r="J87" i="25"/>
  <c r="J85" i="25"/>
  <c r="J84" i="25"/>
  <c r="J83" i="25"/>
  <c r="J82" i="25"/>
  <c r="J81" i="25"/>
  <c r="J80" i="25"/>
  <c r="J79"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1" i="25"/>
  <c r="J50" i="25"/>
  <c r="J48" i="25"/>
  <c r="J47" i="25"/>
  <c r="J45" i="25"/>
  <c r="J44" i="25"/>
  <c r="J43" i="25"/>
  <c r="J42" i="25"/>
  <c r="J41" i="25"/>
  <c r="J40" i="25"/>
  <c r="J39" i="25"/>
  <c r="J38" i="25"/>
  <c r="J37" i="25"/>
  <c r="J36" i="25"/>
  <c r="J35" i="25"/>
  <c r="J34" i="25"/>
  <c r="J33" i="25"/>
  <c r="J32" i="25"/>
  <c r="J31" i="25"/>
  <c r="J30" i="25"/>
  <c r="J29" i="25"/>
  <c r="J27" i="25"/>
  <c r="J26" i="25"/>
  <c r="J25" i="25"/>
  <c r="J24" i="25"/>
  <c r="J23" i="25"/>
  <c r="J22" i="25"/>
  <c r="J11" i="25"/>
  <c r="J10" i="25"/>
  <c r="J8" i="25"/>
  <c r="J6" i="25"/>
  <c r="J5" i="25"/>
  <c r="J4" i="25"/>
  <c r="I280" i="25"/>
  <c r="I279" i="25"/>
  <c r="I278" i="25"/>
  <c r="I277" i="25"/>
  <c r="I276" i="25"/>
  <c r="I274" i="25"/>
  <c r="I273" i="25"/>
  <c r="I272" i="25"/>
  <c r="P272" i="46" s="1"/>
  <c r="I271" i="25"/>
  <c r="I270" i="25"/>
  <c r="I264" i="25"/>
  <c r="P264" i="46" s="1"/>
  <c r="I263" i="25"/>
  <c r="I262" i="25"/>
  <c r="I261" i="25"/>
  <c r="I260" i="25"/>
  <c r="I259" i="25"/>
  <c r="I258" i="25"/>
  <c r="I257" i="25"/>
  <c r="I256" i="25"/>
  <c r="P256" i="46" s="1"/>
  <c r="I255" i="25"/>
  <c r="I254" i="25"/>
  <c r="I253" i="25"/>
  <c r="I251" i="25"/>
  <c r="I250" i="25"/>
  <c r="I249" i="25"/>
  <c r="I248" i="25"/>
  <c r="I243" i="25"/>
  <c r="I241" i="25"/>
  <c r="I228" i="25"/>
  <c r="I227" i="25"/>
  <c r="I226" i="25"/>
  <c r="I225" i="25"/>
  <c r="I224" i="25"/>
  <c r="I223" i="25"/>
  <c r="I222" i="25"/>
  <c r="I221" i="25"/>
  <c r="I220" i="25"/>
  <c r="I219" i="25"/>
  <c r="I218" i="25"/>
  <c r="I217" i="25"/>
  <c r="I216" i="25"/>
  <c r="I215" i="25"/>
  <c r="I214" i="25"/>
  <c r="I212" i="25"/>
  <c r="I211" i="25"/>
  <c r="I210" i="25"/>
  <c r="I209" i="25"/>
  <c r="I208" i="25"/>
  <c r="I207" i="25"/>
  <c r="I206" i="25"/>
  <c r="I205" i="25"/>
  <c r="I204" i="25"/>
  <c r="I203" i="25"/>
  <c r="I202" i="25"/>
  <c r="P202" i="46" s="1"/>
  <c r="I201" i="25"/>
  <c r="I200" i="25"/>
  <c r="I199" i="25"/>
  <c r="I198" i="25"/>
  <c r="I196" i="25"/>
  <c r="I195" i="25"/>
  <c r="I194" i="25"/>
  <c r="I193" i="25"/>
  <c r="I192" i="25"/>
  <c r="I191" i="25"/>
  <c r="I189" i="25"/>
  <c r="I188" i="25"/>
  <c r="I187" i="25"/>
  <c r="I186" i="25"/>
  <c r="I185" i="25"/>
  <c r="I184" i="25"/>
  <c r="I183" i="25"/>
  <c r="I182"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7" i="25"/>
  <c r="I145" i="25"/>
  <c r="I144" i="25"/>
  <c r="I143" i="25"/>
  <c r="I140" i="25"/>
  <c r="P140" i="46" s="1"/>
  <c r="I139" i="25"/>
  <c r="I137" i="25"/>
  <c r="I136" i="25"/>
  <c r="I135" i="25"/>
  <c r="I134" i="25"/>
  <c r="I133" i="25"/>
  <c r="I132" i="25"/>
  <c r="I131" i="25"/>
  <c r="I130" i="25"/>
  <c r="I129" i="25"/>
  <c r="I128" i="25"/>
  <c r="I126" i="25"/>
  <c r="I125" i="25"/>
  <c r="I124" i="25"/>
  <c r="I123" i="25"/>
  <c r="I122" i="25"/>
  <c r="I121" i="25"/>
  <c r="I120" i="25"/>
  <c r="I119" i="25"/>
  <c r="I118" i="25"/>
  <c r="I117" i="25"/>
  <c r="I116" i="25"/>
  <c r="I115" i="25"/>
  <c r="I114" i="25"/>
  <c r="I113" i="25"/>
  <c r="I109" i="25"/>
  <c r="I108" i="25"/>
  <c r="I107" i="25"/>
  <c r="I105" i="25"/>
  <c r="I104" i="25"/>
  <c r="I103" i="25"/>
  <c r="I102" i="25"/>
  <c r="I101" i="25"/>
  <c r="I100" i="25"/>
  <c r="I99" i="25"/>
  <c r="I98" i="25"/>
  <c r="I97" i="25"/>
  <c r="I96" i="25"/>
  <c r="I95" i="25"/>
  <c r="I94" i="25"/>
  <c r="I93" i="25"/>
  <c r="I92" i="25"/>
  <c r="I91" i="25"/>
  <c r="I90" i="25"/>
  <c r="I89" i="25"/>
  <c r="I88" i="25"/>
  <c r="I87" i="25"/>
  <c r="P87" i="46" s="1"/>
  <c r="I85" i="25"/>
  <c r="I84" i="25"/>
  <c r="I83" i="25"/>
  <c r="P83" i="46" s="1"/>
  <c r="I82" i="25"/>
  <c r="I81" i="25"/>
  <c r="I80" i="25"/>
  <c r="I79" i="25"/>
  <c r="I77" i="25"/>
  <c r="I76" i="25"/>
  <c r="I75" i="25"/>
  <c r="I74" i="25"/>
  <c r="I73" i="25"/>
  <c r="I72" i="25"/>
  <c r="I71" i="25"/>
  <c r="I70" i="25"/>
  <c r="I69" i="25"/>
  <c r="I68" i="25"/>
  <c r="I67" i="25"/>
  <c r="I66" i="25"/>
  <c r="I65" i="25"/>
  <c r="I64" i="25"/>
  <c r="I63" i="25"/>
  <c r="I62" i="25"/>
  <c r="I61" i="25"/>
  <c r="I60" i="25"/>
  <c r="I59" i="25"/>
  <c r="I58" i="25"/>
  <c r="I57" i="25"/>
  <c r="I56" i="25"/>
  <c r="I55" i="25"/>
  <c r="I54" i="25"/>
  <c r="I53" i="25"/>
  <c r="I51" i="25"/>
  <c r="I50" i="25"/>
  <c r="I48" i="25"/>
  <c r="I47" i="25"/>
  <c r="I45" i="25"/>
  <c r="I44" i="25"/>
  <c r="I43" i="25"/>
  <c r="I42" i="25"/>
  <c r="I41" i="25"/>
  <c r="I40" i="25"/>
  <c r="I39" i="25"/>
  <c r="I38" i="25"/>
  <c r="I37" i="25"/>
  <c r="I36" i="25"/>
  <c r="I35" i="25"/>
  <c r="I34" i="25"/>
  <c r="I33" i="25"/>
  <c r="I32" i="25"/>
  <c r="I31" i="25"/>
  <c r="I30" i="25"/>
  <c r="P29" i="46"/>
  <c r="I27" i="25"/>
  <c r="I26" i="25"/>
  <c r="I25" i="25"/>
  <c r="I24" i="25"/>
  <c r="I23" i="25"/>
  <c r="I22" i="25"/>
  <c r="P22" i="46" s="1"/>
  <c r="I11" i="25"/>
  <c r="I10" i="25"/>
  <c r="I8" i="25"/>
  <c r="I6" i="25"/>
  <c r="I5" i="25"/>
  <c r="I4" i="25"/>
  <c r="P228" i="46"/>
  <c r="P261" i="46"/>
  <c r="P271" i="46"/>
  <c r="P280" i="46"/>
  <c r="P120" i="46"/>
  <c r="P207" i="46"/>
  <c r="P216" i="46"/>
  <c r="P60" i="46"/>
  <c r="P201" i="46"/>
  <c r="P277" i="46"/>
  <c r="P184" i="46"/>
  <c r="P193" i="46"/>
  <c r="I6" i="6"/>
  <c r="B3" i="54"/>
  <c r="B7" i="54"/>
  <c r="B21" i="54"/>
  <c r="B46" i="54"/>
  <c r="B52" i="54"/>
  <c r="B78" i="54"/>
  <c r="B146" i="54"/>
  <c r="B240" i="54"/>
  <c r="B4" i="54"/>
  <c r="B5" i="54"/>
  <c r="B6" i="54"/>
  <c r="B8" i="54"/>
  <c r="B10" i="54"/>
  <c r="B11" i="54"/>
  <c r="B22" i="54"/>
  <c r="B23" i="54"/>
  <c r="B24" i="54"/>
  <c r="B25" i="54"/>
  <c r="B26" i="54"/>
  <c r="B27" i="54"/>
  <c r="B29" i="54"/>
  <c r="B30" i="54"/>
  <c r="B31" i="54"/>
  <c r="B32" i="54"/>
  <c r="B33" i="54"/>
  <c r="B34" i="54"/>
  <c r="B35" i="54"/>
  <c r="B36" i="54"/>
  <c r="B37" i="54"/>
  <c r="B38" i="54"/>
  <c r="B39" i="54"/>
  <c r="B40" i="54"/>
  <c r="B41" i="54"/>
  <c r="B42" i="54"/>
  <c r="B43" i="54"/>
  <c r="B44" i="54"/>
  <c r="B45" i="54"/>
  <c r="B47" i="54"/>
  <c r="B48" i="54"/>
  <c r="B50" i="54"/>
  <c r="B51" i="54"/>
  <c r="B53" i="54"/>
  <c r="B54" i="54"/>
  <c r="B55" i="54"/>
  <c r="B56" i="54"/>
  <c r="B57" i="54"/>
  <c r="B58" i="54"/>
  <c r="B59" i="54"/>
  <c r="B60" i="54"/>
  <c r="B61" i="54"/>
  <c r="B62" i="54"/>
  <c r="B63" i="54"/>
  <c r="B64" i="54"/>
  <c r="B65" i="54"/>
  <c r="B66" i="54"/>
  <c r="B67" i="54"/>
  <c r="B68" i="54"/>
  <c r="B69" i="54"/>
  <c r="B70" i="54"/>
  <c r="B71" i="54"/>
  <c r="B72" i="54"/>
  <c r="B73" i="54"/>
  <c r="B74" i="54"/>
  <c r="B75" i="54"/>
  <c r="B76" i="54"/>
  <c r="B77" i="54"/>
  <c r="B79" i="54"/>
  <c r="B80" i="54"/>
  <c r="B81" i="54"/>
  <c r="B82" i="54"/>
  <c r="B83" i="54"/>
  <c r="B84" i="54"/>
  <c r="B85" i="54"/>
  <c r="B87" i="54"/>
  <c r="B88" i="54"/>
  <c r="B89" i="54"/>
  <c r="B90" i="54"/>
  <c r="B91" i="54"/>
  <c r="B92" i="54"/>
  <c r="B93" i="54"/>
  <c r="B94" i="54"/>
  <c r="B95" i="54"/>
  <c r="B96" i="54"/>
  <c r="B97" i="54"/>
  <c r="B98" i="54"/>
  <c r="B99" i="54"/>
  <c r="B100" i="54"/>
  <c r="B101" i="54"/>
  <c r="B102" i="54"/>
  <c r="B103" i="54"/>
  <c r="B104" i="54"/>
  <c r="B105" i="54"/>
  <c r="B107" i="54"/>
  <c r="B108" i="54"/>
  <c r="B109" i="54"/>
  <c r="B113" i="54"/>
  <c r="B114" i="54"/>
  <c r="B115" i="54"/>
  <c r="B116" i="54"/>
  <c r="B117" i="54"/>
  <c r="B118" i="54"/>
  <c r="B119" i="54"/>
  <c r="B120" i="54"/>
  <c r="B121" i="54"/>
  <c r="B122" i="54"/>
  <c r="B123" i="54"/>
  <c r="B124" i="54"/>
  <c r="B125" i="54"/>
  <c r="B126" i="54"/>
  <c r="B128" i="54"/>
  <c r="B129" i="54"/>
  <c r="B130" i="54"/>
  <c r="B131" i="54"/>
  <c r="B132" i="54"/>
  <c r="B133" i="54"/>
  <c r="B134" i="54"/>
  <c r="B135" i="54"/>
  <c r="B136" i="54"/>
  <c r="B137" i="54"/>
  <c r="B139" i="54"/>
  <c r="B140" i="54"/>
  <c r="B143" i="54"/>
  <c r="B144" i="54"/>
  <c r="B145" i="54"/>
  <c r="B147" i="54"/>
  <c r="B149" i="54"/>
  <c r="B150" i="54"/>
  <c r="B151" i="54"/>
  <c r="B152" i="54"/>
  <c r="B153" i="54"/>
  <c r="B154" i="54"/>
  <c r="B155" i="54"/>
  <c r="B156" i="54"/>
  <c r="B157" i="54"/>
  <c r="B158" i="54"/>
  <c r="B159" i="54"/>
  <c r="B160" i="54"/>
  <c r="B161" i="54"/>
  <c r="B162" i="54"/>
  <c r="B163" i="54"/>
  <c r="B164" i="54"/>
  <c r="B165" i="54"/>
  <c r="B166" i="54"/>
  <c r="B167" i="54"/>
  <c r="B168" i="54"/>
  <c r="B169" i="54"/>
  <c r="B170" i="54"/>
  <c r="B171" i="54"/>
  <c r="B172" i="54"/>
  <c r="B173" i="54"/>
  <c r="B174" i="54"/>
  <c r="B175" i="54"/>
  <c r="B176" i="54"/>
  <c r="B177" i="54"/>
  <c r="B178" i="54"/>
  <c r="B179" i="54"/>
  <c r="B180" i="54"/>
  <c r="B181" i="54"/>
  <c r="B182" i="54"/>
  <c r="B183" i="54"/>
  <c r="B184" i="54"/>
  <c r="B185" i="54"/>
  <c r="B186" i="54"/>
  <c r="B187" i="54"/>
  <c r="B188" i="54"/>
  <c r="B189" i="54"/>
  <c r="B191" i="54"/>
  <c r="B192" i="54"/>
  <c r="B193" i="54"/>
  <c r="B194" i="54"/>
  <c r="B195" i="54"/>
  <c r="B196" i="54"/>
  <c r="B198" i="54"/>
  <c r="B199" i="54"/>
  <c r="B200" i="54"/>
  <c r="B201" i="54"/>
  <c r="B202" i="54"/>
  <c r="B203" i="54"/>
  <c r="B204" i="54"/>
  <c r="B205" i="54"/>
  <c r="B206" i="54"/>
  <c r="B207" i="54"/>
  <c r="B208" i="54"/>
  <c r="B209" i="54"/>
  <c r="B210" i="54"/>
  <c r="B211" i="54"/>
  <c r="B212" i="54"/>
  <c r="B214" i="54"/>
  <c r="B215" i="54"/>
  <c r="B216" i="54"/>
  <c r="B217" i="54"/>
  <c r="B218" i="54"/>
  <c r="B219" i="54"/>
  <c r="B220" i="54"/>
  <c r="B221" i="54"/>
  <c r="B222" i="54"/>
  <c r="B223" i="54"/>
  <c r="B224" i="54"/>
  <c r="B225" i="54"/>
  <c r="B226" i="54"/>
  <c r="B227" i="54"/>
  <c r="B228" i="54"/>
  <c r="B241" i="54"/>
  <c r="B243" i="54"/>
  <c r="B245" i="54"/>
  <c r="B247" i="54"/>
  <c r="B248" i="54"/>
  <c r="B249" i="54"/>
  <c r="B250" i="54"/>
  <c r="B251" i="54"/>
  <c r="B253" i="54"/>
  <c r="B254" i="54"/>
  <c r="B255" i="54"/>
  <c r="B256" i="54"/>
  <c r="B257" i="54"/>
  <c r="B258" i="54"/>
  <c r="B259" i="54"/>
  <c r="B260" i="54"/>
  <c r="B261" i="54"/>
  <c r="B262" i="54"/>
  <c r="B263" i="54"/>
  <c r="B264" i="54"/>
  <c r="B270" i="54"/>
  <c r="B271" i="54"/>
  <c r="B272" i="54"/>
  <c r="B273" i="54"/>
  <c r="B274" i="54"/>
  <c r="B276" i="54"/>
  <c r="B277" i="54"/>
  <c r="B278" i="54"/>
  <c r="B279" i="54"/>
  <c r="B3" i="45"/>
  <c r="M3" i="45" s="1"/>
  <c r="B21" i="45"/>
  <c r="M21" i="45" s="1"/>
  <c r="B7" i="45"/>
  <c r="M7" i="45" s="1"/>
  <c r="B52" i="45"/>
  <c r="M52" i="45" s="1"/>
  <c r="B46" i="45"/>
  <c r="M46" i="45" s="1"/>
  <c r="B78" i="45"/>
  <c r="M78" i="45" s="1"/>
  <c r="B146" i="45"/>
  <c r="M146" i="45" s="1"/>
  <c r="B240" i="45"/>
  <c r="M240" i="45" s="1"/>
  <c r="B4" i="45"/>
  <c r="B5" i="45"/>
  <c r="B6" i="45"/>
  <c r="B8" i="45"/>
  <c r="B10" i="45"/>
  <c r="B11" i="45"/>
  <c r="B22" i="45"/>
  <c r="B23" i="45"/>
  <c r="B24" i="45"/>
  <c r="B25" i="45"/>
  <c r="B26" i="45"/>
  <c r="B27" i="45"/>
  <c r="B29" i="45"/>
  <c r="B30" i="45"/>
  <c r="B31" i="45"/>
  <c r="B32" i="45"/>
  <c r="B33" i="45"/>
  <c r="B34" i="45"/>
  <c r="B35" i="45"/>
  <c r="B36" i="45"/>
  <c r="B37" i="45"/>
  <c r="B38" i="45"/>
  <c r="B39" i="45"/>
  <c r="B40" i="45"/>
  <c r="B41" i="45"/>
  <c r="B42" i="45"/>
  <c r="B43" i="45"/>
  <c r="B44" i="45"/>
  <c r="B45" i="45"/>
  <c r="B47" i="45"/>
  <c r="B48" i="45"/>
  <c r="B50" i="45"/>
  <c r="B51"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B79" i="45"/>
  <c r="B80" i="45"/>
  <c r="B81" i="45"/>
  <c r="B82" i="45"/>
  <c r="B83" i="45"/>
  <c r="B84" i="45"/>
  <c r="B85" i="45"/>
  <c r="B87" i="45"/>
  <c r="B88" i="45"/>
  <c r="B89" i="45"/>
  <c r="B90" i="45"/>
  <c r="B91" i="45"/>
  <c r="B92" i="45"/>
  <c r="B93" i="45"/>
  <c r="B94" i="45"/>
  <c r="B95" i="45"/>
  <c r="B96" i="45"/>
  <c r="B97" i="45"/>
  <c r="B98" i="45"/>
  <c r="B99" i="45"/>
  <c r="B100" i="45"/>
  <c r="B101" i="45"/>
  <c r="B102" i="45"/>
  <c r="B103" i="45"/>
  <c r="B104" i="45"/>
  <c r="B105" i="45"/>
  <c r="B107" i="45"/>
  <c r="B108" i="45"/>
  <c r="B109" i="45"/>
  <c r="B113" i="45"/>
  <c r="B114" i="45"/>
  <c r="B115" i="45"/>
  <c r="B116" i="45"/>
  <c r="B117" i="45"/>
  <c r="B118" i="45"/>
  <c r="B119" i="45"/>
  <c r="B120" i="45"/>
  <c r="B121" i="45"/>
  <c r="B122" i="45"/>
  <c r="B123" i="45"/>
  <c r="B124" i="45"/>
  <c r="B125" i="45"/>
  <c r="B126" i="45"/>
  <c r="B128" i="45"/>
  <c r="B129" i="45"/>
  <c r="B130" i="45"/>
  <c r="B131" i="45"/>
  <c r="B132" i="45"/>
  <c r="B133" i="45"/>
  <c r="B134" i="45"/>
  <c r="B135" i="45"/>
  <c r="B136" i="45"/>
  <c r="B137" i="45"/>
  <c r="B139" i="45"/>
  <c r="B140" i="45"/>
  <c r="B143" i="45"/>
  <c r="B144" i="45"/>
  <c r="B145" i="45"/>
  <c r="B147" i="45"/>
  <c r="B149" i="45"/>
  <c r="B150" i="45"/>
  <c r="B151" i="45"/>
  <c r="B152" i="45"/>
  <c r="B153" i="45"/>
  <c r="B154" i="45"/>
  <c r="B155" i="45"/>
  <c r="B156" i="45"/>
  <c r="B157" i="45"/>
  <c r="B158" i="45"/>
  <c r="B159" i="45"/>
  <c r="B160" i="45"/>
  <c r="B161" i="45"/>
  <c r="B162" i="45"/>
  <c r="B163" i="45"/>
  <c r="B164" i="45"/>
  <c r="B165" i="45"/>
  <c r="B166" i="45"/>
  <c r="B167" i="45"/>
  <c r="B168" i="45"/>
  <c r="B169" i="45"/>
  <c r="B170" i="45"/>
  <c r="B171" i="45"/>
  <c r="B172" i="45"/>
  <c r="B173" i="45"/>
  <c r="B174" i="45"/>
  <c r="B175" i="45"/>
  <c r="B176" i="45"/>
  <c r="B177" i="45"/>
  <c r="B178" i="45"/>
  <c r="B179" i="45"/>
  <c r="B180" i="45"/>
  <c r="B181" i="45"/>
  <c r="B182" i="45"/>
  <c r="B183" i="45"/>
  <c r="B184" i="45"/>
  <c r="B185" i="45"/>
  <c r="B186" i="45"/>
  <c r="B187" i="45"/>
  <c r="B188" i="45"/>
  <c r="B189" i="45"/>
  <c r="B191" i="45"/>
  <c r="B192" i="45"/>
  <c r="B193" i="45"/>
  <c r="B194" i="45"/>
  <c r="B195" i="45"/>
  <c r="B196" i="45"/>
  <c r="B198" i="45"/>
  <c r="B199" i="45"/>
  <c r="B200" i="45"/>
  <c r="B201" i="45"/>
  <c r="B202" i="45"/>
  <c r="B203" i="45"/>
  <c r="B204" i="45"/>
  <c r="B205" i="45"/>
  <c r="B206" i="45"/>
  <c r="B207" i="45"/>
  <c r="B208" i="45"/>
  <c r="B209" i="45"/>
  <c r="B210" i="45"/>
  <c r="B211" i="45"/>
  <c r="B212" i="45"/>
  <c r="B214" i="45"/>
  <c r="B215" i="45"/>
  <c r="B216" i="45"/>
  <c r="B217" i="45"/>
  <c r="B218" i="45"/>
  <c r="B219" i="45"/>
  <c r="B220" i="45"/>
  <c r="B221" i="45"/>
  <c r="B222" i="45"/>
  <c r="B223" i="45"/>
  <c r="B224" i="45"/>
  <c r="B225" i="45"/>
  <c r="B226" i="45"/>
  <c r="B227" i="45"/>
  <c r="B228" i="45"/>
  <c r="B241" i="45"/>
  <c r="B243" i="45"/>
  <c r="B245" i="45"/>
  <c r="B247" i="45"/>
  <c r="M247" i="45" s="1"/>
  <c r="B248" i="45"/>
  <c r="B249" i="45"/>
  <c r="B250" i="45"/>
  <c r="B251" i="45"/>
  <c r="B253" i="45"/>
  <c r="B254" i="45"/>
  <c r="B255" i="45"/>
  <c r="B256" i="45"/>
  <c r="B257" i="45"/>
  <c r="B258" i="45"/>
  <c r="B259" i="45"/>
  <c r="B260" i="45"/>
  <c r="B261" i="45"/>
  <c r="B262" i="45"/>
  <c r="B263" i="45"/>
  <c r="B264" i="45"/>
  <c r="B270" i="45"/>
  <c r="B271" i="45"/>
  <c r="B272" i="45"/>
  <c r="B273" i="45"/>
  <c r="B274" i="45"/>
  <c r="B276" i="45"/>
  <c r="B277" i="45"/>
  <c r="B278" i="45"/>
  <c r="B279" i="45"/>
  <c r="B3" i="46"/>
  <c r="S3" i="46" s="1"/>
  <c r="B7" i="46"/>
  <c r="S7" i="46" s="1"/>
  <c r="B21" i="46"/>
  <c r="S21" i="46" s="1"/>
  <c r="B46" i="46"/>
  <c r="S46" i="46" s="1"/>
  <c r="B52" i="46"/>
  <c r="S52" i="46" s="1"/>
  <c r="B78" i="46"/>
  <c r="S78" i="46" s="1"/>
  <c r="B146" i="46"/>
  <c r="S146" i="46" s="1"/>
  <c r="B240" i="46"/>
  <c r="S240" i="46" s="1"/>
  <c r="B4" i="46"/>
  <c r="B5" i="46"/>
  <c r="B6" i="46"/>
  <c r="B8" i="46"/>
  <c r="B10" i="46"/>
  <c r="B11" i="46"/>
  <c r="B22" i="46"/>
  <c r="B23" i="46"/>
  <c r="B24" i="46"/>
  <c r="B25" i="46"/>
  <c r="B26" i="46"/>
  <c r="B27" i="46"/>
  <c r="B29" i="46"/>
  <c r="B30" i="46"/>
  <c r="B31" i="46"/>
  <c r="B32" i="46"/>
  <c r="B33" i="46"/>
  <c r="B34" i="46"/>
  <c r="B35" i="46"/>
  <c r="B36" i="46"/>
  <c r="B37" i="46"/>
  <c r="B38" i="46"/>
  <c r="B39" i="46"/>
  <c r="B40" i="46"/>
  <c r="B41" i="46"/>
  <c r="B42" i="46"/>
  <c r="B43" i="46"/>
  <c r="B44" i="46"/>
  <c r="B45" i="46"/>
  <c r="B47" i="46"/>
  <c r="B48" i="46"/>
  <c r="B50" i="46"/>
  <c r="B51" i="46"/>
  <c r="B53" i="46"/>
  <c r="B54" i="46"/>
  <c r="B55" i="46"/>
  <c r="B56" i="46"/>
  <c r="B57" i="46"/>
  <c r="B58" i="46"/>
  <c r="B59" i="46"/>
  <c r="B60" i="46"/>
  <c r="B61" i="46"/>
  <c r="B62" i="46"/>
  <c r="B63" i="46"/>
  <c r="B64" i="46"/>
  <c r="B65" i="46"/>
  <c r="B66" i="46"/>
  <c r="B67" i="46"/>
  <c r="B68" i="46"/>
  <c r="B69" i="46"/>
  <c r="B70" i="46"/>
  <c r="B71" i="46"/>
  <c r="B72" i="46"/>
  <c r="B73" i="46"/>
  <c r="B74" i="46"/>
  <c r="B75" i="46"/>
  <c r="B76" i="46"/>
  <c r="B77" i="46"/>
  <c r="B79" i="46"/>
  <c r="B80" i="46"/>
  <c r="B81" i="46"/>
  <c r="B82" i="46"/>
  <c r="B83" i="46"/>
  <c r="B84" i="46"/>
  <c r="B85" i="46"/>
  <c r="B87" i="46"/>
  <c r="B88" i="46"/>
  <c r="B89" i="46"/>
  <c r="B90" i="46"/>
  <c r="B91" i="46"/>
  <c r="B92" i="46"/>
  <c r="B93" i="46"/>
  <c r="B94" i="46"/>
  <c r="B95" i="46"/>
  <c r="B96" i="46"/>
  <c r="B97" i="46"/>
  <c r="B98" i="46"/>
  <c r="B99" i="46"/>
  <c r="B100" i="46"/>
  <c r="B101" i="46"/>
  <c r="B102" i="46"/>
  <c r="B103" i="46"/>
  <c r="B104" i="46"/>
  <c r="B105" i="46"/>
  <c r="B107" i="46"/>
  <c r="B108" i="46"/>
  <c r="B109" i="46"/>
  <c r="B113" i="46"/>
  <c r="B114" i="46"/>
  <c r="B115" i="46"/>
  <c r="B116" i="46"/>
  <c r="B117" i="46"/>
  <c r="B118" i="46"/>
  <c r="B119" i="46"/>
  <c r="B120" i="46"/>
  <c r="B121" i="46"/>
  <c r="B122" i="46"/>
  <c r="B123" i="46"/>
  <c r="B124" i="46"/>
  <c r="B125" i="46"/>
  <c r="B126" i="46"/>
  <c r="B128" i="46"/>
  <c r="B129" i="46"/>
  <c r="B130" i="46"/>
  <c r="B131" i="46"/>
  <c r="B132" i="46"/>
  <c r="B133" i="46"/>
  <c r="B134" i="46"/>
  <c r="B135" i="46"/>
  <c r="B136" i="46"/>
  <c r="B137" i="46"/>
  <c r="B139" i="46"/>
  <c r="B140" i="46"/>
  <c r="B143" i="46"/>
  <c r="B144" i="46"/>
  <c r="B145" i="46"/>
  <c r="B147" i="46"/>
  <c r="B149" i="46"/>
  <c r="B150" i="46"/>
  <c r="B151" i="46"/>
  <c r="B152" i="46"/>
  <c r="B153" i="46"/>
  <c r="B154" i="46"/>
  <c r="B155" i="46"/>
  <c r="B156" i="46"/>
  <c r="B157" i="46"/>
  <c r="B158" i="46"/>
  <c r="B159" i="46"/>
  <c r="B160" i="46"/>
  <c r="B161" i="46"/>
  <c r="B162" i="46"/>
  <c r="B163" i="46"/>
  <c r="B164" i="46"/>
  <c r="B165" i="46"/>
  <c r="B166" i="46"/>
  <c r="B167" i="46"/>
  <c r="B168" i="46"/>
  <c r="B169" i="46"/>
  <c r="B170" i="46"/>
  <c r="B171" i="46"/>
  <c r="B172" i="46"/>
  <c r="B173" i="46"/>
  <c r="B174" i="46"/>
  <c r="B175" i="46"/>
  <c r="B176" i="46"/>
  <c r="B177" i="46"/>
  <c r="B178" i="46"/>
  <c r="B179" i="46"/>
  <c r="B180" i="46"/>
  <c r="B181" i="46"/>
  <c r="B182" i="46"/>
  <c r="B183" i="46"/>
  <c r="B184" i="46"/>
  <c r="B185" i="46"/>
  <c r="B186" i="46"/>
  <c r="B187" i="46"/>
  <c r="B188" i="46"/>
  <c r="B189" i="46"/>
  <c r="B191" i="46"/>
  <c r="B192" i="46"/>
  <c r="B193" i="46"/>
  <c r="B194" i="46"/>
  <c r="B195" i="46"/>
  <c r="B196" i="46"/>
  <c r="B198" i="46"/>
  <c r="B199" i="46"/>
  <c r="B200" i="46"/>
  <c r="B201" i="46"/>
  <c r="B202" i="46"/>
  <c r="B203" i="46"/>
  <c r="B204" i="46"/>
  <c r="B205" i="46"/>
  <c r="B206" i="46"/>
  <c r="B207" i="46"/>
  <c r="B208" i="46"/>
  <c r="B209" i="46"/>
  <c r="B210" i="46"/>
  <c r="B211" i="46"/>
  <c r="B212" i="46"/>
  <c r="B214" i="46"/>
  <c r="B215" i="46"/>
  <c r="B216" i="46"/>
  <c r="B217" i="46"/>
  <c r="B218" i="46"/>
  <c r="B219" i="46"/>
  <c r="B220" i="46"/>
  <c r="B221" i="46"/>
  <c r="B222" i="46"/>
  <c r="B223" i="46"/>
  <c r="B224" i="46"/>
  <c r="B225" i="46"/>
  <c r="B226" i="46"/>
  <c r="B227" i="46"/>
  <c r="B228" i="46"/>
  <c r="B241" i="46"/>
  <c r="B243" i="46"/>
  <c r="B245" i="46"/>
  <c r="B247" i="46"/>
  <c r="S247" i="46" s="1"/>
  <c r="B248" i="46"/>
  <c r="B249" i="46"/>
  <c r="B250" i="46"/>
  <c r="B251" i="46"/>
  <c r="B253" i="46"/>
  <c r="B254" i="46"/>
  <c r="B255" i="46"/>
  <c r="B256" i="46"/>
  <c r="B257" i="46"/>
  <c r="B258" i="46"/>
  <c r="B259" i="46"/>
  <c r="B260" i="46"/>
  <c r="B261" i="46"/>
  <c r="B262" i="46"/>
  <c r="B263" i="46"/>
  <c r="B264" i="46"/>
  <c r="B270" i="46"/>
  <c r="B271" i="46"/>
  <c r="B272" i="46"/>
  <c r="B273" i="46"/>
  <c r="B274" i="46"/>
  <c r="B276" i="46"/>
  <c r="B277" i="46"/>
  <c r="B278" i="46"/>
  <c r="B279" i="46"/>
  <c r="B3" i="51"/>
  <c r="B7" i="51"/>
  <c r="B21" i="51"/>
  <c r="B46" i="51"/>
  <c r="B52" i="51"/>
  <c r="B78" i="51"/>
  <c r="B146" i="51"/>
  <c r="B240" i="51"/>
  <c r="B4" i="51"/>
  <c r="B5" i="51"/>
  <c r="B6" i="51"/>
  <c r="B8" i="51"/>
  <c r="B10" i="51"/>
  <c r="B11" i="51"/>
  <c r="B22" i="51"/>
  <c r="B23" i="51"/>
  <c r="B24" i="51"/>
  <c r="B25" i="51"/>
  <c r="B26" i="51"/>
  <c r="B27" i="51"/>
  <c r="B29" i="51"/>
  <c r="B30" i="51"/>
  <c r="B31" i="51"/>
  <c r="B32" i="51"/>
  <c r="B33" i="51"/>
  <c r="B34" i="51"/>
  <c r="B35" i="51"/>
  <c r="B36" i="51"/>
  <c r="B37" i="51"/>
  <c r="B38" i="51"/>
  <c r="B39" i="51"/>
  <c r="B40" i="51"/>
  <c r="B41" i="51"/>
  <c r="B42" i="51"/>
  <c r="B43" i="51"/>
  <c r="B44" i="51"/>
  <c r="B45" i="51"/>
  <c r="B47" i="51"/>
  <c r="B48" i="51"/>
  <c r="B50" i="51"/>
  <c r="B51"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9" i="51"/>
  <c r="B80" i="51"/>
  <c r="B81" i="51"/>
  <c r="B82" i="51"/>
  <c r="B83" i="51"/>
  <c r="B84" i="51"/>
  <c r="B85" i="51"/>
  <c r="B87" i="51"/>
  <c r="B88" i="51"/>
  <c r="B89" i="51"/>
  <c r="B90" i="51"/>
  <c r="B91" i="51"/>
  <c r="B92" i="51"/>
  <c r="B93" i="51"/>
  <c r="B94" i="51"/>
  <c r="B95" i="51"/>
  <c r="B96" i="51"/>
  <c r="B97" i="51"/>
  <c r="B98" i="51"/>
  <c r="B99" i="51"/>
  <c r="B100" i="51"/>
  <c r="B101" i="51"/>
  <c r="B102" i="51"/>
  <c r="B103" i="51"/>
  <c r="B104" i="51"/>
  <c r="B105" i="51"/>
  <c r="B107" i="51"/>
  <c r="B108" i="51"/>
  <c r="B109" i="51"/>
  <c r="B113" i="51"/>
  <c r="B114" i="51"/>
  <c r="B115" i="51"/>
  <c r="B116" i="51"/>
  <c r="B117" i="51"/>
  <c r="B118" i="51"/>
  <c r="B119" i="51"/>
  <c r="B120" i="51"/>
  <c r="B121" i="51"/>
  <c r="B122" i="51"/>
  <c r="B123" i="51"/>
  <c r="B124" i="51"/>
  <c r="B125" i="51"/>
  <c r="B126" i="51"/>
  <c r="B128" i="51"/>
  <c r="B129" i="51"/>
  <c r="B130" i="51"/>
  <c r="B131" i="51"/>
  <c r="B132" i="51"/>
  <c r="B133" i="51"/>
  <c r="B134" i="51"/>
  <c r="B135" i="51"/>
  <c r="B136" i="51"/>
  <c r="B137" i="51"/>
  <c r="B139" i="51"/>
  <c r="B140" i="51"/>
  <c r="B143" i="51"/>
  <c r="B144" i="51"/>
  <c r="B145" i="51"/>
  <c r="B147"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1" i="51"/>
  <c r="B192" i="51"/>
  <c r="B193" i="51"/>
  <c r="B194" i="51"/>
  <c r="B195" i="51"/>
  <c r="B196" i="51"/>
  <c r="B198" i="51"/>
  <c r="B199" i="51"/>
  <c r="B200" i="51"/>
  <c r="B201" i="51"/>
  <c r="B202" i="51"/>
  <c r="B203" i="51"/>
  <c r="B204" i="51"/>
  <c r="B205" i="51"/>
  <c r="B206" i="51"/>
  <c r="B207" i="51"/>
  <c r="B208" i="51"/>
  <c r="B209" i="51"/>
  <c r="B210" i="51"/>
  <c r="B211" i="51"/>
  <c r="B212" i="51"/>
  <c r="B214" i="51"/>
  <c r="B215" i="51"/>
  <c r="B216" i="51"/>
  <c r="B217" i="51"/>
  <c r="B218" i="51"/>
  <c r="B219" i="51"/>
  <c r="B220" i="51"/>
  <c r="B221" i="51"/>
  <c r="B222" i="51"/>
  <c r="B223" i="51"/>
  <c r="B224" i="51"/>
  <c r="B225" i="51"/>
  <c r="B226" i="51"/>
  <c r="B227" i="51"/>
  <c r="B228" i="51"/>
  <c r="B241" i="51"/>
  <c r="B243" i="51"/>
  <c r="B245" i="51"/>
  <c r="B247" i="51"/>
  <c r="B248" i="51"/>
  <c r="B249" i="51"/>
  <c r="B250" i="51"/>
  <c r="B251" i="51"/>
  <c r="B253" i="51"/>
  <c r="B254" i="51"/>
  <c r="B255" i="51"/>
  <c r="B256" i="51"/>
  <c r="B257" i="51"/>
  <c r="B258" i="51"/>
  <c r="B259" i="51"/>
  <c r="B260" i="51"/>
  <c r="B261" i="51"/>
  <c r="B262" i="51"/>
  <c r="B263" i="51"/>
  <c r="B264" i="51"/>
  <c r="B270" i="51"/>
  <c r="B271" i="51"/>
  <c r="B272" i="51"/>
  <c r="B273" i="51"/>
  <c r="B274" i="51"/>
  <c r="B276" i="51"/>
  <c r="B277" i="51"/>
  <c r="B278" i="51"/>
  <c r="B279" i="51"/>
  <c r="B3" i="50"/>
  <c r="B7" i="50"/>
  <c r="B21" i="50"/>
  <c r="B46" i="50"/>
  <c r="B52" i="50"/>
  <c r="B78" i="50"/>
  <c r="B146" i="50"/>
  <c r="B240" i="50"/>
  <c r="B4" i="50"/>
  <c r="B5" i="50"/>
  <c r="B6" i="50"/>
  <c r="B8" i="50"/>
  <c r="B10" i="50"/>
  <c r="B11" i="50"/>
  <c r="B22" i="50"/>
  <c r="B23" i="50"/>
  <c r="B24" i="50"/>
  <c r="B25" i="50"/>
  <c r="B26" i="50"/>
  <c r="B27" i="50"/>
  <c r="B29" i="50"/>
  <c r="B30" i="50"/>
  <c r="B31" i="50"/>
  <c r="B32" i="50"/>
  <c r="B33" i="50"/>
  <c r="B34" i="50"/>
  <c r="B35" i="50"/>
  <c r="B36" i="50"/>
  <c r="B37" i="50"/>
  <c r="B38" i="50"/>
  <c r="B39" i="50"/>
  <c r="B40" i="50"/>
  <c r="B41" i="50"/>
  <c r="B42" i="50"/>
  <c r="B43" i="50"/>
  <c r="B44" i="50"/>
  <c r="B45" i="50"/>
  <c r="B47" i="50"/>
  <c r="B48" i="50"/>
  <c r="B50" i="50"/>
  <c r="B51" i="50"/>
  <c r="B53" i="50"/>
  <c r="B54" i="50"/>
  <c r="B55" i="50"/>
  <c r="B56" i="50"/>
  <c r="B57" i="50"/>
  <c r="B58" i="50"/>
  <c r="B59" i="50"/>
  <c r="B60" i="50"/>
  <c r="B61" i="50"/>
  <c r="B62" i="50"/>
  <c r="B63" i="50"/>
  <c r="B64" i="50"/>
  <c r="B65" i="50"/>
  <c r="B66" i="50"/>
  <c r="B67" i="50"/>
  <c r="B68" i="50"/>
  <c r="B69" i="50"/>
  <c r="B70" i="50"/>
  <c r="B71" i="50"/>
  <c r="B72" i="50"/>
  <c r="B73" i="50"/>
  <c r="B74" i="50"/>
  <c r="B75" i="50"/>
  <c r="B76" i="50"/>
  <c r="B77" i="50"/>
  <c r="B79" i="50"/>
  <c r="B80" i="50"/>
  <c r="B81" i="50"/>
  <c r="B82" i="50"/>
  <c r="B83" i="50"/>
  <c r="B84" i="50"/>
  <c r="B85" i="50"/>
  <c r="B87" i="50"/>
  <c r="B88" i="50"/>
  <c r="B89" i="50"/>
  <c r="B90" i="50"/>
  <c r="B91" i="50"/>
  <c r="B92" i="50"/>
  <c r="B93" i="50"/>
  <c r="B94" i="50"/>
  <c r="B95" i="50"/>
  <c r="B96" i="50"/>
  <c r="B97" i="50"/>
  <c r="B98" i="50"/>
  <c r="B99" i="50"/>
  <c r="B100" i="50"/>
  <c r="B101" i="50"/>
  <c r="B102" i="50"/>
  <c r="B103" i="50"/>
  <c r="B104" i="50"/>
  <c r="B105" i="50"/>
  <c r="B107" i="50"/>
  <c r="B108" i="50"/>
  <c r="B109" i="50"/>
  <c r="B113" i="50"/>
  <c r="B114" i="50"/>
  <c r="B115" i="50"/>
  <c r="B116" i="50"/>
  <c r="B117" i="50"/>
  <c r="B118" i="50"/>
  <c r="B119" i="50"/>
  <c r="B120" i="50"/>
  <c r="B121" i="50"/>
  <c r="B122" i="50"/>
  <c r="B123" i="50"/>
  <c r="B124" i="50"/>
  <c r="B125" i="50"/>
  <c r="B126" i="50"/>
  <c r="B128" i="50"/>
  <c r="B129" i="50"/>
  <c r="B130" i="50"/>
  <c r="B131" i="50"/>
  <c r="B132" i="50"/>
  <c r="B133" i="50"/>
  <c r="B134" i="50"/>
  <c r="B135" i="50"/>
  <c r="B136" i="50"/>
  <c r="B137" i="50"/>
  <c r="B139" i="50"/>
  <c r="B140" i="50"/>
  <c r="B143" i="50"/>
  <c r="B144" i="50"/>
  <c r="B145" i="50"/>
  <c r="B147"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1" i="50"/>
  <c r="B192" i="50"/>
  <c r="B193" i="50"/>
  <c r="B194" i="50"/>
  <c r="B195" i="50"/>
  <c r="B196" i="50"/>
  <c r="B198" i="50"/>
  <c r="B199" i="50"/>
  <c r="B200" i="50"/>
  <c r="B201" i="50"/>
  <c r="B202" i="50"/>
  <c r="B203" i="50"/>
  <c r="B204" i="50"/>
  <c r="B205" i="50"/>
  <c r="B206" i="50"/>
  <c r="B207" i="50"/>
  <c r="B208" i="50"/>
  <c r="B209" i="50"/>
  <c r="B210" i="50"/>
  <c r="B211" i="50"/>
  <c r="B212" i="50"/>
  <c r="B214" i="50"/>
  <c r="B215" i="50"/>
  <c r="B216" i="50"/>
  <c r="B217" i="50"/>
  <c r="B218" i="50"/>
  <c r="B219" i="50"/>
  <c r="B220" i="50"/>
  <c r="B221" i="50"/>
  <c r="B222" i="50"/>
  <c r="B223" i="50"/>
  <c r="B224" i="50"/>
  <c r="B225" i="50"/>
  <c r="B226" i="50"/>
  <c r="B227" i="50"/>
  <c r="B228" i="50"/>
  <c r="B241" i="50"/>
  <c r="B243" i="50"/>
  <c r="B245" i="50"/>
  <c r="B247" i="50"/>
  <c r="B248" i="50"/>
  <c r="B249" i="50"/>
  <c r="B250" i="50"/>
  <c r="B251" i="50"/>
  <c r="B253" i="50"/>
  <c r="B254" i="50"/>
  <c r="B255" i="50"/>
  <c r="B256" i="50"/>
  <c r="B257" i="50"/>
  <c r="B258" i="50"/>
  <c r="B259" i="50"/>
  <c r="B260" i="50"/>
  <c r="B261" i="50"/>
  <c r="B262" i="50"/>
  <c r="B263" i="50"/>
  <c r="B264" i="50"/>
  <c r="B270" i="50"/>
  <c r="B271" i="50"/>
  <c r="B272" i="50"/>
  <c r="B273" i="50"/>
  <c r="B274" i="50"/>
  <c r="B276" i="50"/>
  <c r="B277" i="50"/>
  <c r="B278" i="50"/>
  <c r="B279" i="50"/>
  <c r="B3" i="52"/>
  <c r="B7" i="52"/>
  <c r="B21" i="52"/>
  <c r="B46" i="52"/>
  <c r="B52" i="52"/>
  <c r="B78" i="52"/>
  <c r="B146" i="52"/>
  <c r="B240" i="52"/>
  <c r="B4" i="52"/>
  <c r="B5" i="52"/>
  <c r="B6" i="52"/>
  <c r="B8" i="52"/>
  <c r="B10" i="52"/>
  <c r="B11" i="52"/>
  <c r="B22" i="52"/>
  <c r="B23" i="52"/>
  <c r="B24" i="52"/>
  <c r="B25" i="52"/>
  <c r="B26" i="52"/>
  <c r="B27" i="52"/>
  <c r="B29" i="52"/>
  <c r="B30" i="52"/>
  <c r="B31" i="52"/>
  <c r="B32" i="52"/>
  <c r="B33" i="52"/>
  <c r="B34" i="52"/>
  <c r="B35" i="52"/>
  <c r="B36" i="52"/>
  <c r="B37" i="52"/>
  <c r="B38" i="52"/>
  <c r="B39" i="52"/>
  <c r="B40" i="52"/>
  <c r="B41" i="52"/>
  <c r="B42" i="52"/>
  <c r="B43" i="52"/>
  <c r="B44" i="52"/>
  <c r="B45" i="52"/>
  <c r="B47" i="52"/>
  <c r="B48" i="52"/>
  <c r="B50" i="52"/>
  <c r="B51" i="52"/>
  <c r="B53" i="52"/>
  <c r="B54" i="52"/>
  <c r="B55" i="52"/>
  <c r="B56" i="52"/>
  <c r="B57" i="52"/>
  <c r="B58" i="52"/>
  <c r="B59" i="52"/>
  <c r="B60" i="52"/>
  <c r="B61" i="52"/>
  <c r="B62" i="52"/>
  <c r="B63" i="52"/>
  <c r="B64" i="52"/>
  <c r="B65" i="52"/>
  <c r="B66" i="52"/>
  <c r="B67" i="52"/>
  <c r="B68" i="52"/>
  <c r="B69" i="52"/>
  <c r="B70" i="52"/>
  <c r="B71" i="52"/>
  <c r="B72" i="52"/>
  <c r="B73" i="52"/>
  <c r="B74" i="52"/>
  <c r="B75" i="52"/>
  <c r="B76" i="52"/>
  <c r="B77" i="52"/>
  <c r="B79" i="52"/>
  <c r="B80" i="52"/>
  <c r="B81" i="52"/>
  <c r="B82" i="52"/>
  <c r="B83" i="52"/>
  <c r="B84" i="52"/>
  <c r="B85" i="52"/>
  <c r="B87" i="52"/>
  <c r="B88" i="52"/>
  <c r="B89" i="52"/>
  <c r="B90" i="52"/>
  <c r="B91" i="52"/>
  <c r="B92" i="52"/>
  <c r="B93" i="52"/>
  <c r="B94" i="52"/>
  <c r="B95" i="52"/>
  <c r="B96" i="52"/>
  <c r="B97" i="52"/>
  <c r="B98" i="52"/>
  <c r="B99" i="52"/>
  <c r="B100" i="52"/>
  <c r="B101" i="52"/>
  <c r="B102" i="52"/>
  <c r="B103" i="52"/>
  <c r="B104" i="52"/>
  <c r="B105" i="52"/>
  <c r="B107" i="52"/>
  <c r="B108" i="52"/>
  <c r="B109" i="52"/>
  <c r="B113" i="52"/>
  <c r="B114" i="52"/>
  <c r="B115" i="52"/>
  <c r="B116" i="52"/>
  <c r="B117" i="52"/>
  <c r="B118" i="52"/>
  <c r="B119" i="52"/>
  <c r="B120" i="52"/>
  <c r="B121" i="52"/>
  <c r="B122" i="52"/>
  <c r="B123" i="52"/>
  <c r="B124" i="52"/>
  <c r="B125" i="52"/>
  <c r="B126" i="52"/>
  <c r="B128" i="52"/>
  <c r="B129" i="52"/>
  <c r="B130" i="52"/>
  <c r="B131" i="52"/>
  <c r="B132" i="52"/>
  <c r="B133" i="52"/>
  <c r="B134" i="52"/>
  <c r="B135" i="52"/>
  <c r="B136" i="52"/>
  <c r="B137" i="52"/>
  <c r="B139" i="52"/>
  <c r="B140" i="52"/>
  <c r="B143" i="52"/>
  <c r="B144" i="52"/>
  <c r="B145" i="52"/>
  <c r="B147" i="52"/>
  <c r="B149" i="52"/>
  <c r="B150" i="52"/>
  <c r="B151" i="52"/>
  <c r="B152" i="52"/>
  <c r="B153" i="52"/>
  <c r="B154" i="52"/>
  <c r="B155" i="52"/>
  <c r="B156" i="52"/>
  <c r="B157" i="52"/>
  <c r="B158" i="52"/>
  <c r="B159" i="52"/>
  <c r="B160" i="52"/>
  <c r="B161" i="52"/>
  <c r="B162" i="52"/>
  <c r="B163" i="52"/>
  <c r="B164" i="52"/>
  <c r="B165" i="52"/>
  <c r="B166" i="52"/>
  <c r="B167" i="52"/>
  <c r="B168" i="52"/>
  <c r="B169" i="52"/>
  <c r="B170" i="52"/>
  <c r="B171" i="52"/>
  <c r="B172" i="52"/>
  <c r="B173" i="52"/>
  <c r="B174" i="52"/>
  <c r="B175" i="52"/>
  <c r="B176" i="52"/>
  <c r="B177" i="52"/>
  <c r="B178" i="52"/>
  <c r="B179" i="52"/>
  <c r="B180" i="52"/>
  <c r="B181" i="52"/>
  <c r="B182" i="52"/>
  <c r="B183" i="52"/>
  <c r="B184" i="52"/>
  <c r="B185" i="52"/>
  <c r="B186" i="52"/>
  <c r="B187" i="52"/>
  <c r="B188" i="52"/>
  <c r="B189" i="52"/>
  <c r="B191" i="52"/>
  <c r="B192" i="52"/>
  <c r="B193" i="52"/>
  <c r="B194" i="52"/>
  <c r="B195" i="52"/>
  <c r="B196" i="52"/>
  <c r="B198" i="52"/>
  <c r="B199" i="52"/>
  <c r="B200" i="52"/>
  <c r="B201" i="52"/>
  <c r="B202" i="52"/>
  <c r="B203" i="52"/>
  <c r="B204" i="52"/>
  <c r="B205" i="52"/>
  <c r="B206" i="52"/>
  <c r="B207" i="52"/>
  <c r="B208" i="52"/>
  <c r="B209" i="52"/>
  <c r="B210" i="52"/>
  <c r="B211" i="52"/>
  <c r="B212" i="52"/>
  <c r="B214" i="52"/>
  <c r="B215" i="52"/>
  <c r="B216" i="52"/>
  <c r="B217" i="52"/>
  <c r="B218" i="52"/>
  <c r="B219" i="52"/>
  <c r="B220" i="52"/>
  <c r="B221" i="52"/>
  <c r="B222" i="52"/>
  <c r="B223" i="52"/>
  <c r="B224" i="52"/>
  <c r="B225" i="52"/>
  <c r="B226" i="52"/>
  <c r="B227" i="52"/>
  <c r="B228" i="52"/>
  <c r="B241" i="52"/>
  <c r="B243" i="52"/>
  <c r="B245" i="52"/>
  <c r="B247" i="52"/>
  <c r="B248" i="52"/>
  <c r="B249" i="52"/>
  <c r="B250" i="52"/>
  <c r="B251" i="52"/>
  <c r="B253" i="52"/>
  <c r="B254" i="52"/>
  <c r="B255" i="52"/>
  <c r="B256" i="52"/>
  <c r="B257" i="52"/>
  <c r="B258" i="52"/>
  <c r="B259" i="52"/>
  <c r="B260" i="52"/>
  <c r="B261" i="52"/>
  <c r="B262" i="52"/>
  <c r="B263" i="52"/>
  <c r="B264" i="52"/>
  <c r="B270" i="52"/>
  <c r="B271" i="52"/>
  <c r="B272" i="52"/>
  <c r="B273" i="52"/>
  <c r="B274" i="52"/>
  <c r="B276" i="52"/>
  <c r="B277" i="52"/>
  <c r="B278" i="52"/>
  <c r="B279" i="52"/>
  <c r="B3" i="33"/>
  <c r="B7" i="33"/>
  <c r="B21" i="33"/>
  <c r="B46" i="33"/>
  <c r="B52" i="33"/>
  <c r="B78" i="33"/>
  <c r="B146" i="33"/>
  <c r="B240" i="33"/>
  <c r="B4" i="33"/>
  <c r="B5" i="33"/>
  <c r="B6" i="33"/>
  <c r="B8" i="33"/>
  <c r="B10" i="33"/>
  <c r="B11" i="33"/>
  <c r="B22" i="33"/>
  <c r="B23" i="33"/>
  <c r="B24" i="33"/>
  <c r="B25" i="33"/>
  <c r="B26" i="33"/>
  <c r="B27" i="33"/>
  <c r="B29" i="33"/>
  <c r="B30" i="33"/>
  <c r="B31" i="33"/>
  <c r="B32" i="33"/>
  <c r="B33" i="33"/>
  <c r="B34" i="33"/>
  <c r="B35" i="33"/>
  <c r="B36" i="33"/>
  <c r="B37" i="33"/>
  <c r="B38" i="33"/>
  <c r="B39" i="33"/>
  <c r="B40" i="33"/>
  <c r="B41" i="33"/>
  <c r="B42" i="33"/>
  <c r="B43" i="33"/>
  <c r="B44" i="33"/>
  <c r="B45" i="33"/>
  <c r="B47" i="33"/>
  <c r="B48" i="33"/>
  <c r="B50" i="33"/>
  <c r="B51"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9" i="33"/>
  <c r="B80" i="33"/>
  <c r="B81" i="33"/>
  <c r="B82" i="33"/>
  <c r="B83" i="33"/>
  <c r="B84" i="33"/>
  <c r="B85" i="33"/>
  <c r="B87" i="33"/>
  <c r="B88" i="33"/>
  <c r="B89" i="33"/>
  <c r="B90" i="33"/>
  <c r="B91" i="33"/>
  <c r="B92" i="33"/>
  <c r="B93" i="33"/>
  <c r="B94" i="33"/>
  <c r="B95" i="33"/>
  <c r="B96" i="33"/>
  <c r="B97" i="33"/>
  <c r="B98" i="33"/>
  <c r="B99" i="33"/>
  <c r="B100" i="33"/>
  <c r="B101" i="33"/>
  <c r="B102" i="33"/>
  <c r="B103" i="33"/>
  <c r="B104" i="33"/>
  <c r="B105" i="33"/>
  <c r="B107" i="33"/>
  <c r="B108" i="33"/>
  <c r="B109" i="33"/>
  <c r="B113" i="33"/>
  <c r="B114" i="33"/>
  <c r="B115" i="33"/>
  <c r="B116" i="33"/>
  <c r="B117" i="33"/>
  <c r="B118" i="33"/>
  <c r="B119" i="33"/>
  <c r="B120" i="33"/>
  <c r="B121" i="33"/>
  <c r="B122" i="33"/>
  <c r="B123" i="33"/>
  <c r="B124" i="33"/>
  <c r="B125" i="33"/>
  <c r="B126" i="33"/>
  <c r="B128" i="33"/>
  <c r="B129" i="33"/>
  <c r="B130" i="33"/>
  <c r="B131" i="33"/>
  <c r="B132" i="33"/>
  <c r="B133" i="33"/>
  <c r="B134" i="33"/>
  <c r="B135" i="33"/>
  <c r="B136" i="33"/>
  <c r="B137" i="33"/>
  <c r="B139" i="33"/>
  <c r="B140" i="33"/>
  <c r="B143" i="33"/>
  <c r="B144" i="33"/>
  <c r="B145" i="33"/>
  <c r="B147"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1" i="33"/>
  <c r="B192" i="33"/>
  <c r="B193" i="33"/>
  <c r="B194" i="33"/>
  <c r="B195" i="33"/>
  <c r="B196" i="33"/>
  <c r="B198" i="33"/>
  <c r="B199" i="33"/>
  <c r="B200" i="33"/>
  <c r="B201" i="33"/>
  <c r="B202" i="33"/>
  <c r="B203" i="33"/>
  <c r="B204" i="33"/>
  <c r="B205" i="33"/>
  <c r="B206" i="33"/>
  <c r="B207" i="33"/>
  <c r="B208" i="33"/>
  <c r="B209" i="33"/>
  <c r="B210" i="33"/>
  <c r="B211" i="33"/>
  <c r="B212" i="33"/>
  <c r="B214" i="33"/>
  <c r="B215" i="33"/>
  <c r="B216" i="33"/>
  <c r="B217" i="33"/>
  <c r="B218" i="33"/>
  <c r="B219" i="33"/>
  <c r="B220" i="33"/>
  <c r="B221" i="33"/>
  <c r="B222" i="33"/>
  <c r="B223" i="33"/>
  <c r="B224" i="33"/>
  <c r="B225" i="33"/>
  <c r="B226" i="33"/>
  <c r="B227" i="33"/>
  <c r="B228" i="33"/>
  <c r="B241" i="33"/>
  <c r="B243" i="33"/>
  <c r="B245" i="33"/>
  <c r="B247" i="33"/>
  <c r="B248" i="33"/>
  <c r="B249" i="33"/>
  <c r="B250" i="33"/>
  <c r="B251" i="33"/>
  <c r="B253" i="33"/>
  <c r="B254" i="33"/>
  <c r="B255" i="33"/>
  <c r="B256" i="33"/>
  <c r="B257" i="33"/>
  <c r="B258" i="33"/>
  <c r="B259" i="33"/>
  <c r="B260" i="33"/>
  <c r="B261" i="33"/>
  <c r="B262" i="33"/>
  <c r="B263" i="33"/>
  <c r="B264" i="33"/>
  <c r="B270" i="33"/>
  <c r="B271" i="33"/>
  <c r="B272" i="33"/>
  <c r="B273" i="33"/>
  <c r="B274" i="33"/>
  <c r="B276" i="33"/>
  <c r="B277" i="33"/>
  <c r="B278" i="33"/>
  <c r="B279" i="33"/>
  <c r="B3" i="7"/>
  <c r="AU3" i="7" s="1"/>
  <c r="B7" i="7"/>
  <c r="AU7" i="7" s="1"/>
  <c r="B21" i="7"/>
  <c r="AU21" i="7" s="1"/>
  <c r="B46" i="7"/>
  <c r="AU46" i="7" s="1"/>
  <c r="B52" i="7"/>
  <c r="AU52" i="7" s="1"/>
  <c r="B78" i="7"/>
  <c r="AU78" i="7" s="1"/>
  <c r="B146" i="7"/>
  <c r="AU146" i="7" s="1"/>
  <c r="B240" i="7"/>
  <c r="AU240" i="7" s="1"/>
  <c r="B4" i="7"/>
  <c r="B5" i="7"/>
  <c r="B6" i="7"/>
  <c r="B8" i="7"/>
  <c r="B10" i="7"/>
  <c r="B11" i="7"/>
  <c r="B22" i="7"/>
  <c r="B23" i="7"/>
  <c r="B24" i="7"/>
  <c r="B25" i="7"/>
  <c r="B26" i="7"/>
  <c r="B27" i="7"/>
  <c r="B29" i="7"/>
  <c r="B30" i="7"/>
  <c r="B31" i="7"/>
  <c r="B32" i="7"/>
  <c r="B33" i="7"/>
  <c r="B34" i="7"/>
  <c r="B35" i="7"/>
  <c r="B36" i="7"/>
  <c r="B37" i="7"/>
  <c r="B38" i="7"/>
  <c r="B39" i="7"/>
  <c r="B40" i="7"/>
  <c r="B41" i="7"/>
  <c r="B42" i="7"/>
  <c r="B43" i="7"/>
  <c r="B44" i="7"/>
  <c r="B45" i="7"/>
  <c r="B47" i="7"/>
  <c r="B48" i="7"/>
  <c r="B50" i="7"/>
  <c r="B51" i="7"/>
  <c r="B53" i="7"/>
  <c r="B54" i="7"/>
  <c r="B55" i="7"/>
  <c r="B56" i="7"/>
  <c r="B57" i="7"/>
  <c r="B58" i="7"/>
  <c r="B59" i="7"/>
  <c r="B60" i="7"/>
  <c r="B61" i="7"/>
  <c r="B62" i="7"/>
  <c r="B63" i="7"/>
  <c r="B64" i="7"/>
  <c r="B65" i="7"/>
  <c r="B66" i="7"/>
  <c r="B67" i="7"/>
  <c r="B68" i="7"/>
  <c r="B69" i="7"/>
  <c r="B70" i="7"/>
  <c r="B71" i="7"/>
  <c r="B72" i="7"/>
  <c r="B73" i="7"/>
  <c r="B74" i="7"/>
  <c r="B75" i="7"/>
  <c r="B76" i="7"/>
  <c r="B77" i="7"/>
  <c r="B79" i="7"/>
  <c r="B80" i="7"/>
  <c r="B81" i="7"/>
  <c r="B82" i="7"/>
  <c r="B83" i="7"/>
  <c r="B84" i="7"/>
  <c r="B85" i="7"/>
  <c r="B87" i="7"/>
  <c r="B88" i="7"/>
  <c r="B89" i="7"/>
  <c r="B90" i="7"/>
  <c r="B91" i="7"/>
  <c r="B92" i="7"/>
  <c r="B93" i="7"/>
  <c r="B94" i="7"/>
  <c r="B95" i="7"/>
  <c r="B96" i="7"/>
  <c r="B97" i="7"/>
  <c r="B98" i="7"/>
  <c r="B99" i="7"/>
  <c r="B100" i="7"/>
  <c r="B101" i="7"/>
  <c r="B102" i="7"/>
  <c r="B103" i="7"/>
  <c r="B104" i="7"/>
  <c r="B105" i="7"/>
  <c r="B107" i="7"/>
  <c r="B108" i="7"/>
  <c r="B109" i="7"/>
  <c r="B113" i="7"/>
  <c r="B114" i="7"/>
  <c r="B115" i="7"/>
  <c r="B116" i="7"/>
  <c r="B117" i="7"/>
  <c r="B118" i="7"/>
  <c r="B119" i="7"/>
  <c r="B120" i="7"/>
  <c r="B121" i="7"/>
  <c r="B122" i="7"/>
  <c r="B123" i="7"/>
  <c r="B124" i="7"/>
  <c r="B125" i="7"/>
  <c r="B126" i="7"/>
  <c r="B128" i="7"/>
  <c r="B129" i="7"/>
  <c r="B130" i="7"/>
  <c r="B131" i="7"/>
  <c r="B132" i="7"/>
  <c r="B133" i="7"/>
  <c r="B134" i="7"/>
  <c r="B135" i="7"/>
  <c r="B136" i="7"/>
  <c r="B137" i="7"/>
  <c r="B139" i="7"/>
  <c r="B140" i="7"/>
  <c r="B143" i="7"/>
  <c r="B144" i="7"/>
  <c r="B145" i="7"/>
  <c r="B147"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1" i="7"/>
  <c r="B192" i="7"/>
  <c r="B193" i="7"/>
  <c r="B194" i="7"/>
  <c r="B195" i="7"/>
  <c r="B196" i="7"/>
  <c r="B198" i="7"/>
  <c r="B199" i="7"/>
  <c r="B200" i="7"/>
  <c r="B201" i="7"/>
  <c r="B202" i="7"/>
  <c r="B203" i="7"/>
  <c r="B204" i="7"/>
  <c r="B205" i="7"/>
  <c r="B206" i="7"/>
  <c r="B207" i="7"/>
  <c r="B208" i="7"/>
  <c r="B209" i="7"/>
  <c r="B210" i="7"/>
  <c r="B211" i="7"/>
  <c r="B212" i="7"/>
  <c r="B214" i="7"/>
  <c r="B215" i="7"/>
  <c r="B216" i="7"/>
  <c r="B217" i="7"/>
  <c r="B218" i="7"/>
  <c r="B219" i="7"/>
  <c r="B220" i="7"/>
  <c r="B221" i="7"/>
  <c r="B222" i="7"/>
  <c r="B223" i="7"/>
  <c r="B224" i="7"/>
  <c r="B225" i="7"/>
  <c r="B226" i="7"/>
  <c r="B227" i="7"/>
  <c r="B228" i="7"/>
  <c r="B241" i="7"/>
  <c r="B243" i="7"/>
  <c r="B245" i="7"/>
  <c r="B247" i="7"/>
  <c r="AU247" i="7" s="1"/>
  <c r="B248" i="7"/>
  <c r="B249" i="7"/>
  <c r="B250" i="7"/>
  <c r="B251" i="7"/>
  <c r="B253" i="7"/>
  <c r="B254" i="7"/>
  <c r="B255" i="7"/>
  <c r="B256" i="7"/>
  <c r="B257" i="7"/>
  <c r="B258" i="7"/>
  <c r="B259" i="7"/>
  <c r="B260" i="7"/>
  <c r="B261" i="7"/>
  <c r="B262" i="7"/>
  <c r="B263" i="7"/>
  <c r="B264" i="7"/>
  <c r="B270" i="7"/>
  <c r="B271" i="7"/>
  <c r="B272" i="7"/>
  <c r="B273" i="7"/>
  <c r="B274" i="7"/>
  <c r="B276" i="7"/>
  <c r="B277" i="7"/>
  <c r="B278" i="7"/>
  <c r="B279" i="7"/>
  <c r="B3" i="39"/>
  <c r="B7" i="39"/>
  <c r="B21" i="39"/>
  <c r="B46" i="39"/>
  <c r="B52" i="39"/>
  <c r="B78" i="39"/>
  <c r="B146" i="39"/>
  <c r="B240" i="39"/>
  <c r="B4" i="39"/>
  <c r="B5" i="39"/>
  <c r="B6" i="39"/>
  <c r="B8" i="39"/>
  <c r="B10" i="39"/>
  <c r="B11" i="39"/>
  <c r="B22" i="39"/>
  <c r="B23" i="39"/>
  <c r="B24" i="39"/>
  <c r="B25" i="39"/>
  <c r="B26" i="39"/>
  <c r="B27" i="39"/>
  <c r="B29" i="39"/>
  <c r="B30" i="39"/>
  <c r="B31" i="39"/>
  <c r="B32" i="39"/>
  <c r="B33" i="39"/>
  <c r="B34" i="39"/>
  <c r="B35" i="39"/>
  <c r="B36" i="39"/>
  <c r="B37" i="39"/>
  <c r="B38" i="39"/>
  <c r="B39" i="39"/>
  <c r="B40" i="39"/>
  <c r="B41" i="39"/>
  <c r="B42" i="39"/>
  <c r="B43" i="39"/>
  <c r="B44" i="39"/>
  <c r="B45" i="39"/>
  <c r="B47" i="39"/>
  <c r="B48" i="39"/>
  <c r="B50" i="39"/>
  <c r="B51"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9" i="39"/>
  <c r="B80" i="39"/>
  <c r="B81" i="39"/>
  <c r="B82" i="39"/>
  <c r="B83" i="39"/>
  <c r="B84" i="39"/>
  <c r="B85" i="39"/>
  <c r="B87" i="39"/>
  <c r="B88" i="39"/>
  <c r="B89" i="39"/>
  <c r="B90" i="39"/>
  <c r="B91" i="39"/>
  <c r="B92" i="39"/>
  <c r="B93" i="39"/>
  <c r="B94" i="39"/>
  <c r="B95" i="39"/>
  <c r="B96" i="39"/>
  <c r="B97" i="39"/>
  <c r="B98" i="39"/>
  <c r="B99" i="39"/>
  <c r="B100" i="39"/>
  <c r="B101" i="39"/>
  <c r="B102" i="39"/>
  <c r="B103" i="39"/>
  <c r="B104" i="39"/>
  <c r="B105" i="39"/>
  <c r="B107" i="39"/>
  <c r="B108" i="39"/>
  <c r="B109" i="39"/>
  <c r="B113" i="39"/>
  <c r="B114" i="39"/>
  <c r="B115" i="39"/>
  <c r="B116" i="39"/>
  <c r="B117" i="39"/>
  <c r="B118" i="39"/>
  <c r="B119" i="39"/>
  <c r="B120" i="39"/>
  <c r="B121" i="39"/>
  <c r="B122" i="39"/>
  <c r="B123" i="39"/>
  <c r="B124" i="39"/>
  <c r="B125" i="39"/>
  <c r="B126" i="39"/>
  <c r="B128" i="39"/>
  <c r="B129" i="39"/>
  <c r="B130" i="39"/>
  <c r="B131" i="39"/>
  <c r="B132" i="39"/>
  <c r="B133" i="39"/>
  <c r="B134" i="39"/>
  <c r="B135" i="39"/>
  <c r="B136" i="39"/>
  <c r="B137" i="39"/>
  <c r="B139" i="39"/>
  <c r="B140" i="39"/>
  <c r="B143" i="39"/>
  <c r="B144" i="39"/>
  <c r="B145" i="39"/>
  <c r="B147"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B172" i="39"/>
  <c r="B173" i="39"/>
  <c r="B174" i="39"/>
  <c r="B175" i="39"/>
  <c r="B176" i="39"/>
  <c r="B177" i="39"/>
  <c r="B178" i="39"/>
  <c r="B179" i="39"/>
  <c r="B180" i="39"/>
  <c r="B181" i="39"/>
  <c r="B182" i="39"/>
  <c r="B183" i="39"/>
  <c r="B184" i="39"/>
  <c r="B185" i="39"/>
  <c r="B186" i="39"/>
  <c r="B187" i="39"/>
  <c r="B188" i="39"/>
  <c r="B189" i="39"/>
  <c r="B191" i="39"/>
  <c r="B192" i="39"/>
  <c r="B193" i="39"/>
  <c r="B194" i="39"/>
  <c r="B195" i="39"/>
  <c r="B196" i="39"/>
  <c r="B198" i="39"/>
  <c r="B199" i="39"/>
  <c r="B200" i="39"/>
  <c r="B201" i="39"/>
  <c r="B202" i="39"/>
  <c r="B203" i="39"/>
  <c r="B204" i="39"/>
  <c r="B205" i="39"/>
  <c r="B206" i="39"/>
  <c r="B207" i="39"/>
  <c r="B208" i="39"/>
  <c r="B209" i="39"/>
  <c r="B210" i="39"/>
  <c r="B211" i="39"/>
  <c r="B212" i="39"/>
  <c r="B214" i="39"/>
  <c r="B215" i="39"/>
  <c r="B216" i="39"/>
  <c r="B217" i="39"/>
  <c r="B218" i="39"/>
  <c r="B219" i="39"/>
  <c r="B220" i="39"/>
  <c r="B221" i="39"/>
  <c r="B222" i="39"/>
  <c r="B223" i="39"/>
  <c r="B224" i="39"/>
  <c r="B225" i="39"/>
  <c r="B226" i="39"/>
  <c r="B227" i="39"/>
  <c r="B228" i="39"/>
  <c r="B241" i="39"/>
  <c r="B243" i="39"/>
  <c r="B245" i="39"/>
  <c r="B247" i="39"/>
  <c r="B248" i="39"/>
  <c r="B249" i="39"/>
  <c r="B250" i="39"/>
  <c r="B251" i="39"/>
  <c r="B253" i="39"/>
  <c r="B254" i="39"/>
  <c r="B255" i="39"/>
  <c r="B256" i="39"/>
  <c r="B257" i="39"/>
  <c r="B258" i="39"/>
  <c r="B259" i="39"/>
  <c r="B260" i="39"/>
  <c r="B261" i="39"/>
  <c r="B262" i="39"/>
  <c r="B263" i="39"/>
  <c r="B264" i="39"/>
  <c r="B270" i="39"/>
  <c r="B271" i="39"/>
  <c r="B272" i="39"/>
  <c r="B273" i="39"/>
  <c r="B274" i="39"/>
  <c r="B276" i="39"/>
  <c r="B277" i="39"/>
  <c r="B278" i="39"/>
  <c r="B279" i="39"/>
  <c r="B4" i="23"/>
  <c r="B7" i="23"/>
  <c r="B21" i="23"/>
  <c r="B46" i="23"/>
  <c r="B52" i="23"/>
  <c r="B78" i="23"/>
  <c r="B146" i="23"/>
  <c r="B240" i="23"/>
  <c r="B5" i="23"/>
  <c r="B6" i="23"/>
  <c r="B8" i="23"/>
  <c r="B10" i="23"/>
  <c r="B11" i="23"/>
  <c r="B22" i="23"/>
  <c r="B23" i="23"/>
  <c r="B24" i="23"/>
  <c r="B25" i="23"/>
  <c r="B26" i="23"/>
  <c r="B29" i="23"/>
  <c r="B30" i="23"/>
  <c r="B31" i="23"/>
  <c r="B32" i="23"/>
  <c r="B33" i="23"/>
  <c r="B34" i="23"/>
  <c r="B35" i="23"/>
  <c r="B36" i="23"/>
  <c r="B37" i="23"/>
  <c r="B38" i="23"/>
  <c r="B39" i="23"/>
  <c r="B40" i="23"/>
  <c r="B41" i="23"/>
  <c r="B42" i="23"/>
  <c r="B43" i="23"/>
  <c r="B44" i="23"/>
  <c r="B45" i="23"/>
  <c r="B47" i="23"/>
  <c r="B48" i="23"/>
  <c r="B50" i="23"/>
  <c r="B51"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9" i="23"/>
  <c r="B80" i="23"/>
  <c r="B81" i="23"/>
  <c r="B82" i="23"/>
  <c r="B83" i="23"/>
  <c r="B84" i="23"/>
  <c r="B85" i="23"/>
  <c r="B87" i="23"/>
  <c r="B88" i="23"/>
  <c r="B89" i="23"/>
  <c r="B90" i="23"/>
  <c r="B91" i="23"/>
  <c r="B92" i="23"/>
  <c r="B93" i="23"/>
  <c r="B94" i="23"/>
  <c r="B95" i="23"/>
  <c r="B96" i="23"/>
  <c r="B97" i="23"/>
  <c r="B98" i="23"/>
  <c r="B99" i="23"/>
  <c r="B100" i="23"/>
  <c r="B101" i="23"/>
  <c r="B102" i="23"/>
  <c r="B103" i="23"/>
  <c r="B104" i="23"/>
  <c r="B105" i="23"/>
  <c r="B107" i="23"/>
  <c r="B108" i="23"/>
  <c r="B109" i="23"/>
  <c r="B113" i="23"/>
  <c r="B114" i="23"/>
  <c r="B115" i="23"/>
  <c r="B116" i="23"/>
  <c r="B117" i="23"/>
  <c r="B118" i="23"/>
  <c r="B119" i="23"/>
  <c r="B120" i="23"/>
  <c r="B121" i="23"/>
  <c r="B122" i="23"/>
  <c r="B123" i="23"/>
  <c r="B124" i="23"/>
  <c r="B125" i="23"/>
  <c r="B126" i="23"/>
  <c r="B128" i="23"/>
  <c r="B129" i="23"/>
  <c r="B130" i="23"/>
  <c r="B131" i="23"/>
  <c r="B132" i="23"/>
  <c r="B133" i="23"/>
  <c r="B134" i="23"/>
  <c r="B135" i="23"/>
  <c r="B136" i="23"/>
  <c r="B137" i="23"/>
  <c r="B139" i="23"/>
  <c r="B140" i="23"/>
  <c r="B143" i="23"/>
  <c r="B144" i="23"/>
  <c r="B145" i="23"/>
  <c r="B147"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1" i="23"/>
  <c r="B192" i="23"/>
  <c r="B193" i="23"/>
  <c r="B194" i="23"/>
  <c r="B195" i="23"/>
  <c r="B196" i="23"/>
  <c r="B198" i="23"/>
  <c r="B199" i="23"/>
  <c r="B200" i="23"/>
  <c r="B201" i="23"/>
  <c r="B202" i="23"/>
  <c r="B203" i="23"/>
  <c r="B204" i="23"/>
  <c r="B205" i="23"/>
  <c r="B206" i="23"/>
  <c r="B207" i="23"/>
  <c r="B208" i="23"/>
  <c r="B209" i="23"/>
  <c r="B210" i="23"/>
  <c r="B211" i="23"/>
  <c r="B212" i="23"/>
  <c r="B214" i="23"/>
  <c r="B215" i="23"/>
  <c r="B216" i="23"/>
  <c r="B217" i="23"/>
  <c r="B218" i="23"/>
  <c r="B219" i="23"/>
  <c r="B220" i="23"/>
  <c r="B221" i="23"/>
  <c r="B222" i="23"/>
  <c r="B223" i="23"/>
  <c r="B224" i="23"/>
  <c r="B225" i="23"/>
  <c r="B226" i="23"/>
  <c r="B227" i="23"/>
  <c r="B228" i="23"/>
  <c r="B241" i="23"/>
  <c r="B243" i="23"/>
  <c r="B245" i="23"/>
  <c r="B247" i="23"/>
  <c r="B248" i="23"/>
  <c r="B249" i="23"/>
  <c r="B250" i="23"/>
  <c r="B251" i="23"/>
  <c r="B253" i="23"/>
  <c r="B254" i="23"/>
  <c r="B255" i="23"/>
  <c r="B256" i="23"/>
  <c r="B257" i="23"/>
  <c r="B258" i="23"/>
  <c r="B259" i="23"/>
  <c r="B260" i="23"/>
  <c r="B261" i="23"/>
  <c r="B262" i="23"/>
  <c r="B263" i="23"/>
  <c r="B264" i="23"/>
  <c r="B270" i="23"/>
  <c r="B271" i="23"/>
  <c r="B272" i="23"/>
  <c r="B273" i="23"/>
  <c r="B274" i="23"/>
  <c r="B276" i="23"/>
  <c r="B277" i="23"/>
  <c r="B278" i="23"/>
  <c r="B279" i="23"/>
  <c r="B3" i="23"/>
  <c r="B279" i="6"/>
  <c r="B278" i="6"/>
  <c r="B277" i="6"/>
  <c r="B276" i="6"/>
  <c r="B274" i="6"/>
  <c r="B273" i="6"/>
  <c r="B272" i="6"/>
  <c r="B271" i="6"/>
  <c r="B270" i="6"/>
  <c r="B264" i="6"/>
  <c r="B263" i="6"/>
  <c r="B262" i="6"/>
  <c r="B261" i="6"/>
  <c r="B260" i="6"/>
  <c r="B259" i="6"/>
  <c r="B258" i="6"/>
  <c r="B257" i="6"/>
  <c r="B256" i="6"/>
  <c r="B255" i="6"/>
  <c r="B254" i="6"/>
  <c r="B253" i="6"/>
  <c r="B251" i="6"/>
  <c r="B250" i="6"/>
  <c r="B249" i="6"/>
  <c r="B248" i="6"/>
  <c r="B247" i="6"/>
  <c r="T247" i="6" s="1"/>
  <c r="B245" i="6"/>
  <c r="B243" i="6"/>
  <c r="B241" i="6"/>
  <c r="B240" i="6"/>
  <c r="T240" i="6" s="1"/>
  <c r="B228" i="6"/>
  <c r="B227" i="6"/>
  <c r="B226" i="6"/>
  <c r="B225" i="6"/>
  <c r="B224" i="6"/>
  <c r="B223" i="6"/>
  <c r="B222" i="6"/>
  <c r="B221" i="6"/>
  <c r="B220" i="6"/>
  <c r="B219" i="6"/>
  <c r="B218" i="6"/>
  <c r="B217" i="6"/>
  <c r="B216" i="6"/>
  <c r="B215" i="6"/>
  <c r="B214" i="6"/>
  <c r="B212" i="6"/>
  <c r="B211" i="6"/>
  <c r="B210" i="6"/>
  <c r="B209" i="6"/>
  <c r="B208" i="6"/>
  <c r="B207" i="6"/>
  <c r="B206" i="6"/>
  <c r="B205" i="6"/>
  <c r="B204" i="6"/>
  <c r="B203" i="6"/>
  <c r="B202" i="6"/>
  <c r="B201" i="6"/>
  <c r="B200" i="6"/>
  <c r="B199" i="6"/>
  <c r="B198" i="6"/>
  <c r="B196" i="6"/>
  <c r="B195" i="6"/>
  <c r="B194" i="6"/>
  <c r="B193" i="6"/>
  <c r="B192" i="6"/>
  <c r="B191"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7" i="6"/>
  <c r="B146" i="6"/>
  <c r="T146" i="6" s="1"/>
  <c r="B145" i="6"/>
  <c r="B144" i="6"/>
  <c r="B143" i="6"/>
  <c r="B140" i="6"/>
  <c r="B139" i="6"/>
  <c r="B137" i="6"/>
  <c r="B136" i="6"/>
  <c r="B135" i="6"/>
  <c r="B134" i="6"/>
  <c r="B133" i="6"/>
  <c r="B132" i="6"/>
  <c r="B131" i="6"/>
  <c r="B130" i="6"/>
  <c r="B129" i="6"/>
  <c r="B128" i="6"/>
  <c r="B126" i="6"/>
  <c r="B125" i="6"/>
  <c r="B124" i="6"/>
  <c r="B123" i="6"/>
  <c r="B122" i="6"/>
  <c r="B121" i="6"/>
  <c r="B120" i="6"/>
  <c r="B119" i="6"/>
  <c r="B118" i="6"/>
  <c r="B117" i="6"/>
  <c r="B116" i="6"/>
  <c r="B115" i="6"/>
  <c r="B114" i="6"/>
  <c r="B113" i="6"/>
  <c r="B109" i="6"/>
  <c r="B108" i="6"/>
  <c r="B107" i="6"/>
  <c r="B105" i="6"/>
  <c r="B104" i="6"/>
  <c r="B103" i="6"/>
  <c r="B102" i="6"/>
  <c r="B101" i="6"/>
  <c r="B100" i="6"/>
  <c r="B99" i="6"/>
  <c r="B98" i="6"/>
  <c r="B97" i="6"/>
  <c r="B96" i="6"/>
  <c r="B95" i="6"/>
  <c r="B94" i="6"/>
  <c r="B93" i="6"/>
  <c r="B92" i="6"/>
  <c r="B91" i="6"/>
  <c r="B90" i="6"/>
  <c r="B89" i="6"/>
  <c r="B88" i="6"/>
  <c r="B87" i="6"/>
  <c r="B85" i="6"/>
  <c r="B84" i="6"/>
  <c r="B83" i="6"/>
  <c r="B82" i="6"/>
  <c r="B81" i="6"/>
  <c r="B80" i="6"/>
  <c r="B79" i="6"/>
  <c r="B78" i="6"/>
  <c r="T78" i="6" s="1"/>
  <c r="B77" i="6"/>
  <c r="B76" i="6"/>
  <c r="B75" i="6"/>
  <c r="B74" i="6"/>
  <c r="B73" i="6"/>
  <c r="B72" i="6"/>
  <c r="B71" i="6"/>
  <c r="B70" i="6"/>
  <c r="B69" i="6"/>
  <c r="B68" i="6"/>
  <c r="B67" i="6"/>
  <c r="B66" i="6"/>
  <c r="B65" i="6"/>
  <c r="B64" i="6"/>
  <c r="B63" i="6"/>
  <c r="B62" i="6"/>
  <c r="B61" i="6"/>
  <c r="B60" i="6"/>
  <c r="B59" i="6"/>
  <c r="B58" i="6"/>
  <c r="B57" i="6"/>
  <c r="B56" i="6"/>
  <c r="B55" i="6"/>
  <c r="B54" i="6"/>
  <c r="B53" i="6"/>
  <c r="B52" i="6"/>
  <c r="T52" i="6" s="1"/>
  <c r="B51" i="6"/>
  <c r="B50" i="6"/>
  <c r="B48" i="6"/>
  <c r="B47" i="6"/>
  <c r="B46" i="6"/>
  <c r="T46" i="6" s="1"/>
  <c r="B45" i="6"/>
  <c r="B44" i="6"/>
  <c r="B43" i="6"/>
  <c r="B42" i="6"/>
  <c r="B41" i="6"/>
  <c r="B40" i="6"/>
  <c r="B39" i="6"/>
  <c r="B38" i="6"/>
  <c r="B37" i="6"/>
  <c r="B36" i="6"/>
  <c r="B35" i="6"/>
  <c r="B34" i="6"/>
  <c r="B33" i="6"/>
  <c r="B32" i="6"/>
  <c r="B31" i="6"/>
  <c r="B30" i="6"/>
  <c r="B29" i="6"/>
  <c r="B27" i="6"/>
  <c r="B26" i="6"/>
  <c r="B25" i="6"/>
  <c r="B24" i="6"/>
  <c r="B23" i="6"/>
  <c r="B22" i="6"/>
  <c r="B21" i="6"/>
  <c r="T21" i="6" s="1"/>
  <c r="B11" i="6"/>
  <c r="B10" i="6"/>
  <c r="B8" i="6"/>
  <c r="B7" i="6"/>
  <c r="T7" i="6" s="1"/>
  <c r="B6" i="6"/>
  <c r="B5" i="6"/>
  <c r="B4" i="6"/>
  <c r="B3" i="6"/>
  <c r="T3" i="6" s="1"/>
  <c r="B279" i="26"/>
  <c r="B278" i="26"/>
  <c r="B277" i="26"/>
  <c r="B276" i="26"/>
  <c r="B274" i="26"/>
  <c r="B273" i="26"/>
  <c r="B272" i="26"/>
  <c r="B271" i="26"/>
  <c r="B270" i="26"/>
  <c r="B264" i="26"/>
  <c r="B263" i="26"/>
  <c r="B262" i="26"/>
  <c r="B261" i="26"/>
  <c r="B260" i="26"/>
  <c r="B259" i="26"/>
  <c r="B258" i="26"/>
  <c r="B257" i="26"/>
  <c r="B256" i="26"/>
  <c r="B255" i="26"/>
  <c r="B254" i="26"/>
  <c r="B253" i="26"/>
  <c r="B251" i="26"/>
  <c r="B250" i="26"/>
  <c r="B249" i="26"/>
  <c r="B248" i="26"/>
  <c r="B245" i="26"/>
  <c r="B243" i="26"/>
  <c r="B241" i="26"/>
  <c r="B228" i="26"/>
  <c r="B227" i="26"/>
  <c r="B226" i="26"/>
  <c r="B225" i="26"/>
  <c r="B224" i="26"/>
  <c r="B223" i="26"/>
  <c r="B222" i="26"/>
  <c r="B221" i="26"/>
  <c r="B220" i="26"/>
  <c r="B219" i="26"/>
  <c r="B218" i="26"/>
  <c r="B217" i="26"/>
  <c r="B216" i="26"/>
  <c r="B215" i="26"/>
  <c r="B214" i="26"/>
  <c r="B212" i="26"/>
  <c r="B211" i="26"/>
  <c r="B210" i="26"/>
  <c r="B209" i="26"/>
  <c r="B208" i="26"/>
  <c r="B207" i="26"/>
  <c r="B206" i="26"/>
  <c r="B205" i="26"/>
  <c r="B204" i="26"/>
  <c r="B203" i="26"/>
  <c r="B202" i="26"/>
  <c r="B201" i="26"/>
  <c r="B200" i="26"/>
  <c r="B199" i="26"/>
  <c r="B198" i="26"/>
  <c r="B196" i="26"/>
  <c r="B195" i="26"/>
  <c r="B194" i="26"/>
  <c r="B193" i="26"/>
  <c r="B192" i="26"/>
  <c r="B191"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7" i="26"/>
  <c r="B145" i="26"/>
  <c r="B144" i="26"/>
  <c r="B143" i="26"/>
  <c r="B140" i="26"/>
  <c r="B139" i="26"/>
  <c r="B137" i="26"/>
  <c r="B136" i="26"/>
  <c r="B135" i="26"/>
  <c r="B134" i="26"/>
  <c r="B133" i="26"/>
  <c r="B132" i="26"/>
  <c r="B131" i="26"/>
  <c r="B130" i="26"/>
  <c r="B129" i="26"/>
  <c r="B128" i="26"/>
  <c r="B126" i="26"/>
  <c r="B125" i="26"/>
  <c r="B124" i="26"/>
  <c r="B123" i="26"/>
  <c r="B122" i="26"/>
  <c r="B121" i="26"/>
  <c r="B120" i="26"/>
  <c r="B119" i="26"/>
  <c r="B118" i="26"/>
  <c r="B117" i="26"/>
  <c r="B116" i="26"/>
  <c r="B115" i="26"/>
  <c r="B114" i="26"/>
  <c r="B113" i="26"/>
  <c r="B109" i="26"/>
  <c r="B108" i="26"/>
  <c r="B107" i="26"/>
  <c r="B105" i="26"/>
  <c r="B104" i="26"/>
  <c r="B103" i="26"/>
  <c r="B102" i="26"/>
  <c r="B101" i="26"/>
  <c r="B100" i="26"/>
  <c r="B99" i="26"/>
  <c r="B98" i="26"/>
  <c r="B97" i="26"/>
  <c r="B96" i="26"/>
  <c r="B95" i="26"/>
  <c r="B94" i="26"/>
  <c r="B93" i="26"/>
  <c r="B92" i="26"/>
  <c r="B91" i="26"/>
  <c r="B90" i="26"/>
  <c r="B89" i="26"/>
  <c r="B88" i="26"/>
  <c r="B87" i="26"/>
  <c r="B85" i="26"/>
  <c r="B84" i="26"/>
  <c r="B83" i="26"/>
  <c r="B82" i="26"/>
  <c r="B81" i="26"/>
  <c r="B80" i="26"/>
  <c r="B79"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1" i="26"/>
  <c r="B50" i="26"/>
  <c r="B48" i="26"/>
  <c r="B47" i="26"/>
  <c r="B45" i="26"/>
  <c r="B44" i="26"/>
  <c r="B43" i="26"/>
  <c r="B42" i="26"/>
  <c r="B41" i="26"/>
  <c r="B40" i="26"/>
  <c r="B39" i="26"/>
  <c r="B38" i="26"/>
  <c r="B37" i="26"/>
  <c r="B36" i="26"/>
  <c r="B35" i="26"/>
  <c r="B34" i="26"/>
  <c r="B33" i="26"/>
  <c r="B32" i="26"/>
  <c r="B31" i="26"/>
  <c r="B30" i="26"/>
  <c r="B29" i="26"/>
  <c r="B27" i="26"/>
  <c r="B26" i="26"/>
  <c r="B25" i="26"/>
  <c r="B24" i="26"/>
  <c r="B23" i="26"/>
  <c r="B22" i="26"/>
  <c r="B11" i="26"/>
  <c r="B8" i="26"/>
  <c r="B5" i="26"/>
  <c r="B6" i="26"/>
  <c r="B4" i="26"/>
  <c r="B247" i="26"/>
  <c r="B240" i="26"/>
  <c r="B146" i="26"/>
  <c r="B78" i="26"/>
  <c r="B52" i="26"/>
  <c r="B46" i="26"/>
  <c r="B21" i="26"/>
  <c r="B7" i="26"/>
  <c r="B3" i="26"/>
  <c r="B279" i="28"/>
  <c r="B278" i="28"/>
  <c r="B277" i="28"/>
  <c r="B276" i="28"/>
  <c r="B274" i="28"/>
  <c r="B273" i="28"/>
  <c r="B272" i="28"/>
  <c r="B271" i="28"/>
  <c r="B270" i="28"/>
  <c r="B264" i="28"/>
  <c r="B263" i="28"/>
  <c r="B262" i="28"/>
  <c r="B261" i="28"/>
  <c r="B260" i="28"/>
  <c r="B259" i="28"/>
  <c r="B258" i="28"/>
  <c r="B257" i="28"/>
  <c r="B256" i="28"/>
  <c r="B255" i="28"/>
  <c r="B254" i="28"/>
  <c r="B253" i="28"/>
  <c r="B251" i="28"/>
  <c r="B250" i="28"/>
  <c r="B249" i="28"/>
  <c r="B248" i="28"/>
  <c r="B247" i="28"/>
  <c r="B245" i="28"/>
  <c r="B243" i="28"/>
  <c r="B241" i="28"/>
  <c r="B240" i="28"/>
  <c r="B228" i="28"/>
  <c r="B227" i="28"/>
  <c r="B226" i="28"/>
  <c r="B225" i="28"/>
  <c r="B224" i="28"/>
  <c r="B223" i="28"/>
  <c r="B222" i="28"/>
  <c r="B221" i="28"/>
  <c r="B220" i="28"/>
  <c r="B219" i="28"/>
  <c r="B218" i="28"/>
  <c r="B217" i="28"/>
  <c r="B216" i="28"/>
  <c r="B215" i="28"/>
  <c r="B214" i="28"/>
  <c r="B212" i="28"/>
  <c r="B211" i="28"/>
  <c r="B210" i="28"/>
  <c r="B209" i="28"/>
  <c r="B208" i="28"/>
  <c r="B207" i="28"/>
  <c r="B206" i="28"/>
  <c r="B205" i="28"/>
  <c r="B204" i="28"/>
  <c r="B203" i="28"/>
  <c r="B202" i="28"/>
  <c r="B201" i="28"/>
  <c r="B200" i="28"/>
  <c r="B199" i="28"/>
  <c r="B198" i="28"/>
  <c r="B196" i="28"/>
  <c r="B195" i="28"/>
  <c r="B194" i="28"/>
  <c r="B193" i="28"/>
  <c r="B192" i="28"/>
  <c r="B191"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8" i="28"/>
  <c r="B157" i="28"/>
  <c r="B156" i="28"/>
  <c r="B155" i="28"/>
  <c r="B154" i="28"/>
  <c r="B153" i="28"/>
  <c r="B152" i="28"/>
  <c r="B151" i="28"/>
  <c r="B150" i="28"/>
  <c r="B149" i="28"/>
  <c r="B147" i="28"/>
  <c r="B146" i="28"/>
  <c r="B145" i="28"/>
  <c r="B144" i="28"/>
  <c r="B143" i="28"/>
  <c r="B140" i="28"/>
  <c r="B139" i="28"/>
  <c r="B137" i="28"/>
  <c r="B136" i="28"/>
  <c r="B135" i="28"/>
  <c r="B134" i="28"/>
  <c r="B133" i="28"/>
  <c r="B132" i="28"/>
  <c r="B131" i="28"/>
  <c r="B130" i="28"/>
  <c r="B129" i="28"/>
  <c r="B128" i="28"/>
  <c r="B126" i="28"/>
  <c r="B125" i="28"/>
  <c r="B124" i="28"/>
  <c r="B123" i="28"/>
  <c r="B122" i="28"/>
  <c r="B121" i="28"/>
  <c r="B120" i="28"/>
  <c r="B119" i="28"/>
  <c r="B118" i="28"/>
  <c r="B117" i="28"/>
  <c r="B116" i="28"/>
  <c r="B115" i="28"/>
  <c r="B114" i="28"/>
  <c r="B113" i="28"/>
  <c r="B109" i="28"/>
  <c r="B108" i="28"/>
  <c r="B107" i="28"/>
  <c r="B105" i="28"/>
  <c r="B104" i="28"/>
  <c r="B103" i="28"/>
  <c r="B102" i="28"/>
  <c r="B101" i="28"/>
  <c r="B100" i="28"/>
  <c r="B99" i="28"/>
  <c r="B98" i="28"/>
  <c r="B97" i="28"/>
  <c r="B96" i="28"/>
  <c r="B95" i="28"/>
  <c r="B94" i="28"/>
  <c r="B93" i="28"/>
  <c r="B92" i="28"/>
  <c r="B91" i="28"/>
  <c r="B90" i="28"/>
  <c r="B89" i="28"/>
  <c r="B88" i="28"/>
  <c r="B87"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8" i="28"/>
  <c r="B47" i="28"/>
  <c r="B46" i="28"/>
  <c r="B45" i="28"/>
  <c r="B44" i="28"/>
  <c r="B43" i="28"/>
  <c r="B42" i="28"/>
  <c r="B41" i="28"/>
  <c r="B40" i="28"/>
  <c r="B39" i="28"/>
  <c r="B38" i="28"/>
  <c r="B37" i="28"/>
  <c r="B36" i="28"/>
  <c r="B35" i="28"/>
  <c r="B34" i="28"/>
  <c r="B33" i="28"/>
  <c r="B32" i="28"/>
  <c r="B31" i="28"/>
  <c r="B30" i="28"/>
  <c r="B29" i="28"/>
  <c r="B27" i="28"/>
  <c r="B26" i="28"/>
  <c r="B25" i="28"/>
  <c r="B24" i="28"/>
  <c r="B23" i="28"/>
  <c r="B22" i="28"/>
  <c r="B21" i="28"/>
  <c r="B11" i="28"/>
  <c r="B10" i="28"/>
  <c r="B8" i="28"/>
  <c r="B7" i="28"/>
  <c r="B6" i="28"/>
  <c r="B5" i="28"/>
  <c r="B4" i="28"/>
  <c r="B3" i="28"/>
  <c r="B279" i="21"/>
  <c r="B278" i="21"/>
  <c r="B277" i="21"/>
  <c r="B276" i="21"/>
  <c r="B274" i="21"/>
  <c r="B273" i="21"/>
  <c r="B272" i="21"/>
  <c r="B271" i="21"/>
  <c r="B270" i="21"/>
  <c r="B264" i="21"/>
  <c r="B263" i="21"/>
  <c r="B262" i="21"/>
  <c r="B261" i="21"/>
  <c r="B260" i="21"/>
  <c r="B259" i="21"/>
  <c r="B258" i="21"/>
  <c r="B257" i="21"/>
  <c r="B256" i="21"/>
  <c r="B255" i="21"/>
  <c r="B254" i="21"/>
  <c r="B253" i="21"/>
  <c r="B251" i="21"/>
  <c r="B250" i="21"/>
  <c r="B249" i="21"/>
  <c r="B248" i="21"/>
  <c r="B247" i="21"/>
  <c r="B245" i="21"/>
  <c r="B243" i="21"/>
  <c r="B241" i="21"/>
  <c r="B240" i="21"/>
  <c r="B228" i="21"/>
  <c r="B227" i="21"/>
  <c r="B226" i="21"/>
  <c r="B225" i="21"/>
  <c r="B224" i="21"/>
  <c r="B223" i="21"/>
  <c r="B222" i="21"/>
  <c r="B221" i="21"/>
  <c r="B220" i="21"/>
  <c r="B219" i="21"/>
  <c r="B218" i="21"/>
  <c r="B217" i="21"/>
  <c r="B216" i="21"/>
  <c r="B215" i="21"/>
  <c r="B214" i="21"/>
  <c r="B212" i="21"/>
  <c r="B211" i="21"/>
  <c r="B210" i="21"/>
  <c r="B209" i="21"/>
  <c r="B208" i="21"/>
  <c r="B207" i="21"/>
  <c r="B206" i="21"/>
  <c r="B205" i="21"/>
  <c r="B204" i="21"/>
  <c r="B203" i="21"/>
  <c r="B202" i="21"/>
  <c r="B201" i="21"/>
  <c r="B200" i="21"/>
  <c r="B199" i="21"/>
  <c r="B198" i="21"/>
  <c r="B196" i="21"/>
  <c r="B195" i="21"/>
  <c r="B194" i="21"/>
  <c r="B193" i="21"/>
  <c r="B192" i="21"/>
  <c r="B191" i="21"/>
  <c r="B189" i="21"/>
  <c r="B188" i="21"/>
  <c r="B187" i="21"/>
  <c r="B186" i="21"/>
  <c r="B185" i="21"/>
  <c r="B184" i="21"/>
  <c r="B183" i="21"/>
  <c r="B182" i="21"/>
  <c r="B181" i="21"/>
  <c r="B180" i="21"/>
  <c r="B179" i="21"/>
  <c r="B178" i="21"/>
  <c r="B177" i="21"/>
  <c r="B176" i="21"/>
  <c r="B175" i="21"/>
  <c r="B174" i="21"/>
  <c r="B173" i="21"/>
  <c r="B172" i="21"/>
  <c r="B171" i="21"/>
  <c r="B170" i="21"/>
  <c r="B169" i="21"/>
  <c r="B168" i="21"/>
  <c r="B167" i="21"/>
  <c r="B166" i="21"/>
  <c r="B165" i="21"/>
  <c r="B164" i="21"/>
  <c r="B163" i="21"/>
  <c r="B162" i="21"/>
  <c r="B161" i="21"/>
  <c r="B160" i="21"/>
  <c r="B159" i="21"/>
  <c r="B158" i="21"/>
  <c r="B157" i="21"/>
  <c r="B156" i="21"/>
  <c r="B155" i="21"/>
  <c r="B154" i="21"/>
  <c r="B153" i="21"/>
  <c r="B152" i="21"/>
  <c r="B151" i="21"/>
  <c r="B150" i="21"/>
  <c r="B149" i="21"/>
  <c r="B147" i="21"/>
  <c r="B146" i="21"/>
  <c r="B145" i="21"/>
  <c r="B144" i="21"/>
  <c r="B143" i="21"/>
  <c r="B140" i="21"/>
  <c r="B139" i="21"/>
  <c r="B137" i="21"/>
  <c r="B136" i="21"/>
  <c r="B135" i="21"/>
  <c r="B134" i="21"/>
  <c r="B133" i="21"/>
  <c r="B132" i="21"/>
  <c r="B131" i="21"/>
  <c r="B130" i="21"/>
  <c r="B129" i="21"/>
  <c r="B128" i="21"/>
  <c r="B126" i="21"/>
  <c r="B125" i="21"/>
  <c r="B124" i="21"/>
  <c r="B123" i="21"/>
  <c r="B122" i="21"/>
  <c r="B121" i="21"/>
  <c r="B120" i="21"/>
  <c r="B119" i="21"/>
  <c r="B118" i="21"/>
  <c r="B117" i="21"/>
  <c r="B116" i="21"/>
  <c r="B115" i="21"/>
  <c r="B114" i="21"/>
  <c r="B113" i="21"/>
  <c r="B109" i="21"/>
  <c r="B108" i="21"/>
  <c r="B107" i="21"/>
  <c r="B105" i="21"/>
  <c r="B104" i="21"/>
  <c r="B103" i="21"/>
  <c r="B102" i="21"/>
  <c r="B101" i="21"/>
  <c r="B100" i="21"/>
  <c r="B99" i="21"/>
  <c r="B98" i="21"/>
  <c r="B97" i="21"/>
  <c r="B96" i="21"/>
  <c r="B95" i="21"/>
  <c r="B94" i="21"/>
  <c r="B93" i="21"/>
  <c r="B92" i="21"/>
  <c r="B91" i="21"/>
  <c r="B90" i="21"/>
  <c r="B89" i="21"/>
  <c r="B88" i="21"/>
  <c r="B87"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8" i="21"/>
  <c r="B47" i="21"/>
  <c r="B46" i="21"/>
  <c r="B45" i="21"/>
  <c r="B44" i="21"/>
  <c r="B43" i="21"/>
  <c r="B42" i="21"/>
  <c r="B41" i="21"/>
  <c r="B40" i="21"/>
  <c r="B39" i="21"/>
  <c r="B38" i="21"/>
  <c r="B37" i="21"/>
  <c r="B36" i="21"/>
  <c r="B35" i="21"/>
  <c r="B34" i="21"/>
  <c r="B33" i="21"/>
  <c r="B32" i="21"/>
  <c r="B31" i="21"/>
  <c r="B30" i="21"/>
  <c r="B29" i="21"/>
  <c r="B27" i="21"/>
  <c r="B26" i="21"/>
  <c r="B25" i="21"/>
  <c r="B24" i="21"/>
  <c r="B23" i="21"/>
  <c r="B22" i="21"/>
  <c r="B21" i="21"/>
  <c r="B11" i="21"/>
  <c r="B10" i="21"/>
  <c r="B8" i="21"/>
  <c r="B7" i="21"/>
  <c r="B6" i="21"/>
  <c r="B5" i="21"/>
  <c r="B4" i="21"/>
  <c r="B3" i="21"/>
  <c r="B279" i="25"/>
  <c r="B278" i="25"/>
  <c r="B277" i="25"/>
  <c r="B276" i="25"/>
  <c r="B274" i="25"/>
  <c r="B273" i="25"/>
  <c r="B272" i="25"/>
  <c r="B271" i="25"/>
  <c r="B270" i="25"/>
  <c r="B264" i="25"/>
  <c r="B263" i="25"/>
  <c r="B262" i="25"/>
  <c r="B261" i="25"/>
  <c r="B260" i="25"/>
  <c r="B259" i="25"/>
  <c r="B258" i="25"/>
  <c r="B257" i="25"/>
  <c r="B256" i="25"/>
  <c r="B255" i="25"/>
  <c r="B254" i="25"/>
  <c r="B253" i="25"/>
  <c r="B251" i="25"/>
  <c r="B250" i="25"/>
  <c r="B249" i="25"/>
  <c r="B248" i="25"/>
  <c r="B247" i="25"/>
  <c r="B245" i="25"/>
  <c r="B243" i="25"/>
  <c r="B241" i="25"/>
  <c r="B240" i="25"/>
  <c r="B228" i="25"/>
  <c r="B227" i="25"/>
  <c r="B226" i="25"/>
  <c r="B225" i="25"/>
  <c r="B224" i="25"/>
  <c r="B223" i="25"/>
  <c r="B222" i="25"/>
  <c r="B221" i="25"/>
  <c r="B220" i="25"/>
  <c r="B219" i="25"/>
  <c r="B218" i="25"/>
  <c r="B217" i="25"/>
  <c r="B216" i="25"/>
  <c r="B215" i="25"/>
  <c r="B214" i="25"/>
  <c r="B212" i="25"/>
  <c r="B211" i="25"/>
  <c r="B210" i="25"/>
  <c r="B209" i="25"/>
  <c r="B208" i="25"/>
  <c r="B207" i="25"/>
  <c r="B206" i="25"/>
  <c r="B205" i="25"/>
  <c r="B204" i="25"/>
  <c r="B203" i="25"/>
  <c r="B202" i="25"/>
  <c r="B201" i="25"/>
  <c r="B200" i="25"/>
  <c r="B199" i="25"/>
  <c r="B198" i="25"/>
  <c r="B196" i="25"/>
  <c r="B195" i="25"/>
  <c r="B194" i="25"/>
  <c r="B193" i="25"/>
  <c r="B192" i="25"/>
  <c r="B191"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7" i="25"/>
  <c r="B146" i="25"/>
  <c r="B145" i="25"/>
  <c r="B144" i="25"/>
  <c r="B143" i="25"/>
  <c r="B140" i="25"/>
  <c r="B139" i="25"/>
  <c r="B137" i="25"/>
  <c r="B136" i="25"/>
  <c r="B135" i="25"/>
  <c r="B134" i="25"/>
  <c r="B133" i="25"/>
  <c r="B132" i="25"/>
  <c r="B131" i="25"/>
  <c r="B130" i="25"/>
  <c r="B129" i="25"/>
  <c r="B128" i="25"/>
  <c r="B126" i="25"/>
  <c r="B125" i="25"/>
  <c r="B124" i="25"/>
  <c r="B123" i="25"/>
  <c r="B122" i="25"/>
  <c r="B121" i="25"/>
  <c r="B120" i="25"/>
  <c r="B119" i="25"/>
  <c r="B118" i="25"/>
  <c r="B117" i="25"/>
  <c r="B116" i="25"/>
  <c r="B115" i="25"/>
  <c r="B114" i="25"/>
  <c r="B113" i="25"/>
  <c r="B109" i="25"/>
  <c r="B108" i="25"/>
  <c r="B107" i="25"/>
  <c r="B105" i="25"/>
  <c r="B104" i="25"/>
  <c r="B103" i="25"/>
  <c r="B102" i="25"/>
  <c r="B101" i="25"/>
  <c r="B100" i="25"/>
  <c r="B99" i="25"/>
  <c r="B98" i="25"/>
  <c r="B97" i="25"/>
  <c r="B96" i="25"/>
  <c r="B95" i="25"/>
  <c r="B94" i="25"/>
  <c r="B93" i="25"/>
  <c r="B92" i="25"/>
  <c r="B91" i="25"/>
  <c r="B90" i="25"/>
  <c r="B89" i="25"/>
  <c r="B88" i="25"/>
  <c r="B87"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8" i="25"/>
  <c r="B47" i="25"/>
  <c r="B46" i="25"/>
  <c r="B45" i="25"/>
  <c r="B44" i="25"/>
  <c r="B43" i="25"/>
  <c r="B42" i="25"/>
  <c r="B41" i="25"/>
  <c r="B40" i="25"/>
  <c r="B39" i="25"/>
  <c r="B38" i="25"/>
  <c r="B37" i="25"/>
  <c r="B36" i="25"/>
  <c r="B35" i="25"/>
  <c r="B34" i="25"/>
  <c r="B33" i="25"/>
  <c r="B32" i="25"/>
  <c r="B31" i="25"/>
  <c r="B30" i="25"/>
  <c r="B29" i="25"/>
  <c r="B27" i="25"/>
  <c r="B26" i="25"/>
  <c r="B25" i="25"/>
  <c r="B24" i="25"/>
  <c r="B23" i="25"/>
  <c r="B22" i="25"/>
  <c r="B21" i="25"/>
  <c r="B11" i="25"/>
  <c r="B10" i="25"/>
  <c r="B8" i="25"/>
  <c r="B7" i="25"/>
  <c r="B6" i="25"/>
  <c r="B5" i="25"/>
  <c r="B4" i="25"/>
  <c r="B3" i="25"/>
  <c r="B10" i="15"/>
  <c r="B8" i="15"/>
  <c r="B7" i="15"/>
  <c r="B6" i="15"/>
  <c r="B5" i="15"/>
  <c r="B4" i="15"/>
  <c r="B3" i="15"/>
  <c r="B2" i="15"/>
  <c r="AN196" i="7"/>
  <c r="AO196" i="7"/>
  <c r="AP196" i="7"/>
  <c r="AQ196" i="7"/>
  <c r="C196" i="21"/>
  <c r="D196" i="21"/>
  <c r="E196" i="21"/>
  <c r="D218" i="23"/>
  <c r="D206" i="23"/>
  <c r="D135" i="23"/>
  <c r="D81" i="23"/>
  <c r="D30" i="23"/>
  <c r="F279" i="23"/>
  <c r="F272" i="23"/>
  <c r="F271" i="23"/>
  <c r="F251" i="23"/>
  <c r="F245" i="23"/>
  <c r="F243" i="23"/>
  <c r="F241" i="23"/>
  <c r="F219" i="23"/>
  <c r="F207" i="23"/>
  <c r="F203" i="23"/>
  <c r="F201" i="23"/>
  <c r="F200" i="23"/>
  <c r="F191" i="23"/>
  <c r="F187" i="23"/>
  <c r="F186" i="23"/>
  <c r="F183" i="23"/>
  <c r="F176" i="23"/>
  <c r="F168" i="23"/>
  <c r="F166" i="23"/>
  <c r="F165" i="23"/>
  <c r="F155" i="23"/>
  <c r="F154" i="23"/>
  <c r="F134" i="23"/>
  <c r="F133" i="23"/>
  <c r="F130" i="23"/>
  <c r="F125" i="23"/>
  <c r="F108" i="23"/>
  <c r="F102" i="23"/>
  <c r="F100" i="23"/>
  <c r="F98" i="23"/>
  <c r="F93" i="23"/>
  <c r="F92" i="23"/>
  <c r="F90" i="23"/>
  <c r="F88" i="23"/>
  <c r="F76" i="23"/>
  <c r="F75" i="23"/>
  <c r="F74" i="23"/>
  <c r="F72" i="23"/>
  <c r="F68" i="23"/>
  <c r="F67" i="23"/>
  <c r="F63" i="23"/>
  <c r="F62" i="23"/>
  <c r="F60" i="23"/>
  <c r="F59" i="23"/>
  <c r="F58" i="23"/>
  <c r="F57" i="23"/>
  <c r="F56" i="23"/>
  <c r="F54" i="23"/>
  <c r="F51" i="23"/>
  <c r="F48" i="23"/>
  <c r="F47" i="23"/>
  <c r="F36" i="23"/>
  <c r="F34" i="23"/>
  <c r="F11" i="23"/>
  <c r="F10" i="23"/>
  <c r="F4" i="23"/>
  <c r="E280" i="21"/>
  <c r="E279" i="21"/>
  <c r="E278" i="21"/>
  <c r="E277" i="21"/>
  <c r="E276" i="21"/>
  <c r="E274" i="21"/>
  <c r="E273" i="21"/>
  <c r="E272" i="21"/>
  <c r="E271" i="21"/>
  <c r="E270" i="21"/>
  <c r="E264" i="21"/>
  <c r="E263" i="21"/>
  <c r="E262" i="21"/>
  <c r="E261" i="21"/>
  <c r="E260" i="21"/>
  <c r="E259" i="21"/>
  <c r="E258" i="21"/>
  <c r="E257" i="21"/>
  <c r="E256" i="21"/>
  <c r="E255" i="21"/>
  <c r="E254" i="21"/>
  <c r="E253" i="21"/>
  <c r="E251" i="21"/>
  <c r="E250" i="21"/>
  <c r="E249" i="21"/>
  <c r="E248" i="21"/>
  <c r="E245" i="21"/>
  <c r="E243" i="21"/>
  <c r="E241" i="21"/>
  <c r="E228" i="21"/>
  <c r="E227" i="21"/>
  <c r="E226" i="21"/>
  <c r="E225" i="21"/>
  <c r="E224" i="21"/>
  <c r="E223" i="21"/>
  <c r="E222" i="21"/>
  <c r="E221" i="21"/>
  <c r="E220" i="21"/>
  <c r="E219" i="21"/>
  <c r="E218" i="21"/>
  <c r="E217" i="21"/>
  <c r="E216" i="21"/>
  <c r="E215" i="21"/>
  <c r="E214" i="21"/>
  <c r="E212" i="21"/>
  <c r="E211" i="21"/>
  <c r="E210" i="21"/>
  <c r="E209" i="21"/>
  <c r="C209" i="21"/>
  <c r="D209" i="21"/>
  <c r="G209" i="21" s="1"/>
  <c r="D209" i="25" s="1"/>
  <c r="E208" i="21"/>
  <c r="E207" i="21"/>
  <c r="E206" i="21"/>
  <c r="E205" i="21"/>
  <c r="E204" i="21"/>
  <c r="E203" i="21"/>
  <c r="E202" i="21"/>
  <c r="E201" i="21"/>
  <c r="E200" i="21"/>
  <c r="E199" i="21"/>
  <c r="E198" i="21"/>
  <c r="E195" i="21"/>
  <c r="E194" i="21"/>
  <c r="E193" i="21"/>
  <c r="E192" i="21"/>
  <c r="E191"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60" i="21"/>
  <c r="E159" i="21"/>
  <c r="E158" i="21"/>
  <c r="E157" i="21"/>
  <c r="E156" i="21"/>
  <c r="E155" i="21"/>
  <c r="E154" i="21"/>
  <c r="E153" i="21"/>
  <c r="E152" i="21"/>
  <c r="E151" i="21"/>
  <c r="E150" i="21"/>
  <c r="E149" i="21"/>
  <c r="E147" i="21"/>
  <c r="E145" i="21"/>
  <c r="E144" i="21"/>
  <c r="E143" i="21"/>
  <c r="E140" i="21"/>
  <c r="E139" i="21"/>
  <c r="E137" i="21"/>
  <c r="E136" i="21"/>
  <c r="E135" i="21"/>
  <c r="E134" i="21"/>
  <c r="E133" i="21"/>
  <c r="E132" i="21"/>
  <c r="E131" i="21"/>
  <c r="E130" i="21"/>
  <c r="E129" i="21"/>
  <c r="C129" i="21"/>
  <c r="E128" i="21"/>
  <c r="E126" i="21"/>
  <c r="E125" i="21"/>
  <c r="E124" i="21"/>
  <c r="E123" i="21"/>
  <c r="E122" i="21"/>
  <c r="E121" i="21"/>
  <c r="E120" i="21"/>
  <c r="E119" i="21"/>
  <c r="E118" i="21"/>
  <c r="E117" i="21"/>
  <c r="E116" i="21"/>
  <c r="E115" i="21"/>
  <c r="E114" i="21"/>
  <c r="E113" i="21"/>
  <c r="E109" i="21"/>
  <c r="E108" i="21"/>
  <c r="E107" i="21"/>
  <c r="E105" i="21"/>
  <c r="E104" i="21"/>
  <c r="E103" i="21"/>
  <c r="E102" i="21"/>
  <c r="E101" i="21"/>
  <c r="E100" i="21"/>
  <c r="E99" i="21"/>
  <c r="E98" i="21"/>
  <c r="E97" i="21"/>
  <c r="E96" i="21"/>
  <c r="E95" i="21"/>
  <c r="E94" i="21"/>
  <c r="E93" i="21"/>
  <c r="E92" i="21"/>
  <c r="E91" i="21"/>
  <c r="E90" i="21"/>
  <c r="E89" i="21"/>
  <c r="E88" i="21"/>
  <c r="E87" i="21"/>
  <c r="E85" i="21"/>
  <c r="E84" i="21"/>
  <c r="E83" i="21"/>
  <c r="E82" i="21"/>
  <c r="E81" i="21"/>
  <c r="E80" i="21"/>
  <c r="E79" i="21"/>
  <c r="E76" i="21"/>
  <c r="E75" i="21"/>
  <c r="E74" i="21"/>
  <c r="E73" i="21"/>
  <c r="E72" i="21"/>
  <c r="E71" i="21"/>
  <c r="E70" i="21"/>
  <c r="E69" i="21"/>
  <c r="E68" i="21"/>
  <c r="E67" i="21"/>
  <c r="E66" i="21"/>
  <c r="E65" i="21"/>
  <c r="E64" i="21"/>
  <c r="E63" i="21"/>
  <c r="E62" i="21"/>
  <c r="E61" i="21"/>
  <c r="E60" i="21"/>
  <c r="E59" i="21"/>
  <c r="E58" i="21"/>
  <c r="E57" i="21"/>
  <c r="E56" i="21"/>
  <c r="E55" i="21"/>
  <c r="E54" i="21"/>
  <c r="E53" i="21"/>
  <c r="E51" i="21"/>
  <c r="E50" i="21"/>
  <c r="E48" i="21"/>
  <c r="E47" i="21"/>
  <c r="E45" i="21"/>
  <c r="E44" i="21"/>
  <c r="E43" i="21"/>
  <c r="E42" i="21"/>
  <c r="E41" i="21"/>
  <c r="E40" i="21"/>
  <c r="E39" i="21"/>
  <c r="C39" i="21"/>
  <c r="E38" i="21"/>
  <c r="E37" i="21"/>
  <c r="E36" i="21"/>
  <c r="E35" i="21"/>
  <c r="E34" i="21"/>
  <c r="E33" i="21"/>
  <c r="E32" i="21"/>
  <c r="E31" i="21"/>
  <c r="E30" i="21"/>
  <c r="E29" i="21"/>
  <c r="E27" i="21"/>
  <c r="E26" i="21"/>
  <c r="E25" i="21"/>
  <c r="E24" i="21"/>
  <c r="E23" i="21"/>
  <c r="E22" i="21"/>
  <c r="E11" i="21"/>
  <c r="E10" i="21"/>
  <c r="E8" i="21"/>
  <c r="E5" i="21"/>
  <c r="E4" i="21"/>
  <c r="D280" i="21"/>
  <c r="D279" i="21"/>
  <c r="G279" i="21" s="1"/>
  <c r="D279" i="25" s="1"/>
  <c r="D278" i="21"/>
  <c r="D277" i="21"/>
  <c r="I277" i="21" s="1"/>
  <c r="N277" i="25" s="1"/>
  <c r="D276" i="21"/>
  <c r="G276" i="21" s="1"/>
  <c r="D276" i="25" s="1"/>
  <c r="D274" i="21"/>
  <c r="D273" i="21"/>
  <c r="D272" i="21"/>
  <c r="G272" i="21" s="1"/>
  <c r="D272" i="25" s="1"/>
  <c r="D271" i="21"/>
  <c r="I271" i="21" s="1"/>
  <c r="N271" i="25" s="1"/>
  <c r="D270" i="21"/>
  <c r="G270" i="21" s="1"/>
  <c r="D270" i="25" s="1"/>
  <c r="D264" i="21"/>
  <c r="D263" i="21"/>
  <c r="G263" i="21" s="1"/>
  <c r="D263" i="25" s="1"/>
  <c r="D262" i="21"/>
  <c r="D261" i="21"/>
  <c r="D260" i="21"/>
  <c r="D259" i="21"/>
  <c r="D258" i="21"/>
  <c r="D257" i="21"/>
  <c r="D256" i="21"/>
  <c r="I256" i="21" s="1"/>
  <c r="N256" i="25" s="1"/>
  <c r="D255" i="21"/>
  <c r="D254" i="21"/>
  <c r="G254" i="21" s="1"/>
  <c r="D254" i="25" s="1"/>
  <c r="D253" i="21"/>
  <c r="D251" i="21"/>
  <c r="I251" i="21" s="1"/>
  <c r="N251" i="25" s="1"/>
  <c r="D250" i="21"/>
  <c r="D249" i="21"/>
  <c r="D248" i="21"/>
  <c r="D245" i="21"/>
  <c r="G245" i="21" s="1"/>
  <c r="D245" i="25" s="1"/>
  <c r="D243" i="21"/>
  <c r="D241" i="21"/>
  <c r="G241" i="21" s="1"/>
  <c r="D241" i="25" s="1"/>
  <c r="D228" i="21"/>
  <c r="D227" i="21"/>
  <c r="D226" i="21"/>
  <c r="D225" i="21"/>
  <c r="D224" i="21"/>
  <c r="I224" i="21" s="1"/>
  <c r="N224" i="25" s="1"/>
  <c r="D223" i="21"/>
  <c r="I223" i="21" s="1"/>
  <c r="N223" i="25" s="1"/>
  <c r="D222" i="21"/>
  <c r="D221" i="21"/>
  <c r="D220" i="21"/>
  <c r="I220" i="21" s="1"/>
  <c r="N220" i="25" s="1"/>
  <c r="D219" i="21"/>
  <c r="G219" i="21" s="1"/>
  <c r="D219" i="25" s="1"/>
  <c r="D218" i="21"/>
  <c r="D217" i="21"/>
  <c r="D216" i="21"/>
  <c r="D215" i="21"/>
  <c r="D214" i="21"/>
  <c r="D212" i="21"/>
  <c r="D211" i="21"/>
  <c r="D210" i="21"/>
  <c r="D208" i="21"/>
  <c r="D207" i="21"/>
  <c r="G207" i="21" s="1"/>
  <c r="D207" i="25" s="1"/>
  <c r="D206" i="21"/>
  <c r="D205" i="21"/>
  <c r="D204" i="21"/>
  <c r="D203" i="21"/>
  <c r="I203" i="21" s="1"/>
  <c r="N203" i="25" s="1"/>
  <c r="D202" i="21"/>
  <c r="D201" i="21"/>
  <c r="I201" i="21" s="1"/>
  <c r="N201" i="25" s="1"/>
  <c r="D200" i="21"/>
  <c r="D199" i="21"/>
  <c r="G199" i="21" s="1"/>
  <c r="D199" i="25" s="1"/>
  <c r="D198" i="21"/>
  <c r="D195" i="21"/>
  <c r="D194" i="21"/>
  <c r="G194" i="21" s="1"/>
  <c r="D194" i="25" s="1"/>
  <c r="D193" i="21"/>
  <c r="D192" i="21"/>
  <c r="D191" i="21"/>
  <c r="D189" i="21"/>
  <c r="D188" i="21"/>
  <c r="D187" i="21"/>
  <c r="G187" i="21" s="1"/>
  <c r="D187" i="25" s="1"/>
  <c r="D186" i="21"/>
  <c r="I186" i="21" s="1"/>
  <c r="N186" i="25" s="1"/>
  <c r="D185" i="21"/>
  <c r="D184" i="21"/>
  <c r="D183" i="21"/>
  <c r="I183" i="21" s="1"/>
  <c r="N183" i="25" s="1"/>
  <c r="D182" i="21"/>
  <c r="D181" i="21"/>
  <c r="D180" i="21"/>
  <c r="D179" i="21"/>
  <c r="D178" i="21"/>
  <c r="D177" i="21"/>
  <c r="D176" i="21"/>
  <c r="I176" i="21" s="1"/>
  <c r="N176" i="25" s="1"/>
  <c r="D175" i="21"/>
  <c r="D174" i="21"/>
  <c r="D173" i="21"/>
  <c r="D172" i="21"/>
  <c r="D171" i="21"/>
  <c r="D170" i="21"/>
  <c r="D169" i="21"/>
  <c r="D168" i="21"/>
  <c r="I168" i="21" s="1"/>
  <c r="N168" i="25" s="1"/>
  <c r="D167" i="21"/>
  <c r="C167" i="21"/>
  <c r="D166" i="21"/>
  <c r="I166" i="21" s="1"/>
  <c r="N166" i="25" s="1"/>
  <c r="D165" i="21"/>
  <c r="G165" i="21" s="1"/>
  <c r="D165" i="25" s="1"/>
  <c r="D164" i="21"/>
  <c r="D163" i="21"/>
  <c r="D162" i="21"/>
  <c r="I162" i="21" s="1"/>
  <c r="N162" i="25" s="1"/>
  <c r="D161" i="21"/>
  <c r="D160" i="21"/>
  <c r="G160" i="21" s="1"/>
  <c r="D160" i="25" s="1"/>
  <c r="D159" i="21"/>
  <c r="I159" i="21" s="1"/>
  <c r="N159" i="25" s="1"/>
  <c r="D158" i="21"/>
  <c r="D157" i="21"/>
  <c r="G157" i="21" s="1"/>
  <c r="D157" i="25" s="1"/>
  <c r="D156" i="21"/>
  <c r="D155" i="21"/>
  <c r="D154" i="21"/>
  <c r="I154" i="21" s="1"/>
  <c r="N154" i="25" s="1"/>
  <c r="D153" i="21"/>
  <c r="D152" i="21"/>
  <c r="D151" i="21"/>
  <c r="D150" i="21"/>
  <c r="D149" i="21"/>
  <c r="G149" i="21" s="1"/>
  <c r="D149" i="25" s="1"/>
  <c r="D147" i="21"/>
  <c r="I147" i="21" s="1"/>
  <c r="N147" i="25" s="1"/>
  <c r="D145" i="21"/>
  <c r="D144" i="21"/>
  <c r="I144" i="21" s="1"/>
  <c r="N144" i="25" s="1"/>
  <c r="D143" i="21"/>
  <c r="D140" i="21"/>
  <c r="G140" i="21" s="1"/>
  <c r="D140" i="25" s="1"/>
  <c r="D139" i="21"/>
  <c r="G139" i="21" s="1"/>
  <c r="D139" i="25" s="1"/>
  <c r="D137" i="21"/>
  <c r="D136" i="21"/>
  <c r="D135" i="21"/>
  <c r="D134" i="21"/>
  <c r="G134" i="21" s="1"/>
  <c r="D134" i="25" s="1"/>
  <c r="D133" i="21"/>
  <c r="G133" i="21" s="1"/>
  <c r="D133" i="25" s="1"/>
  <c r="D132" i="21"/>
  <c r="I132" i="21" s="1"/>
  <c r="N132" i="25" s="1"/>
  <c r="D131" i="21"/>
  <c r="D130" i="21"/>
  <c r="G130" i="21" s="1"/>
  <c r="D130" i="25" s="1"/>
  <c r="D129" i="21"/>
  <c r="G129" i="21" s="1"/>
  <c r="D129" i="25" s="1"/>
  <c r="D128" i="21"/>
  <c r="D126" i="21"/>
  <c r="D125" i="21"/>
  <c r="G125" i="21" s="1"/>
  <c r="D125" i="25" s="1"/>
  <c r="D124" i="21"/>
  <c r="D123" i="21"/>
  <c r="D122" i="21"/>
  <c r="D121" i="21"/>
  <c r="D120" i="21"/>
  <c r="D119" i="21"/>
  <c r="D118" i="21"/>
  <c r="D117" i="21"/>
  <c r="I117" i="21" s="1"/>
  <c r="N117" i="25" s="1"/>
  <c r="D116" i="21"/>
  <c r="D115" i="21"/>
  <c r="D114" i="21"/>
  <c r="D113" i="21"/>
  <c r="D109" i="21"/>
  <c r="I109" i="21" s="1"/>
  <c r="N109" i="25" s="1"/>
  <c r="D108" i="21"/>
  <c r="I108" i="21" s="1"/>
  <c r="N108" i="25" s="1"/>
  <c r="D107" i="21"/>
  <c r="D105" i="21"/>
  <c r="G105" i="21" s="1"/>
  <c r="D105" i="25" s="1"/>
  <c r="D104" i="21"/>
  <c r="D103" i="21"/>
  <c r="D102" i="21"/>
  <c r="D101" i="21"/>
  <c r="D100" i="21"/>
  <c r="D99" i="21"/>
  <c r="G99" i="21" s="1"/>
  <c r="D99" i="25" s="1"/>
  <c r="D98" i="21"/>
  <c r="G98" i="21" s="1"/>
  <c r="D98" i="25" s="1"/>
  <c r="D97" i="21"/>
  <c r="D96" i="21"/>
  <c r="G96" i="21" s="1"/>
  <c r="D96" i="25" s="1"/>
  <c r="D95" i="21"/>
  <c r="D94" i="21"/>
  <c r="D93" i="21"/>
  <c r="G93" i="21" s="1"/>
  <c r="D93" i="25" s="1"/>
  <c r="D92" i="21"/>
  <c r="I92" i="21" s="1"/>
  <c r="N92" i="25" s="1"/>
  <c r="D91" i="21"/>
  <c r="D90" i="21"/>
  <c r="I90" i="21" s="1"/>
  <c r="N90" i="25" s="1"/>
  <c r="D89" i="21"/>
  <c r="D88" i="21"/>
  <c r="G88" i="21" s="1"/>
  <c r="D88" i="25" s="1"/>
  <c r="D87" i="21"/>
  <c r="D85" i="21"/>
  <c r="D84" i="21"/>
  <c r="G84" i="21" s="1"/>
  <c r="D84" i="25" s="1"/>
  <c r="D83" i="21"/>
  <c r="D82" i="21"/>
  <c r="D81" i="21"/>
  <c r="D80" i="21"/>
  <c r="D79" i="21"/>
  <c r="D76" i="21"/>
  <c r="I76" i="21" s="1"/>
  <c r="N76" i="25" s="1"/>
  <c r="D75" i="21"/>
  <c r="G75" i="21" s="1"/>
  <c r="D75" i="25" s="1"/>
  <c r="D74" i="21"/>
  <c r="I74" i="21" s="1"/>
  <c r="N74" i="25" s="1"/>
  <c r="D73" i="21"/>
  <c r="G73" i="21" s="1"/>
  <c r="D73" i="25" s="1"/>
  <c r="D72" i="21"/>
  <c r="D71" i="21"/>
  <c r="D70" i="21"/>
  <c r="G70" i="21" s="1"/>
  <c r="D70" i="25" s="1"/>
  <c r="D69" i="21"/>
  <c r="D68" i="21"/>
  <c r="D67" i="21"/>
  <c r="I67" i="21" s="1"/>
  <c r="N67" i="25" s="1"/>
  <c r="D66" i="21"/>
  <c r="D65" i="21"/>
  <c r="D64" i="21"/>
  <c r="I64" i="21" s="1"/>
  <c r="N64" i="25" s="1"/>
  <c r="D63" i="21"/>
  <c r="G63" i="21" s="1"/>
  <c r="D63" i="25" s="1"/>
  <c r="D62" i="21"/>
  <c r="G62" i="21" s="1"/>
  <c r="D62" i="25" s="1"/>
  <c r="D60" i="21"/>
  <c r="I60" i="21" s="1"/>
  <c r="N60" i="25" s="1"/>
  <c r="D59" i="21"/>
  <c r="G59" i="21" s="1"/>
  <c r="D59" i="25" s="1"/>
  <c r="D58" i="21"/>
  <c r="I58" i="21" s="1"/>
  <c r="N58" i="25" s="1"/>
  <c r="D57" i="21"/>
  <c r="D56" i="21"/>
  <c r="G56" i="21" s="1"/>
  <c r="D56" i="25" s="1"/>
  <c r="D55" i="21"/>
  <c r="I55" i="21" s="1"/>
  <c r="N55" i="25" s="1"/>
  <c r="D54" i="21"/>
  <c r="I54" i="21" s="1"/>
  <c r="N54" i="25" s="1"/>
  <c r="D53" i="21"/>
  <c r="I53" i="21" s="1"/>
  <c r="N53" i="25" s="1"/>
  <c r="D51" i="21"/>
  <c r="G51" i="21" s="1"/>
  <c r="D51" i="25" s="1"/>
  <c r="D50" i="21"/>
  <c r="G50" i="21" s="1"/>
  <c r="D50" i="25" s="1"/>
  <c r="D48" i="21"/>
  <c r="I48" i="21" s="1"/>
  <c r="N48" i="25" s="1"/>
  <c r="D47" i="21"/>
  <c r="G47" i="21" s="1"/>
  <c r="D47" i="25" s="1"/>
  <c r="D45" i="21"/>
  <c r="G45" i="21" s="1"/>
  <c r="D45" i="25" s="1"/>
  <c r="D44" i="21"/>
  <c r="D43" i="21"/>
  <c r="D42" i="21"/>
  <c r="I42" i="21" s="1"/>
  <c r="N42" i="25" s="1"/>
  <c r="D41" i="21"/>
  <c r="G41" i="21" s="1"/>
  <c r="D41" i="25" s="1"/>
  <c r="D40" i="21"/>
  <c r="D39" i="21"/>
  <c r="D38" i="21"/>
  <c r="D37" i="21"/>
  <c r="D36" i="21"/>
  <c r="G36" i="21" s="1"/>
  <c r="D36" i="25" s="1"/>
  <c r="D35" i="21"/>
  <c r="G35" i="21" s="1"/>
  <c r="D35" i="25" s="1"/>
  <c r="D34" i="21"/>
  <c r="I34" i="21" s="1"/>
  <c r="N34" i="25" s="1"/>
  <c r="D33" i="21"/>
  <c r="G33" i="21" s="1"/>
  <c r="D33" i="25" s="1"/>
  <c r="D32" i="21"/>
  <c r="I32" i="21" s="1"/>
  <c r="N32" i="25" s="1"/>
  <c r="D31" i="21"/>
  <c r="D30" i="21"/>
  <c r="D29" i="21"/>
  <c r="D27" i="21"/>
  <c r="D26" i="21"/>
  <c r="D25" i="21"/>
  <c r="D24" i="21"/>
  <c r="D23" i="21"/>
  <c r="D22" i="21"/>
  <c r="D11" i="21"/>
  <c r="D10" i="21"/>
  <c r="D8" i="21"/>
  <c r="D6" i="21"/>
  <c r="D5" i="21"/>
  <c r="D4" i="21"/>
  <c r="D218" i="25"/>
  <c r="C218" i="25"/>
  <c r="AQ280" i="7"/>
  <c r="AP280" i="7"/>
  <c r="AO280" i="7"/>
  <c r="AN280" i="7"/>
  <c r="AQ279" i="7"/>
  <c r="AP279" i="7"/>
  <c r="AO279" i="7"/>
  <c r="AN279" i="7"/>
  <c r="AQ278" i="7"/>
  <c r="AP278" i="7"/>
  <c r="AO278" i="7"/>
  <c r="AN278" i="7"/>
  <c r="AQ277" i="7"/>
  <c r="AP277" i="7"/>
  <c r="AO277" i="7"/>
  <c r="AN277" i="7"/>
  <c r="AQ276" i="7"/>
  <c r="AP276" i="7"/>
  <c r="AO276" i="7"/>
  <c r="AN276" i="7"/>
  <c r="AQ274" i="7"/>
  <c r="AP274" i="7"/>
  <c r="AO274" i="7"/>
  <c r="AN274" i="7"/>
  <c r="AQ273" i="7"/>
  <c r="AP273" i="7"/>
  <c r="AO273" i="7"/>
  <c r="AN273" i="7"/>
  <c r="AQ272" i="7"/>
  <c r="AP272" i="7"/>
  <c r="AO272" i="7"/>
  <c r="AN272" i="7"/>
  <c r="AQ271" i="7"/>
  <c r="AP271" i="7"/>
  <c r="AO271" i="7"/>
  <c r="AN271" i="7"/>
  <c r="AQ270" i="7"/>
  <c r="AP270" i="7"/>
  <c r="AO270" i="7"/>
  <c r="AN270" i="7"/>
  <c r="AQ264" i="7"/>
  <c r="AP264" i="7"/>
  <c r="AO264" i="7"/>
  <c r="AN264" i="7"/>
  <c r="AQ263" i="7"/>
  <c r="AP263" i="7"/>
  <c r="AO263" i="7"/>
  <c r="AN263" i="7"/>
  <c r="AQ262" i="7"/>
  <c r="AP262" i="7"/>
  <c r="AO262" i="7"/>
  <c r="AN262" i="7"/>
  <c r="AQ261" i="7"/>
  <c r="AP261" i="7"/>
  <c r="AO261" i="7"/>
  <c r="AN261" i="7"/>
  <c r="AQ260" i="7"/>
  <c r="AP260" i="7"/>
  <c r="AO260" i="7"/>
  <c r="AN260" i="7"/>
  <c r="AQ259" i="7"/>
  <c r="AP259" i="7"/>
  <c r="AO259" i="7"/>
  <c r="AN259" i="7"/>
  <c r="AQ258" i="7"/>
  <c r="AP258" i="7"/>
  <c r="AO258" i="7"/>
  <c r="AN258" i="7"/>
  <c r="AQ257" i="7"/>
  <c r="AP257" i="7"/>
  <c r="AO257" i="7"/>
  <c r="AN257" i="7"/>
  <c r="AQ256" i="7"/>
  <c r="AP256" i="7"/>
  <c r="AO256" i="7"/>
  <c r="AN256" i="7"/>
  <c r="AQ255" i="7"/>
  <c r="AP255" i="7"/>
  <c r="AO255" i="7"/>
  <c r="AN255" i="7"/>
  <c r="AQ254" i="7"/>
  <c r="AP254" i="7"/>
  <c r="AO254" i="7"/>
  <c r="AN254" i="7"/>
  <c r="AQ253" i="7"/>
  <c r="AP253" i="7"/>
  <c r="AO253" i="7"/>
  <c r="AN253" i="7"/>
  <c r="AQ251" i="7"/>
  <c r="AP251" i="7"/>
  <c r="AO251" i="7"/>
  <c r="AN251" i="7"/>
  <c r="AQ250" i="7"/>
  <c r="AP250" i="7"/>
  <c r="AO250" i="7"/>
  <c r="AN250" i="7"/>
  <c r="AQ249" i="7"/>
  <c r="AP249" i="7"/>
  <c r="AO249" i="7"/>
  <c r="AN249" i="7"/>
  <c r="AQ248" i="7"/>
  <c r="AP248" i="7"/>
  <c r="AO248" i="7"/>
  <c r="AN248" i="7"/>
  <c r="AQ245" i="7"/>
  <c r="AP245" i="7"/>
  <c r="AO245" i="7"/>
  <c r="AN245" i="7"/>
  <c r="AQ243" i="7"/>
  <c r="AP243" i="7"/>
  <c r="AO243" i="7"/>
  <c r="AN243" i="7"/>
  <c r="AQ241" i="7"/>
  <c r="AP241" i="7"/>
  <c r="AO241" i="7"/>
  <c r="AN241" i="7"/>
  <c r="AQ228" i="7"/>
  <c r="AP228" i="7"/>
  <c r="AO228" i="7"/>
  <c r="AN228" i="7"/>
  <c r="AQ227" i="7"/>
  <c r="AP227" i="7"/>
  <c r="AO227" i="7"/>
  <c r="AN227" i="7"/>
  <c r="AQ226" i="7"/>
  <c r="AP226" i="7"/>
  <c r="AO226" i="7"/>
  <c r="AN226" i="7"/>
  <c r="AQ225" i="7"/>
  <c r="AP225" i="7"/>
  <c r="AO225" i="7"/>
  <c r="AN225" i="7"/>
  <c r="AQ224" i="7"/>
  <c r="AP224" i="7"/>
  <c r="AO224" i="7"/>
  <c r="AN224" i="7"/>
  <c r="AQ223" i="7"/>
  <c r="AP223" i="7"/>
  <c r="AO223" i="7"/>
  <c r="AN223" i="7"/>
  <c r="AQ222" i="7"/>
  <c r="AP222" i="7"/>
  <c r="AO222" i="7"/>
  <c r="AN222" i="7"/>
  <c r="AQ221" i="7"/>
  <c r="AP221" i="7"/>
  <c r="AO221" i="7"/>
  <c r="AN221" i="7"/>
  <c r="AQ220" i="7"/>
  <c r="AP220" i="7"/>
  <c r="AO220" i="7"/>
  <c r="AN220" i="7"/>
  <c r="AQ219" i="7"/>
  <c r="AP219" i="7"/>
  <c r="AO219" i="7"/>
  <c r="AN219" i="7"/>
  <c r="AQ218" i="7"/>
  <c r="AP218" i="7"/>
  <c r="AO218" i="7"/>
  <c r="AN218" i="7"/>
  <c r="AQ217" i="7"/>
  <c r="AP217" i="7"/>
  <c r="AO217" i="7"/>
  <c r="AN217" i="7"/>
  <c r="AQ216" i="7"/>
  <c r="AP216" i="7"/>
  <c r="AO216" i="7"/>
  <c r="AN216" i="7"/>
  <c r="AQ215" i="7"/>
  <c r="AP215" i="7"/>
  <c r="AO215" i="7"/>
  <c r="AN215" i="7"/>
  <c r="AQ214" i="7"/>
  <c r="AP214" i="7"/>
  <c r="AO214" i="7"/>
  <c r="AN214" i="7"/>
  <c r="AQ212" i="7"/>
  <c r="AP212" i="7"/>
  <c r="AO212" i="7"/>
  <c r="AN212" i="7"/>
  <c r="AQ211" i="7"/>
  <c r="AP211" i="7"/>
  <c r="AO211" i="7"/>
  <c r="AN211" i="7"/>
  <c r="AQ210" i="7"/>
  <c r="AP210" i="7"/>
  <c r="AO210" i="7"/>
  <c r="AN210" i="7"/>
  <c r="AQ209" i="7"/>
  <c r="AP209" i="7"/>
  <c r="AO209" i="7"/>
  <c r="AN209" i="7"/>
  <c r="AQ208" i="7"/>
  <c r="AP208" i="7"/>
  <c r="AO208" i="7"/>
  <c r="AN208" i="7"/>
  <c r="AQ207" i="7"/>
  <c r="AP207" i="7"/>
  <c r="AO207" i="7"/>
  <c r="AN207" i="7"/>
  <c r="AQ206" i="7"/>
  <c r="AP206" i="7"/>
  <c r="AO206" i="7"/>
  <c r="AN206" i="7"/>
  <c r="AQ205" i="7"/>
  <c r="AP205" i="7"/>
  <c r="AO205" i="7"/>
  <c r="AN205" i="7"/>
  <c r="AQ204" i="7"/>
  <c r="AP204" i="7"/>
  <c r="AO204" i="7"/>
  <c r="AN204" i="7"/>
  <c r="AQ203" i="7"/>
  <c r="AP203" i="7"/>
  <c r="AO203" i="7"/>
  <c r="AN203" i="7"/>
  <c r="AQ202" i="7"/>
  <c r="AP202" i="7"/>
  <c r="AO202" i="7"/>
  <c r="AN202" i="7"/>
  <c r="AQ201" i="7"/>
  <c r="AP201" i="7"/>
  <c r="AO201" i="7"/>
  <c r="AN201" i="7"/>
  <c r="AQ200" i="7"/>
  <c r="AP200" i="7"/>
  <c r="AO200" i="7"/>
  <c r="AN200" i="7"/>
  <c r="AQ199" i="7"/>
  <c r="AP199" i="7"/>
  <c r="AO199" i="7"/>
  <c r="AN199" i="7"/>
  <c r="AQ198" i="7"/>
  <c r="AP198" i="7"/>
  <c r="AO198" i="7"/>
  <c r="AN198" i="7"/>
  <c r="AQ195" i="7"/>
  <c r="AP195" i="7"/>
  <c r="AO195" i="7"/>
  <c r="AN195" i="7"/>
  <c r="AQ194" i="7"/>
  <c r="AP194" i="7"/>
  <c r="AO194" i="7"/>
  <c r="AN194" i="7"/>
  <c r="AQ193" i="7"/>
  <c r="AP193" i="7"/>
  <c r="AO193" i="7"/>
  <c r="AN193" i="7"/>
  <c r="AQ192" i="7"/>
  <c r="AP192" i="7"/>
  <c r="AO192" i="7"/>
  <c r="AN192" i="7"/>
  <c r="AQ191" i="7"/>
  <c r="AP191" i="7"/>
  <c r="AO191" i="7"/>
  <c r="AN191" i="7"/>
  <c r="AQ189" i="7"/>
  <c r="AP189" i="7"/>
  <c r="AO189" i="7"/>
  <c r="AN189" i="7"/>
  <c r="AQ188" i="7"/>
  <c r="AP188" i="7"/>
  <c r="AO188" i="7"/>
  <c r="AN188" i="7"/>
  <c r="AQ187" i="7"/>
  <c r="AP187" i="7"/>
  <c r="AO187" i="7"/>
  <c r="AN187" i="7"/>
  <c r="AQ186" i="7"/>
  <c r="AP186" i="7"/>
  <c r="AO186" i="7"/>
  <c r="AN186" i="7"/>
  <c r="AQ185" i="7"/>
  <c r="AP185" i="7"/>
  <c r="AO185" i="7"/>
  <c r="AN185" i="7"/>
  <c r="AQ184" i="7"/>
  <c r="AP184" i="7"/>
  <c r="AO184" i="7"/>
  <c r="AN184" i="7"/>
  <c r="AQ183" i="7"/>
  <c r="AP183" i="7"/>
  <c r="AO183" i="7"/>
  <c r="AN183" i="7"/>
  <c r="AQ182" i="7"/>
  <c r="AP182" i="7"/>
  <c r="AO182" i="7"/>
  <c r="AN182" i="7"/>
  <c r="AQ181" i="7"/>
  <c r="AP181" i="7"/>
  <c r="AO181" i="7"/>
  <c r="AN181" i="7"/>
  <c r="AQ180" i="7"/>
  <c r="AP180" i="7"/>
  <c r="AO180" i="7"/>
  <c r="AN180" i="7"/>
  <c r="AQ179" i="7"/>
  <c r="AP179" i="7"/>
  <c r="AO179" i="7"/>
  <c r="AN179" i="7"/>
  <c r="AQ178" i="7"/>
  <c r="AP178" i="7"/>
  <c r="AO178" i="7"/>
  <c r="AN178" i="7"/>
  <c r="AQ177" i="7"/>
  <c r="AP177" i="7"/>
  <c r="AO177" i="7"/>
  <c r="AN177" i="7"/>
  <c r="AQ176" i="7"/>
  <c r="AP176" i="7"/>
  <c r="AO176" i="7"/>
  <c r="AN176" i="7"/>
  <c r="AQ175" i="7"/>
  <c r="AP175" i="7"/>
  <c r="AO175" i="7"/>
  <c r="AN175" i="7"/>
  <c r="AQ174" i="7"/>
  <c r="AP174" i="7"/>
  <c r="AO174" i="7"/>
  <c r="AN174" i="7"/>
  <c r="AQ173" i="7"/>
  <c r="AP173" i="7"/>
  <c r="AO173" i="7"/>
  <c r="AN173" i="7"/>
  <c r="AQ172" i="7"/>
  <c r="AP172" i="7"/>
  <c r="AO172" i="7"/>
  <c r="AN172" i="7"/>
  <c r="AQ171" i="7"/>
  <c r="AP171" i="7"/>
  <c r="AO171" i="7"/>
  <c r="AN171" i="7"/>
  <c r="AQ170" i="7"/>
  <c r="AP170" i="7"/>
  <c r="AO170" i="7"/>
  <c r="AN170" i="7"/>
  <c r="AQ169" i="7"/>
  <c r="AP169" i="7"/>
  <c r="AO169" i="7"/>
  <c r="AN169" i="7"/>
  <c r="AQ168" i="7"/>
  <c r="AP168" i="7"/>
  <c r="AO168" i="7"/>
  <c r="AN168" i="7"/>
  <c r="AQ167" i="7"/>
  <c r="AP167" i="7"/>
  <c r="AO167" i="7"/>
  <c r="AN167" i="7"/>
  <c r="AQ166" i="7"/>
  <c r="AP166" i="7"/>
  <c r="AO166" i="7"/>
  <c r="AN166" i="7"/>
  <c r="AQ165" i="7"/>
  <c r="AP165" i="7"/>
  <c r="AO165" i="7"/>
  <c r="AN165" i="7"/>
  <c r="AQ164" i="7"/>
  <c r="AP164" i="7"/>
  <c r="AO164" i="7"/>
  <c r="AN164" i="7"/>
  <c r="AQ163" i="7"/>
  <c r="AP163" i="7"/>
  <c r="AO163" i="7"/>
  <c r="AN163" i="7"/>
  <c r="AQ162" i="7"/>
  <c r="AP162" i="7"/>
  <c r="AO162" i="7"/>
  <c r="AN162" i="7"/>
  <c r="AQ161" i="7"/>
  <c r="AP161" i="7"/>
  <c r="AO161" i="7"/>
  <c r="AN161" i="7"/>
  <c r="AQ160" i="7"/>
  <c r="AP160" i="7"/>
  <c r="AO160" i="7"/>
  <c r="AN160" i="7"/>
  <c r="AQ159" i="7"/>
  <c r="AP159" i="7"/>
  <c r="AO159" i="7"/>
  <c r="AN159" i="7"/>
  <c r="AQ158" i="7"/>
  <c r="AP158" i="7"/>
  <c r="AO158" i="7"/>
  <c r="AN158" i="7"/>
  <c r="AQ157" i="7"/>
  <c r="AP157" i="7"/>
  <c r="AO157" i="7"/>
  <c r="AN157" i="7"/>
  <c r="AQ156" i="7"/>
  <c r="AP156" i="7"/>
  <c r="AO156" i="7"/>
  <c r="AN156" i="7"/>
  <c r="AQ155" i="7"/>
  <c r="AP155" i="7"/>
  <c r="AO155" i="7"/>
  <c r="AN155" i="7"/>
  <c r="AQ154" i="7"/>
  <c r="AP154" i="7"/>
  <c r="AO154" i="7"/>
  <c r="AN154" i="7"/>
  <c r="AQ153" i="7"/>
  <c r="AP153" i="7"/>
  <c r="AO153" i="7"/>
  <c r="AN153" i="7"/>
  <c r="AQ152" i="7"/>
  <c r="AP152" i="7"/>
  <c r="AO152" i="7"/>
  <c r="AN152" i="7"/>
  <c r="AQ151" i="7"/>
  <c r="AP151" i="7"/>
  <c r="AO151" i="7"/>
  <c r="AN151" i="7"/>
  <c r="AQ150" i="7"/>
  <c r="AP150" i="7"/>
  <c r="AO150" i="7"/>
  <c r="AN150" i="7"/>
  <c r="AQ149" i="7"/>
  <c r="AP149" i="7"/>
  <c r="AO149" i="7"/>
  <c r="AN149" i="7"/>
  <c r="AQ147" i="7"/>
  <c r="AP147" i="7"/>
  <c r="AO147" i="7"/>
  <c r="AN147" i="7"/>
  <c r="AQ145" i="7"/>
  <c r="AP145" i="7"/>
  <c r="AO145" i="7"/>
  <c r="AN145" i="7"/>
  <c r="AQ144" i="7"/>
  <c r="AP144" i="7"/>
  <c r="AO144" i="7"/>
  <c r="AN144" i="7"/>
  <c r="AQ140" i="7"/>
  <c r="AP140" i="7"/>
  <c r="AO140" i="7"/>
  <c r="AN140" i="7"/>
  <c r="AQ139" i="7"/>
  <c r="AP139" i="7"/>
  <c r="AO139" i="7"/>
  <c r="AN139" i="7"/>
  <c r="AQ137" i="7"/>
  <c r="AP137" i="7"/>
  <c r="AO137" i="7"/>
  <c r="AN137" i="7"/>
  <c r="AQ135" i="7"/>
  <c r="AP135" i="7"/>
  <c r="AO135" i="7"/>
  <c r="AN135" i="7"/>
  <c r="AQ134" i="7"/>
  <c r="AP134" i="7"/>
  <c r="AO134" i="7"/>
  <c r="AN134" i="7"/>
  <c r="AQ133" i="7"/>
  <c r="AP133" i="7"/>
  <c r="AO133" i="7"/>
  <c r="AN133" i="7"/>
  <c r="AQ132" i="7"/>
  <c r="AP132" i="7"/>
  <c r="AO132" i="7"/>
  <c r="AN132" i="7"/>
  <c r="AQ131" i="7"/>
  <c r="AP131" i="7"/>
  <c r="AO131" i="7"/>
  <c r="AN131" i="7"/>
  <c r="AQ130" i="7"/>
  <c r="AP130" i="7"/>
  <c r="AO130" i="7"/>
  <c r="AN130" i="7"/>
  <c r="AQ129" i="7"/>
  <c r="AP129" i="7"/>
  <c r="AO129" i="7"/>
  <c r="AN129" i="7"/>
  <c r="AQ126" i="7"/>
  <c r="AP126" i="7"/>
  <c r="AO126" i="7"/>
  <c r="AN126" i="7"/>
  <c r="AQ125" i="7"/>
  <c r="AP125" i="7"/>
  <c r="AO125" i="7"/>
  <c r="AN125" i="7"/>
  <c r="AQ124" i="7"/>
  <c r="AP124" i="7"/>
  <c r="AO124" i="7"/>
  <c r="AN124" i="7"/>
  <c r="AQ123" i="7"/>
  <c r="AP123" i="7"/>
  <c r="AO123" i="7"/>
  <c r="AN123" i="7"/>
  <c r="AQ122" i="7"/>
  <c r="AP122" i="7"/>
  <c r="AO122" i="7"/>
  <c r="AN122" i="7"/>
  <c r="AQ121" i="7"/>
  <c r="AP121" i="7"/>
  <c r="AO121" i="7"/>
  <c r="AN121" i="7"/>
  <c r="AQ119" i="7"/>
  <c r="AP119" i="7"/>
  <c r="AO119" i="7"/>
  <c r="AN119" i="7"/>
  <c r="AQ118" i="7"/>
  <c r="AP118" i="7"/>
  <c r="AO118" i="7"/>
  <c r="AN118" i="7"/>
  <c r="AQ117" i="7"/>
  <c r="AP117" i="7"/>
  <c r="AO117" i="7"/>
  <c r="AN117" i="7"/>
  <c r="AQ116" i="7"/>
  <c r="AP116" i="7"/>
  <c r="AO116" i="7"/>
  <c r="AN116" i="7"/>
  <c r="AQ115" i="7"/>
  <c r="AP115" i="7"/>
  <c r="AO115" i="7"/>
  <c r="AN115" i="7"/>
  <c r="AQ114" i="7"/>
  <c r="AP114" i="7"/>
  <c r="AO114" i="7"/>
  <c r="AN114" i="7"/>
  <c r="AQ113" i="7"/>
  <c r="AP113" i="7"/>
  <c r="AO113" i="7"/>
  <c r="AN113" i="7"/>
  <c r="AQ107" i="7"/>
  <c r="AP107" i="7"/>
  <c r="AO107" i="7"/>
  <c r="AN107" i="7"/>
  <c r="AQ105" i="7"/>
  <c r="AP105" i="7"/>
  <c r="AO105" i="7"/>
  <c r="AN105" i="7"/>
  <c r="AQ104" i="7"/>
  <c r="AP104" i="7"/>
  <c r="AO104" i="7"/>
  <c r="AN104" i="7"/>
  <c r="AQ102" i="7"/>
  <c r="AP102" i="7"/>
  <c r="AO102" i="7"/>
  <c r="AN102" i="7"/>
  <c r="AQ100" i="7"/>
  <c r="AP100" i="7"/>
  <c r="AO100" i="7"/>
  <c r="AN100" i="7"/>
  <c r="AQ99" i="7"/>
  <c r="AP99" i="7"/>
  <c r="AO99" i="7"/>
  <c r="AN99" i="7"/>
  <c r="AQ98" i="7"/>
  <c r="AP98" i="7"/>
  <c r="AO98" i="7"/>
  <c r="AN98" i="7"/>
  <c r="AQ97" i="7"/>
  <c r="AP97" i="7"/>
  <c r="AO97" i="7"/>
  <c r="AN97" i="7"/>
  <c r="AQ96" i="7"/>
  <c r="AP96" i="7"/>
  <c r="AO96" i="7"/>
  <c r="AN96" i="7"/>
  <c r="AQ95" i="7"/>
  <c r="AP95" i="7"/>
  <c r="AO95" i="7"/>
  <c r="AN95" i="7"/>
  <c r="AQ94" i="7"/>
  <c r="AP94" i="7"/>
  <c r="AO94" i="7"/>
  <c r="AN94" i="7"/>
  <c r="AQ93" i="7"/>
  <c r="AP93" i="7"/>
  <c r="AO93" i="7"/>
  <c r="AN93" i="7"/>
  <c r="AQ92" i="7"/>
  <c r="AP92" i="7"/>
  <c r="AO92" i="7"/>
  <c r="AN92" i="7"/>
  <c r="AQ90" i="7"/>
  <c r="AP90" i="7"/>
  <c r="AO90" i="7"/>
  <c r="AN90" i="7"/>
  <c r="AQ88" i="7"/>
  <c r="AP88" i="7"/>
  <c r="AO88" i="7"/>
  <c r="AN88" i="7"/>
  <c r="AQ87" i="7"/>
  <c r="AP87" i="7"/>
  <c r="AO87" i="7"/>
  <c r="AN87" i="7"/>
  <c r="AQ85" i="7"/>
  <c r="AP85" i="7"/>
  <c r="AO85" i="7"/>
  <c r="AN85" i="7"/>
  <c r="AQ84" i="7"/>
  <c r="AP84" i="7"/>
  <c r="AO84" i="7"/>
  <c r="AN84" i="7"/>
  <c r="AQ83" i="7"/>
  <c r="AP83" i="7"/>
  <c r="AO83" i="7"/>
  <c r="AN83" i="7"/>
  <c r="AQ82" i="7"/>
  <c r="AP82" i="7"/>
  <c r="AO82" i="7"/>
  <c r="AN82" i="7"/>
  <c r="AQ81" i="7"/>
  <c r="AP81" i="7"/>
  <c r="AO81" i="7"/>
  <c r="AN81" i="7"/>
  <c r="AQ80" i="7"/>
  <c r="AP80" i="7"/>
  <c r="AO80" i="7"/>
  <c r="AN80" i="7"/>
  <c r="AQ79" i="7"/>
  <c r="AP79" i="7"/>
  <c r="AO79" i="7"/>
  <c r="AN79" i="7"/>
  <c r="AQ77" i="7"/>
  <c r="AP77" i="7"/>
  <c r="AO77" i="7"/>
  <c r="AN77" i="7"/>
  <c r="AQ76" i="7"/>
  <c r="AP76" i="7"/>
  <c r="AO76" i="7"/>
  <c r="AN76" i="7"/>
  <c r="AQ69" i="7"/>
  <c r="AP69" i="7"/>
  <c r="AO69" i="7"/>
  <c r="AN69" i="7"/>
  <c r="AQ68" i="7"/>
  <c r="AP68" i="7"/>
  <c r="AO68" i="7"/>
  <c r="AN68" i="7"/>
  <c r="AQ58" i="7"/>
  <c r="AP58" i="7"/>
  <c r="AO58" i="7"/>
  <c r="AN58" i="7"/>
  <c r="AQ57" i="7"/>
  <c r="AP57" i="7"/>
  <c r="AO57" i="7"/>
  <c r="AN57" i="7"/>
  <c r="AQ54" i="7"/>
  <c r="AP54" i="7"/>
  <c r="AO54" i="7"/>
  <c r="AN54" i="7"/>
  <c r="AQ51" i="7"/>
  <c r="AP51" i="7"/>
  <c r="AO51" i="7"/>
  <c r="AN51" i="7"/>
  <c r="AQ50" i="7"/>
  <c r="AP50" i="7"/>
  <c r="AO50" i="7"/>
  <c r="AN50" i="7"/>
  <c r="AQ48" i="7"/>
  <c r="AP48" i="7"/>
  <c r="AO48" i="7"/>
  <c r="AN48" i="7"/>
  <c r="AQ47" i="7"/>
  <c r="AP47" i="7"/>
  <c r="AO47" i="7"/>
  <c r="AN47" i="7"/>
  <c r="AQ45" i="7"/>
  <c r="AP45" i="7"/>
  <c r="AO45" i="7"/>
  <c r="AN45" i="7"/>
  <c r="AQ44" i="7"/>
  <c r="AP44" i="7"/>
  <c r="AO44" i="7"/>
  <c r="AN44" i="7"/>
  <c r="AQ43" i="7"/>
  <c r="AP43" i="7"/>
  <c r="AO43" i="7"/>
  <c r="AN43" i="7"/>
  <c r="AQ42" i="7"/>
  <c r="AP42" i="7"/>
  <c r="AO42" i="7"/>
  <c r="AN42" i="7"/>
  <c r="AQ41" i="7"/>
  <c r="AP41" i="7"/>
  <c r="AO41" i="7"/>
  <c r="AN41" i="7"/>
  <c r="AQ40" i="7"/>
  <c r="AP40" i="7"/>
  <c r="AO40" i="7"/>
  <c r="AN40" i="7"/>
  <c r="AQ39" i="7"/>
  <c r="AP39" i="7"/>
  <c r="AO39" i="7"/>
  <c r="AN39" i="7"/>
  <c r="AQ38" i="7"/>
  <c r="AP38" i="7"/>
  <c r="AO38" i="7"/>
  <c r="AN38" i="7"/>
  <c r="AQ37" i="7"/>
  <c r="AP37" i="7"/>
  <c r="AO37" i="7"/>
  <c r="AN37" i="7"/>
  <c r="AQ36" i="7"/>
  <c r="AP36" i="7"/>
  <c r="AO36" i="7"/>
  <c r="AN36" i="7"/>
  <c r="AQ35" i="7"/>
  <c r="AP35" i="7"/>
  <c r="AO35" i="7"/>
  <c r="AN35" i="7"/>
  <c r="AQ34" i="7"/>
  <c r="AP34" i="7"/>
  <c r="AO34" i="7"/>
  <c r="AN34" i="7"/>
  <c r="AQ33" i="7"/>
  <c r="AP33" i="7"/>
  <c r="AO33" i="7"/>
  <c r="AN33" i="7"/>
  <c r="AQ32" i="7"/>
  <c r="AP32" i="7"/>
  <c r="AO32" i="7"/>
  <c r="AN32" i="7"/>
  <c r="AQ31" i="7"/>
  <c r="AP31" i="7"/>
  <c r="AO31" i="7"/>
  <c r="AN31" i="7"/>
  <c r="AQ30" i="7"/>
  <c r="AP30" i="7"/>
  <c r="AO30" i="7"/>
  <c r="AN30" i="7"/>
  <c r="AQ29" i="7"/>
  <c r="AP29" i="7"/>
  <c r="AO29" i="7"/>
  <c r="AN29" i="7"/>
  <c r="AQ27" i="7"/>
  <c r="AP27" i="7"/>
  <c r="AO27" i="7"/>
  <c r="AN27" i="7"/>
  <c r="AQ26" i="7"/>
  <c r="AP26" i="7"/>
  <c r="AO26" i="7"/>
  <c r="AN26" i="7"/>
  <c r="AQ25" i="7"/>
  <c r="AP25" i="7"/>
  <c r="AO25" i="7"/>
  <c r="AN25" i="7"/>
  <c r="AQ24" i="7"/>
  <c r="AP24" i="7"/>
  <c r="AO24" i="7"/>
  <c r="AN24" i="7"/>
  <c r="AQ23" i="7"/>
  <c r="AP23" i="7"/>
  <c r="AO23" i="7"/>
  <c r="AN23" i="7"/>
  <c r="AQ22" i="7"/>
  <c r="AP22" i="7"/>
  <c r="AO22" i="7"/>
  <c r="AN22" i="7"/>
  <c r="AQ11" i="7"/>
  <c r="AP11" i="7"/>
  <c r="AO11" i="7"/>
  <c r="AN11" i="7"/>
  <c r="AQ10" i="7"/>
  <c r="AP10" i="7"/>
  <c r="AO10" i="7"/>
  <c r="AN10" i="7"/>
  <c r="AQ8" i="7"/>
  <c r="AO8" i="7"/>
  <c r="AN8" i="7"/>
  <c r="AQ6" i="7"/>
  <c r="AP6" i="7"/>
  <c r="AO6" i="7"/>
  <c r="AN6" i="7"/>
  <c r="M11" i="7"/>
  <c r="M10" i="7"/>
  <c r="I11" i="6"/>
  <c r="K11" i="6" s="1"/>
  <c r="L11" i="6" s="1"/>
  <c r="I10" i="6"/>
  <c r="E11" i="23"/>
  <c r="E10" i="23"/>
  <c r="C11" i="21"/>
  <c r="C10" i="21"/>
  <c r="E5" i="25"/>
  <c r="E4" i="25"/>
  <c r="I144" i="6"/>
  <c r="I143" i="6"/>
  <c r="I142" i="6"/>
  <c r="K142" i="6" s="1"/>
  <c r="L142" i="6" s="1"/>
  <c r="I140" i="6"/>
  <c r="O140" i="6" s="1"/>
  <c r="P140" i="6" s="1"/>
  <c r="I139" i="6"/>
  <c r="I137" i="6"/>
  <c r="I136" i="6"/>
  <c r="I135" i="6"/>
  <c r="I134" i="6"/>
  <c r="O134" i="6" s="1"/>
  <c r="P134" i="6" s="1"/>
  <c r="I133" i="6"/>
  <c r="K133" i="6" s="1"/>
  <c r="L133" i="6" s="1"/>
  <c r="I132" i="6"/>
  <c r="I131" i="6"/>
  <c r="I130" i="6"/>
  <c r="K130" i="6" s="1"/>
  <c r="L130" i="6" s="1"/>
  <c r="I129" i="6"/>
  <c r="K129" i="6" s="1"/>
  <c r="L129" i="6" s="1"/>
  <c r="I128" i="6"/>
  <c r="K128" i="6" s="1"/>
  <c r="L128" i="6" s="1"/>
  <c r="I126" i="6"/>
  <c r="K126" i="6" s="1"/>
  <c r="L126" i="6" s="1"/>
  <c r="I125" i="6"/>
  <c r="K125" i="6" s="1"/>
  <c r="L125" i="6" s="1"/>
  <c r="I124" i="6"/>
  <c r="I123" i="6"/>
  <c r="I122" i="6"/>
  <c r="I121" i="6"/>
  <c r="I120" i="6"/>
  <c r="I119" i="6"/>
  <c r="I118" i="6"/>
  <c r="K118" i="6" s="1"/>
  <c r="L118" i="6" s="1"/>
  <c r="I117" i="6"/>
  <c r="K117" i="6" s="1"/>
  <c r="L117" i="6" s="1"/>
  <c r="I116" i="6"/>
  <c r="O116" i="6" s="1"/>
  <c r="P116" i="6" s="1"/>
  <c r="I115" i="6"/>
  <c r="I114" i="6"/>
  <c r="I113" i="6"/>
  <c r="I109" i="6"/>
  <c r="I108" i="6"/>
  <c r="I107" i="6"/>
  <c r="I105" i="6"/>
  <c r="I104" i="6"/>
  <c r="I103" i="6"/>
  <c r="I102" i="6"/>
  <c r="I101" i="6"/>
  <c r="I100" i="6"/>
  <c r="K100" i="6" s="1"/>
  <c r="L100" i="6" s="1"/>
  <c r="I99" i="6"/>
  <c r="I98" i="6"/>
  <c r="K98" i="6" s="1"/>
  <c r="L98" i="6" s="1"/>
  <c r="I97" i="6"/>
  <c r="I96" i="6"/>
  <c r="I95" i="6"/>
  <c r="I94" i="6"/>
  <c r="I93" i="6"/>
  <c r="O93" i="6" s="1"/>
  <c r="P93" i="6" s="1"/>
  <c r="I92" i="6"/>
  <c r="K92" i="6" s="1"/>
  <c r="L92" i="6" s="1"/>
  <c r="I91" i="6"/>
  <c r="I90" i="6"/>
  <c r="K90" i="6" s="1"/>
  <c r="L90" i="6" s="1"/>
  <c r="I89" i="6"/>
  <c r="I88" i="6"/>
  <c r="K88" i="6" s="1"/>
  <c r="L88" i="6" s="1"/>
  <c r="I87" i="6"/>
  <c r="I85" i="6"/>
  <c r="I84" i="6"/>
  <c r="K84" i="6" s="1"/>
  <c r="L84" i="6" s="1"/>
  <c r="I83" i="6"/>
  <c r="K83" i="6" s="1"/>
  <c r="L83" i="6" s="1"/>
  <c r="I82" i="6"/>
  <c r="K82" i="6" s="1"/>
  <c r="L82" i="6" s="1"/>
  <c r="I81" i="6"/>
  <c r="I80" i="6"/>
  <c r="K80" i="6" s="1"/>
  <c r="L80" i="6" s="1"/>
  <c r="I79" i="6"/>
  <c r="O79" i="6" s="1"/>
  <c r="P79" i="6" s="1"/>
  <c r="I76" i="6"/>
  <c r="O76" i="6" s="1"/>
  <c r="P76" i="6" s="1"/>
  <c r="I75" i="6"/>
  <c r="K75" i="6" s="1"/>
  <c r="L75" i="6" s="1"/>
  <c r="I74" i="6"/>
  <c r="K74" i="6" s="1"/>
  <c r="L74" i="6" s="1"/>
  <c r="I73" i="6"/>
  <c r="I72" i="6"/>
  <c r="O72" i="6" s="1"/>
  <c r="P72" i="6" s="1"/>
  <c r="I71" i="6"/>
  <c r="I70" i="6"/>
  <c r="K70" i="6" s="1"/>
  <c r="L70" i="6" s="1"/>
  <c r="I69" i="6"/>
  <c r="O69" i="6" s="1"/>
  <c r="P69" i="6" s="1"/>
  <c r="I68" i="6"/>
  <c r="K68" i="6" s="1"/>
  <c r="L68" i="6" s="1"/>
  <c r="I67" i="6"/>
  <c r="I66" i="6"/>
  <c r="I65" i="6"/>
  <c r="I64" i="6"/>
  <c r="K64" i="6" s="1"/>
  <c r="L64" i="6" s="1"/>
  <c r="I63" i="6"/>
  <c r="I62" i="6"/>
  <c r="I60" i="6"/>
  <c r="I59" i="6"/>
  <c r="K59" i="6" s="1"/>
  <c r="L59" i="6" s="1"/>
  <c r="I58" i="6"/>
  <c r="I57" i="6"/>
  <c r="I56" i="6"/>
  <c r="I55" i="6"/>
  <c r="I54" i="6"/>
  <c r="I53" i="6"/>
  <c r="I51" i="6"/>
  <c r="O51" i="6" s="1"/>
  <c r="P51" i="6" s="1"/>
  <c r="I50" i="6"/>
  <c r="I48" i="6"/>
  <c r="O48" i="6" s="1"/>
  <c r="P48" i="6" s="1"/>
  <c r="I47" i="6"/>
  <c r="O47" i="6" s="1"/>
  <c r="P47" i="6" s="1"/>
  <c r="I45" i="6"/>
  <c r="I44" i="6"/>
  <c r="K44" i="6" s="1"/>
  <c r="L44" i="6" s="1"/>
  <c r="I43" i="6"/>
  <c r="K43" i="6" s="1"/>
  <c r="L43" i="6" s="1"/>
  <c r="I42" i="6"/>
  <c r="I41" i="6"/>
  <c r="I40" i="6"/>
  <c r="I39" i="6"/>
  <c r="I38" i="6"/>
  <c r="K38" i="6" s="1"/>
  <c r="L38" i="6" s="1"/>
  <c r="I37" i="6"/>
  <c r="K37" i="6" s="1"/>
  <c r="L37" i="6" s="1"/>
  <c r="I36" i="6"/>
  <c r="I35" i="6"/>
  <c r="I34" i="6"/>
  <c r="I33" i="6"/>
  <c r="K33" i="6" s="1"/>
  <c r="L33" i="6" s="1"/>
  <c r="I32" i="6"/>
  <c r="I31" i="6"/>
  <c r="O31" i="6" s="1"/>
  <c r="P31" i="6" s="1"/>
  <c r="I30" i="6"/>
  <c r="I29" i="6"/>
  <c r="I27" i="6"/>
  <c r="I26" i="6"/>
  <c r="K26" i="6" s="1"/>
  <c r="L26" i="6" s="1"/>
  <c r="I25" i="6"/>
  <c r="I24" i="6"/>
  <c r="I23" i="6"/>
  <c r="I22" i="6"/>
  <c r="O22" i="6" s="1"/>
  <c r="P22" i="6" s="1"/>
  <c r="I8" i="6"/>
  <c r="I5" i="6"/>
  <c r="I4" i="6"/>
  <c r="D251" i="28"/>
  <c r="D206" i="25"/>
  <c r="D221" i="25"/>
  <c r="D61" i="25"/>
  <c r="D77" i="25"/>
  <c r="N218" i="25"/>
  <c r="H218" i="52"/>
  <c r="C4" i="21"/>
  <c r="C5" i="21"/>
  <c r="C6" i="21"/>
  <c r="C8" i="21"/>
  <c r="C22" i="21"/>
  <c r="C26" i="21"/>
  <c r="C27" i="21"/>
  <c r="C29" i="21"/>
  <c r="C30" i="21"/>
  <c r="C31" i="21"/>
  <c r="C32" i="21"/>
  <c r="C33" i="21"/>
  <c r="C34" i="21"/>
  <c r="F34" i="21" s="1"/>
  <c r="C34" i="25" s="1"/>
  <c r="C36" i="21"/>
  <c r="F36" i="21" s="1"/>
  <c r="C36" i="25" s="1"/>
  <c r="C37" i="21"/>
  <c r="C38" i="21"/>
  <c r="C40" i="21"/>
  <c r="C41" i="21"/>
  <c r="C42" i="21"/>
  <c r="C43" i="21"/>
  <c r="C44" i="21"/>
  <c r="C45" i="21"/>
  <c r="C47" i="21"/>
  <c r="H47" i="21" s="1"/>
  <c r="M47" i="25" s="1"/>
  <c r="C48" i="21"/>
  <c r="F48" i="21" s="1"/>
  <c r="C48" i="25" s="1"/>
  <c r="C50" i="21"/>
  <c r="C51" i="21"/>
  <c r="H51" i="21" s="1"/>
  <c r="M51" i="25" s="1"/>
  <c r="C53" i="21"/>
  <c r="C54" i="21"/>
  <c r="C55" i="21"/>
  <c r="C56" i="21"/>
  <c r="C57" i="21"/>
  <c r="C58" i="21"/>
  <c r="H58" i="21" s="1"/>
  <c r="M58" i="25" s="1"/>
  <c r="C59" i="21"/>
  <c r="F59" i="21" s="1"/>
  <c r="C59" i="25" s="1"/>
  <c r="C60" i="21"/>
  <c r="C62" i="21"/>
  <c r="C63" i="21"/>
  <c r="H63" i="21" s="1"/>
  <c r="M63" i="25" s="1"/>
  <c r="C64" i="21"/>
  <c r="C65" i="21"/>
  <c r="C66" i="21"/>
  <c r="C67" i="21"/>
  <c r="C68" i="21"/>
  <c r="F68" i="21" s="1"/>
  <c r="C68" i="25" s="1"/>
  <c r="C69" i="21"/>
  <c r="C70" i="21"/>
  <c r="C71" i="21"/>
  <c r="C72" i="21"/>
  <c r="C73" i="21"/>
  <c r="C74" i="21"/>
  <c r="C75" i="21"/>
  <c r="F75" i="21" s="1"/>
  <c r="C75" i="25" s="1"/>
  <c r="C76" i="21"/>
  <c r="H76" i="21" s="1"/>
  <c r="M76" i="25" s="1"/>
  <c r="C77" i="21"/>
  <c r="C79" i="21"/>
  <c r="C80" i="21"/>
  <c r="H80" i="21" s="1"/>
  <c r="M80" i="25" s="1"/>
  <c r="C81" i="21"/>
  <c r="C82" i="21"/>
  <c r="C83" i="21"/>
  <c r="C84" i="21"/>
  <c r="C85" i="21"/>
  <c r="C87" i="21"/>
  <c r="C88" i="21"/>
  <c r="F88" i="21" s="1"/>
  <c r="C88" i="25" s="1"/>
  <c r="C89" i="21"/>
  <c r="C90" i="21"/>
  <c r="F90" i="21" s="1"/>
  <c r="C90" i="25" s="1"/>
  <c r="C91" i="21"/>
  <c r="C92" i="21"/>
  <c r="H92" i="21" s="1"/>
  <c r="M92" i="25" s="1"/>
  <c r="C93" i="21"/>
  <c r="C94" i="21"/>
  <c r="C95" i="21"/>
  <c r="C96" i="21"/>
  <c r="C97" i="21"/>
  <c r="C98" i="21"/>
  <c r="H98" i="21" s="1"/>
  <c r="M98" i="25" s="1"/>
  <c r="C99" i="21"/>
  <c r="C100" i="21"/>
  <c r="C101" i="21"/>
  <c r="C102" i="21"/>
  <c r="F102" i="21" s="1"/>
  <c r="C102" i="25" s="1"/>
  <c r="C103" i="21"/>
  <c r="C104" i="21"/>
  <c r="C105" i="21"/>
  <c r="C107" i="21"/>
  <c r="C108" i="21"/>
  <c r="C109" i="21"/>
  <c r="C113" i="21"/>
  <c r="C114" i="21"/>
  <c r="C115" i="21"/>
  <c r="C116" i="21"/>
  <c r="C117" i="21"/>
  <c r="C118" i="21"/>
  <c r="C119" i="21"/>
  <c r="C120" i="21"/>
  <c r="C121" i="21"/>
  <c r="C122" i="21"/>
  <c r="C123" i="21"/>
  <c r="C124" i="21"/>
  <c r="C125" i="21"/>
  <c r="H125" i="21" s="1"/>
  <c r="M125" i="25" s="1"/>
  <c r="C126" i="21"/>
  <c r="C128" i="21"/>
  <c r="C130" i="21"/>
  <c r="F130" i="21" s="1"/>
  <c r="C130" i="25" s="1"/>
  <c r="C131" i="21"/>
  <c r="C132" i="21"/>
  <c r="C133" i="21"/>
  <c r="C134" i="21"/>
  <c r="F134" i="21" s="1"/>
  <c r="C134" i="25" s="1"/>
  <c r="C135" i="21"/>
  <c r="C136" i="21"/>
  <c r="C137" i="21"/>
  <c r="H137" i="21" s="1"/>
  <c r="M137" i="25" s="1"/>
  <c r="C139" i="21"/>
  <c r="C140" i="21"/>
  <c r="C143" i="21"/>
  <c r="C144" i="21"/>
  <c r="C145" i="21"/>
  <c r="C147" i="21"/>
  <c r="C149" i="21"/>
  <c r="C150" i="21"/>
  <c r="C151" i="21"/>
  <c r="C152" i="21"/>
  <c r="C153" i="21"/>
  <c r="C154" i="21"/>
  <c r="C155" i="21"/>
  <c r="C156" i="21"/>
  <c r="C157" i="21"/>
  <c r="C158" i="21"/>
  <c r="C159" i="21"/>
  <c r="C160" i="21"/>
  <c r="C161" i="21"/>
  <c r="C162" i="21"/>
  <c r="C163" i="21"/>
  <c r="C164" i="21"/>
  <c r="C165" i="21"/>
  <c r="H165" i="21" s="1"/>
  <c r="M165" i="25" s="1"/>
  <c r="C166" i="21"/>
  <c r="F166" i="21" s="1"/>
  <c r="C166" i="25" s="1"/>
  <c r="C168" i="21"/>
  <c r="F168" i="21" s="1"/>
  <c r="C168" i="25" s="1"/>
  <c r="C169" i="21"/>
  <c r="H169" i="21" s="1"/>
  <c r="M169" i="25" s="1"/>
  <c r="C170" i="21"/>
  <c r="C171" i="21"/>
  <c r="C172" i="21"/>
  <c r="C173" i="21"/>
  <c r="C174" i="21"/>
  <c r="C175" i="21"/>
  <c r="C176" i="21"/>
  <c r="F176" i="21" s="1"/>
  <c r="C176" i="25" s="1"/>
  <c r="C177" i="21"/>
  <c r="C178" i="21"/>
  <c r="C179" i="21"/>
  <c r="C180" i="21"/>
  <c r="C181" i="21"/>
  <c r="C182" i="21"/>
  <c r="C183" i="21"/>
  <c r="F183" i="21" s="1"/>
  <c r="C183" i="25" s="1"/>
  <c r="C184" i="21"/>
  <c r="C185" i="21"/>
  <c r="C186" i="21"/>
  <c r="F186" i="21" s="1"/>
  <c r="C186" i="25" s="1"/>
  <c r="C187" i="21"/>
  <c r="F187" i="21" s="1"/>
  <c r="C187" i="25" s="1"/>
  <c r="C188" i="21"/>
  <c r="C189" i="21"/>
  <c r="C191" i="21"/>
  <c r="F191" i="21" s="1"/>
  <c r="C191" i="25" s="1"/>
  <c r="C192" i="21"/>
  <c r="C193" i="21"/>
  <c r="C194" i="21"/>
  <c r="C195" i="21"/>
  <c r="C198" i="21"/>
  <c r="C199" i="21"/>
  <c r="C200" i="21"/>
  <c r="C201" i="21"/>
  <c r="F201" i="21" s="1"/>
  <c r="C201" i="25" s="1"/>
  <c r="C202" i="21"/>
  <c r="C203" i="21"/>
  <c r="F203" i="21" s="1"/>
  <c r="C203" i="25" s="1"/>
  <c r="C204" i="21"/>
  <c r="C205" i="21"/>
  <c r="F205" i="21" s="1"/>
  <c r="C205" i="25" s="1"/>
  <c r="C206" i="21"/>
  <c r="C207" i="21"/>
  <c r="C208" i="21"/>
  <c r="C210" i="21"/>
  <c r="C211" i="21"/>
  <c r="C212" i="21"/>
  <c r="C214" i="21"/>
  <c r="C215" i="21"/>
  <c r="C216" i="21"/>
  <c r="C217" i="21"/>
  <c r="C218" i="21"/>
  <c r="C219" i="21"/>
  <c r="H219" i="21" s="1"/>
  <c r="M219" i="25" s="1"/>
  <c r="C220" i="21"/>
  <c r="C221" i="21"/>
  <c r="C222" i="21"/>
  <c r="C223" i="21"/>
  <c r="C224" i="21"/>
  <c r="C225" i="21"/>
  <c r="C226" i="21"/>
  <c r="C227" i="21"/>
  <c r="C228" i="21"/>
  <c r="C241" i="21"/>
  <c r="M241" i="25"/>
  <c r="C243" i="21"/>
  <c r="M243" i="25"/>
  <c r="C245" i="21"/>
  <c r="M245" i="25"/>
  <c r="C248" i="21"/>
  <c r="C249" i="21"/>
  <c r="C250" i="21"/>
  <c r="F250" i="21" s="1"/>
  <c r="C250" i="25" s="1"/>
  <c r="C251" i="21"/>
  <c r="C253" i="21"/>
  <c r="C254" i="21"/>
  <c r="C255" i="21"/>
  <c r="C256" i="21"/>
  <c r="C257" i="21"/>
  <c r="C258" i="21"/>
  <c r="C259" i="21"/>
  <c r="C260" i="21"/>
  <c r="C261" i="21"/>
  <c r="C262" i="21"/>
  <c r="C263" i="21"/>
  <c r="C264" i="21"/>
  <c r="C270" i="21"/>
  <c r="C271" i="21"/>
  <c r="H271" i="21" s="1"/>
  <c r="M271" i="25" s="1"/>
  <c r="C272" i="21"/>
  <c r="F272" i="21" s="1"/>
  <c r="C272" i="25" s="1"/>
  <c r="C273" i="21"/>
  <c r="C274" i="21"/>
  <c r="C276" i="21"/>
  <c r="C277" i="21"/>
  <c r="C278" i="21"/>
  <c r="C279" i="21"/>
  <c r="H279" i="21" s="1"/>
  <c r="M279" i="25" s="1"/>
  <c r="C280" i="21"/>
  <c r="E34" i="23"/>
  <c r="E36" i="23"/>
  <c r="E47" i="23"/>
  <c r="E48" i="23"/>
  <c r="E51" i="23"/>
  <c r="E54" i="23"/>
  <c r="E56" i="23"/>
  <c r="E57" i="23"/>
  <c r="E58" i="23"/>
  <c r="E59" i="23"/>
  <c r="E60" i="23"/>
  <c r="E62" i="23"/>
  <c r="E63" i="23"/>
  <c r="E67" i="23"/>
  <c r="E68" i="23"/>
  <c r="E72" i="23"/>
  <c r="E74" i="23"/>
  <c r="E75" i="23"/>
  <c r="E76" i="23"/>
  <c r="E88" i="23"/>
  <c r="E90" i="23"/>
  <c r="E92" i="23"/>
  <c r="E93" i="23"/>
  <c r="E98" i="23"/>
  <c r="E100" i="23"/>
  <c r="E102" i="23"/>
  <c r="E108" i="23"/>
  <c r="E125" i="23"/>
  <c r="E130" i="23"/>
  <c r="E133" i="23"/>
  <c r="E134" i="23"/>
  <c r="E154" i="23"/>
  <c r="E155" i="23"/>
  <c r="E165" i="23"/>
  <c r="E166" i="23"/>
  <c r="E168" i="23"/>
  <c r="E176" i="23"/>
  <c r="E183" i="23"/>
  <c r="E186" i="23"/>
  <c r="E187" i="23"/>
  <c r="E191" i="23"/>
  <c r="E193" i="23"/>
  <c r="E200" i="23"/>
  <c r="E201" i="23"/>
  <c r="E203" i="23"/>
  <c r="E207" i="23"/>
  <c r="E218" i="23"/>
  <c r="E219" i="23"/>
  <c r="E241" i="23"/>
  <c r="E243" i="23"/>
  <c r="E245" i="23"/>
  <c r="E251" i="23"/>
  <c r="E271" i="23"/>
  <c r="E272" i="23"/>
  <c r="E279" i="23"/>
  <c r="C241" i="23"/>
  <c r="C243" i="23"/>
  <c r="J243" i="6"/>
  <c r="C245" i="23"/>
  <c r="M218" i="25"/>
  <c r="C245" i="25"/>
  <c r="C243" i="25"/>
  <c r="C241" i="25"/>
  <c r="I241" i="46"/>
  <c r="I245" i="46"/>
  <c r="I243" i="46"/>
  <c r="L245" i="46"/>
  <c r="L241" i="46"/>
  <c r="L243" i="46"/>
  <c r="H34" i="46"/>
  <c r="AN111" i="7"/>
  <c r="AP110" i="7"/>
  <c r="AN110" i="7"/>
  <c r="AP111" i="7"/>
  <c r="AP112" i="7"/>
  <c r="J241" i="6"/>
  <c r="C23" i="21"/>
  <c r="J245" i="6"/>
  <c r="D30" i="25"/>
  <c r="J246" i="6"/>
  <c r="D173" i="25"/>
  <c r="D135" i="25"/>
  <c r="D81" i="25"/>
  <c r="D193" i="25"/>
  <c r="J244" i="46"/>
  <c r="M244" i="46"/>
  <c r="J246" i="46"/>
  <c r="J243" i="46"/>
  <c r="J241" i="46"/>
  <c r="M241" i="46"/>
  <c r="M243" i="46"/>
  <c r="M246" i="46"/>
  <c r="J245" i="46"/>
  <c r="M245" i="46"/>
  <c r="D130" i="28"/>
  <c r="C24" i="21"/>
  <c r="D59" i="28"/>
  <c r="D288" i="28"/>
  <c r="D246" i="28"/>
  <c r="D272" i="28"/>
  <c r="D47" i="28"/>
  <c r="E241" i="54"/>
  <c r="D245" i="28"/>
  <c r="E242" i="54"/>
  <c r="P154" i="46"/>
  <c r="K94" i="6"/>
  <c r="L94" i="6" s="1"/>
  <c r="O94" i="6"/>
  <c r="P94" i="6" s="1"/>
  <c r="D343" i="17"/>
  <c r="P239" i="46"/>
  <c r="E244" i="54"/>
  <c r="I184" i="50"/>
  <c r="L184" i="52" s="1"/>
  <c r="I291" i="50"/>
  <c r="L291" i="52" s="1"/>
  <c r="G291" i="50"/>
  <c r="H291" i="52" s="1"/>
  <c r="O186" i="6"/>
  <c r="P186" i="6" s="1"/>
  <c r="O165" i="6"/>
  <c r="P165" i="6" s="1"/>
  <c r="O226" i="6"/>
  <c r="P226" i="6" s="1"/>
  <c r="O287" i="6"/>
  <c r="P287" i="6" s="1"/>
  <c r="P197" i="46"/>
  <c r="P18" i="46"/>
  <c r="G32" i="72"/>
  <c r="D275" i="28"/>
  <c r="H50" i="39"/>
  <c r="H162" i="39"/>
  <c r="H84" i="39"/>
  <c r="H169" i="39"/>
  <c r="J288" i="23"/>
  <c r="J32" i="72"/>
  <c r="E243" i="54"/>
  <c r="K171" i="6"/>
  <c r="L171" i="6" s="1"/>
  <c r="K161" i="6"/>
  <c r="L161" i="6" s="1"/>
  <c r="O161" i="6"/>
  <c r="P161" i="6" s="1"/>
  <c r="O193" i="6" l="1"/>
  <c r="P193" i="6" s="1"/>
  <c r="O222" i="6"/>
  <c r="P222" i="6" s="1"/>
  <c r="E242" i="25"/>
  <c r="O218" i="25"/>
  <c r="L17" i="26"/>
  <c r="M17" i="26" s="1"/>
  <c r="N17" i="26" s="1"/>
  <c r="J141" i="15"/>
  <c r="J97" i="15"/>
  <c r="J138" i="15"/>
  <c r="J82" i="15"/>
  <c r="J105" i="15"/>
  <c r="J145" i="15"/>
  <c r="J144" i="15"/>
  <c r="J114" i="15"/>
  <c r="J142" i="15"/>
  <c r="J236" i="23"/>
  <c r="N236" i="6" s="1"/>
  <c r="I277" i="23"/>
  <c r="I284" i="23"/>
  <c r="J282" i="23"/>
  <c r="I283" i="23"/>
  <c r="G85" i="50"/>
  <c r="H85" i="52" s="1"/>
  <c r="J93" i="23"/>
  <c r="G236" i="50"/>
  <c r="H236" i="52" s="1"/>
  <c r="J158" i="50"/>
  <c r="M158" i="52" s="1"/>
  <c r="J285" i="23"/>
  <c r="I278" i="50"/>
  <c r="L278" i="52" s="1"/>
  <c r="I101" i="50"/>
  <c r="L101" i="52" s="1"/>
  <c r="G186" i="50"/>
  <c r="H186" i="52" s="1"/>
  <c r="H251" i="50"/>
  <c r="I251" i="52" s="1"/>
  <c r="I83" i="50"/>
  <c r="L83" i="52" s="1"/>
  <c r="G288" i="50"/>
  <c r="H288" i="52" s="1"/>
  <c r="J176" i="23"/>
  <c r="I58" i="23"/>
  <c r="I98" i="23"/>
  <c r="I214" i="23"/>
  <c r="J50" i="23"/>
  <c r="G230" i="23"/>
  <c r="G230" i="26" s="1"/>
  <c r="J230" i="26" s="1"/>
  <c r="O230" i="26" s="1"/>
  <c r="G234" i="23"/>
  <c r="G234" i="26" s="1"/>
  <c r="J234" i="26" s="1"/>
  <c r="O234" i="26" s="1"/>
  <c r="G16" i="23"/>
  <c r="G16" i="26" s="1"/>
  <c r="H16" i="26" s="1"/>
  <c r="I16" i="26" s="1"/>
  <c r="J16" i="26" s="1"/>
  <c r="O16" i="26" s="1"/>
  <c r="G252" i="23"/>
  <c r="G252" i="26" s="1"/>
  <c r="J252" i="26" s="1"/>
  <c r="O252" i="26" s="1"/>
  <c r="E252" i="28" s="1"/>
  <c r="H264" i="50"/>
  <c r="I264" i="52" s="1"/>
  <c r="H169" i="50"/>
  <c r="I169" i="52" s="1"/>
  <c r="E16" i="50"/>
  <c r="C16" i="52" s="1"/>
  <c r="F16" i="52" s="1"/>
  <c r="E13" i="50"/>
  <c r="C13" i="52" s="1"/>
  <c r="F13" i="52" s="1"/>
  <c r="G13" i="50"/>
  <c r="H13" i="52" s="1"/>
  <c r="J13" i="52" s="1"/>
  <c r="G16" i="50"/>
  <c r="H16" i="52" s="1"/>
  <c r="J16" i="52" s="1"/>
  <c r="G206" i="50"/>
  <c r="H206" i="52" s="1"/>
  <c r="J188" i="23"/>
  <c r="H262" i="50"/>
  <c r="I262" i="52" s="1"/>
  <c r="H274" i="50"/>
  <c r="I274" i="52" s="1"/>
  <c r="D132" i="17"/>
  <c r="H8" i="50"/>
  <c r="I8" i="52" s="1"/>
  <c r="I23" i="50"/>
  <c r="L23" i="52" s="1"/>
  <c r="H89" i="50"/>
  <c r="I89" i="52" s="1"/>
  <c r="H156" i="50"/>
  <c r="I156" i="52" s="1"/>
  <c r="H163" i="50"/>
  <c r="I163" i="52" s="1"/>
  <c r="I165" i="50"/>
  <c r="L165" i="52" s="1"/>
  <c r="H176" i="50"/>
  <c r="I176" i="52" s="1"/>
  <c r="H195" i="50"/>
  <c r="I195" i="52" s="1"/>
  <c r="I209" i="50"/>
  <c r="L209" i="52" s="1"/>
  <c r="G214" i="50"/>
  <c r="H214" i="52" s="1"/>
  <c r="H248" i="50"/>
  <c r="I248" i="52" s="1"/>
  <c r="H218" i="50"/>
  <c r="I218" i="52" s="1"/>
  <c r="J218" i="52" s="1"/>
  <c r="G218" i="51" s="1"/>
  <c r="D90" i="17"/>
  <c r="I8" i="50"/>
  <c r="L8" i="52" s="1"/>
  <c r="G35" i="50"/>
  <c r="H35" i="52" s="1"/>
  <c r="H85" i="50"/>
  <c r="I85" i="52" s="1"/>
  <c r="H87" i="50"/>
  <c r="I87" i="52" s="1"/>
  <c r="H103" i="50"/>
  <c r="I103" i="52" s="1"/>
  <c r="G124" i="50"/>
  <c r="H124" i="52" s="1"/>
  <c r="G163" i="50"/>
  <c r="H163" i="52" s="1"/>
  <c r="H188" i="50"/>
  <c r="I188" i="52" s="1"/>
  <c r="I195" i="50"/>
  <c r="L195" i="52" s="1"/>
  <c r="I198" i="50"/>
  <c r="L198" i="52" s="1"/>
  <c r="H205" i="50"/>
  <c r="I205" i="52" s="1"/>
  <c r="G226" i="50"/>
  <c r="H226" i="52" s="1"/>
  <c r="H258" i="50"/>
  <c r="I258" i="52" s="1"/>
  <c r="H260" i="50"/>
  <c r="I260" i="52" s="1"/>
  <c r="H39" i="50"/>
  <c r="I39" i="52" s="1"/>
  <c r="H119" i="50"/>
  <c r="I119" i="52" s="1"/>
  <c r="G128" i="50"/>
  <c r="H128" i="52" s="1"/>
  <c r="H178" i="50"/>
  <c r="I178" i="52" s="1"/>
  <c r="H250" i="50"/>
  <c r="I250" i="52" s="1"/>
  <c r="H278" i="50"/>
  <c r="I278" i="52" s="1"/>
  <c r="J278" i="52" s="1"/>
  <c r="G278" i="51" s="1"/>
  <c r="H278" i="51" s="1"/>
  <c r="H206" i="50"/>
  <c r="I206" i="52" s="1"/>
  <c r="J206" i="52" s="1"/>
  <c r="G206" i="51" s="1"/>
  <c r="H206" i="51" s="1"/>
  <c r="H137" i="50"/>
  <c r="I137" i="52" s="1"/>
  <c r="G153" i="50"/>
  <c r="H153" i="52" s="1"/>
  <c r="E200" i="50"/>
  <c r="C200" i="52" s="1"/>
  <c r="F451" i="17"/>
  <c r="H5" i="50"/>
  <c r="I5" i="52" s="1"/>
  <c r="H26" i="50"/>
  <c r="I26" i="52" s="1"/>
  <c r="G103" i="50"/>
  <c r="H103" i="52" s="1"/>
  <c r="H115" i="50"/>
  <c r="I115" i="52" s="1"/>
  <c r="G135" i="50"/>
  <c r="H135" i="52" s="1"/>
  <c r="G174" i="50"/>
  <c r="H174" i="52" s="1"/>
  <c r="G188" i="50"/>
  <c r="H188" i="52" s="1"/>
  <c r="I205" i="50"/>
  <c r="L205" i="52" s="1"/>
  <c r="H148" i="50"/>
  <c r="I148" i="52" s="1"/>
  <c r="O138" i="33"/>
  <c r="L138" i="33"/>
  <c r="I278" i="15"/>
  <c r="J278" i="15" s="1"/>
  <c r="I271" i="15"/>
  <c r="J271" i="15" s="1"/>
  <c r="C271" i="39" s="1"/>
  <c r="K271" i="39" s="1"/>
  <c r="I216" i="15"/>
  <c r="J216" i="15" s="1"/>
  <c r="I282" i="15"/>
  <c r="J282" i="15" s="1"/>
  <c r="I262" i="15"/>
  <c r="J262" i="15" s="1"/>
  <c r="I254" i="15"/>
  <c r="J254" i="15" s="1"/>
  <c r="I238" i="15"/>
  <c r="J238" i="15" s="1"/>
  <c r="I232" i="15"/>
  <c r="J232" i="15" s="1"/>
  <c r="I217" i="15"/>
  <c r="J217" i="15" s="1"/>
  <c r="I127" i="15"/>
  <c r="J127" i="15" s="1"/>
  <c r="I113" i="15"/>
  <c r="J113" i="15" s="1"/>
  <c r="I99" i="15"/>
  <c r="J99" i="15" s="1"/>
  <c r="I85" i="15"/>
  <c r="J85" i="15" s="1"/>
  <c r="I52" i="15"/>
  <c r="J52" i="15" s="1"/>
  <c r="I12" i="15"/>
  <c r="J12" i="15" s="1"/>
  <c r="I4" i="15"/>
  <c r="J4" i="15" s="1"/>
  <c r="I218" i="15"/>
  <c r="J218" i="15" s="1"/>
  <c r="I204" i="15"/>
  <c r="J204" i="15" s="1"/>
  <c r="I140" i="15"/>
  <c r="J140" i="15" s="1"/>
  <c r="I128" i="15"/>
  <c r="J128" i="15" s="1"/>
  <c r="I86" i="15"/>
  <c r="J86" i="15" s="1"/>
  <c r="I69" i="15"/>
  <c r="J69" i="15" s="1"/>
  <c r="I62" i="15"/>
  <c r="J62" i="15" s="1"/>
  <c r="I55" i="15"/>
  <c r="J55" i="15" s="1"/>
  <c r="I284" i="15"/>
  <c r="J284" i="15" s="1"/>
  <c r="I233" i="15"/>
  <c r="J233" i="15" s="1"/>
  <c r="I205" i="15"/>
  <c r="J205" i="15" s="1"/>
  <c r="I129" i="15"/>
  <c r="J129" i="15" s="1"/>
  <c r="I115" i="15"/>
  <c r="J115" i="15" s="1"/>
  <c r="I101" i="15"/>
  <c r="J101" i="15" s="1"/>
  <c r="I87" i="15"/>
  <c r="J87" i="15" s="1"/>
  <c r="I285" i="15"/>
  <c r="J285" i="15" s="1"/>
  <c r="I280" i="15"/>
  <c r="J280" i="15" s="1"/>
  <c r="I273" i="15"/>
  <c r="J273" i="15" s="1"/>
  <c r="I263" i="15"/>
  <c r="J263" i="15" s="1"/>
  <c r="I255" i="15"/>
  <c r="J255" i="15" s="1"/>
  <c r="I248" i="15"/>
  <c r="J248" i="15" s="1"/>
  <c r="I239" i="15"/>
  <c r="J239" i="15" s="1"/>
  <c r="I289" i="15"/>
  <c r="J289" i="15" s="1"/>
  <c r="I275" i="15"/>
  <c r="J275" i="15" s="1"/>
  <c r="I250" i="15"/>
  <c r="J250" i="15" s="1"/>
  <c r="I247" i="15"/>
  <c r="J247" i="15" s="1"/>
  <c r="I235" i="15"/>
  <c r="J235" i="15" s="1"/>
  <c r="I224" i="15"/>
  <c r="J224" i="15" s="1"/>
  <c r="I210" i="15"/>
  <c r="J210" i="15" s="1"/>
  <c r="I196" i="15"/>
  <c r="J196" i="15" s="1"/>
  <c r="I120" i="15"/>
  <c r="J120" i="15" s="1"/>
  <c r="I106" i="15"/>
  <c r="J106" i="15" s="1"/>
  <c r="I65" i="15"/>
  <c r="J65" i="15" s="1"/>
  <c r="I58" i="15"/>
  <c r="J58" i="15" s="1"/>
  <c r="I9" i="15"/>
  <c r="J9" i="15" s="1"/>
  <c r="I290" i="15"/>
  <c r="J290" i="15" s="1"/>
  <c r="I259" i="15"/>
  <c r="J259" i="15" s="1"/>
  <c r="I230" i="15"/>
  <c r="J230" i="15" s="1"/>
  <c r="I286" i="15"/>
  <c r="J286" i="15" s="1"/>
  <c r="I208" i="15"/>
  <c r="J208" i="15" s="1"/>
  <c r="I189" i="15"/>
  <c r="J189" i="15" s="1"/>
  <c r="C189" i="39" s="1"/>
  <c r="K189" i="39" s="1"/>
  <c r="I173" i="15"/>
  <c r="J173" i="15" s="1"/>
  <c r="I158" i="15"/>
  <c r="J158" i="15" s="1"/>
  <c r="I118" i="15"/>
  <c r="J118" i="15" s="1"/>
  <c r="I102" i="15"/>
  <c r="J102" i="15" s="1"/>
  <c r="I7" i="15"/>
  <c r="J7" i="15" s="1"/>
  <c r="I231" i="15"/>
  <c r="J231" i="15" s="1"/>
  <c r="I222" i="15"/>
  <c r="I190" i="15"/>
  <c r="J190" i="15" s="1"/>
  <c r="I174" i="15"/>
  <c r="J174" i="15" s="1"/>
  <c r="I159" i="15"/>
  <c r="J159" i="15" s="1"/>
  <c r="I135" i="15"/>
  <c r="J135" i="15" s="1"/>
  <c r="I112" i="15"/>
  <c r="J112" i="15" s="1"/>
  <c r="I71" i="15"/>
  <c r="J71" i="15" s="1"/>
  <c r="I287" i="15"/>
  <c r="J287" i="15" s="1"/>
  <c r="C287" i="39" s="1"/>
  <c r="K287" i="39" s="1"/>
  <c r="I261" i="15"/>
  <c r="J261" i="15" s="1"/>
  <c r="I209" i="15"/>
  <c r="J209" i="15" s="1"/>
  <c r="I202" i="15"/>
  <c r="J202" i="15" s="1"/>
  <c r="I192" i="15"/>
  <c r="J192" i="15" s="1"/>
  <c r="I175" i="15"/>
  <c r="J175" i="15" s="1"/>
  <c r="I160" i="15"/>
  <c r="J160" i="15" s="1"/>
  <c r="I119" i="15"/>
  <c r="J119" i="15" s="1"/>
  <c r="I103" i="15"/>
  <c r="I94" i="15"/>
  <c r="J94" i="15" s="1"/>
  <c r="I10" i="15"/>
  <c r="J10" i="15" s="1"/>
  <c r="I95" i="15"/>
  <c r="J95" i="15" s="1"/>
  <c r="I66" i="15"/>
  <c r="J66" i="15" s="1"/>
  <c r="I194" i="15"/>
  <c r="J194" i="15" s="1"/>
  <c r="I162" i="15"/>
  <c r="J162" i="15" s="1"/>
  <c r="I96" i="15"/>
  <c r="J96" i="15" s="1"/>
  <c r="I256" i="15"/>
  <c r="J256" i="15" s="1"/>
  <c r="I252" i="15"/>
  <c r="J252" i="15" s="1"/>
  <c r="I178" i="15"/>
  <c r="J178" i="15" s="1"/>
  <c r="I80" i="15"/>
  <c r="J80" i="15" s="1"/>
  <c r="I11" i="15"/>
  <c r="J11" i="15" s="1"/>
  <c r="I240" i="15"/>
  <c r="J240" i="15" s="1"/>
  <c r="I225" i="15"/>
  <c r="J225" i="15" s="1"/>
  <c r="I195" i="15"/>
  <c r="J195" i="15" s="1"/>
  <c r="I179" i="15"/>
  <c r="J179" i="15" s="1"/>
  <c r="I164" i="15"/>
  <c r="J164" i="15" s="1"/>
  <c r="I81" i="15"/>
  <c r="J81" i="15" s="1"/>
  <c r="I56" i="15"/>
  <c r="J56" i="15" s="1"/>
  <c r="I180" i="15"/>
  <c r="J180" i="15" s="1"/>
  <c r="I274" i="15"/>
  <c r="J274" i="15" s="1"/>
  <c r="I251" i="15"/>
  <c r="J251" i="15" s="1"/>
  <c r="I223" i="15"/>
  <c r="J223" i="15" s="1"/>
  <c r="I193" i="15"/>
  <c r="J193" i="15" s="1"/>
  <c r="I176" i="15"/>
  <c r="J176" i="15" s="1"/>
  <c r="I161" i="15"/>
  <c r="J161" i="15" s="1"/>
  <c r="I136" i="15"/>
  <c r="J136" i="15" s="1"/>
  <c r="I104" i="15"/>
  <c r="J104" i="15" s="1"/>
  <c r="C104" i="39" s="1"/>
  <c r="I104" i="39" s="1"/>
  <c r="I236" i="15"/>
  <c r="J236" i="15" s="1"/>
  <c r="I177" i="15"/>
  <c r="J177" i="15" s="1"/>
  <c r="I147" i="15"/>
  <c r="J147" i="15" s="1"/>
  <c r="I143" i="15"/>
  <c r="J143" i="15" s="1"/>
  <c r="I137" i="15"/>
  <c r="J137" i="15" s="1"/>
  <c r="I79" i="15"/>
  <c r="J79" i="15" s="1"/>
  <c r="I61" i="15"/>
  <c r="J61" i="15" s="1"/>
  <c r="I211" i="15"/>
  <c r="J211" i="15" s="1"/>
  <c r="I163" i="15"/>
  <c r="J163" i="15" s="1"/>
  <c r="I148" i="15"/>
  <c r="J148" i="15" s="1"/>
  <c r="I121" i="15"/>
  <c r="J121" i="15" s="1"/>
  <c r="I73" i="15"/>
  <c r="J73" i="15" s="1"/>
  <c r="I67" i="15"/>
  <c r="J67" i="15" s="1"/>
  <c r="I270" i="15"/>
  <c r="J270" i="15" s="1"/>
  <c r="I257" i="15"/>
  <c r="J257" i="15" s="1"/>
  <c r="I149" i="15"/>
  <c r="J149" i="15" s="1"/>
  <c r="I281" i="15"/>
  <c r="J281" i="15" s="1"/>
  <c r="I212" i="15"/>
  <c r="J212" i="15" s="1"/>
  <c r="I276" i="15"/>
  <c r="J276" i="15" s="1"/>
  <c r="I227" i="15"/>
  <c r="J227" i="15" s="1"/>
  <c r="I214" i="15"/>
  <c r="J214" i="15" s="1"/>
  <c r="I197" i="15"/>
  <c r="J197" i="15" s="1"/>
  <c r="I182" i="15"/>
  <c r="J182" i="15" s="1"/>
  <c r="I168" i="15"/>
  <c r="J168" i="15" s="1"/>
  <c r="I152" i="15"/>
  <c r="J152" i="15" s="1"/>
  <c r="I124" i="15"/>
  <c r="J124" i="15" s="1"/>
  <c r="I89" i="15"/>
  <c r="J89" i="15" s="1"/>
  <c r="I291" i="15"/>
  <c r="J291" i="15" s="1"/>
  <c r="I228" i="15"/>
  <c r="J228" i="15" s="1"/>
  <c r="I183" i="15"/>
  <c r="J183" i="15" s="1"/>
  <c r="I169" i="15"/>
  <c r="J169" i="15" s="1"/>
  <c r="I153" i="15"/>
  <c r="J153" i="15" s="1"/>
  <c r="I108" i="15"/>
  <c r="J108" i="15" s="1"/>
  <c r="I84" i="15"/>
  <c r="J84" i="15" s="1"/>
  <c r="I63" i="15"/>
  <c r="J63" i="15" s="1"/>
  <c r="I49" i="15"/>
  <c r="J49" i="15" s="1"/>
  <c r="I199" i="15"/>
  <c r="J199" i="15" s="1"/>
  <c r="I122" i="15"/>
  <c r="J122" i="15" s="1"/>
  <c r="I260" i="15"/>
  <c r="J260" i="15" s="1"/>
  <c r="I200" i="15"/>
  <c r="J200" i="15" s="1"/>
  <c r="I170" i="15"/>
  <c r="J170" i="15" s="1"/>
  <c r="I156" i="15"/>
  <c r="J156" i="15" s="1"/>
  <c r="I21" i="15"/>
  <c r="J21" i="15" s="1"/>
  <c r="I6" i="15"/>
  <c r="J6" i="15" s="1"/>
  <c r="I258" i="15"/>
  <c r="J258" i="15" s="1"/>
  <c r="I126" i="15"/>
  <c r="J126" i="15" s="1"/>
  <c r="I8" i="15"/>
  <c r="J8" i="15" s="1"/>
  <c r="I83" i="15"/>
  <c r="J83" i="15" s="1"/>
  <c r="I154" i="15"/>
  <c r="J154" i="15" s="1"/>
  <c r="I107" i="15"/>
  <c r="J107" i="15" s="1"/>
  <c r="I249" i="15"/>
  <c r="J249" i="15" s="1"/>
  <c r="I215" i="15"/>
  <c r="J215" i="15" s="1"/>
  <c r="I206" i="15"/>
  <c r="J206" i="15" s="1"/>
  <c r="I150" i="15"/>
  <c r="J150" i="15" s="1"/>
  <c r="I78" i="15"/>
  <c r="J78" i="15" s="1"/>
  <c r="I253" i="15"/>
  <c r="J253" i="15" s="1"/>
  <c r="I220" i="15"/>
  <c r="J220" i="15" s="1"/>
  <c r="I184" i="15"/>
  <c r="J184" i="15" s="1"/>
  <c r="I171" i="15"/>
  <c r="J171" i="15" s="1"/>
  <c r="I165" i="15"/>
  <c r="J165" i="15" s="1"/>
  <c r="I157" i="15"/>
  <c r="J157" i="15" s="1"/>
  <c r="I123" i="15"/>
  <c r="J123" i="15" s="1"/>
  <c r="I109" i="15"/>
  <c r="J109" i="15" s="1"/>
  <c r="I70" i="15"/>
  <c r="J70" i="15" s="1"/>
  <c r="I46" i="15"/>
  <c r="J46" i="15" s="1"/>
  <c r="I264" i="15"/>
  <c r="J264" i="15" s="1"/>
  <c r="I139" i="15"/>
  <c r="J139" i="15" s="1"/>
  <c r="I57" i="15"/>
  <c r="J57" i="15" s="1"/>
  <c r="I229" i="15"/>
  <c r="J229" i="15" s="1"/>
  <c r="I185" i="15"/>
  <c r="J185" i="15" s="1"/>
  <c r="I172" i="15"/>
  <c r="J172" i="15" s="1"/>
  <c r="I151" i="15"/>
  <c r="J151" i="15" s="1"/>
  <c r="I110" i="15"/>
  <c r="J110" i="15" s="1"/>
  <c r="I5" i="15"/>
  <c r="J5" i="15" s="1"/>
  <c r="I221" i="15"/>
  <c r="J221" i="15" s="1"/>
  <c r="I53" i="15"/>
  <c r="J53" i="15" s="1"/>
  <c r="I50" i="15"/>
  <c r="J50" i="15" s="1"/>
  <c r="I213" i="15"/>
  <c r="J213" i="15" s="1"/>
  <c r="I131" i="15"/>
  <c r="J131" i="15" s="1"/>
  <c r="I64" i="15"/>
  <c r="J64" i="15" s="1"/>
  <c r="I226" i="15"/>
  <c r="J226" i="15" s="1"/>
  <c r="I198" i="15"/>
  <c r="J198" i="15" s="1"/>
  <c r="I277" i="15"/>
  <c r="J277" i="15" s="1"/>
  <c r="I132" i="15"/>
  <c r="J132" i="15" s="1"/>
  <c r="I117" i="15"/>
  <c r="J117" i="15" s="1"/>
  <c r="I188" i="15"/>
  <c r="J188" i="15" s="1"/>
  <c r="I167" i="15"/>
  <c r="J167" i="15" s="1"/>
  <c r="I111" i="15"/>
  <c r="I91" i="15"/>
  <c r="J91" i="15" s="1"/>
  <c r="I237" i="15"/>
  <c r="J237" i="15" s="1"/>
  <c r="I146" i="15"/>
  <c r="J146" i="15" s="1"/>
  <c r="I234" i="15"/>
  <c r="J234" i="15" s="1"/>
  <c r="I181" i="15"/>
  <c r="J181" i="15" s="1"/>
  <c r="I116" i="15"/>
  <c r="J116" i="15" s="1"/>
  <c r="I77" i="15"/>
  <c r="J77" i="15" s="1"/>
  <c r="G26" i="50"/>
  <c r="H26" i="52" s="1"/>
  <c r="H31" i="50"/>
  <c r="I31" i="52" s="1"/>
  <c r="G122" i="50"/>
  <c r="H122" i="52" s="1"/>
  <c r="I149" i="50"/>
  <c r="L149" i="52" s="1"/>
  <c r="I181" i="50"/>
  <c r="L181" i="52" s="1"/>
  <c r="I193" i="50"/>
  <c r="L193" i="52" s="1"/>
  <c r="H212" i="50"/>
  <c r="I212" i="52" s="1"/>
  <c r="H217" i="50"/>
  <c r="I217" i="52" s="1"/>
  <c r="I224" i="50"/>
  <c r="L224" i="52" s="1"/>
  <c r="G131" i="50"/>
  <c r="H131" i="52" s="1"/>
  <c r="H145" i="50"/>
  <c r="I145" i="52" s="1"/>
  <c r="G217" i="50"/>
  <c r="H217" i="52" s="1"/>
  <c r="G129" i="50"/>
  <c r="H129" i="52" s="1"/>
  <c r="H138" i="50"/>
  <c r="I138" i="52" s="1"/>
  <c r="G154" i="50"/>
  <c r="H154" i="52" s="1"/>
  <c r="H210" i="50"/>
  <c r="I210" i="52" s="1"/>
  <c r="H81" i="50"/>
  <c r="I81" i="52" s="1"/>
  <c r="O16" i="28"/>
  <c r="H9" i="50"/>
  <c r="I9" i="52" s="1"/>
  <c r="G15" i="50"/>
  <c r="H15" i="52" s="1"/>
  <c r="H71" i="50"/>
  <c r="I71" i="52" s="1"/>
  <c r="J71" i="52" s="1"/>
  <c r="G79" i="50"/>
  <c r="H79" i="52" s="1"/>
  <c r="H118" i="50"/>
  <c r="I118" i="52" s="1"/>
  <c r="H152" i="50"/>
  <c r="I152" i="52" s="1"/>
  <c r="G184" i="50"/>
  <c r="H184" i="52" s="1"/>
  <c r="H227" i="50"/>
  <c r="I227" i="52" s="1"/>
  <c r="H249" i="50"/>
  <c r="I249" i="52" s="1"/>
  <c r="H273" i="50"/>
  <c r="I273" i="52" s="1"/>
  <c r="H275" i="50"/>
  <c r="I275" i="52" s="1"/>
  <c r="G196" i="50"/>
  <c r="H196" i="52" s="1"/>
  <c r="H135" i="50"/>
  <c r="I135" i="52" s="1"/>
  <c r="J138" i="33"/>
  <c r="M138" i="33"/>
  <c r="E261" i="15"/>
  <c r="F261" i="15" s="1"/>
  <c r="E237" i="15"/>
  <c r="F237" i="15" s="1"/>
  <c r="E229" i="15"/>
  <c r="E215" i="15"/>
  <c r="F215" i="15" s="1"/>
  <c r="E278" i="15"/>
  <c r="F278" i="15" s="1"/>
  <c r="E271" i="15"/>
  <c r="F271" i="15" s="1"/>
  <c r="C271" i="28" s="1"/>
  <c r="P271" i="28" s="1"/>
  <c r="E253" i="15"/>
  <c r="F253" i="15" s="1"/>
  <c r="E231" i="15"/>
  <c r="F231" i="15" s="1"/>
  <c r="E216" i="15"/>
  <c r="F216" i="15" s="1"/>
  <c r="E202" i="15"/>
  <c r="F202" i="15" s="1"/>
  <c r="E139" i="15"/>
  <c r="F139" i="15" s="1"/>
  <c r="E126" i="15"/>
  <c r="F126" i="15" s="1"/>
  <c r="E112" i="15"/>
  <c r="F112" i="15" s="1"/>
  <c r="E84" i="15"/>
  <c r="F84" i="15" s="1"/>
  <c r="E61" i="15"/>
  <c r="F61" i="15" s="1"/>
  <c r="E50" i="15"/>
  <c r="F50" i="15" s="1"/>
  <c r="E262" i="15"/>
  <c r="F262" i="15" s="1"/>
  <c r="E232" i="15"/>
  <c r="F232" i="15" s="1"/>
  <c r="E217" i="15"/>
  <c r="F217" i="15" s="1"/>
  <c r="E127" i="15"/>
  <c r="F127" i="15" s="1"/>
  <c r="E113" i="15"/>
  <c r="F113" i="15" s="1"/>
  <c r="E99" i="15"/>
  <c r="F99" i="15" s="1"/>
  <c r="E85" i="15"/>
  <c r="F85" i="15" s="1"/>
  <c r="E46" i="15"/>
  <c r="E4" i="15"/>
  <c r="F4" i="15" s="1"/>
  <c r="E282" i="15"/>
  <c r="F282" i="15" s="1"/>
  <c r="E254" i="15"/>
  <c r="F254" i="15" s="1"/>
  <c r="E238" i="15"/>
  <c r="F238" i="15" s="1"/>
  <c r="E218" i="15"/>
  <c r="F218" i="15" s="1"/>
  <c r="E204" i="15"/>
  <c r="F204" i="15" s="1"/>
  <c r="E140" i="15"/>
  <c r="F140" i="15" s="1"/>
  <c r="E128" i="15"/>
  <c r="F128" i="15" s="1"/>
  <c r="E114" i="15"/>
  <c r="F114" i="15" s="1"/>
  <c r="E86" i="15"/>
  <c r="F86" i="15" s="1"/>
  <c r="E69" i="15"/>
  <c r="F69" i="15" s="1"/>
  <c r="E62" i="15"/>
  <c r="F62" i="15" s="1"/>
  <c r="E55" i="15"/>
  <c r="F55" i="15" s="1"/>
  <c r="E52" i="15"/>
  <c r="E12" i="15"/>
  <c r="E287" i="15"/>
  <c r="F287" i="15" s="1"/>
  <c r="E258" i="15"/>
  <c r="F258" i="15" s="1"/>
  <c r="E257" i="15"/>
  <c r="F257" i="15" s="1"/>
  <c r="E240" i="15"/>
  <c r="E223" i="15"/>
  <c r="F223" i="15" s="1"/>
  <c r="E209" i="15"/>
  <c r="F209" i="15" s="1"/>
  <c r="E195" i="15"/>
  <c r="F195" i="15" s="1"/>
  <c r="E194" i="15"/>
  <c r="F194" i="15" s="1"/>
  <c r="E193" i="15"/>
  <c r="F193" i="15" s="1"/>
  <c r="E192" i="15"/>
  <c r="F192" i="15" s="1"/>
  <c r="E190" i="15"/>
  <c r="F190" i="15" s="1"/>
  <c r="E189" i="15"/>
  <c r="F189" i="15" s="1"/>
  <c r="E188" i="15"/>
  <c r="F188" i="15" s="1"/>
  <c r="E185" i="15"/>
  <c r="F185" i="15" s="1"/>
  <c r="E184" i="15"/>
  <c r="F184" i="15" s="1"/>
  <c r="E183" i="15"/>
  <c r="F183" i="15" s="1"/>
  <c r="E182" i="15"/>
  <c r="F182" i="15" s="1"/>
  <c r="E181" i="15"/>
  <c r="F181" i="15" s="1"/>
  <c r="E180" i="15"/>
  <c r="F180" i="15" s="1"/>
  <c r="E179" i="15"/>
  <c r="F179" i="15" s="1"/>
  <c r="E178" i="15"/>
  <c r="F178" i="15" s="1"/>
  <c r="E177" i="15"/>
  <c r="F177" i="15" s="1"/>
  <c r="E176" i="15"/>
  <c r="F176" i="15" s="1"/>
  <c r="E175" i="15"/>
  <c r="F175" i="15" s="1"/>
  <c r="E174" i="15"/>
  <c r="F174" i="15" s="1"/>
  <c r="E173" i="15"/>
  <c r="F173" i="15" s="1"/>
  <c r="E172" i="15"/>
  <c r="F172" i="15" s="1"/>
  <c r="E171" i="15"/>
  <c r="F171" i="15" s="1"/>
  <c r="E170" i="15"/>
  <c r="F170" i="15" s="1"/>
  <c r="E169" i="15"/>
  <c r="F169" i="15" s="1"/>
  <c r="E168" i="15"/>
  <c r="F168" i="15" s="1"/>
  <c r="E167" i="15"/>
  <c r="F167" i="15" s="1"/>
  <c r="E165" i="15"/>
  <c r="F165" i="15" s="1"/>
  <c r="E164" i="15"/>
  <c r="F164" i="15" s="1"/>
  <c r="E163" i="15"/>
  <c r="F163" i="15" s="1"/>
  <c r="E162" i="15"/>
  <c r="F162" i="15" s="1"/>
  <c r="E161" i="15"/>
  <c r="F161" i="15" s="1"/>
  <c r="E160" i="15"/>
  <c r="F160" i="15" s="1"/>
  <c r="E159" i="15"/>
  <c r="F159" i="15" s="1"/>
  <c r="E158" i="15"/>
  <c r="F158" i="15" s="1"/>
  <c r="E157" i="15"/>
  <c r="F157" i="15" s="1"/>
  <c r="E156" i="15"/>
  <c r="F156" i="15" s="1"/>
  <c r="E154" i="15"/>
  <c r="F154" i="15" s="1"/>
  <c r="E153" i="15"/>
  <c r="F153" i="15" s="1"/>
  <c r="E152" i="15"/>
  <c r="F152" i="15" s="1"/>
  <c r="E151" i="15"/>
  <c r="F151" i="15" s="1"/>
  <c r="E150" i="15"/>
  <c r="F150" i="15" s="1"/>
  <c r="E149" i="15"/>
  <c r="F149" i="15" s="1"/>
  <c r="E148" i="15"/>
  <c r="F148" i="15" s="1"/>
  <c r="E147" i="15"/>
  <c r="F147" i="15" s="1"/>
  <c r="E143" i="15"/>
  <c r="F143" i="15" s="1"/>
  <c r="E119" i="15"/>
  <c r="F119" i="15" s="1"/>
  <c r="E105" i="15"/>
  <c r="F105" i="15" s="1"/>
  <c r="E91" i="15"/>
  <c r="F91" i="15" s="1"/>
  <c r="E6" i="15"/>
  <c r="F6" i="15" s="1"/>
  <c r="E275" i="15"/>
  <c r="F275" i="15" s="1"/>
  <c r="E250" i="15"/>
  <c r="F250" i="15" s="1"/>
  <c r="E235" i="15"/>
  <c r="F235" i="15" s="1"/>
  <c r="E285" i="15"/>
  <c r="F285" i="15" s="1"/>
  <c r="E260" i="15"/>
  <c r="F260" i="15" s="1"/>
  <c r="E221" i="15"/>
  <c r="F221" i="15" s="1"/>
  <c r="E200" i="15"/>
  <c r="F200" i="15" s="1"/>
  <c r="E117" i="15"/>
  <c r="F117" i="15" s="1"/>
  <c r="E111" i="15"/>
  <c r="F111" i="15" s="1"/>
  <c r="E70" i="15"/>
  <c r="F70" i="15" s="1"/>
  <c r="E9" i="15"/>
  <c r="F9" i="15" s="1"/>
  <c r="E273" i="15"/>
  <c r="F273" i="15" s="1"/>
  <c r="E208" i="15"/>
  <c r="F208" i="15" s="1"/>
  <c r="E118" i="15"/>
  <c r="F118" i="15" s="1"/>
  <c r="E102" i="15"/>
  <c r="F102" i="15" s="1"/>
  <c r="E65" i="15"/>
  <c r="F65" i="15" s="1"/>
  <c r="E21" i="15"/>
  <c r="E286" i="15"/>
  <c r="F286" i="15" s="1"/>
  <c r="E222" i="15"/>
  <c r="F222" i="15" s="1"/>
  <c r="E135" i="15"/>
  <c r="F135" i="15" s="1"/>
  <c r="E71" i="15"/>
  <c r="F71" i="15" s="1"/>
  <c r="E7" i="15"/>
  <c r="E10" i="15"/>
  <c r="F10" i="15" s="1"/>
  <c r="E210" i="15"/>
  <c r="F210" i="15" s="1"/>
  <c r="E136" i="15"/>
  <c r="F136" i="15" s="1"/>
  <c r="E104" i="15"/>
  <c r="F104" i="15" s="1"/>
  <c r="E224" i="15"/>
  <c r="F224" i="15" s="1"/>
  <c r="E96" i="15"/>
  <c r="F96" i="15" s="1"/>
  <c r="E87" i="15"/>
  <c r="F87" i="15" s="1"/>
  <c r="E256" i="15"/>
  <c r="F256" i="15" s="1"/>
  <c r="E211" i="15"/>
  <c r="F211" i="15" s="1"/>
  <c r="E138" i="15"/>
  <c r="F138" i="15" s="1"/>
  <c r="E121" i="15"/>
  <c r="F121" i="15" s="1"/>
  <c r="E97" i="15"/>
  <c r="F97" i="15" s="1"/>
  <c r="E80" i="15"/>
  <c r="F80" i="15" s="1"/>
  <c r="E73" i="15"/>
  <c r="F73" i="15" s="1"/>
  <c r="E67" i="15"/>
  <c r="F67" i="15" s="1"/>
  <c r="E270" i="15"/>
  <c r="F270" i="15" s="1"/>
  <c r="E255" i="15"/>
  <c r="F255" i="15" s="1"/>
  <c r="E239" i="15"/>
  <c r="F239" i="15" s="1"/>
  <c r="E142" i="15"/>
  <c r="F142" i="15" s="1"/>
  <c r="E103" i="15"/>
  <c r="F103" i="15" s="1"/>
  <c r="E94" i="15"/>
  <c r="F94" i="15" s="1"/>
  <c r="E274" i="15"/>
  <c r="F274" i="15" s="1"/>
  <c r="E251" i="15"/>
  <c r="F251" i="15" s="1"/>
  <c r="E120" i="15"/>
  <c r="F120" i="15" s="1"/>
  <c r="E95" i="15"/>
  <c r="F95" i="15" s="1"/>
  <c r="E66" i="15"/>
  <c r="F66" i="15" s="1"/>
  <c r="E236" i="15"/>
  <c r="F236" i="15" s="1"/>
  <c r="E137" i="15"/>
  <c r="F137" i="15" s="1"/>
  <c r="E79" i="15"/>
  <c r="F79" i="15" s="1"/>
  <c r="E280" i="15"/>
  <c r="F280" i="15" s="1"/>
  <c r="E252" i="15"/>
  <c r="F252" i="15" s="1"/>
  <c r="E11" i="15"/>
  <c r="F11" i="15" s="1"/>
  <c r="E225" i="15"/>
  <c r="F225" i="15" s="1"/>
  <c r="E281" i="15"/>
  <c r="E233" i="15"/>
  <c r="F233" i="15" s="1"/>
  <c r="E230" i="15"/>
  <c r="F230" i="15" s="1"/>
  <c r="E226" i="15"/>
  <c r="F226" i="15" s="1"/>
  <c r="E213" i="15"/>
  <c r="F213" i="15" s="1"/>
  <c r="E205" i="15"/>
  <c r="F205" i="15" s="1"/>
  <c r="E146" i="15"/>
  <c r="E123" i="15"/>
  <c r="F123" i="15" s="1"/>
  <c r="E115" i="15"/>
  <c r="F115" i="15" s="1"/>
  <c r="E107" i="15"/>
  <c r="F107" i="15" s="1"/>
  <c r="E83" i="15"/>
  <c r="F83" i="15" s="1"/>
  <c r="E78" i="15"/>
  <c r="E57" i="15"/>
  <c r="F57" i="15" s="1"/>
  <c r="E5" i="15"/>
  <c r="F5" i="15" s="1"/>
  <c r="E290" i="15"/>
  <c r="F290" i="15" s="1"/>
  <c r="E276" i="15"/>
  <c r="F276" i="15" s="1"/>
  <c r="E263" i="15"/>
  <c r="F263" i="15" s="1"/>
  <c r="E248" i="15"/>
  <c r="F248" i="15" s="1"/>
  <c r="E227" i="15"/>
  <c r="F227" i="15" s="1"/>
  <c r="E214" i="15"/>
  <c r="F214" i="15" s="1"/>
  <c r="E197" i="15"/>
  <c r="F197" i="15" s="1"/>
  <c r="E124" i="15"/>
  <c r="F124" i="15" s="1"/>
  <c r="E89" i="15"/>
  <c r="F89" i="15" s="1"/>
  <c r="E277" i="15"/>
  <c r="F277" i="15" s="1"/>
  <c r="E259" i="15"/>
  <c r="F259" i="15" s="1"/>
  <c r="E132" i="15"/>
  <c r="F132" i="15" s="1"/>
  <c r="E199" i="15"/>
  <c r="F199" i="15" s="1"/>
  <c r="E284" i="15"/>
  <c r="F284" i="15" s="1"/>
  <c r="C284" i="28" s="1"/>
  <c r="P284" i="28" s="1"/>
  <c r="E122" i="15"/>
  <c r="F122" i="15" s="1"/>
  <c r="E108" i="15"/>
  <c r="F108" i="15" s="1"/>
  <c r="E56" i="15"/>
  <c r="F56" i="15" s="1"/>
  <c r="E206" i="15"/>
  <c r="F206" i="15" s="1"/>
  <c r="E220" i="15"/>
  <c r="F220" i="15" s="1"/>
  <c r="E109" i="15"/>
  <c r="F109" i="15" s="1"/>
  <c r="E101" i="15"/>
  <c r="F101" i="15" s="1"/>
  <c r="E144" i="15"/>
  <c r="F144" i="15" s="1"/>
  <c r="E110" i="15"/>
  <c r="F110" i="15" s="1"/>
  <c r="E116" i="15"/>
  <c r="F116" i="15" s="1"/>
  <c r="E82" i="15"/>
  <c r="F82" i="15" s="1"/>
  <c r="E131" i="15"/>
  <c r="F131" i="15" s="1"/>
  <c r="E64" i="15"/>
  <c r="F64" i="15" s="1"/>
  <c r="E8" i="15"/>
  <c r="F8" i="15" s="1"/>
  <c r="E247" i="15"/>
  <c r="E289" i="15"/>
  <c r="F289" i="15" s="1"/>
  <c r="E249" i="15"/>
  <c r="F249" i="15" s="1"/>
  <c r="E228" i="15"/>
  <c r="F228" i="15" s="1"/>
  <c r="E49" i="15"/>
  <c r="F49" i="15" s="1"/>
  <c r="E264" i="15"/>
  <c r="F264" i="15" s="1"/>
  <c r="E196" i="15"/>
  <c r="F196" i="15" s="1"/>
  <c r="E129" i="15"/>
  <c r="F129" i="15" s="1"/>
  <c r="E291" i="15"/>
  <c r="F291" i="15" s="1"/>
  <c r="E234" i="15"/>
  <c r="F234" i="15" s="1"/>
  <c r="E198" i="15"/>
  <c r="F198" i="15" s="1"/>
  <c r="E212" i="15"/>
  <c r="F212" i="15" s="1"/>
  <c r="E81" i="15"/>
  <c r="F81" i="15" s="1"/>
  <c r="E58" i="15"/>
  <c r="F58" i="15" s="1"/>
  <c r="E53" i="15"/>
  <c r="F53" i="15" s="1"/>
  <c r="E145" i="15"/>
  <c r="F145" i="15" s="1"/>
  <c r="E63" i="15"/>
  <c r="F63" i="15" s="1"/>
  <c r="E106" i="15"/>
  <c r="F106" i="15" s="1"/>
  <c r="E77" i="15"/>
  <c r="F77" i="15" s="1"/>
  <c r="G9" i="50"/>
  <c r="H9" i="52" s="1"/>
  <c r="G36" i="50"/>
  <c r="H36" i="52" s="1"/>
  <c r="G71" i="50"/>
  <c r="H71" i="52" s="1"/>
  <c r="H104" i="50"/>
  <c r="I104" i="52" s="1"/>
  <c r="I118" i="50"/>
  <c r="L118" i="52" s="1"/>
  <c r="H136" i="50"/>
  <c r="I136" i="52" s="1"/>
  <c r="G143" i="50"/>
  <c r="H143" i="52" s="1"/>
  <c r="I152" i="50"/>
  <c r="L152" i="52" s="1"/>
  <c r="I157" i="50"/>
  <c r="L157" i="52" s="1"/>
  <c r="G164" i="50"/>
  <c r="H164" i="52" s="1"/>
  <c r="H175" i="50"/>
  <c r="I175" i="52" s="1"/>
  <c r="G177" i="50"/>
  <c r="H177" i="52" s="1"/>
  <c r="H189" i="50"/>
  <c r="I189" i="52" s="1"/>
  <c r="I199" i="50"/>
  <c r="L199" i="52" s="1"/>
  <c r="G220" i="50"/>
  <c r="H220" i="52" s="1"/>
  <c r="G227" i="50"/>
  <c r="H227" i="52" s="1"/>
  <c r="J227" i="52" s="1"/>
  <c r="G227" i="51" s="1"/>
  <c r="H261" i="50"/>
  <c r="I261" i="52" s="1"/>
  <c r="H24" i="50"/>
  <c r="I24" i="52" s="1"/>
  <c r="G168" i="50"/>
  <c r="H168" i="52" s="1"/>
  <c r="N138" i="33"/>
  <c r="K138" i="33"/>
  <c r="G40" i="50"/>
  <c r="H40" i="52" s="1"/>
  <c r="I16" i="50"/>
  <c r="L16" i="52" s="1"/>
  <c r="N16" i="52" s="1"/>
  <c r="I13" i="50"/>
  <c r="L13" i="52" s="1"/>
  <c r="N13" i="52" s="1"/>
  <c r="E197" i="50"/>
  <c r="C197" i="52" s="1"/>
  <c r="G22" i="50"/>
  <c r="H22" i="52" s="1"/>
  <c r="H27" i="50"/>
  <c r="I27" i="52" s="1"/>
  <c r="I189" i="50"/>
  <c r="L189" i="52" s="1"/>
  <c r="I208" i="50"/>
  <c r="L208" i="52" s="1"/>
  <c r="H259" i="50"/>
  <c r="I259" i="52" s="1"/>
  <c r="E213" i="50"/>
  <c r="C213" i="52" s="1"/>
  <c r="H4" i="50"/>
  <c r="I4" i="52" s="1"/>
  <c r="I6" i="50"/>
  <c r="L6" i="52" s="1"/>
  <c r="I27" i="50"/>
  <c r="L27" i="52" s="1"/>
  <c r="G123" i="50"/>
  <c r="H123" i="52" s="1"/>
  <c r="G150" i="50"/>
  <c r="H150" i="52" s="1"/>
  <c r="I162" i="50"/>
  <c r="L162" i="52" s="1"/>
  <c r="G182" i="50"/>
  <c r="H182" i="52" s="1"/>
  <c r="G204" i="50"/>
  <c r="H204" i="52" s="1"/>
  <c r="I206" i="50"/>
  <c r="L206" i="52" s="1"/>
  <c r="I225" i="50"/>
  <c r="L225" i="52" s="1"/>
  <c r="G255" i="50"/>
  <c r="H255" i="52" s="1"/>
  <c r="J255" i="52" s="1"/>
  <c r="H86" i="50"/>
  <c r="I86" i="52" s="1"/>
  <c r="H150" i="50"/>
  <c r="I150" i="52" s="1"/>
  <c r="H255" i="50"/>
  <c r="I255" i="52" s="1"/>
  <c r="H257" i="50"/>
  <c r="I257" i="52" s="1"/>
  <c r="I218" i="50"/>
  <c r="L218" i="52" s="1"/>
  <c r="H193" i="50"/>
  <c r="I193" i="52" s="1"/>
  <c r="D174" i="17"/>
  <c r="F234" i="21"/>
  <c r="C234" i="25" s="1"/>
  <c r="E234" i="25" s="1"/>
  <c r="H234" i="46" s="1"/>
  <c r="F230" i="21"/>
  <c r="C230" i="25" s="1"/>
  <c r="E230" i="25" s="1"/>
  <c r="H230" i="46" s="1"/>
  <c r="F16" i="21"/>
  <c r="C16" i="25" s="1"/>
  <c r="E16" i="25" s="1"/>
  <c r="H16" i="46" s="1"/>
  <c r="E451" i="17"/>
  <c r="H121" i="50"/>
  <c r="I121" i="52" s="1"/>
  <c r="H132" i="50"/>
  <c r="I132" i="52" s="1"/>
  <c r="I169" i="50"/>
  <c r="L169" i="52" s="1"/>
  <c r="G202" i="50"/>
  <c r="H202" i="52" s="1"/>
  <c r="H280" i="50"/>
  <c r="I280" i="52" s="1"/>
  <c r="H30" i="50"/>
  <c r="I30" i="52" s="1"/>
  <c r="H120" i="50"/>
  <c r="I120" i="52" s="1"/>
  <c r="H179" i="50"/>
  <c r="I179" i="52" s="1"/>
  <c r="H79" i="50"/>
  <c r="I79" i="52" s="1"/>
  <c r="J79" i="52" s="1"/>
  <c r="G79" i="51" s="1"/>
  <c r="G101" i="50"/>
  <c r="H101" i="52" s="1"/>
  <c r="G127" i="50"/>
  <c r="H127" i="52" s="1"/>
  <c r="H184" i="50"/>
  <c r="I184" i="52" s="1"/>
  <c r="G222" i="50"/>
  <c r="H222" i="52" s="1"/>
  <c r="J222" i="52" s="1"/>
  <c r="G222" i="51" s="1"/>
  <c r="H173" i="50"/>
  <c r="I173" i="52" s="1"/>
  <c r="H6" i="50"/>
  <c r="I6" i="52" s="1"/>
  <c r="H123" i="50"/>
  <c r="I123" i="52" s="1"/>
  <c r="J123" i="52" s="1"/>
  <c r="G123" i="51" s="1"/>
  <c r="H230" i="21"/>
  <c r="M230" i="25" s="1"/>
  <c r="O230" i="25" s="1"/>
  <c r="H234" i="21"/>
  <c r="M234" i="25" s="1"/>
  <c r="O234" i="25" s="1"/>
  <c r="H16" i="21"/>
  <c r="M16" i="25" s="1"/>
  <c r="O16" i="25" s="1"/>
  <c r="G25" i="50"/>
  <c r="H25" i="52" s="1"/>
  <c r="H80" i="50"/>
  <c r="I80" i="52" s="1"/>
  <c r="G132" i="50"/>
  <c r="H132" i="52" s="1"/>
  <c r="G167" i="50"/>
  <c r="H167" i="52" s="1"/>
  <c r="G180" i="50"/>
  <c r="H180" i="52" s="1"/>
  <c r="H211" i="50"/>
  <c r="I211" i="52" s="1"/>
  <c r="G223" i="50"/>
  <c r="H223" i="52" s="1"/>
  <c r="H67" i="50"/>
  <c r="I67" i="52" s="1"/>
  <c r="I138" i="23"/>
  <c r="I255" i="23"/>
  <c r="J186" i="23"/>
  <c r="H164" i="50"/>
  <c r="I164" i="52" s="1"/>
  <c r="I227" i="23"/>
  <c r="J227" i="6" s="1"/>
  <c r="K227" i="6" s="1"/>
  <c r="L227" i="6" s="1"/>
  <c r="M227" i="6" s="1"/>
  <c r="J70" i="50"/>
  <c r="M70" i="52" s="1"/>
  <c r="G237" i="21"/>
  <c r="D237" i="25" s="1"/>
  <c r="H288" i="50"/>
  <c r="I288" i="52" s="1"/>
  <c r="J84" i="23"/>
  <c r="N84" i="6" s="1"/>
  <c r="H209" i="50"/>
  <c r="I209" i="52" s="1"/>
  <c r="I44" i="21"/>
  <c r="N44" i="25" s="1"/>
  <c r="G166" i="50"/>
  <c r="H166" i="52" s="1"/>
  <c r="J166" i="52" s="1"/>
  <c r="G166" i="51" s="1"/>
  <c r="H166" i="51" s="1"/>
  <c r="J291" i="23"/>
  <c r="N291" i="6" s="1"/>
  <c r="G286" i="50"/>
  <c r="H286" i="52" s="1"/>
  <c r="G257" i="50"/>
  <c r="H257" i="52" s="1"/>
  <c r="I31" i="21"/>
  <c r="N31" i="25" s="1"/>
  <c r="J56" i="23"/>
  <c r="N56" i="6" s="1"/>
  <c r="O56" i="6" s="1"/>
  <c r="P56" i="6" s="1"/>
  <c r="Q56" i="6" s="1"/>
  <c r="G277" i="50"/>
  <c r="H277" i="52" s="1"/>
  <c r="I168" i="50"/>
  <c r="L168" i="52" s="1"/>
  <c r="G125" i="50"/>
  <c r="H125" i="52" s="1"/>
  <c r="F67" i="21"/>
  <c r="C67" i="25" s="1"/>
  <c r="I128" i="21"/>
  <c r="N128" i="25" s="1"/>
  <c r="J196" i="23"/>
  <c r="N196" i="6" s="1"/>
  <c r="J261" i="23"/>
  <c r="D284" i="28"/>
  <c r="J147" i="23"/>
  <c r="H159" i="50"/>
  <c r="I159" i="52" s="1"/>
  <c r="H133" i="50"/>
  <c r="I133" i="52" s="1"/>
  <c r="J133" i="52" s="1"/>
  <c r="G133" i="51" s="1"/>
  <c r="H133" i="51" s="1"/>
  <c r="H158" i="50"/>
  <c r="I158" i="52" s="1"/>
  <c r="I102" i="23"/>
  <c r="J74" i="50"/>
  <c r="M74" i="52" s="1"/>
  <c r="I126" i="21"/>
  <c r="N126" i="25" s="1"/>
  <c r="G205" i="50"/>
  <c r="H205" i="52" s="1"/>
  <c r="J205" i="52" s="1"/>
  <c r="G205" i="51" s="1"/>
  <c r="H205" i="51" s="1"/>
  <c r="G279" i="50"/>
  <c r="H279" i="52" s="1"/>
  <c r="D286" i="28"/>
  <c r="I254" i="21"/>
  <c r="N254" i="25" s="1"/>
  <c r="I177" i="21"/>
  <c r="N177" i="25" s="1"/>
  <c r="H166" i="50"/>
  <c r="I166" i="52" s="1"/>
  <c r="H162" i="50"/>
  <c r="I162" i="52" s="1"/>
  <c r="G278" i="50"/>
  <c r="H278" i="52" s="1"/>
  <c r="I199" i="23"/>
  <c r="J199" i="6" s="1"/>
  <c r="I101" i="21"/>
  <c r="N101" i="25" s="1"/>
  <c r="I180" i="21"/>
  <c r="N180" i="25" s="1"/>
  <c r="D273" i="28"/>
  <c r="H88" i="50"/>
  <c r="I88" i="52" s="1"/>
  <c r="H127" i="50"/>
  <c r="I127" i="52" s="1"/>
  <c r="J127" i="52" s="1"/>
  <c r="G195" i="50"/>
  <c r="H195" i="52" s="1"/>
  <c r="I286" i="50"/>
  <c r="L286" i="52" s="1"/>
  <c r="G27" i="50"/>
  <c r="H27" i="52" s="1"/>
  <c r="G138" i="50"/>
  <c r="H138" i="52" s="1"/>
  <c r="I288" i="50"/>
  <c r="L288" i="52" s="1"/>
  <c r="J287" i="23"/>
  <c r="N287" i="6" s="1"/>
  <c r="Q287" i="6" s="1"/>
  <c r="J166" i="50"/>
  <c r="M166" i="52" s="1"/>
  <c r="J272" i="50"/>
  <c r="M272" i="52" s="1"/>
  <c r="J216" i="23"/>
  <c r="N216" i="6" s="1"/>
  <c r="O216" i="6" s="1"/>
  <c r="P216" i="6" s="1"/>
  <c r="Q216" i="6" s="1"/>
  <c r="D280" i="28"/>
  <c r="I214" i="50"/>
  <c r="L214" i="52" s="1"/>
  <c r="G284" i="50"/>
  <c r="H284" i="52" s="1"/>
  <c r="H105" i="50"/>
  <c r="I105" i="52" s="1"/>
  <c r="J174" i="23"/>
  <c r="N174" i="6" s="1"/>
  <c r="I203" i="23"/>
  <c r="J203" i="6" s="1"/>
  <c r="M203" i="6" s="1"/>
  <c r="H38" i="23"/>
  <c r="K38" i="26" s="1"/>
  <c r="H40" i="23"/>
  <c r="K40" i="26" s="1"/>
  <c r="H44" i="23"/>
  <c r="K44" i="26" s="1"/>
  <c r="H149" i="23"/>
  <c r="K149" i="26" s="1"/>
  <c r="H153" i="23"/>
  <c r="K153" i="26" s="1"/>
  <c r="H202" i="23"/>
  <c r="K202" i="26" s="1"/>
  <c r="G23" i="21"/>
  <c r="D23" i="25" s="1"/>
  <c r="G40" i="21"/>
  <c r="D40" i="25" s="1"/>
  <c r="F56" i="21"/>
  <c r="C56" i="25" s="1"/>
  <c r="G108" i="23"/>
  <c r="G108" i="26" s="1"/>
  <c r="H139" i="23"/>
  <c r="K139" i="26" s="1"/>
  <c r="N139" i="26" s="1"/>
  <c r="H180" i="23"/>
  <c r="K180" i="26" s="1"/>
  <c r="L180" i="26" s="1"/>
  <c r="M180" i="26" s="1"/>
  <c r="N180" i="26" s="1"/>
  <c r="H182" i="23"/>
  <c r="K182" i="26" s="1"/>
  <c r="L182" i="26" s="1"/>
  <c r="M182" i="26" s="1"/>
  <c r="N182" i="26" s="1"/>
  <c r="H223" i="23"/>
  <c r="K223" i="26" s="1"/>
  <c r="H225" i="23"/>
  <c r="K225" i="26" s="1"/>
  <c r="N225" i="26" s="1"/>
  <c r="G250" i="23"/>
  <c r="G250" i="26" s="1"/>
  <c r="G58" i="23"/>
  <c r="G58" i="26" s="1"/>
  <c r="G67" i="23"/>
  <c r="G67" i="26" s="1"/>
  <c r="H200" i="23"/>
  <c r="K200" i="26" s="1"/>
  <c r="I15" i="21"/>
  <c r="N15" i="25" s="1"/>
  <c r="G197" i="21"/>
  <c r="D197" i="25" s="1"/>
  <c r="G63" i="23"/>
  <c r="G63" i="26" s="1"/>
  <c r="H168" i="23"/>
  <c r="K168" i="26" s="1"/>
  <c r="I25" i="21"/>
  <c r="N25" i="25" s="1"/>
  <c r="H85" i="21"/>
  <c r="M85" i="25" s="1"/>
  <c r="G4" i="23"/>
  <c r="G4" i="26" s="1"/>
  <c r="H4" i="26" s="1"/>
  <c r="I4" i="26" s="1"/>
  <c r="J4" i="26" s="1"/>
  <c r="H26" i="23"/>
  <c r="K26" i="26" s="1"/>
  <c r="L26" i="26" s="1"/>
  <c r="M26" i="26" s="1"/>
  <c r="N26" i="26" s="1"/>
  <c r="G56" i="23"/>
  <c r="G56" i="26" s="1"/>
  <c r="G137" i="23"/>
  <c r="G137" i="26" s="1"/>
  <c r="G168" i="23"/>
  <c r="G168" i="26" s="1"/>
  <c r="G222" i="21"/>
  <c r="D222" i="25" s="1"/>
  <c r="I190" i="21"/>
  <c r="N190" i="25" s="1"/>
  <c r="O190" i="25" s="1"/>
  <c r="J150" i="23"/>
  <c r="N150" i="6" s="1"/>
  <c r="O150" i="6" s="1"/>
  <c r="P150" i="6" s="1"/>
  <c r="Q150" i="6" s="1"/>
  <c r="G10" i="23"/>
  <c r="G10" i="26" s="1"/>
  <c r="H192" i="23"/>
  <c r="K192" i="26" s="1"/>
  <c r="H35" i="23"/>
  <c r="K35" i="26" s="1"/>
  <c r="L35" i="26" s="1"/>
  <c r="M35" i="26" s="1"/>
  <c r="N35" i="26" s="1"/>
  <c r="G119" i="23"/>
  <c r="G119" i="26" s="1"/>
  <c r="H177" i="23"/>
  <c r="K177" i="26" s="1"/>
  <c r="H181" i="23"/>
  <c r="K181" i="26" s="1"/>
  <c r="L181" i="26" s="1"/>
  <c r="M181" i="26" s="1"/>
  <c r="N181" i="26" s="1"/>
  <c r="H220" i="23"/>
  <c r="K220" i="26" s="1"/>
  <c r="H226" i="23"/>
  <c r="K226" i="26" s="1"/>
  <c r="H228" i="23"/>
  <c r="K228" i="26" s="1"/>
  <c r="L228" i="26" s="1"/>
  <c r="M228" i="26" s="1"/>
  <c r="N228" i="26" s="1"/>
  <c r="H31" i="23"/>
  <c r="K31" i="26" s="1"/>
  <c r="H197" i="23"/>
  <c r="K197" i="26" s="1"/>
  <c r="H199" i="23"/>
  <c r="K199" i="26" s="1"/>
  <c r="I148" i="21"/>
  <c r="N148" i="25" s="1"/>
  <c r="G57" i="23"/>
  <c r="G57" i="26" s="1"/>
  <c r="H27" i="23"/>
  <c r="K27" i="26" s="1"/>
  <c r="G62" i="23"/>
  <c r="G62" i="26" s="1"/>
  <c r="J62" i="26" s="1"/>
  <c r="H132" i="23"/>
  <c r="K132" i="26" s="1"/>
  <c r="N132" i="26" s="1"/>
  <c r="G136" i="23"/>
  <c r="G136" i="26" s="1"/>
  <c r="F104" i="21"/>
  <c r="C104" i="25" s="1"/>
  <c r="G39" i="21"/>
  <c r="D39" i="25" s="1"/>
  <c r="G71" i="21"/>
  <c r="D71" i="25" s="1"/>
  <c r="I198" i="21"/>
  <c r="N198" i="25" s="1"/>
  <c r="G214" i="21"/>
  <c r="D214" i="25" s="1"/>
  <c r="G228" i="21"/>
  <c r="D228" i="25" s="1"/>
  <c r="H126" i="23"/>
  <c r="K126" i="26" s="1"/>
  <c r="H128" i="23"/>
  <c r="K128" i="26" s="1"/>
  <c r="J71" i="23"/>
  <c r="N71" i="6" s="1"/>
  <c r="O71" i="6" s="1"/>
  <c r="P71" i="6" s="1"/>
  <c r="Q71" i="6" s="1"/>
  <c r="H122" i="23"/>
  <c r="K122" i="26" s="1"/>
  <c r="H148" i="23"/>
  <c r="K148" i="26" s="1"/>
  <c r="H136" i="21"/>
  <c r="M136" i="25" s="1"/>
  <c r="H57" i="21"/>
  <c r="M57" i="25" s="1"/>
  <c r="I26" i="21"/>
  <c r="N26" i="25" s="1"/>
  <c r="G216" i="21"/>
  <c r="D216" i="25" s="1"/>
  <c r="G109" i="50"/>
  <c r="H109" i="52" s="1"/>
  <c r="I270" i="23"/>
  <c r="J270" i="6" s="1"/>
  <c r="K270" i="6" s="1"/>
  <c r="L270" i="6" s="1"/>
  <c r="M270" i="6" s="1"/>
  <c r="D282" i="28"/>
  <c r="G273" i="50"/>
  <c r="H273" i="52" s="1"/>
  <c r="J273" i="52" s="1"/>
  <c r="G273" i="51" s="1"/>
  <c r="H273" i="51" s="1"/>
  <c r="G121" i="50"/>
  <c r="H121" i="52" s="1"/>
  <c r="J121" i="52" s="1"/>
  <c r="G121" i="51" s="1"/>
  <c r="J279" i="23"/>
  <c r="N279" i="6" s="1"/>
  <c r="J142" i="23"/>
  <c r="H129" i="50"/>
  <c r="I129" i="52" s="1"/>
  <c r="J286" i="23"/>
  <c r="N286" i="6" s="1"/>
  <c r="J185" i="23"/>
  <c r="N185" i="6" s="1"/>
  <c r="O185" i="6" s="1"/>
  <c r="P185" i="6" s="1"/>
  <c r="Q185" i="6" s="1"/>
  <c r="I85" i="23"/>
  <c r="J85" i="6" s="1"/>
  <c r="K85" i="6" s="1"/>
  <c r="L85" i="6" s="1"/>
  <c r="M85" i="6" s="1"/>
  <c r="J159" i="23"/>
  <c r="N159" i="6" s="1"/>
  <c r="I141" i="23"/>
  <c r="J141" i="6" s="1"/>
  <c r="I90" i="23"/>
  <c r="J90" i="6" s="1"/>
  <c r="M90" i="6" s="1"/>
  <c r="J198" i="23"/>
  <c r="G193" i="50"/>
  <c r="H193" i="52" s="1"/>
  <c r="J209" i="50"/>
  <c r="M209" i="52" s="1"/>
  <c r="I94" i="23"/>
  <c r="J94" i="6" s="1"/>
  <c r="M94" i="6" s="1"/>
  <c r="I164" i="23"/>
  <c r="J164" i="6" s="1"/>
  <c r="K164" i="6" s="1"/>
  <c r="L164" i="6" s="1"/>
  <c r="M164" i="6" s="1"/>
  <c r="J290" i="23"/>
  <c r="J64" i="23"/>
  <c r="N64" i="6" s="1"/>
  <c r="I236" i="50"/>
  <c r="L236" i="52" s="1"/>
  <c r="I277" i="50"/>
  <c r="L277" i="52" s="1"/>
  <c r="G286" i="21"/>
  <c r="D286" i="25" s="1"/>
  <c r="G117" i="50"/>
  <c r="H117" i="52" s="1"/>
  <c r="I186" i="50"/>
  <c r="L186" i="52" s="1"/>
  <c r="I132" i="50"/>
  <c r="L132" i="52" s="1"/>
  <c r="J284" i="23"/>
  <c r="N284" i="6" s="1"/>
  <c r="O284" i="6" s="1"/>
  <c r="P284" i="6" s="1"/>
  <c r="Q284" i="6" s="1"/>
  <c r="I63" i="23"/>
  <c r="H70" i="50"/>
  <c r="I70" i="52" s="1"/>
  <c r="H72" i="50"/>
  <c r="I72" i="52" s="1"/>
  <c r="J152" i="23"/>
  <c r="N152" i="6" s="1"/>
  <c r="O152" i="6" s="1"/>
  <c r="P152" i="6" s="1"/>
  <c r="Q152" i="6" s="1"/>
  <c r="J210" i="23"/>
  <c r="N210" i="6" s="1"/>
  <c r="J283" i="23"/>
  <c r="I25" i="50"/>
  <c r="L25" i="52" s="1"/>
  <c r="J100" i="23"/>
  <c r="N100" i="6" s="1"/>
  <c r="I131" i="50"/>
  <c r="L131" i="52" s="1"/>
  <c r="I273" i="50"/>
  <c r="L273" i="52" s="1"/>
  <c r="D92" i="28"/>
  <c r="I224" i="23"/>
  <c r="J224" i="6" s="1"/>
  <c r="I236" i="23"/>
  <c r="J236" i="6" s="1"/>
  <c r="M236" i="6" s="1"/>
  <c r="I4" i="23"/>
  <c r="J4" i="6" s="1"/>
  <c r="K4" i="6" s="1"/>
  <c r="L4" i="6" s="1"/>
  <c r="M4" i="6" s="1"/>
  <c r="J111" i="23"/>
  <c r="H171" i="50"/>
  <c r="I171" i="52" s="1"/>
  <c r="C142" i="39"/>
  <c r="I142" i="39" s="1"/>
  <c r="C138" i="39"/>
  <c r="K138" i="39" s="1"/>
  <c r="C105" i="39"/>
  <c r="K105" i="39" s="1"/>
  <c r="C97" i="39"/>
  <c r="K97" i="39" s="1"/>
  <c r="C82" i="39"/>
  <c r="K82" i="39" s="1"/>
  <c r="C208" i="39"/>
  <c r="K208" i="39" s="1"/>
  <c r="C213" i="39"/>
  <c r="C291" i="39"/>
  <c r="K291" i="39" s="1"/>
  <c r="D192" i="28"/>
  <c r="I143" i="23"/>
  <c r="J43" i="23"/>
  <c r="N43" i="6" s="1"/>
  <c r="J72" i="50"/>
  <c r="M72" i="52" s="1"/>
  <c r="I56" i="23"/>
  <c r="J56" i="6" s="1"/>
  <c r="K56" i="6" s="1"/>
  <c r="L56" i="6" s="1"/>
  <c r="M56" i="6" s="1"/>
  <c r="J26" i="23"/>
  <c r="N26" i="6" s="1"/>
  <c r="D168" i="28"/>
  <c r="I231" i="23"/>
  <c r="J231" i="6" s="1"/>
  <c r="M231" i="6" s="1"/>
  <c r="J109" i="50"/>
  <c r="M109" i="52" s="1"/>
  <c r="J171" i="50"/>
  <c r="M171" i="52" s="1"/>
  <c r="I188" i="23"/>
  <c r="J188" i="6" s="1"/>
  <c r="K188" i="6" s="1"/>
  <c r="L188" i="6" s="1"/>
  <c r="M188" i="6" s="1"/>
  <c r="J287" i="50"/>
  <c r="M287" i="52" s="1"/>
  <c r="J184" i="23"/>
  <c r="N184" i="6" s="1"/>
  <c r="O184" i="6" s="1"/>
  <c r="P184" i="6" s="1"/>
  <c r="Q184" i="6" s="1"/>
  <c r="H183" i="50"/>
  <c r="I183" i="52" s="1"/>
  <c r="H51" i="50"/>
  <c r="I51" i="52" s="1"/>
  <c r="D76" i="28"/>
  <c r="I149" i="23"/>
  <c r="I163" i="23"/>
  <c r="J163" i="6" s="1"/>
  <c r="K163" i="6" s="1"/>
  <c r="L163" i="6" s="1"/>
  <c r="M163" i="6" s="1"/>
  <c r="J231" i="23"/>
  <c r="N231" i="6" s="1"/>
  <c r="J83" i="23"/>
  <c r="N83" i="6" s="1"/>
  <c r="J183" i="50"/>
  <c r="M183" i="52" s="1"/>
  <c r="J225" i="23"/>
  <c r="N225" i="6" s="1"/>
  <c r="H19" i="50"/>
  <c r="I19" i="52" s="1"/>
  <c r="H131" i="50"/>
  <c r="I131" i="52" s="1"/>
  <c r="H263" i="50"/>
  <c r="I263" i="52" s="1"/>
  <c r="J263" i="50"/>
  <c r="M263" i="52" s="1"/>
  <c r="D141" i="28"/>
  <c r="J79" i="23"/>
  <c r="N79" i="6" s="1"/>
  <c r="Q79" i="6" s="1"/>
  <c r="J276" i="23"/>
  <c r="J51" i="50"/>
  <c r="M51" i="52" s="1"/>
  <c r="J133" i="50"/>
  <c r="M133" i="52" s="1"/>
  <c r="J209" i="23"/>
  <c r="N209" i="6" s="1"/>
  <c r="D219" i="28"/>
  <c r="H74" i="50"/>
  <c r="I74" i="52" s="1"/>
  <c r="G137" i="50"/>
  <c r="H137" i="52" s="1"/>
  <c r="J278" i="23"/>
  <c r="N278" i="6" s="1"/>
  <c r="O278" i="6" s="1"/>
  <c r="P278" i="6" s="1"/>
  <c r="Q278" i="6" s="1"/>
  <c r="I108" i="23"/>
  <c r="J108" i="6" s="1"/>
  <c r="K108" i="6" s="1"/>
  <c r="L108" i="6" s="1"/>
  <c r="M108" i="6" s="1"/>
  <c r="I174" i="50"/>
  <c r="L174" i="52" s="1"/>
  <c r="J65" i="23"/>
  <c r="N65" i="6" s="1"/>
  <c r="O65" i="6" s="1"/>
  <c r="P65" i="6" s="1"/>
  <c r="Q65" i="6" s="1"/>
  <c r="I238" i="50"/>
  <c r="L238" i="52" s="1"/>
  <c r="D191" i="28"/>
  <c r="H287" i="50"/>
  <c r="I287" i="52" s="1"/>
  <c r="I273" i="23"/>
  <c r="J182" i="23"/>
  <c r="N182" i="6" s="1"/>
  <c r="O182" i="6" s="1"/>
  <c r="P182" i="6" s="1"/>
  <c r="Q182" i="6" s="1"/>
  <c r="G238" i="50"/>
  <c r="H238" i="52" s="1"/>
  <c r="H29" i="50"/>
  <c r="I29" i="52" s="1"/>
  <c r="J274" i="23"/>
  <c r="N274" i="6" s="1"/>
  <c r="O274" i="6" s="1"/>
  <c r="P274" i="6" s="1"/>
  <c r="Q274" i="6" s="1"/>
  <c r="I285" i="23"/>
  <c r="J285" i="6" s="1"/>
  <c r="M285" i="6" s="1"/>
  <c r="J251" i="23"/>
  <c r="N251" i="6" s="1"/>
  <c r="J149" i="23"/>
  <c r="N149" i="6" s="1"/>
  <c r="O149" i="6" s="1"/>
  <c r="P149" i="6" s="1"/>
  <c r="Q149" i="6" s="1"/>
  <c r="G86" i="50"/>
  <c r="H86" i="52" s="1"/>
  <c r="I202" i="23"/>
  <c r="J202" i="6" s="1"/>
  <c r="I275" i="23"/>
  <c r="J275" i="6" s="1"/>
  <c r="K275" i="6" s="1"/>
  <c r="L275" i="6" s="1"/>
  <c r="M275" i="6" s="1"/>
  <c r="G83" i="50"/>
  <c r="H83" i="52" s="1"/>
  <c r="I85" i="50"/>
  <c r="L85" i="52" s="1"/>
  <c r="G87" i="50"/>
  <c r="H87" i="52" s="1"/>
  <c r="I167" i="23"/>
  <c r="J60" i="23"/>
  <c r="N60" i="6" s="1"/>
  <c r="I120" i="50"/>
  <c r="L120" i="52" s="1"/>
  <c r="I62" i="23"/>
  <c r="J62" i="6" s="1"/>
  <c r="K62" i="6" s="1"/>
  <c r="L62" i="6" s="1"/>
  <c r="M62" i="6" s="1"/>
  <c r="J95" i="23"/>
  <c r="N95" i="6" s="1"/>
  <c r="O95" i="6" s="1"/>
  <c r="P95" i="6" s="1"/>
  <c r="Q95" i="6" s="1"/>
  <c r="I167" i="50"/>
  <c r="L167" i="52" s="1"/>
  <c r="I228" i="23"/>
  <c r="J228" i="6" s="1"/>
  <c r="K228" i="6" s="1"/>
  <c r="L228" i="6" s="1"/>
  <c r="M228" i="6" s="1"/>
  <c r="F238" i="21"/>
  <c r="C238" i="25" s="1"/>
  <c r="I87" i="50"/>
  <c r="L87" i="52" s="1"/>
  <c r="I270" i="21"/>
  <c r="N270" i="25" s="1"/>
  <c r="I274" i="23"/>
  <c r="J274" i="6" s="1"/>
  <c r="K274" i="6" s="1"/>
  <c r="L274" i="6" s="1"/>
  <c r="M274" i="6" s="1"/>
  <c r="I153" i="23"/>
  <c r="J153" i="6" s="1"/>
  <c r="I287" i="23"/>
  <c r="J287" i="6" s="1"/>
  <c r="M287" i="6" s="1"/>
  <c r="J260" i="23"/>
  <c r="N260" i="6" s="1"/>
  <c r="O260" i="6" s="1"/>
  <c r="P260" i="6" s="1"/>
  <c r="Q260" i="6" s="1"/>
  <c r="I248" i="23"/>
  <c r="J248" i="6" s="1"/>
  <c r="K248" i="6" s="1"/>
  <c r="L248" i="6" s="1"/>
  <c r="M248" i="6" s="1"/>
  <c r="I138" i="50"/>
  <c r="L138" i="52" s="1"/>
  <c r="J94" i="23"/>
  <c r="N94" i="6" s="1"/>
  <c r="Q94" i="6" s="1"/>
  <c r="J137" i="23"/>
  <c r="N137" i="6" s="1"/>
  <c r="O137" i="6" s="1"/>
  <c r="P137" i="6" s="1"/>
  <c r="Q137" i="6" s="1"/>
  <c r="I258" i="21"/>
  <c r="N258" i="25" s="1"/>
  <c r="I44" i="23"/>
  <c r="J44" i="6" s="1"/>
  <c r="M44" i="6" s="1"/>
  <c r="I82" i="23"/>
  <c r="J82" i="6" s="1"/>
  <c r="M82" i="6" s="1"/>
  <c r="J115" i="23"/>
  <c r="N115" i="6" s="1"/>
  <c r="O115" i="6" s="1"/>
  <c r="P115" i="6" s="1"/>
  <c r="Q115" i="6" s="1"/>
  <c r="J255" i="23"/>
  <c r="J37" i="23"/>
  <c r="I276" i="23"/>
  <c r="J276" i="6" s="1"/>
  <c r="K276" i="6" s="1"/>
  <c r="L276" i="6" s="1"/>
  <c r="M276" i="6" s="1"/>
  <c r="H128" i="21"/>
  <c r="M128" i="25" s="1"/>
  <c r="I244" i="21"/>
  <c r="N244" i="25" s="1"/>
  <c r="O244" i="25" s="1"/>
  <c r="J134" i="23"/>
  <c r="N134" i="6" s="1"/>
  <c r="Q134" i="6" s="1"/>
  <c r="J22" i="23"/>
  <c r="N22" i="6" s="1"/>
  <c r="Q22" i="6" s="1"/>
  <c r="J288" i="50"/>
  <c r="M288" i="52" s="1"/>
  <c r="I213" i="50"/>
  <c r="L213" i="52" s="1"/>
  <c r="I290" i="50"/>
  <c r="L290" i="52" s="1"/>
  <c r="J207" i="50"/>
  <c r="M207" i="52" s="1"/>
  <c r="G213" i="50"/>
  <c r="H213" i="52" s="1"/>
  <c r="I196" i="23"/>
  <c r="J196" i="6" s="1"/>
  <c r="M196" i="6" s="1"/>
  <c r="I22" i="50"/>
  <c r="L22" i="52" s="1"/>
  <c r="J270" i="23"/>
  <c r="J54" i="23"/>
  <c r="N54" i="6" s="1"/>
  <c r="D290" i="28"/>
  <c r="D166" i="28"/>
  <c r="F232" i="21"/>
  <c r="C232" i="25" s="1"/>
  <c r="J237" i="23"/>
  <c r="H69" i="50"/>
  <c r="I69" i="52" s="1"/>
  <c r="G290" i="50"/>
  <c r="H290" i="52" s="1"/>
  <c r="J256" i="23"/>
  <c r="N256" i="6" s="1"/>
  <c r="O256" i="6" s="1"/>
  <c r="P256" i="6" s="1"/>
  <c r="Q256" i="6" s="1"/>
  <c r="J289" i="23"/>
  <c r="N289" i="6" s="1"/>
  <c r="H256" i="50"/>
  <c r="I256" i="52" s="1"/>
  <c r="I123" i="50"/>
  <c r="L123" i="52" s="1"/>
  <c r="I219" i="23"/>
  <c r="J219" i="6" s="1"/>
  <c r="M219" i="6" s="1"/>
  <c r="J159" i="50"/>
  <c r="M159" i="52" s="1"/>
  <c r="H59" i="50"/>
  <c r="I59" i="52" s="1"/>
  <c r="I291" i="21"/>
  <c r="N291" i="25" s="1"/>
  <c r="G201" i="50"/>
  <c r="I201" i="50"/>
  <c r="L201" i="52" s="1"/>
  <c r="J194" i="50"/>
  <c r="M194" i="52" s="1"/>
  <c r="H125" i="50"/>
  <c r="I125" i="52" s="1"/>
  <c r="J96" i="23"/>
  <c r="N96" i="6" s="1"/>
  <c r="O96" i="6" s="1"/>
  <c r="P96" i="6" s="1"/>
  <c r="Q96" i="6" s="1"/>
  <c r="I19" i="23"/>
  <c r="J19" i="6" s="1"/>
  <c r="M19" i="6" s="1"/>
  <c r="J245" i="23"/>
  <c r="N245" i="6" s="1"/>
  <c r="O245" i="6" s="1"/>
  <c r="P245" i="6" s="1"/>
  <c r="Q245" i="6" s="1"/>
  <c r="J213" i="23"/>
  <c r="N213" i="6" s="1"/>
  <c r="H284" i="50"/>
  <c r="I284" i="52" s="1"/>
  <c r="H207" i="50"/>
  <c r="I207" i="52" s="1"/>
  <c r="D72" i="28"/>
  <c r="G17" i="21"/>
  <c r="D17" i="25" s="1"/>
  <c r="G5" i="21"/>
  <c r="D5" i="25" s="1"/>
  <c r="J37" i="50"/>
  <c r="M37" i="52" s="1"/>
  <c r="N37" i="52" s="1"/>
  <c r="I37" i="51" s="1"/>
  <c r="J37" i="51" s="1"/>
  <c r="D133" i="28"/>
  <c r="I289" i="23"/>
  <c r="J289" i="6" s="1"/>
  <c r="M289" i="6" s="1"/>
  <c r="D167" i="28"/>
  <c r="J256" i="50"/>
  <c r="M256" i="52" s="1"/>
  <c r="J214" i="23"/>
  <c r="N214" i="6" s="1"/>
  <c r="O214" i="6" s="1"/>
  <c r="P214" i="6" s="1"/>
  <c r="Q214" i="6" s="1"/>
  <c r="J55" i="23"/>
  <c r="N55" i="6" s="1"/>
  <c r="O55" i="6" s="1"/>
  <c r="P55" i="6" s="1"/>
  <c r="Q55" i="6" s="1"/>
  <c r="J284" i="50"/>
  <c r="M284" i="52" s="1"/>
  <c r="H37" i="50"/>
  <c r="I37" i="52" s="1"/>
  <c r="J69" i="50"/>
  <c r="M69" i="52" s="1"/>
  <c r="D202" i="28"/>
  <c r="I97" i="23"/>
  <c r="J97" i="6" s="1"/>
  <c r="K97" i="6" s="1"/>
  <c r="L97" i="6" s="1"/>
  <c r="M97" i="6" s="1"/>
  <c r="J254" i="50"/>
  <c r="M254" i="52" s="1"/>
  <c r="J125" i="50"/>
  <c r="M125" i="52" s="1"/>
  <c r="H111" i="50"/>
  <c r="I111" i="52" s="1"/>
  <c r="J259" i="23"/>
  <c r="N259" i="6" s="1"/>
  <c r="O259" i="6" s="1"/>
  <c r="P259" i="6" s="1"/>
  <c r="Q259" i="6" s="1"/>
  <c r="I272" i="23"/>
  <c r="J272" i="6" s="1"/>
  <c r="M272" i="6" s="1"/>
  <c r="J109" i="23"/>
  <c r="N109" i="6" s="1"/>
  <c r="O109" i="6" s="1"/>
  <c r="P109" i="6" s="1"/>
  <c r="Q109" i="6" s="1"/>
  <c r="I28" i="23"/>
  <c r="J28" i="6" s="1"/>
  <c r="M28" i="6" s="1"/>
  <c r="H241" i="50"/>
  <c r="I241" i="52" s="1"/>
  <c r="J241" i="52" s="1"/>
  <c r="J117" i="50"/>
  <c r="M117" i="52" s="1"/>
  <c r="D186" i="28"/>
  <c r="F280" i="21"/>
  <c r="C280" i="25" s="1"/>
  <c r="I189" i="23"/>
  <c r="J189" i="6" s="1"/>
  <c r="K189" i="6" s="1"/>
  <c r="L189" i="6" s="1"/>
  <c r="M189" i="6" s="1"/>
  <c r="J264" i="23"/>
  <c r="N264" i="6" s="1"/>
  <c r="O264" i="6" s="1"/>
  <c r="P264" i="6" s="1"/>
  <c r="Q264" i="6" s="1"/>
  <c r="J280" i="23"/>
  <c r="N280" i="6" s="1"/>
  <c r="O280" i="6" s="1"/>
  <c r="P280" i="6" s="1"/>
  <c r="Q280" i="6" s="1"/>
  <c r="D278" i="28"/>
  <c r="D131" i="28"/>
  <c r="H117" i="50"/>
  <c r="I117" i="52" s="1"/>
  <c r="H194" i="50"/>
  <c r="I194" i="52" s="1"/>
  <c r="J39" i="23"/>
  <c r="N39" i="6" s="1"/>
  <c r="O39" i="6" s="1"/>
  <c r="P39" i="6" s="1"/>
  <c r="Q39" i="6" s="1"/>
  <c r="G181" i="50"/>
  <c r="H181" i="52" s="1"/>
  <c r="J181" i="52" s="1"/>
  <c r="H261" i="21"/>
  <c r="M261" i="25" s="1"/>
  <c r="J111" i="50"/>
  <c r="M111" i="52" s="1"/>
  <c r="N111" i="52" s="1"/>
  <c r="I111" i="51" s="1"/>
  <c r="I291" i="23"/>
  <c r="J291" i="6" s="1"/>
  <c r="M291" i="6" s="1"/>
  <c r="J178" i="23"/>
  <c r="J227" i="23"/>
  <c r="N227" i="6" s="1"/>
  <c r="O227" i="6" s="1"/>
  <c r="P227" i="6" s="1"/>
  <c r="Q227" i="6" s="1"/>
  <c r="J239" i="23"/>
  <c r="N239" i="6" s="1"/>
  <c r="O239" i="6" s="1"/>
  <c r="P239" i="6" s="1"/>
  <c r="Q239" i="6" s="1"/>
  <c r="J248" i="23"/>
  <c r="N248" i="6" s="1"/>
  <c r="O248" i="6" s="1"/>
  <c r="P248" i="6" s="1"/>
  <c r="Q248" i="6" s="1"/>
  <c r="I125" i="21"/>
  <c r="N125" i="25" s="1"/>
  <c r="O125" i="25" s="1"/>
  <c r="I250" i="23"/>
  <c r="J250" i="6" s="1"/>
  <c r="K250" i="6" s="1"/>
  <c r="L250" i="6" s="1"/>
  <c r="M250" i="6" s="1"/>
  <c r="G183" i="50"/>
  <c r="H183" i="52" s="1"/>
  <c r="J183" i="52" s="1"/>
  <c r="G183" i="51" s="1"/>
  <c r="I196" i="50"/>
  <c r="L196" i="52" s="1"/>
  <c r="I287" i="50"/>
  <c r="L287" i="52" s="1"/>
  <c r="H109" i="50"/>
  <c r="I109" i="52" s="1"/>
  <c r="D74" i="28"/>
  <c r="H128" i="50"/>
  <c r="I128" i="52" s="1"/>
  <c r="I121" i="50"/>
  <c r="L121" i="52" s="1"/>
  <c r="I117" i="50"/>
  <c r="L117" i="52" s="1"/>
  <c r="I284" i="50"/>
  <c r="L284" i="52" s="1"/>
  <c r="N284" i="52" s="1"/>
  <c r="I284" i="51" s="1"/>
  <c r="J284" i="51" s="1"/>
  <c r="F237" i="21"/>
  <c r="C237" i="25" s="1"/>
  <c r="F91" i="21"/>
  <c r="C91" i="25" s="1"/>
  <c r="J279" i="50"/>
  <c r="M279" i="52" s="1"/>
  <c r="J162" i="50"/>
  <c r="M162" i="52" s="1"/>
  <c r="H271" i="50"/>
  <c r="I271" i="52" s="1"/>
  <c r="J164" i="50"/>
  <c r="M164" i="52" s="1"/>
  <c r="H279" i="50"/>
  <c r="I279" i="52" s="1"/>
  <c r="J182" i="50"/>
  <c r="M182" i="52" s="1"/>
  <c r="H182" i="50"/>
  <c r="I182" i="52" s="1"/>
  <c r="H223" i="50"/>
  <c r="I223" i="52" s="1"/>
  <c r="J223" i="50"/>
  <c r="M223" i="52" s="1"/>
  <c r="J18" i="23"/>
  <c r="I51" i="21"/>
  <c r="N51" i="25" s="1"/>
  <c r="O51" i="25" s="1"/>
  <c r="J155" i="23"/>
  <c r="N155" i="6" s="1"/>
  <c r="Q155" i="6" s="1"/>
  <c r="J47" i="23"/>
  <c r="N47" i="6" s="1"/>
  <c r="Q47" i="6" s="1"/>
  <c r="J253" i="23"/>
  <c r="N253" i="6" s="1"/>
  <c r="Q253" i="6" s="1"/>
  <c r="J139" i="23"/>
  <c r="N139" i="6" s="1"/>
  <c r="O139" i="6" s="1"/>
  <c r="P139" i="6" s="1"/>
  <c r="Q139" i="6" s="1"/>
  <c r="J44" i="23"/>
  <c r="N44" i="6" s="1"/>
  <c r="J136" i="23"/>
  <c r="N136" i="6" s="1"/>
  <c r="O136" i="6" s="1"/>
  <c r="P136" i="6" s="1"/>
  <c r="Q136" i="6" s="1"/>
  <c r="J141" i="23"/>
  <c r="N141" i="6" s="1"/>
  <c r="J42" i="23"/>
  <c r="N42" i="6" s="1"/>
  <c r="O42" i="6" s="1"/>
  <c r="P42" i="6" s="1"/>
  <c r="Q42" i="6" s="1"/>
  <c r="J63" i="23"/>
  <c r="N63" i="6" s="1"/>
  <c r="O63" i="6" s="1"/>
  <c r="P63" i="6" s="1"/>
  <c r="Q63" i="6" s="1"/>
  <c r="I272" i="21"/>
  <c r="N272" i="25" s="1"/>
  <c r="J4" i="23"/>
  <c r="N4" i="6" s="1"/>
  <c r="O4" i="6" s="1"/>
  <c r="P4" i="6" s="1"/>
  <c r="Q4" i="6" s="1"/>
  <c r="E239" i="50"/>
  <c r="C239" i="52" s="1"/>
  <c r="G239" i="50"/>
  <c r="H239" i="52" s="1"/>
  <c r="G88" i="50"/>
  <c r="H88" i="52" s="1"/>
  <c r="G162" i="50"/>
  <c r="H162" i="52" s="1"/>
  <c r="I156" i="50"/>
  <c r="L156" i="52" s="1"/>
  <c r="G211" i="50"/>
  <c r="H211" i="52" s="1"/>
  <c r="I211" i="50"/>
  <c r="L211" i="52" s="1"/>
  <c r="G160" i="50"/>
  <c r="H160" i="52" s="1"/>
  <c r="I160" i="50"/>
  <c r="L160" i="52" s="1"/>
  <c r="N160" i="52" s="1"/>
  <c r="I256" i="50"/>
  <c r="L256" i="52" s="1"/>
  <c r="G82" i="50"/>
  <c r="H82" i="52" s="1"/>
  <c r="G156" i="50"/>
  <c r="H156" i="52" s="1"/>
  <c r="I164" i="50"/>
  <c r="L164" i="52" s="1"/>
  <c r="I107" i="50"/>
  <c r="L107" i="52" s="1"/>
  <c r="N107" i="52" s="1"/>
  <c r="G256" i="50"/>
  <c r="H256" i="52" s="1"/>
  <c r="F20" i="21"/>
  <c r="C20" i="25" s="1"/>
  <c r="J5" i="23"/>
  <c r="N5" i="6" s="1"/>
  <c r="O5" i="6" s="1"/>
  <c r="P5" i="6" s="1"/>
  <c r="Q5" i="6" s="1"/>
  <c r="I22" i="23"/>
  <c r="J22" i="6" s="1"/>
  <c r="I43" i="23"/>
  <c r="J43" i="6" s="1"/>
  <c r="M43" i="6" s="1"/>
  <c r="I45" i="23"/>
  <c r="J45" i="6" s="1"/>
  <c r="K45" i="6" s="1"/>
  <c r="L45" i="6" s="1"/>
  <c r="M45" i="6" s="1"/>
  <c r="J86" i="23"/>
  <c r="I111" i="23"/>
  <c r="J111" i="6" s="1"/>
  <c r="M111" i="6" s="1"/>
  <c r="I123" i="23"/>
  <c r="J123" i="6" s="1"/>
  <c r="K123" i="6" s="1"/>
  <c r="L123" i="6" s="1"/>
  <c r="M123" i="6" s="1"/>
  <c r="J179" i="23"/>
  <c r="N179" i="6" s="1"/>
  <c r="O179" i="6" s="1"/>
  <c r="P179" i="6" s="1"/>
  <c r="Q179" i="6" s="1"/>
  <c r="I84" i="23"/>
  <c r="J84" i="6" s="1"/>
  <c r="M84" i="6" s="1"/>
  <c r="I107" i="23"/>
  <c r="J107" i="6" s="1"/>
  <c r="K107" i="6" s="1"/>
  <c r="L107" i="6" s="1"/>
  <c r="M107" i="6" s="1"/>
  <c r="I142" i="23"/>
  <c r="I150" i="23"/>
  <c r="J150" i="6" s="1"/>
  <c r="K150" i="6" s="1"/>
  <c r="L150" i="6" s="1"/>
  <c r="M150" i="6" s="1"/>
  <c r="I152" i="23"/>
  <c r="J152" i="6" s="1"/>
  <c r="K152" i="6" s="1"/>
  <c r="L152" i="6" s="1"/>
  <c r="M152" i="6" s="1"/>
  <c r="J249" i="23"/>
  <c r="N249" i="6" s="1"/>
  <c r="O249" i="6" s="1"/>
  <c r="P249" i="6" s="1"/>
  <c r="Q249" i="6" s="1"/>
  <c r="I166" i="23"/>
  <c r="J166" i="6" s="1"/>
  <c r="M166" i="6" s="1"/>
  <c r="I217" i="23"/>
  <c r="J217" i="6" s="1"/>
  <c r="K217" i="6" s="1"/>
  <c r="L217" i="6" s="1"/>
  <c r="M217" i="6" s="1"/>
  <c r="J275" i="23"/>
  <c r="N275" i="6" s="1"/>
  <c r="O275" i="6" s="1"/>
  <c r="P275" i="6" s="1"/>
  <c r="Q275" i="6" s="1"/>
  <c r="I51" i="23"/>
  <c r="J51" i="6" s="1"/>
  <c r="I48" i="23"/>
  <c r="J48" i="6" s="1"/>
  <c r="I271" i="23"/>
  <c r="I92" i="23"/>
  <c r="J92" i="6" s="1"/>
  <c r="M92" i="6" s="1"/>
  <c r="D88" i="28"/>
  <c r="D276" i="28"/>
  <c r="D287" i="28"/>
  <c r="D19" i="28"/>
  <c r="D285" i="28"/>
  <c r="D86" i="28"/>
  <c r="D90" i="28"/>
  <c r="D291" i="28"/>
  <c r="D274" i="28"/>
  <c r="D283" i="28"/>
  <c r="D243" i="28"/>
  <c r="D187" i="28"/>
  <c r="D203" i="28"/>
  <c r="C28" i="28"/>
  <c r="C20" i="72"/>
  <c r="C106" i="28"/>
  <c r="D20" i="72"/>
  <c r="C19" i="72"/>
  <c r="I33" i="72" s="1"/>
  <c r="M252" i="7"/>
  <c r="I252" i="87" s="1"/>
  <c r="N252" i="7"/>
  <c r="P252" i="7" s="1"/>
  <c r="K252" i="7"/>
  <c r="G252" i="87"/>
  <c r="O74" i="6"/>
  <c r="P74" i="6" s="1"/>
  <c r="P34" i="46"/>
  <c r="P285" i="46"/>
  <c r="P218" i="46"/>
  <c r="P245" i="46"/>
  <c r="P192" i="46"/>
  <c r="P81" i="46"/>
  <c r="P151" i="46"/>
  <c r="H5" i="46"/>
  <c r="P94" i="46"/>
  <c r="P227" i="46"/>
  <c r="P249" i="46"/>
  <c r="P113" i="46"/>
  <c r="P203" i="46"/>
  <c r="P283" i="46"/>
  <c r="P153" i="46"/>
  <c r="P176" i="46"/>
  <c r="P35" i="46"/>
  <c r="H155" i="50"/>
  <c r="I155" i="52" s="1"/>
  <c r="J112" i="50"/>
  <c r="M112" i="52" s="1"/>
  <c r="I15" i="50"/>
  <c r="L15" i="52" s="1"/>
  <c r="I71" i="50"/>
  <c r="L71" i="52" s="1"/>
  <c r="G23" i="50"/>
  <c r="H23" i="52" s="1"/>
  <c r="J19" i="50"/>
  <c r="M19" i="52" s="1"/>
  <c r="J114" i="50"/>
  <c r="M114" i="52" s="1"/>
  <c r="I163" i="50"/>
  <c r="L163" i="52" s="1"/>
  <c r="H58" i="50"/>
  <c r="I58" i="52" s="1"/>
  <c r="H112" i="50"/>
  <c r="I112" i="52" s="1"/>
  <c r="G225" i="50"/>
  <c r="H225" i="52" s="1"/>
  <c r="H244" i="50"/>
  <c r="I244" i="52" s="1"/>
  <c r="J244" i="52" s="1"/>
  <c r="I239" i="50"/>
  <c r="L239" i="52" s="1"/>
  <c r="J239" i="50"/>
  <c r="M239" i="52" s="1"/>
  <c r="J58" i="50"/>
  <c r="M58" i="52" s="1"/>
  <c r="N58" i="52" s="1"/>
  <c r="I58" i="51" s="1"/>
  <c r="J58" i="51" s="1"/>
  <c r="G157" i="50"/>
  <c r="H157" i="52" s="1"/>
  <c r="G120" i="50"/>
  <c r="H120" i="52" s="1"/>
  <c r="H110" i="50"/>
  <c r="I110" i="52" s="1"/>
  <c r="I82" i="50"/>
  <c r="L82" i="52" s="1"/>
  <c r="J172" i="50"/>
  <c r="M172" i="52" s="1"/>
  <c r="G114" i="50"/>
  <c r="H114" i="52" s="1"/>
  <c r="H56" i="50"/>
  <c r="I56" i="52" s="1"/>
  <c r="H114" i="50"/>
  <c r="I114" i="52" s="1"/>
  <c r="G208" i="50"/>
  <c r="H208" i="52" s="1"/>
  <c r="I135" i="50"/>
  <c r="L135" i="52" s="1"/>
  <c r="I182" i="50"/>
  <c r="L182" i="52" s="1"/>
  <c r="J116" i="50"/>
  <c r="M116" i="52" s="1"/>
  <c r="H200" i="50"/>
  <c r="I200" i="52" s="1"/>
  <c r="J110" i="50"/>
  <c r="M110" i="52" s="1"/>
  <c r="I210" i="50"/>
  <c r="L210" i="52" s="1"/>
  <c r="I180" i="50"/>
  <c r="L180" i="52" s="1"/>
  <c r="H168" i="50"/>
  <c r="I168" i="52" s="1"/>
  <c r="I122" i="50"/>
  <c r="L122" i="52" s="1"/>
  <c r="I100" i="50"/>
  <c r="L100" i="52" s="1"/>
  <c r="G165" i="50"/>
  <c r="H165" i="52" s="1"/>
  <c r="J168" i="50"/>
  <c r="M168" i="52" s="1"/>
  <c r="I204" i="50"/>
  <c r="L204" i="52" s="1"/>
  <c r="H172" i="50"/>
  <c r="I172" i="52" s="1"/>
  <c r="G100" i="50"/>
  <c r="H100" i="52" s="1"/>
  <c r="I114" i="50"/>
  <c r="L114" i="52" s="1"/>
  <c r="H239" i="50"/>
  <c r="I239" i="52" s="1"/>
  <c r="H116" i="50"/>
  <c r="I116" i="52" s="1"/>
  <c r="G60" i="50"/>
  <c r="H60" i="52" s="1"/>
  <c r="G110" i="50"/>
  <c r="H110" i="52" s="1"/>
  <c r="G155" i="50"/>
  <c r="H155" i="52" s="1"/>
  <c r="G210" i="50"/>
  <c r="H210" i="52" s="1"/>
  <c r="H143" i="50"/>
  <c r="I143" i="52" s="1"/>
  <c r="I137" i="50"/>
  <c r="L137" i="52" s="1"/>
  <c r="J200" i="50"/>
  <c r="M200" i="52" s="1"/>
  <c r="J244" i="50"/>
  <c r="M244" i="52" s="1"/>
  <c r="N244" i="52" s="1"/>
  <c r="I244" i="51" s="1"/>
  <c r="G287" i="50"/>
  <c r="H287" i="52" s="1"/>
  <c r="I110" i="50"/>
  <c r="L110" i="52" s="1"/>
  <c r="I144" i="23"/>
  <c r="J144" i="6" s="1"/>
  <c r="K144" i="6" s="1"/>
  <c r="L144" i="6" s="1"/>
  <c r="M144" i="6" s="1"/>
  <c r="I183" i="23"/>
  <c r="J183" i="6" s="1"/>
  <c r="J140" i="23"/>
  <c r="N140" i="6" s="1"/>
  <c r="Q140" i="6" s="1"/>
  <c r="I122" i="23"/>
  <c r="J122" i="6" s="1"/>
  <c r="K122" i="6" s="1"/>
  <c r="L122" i="6" s="1"/>
  <c r="M122" i="6" s="1"/>
  <c r="J143" i="23"/>
  <c r="N143" i="6" s="1"/>
  <c r="O143" i="6" s="1"/>
  <c r="P143" i="6" s="1"/>
  <c r="Q143" i="6" s="1"/>
  <c r="I57" i="23"/>
  <c r="J57" i="6" s="1"/>
  <c r="K57" i="6" s="1"/>
  <c r="L57" i="6" s="1"/>
  <c r="M57" i="6" s="1"/>
  <c r="I119" i="23"/>
  <c r="J119" i="6" s="1"/>
  <c r="K119" i="6" s="1"/>
  <c r="L119" i="6" s="1"/>
  <c r="M119" i="6" s="1"/>
  <c r="J33" i="23"/>
  <c r="N33" i="6" s="1"/>
  <c r="J201" i="23"/>
  <c r="N201" i="6" s="1"/>
  <c r="I186" i="23"/>
  <c r="J186" i="6" s="1"/>
  <c r="M186" i="6" s="1"/>
  <c r="I88" i="23"/>
  <c r="J88" i="6" s="1"/>
  <c r="M88" i="6" s="1"/>
  <c r="I103" i="23"/>
  <c r="J103" i="6" s="1"/>
  <c r="K103" i="6" s="1"/>
  <c r="L103" i="6" s="1"/>
  <c r="M103" i="6" s="1"/>
  <c r="J29" i="23"/>
  <c r="N29" i="6" s="1"/>
  <c r="O29" i="6" s="1"/>
  <c r="P29" i="6" s="1"/>
  <c r="Q29" i="6" s="1"/>
  <c r="J99" i="23"/>
  <c r="J19" i="23"/>
  <c r="N19" i="6" s="1"/>
  <c r="I192" i="23"/>
  <c r="I41" i="21"/>
  <c r="N41" i="25" s="1"/>
  <c r="G159" i="21"/>
  <c r="D159" i="25" s="1"/>
  <c r="G58" i="21"/>
  <c r="D58" i="25" s="1"/>
  <c r="H104" i="21"/>
  <c r="M104" i="25" s="1"/>
  <c r="G251" i="21"/>
  <c r="D251" i="25" s="1"/>
  <c r="C27" i="7"/>
  <c r="G27" i="87" s="1"/>
  <c r="C27" i="33"/>
  <c r="C32" i="7"/>
  <c r="K32" i="7" s="1"/>
  <c r="C32" i="33"/>
  <c r="C65" i="7"/>
  <c r="C65" i="33"/>
  <c r="C101" i="7"/>
  <c r="G101" i="87" s="1"/>
  <c r="C101" i="33"/>
  <c r="C17" i="7"/>
  <c r="N17" i="7" s="1"/>
  <c r="C17" i="33"/>
  <c r="C31" i="7"/>
  <c r="L31" i="7" s="1"/>
  <c r="C31" i="33"/>
  <c r="C50" i="7"/>
  <c r="G50" i="87" s="1"/>
  <c r="C50" i="33"/>
  <c r="C87" i="7"/>
  <c r="C87" i="33"/>
  <c r="C105" i="7"/>
  <c r="M105" i="7" s="1"/>
  <c r="I105" i="87" s="1"/>
  <c r="C105" i="33"/>
  <c r="C134" i="7"/>
  <c r="M134" i="7" s="1"/>
  <c r="I134" i="87" s="1"/>
  <c r="C134" i="33"/>
  <c r="C150" i="7"/>
  <c r="M150" i="7" s="1"/>
  <c r="I150" i="87" s="1"/>
  <c r="C150" i="33"/>
  <c r="C164" i="7"/>
  <c r="L164" i="7" s="1"/>
  <c r="C164" i="33"/>
  <c r="C176" i="7"/>
  <c r="M176" i="7" s="1"/>
  <c r="I176" i="87" s="1"/>
  <c r="C176" i="33"/>
  <c r="C190" i="7"/>
  <c r="G190" i="87" s="1"/>
  <c r="C190" i="33"/>
  <c r="C202" i="7"/>
  <c r="K202" i="7" s="1"/>
  <c r="C202" i="33"/>
  <c r="C214" i="7"/>
  <c r="M214" i="7" s="1"/>
  <c r="I214" i="87" s="1"/>
  <c r="C214" i="33"/>
  <c r="C226" i="7"/>
  <c r="G226" i="87" s="1"/>
  <c r="C226" i="33"/>
  <c r="C246" i="7"/>
  <c r="M246" i="7" s="1"/>
  <c r="I246" i="87" s="1"/>
  <c r="C246" i="33"/>
  <c r="C271" i="7"/>
  <c r="N271" i="7" s="1"/>
  <c r="C271" i="33"/>
  <c r="C283" i="7"/>
  <c r="G283" i="87" s="1"/>
  <c r="C283" i="33"/>
  <c r="D129" i="28"/>
  <c r="C72" i="7"/>
  <c r="G72" i="87" s="1"/>
  <c r="C72" i="33"/>
  <c r="C64" i="7"/>
  <c r="M64" i="7" s="1"/>
  <c r="I64" i="87" s="1"/>
  <c r="S64" i="87" s="1"/>
  <c r="C64" i="33"/>
  <c r="G176" i="21"/>
  <c r="D176" i="25" s="1"/>
  <c r="E176" i="25" s="1"/>
  <c r="H176" i="46" s="1"/>
  <c r="G101" i="21"/>
  <c r="D101" i="25" s="1"/>
  <c r="C34" i="7"/>
  <c r="M34" i="7" s="1"/>
  <c r="I34" i="87" s="1"/>
  <c r="S34" i="87" s="1"/>
  <c r="C34" i="33"/>
  <c r="C66" i="7"/>
  <c r="M66" i="7" s="1"/>
  <c r="I66" i="87" s="1"/>
  <c r="S66" i="87" s="1"/>
  <c r="C66" i="33"/>
  <c r="C103" i="7"/>
  <c r="L103" i="7" s="1"/>
  <c r="C103" i="33"/>
  <c r="I91" i="21"/>
  <c r="N91" i="25" s="1"/>
  <c r="C18" i="7"/>
  <c r="N18" i="7" s="1"/>
  <c r="C18" i="33"/>
  <c r="C33" i="7"/>
  <c r="C33" i="33"/>
  <c r="C51" i="7"/>
  <c r="K51" i="7" s="1"/>
  <c r="C51" i="33"/>
  <c r="C88" i="7"/>
  <c r="M88" i="7" s="1"/>
  <c r="I88" i="87" s="1"/>
  <c r="C88" i="33"/>
  <c r="C106" i="7"/>
  <c r="G106" i="87" s="1"/>
  <c r="C106" i="33"/>
  <c r="C121" i="7"/>
  <c r="M121" i="7" s="1"/>
  <c r="I121" i="87" s="1"/>
  <c r="C121" i="33"/>
  <c r="C151" i="7"/>
  <c r="M151" i="7" s="1"/>
  <c r="I151" i="87" s="1"/>
  <c r="C151" i="33"/>
  <c r="C165" i="7"/>
  <c r="N165" i="7" s="1"/>
  <c r="C165" i="33"/>
  <c r="C177" i="7"/>
  <c r="M177" i="7" s="1"/>
  <c r="I177" i="87" s="1"/>
  <c r="C177" i="33"/>
  <c r="D190" i="28"/>
  <c r="C203" i="7"/>
  <c r="K203" i="7" s="1"/>
  <c r="C203" i="33"/>
  <c r="C215" i="7"/>
  <c r="N215" i="7" s="1"/>
  <c r="C215" i="33"/>
  <c r="C227" i="7"/>
  <c r="M227" i="7" s="1"/>
  <c r="I227" i="87" s="1"/>
  <c r="C227" i="33"/>
  <c r="C248" i="7"/>
  <c r="G248" i="87" s="1"/>
  <c r="C248" i="33"/>
  <c r="C258" i="7"/>
  <c r="G258" i="87" s="1"/>
  <c r="C258" i="33"/>
  <c r="C272" i="7"/>
  <c r="M272" i="7" s="1"/>
  <c r="I272" i="87" s="1"/>
  <c r="C272" i="33"/>
  <c r="I84" i="21"/>
  <c r="N84" i="25" s="1"/>
  <c r="H86" i="21"/>
  <c r="M86" i="25" s="1"/>
  <c r="C36" i="7"/>
  <c r="N36" i="7" s="1"/>
  <c r="C36" i="33"/>
  <c r="C67" i="7"/>
  <c r="N67" i="7" s="1"/>
  <c r="C67" i="33"/>
  <c r="C108" i="7"/>
  <c r="G108" i="87" s="1"/>
  <c r="C108" i="33"/>
  <c r="C19" i="7"/>
  <c r="K19" i="7" s="1"/>
  <c r="C19" i="33"/>
  <c r="C35" i="7"/>
  <c r="L35" i="7" s="1"/>
  <c r="C35" i="33"/>
  <c r="C54" i="7"/>
  <c r="K54" i="7" s="1"/>
  <c r="C54" i="33"/>
  <c r="C90" i="7"/>
  <c r="L90" i="7" s="1"/>
  <c r="C90" i="33"/>
  <c r="C107" i="7"/>
  <c r="G107" i="87" s="1"/>
  <c r="C107" i="33"/>
  <c r="C122" i="7"/>
  <c r="N122" i="7" s="1"/>
  <c r="C122" i="33"/>
  <c r="C135" i="7"/>
  <c r="K135" i="7" s="1"/>
  <c r="C135" i="33"/>
  <c r="C152" i="7"/>
  <c r="M152" i="7" s="1"/>
  <c r="I152" i="87" s="1"/>
  <c r="C152" i="33"/>
  <c r="C166" i="7"/>
  <c r="G166" i="87" s="1"/>
  <c r="C166" i="33"/>
  <c r="C178" i="7"/>
  <c r="C178" i="33"/>
  <c r="C191" i="7"/>
  <c r="M191" i="7" s="1"/>
  <c r="I191" i="87" s="1"/>
  <c r="C191" i="33"/>
  <c r="C204" i="7"/>
  <c r="G204" i="87" s="1"/>
  <c r="C204" i="33"/>
  <c r="C216" i="7"/>
  <c r="N216" i="7" s="1"/>
  <c r="C216" i="33"/>
  <c r="C228" i="7"/>
  <c r="M228" i="7" s="1"/>
  <c r="I228" i="87" s="1"/>
  <c r="C228" i="33"/>
  <c r="C249" i="7"/>
  <c r="L249" i="7" s="1"/>
  <c r="C249" i="33"/>
  <c r="C259" i="7"/>
  <c r="G259" i="87" s="1"/>
  <c r="C259" i="33"/>
  <c r="C273" i="7"/>
  <c r="C273" i="33"/>
  <c r="C284" i="7"/>
  <c r="L284" i="7" s="1"/>
  <c r="C284" i="33"/>
  <c r="C235" i="7"/>
  <c r="L235" i="7" s="1"/>
  <c r="C235" i="33"/>
  <c r="C148" i="7"/>
  <c r="M148" i="7" s="1"/>
  <c r="I148" i="87" s="1"/>
  <c r="C148" i="33"/>
  <c r="C91" i="7"/>
  <c r="G91" i="87" s="1"/>
  <c r="C91" i="33"/>
  <c r="G132" i="21"/>
  <c r="D132" i="25" s="1"/>
  <c r="C41" i="7"/>
  <c r="N41" i="7" s="1"/>
  <c r="C41" i="33"/>
  <c r="C70" i="7"/>
  <c r="C70" i="33"/>
  <c r="C109" i="7"/>
  <c r="G109" i="87" s="1"/>
  <c r="C109" i="33"/>
  <c r="I60" i="50"/>
  <c r="L60" i="52" s="1"/>
  <c r="C20" i="7"/>
  <c r="L20" i="7" s="1"/>
  <c r="C20" i="33"/>
  <c r="C57" i="7"/>
  <c r="G57" i="87" s="1"/>
  <c r="C57" i="33"/>
  <c r="C92" i="7"/>
  <c r="L92" i="7" s="1"/>
  <c r="C92" i="33"/>
  <c r="C110" i="7"/>
  <c r="L110" i="7" s="1"/>
  <c r="C110" i="33"/>
  <c r="C123" i="7"/>
  <c r="L123" i="7" s="1"/>
  <c r="C123" i="33"/>
  <c r="C137" i="7"/>
  <c r="M137" i="7" s="1"/>
  <c r="I137" i="87" s="1"/>
  <c r="C137" i="33"/>
  <c r="C153" i="7"/>
  <c r="G153" i="87" s="1"/>
  <c r="C153" i="33"/>
  <c r="C167" i="7"/>
  <c r="N167" i="7" s="1"/>
  <c r="C167" i="33"/>
  <c r="C179" i="7"/>
  <c r="M179" i="7" s="1"/>
  <c r="I179" i="87" s="1"/>
  <c r="C179" i="33"/>
  <c r="C192" i="7"/>
  <c r="G192" i="87" s="1"/>
  <c r="C192" i="33"/>
  <c r="C205" i="7"/>
  <c r="N205" i="7" s="1"/>
  <c r="C205" i="33"/>
  <c r="C217" i="7"/>
  <c r="N217" i="7" s="1"/>
  <c r="C217" i="33"/>
  <c r="C231" i="7"/>
  <c r="K231" i="7" s="1"/>
  <c r="C231" i="33"/>
  <c r="C250" i="7"/>
  <c r="G250" i="87" s="1"/>
  <c r="C250" i="33"/>
  <c r="C260" i="7"/>
  <c r="N260" i="7" s="1"/>
  <c r="C260" i="33"/>
  <c r="C274" i="7"/>
  <c r="C274" i="33"/>
  <c r="C285" i="7"/>
  <c r="G285" i="87" s="1"/>
  <c r="C285" i="33"/>
  <c r="I124" i="23"/>
  <c r="J124" i="6" s="1"/>
  <c r="K124" i="6" s="1"/>
  <c r="L124" i="6" s="1"/>
  <c r="M124" i="6" s="1"/>
  <c r="D164" i="28"/>
  <c r="C45" i="7"/>
  <c r="K45" i="7" s="1"/>
  <c r="C45" i="33"/>
  <c r="C71" i="7"/>
  <c r="M71" i="7" s="1"/>
  <c r="I71" i="87" s="1"/>
  <c r="S71" i="87" s="1"/>
  <c r="C71" i="33"/>
  <c r="C22" i="7"/>
  <c r="N22" i="7" s="1"/>
  <c r="C22" i="33"/>
  <c r="C37" i="7"/>
  <c r="M37" i="7" s="1"/>
  <c r="I37" i="87" s="1"/>
  <c r="C37" i="33"/>
  <c r="C58" i="7"/>
  <c r="M58" i="7" s="1"/>
  <c r="I58" i="87" s="1"/>
  <c r="C58" i="33"/>
  <c r="C93" i="7"/>
  <c r="N93" i="7" s="1"/>
  <c r="C93" i="33"/>
  <c r="C111" i="7"/>
  <c r="G111" i="87" s="1"/>
  <c r="C111" i="33"/>
  <c r="C124" i="7"/>
  <c r="M124" i="7" s="1"/>
  <c r="I124" i="87" s="1"/>
  <c r="C124" i="33"/>
  <c r="C154" i="7"/>
  <c r="N154" i="7" s="1"/>
  <c r="C154" i="33"/>
  <c r="C168" i="7"/>
  <c r="G168" i="87" s="1"/>
  <c r="C168" i="33"/>
  <c r="C180" i="7"/>
  <c r="G180" i="87" s="1"/>
  <c r="C180" i="33"/>
  <c r="C233" i="7"/>
  <c r="N233" i="7" s="1"/>
  <c r="C233" i="33"/>
  <c r="C251" i="7"/>
  <c r="G251" i="87" s="1"/>
  <c r="C251" i="33"/>
  <c r="C261" i="7"/>
  <c r="L261" i="7" s="1"/>
  <c r="C261" i="33"/>
  <c r="C276" i="7"/>
  <c r="N276" i="7" s="1"/>
  <c r="C276" i="33"/>
  <c r="C286" i="7"/>
  <c r="M286" i="7" s="1"/>
  <c r="I286" i="87" s="1"/>
  <c r="C286" i="33"/>
  <c r="J85" i="23"/>
  <c r="N85" i="6" s="1"/>
  <c r="O85" i="6" s="1"/>
  <c r="P85" i="6" s="1"/>
  <c r="Q85" i="6" s="1"/>
  <c r="C38" i="7"/>
  <c r="K38" i="7" s="1"/>
  <c r="C38" i="33"/>
  <c r="C68" i="7"/>
  <c r="N68" i="7" s="1"/>
  <c r="C68" i="33"/>
  <c r="C94" i="7"/>
  <c r="M94" i="7" s="1"/>
  <c r="I94" i="87" s="1"/>
  <c r="C94" i="33"/>
  <c r="C112" i="7"/>
  <c r="M112" i="7" s="1"/>
  <c r="I112" i="87" s="1"/>
  <c r="C112" i="33"/>
  <c r="C125" i="7"/>
  <c r="N125" i="7" s="1"/>
  <c r="C125" i="33"/>
  <c r="C155" i="7"/>
  <c r="L155" i="7" s="1"/>
  <c r="C155" i="33"/>
  <c r="C181" i="7"/>
  <c r="L181" i="7" s="1"/>
  <c r="C181" i="33"/>
  <c r="C193" i="7"/>
  <c r="M193" i="7" s="1"/>
  <c r="I193" i="87" s="1"/>
  <c r="C193" i="33"/>
  <c r="C206" i="7"/>
  <c r="N206" i="7" s="1"/>
  <c r="C206" i="33"/>
  <c r="C218" i="7"/>
  <c r="M218" i="7" s="1"/>
  <c r="I218" i="87" s="1"/>
  <c r="C218" i="33"/>
  <c r="C236" i="7"/>
  <c r="N236" i="7" s="1"/>
  <c r="C236" i="33"/>
  <c r="C262" i="7"/>
  <c r="C262" i="33"/>
  <c r="C277" i="7"/>
  <c r="C277" i="33"/>
  <c r="C287" i="7"/>
  <c r="K287" i="7" s="1"/>
  <c r="C287" i="33"/>
  <c r="C55" i="7"/>
  <c r="N55" i="7" s="1"/>
  <c r="C55" i="33"/>
  <c r="C73" i="7"/>
  <c r="L73" i="7" s="1"/>
  <c r="C73" i="33"/>
  <c r="C128" i="7"/>
  <c r="L128" i="7" s="1"/>
  <c r="C128" i="33"/>
  <c r="I119" i="50"/>
  <c r="L119" i="52" s="1"/>
  <c r="C25" i="7"/>
  <c r="M25" i="7" s="1"/>
  <c r="I25" i="87" s="1"/>
  <c r="C25" i="33"/>
  <c r="C39" i="7"/>
  <c r="C39" i="33"/>
  <c r="C69" i="7"/>
  <c r="G69" i="87" s="1"/>
  <c r="C69" i="33"/>
  <c r="C95" i="7"/>
  <c r="G95" i="87" s="1"/>
  <c r="C95" i="33"/>
  <c r="C113" i="7"/>
  <c r="M113" i="7" s="1"/>
  <c r="I113" i="87" s="1"/>
  <c r="C113" i="33"/>
  <c r="C126" i="7"/>
  <c r="M126" i="7" s="1"/>
  <c r="I126" i="87" s="1"/>
  <c r="C126" i="33"/>
  <c r="C140" i="7"/>
  <c r="G140" i="87" s="1"/>
  <c r="C140" i="33"/>
  <c r="C156" i="7"/>
  <c r="N156" i="7" s="1"/>
  <c r="C156" i="33"/>
  <c r="C169" i="7"/>
  <c r="C169" i="33"/>
  <c r="C182" i="7"/>
  <c r="M182" i="7" s="1"/>
  <c r="I182" i="87" s="1"/>
  <c r="C182" i="33"/>
  <c r="C194" i="7"/>
  <c r="N194" i="7" s="1"/>
  <c r="C194" i="33"/>
  <c r="C207" i="7"/>
  <c r="M207" i="7" s="1"/>
  <c r="I207" i="87" s="1"/>
  <c r="C207" i="33"/>
  <c r="C219" i="7"/>
  <c r="G219" i="87" s="1"/>
  <c r="C219" i="33"/>
  <c r="C237" i="7"/>
  <c r="M237" i="7" s="1"/>
  <c r="I237" i="87" s="1"/>
  <c r="C237" i="33"/>
  <c r="C288" i="7"/>
  <c r="N288" i="7" s="1"/>
  <c r="C288" i="33"/>
  <c r="C232" i="7"/>
  <c r="L232" i="7" s="1"/>
  <c r="C232" i="33"/>
  <c r="G252" i="33"/>
  <c r="F252" i="33"/>
  <c r="E252" i="33"/>
  <c r="D252" i="33"/>
  <c r="I252" i="33"/>
  <c r="H252" i="33"/>
  <c r="C120" i="7"/>
  <c r="C120" i="33"/>
  <c r="C28" i="7"/>
  <c r="M28" i="7" s="1"/>
  <c r="I28" i="87" s="1"/>
  <c r="S28" i="87" s="1"/>
  <c r="C28" i="33"/>
  <c r="C23" i="7"/>
  <c r="M23" i="7" s="1"/>
  <c r="I23" i="87" s="1"/>
  <c r="C23" i="33"/>
  <c r="H251" i="21"/>
  <c r="M251" i="25" s="1"/>
  <c r="O251" i="25" s="1"/>
  <c r="C56" i="7"/>
  <c r="M56" i="7" s="1"/>
  <c r="I56" i="87" s="1"/>
  <c r="S56" i="87" s="1"/>
  <c r="C56" i="33"/>
  <c r="C74" i="7"/>
  <c r="G74" i="87" s="1"/>
  <c r="C74" i="33"/>
  <c r="C136" i="7"/>
  <c r="L136" i="7" s="1"/>
  <c r="C136" i="33"/>
  <c r="J88" i="50"/>
  <c r="M88" i="52" s="1"/>
  <c r="C26" i="7"/>
  <c r="L26" i="7" s="1"/>
  <c r="C26" i="33"/>
  <c r="C76" i="7"/>
  <c r="G76" i="87" s="1"/>
  <c r="C76" i="33"/>
  <c r="C96" i="7"/>
  <c r="N96" i="7" s="1"/>
  <c r="C96" i="33"/>
  <c r="C114" i="7"/>
  <c r="C114" i="33"/>
  <c r="C127" i="7"/>
  <c r="K127" i="7" s="1"/>
  <c r="C127" i="33"/>
  <c r="C141" i="7"/>
  <c r="N141" i="7" s="1"/>
  <c r="C141" i="33"/>
  <c r="C157" i="7"/>
  <c r="G157" i="87" s="1"/>
  <c r="C157" i="33"/>
  <c r="C170" i="7"/>
  <c r="M170" i="7" s="1"/>
  <c r="I170" i="87" s="1"/>
  <c r="C170" i="33"/>
  <c r="C183" i="7"/>
  <c r="G183" i="87" s="1"/>
  <c r="C183" i="33"/>
  <c r="C195" i="7"/>
  <c r="G195" i="87" s="1"/>
  <c r="C195" i="33"/>
  <c r="C208" i="7"/>
  <c r="C208" i="33"/>
  <c r="C220" i="7"/>
  <c r="G220" i="87" s="1"/>
  <c r="C220" i="33"/>
  <c r="C238" i="7"/>
  <c r="G238" i="87" s="1"/>
  <c r="C238" i="33"/>
  <c r="C255" i="7"/>
  <c r="C255" i="33"/>
  <c r="C263" i="7"/>
  <c r="M263" i="7" s="1"/>
  <c r="I263" i="87" s="1"/>
  <c r="C263" i="33"/>
  <c r="C289" i="7"/>
  <c r="M289" i="7" s="1"/>
  <c r="I289" i="87" s="1"/>
  <c r="C289" i="33"/>
  <c r="C59" i="7"/>
  <c r="L59" i="7" s="1"/>
  <c r="C59" i="33"/>
  <c r="C75" i="7"/>
  <c r="L75" i="7" s="1"/>
  <c r="C75" i="33"/>
  <c r="C139" i="7"/>
  <c r="N139" i="7" s="1"/>
  <c r="C139" i="33"/>
  <c r="C4" i="7"/>
  <c r="G4" i="87" s="1"/>
  <c r="C4" i="33"/>
  <c r="J105" i="50"/>
  <c r="M105" i="52" s="1"/>
  <c r="I125" i="50"/>
  <c r="L125" i="52" s="1"/>
  <c r="C29" i="7"/>
  <c r="G29" i="87" s="1"/>
  <c r="C29" i="33"/>
  <c r="C40" i="7"/>
  <c r="N40" i="7" s="1"/>
  <c r="C40" i="33"/>
  <c r="C79" i="7"/>
  <c r="M79" i="7" s="1"/>
  <c r="I79" i="87" s="1"/>
  <c r="C79" i="33"/>
  <c r="C97" i="7"/>
  <c r="G97" i="87" s="1"/>
  <c r="C97" i="33"/>
  <c r="C115" i="7"/>
  <c r="G115" i="87" s="1"/>
  <c r="C115" i="33"/>
  <c r="C129" i="7"/>
  <c r="M129" i="7" s="1"/>
  <c r="I129" i="87" s="1"/>
  <c r="C129" i="33"/>
  <c r="C142" i="7"/>
  <c r="G142" i="87" s="1"/>
  <c r="C142" i="33"/>
  <c r="C158" i="7"/>
  <c r="L158" i="7" s="1"/>
  <c r="C158" i="33"/>
  <c r="C171" i="7"/>
  <c r="G171" i="87" s="1"/>
  <c r="C171" i="33"/>
  <c r="C184" i="7"/>
  <c r="G184" i="87" s="1"/>
  <c r="C184" i="33"/>
  <c r="C196" i="7"/>
  <c r="M196" i="7" s="1"/>
  <c r="I196" i="87" s="1"/>
  <c r="C196" i="33"/>
  <c r="C209" i="7"/>
  <c r="M209" i="7" s="1"/>
  <c r="I209" i="87" s="1"/>
  <c r="C209" i="33"/>
  <c r="C239" i="7"/>
  <c r="G239" i="87" s="1"/>
  <c r="C239" i="33"/>
  <c r="C264" i="7"/>
  <c r="C264" i="33"/>
  <c r="C278" i="7"/>
  <c r="C278" i="33"/>
  <c r="C290" i="7"/>
  <c r="G290" i="87" s="1"/>
  <c r="C290" i="33"/>
  <c r="C275" i="7"/>
  <c r="G275" i="87" s="1"/>
  <c r="C275" i="33"/>
  <c r="C42" i="7"/>
  <c r="M42" i="7" s="1"/>
  <c r="I42" i="87" s="1"/>
  <c r="C42" i="33"/>
  <c r="C80" i="7"/>
  <c r="G80" i="87" s="1"/>
  <c r="C80" i="33"/>
  <c r="C98" i="7"/>
  <c r="G98" i="87" s="1"/>
  <c r="C98" i="33"/>
  <c r="C116" i="7"/>
  <c r="M116" i="7" s="1"/>
  <c r="I116" i="87" s="1"/>
  <c r="C116" i="33"/>
  <c r="C130" i="7"/>
  <c r="N130" i="7" s="1"/>
  <c r="C130" i="33"/>
  <c r="C159" i="7"/>
  <c r="M159" i="7" s="1"/>
  <c r="I159" i="87" s="1"/>
  <c r="C159" i="33"/>
  <c r="C172" i="7"/>
  <c r="N172" i="7" s="1"/>
  <c r="C172" i="33"/>
  <c r="C185" i="7"/>
  <c r="N185" i="7" s="1"/>
  <c r="C185" i="33"/>
  <c r="C197" i="7"/>
  <c r="M197" i="7" s="1"/>
  <c r="I197" i="87" s="1"/>
  <c r="C197" i="33"/>
  <c r="C210" i="7"/>
  <c r="M210" i="7" s="1"/>
  <c r="I210" i="87" s="1"/>
  <c r="C210" i="33"/>
  <c r="C221" i="7"/>
  <c r="G221" i="87" s="1"/>
  <c r="C221" i="33"/>
  <c r="C241" i="7"/>
  <c r="G241" i="87" s="1"/>
  <c r="C241" i="33"/>
  <c r="C256" i="7"/>
  <c r="G256" i="87" s="1"/>
  <c r="C256" i="33"/>
  <c r="C60" i="7"/>
  <c r="G60" i="87" s="1"/>
  <c r="C60" i="33"/>
  <c r="C77" i="7"/>
  <c r="C77" i="33"/>
  <c r="C143" i="7"/>
  <c r="K143" i="7" s="1"/>
  <c r="C143" i="33"/>
  <c r="C5" i="7"/>
  <c r="N5" i="7" s="1"/>
  <c r="C5" i="33"/>
  <c r="C279" i="7"/>
  <c r="G279" i="87" s="1"/>
  <c r="C279" i="33"/>
  <c r="I109" i="50"/>
  <c r="L109" i="52" s="1"/>
  <c r="C61" i="7"/>
  <c r="M61" i="7" s="1"/>
  <c r="I61" i="87" s="1"/>
  <c r="S61" i="87" s="1"/>
  <c r="C61" i="33"/>
  <c r="C82" i="7"/>
  <c r="N82" i="7" s="1"/>
  <c r="C82" i="33"/>
  <c r="D127" i="28"/>
  <c r="C43" i="7"/>
  <c r="M43" i="7" s="1"/>
  <c r="I43" i="87" s="1"/>
  <c r="C43" i="33"/>
  <c r="C81" i="7"/>
  <c r="K81" i="7" s="1"/>
  <c r="C81" i="33"/>
  <c r="C99" i="7"/>
  <c r="N99" i="7" s="1"/>
  <c r="C99" i="33"/>
  <c r="C117" i="7"/>
  <c r="L117" i="7" s="1"/>
  <c r="C117" i="33"/>
  <c r="C131" i="7"/>
  <c r="G131" i="87" s="1"/>
  <c r="C131" i="33"/>
  <c r="C144" i="7"/>
  <c r="N144" i="7" s="1"/>
  <c r="C144" i="33"/>
  <c r="C160" i="7"/>
  <c r="M160" i="7" s="1"/>
  <c r="I160" i="87" s="1"/>
  <c r="C160" i="33"/>
  <c r="C186" i="7"/>
  <c r="N186" i="7" s="1"/>
  <c r="C186" i="33"/>
  <c r="C198" i="7"/>
  <c r="M198" i="7" s="1"/>
  <c r="I198" i="87" s="1"/>
  <c r="C198" i="33"/>
  <c r="C211" i="7"/>
  <c r="G211" i="87" s="1"/>
  <c r="C211" i="33"/>
  <c r="C222" i="7"/>
  <c r="M222" i="7" s="1"/>
  <c r="I222" i="87" s="1"/>
  <c r="C222" i="33"/>
  <c r="C242" i="7"/>
  <c r="K242" i="7" s="1"/>
  <c r="C242" i="33"/>
  <c r="C53" i="7"/>
  <c r="K53" i="7" s="1"/>
  <c r="C53" i="33"/>
  <c r="C8" i="7"/>
  <c r="G8" i="87" s="1"/>
  <c r="C8" i="33"/>
  <c r="C83" i="7"/>
  <c r="G83" i="87" s="1"/>
  <c r="C83" i="33"/>
  <c r="C6" i="7"/>
  <c r="N6" i="7" s="1"/>
  <c r="C6" i="33"/>
  <c r="C44" i="7"/>
  <c r="G44" i="87" s="1"/>
  <c r="C44" i="33"/>
  <c r="C84" i="7"/>
  <c r="M84" i="7" s="1"/>
  <c r="I84" i="87" s="1"/>
  <c r="C84" i="33"/>
  <c r="C100" i="7"/>
  <c r="M100" i="7" s="1"/>
  <c r="I100" i="87" s="1"/>
  <c r="C100" i="33"/>
  <c r="C118" i="7"/>
  <c r="G118" i="87" s="1"/>
  <c r="C118" i="33"/>
  <c r="C132" i="7"/>
  <c r="K132" i="7" s="1"/>
  <c r="C132" i="33"/>
  <c r="C145" i="7"/>
  <c r="K145" i="7" s="1"/>
  <c r="C145" i="33"/>
  <c r="C161" i="7"/>
  <c r="K161" i="7" s="1"/>
  <c r="C161" i="33"/>
  <c r="C173" i="7"/>
  <c r="M173" i="7" s="1"/>
  <c r="I173" i="87" s="1"/>
  <c r="C173" i="33"/>
  <c r="C187" i="7"/>
  <c r="K187" i="7" s="1"/>
  <c r="C187" i="33"/>
  <c r="C199" i="7"/>
  <c r="G199" i="87" s="1"/>
  <c r="C199" i="33"/>
  <c r="C212" i="7"/>
  <c r="M212" i="7" s="1"/>
  <c r="I212" i="87" s="1"/>
  <c r="C212" i="33"/>
  <c r="C223" i="7"/>
  <c r="M223" i="7" s="1"/>
  <c r="I223" i="87" s="1"/>
  <c r="C223" i="33"/>
  <c r="C243" i="7"/>
  <c r="M243" i="7" s="1"/>
  <c r="I243" i="87" s="1"/>
  <c r="C243" i="33"/>
  <c r="C62" i="7"/>
  <c r="K62" i="7" s="1"/>
  <c r="C62" i="33"/>
  <c r="C24" i="7"/>
  <c r="M24" i="7" s="1"/>
  <c r="C24" i="33"/>
  <c r="C63" i="7"/>
  <c r="G63" i="87" s="1"/>
  <c r="C63" i="33"/>
  <c r="C89" i="7"/>
  <c r="K89" i="7" s="1"/>
  <c r="C89" i="33"/>
  <c r="C9" i="7"/>
  <c r="C9" i="33"/>
  <c r="C47" i="7"/>
  <c r="L47" i="7" s="1"/>
  <c r="C47" i="33"/>
  <c r="C85" i="7"/>
  <c r="G85" i="87" s="1"/>
  <c r="C85" i="33"/>
  <c r="C102" i="7"/>
  <c r="G102" i="87" s="1"/>
  <c r="C102" i="33"/>
  <c r="C119" i="7"/>
  <c r="N119" i="7" s="1"/>
  <c r="C119" i="33"/>
  <c r="C133" i="7"/>
  <c r="N133" i="7" s="1"/>
  <c r="C133" i="33"/>
  <c r="C147" i="7"/>
  <c r="K147" i="7" s="1"/>
  <c r="C147" i="33"/>
  <c r="C162" i="7"/>
  <c r="M162" i="7" s="1"/>
  <c r="I162" i="87" s="1"/>
  <c r="C162" i="33"/>
  <c r="C174" i="7"/>
  <c r="K174" i="7" s="1"/>
  <c r="C174" i="33"/>
  <c r="C188" i="7"/>
  <c r="K188" i="7" s="1"/>
  <c r="C188" i="33"/>
  <c r="C200" i="7"/>
  <c r="G200" i="87" s="1"/>
  <c r="C200" i="33"/>
  <c r="C224" i="7"/>
  <c r="L224" i="7" s="1"/>
  <c r="C224" i="33"/>
  <c r="C244" i="7"/>
  <c r="L244" i="7" s="1"/>
  <c r="C244" i="33"/>
  <c r="C257" i="7"/>
  <c r="G257" i="87" s="1"/>
  <c r="C257" i="33"/>
  <c r="C280" i="7"/>
  <c r="G280" i="87" s="1"/>
  <c r="C280" i="33"/>
  <c r="C15" i="7"/>
  <c r="G15" i="87" s="1"/>
  <c r="C15" i="33"/>
  <c r="C30" i="7"/>
  <c r="M30" i="7" s="1"/>
  <c r="I30" i="87" s="1"/>
  <c r="C30" i="33"/>
  <c r="C48" i="7"/>
  <c r="G48" i="87" s="1"/>
  <c r="C48" i="33"/>
  <c r="C86" i="7"/>
  <c r="G86" i="87" s="1"/>
  <c r="C86" i="33"/>
  <c r="C104" i="7"/>
  <c r="M104" i="7" s="1"/>
  <c r="I104" i="87" s="1"/>
  <c r="C104" i="33"/>
  <c r="C149" i="7"/>
  <c r="M149" i="7" s="1"/>
  <c r="I149" i="87" s="1"/>
  <c r="C149" i="33"/>
  <c r="C163" i="7"/>
  <c r="K163" i="7" s="1"/>
  <c r="C163" i="33"/>
  <c r="C175" i="7"/>
  <c r="G175" i="87" s="1"/>
  <c r="C175" i="33"/>
  <c r="C189" i="7"/>
  <c r="K189" i="7" s="1"/>
  <c r="C189" i="33"/>
  <c r="C201" i="7"/>
  <c r="G201" i="87" s="1"/>
  <c r="C201" i="33"/>
  <c r="C213" i="7"/>
  <c r="K213" i="7" s="1"/>
  <c r="C213" i="33"/>
  <c r="C225" i="7"/>
  <c r="M225" i="7" s="1"/>
  <c r="I225" i="87" s="1"/>
  <c r="C225" i="33"/>
  <c r="C245" i="7"/>
  <c r="N245" i="7" s="1"/>
  <c r="C245" i="33"/>
  <c r="C270" i="7"/>
  <c r="M270" i="7" s="1"/>
  <c r="I270" i="87" s="1"/>
  <c r="C270" i="33"/>
  <c r="C282" i="7"/>
  <c r="G282" i="87" s="1"/>
  <c r="C282" i="33"/>
  <c r="O286" i="6"/>
  <c r="P286" i="6" s="1"/>
  <c r="O158" i="6"/>
  <c r="P158" i="6" s="1"/>
  <c r="O205" i="6"/>
  <c r="P205" i="6" s="1"/>
  <c r="O251" i="6"/>
  <c r="P251" i="6" s="1"/>
  <c r="O285" i="6"/>
  <c r="P285" i="6" s="1"/>
  <c r="K195" i="6"/>
  <c r="L195" i="6" s="1"/>
  <c r="K106" i="6"/>
  <c r="L106" i="6" s="1"/>
  <c r="O83" i="6"/>
  <c r="P83" i="6" s="1"/>
  <c r="K22" i="6"/>
  <c r="L22" i="6" s="1"/>
  <c r="O166" i="6"/>
  <c r="P166" i="6" s="1"/>
  <c r="O92" i="6"/>
  <c r="P92" i="6" s="1"/>
  <c r="K140" i="6"/>
  <c r="L140" i="6" s="1"/>
  <c r="O196" i="6"/>
  <c r="P196" i="6" s="1"/>
  <c r="O170" i="6"/>
  <c r="P170" i="6" s="1"/>
  <c r="O37" i="6"/>
  <c r="P37" i="6" s="1"/>
  <c r="O110" i="6"/>
  <c r="P110" i="6" s="1"/>
  <c r="K69" i="6"/>
  <c r="L69" i="6" s="1"/>
  <c r="D19" i="72"/>
  <c r="G168" i="21"/>
  <c r="D168" i="25" s="1"/>
  <c r="E168" i="25" s="1"/>
  <c r="F122" i="21"/>
  <c r="C122" i="25" s="1"/>
  <c r="O76" i="25"/>
  <c r="G258" i="21"/>
  <c r="D258" i="25" s="1"/>
  <c r="H159" i="21"/>
  <c r="M159" i="25" s="1"/>
  <c r="O159" i="25" s="1"/>
  <c r="J80" i="23"/>
  <c r="N80" i="6" s="1"/>
  <c r="I140" i="23"/>
  <c r="J140" i="6" s="1"/>
  <c r="D132" i="28"/>
  <c r="G76" i="21"/>
  <c r="D76" i="25" s="1"/>
  <c r="O70" i="6"/>
  <c r="P70" i="6" s="1"/>
  <c r="O117" i="6"/>
  <c r="P117" i="6" s="1"/>
  <c r="O176" i="6"/>
  <c r="P176" i="6" s="1"/>
  <c r="O236" i="6"/>
  <c r="P236" i="6" s="1"/>
  <c r="O213" i="6"/>
  <c r="P213" i="6" s="1"/>
  <c r="P172" i="46"/>
  <c r="P164" i="46"/>
  <c r="P156" i="46"/>
  <c r="P117" i="46"/>
  <c r="P8" i="46"/>
  <c r="P63" i="46"/>
  <c r="P276" i="46"/>
  <c r="P125" i="46"/>
  <c r="P89" i="46"/>
  <c r="P257" i="46"/>
  <c r="P213" i="46"/>
  <c r="P4" i="46"/>
  <c r="P25" i="46"/>
  <c r="P259" i="46"/>
  <c r="P127" i="46"/>
  <c r="P199" i="46"/>
  <c r="P128" i="46"/>
  <c r="P110" i="46"/>
  <c r="P244" i="46"/>
  <c r="P217" i="46"/>
  <c r="P119" i="46"/>
  <c r="P36" i="46"/>
  <c r="P54" i="46"/>
  <c r="P182" i="46"/>
  <c r="P99" i="46"/>
  <c r="P174" i="46"/>
  <c r="P96" i="46"/>
  <c r="P108" i="46"/>
  <c r="P95" i="46"/>
  <c r="P47" i="46"/>
  <c r="P186" i="46"/>
  <c r="P178" i="46"/>
  <c r="P126" i="46"/>
  <c r="P170" i="46"/>
  <c r="P90" i="46"/>
  <c r="P132" i="46"/>
  <c r="P147" i="46"/>
  <c r="P123" i="46"/>
  <c r="P115" i="46"/>
  <c r="G261" i="50"/>
  <c r="H261" i="52" s="1"/>
  <c r="J261" i="52" s="1"/>
  <c r="G261" i="51" s="1"/>
  <c r="H261" i="51" s="1"/>
  <c r="J238" i="23"/>
  <c r="N238" i="6" s="1"/>
  <c r="O238" i="6" s="1"/>
  <c r="P238" i="6" s="1"/>
  <c r="Q238" i="6" s="1"/>
  <c r="I206" i="23"/>
  <c r="J206" i="6" s="1"/>
  <c r="K206" i="6" s="1"/>
  <c r="L206" i="6" s="1"/>
  <c r="M206" i="6" s="1"/>
  <c r="I258" i="23"/>
  <c r="J258" i="6" s="1"/>
  <c r="K258" i="6" s="1"/>
  <c r="L258" i="6" s="1"/>
  <c r="M258" i="6" s="1"/>
  <c r="G190" i="21"/>
  <c r="D190" i="25" s="1"/>
  <c r="I236" i="21"/>
  <c r="N236" i="25" s="1"/>
  <c r="E244" i="25"/>
  <c r="H244" i="46" s="1"/>
  <c r="G48" i="21"/>
  <c r="D48" i="25" s="1"/>
  <c r="E48" i="25" s="1"/>
  <c r="H147" i="21"/>
  <c r="M147" i="25" s="1"/>
  <c r="O147" i="25" s="1"/>
  <c r="I81" i="23"/>
  <c r="J81" i="6" s="1"/>
  <c r="K81" i="6" s="1"/>
  <c r="L81" i="6" s="1"/>
  <c r="M81" i="6" s="1"/>
  <c r="I139" i="21"/>
  <c r="N139" i="25" s="1"/>
  <c r="F180" i="21"/>
  <c r="C180" i="25" s="1"/>
  <c r="I26" i="23"/>
  <c r="G31" i="21"/>
  <c r="D31" i="25" s="1"/>
  <c r="F128" i="21"/>
  <c r="C128" i="25" s="1"/>
  <c r="D91" i="28"/>
  <c r="I42" i="23"/>
  <c r="J42" i="6" s="1"/>
  <c r="K42" i="6" s="1"/>
  <c r="L42" i="6" s="1"/>
  <c r="M42" i="6" s="1"/>
  <c r="I50" i="23"/>
  <c r="J50" i="6" s="1"/>
  <c r="I65" i="23"/>
  <c r="I71" i="23"/>
  <c r="I101" i="23"/>
  <c r="J101" i="6" s="1"/>
  <c r="K101" i="6" s="1"/>
  <c r="L101" i="6" s="1"/>
  <c r="M101" i="6" s="1"/>
  <c r="H122" i="21"/>
  <c r="M122" i="25" s="1"/>
  <c r="F236" i="21"/>
  <c r="C236" i="25" s="1"/>
  <c r="E236" i="25" s="1"/>
  <c r="I64" i="23"/>
  <c r="C200" i="39"/>
  <c r="K200" i="39" s="1"/>
  <c r="D43" i="28"/>
  <c r="I8" i="23"/>
  <c r="J8" i="6" s="1"/>
  <c r="K8" i="6" s="1"/>
  <c r="L8" i="6" s="1"/>
  <c r="M8" i="6" s="1"/>
  <c r="I112" i="23"/>
  <c r="J112" i="6" s="1"/>
  <c r="M112" i="6" s="1"/>
  <c r="I120" i="23"/>
  <c r="J120" i="6" s="1"/>
  <c r="K120" i="6" s="1"/>
  <c r="L120" i="6" s="1"/>
  <c r="M120" i="6" s="1"/>
  <c r="J138" i="23"/>
  <c r="N138" i="6" s="1"/>
  <c r="O138" i="6" s="1"/>
  <c r="P138" i="6" s="1"/>
  <c r="Q138" i="6" s="1"/>
  <c r="I147" i="23"/>
  <c r="J147" i="6" s="1"/>
  <c r="M147" i="6" s="1"/>
  <c r="J195" i="23"/>
  <c r="J211" i="23"/>
  <c r="N211" i="6" s="1"/>
  <c r="O211" i="6" s="1"/>
  <c r="P211" i="6" s="1"/>
  <c r="Q211" i="6" s="1"/>
  <c r="J110" i="23"/>
  <c r="N110" i="6" s="1"/>
  <c r="J45" i="23"/>
  <c r="J98" i="23"/>
  <c r="H130" i="50"/>
  <c r="I130" i="52" s="1"/>
  <c r="G84" i="50"/>
  <c r="H84" i="52" s="1"/>
  <c r="F24" i="21"/>
  <c r="C24" i="25" s="1"/>
  <c r="I289" i="50"/>
  <c r="L289" i="52" s="1"/>
  <c r="J199" i="23"/>
  <c r="N199" i="6" s="1"/>
  <c r="Q199" i="6" s="1"/>
  <c r="H220" i="50"/>
  <c r="I220" i="52" s="1"/>
  <c r="I84" i="50"/>
  <c r="L84" i="52" s="1"/>
  <c r="H208" i="50"/>
  <c r="I208" i="52" s="1"/>
  <c r="G158" i="50"/>
  <c r="H158" i="52" s="1"/>
  <c r="H95" i="50"/>
  <c r="I95" i="52" s="1"/>
  <c r="G215" i="50"/>
  <c r="H215" i="52" s="1"/>
  <c r="F35" i="21"/>
  <c r="C35" i="25" s="1"/>
  <c r="E35" i="25" s="1"/>
  <c r="I200" i="23"/>
  <c r="J200" i="6" s="1"/>
  <c r="M200" i="6" s="1"/>
  <c r="I185" i="50"/>
  <c r="L185" i="52" s="1"/>
  <c r="J263" i="23"/>
  <c r="I80" i="23"/>
  <c r="J80" i="6" s="1"/>
  <c r="M80" i="6" s="1"/>
  <c r="G24" i="50"/>
  <c r="H24" i="52" s="1"/>
  <c r="G289" i="50"/>
  <c r="H289" i="52" s="1"/>
  <c r="J95" i="50"/>
  <c r="M95" i="52" s="1"/>
  <c r="J177" i="50"/>
  <c r="M177" i="52" s="1"/>
  <c r="J257" i="23"/>
  <c r="N257" i="6" s="1"/>
  <c r="O257" i="6" s="1"/>
  <c r="P257" i="6" s="1"/>
  <c r="Q257" i="6" s="1"/>
  <c r="I133" i="23"/>
  <c r="J133" i="6" s="1"/>
  <c r="M133" i="6" s="1"/>
  <c r="J144" i="23"/>
  <c r="N144" i="6" s="1"/>
  <c r="O144" i="6" s="1"/>
  <c r="P144" i="6" s="1"/>
  <c r="Q144" i="6" s="1"/>
  <c r="J31" i="23"/>
  <c r="N31" i="6" s="1"/>
  <c r="Q31" i="6" s="1"/>
  <c r="I20" i="23"/>
  <c r="J20" i="6" s="1"/>
  <c r="K20" i="6" s="1"/>
  <c r="L20" i="6" s="1"/>
  <c r="M20" i="6" s="1"/>
  <c r="H35" i="50"/>
  <c r="I35" i="52" s="1"/>
  <c r="I124" i="50"/>
  <c r="L124" i="52" s="1"/>
  <c r="I255" i="50"/>
  <c r="L255" i="52" s="1"/>
  <c r="J277" i="23"/>
  <c r="J180" i="23"/>
  <c r="J62" i="23"/>
  <c r="N62" i="6" s="1"/>
  <c r="O62" i="6" s="1"/>
  <c r="P62" i="6" s="1"/>
  <c r="Q62" i="6" s="1"/>
  <c r="J35" i="50"/>
  <c r="M35" i="52" s="1"/>
  <c r="J223" i="23"/>
  <c r="N223" i="6" s="1"/>
  <c r="H108" i="50"/>
  <c r="I108" i="52" s="1"/>
  <c r="H254" i="50"/>
  <c r="I254" i="52" s="1"/>
  <c r="I47" i="23"/>
  <c r="J53" i="23"/>
  <c r="N53" i="6" s="1"/>
  <c r="O53" i="6" s="1"/>
  <c r="P53" i="6" s="1"/>
  <c r="Q53" i="6" s="1"/>
  <c r="I275" i="50"/>
  <c r="L275" i="52" s="1"/>
  <c r="G102" i="50"/>
  <c r="H102" i="52" s="1"/>
  <c r="J108" i="50"/>
  <c r="M108" i="52" s="1"/>
  <c r="J220" i="50"/>
  <c r="M220" i="52" s="1"/>
  <c r="I99" i="23"/>
  <c r="J99" i="6" s="1"/>
  <c r="K99" i="6" s="1"/>
  <c r="L99" i="6" s="1"/>
  <c r="M99" i="6" s="1"/>
  <c r="I162" i="23"/>
  <c r="I36" i="50"/>
  <c r="L36" i="52" s="1"/>
  <c r="I68" i="23"/>
  <c r="J271" i="23"/>
  <c r="N271" i="6" s="1"/>
  <c r="O271" i="6" s="1"/>
  <c r="P271" i="6" s="1"/>
  <c r="Q271" i="6" s="1"/>
  <c r="J25" i="23"/>
  <c r="N25" i="6" s="1"/>
  <c r="O25" i="6" s="1"/>
  <c r="P25" i="6" s="1"/>
  <c r="Q25" i="6" s="1"/>
  <c r="G275" i="50"/>
  <c r="H275" i="52" s="1"/>
  <c r="I102" i="50"/>
  <c r="L102" i="52" s="1"/>
  <c r="N102" i="52" s="1"/>
  <c r="H177" i="50"/>
  <c r="I177" i="52" s="1"/>
  <c r="J177" i="52" s="1"/>
  <c r="G177" i="51" s="1"/>
  <c r="I37" i="23"/>
  <c r="J37" i="6" s="1"/>
  <c r="M37" i="6" s="1"/>
  <c r="I225" i="23"/>
  <c r="J225" i="6" s="1"/>
  <c r="M225" i="6" s="1"/>
  <c r="J244" i="23"/>
  <c r="D28" i="28"/>
  <c r="F282" i="21"/>
  <c r="C282" i="25" s="1"/>
  <c r="D5" i="51"/>
  <c r="D53" i="51"/>
  <c r="D73" i="28"/>
  <c r="D73" i="51"/>
  <c r="D98" i="51"/>
  <c r="D103" i="28"/>
  <c r="D103" i="51"/>
  <c r="D110" i="28"/>
  <c r="D110" i="51"/>
  <c r="D118" i="28"/>
  <c r="D118" i="51"/>
  <c r="D138" i="28"/>
  <c r="D138" i="51"/>
  <c r="D144" i="51"/>
  <c r="D154" i="51"/>
  <c r="D160" i="28"/>
  <c r="D160" i="51"/>
  <c r="D180" i="28"/>
  <c r="D180" i="51"/>
  <c r="D195" i="28"/>
  <c r="D195" i="51"/>
  <c r="D199" i="51"/>
  <c r="D211" i="28"/>
  <c r="D211" i="51"/>
  <c r="D217" i="51"/>
  <c r="D223" i="51"/>
  <c r="D244" i="28"/>
  <c r="D244" i="51"/>
  <c r="D250" i="51"/>
  <c r="D263" i="51"/>
  <c r="D277" i="51"/>
  <c r="D30" i="51"/>
  <c r="D67" i="51"/>
  <c r="D97" i="51"/>
  <c r="D109" i="51"/>
  <c r="D117" i="28"/>
  <c r="D117" i="51"/>
  <c r="D125" i="28"/>
  <c r="D125" i="51"/>
  <c r="D137" i="28"/>
  <c r="D137" i="51"/>
  <c r="D143" i="51"/>
  <c r="D153" i="51"/>
  <c r="D159" i="51"/>
  <c r="D179" i="28"/>
  <c r="D179" i="51"/>
  <c r="D194" i="51"/>
  <c r="D198" i="51"/>
  <c r="D210" i="28"/>
  <c r="D210" i="51"/>
  <c r="D216" i="28"/>
  <c r="D216" i="51"/>
  <c r="D222" i="51"/>
  <c r="D249" i="51"/>
  <c r="D18" i="28"/>
  <c r="D18" i="51"/>
  <c r="D29" i="51"/>
  <c r="D51" i="51"/>
  <c r="D84" i="51"/>
  <c r="D96" i="51"/>
  <c r="D102" i="28"/>
  <c r="D102" i="51"/>
  <c r="D116" i="51"/>
  <c r="D124" i="51"/>
  <c r="D136" i="28"/>
  <c r="D136" i="51"/>
  <c r="D142" i="51"/>
  <c r="D152" i="51"/>
  <c r="D158" i="28"/>
  <c r="D158" i="51"/>
  <c r="D178" i="28"/>
  <c r="D178" i="51"/>
  <c r="D185" i="28"/>
  <c r="D185" i="51"/>
  <c r="D197" i="51"/>
  <c r="D209" i="28"/>
  <c r="D209" i="51"/>
  <c r="D215" i="28"/>
  <c r="D215" i="51"/>
  <c r="D221" i="51"/>
  <c r="I233" i="23"/>
  <c r="J233" i="6" s="1"/>
  <c r="K233" i="6" s="1"/>
  <c r="L233" i="6" s="1"/>
  <c r="M233" i="6" s="1"/>
  <c r="D248" i="51"/>
  <c r="D289" i="28"/>
  <c r="D289" i="51"/>
  <c r="D148" i="51"/>
  <c r="F33" i="21"/>
  <c r="C33" i="25" s="1"/>
  <c r="E33" i="25" s="1"/>
  <c r="D17" i="28"/>
  <c r="D17" i="51"/>
  <c r="D35" i="28"/>
  <c r="D35" i="51"/>
  <c r="D42" i="51"/>
  <c r="D65" i="51"/>
  <c r="D101" i="28"/>
  <c r="D101" i="51"/>
  <c r="D108" i="28"/>
  <c r="D108" i="51"/>
  <c r="D115" i="28"/>
  <c r="D115" i="51"/>
  <c r="D123" i="28"/>
  <c r="D123" i="51"/>
  <c r="D135" i="28"/>
  <c r="D135" i="51"/>
  <c r="D151" i="51"/>
  <c r="D157" i="51"/>
  <c r="D165" i="28"/>
  <c r="D165" i="51"/>
  <c r="D170" i="28"/>
  <c r="D170" i="51"/>
  <c r="D177" i="28"/>
  <c r="D177" i="51"/>
  <c r="D184" i="28"/>
  <c r="D184" i="51"/>
  <c r="D208" i="28"/>
  <c r="D208" i="51"/>
  <c r="D214" i="28"/>
  <c r="D214" i="51"/>
  <c r="D220" i="51"/>
  <c r="D228" i="28"/>
  <c r="D228" i="51"/>
  <c r="D23" i="51"/>
  <c r="G36" i="23"/>
  <c r="G36" i="26" s="1"/>
  <c r="H36" i="26" s="1"/>
  <c r="I36" i="26" s="1"/>
  <c r="J36" i="26" s="1"/>
  <c r="D41" i="28"/>
  <c r="D41" i="51"/>
  <c r="D60" i="28"/>
  <c r="D60" i="51"/>
  <c r="D64" i="51"/>
  <c r="D82" i="51"/>
  <c r="D94" i="51"/>
  <c r="D107" i="28"/>
  <c r="D107" i="51"/>
  <c r="D114" i="28"/>
  <c r="D114" i="51"/>
  <c r="D122" i="28"/>
  <c r="D122" i="51"/>
  <c r="D150" i="51"/>
  <c r="D156" i="28"/>
  <c r="D156" i="51"/>
  <c r="D213" i="28"/>
  <c r="D213" i="51"/>
  <c r="D227" i="28"/>
  <c r="D227" i="51"/>
  <c r="D253" i="51"/>
  <c r="D9" i="51"/>
  <c r="D22" i="28"/>
  <c r="D22" i="51"/>
  <c r="D34" i="51"/>
  <c r="D48" i="51"/>
  <c r="D55" i="51"/>
  <c r="D75" i="28"/>
  <c r="D75" i="51"/>
  <c r="D106" i="28"/>
  <c r="D106" i="51"/>
  <c r="D113" i="28"/>
  <c r="D113" i="51"/>
  <c r="D121" i="28"/>
  <c r="D121" i="51"/>
  <c r="D140" i="28"/>
  <c r="D140" i="51"/>
  <c r="D149" i="51"/>
  <c r="D163" i="28"/>
  <c r="D163" i="51"/>
  <c r="D183" i="28"/>
  <c r="D183" i="51"/>
  <c r="D188" i="51"/>
  <c r="D196" i="51"/>
  <c r="D226" i="28"/>
  <c r="D226" i="51"/>
  <c r="D8" i="51"/>
  <c r="D11" i="28"/>
  <c r="D11" i="51"/>
  <c r="D27" i="51"/>
  <c r="D39" i="51"/>
  <c r="D63" i="51"/>
  <c r="D80" i="51"/>
  <c r="D93" i="51"/>
  <c r="D105" i="28"/>
  <c r="D105" i="51"/>
  <c r="D112" i="28"/>
  <c r="D112" i="51"/>
  <c r="D120" i="28"/>
  <c r="D120" i="51"/>
  <c r="D139" i="28"/>
  <c r="D139" i="51"/>
  <c r="D147" i="51"/>
  <c r="D155" i="51"/>
  <c r="D162" i="28"/>
  <c r="D162" i="51"/>
  <c r="D182" i="28"/>
  <c r="D182" i="51"/>
  <c r="D225" i="28"/>
  <c r="D225" i="51"/>
  <c r="D279" i="51"/>
  <c r="D232" i="51"/>
  <c r="D20" i="28"/>
  <c r="D20" i="51"/>
  <c r="D26" i="28"/>
  <c r="D26" i="51"/>
  <c r="D32" i="51"/>
  <c r="D54" i="28"/>
  <c r="D54" i="51"/>
  <c r="D79" i="28"/>
  <c r="D79" i="51"/>
  <c r="D104" i="28"/>
  <c r="D104" i="51"/>
  <c r="D111" i="28"/>
  <c r="D111" i="51"/>
  <c r="D119" i="28"/>
  <c r="D119" i="51"/>
  <c r="D145" i="51"/>
  <c r="D161" i="28"/>
  <c r="D161" i="51"/>
  <c r="D174" i="51"/>
  <c r="D181" i="28"/>
  <c r="D181" i="51"/>
  <c r="D212" i="28"/>
  <c r="D212" i="51"/>
  <c r="D218" i="51"/>
  <c r="D224" i="51"/>
  <c r="D233" i="51"/>
  <c r="D264" i="51"/>
  <c r="G251" i="23"/>
  <c r="G251" i="26" s="1"/>
  <c r="G200" i="23"/>
  <c r="G200" i="26" s="1"/>
  <c r="D200" i="51"/>
  <c r="P75" i="46"/>
  <c r="P74" i="46"/>
  <c r="J171" i="23"/>
  <c r="N171" i="6" s="1"/>
  <c r="Q171" i="6" s="1"/>
  <c r="J170" i="23"/>
  <c r="N170" i="6" s="1"/>
  <c r="I170" i="50"/>
  <c r="L170" i="52" s="1"/>
  <c r="G170" i="50"/>
  <c r="H170" i="52" s="1"/>
  <c r="I10" i="50"/>
  <c r="L10" i="52" s="1"/>
  <c r="F10" i="21"/>
  <c r="H11" i="23"/>
  <c r="K11" i="26" s="1"/>
  <c r="G11" i="23"/>
  <c r="G11" i="26" s="1"/>
  <c r="J11" i="26" s="1"/>
  <c r="H10" i="23"/>
  <c r="K10" i="26" s="1"/>
  <c r="X11" i="33"/>
  <c r="Y11" i="33"/>
  <c r="T11" i="33"/>
  <c r="W11" i="33"/>
  <c r="H286" i="21"/>
  <c r="M286" i="25" s="1"/>
  <c r="O286" i="25" s="1"/>
  <c r="F263" i="21"/>
  <c r="C263" i="25" s="1"/>
  <c r="E263" i="25" s="1"/>
  <c r="H199" i="21"/>
  <c r="M199" i="25" s="1"/>
  <c r="H71" i="23"/>
  <c r="K71" i="26" s="1"/>
  <c r="N71" i="26" s="1"/>
  <c r="H202" i="50"/>
  <c r="I202" i="52" s="1"/>
  <c r="J202" i="50"/>
  <c r="M202" i="52" s="1"/>
  <c r="H203" i="50"/>
  <c r="I203" i="52" s="1"/>
  <c r="H191" i="50"/>
  <c r="I191" i="52" s="1"/>
  <c r="J203" i="50"/>
  <c r="M203" i="52" s="1"/>
  <c r="J191" i="50"/>
  <c r="M191" i="52" s="1"/>
  <c r="J127" i="23"/>
  <c r="N127" i="6" s="1"/>
  <c r="J129" i="23"/>
  <c r="J90" i="23"/>
  <c r="J130" i="23"/>
  <c r="N130" i="6" s="1"/>
  <c r="J126" i="23"/>
  <c r="J89" i="23"/>
  <c r="N89" i="6" s="1"/>
  <c r="O89" i="6" s="1"/>
  <c r="P89" i="6" s="1"/>
  <c r="Q89" i="6" s="1"/>
  <c r="J128" i="23"/>
  <c r="N128" i="6" s="1"/>
  <c r="J20" i="23"/>
  <c r="N20" i="6" s="1"/>
  <c r="O20" i="6" s="1"/>
  <c r="P20" i="6" s="1"/>
  <c r="Q20" i="6" s="1"/>
  <c r="G70" i="50"/>
  <c r="H70" i="52" s="1"/>
  <c r="J70" i="52" s="1"/>
  <c r="K70" i="52" s="1"/>
  <c r="I176" i="50"/>
  <c r="L176" i="52" s="1"/>
  <c r="I279" i="50"/>
  <c r="L279" i="52" s="1"/>
  <c r="I283" i="50"/>
  <c r="L283" i="52" s="1"/>
  <c r="I202" i="50"/>
  <c r="L202" i="52" s="1"/>
  <c r="G282" i="50"/>
  <c r="H282" i="52" s="1"/>
  <c r="J282" i="52" s="1"/>
  <c r="G282" i="51" s="1"/>
  <c r="H282" i="51" s="1"/>
  <c r="I282" i="50"/>
  <c r="L282" i="52" s="1"/>
  <c r="G283" i="50"/>
  <c r="H283" i="52" s="1"/>
  <c r="I166" i="50"/>
  <c r="L166" i="52" s="1"/>
  <c r="N166" i="52" s="1"/>
  <c r="I127" i="50"/>
  <c r="L127" i="52" s="1"/>
  <c r="I129" i="50"/>
  <c r="L129" i="52" s="1"/>
  <c r="I128" i="50"/>
  <c r="L128" i="52" s="1"/>
  <c r="I86" i="50"/>
  <c r="L86" i="52" s="1"/>
  <c r="G130" i="50"/>
  <c r="H130" i="52" s="1"/>
  <c r="I88" i="50"/>
  <c r="L88" i="52" s="1"/>
  <c r="I130" i="50"/>
  <c r="L130" i="52" s="1"/>
  <c r="I29" i="50"/>
  <c r="L29" i="52" s="1"/>
  <c r="H236" i="21"/>
  <c r="M236" i="25" s="1"/>
  <c r="H272" i="21"/>
  <c r="M272" i="25" s="1"/>
  <c r="I190" i="23"/>
  <c r="J190" i="6" s="1"/>
  <c r="I201" i="23"/>
  <c r="D250" i="28"/>
  <c r="I133" i="21"/>
  <c r="N133" i="25" s="1"/>
  <c r="G34" i="21"/>
  <c r="D34" i="25" s="1"/>
  <c r="G42" i="21"/>
  <c r="D42" i="25" s="1"/>
  <c r="G177" i="21"/>
  <c r="D177" i="25" s="1"/>
  <c r="G154" i="21"/>
  <c r="D154" i="25" s="1"/>
  <c r="H187" i="21"/>
  <c r="M187" i="25" s="1"/>
  <c r="I41" i="23"/>
  <c r="J41" i="6" s="1"/>
  <c r="K41" i="6" s="1"/>
  <c r="L41" i="6" s="1"/>
  <c r="M41" i="6" s="1"/>
  <c r="I207" i="21"/>
  <c r="N207" i="25" s="1"/>
  <c r="G64" i="21"/>
  <c r="D64" i="25" s="1"/>
  <c r="I99" i="21"/>
  <c r="N99" i="25" s="1"/>
  <c r="I56" i="21"/>
  <c r="N56" i="25" s="1"/>
  <c r="I165" i="21"/>
  <c r="N165" i="25" s="1"/>
  <c r="O165" i="25" s="1"/>
  <c r="F92" i="21"/>
  <c r="C92" i="25" s="1"/>
  <c r="G91" i="21"/>
  <c r="D91" i="25" s="1"/>
  <c r="F85" i="21"/>
  <c r="C85" i="25" s="1"/>
  <c r="I149" i="21"/>
  <c r="N149" i="25" s="1"/>
  <c r="I117" i="23"/>
  <c r="J117" i="6" s="1"/>
  <c r="M117" i="6" s="1"/>
  <c r="I121" i="23"/>
  <c r="J145" i="23"/>
  <c r="N145" i="6" s="1"/>
  <c r="O145" i="6" s="1"/>
  <c r="P145" i="6" s="1"/>
  <c r="Q145" i="6" s="1"/>
  <c r="H18" i="21"/>
  <c r="M18" i="25" s="1"/>
  <c r="O18" i="25" s="1"/>
  <c r="I249" i="23"/>
  <c r="J249" i="6" s="1"/>
  <c r="K249" i="6" s="1"/>
  <c r="L249" i="6" s="1"/>
  <c r="M249" i="6" s="1"/>
  <c r="H35" i="21"/>
  <c r="M35" i="25" s="1"/>
  <c r="G138" i="87"/>
  <c r="G254" i="87"/>
  <c r="I10" i="87"/>
  <c r="O10" i="7"/>
  <c r="I11" i="87"/>
  <c r="O11" i="7"/>
  <c r="G253" i="87"/>
  <c r="C196" i="39"/>
  <c r="H180" i="21"/>
  <c r="M180" i="25" s="1"/>
  <c r="C48" i="39"/>
  <c r="C75" i="39"/>
  <c r="K75" i="39" s="1"/>
  <c r="C76" i="39"/>
  <c r="K76" i="39" s="1"/>
  <c r="C241" i="39"/>
  <c r="I241" i="39" s="1"/>
  <c r="C279" i="39"/>
  <c r="H191" i="21"/>
  <c r="M191" i="25" s="1"/>
  <c r="C15" i="39"/>
  <c r="K15" i="39" s="1"/>
  <c r="C60" i="39"/>
  <c r="K60" i="39" s="1"/>
  <c r="I33" i="21"/>
  <c r="N33" i="25" s="1"/>
  <c r="C19" i="39"/>
  <c r="C33" i="39"/>
  <c r="I33" i="39" s="1"/>
  <c r="C47" i="39"/>
  <c r="K47" i="39" s="1"/>
  <c r="C88" i="39"/>
  <c r="K88" i="39" s="1"/>
  <c r="AN63" i="7"/>
  <c r="AQ67" i="7"/>
  <c r="AP64" i="7"/>
  <c r="AP74" i="7"/>
  <c r="AP72" i="7"/>
  <c r="AQ55" i="7"/>
  <c r="AQ75" i="7"/>
  <c r="AQ143" i="7"/>
  <c r="AN73" i="7"/>
  <c r="H275" i="39"/>
  <c r="AN53" i="7"/>
  <c r="AO120" i="7"/>
  <c r="AN109" i="7"/>
  <c r="AQ128" i="7"/>
  <c r="AQ62" i="7"/>
  <c r="AQ72" i="7"/>
  <c r="AP89" i="7"/>
  <c r="AO55" i="7"/>
  <c r="AN74" i="7"/>
  <c r="AO66" i="7"/>
  <c r="AO70" i="7"/>
  <c r="AP63" i="7"/>
  <c r="F77" i="52"/>
  <c r="E77" i="51" s="1"/>
  <c r="J29" i="50"/>
  <c r="M29" i="52" s="1"/>
  <c r="I238" i="23"/>
  <c r="J238" i="6" s="1"/>
  <c r="K238" i="6" s="1"/>
  <c r="L238" i="6" s="1"/>
  <c r="M238" i="6" s="1"/>
  <c r="J250" i="23"/>
  <c r="N250" i="6" s="1"/>
  <c r="O250" i="6" s="1"/>
  <c r="P250" i="6" s="1"/>
  <c r="Q250" i="6" s="1"/>
  <c r="I253" i="23"/>
  <c r="I256" i="23"/>
  <c r="I260" i="23"/>
  <c r="I261" i="23"/>
  <c r="J261" i="6" s="1"/>
  <c r="K261" i="6" s="1"/>
  <c r="L261" i="6" s="1"/>
  <c r="M261" i="6" s="1"/>
  <c r="I264" i="23"/>
  <c r="J264" i="6" s="1"/>
  <c r="K264" i="6" s="1"/>
  <c r="L264" i="6" s="1"/>
  <c r="M264" i="6" s="1"/>
  <c r="N135" i="6"/>
  <c r="O135" i="6" s="1"/>
  <c r="P135" i="6" s="1"/>
  <c r="Q135" i="6" s="1"/>
  <c r="J8" i="23"/>
  <c r="N8" i="6" s="1"/>
  <c r="O8" i="6" s="1"/>
  <c r="P8" i="6" s="1"/>
  <c r="Q8" i="6" s="1"/>
  <c r="I95" i="23"/>
  <c r="J95" i="6" s="1"/>
  <c r="K95" i="6" s="1"/>
  <c r="L95" i="6" s="1"/>
  <c r="M95" i="6" s="1"/>
  <c r="I96" i="23"/>
  <c r="J96" i="6" s="1"/>
  <c r="K96" i="6" s="1"/>
  <c r="L96" i="6" s="1"/>
  <c r="M96" i="6" s="1"/>
  <c r="I195" i="23"/>
  <c r="J246" i="26"/>
  <c r="N218" i="6"/>
  <c r="O218" i="6" s="1"/>
  <c r="P218" i="6" s="1"/>
  <c r="Q218" i="6" s="1"/>
  <c r="J245" i="26"/>
  <c r="N30" i="6"/>
  <c r="O30" i="6" s="1"/>
  <c r="P30" i="6" s="1"/>
  <c r="Q30" i="6" s="1"/>
  <c r="N81" i="6"/>
  <c r="O81" i="6" s="1"/>
  <c r="P81" i="6" s="1"/>
  <c r="Q81" i="6" s="1"/>
  <c r="I24" i="21"/>
  <c r="N24" i="25" s="1"/>
  <c r="H216" i="21"/>
  <c r="M216" i="25" s="1"/>
  <c r="P273" i="46"/>
  <c r="P61" i="46"/>
  <c r="P43" i="46"/>
  <c r="P11" i="46"/>
  <c r="P27" i="46"/>
  <c r="P139" i="46"/>
  <c r="P286" i="46"/>
  <c r="F236" i="50"/>
  <c r="D236" i="52" s="1"/>
  <c r="F236" i="52" s="1"/>
  <c r="E236" i="51" s="1"/>
  <c r="F236" i="51" s="1"/>
  <c r="H236" i="50"/>
  <c r="I236" i="52" s="1"/>
  <c r="J92" i="23"/>
  <c r="N92" i="6" s="1"/>
  <c r="F199" i="21"/>
  <c r="C199" i="25" s="1"/>
  <c r="E199" i="25" s="1"/>
  <c r="H153" i="50"/>
  <c r="I153" i="52" s="1"/>
  <c r="J153" i="52" s="1"/>
  <c r="G104" i="50"/>
  <c r="H104" i="52" s="1"/>
  <c r="I105" i="50"/>
  <c r="L105" i="52" s="1"/>
  <c r="H238" i="21"/>
  <c r="M238" i="25" s="1"/>
  <c r="C186" i="28"/>
  <c r="C241" i="28"/>
  <c r="J233" i="23"/>
  <c r="N233" i="6" s="1"/>
  <c r="O233" i="6" s="1"/>
  <c r="P233" i="6" s="1"/>
  <c r="Q233" i="6" s="1"/>
  <c r="C211" i="39"/>
  <c r="K211" i="39" s="1"/>
  <c r="H243" i="50"/>
  <c r="I243" i="52" s="1"/>
  <c r="J243" i="52" s="1"/>
  <c r="G243" i="51" s="1"/>
  <c r="H243" i="51" s="1"/>
  <c r="F127" i="21"/>
  <c r="C127" i="25" s="1"/>
  <c r="D53" i="28"/>
  <c r="C98" i="28"/>
  <c r="I145" i="23"/>
  <c r="J145" i="6" s="1"/>
  <c r="K145" i="6" s="1"/>
  <c r="L145" i="6" s="1"/>
  <c r="M145" i="6" s="1"/>
  <c r="I89" i="23"/>
  <c r="J89" i="6" s="1"/>
  <c r="K89" i="6" s="1"/>
  <c r="L89" i="6" s="1"/>
  <c r="M89" i="6" s="1"/>
  <c r="I34" i="23"/>
  <c r="J34" i="6" s="1"/>
  <c r="K34" i="6" s="1"/>
  <c r="L34" i="6" s="1"/>
  <c r="M34" i="6" s="1"/>
  <c r="I10" i="23"/>
  <c r="J10" i="6" s="1"/>
  <c r="J243" i="50"/>
  <c r="M243" i="52" s="1"/>
  <c r="N243" i="52" s="1"/>
  <c r="I243" i="51" s="1"/>
  <c r="J243" i="51" s="1"/>
  <c r="G18" i="50"/>
  <c r="H18" i="52" s="1"/>
  <c r="J18" i="52" s="1"/>
  <c r="K18" i="52" s="1"/>
  <c r="F113" i="21"/>
  <c r="C113" i="25" s="1"/>
  <c r="F40" i="21"/>
  <c r="C40" i="25" s="1"/>
  <c r="G108" i="50"/>
  <c r="H108" i="52" s="1"/>
  <c r="F124" i="21"/>
  <c r="C124" i="25" s="1"/>
  <c r="I108" i="50"/>
  <c r="L108" i="52" s="1"/>
  <c r="I155" i="50"/>
  <c r="L155" i="52" s="1"/>
  <c r="J143" i="50"/>
  <c r="M143" i="52" s="1"/>
  <c r="C100" i="28"/>
  <c r="C288" i="28"/>
  <c r="O288" i="28" s="1"/>
  <c r="I184" i="23"/>
  <c r="I136" i="23"/>
  <c r="J136" i="6" s="1"/>
  <c r="K136" i="6" s="1"/>
  <c r="L136" i="6" s="1"/>
  <c r="M136" i="6" s="1"/>
  <c r="J28" i="23"/>
  <c r="H142" i="50"/>
  <c r="I142" i="52" s="1"/>
  <c r="J142" i="52" s="1"/>
  <c r="I257" i="21"/>
  <c r="N257" i="25" s="1"/>
  <c r="J153" i="50"/>
  <c r="M153" i="52" s="1"/>
  <c r="J246" i="23"/>
  <c r="I254" i="23"/>
  <c r="J254" i="6" s="1"/>
  <c r="M254" i="6" s="1"/>
  <c r="I262" i="23"/>
  <c r="J151" i="23"/>
  <c r="I160" i="23"/>
  <c r="J160" i="6" s="1"/>
  <c r="I223" i="23"/>
  <c r="I72" i="23"/>
  <c r="J142" i="50"/>
  <c r="M142" i="52" s="1"/>
  <c r="H144" i="50"/>
  <c r="I144" i="52" s="1"/>
  <c r="F28" i="21"/>
  <c r="C28" i="25" s="1"/>
  <c r="H158" i="21"/>
  <c r="M158" i="25" s="1"/>
  <c r="H150" i="21"/>
  <c r="M150" i="25" s="1"/>
  <c r="I263" i="23"/>
  <c r="J263" i="6" s="1"/>
  <c r="K263" i="6" s="1"/>
  <c r="L263" i="6" s="1"/>
  <c r="M263" i="6" s="1"/>
  <c r="C130" i="28"/>
  <c r="O130" i="28" s="1"/>
  <c r="J133" i="23"/>
  <c r="N133" i="6" s="1"/>
  <c r="H33" i="21"/>
  <c r="M33" i="25" s="1"/>
  <c r="J132" i="23"/>
  <c r="N132" i="6" s="1"/>
  <c r="O132" i="6" s="1"/>
  <c r="P132" i="6" s="1"/>
  <c r="Q132" i="6" s="1"/>
  <c r="J68" i="23"/>
  <c r="I251" i="23"/>
  <c r="J251" i="6" s="1"/>
  <c r="M251" i="6" s="1"/>
  <c r="J270" i="50"/>
  <c r="M270" i="52" s="1"/>
  <c r="I197" i="50"/>
  <c r="L197" i="52" s="1"/>
  <c r="H257" i="21"/>
  <c r="M257" i="25" s="1"/>
  <c r="F248" i="21"/>
  <c r="C248" i="25" s="1"/>
  <c r="H182" i="21"/>
  <c r="M182" i="25" s="1"/>
  <c r="F174" i="21"/>
  <c r="C174" i="25" s="1"/>
  <c r="G107" i="50"/>
  <c r="H107" i="52" s="1"/>
  <c r="F190" i="21"/>
  <c r="C190" i="25" s="1"/>
  <c r="J101" i="50"/>
  <c r="M101" i="52" s="1"/>
  <c r="G62" i="50"/>
  <c r="H62" i="52" s="1"/>
  <c r="G105" i="50"/>
  <c r="H105" i="52" s="1"/>
  <c r="J105" i="52" s="1"/>
  <c r="G105" i="51" s="1"/>
  <c r="G17" i="50"/>
  <c r="H17" i="52" s="1"/>
  <c r="I104" i="50"/>
  <c r="L104" i="52" s="1"/>
  <c r="C60" i="28"/>
  <c r="O60" i="28" s="1"/>
  <c r="C90" i="28"/>
  <c r="C219" i="28"/>
  <c r="O219" i="28" s="1"/>
  <c r="F238" i="50"/>
  <c r="D238" i="52" s="1"/>
  <c r="F238" i="52" s="1"/>
  <c r="E238" i="51" s="1"/>
  <c r="F238" i="51" s="1"/>
  <c r="H238" i="50"/>
  <c r="I238" i="52" s="1"/>
  <c r="J238" i="50"/>
  <c r="M238" i="52" s="1"/>
  <c r="H91" i="21"/>
  <c r="M91" i="25" s="1"/>
  <c r="E6" i="21"/>
  <c r="G6" i="21" s="1"/>
  <c r="D6" i="25" s="1"/>
  <c r="F210" i="21"/>
  <c r="C210" i="25" s="1"/>
  <c r="J215" i="23"/>
  <c r="N215" i="6" s="1"/>
  <c r="Q215" i="6" s="1"/>
  <c r="G176" i="50"/>
  <c r="H176" i="52" s="1"/>
  <c r="I53" i="23"/>
  <c r="F288" i="21"/>
  <c r="C288" i="25" s="1"/>
  <c r="I70" i="50"/>
  <c r="L70" i="52" s="1"/>
  <c r="N70" i="52" s="1"/>
  <c r="I70" i="51" s="1"/>
  <c r="J70" i="51" s="1"/>
  <c r="I198" i="23"/>
  <c r="J198" i="6" s="1"/>
  <c r="M198" i="6" s="1"/>
  <c r="N93" i="6"/>
  <c r="Q93" i="6" s="1"/>
  <c r="F57" i="21"/>
  <c r="C57" i="25" s="1"/>
  <c r="I197" i="21"/>
  <c r="N197" i="25" s="1"/>
  <c r="H127" i="21"/>
  <c r="M127" i="25" s="1"/>
  <c r="I79" i="23"/>
  <c r="I156" i="23"/>
  <c r="I221" i="23"/>
  <c r="J221" i="6" s="1"/>
  <c r="G90" i="21"/>
  <c r="D90" i="25" s="1"/>
  <c r="E90" i="25" s="1"/>
  <c r="J131" i="50"/>
  <c r="M131" i="52" s="1"/>
  <c r="I91" i="23"/>
  <c r="J91" i="6" s="1"/>
  <c r="K91" i="6" s="1"/>
  <c r="L91" i="6" s="1"/>
  <c r="M91" i="6" s="1"/>
  <c r="F137" i="21"/>
  <c r="C137" i="25" s="1"/>
  <c r="F143" i="21"/>
  <c r="C143" i="25" s="1"/>
  <c r="G239" i="21"/>
  <c r="D239" i="25" s="1"/>
  <c r="I239" i="23"/>
  <c r="J239" i="6" s="1"/>
  <c r="K239" i="6" s="1"/>
  <c r="L239" i="6" s="1"/>
  <c r="M239" i="6" s="1"/>
  <c r="H176" i="21"/>
  <c r="M176" i="25" s="1"/>
  <c r="O176" i="25" s="1"/>
  <c r="G256" i="21"/>
  <c r="D256" i="25" s="1"/>
  <c r="F159" i="21"/>
  <c r="C159" i="25" s="1"/>
  <c r="H26" i="21"/>
  <c r="M26" i="25" s="1"/>
  <c r="H263" i="21"/>
  <c r="M263" i="25" s="1"/>
  <c r="H10" i="21"/>
  <c r="M10" i="25" s="1"/>
  <c r="J24" i="23"/>
  <c r="N24" i="6" s="1"/>
  <c r="O24" i="6" s="1"/>
  <c r="P24" i="6" s="1"/>
  <c r="Q24" i="6" s="1"/>
  <c r="I31" i="23"/>
  <c r="F58" i="21"/>
  <c r="C58" i="25" s="1"/>
  <c r="J143" i="6"/>
  <c r="K143" i="6" s="1"/>
  <c r="L143" i="6" s="1"/>
  <c r="M143" i="6" s="1"/>
  <c r="H134" i="21"/>
  <c r="M134" i="25" s="1"/>
  <c r="C100" i="39"/>
  <c r="K100" i="39" s="1"/>
  <c r="H238" i="23"/>
  <c r="K238" i="26" s="1"/>
  <c r="L238" i="26" s="1"/>
  <c r="M238" i="26" s="1"/>
  <c r="N238" i="26" s="1"/>
  <c r="H239" i="23"/>
  <c r="K239" i="26" s="1"/>
  <c r="L239" i="26" s="1"/>
  <c r="M239" i="26" s="1"/>
  <c r="N239" i="26" s="1"/>
  <c r="A151" i="52"/>
  <c r="A151" i="51"/>
  <c r="A151" i="33"/>
  <c r="A151" i="39"/>
  <c r="A151" i="50"/>
  <c r="A151" i="23"/>
  <c r="A151" i="26"/>
  <c r="A151" i="6"/>
  <c r="A151" i="28"/>
  <c r="A151" i="21"/>
  <c r="A151" i="7"/>
  <c r="A151" i="25"/>
  <c r="A151" i="54"/>
  <c r="A151" i="15"/>
  <c r="AO62" i="7"/>
  <c r="AO72" i="7"/>
  <c r="AP55" i="7"/>
  <c r="AP65" i="7"/>
  <c r="AN60" i="7"/>
  <c r="AN70" i="7"/>
  <c r="AQ56" i="7"/>
  <c r="AN89" i="7"/>
  <c r="AQ101" i="7"/>
  <c r="AP108" i="7"/>
  <c r="AN71" i="7"/>
  <c r="AN66" i="7"/>
  <c r="AQ74" i="7"/>
  <c r="H215" i="39"/>
  <c r="H110" i="39"/>
  <c r="H271" i="39"/>
  <c r="AQ71" i="7"/>
  <c r="AN91" i="7"/>
  <c r="AQ103" i="7"/>
  <c r="AP120" i="7"/>
  <c r="AN128" i="7"/>
  <c r="AP60" i="7"/>
  <c r="AN61" i="7"/>
  <c r="AN56" i="7"/>
  <c r="AO73" i="7"/>
  <c r="AP70" i="7"/>
  <c r="AP61" i="7"/>
  <c r="AN103" i="7"/>
  <c r="AQ108" i="7"/>
  <c r="AR55" i="7"/>
  <c r="H55" i="39" s="1"/>
  <c r="AO64" i="7"/>
  <c r="AP59" i="7"/>
  <c r="AQ109" i="7"/>
  <c r="H41" i="39"/>
  <c r="H262" i="39"/>
  <c r="H18" i="39"/>
  <c r="AQ4" i="7"/>
  <c r="H182" i="39"/>
  <c r="AQ70" i="7"/>
  <c r="AO71" i="7"/>
  <c r="AQ65" i="7"/>
  <c r="AO103" i="7"/>
  <c r="AO108" i="7"/>
  <c r="AN59" i="7"/>
  <c r="AQ59" i="7"/>
  <c r="AQ120" i="7"/>
  <c r="AP143" i="7"/>
  <c r="AQ66" i="7"/>
  <c r="H148" i="39"/>
  <c r="AO143" i="7"/>
  <c r="AP67" i="7"/>
  <c r="AQ64" i="7"/>
  <c r="AO89" i="7"/>
  <c r="AN101" i="7"/>
  <c r="AO101" i="7"/>
  <c r="AQ136" i="7"/>
  <c r="AP75" i="7"/>
  <c r="AN143" i="7"/>
  <c r="P77" i="46"/>
  <c r="P103" i="46"/>
  <c r="P131" i="46"/>
  <c r="P152" i="46"/>
  <c r="P160" i="46"/>
  <c r="P168" i="46"/>
  <c r="P210" i="46"/>
  <c r="P219" i="46"/>
  <c r="P226" i="46"/>
  <c r="P251" i="46"/>
  <c r="P282" i="46"/>
  <c r="P289" i="46"/>
  <c r="P6" i="46"/>
  <c r="P57" i="46"/>
  <c r="P44" i="46"/>
  <c r="P62" i="46"/>
  <c r="P70" i="46"/>
  <c r="P79" i="46"/>
  <c r="P88" i="46"/>
  <c r="P104" i="46"/>
  <c r="P116" i="46"/>
  <c r="P124" i="46"/>
  <c r="P161" i="46"/>
  <c r="P169" i="46"/>
  <c r="P177" i="46"/>
  <c r="P185" i="46"/>
  <c r="P194" i="46"/>
  <c r="P211" i="46"/>
  <c r="P220" i="46"/>
  <c r="P260" i="46"/>
  <c r="P290" i="46"/>
  <c r="P33" i="46"/>
  <c r="P30" i="46"/>
  <c r="P37" i="46"/>
  <c r="P45" i="46"/>
  <c r="P55" i="46"/>
  <c r="P71" i="46"/>
  <c r="P97" i="46"/>
  <c r="P133" i="46"/>
  <c r="P143" i="46"/>
  <c r="P195" i="46"/>
  <c r="P204" i="46"/>
  <c r="P212" i="46"/>
  <c r="P221" i="46"/>
  <c r="P253" i="46"/>
  <c r="P278" i="46"/>
  <c r="P112" i="46"/>
  <c r="P284" i="46"/>
  <c r="P9" i="46"/>
  <c r="P24" i="46"/>
  <c r="P109" i="46"/>
  <c r="P40" i="46"/>
  <c r="P23" i="46"/>
  <c r="P31" i="46"/>
  <c r="P56" i="46"/>
  <c r="P64" i="46"/>
  <c r="P72" i="46"/>
  <c r="P98" i="46"/>
  <c r="P118" i="46"/>
  <c r="P134" i="46"/>
  <c r="P144" i="46"/>
  <c r="P155" i="46"/>
  <c r="P163" i="46"/>
  <c r="P179" i="46"/>
  <c r="P187" i="46"/>
  <c r="P205" i="46"/>
  <c r="P214" i="46"/>
  <c r="P222" i="46"/>
  <c r="P241" i="46"/>
  <c r="P254" i="46"/>
  <c r="P262" i="46"/>
  <c r="P279" i="46"/>
  <c r="P28" i="46"/>
  <c r="P246" i="46"/>
  <c r="P50" i="46"/>
  <c r="P32" i="46"/>
  <c r="P39" i="46"/>
  <c r="P82" i="46"/>
  <c r="P135" i="46"/>
  <c r="P145" i="46"/>
  <c r="P180" i="46"/>
  <c r="P188" i="46"/>
  <c r="P206" i="46"/>
  <c r="P243" i="46"/>
  <c r="P255" i="46"/>
  <c r="P263" i="46"/>
  <c r="P242" i="46"/>
  <c r="P5" i="46"/>
  <c r="P66" i="46"/>
  <c r="P92" i="46"/>
  <c r="P100" i="46"/>
  <c r="P129" i="46"/>
  <c r="P136" i="46"/>
  <c r="P157" i="46"/>
  <c r="P173" i="46"/>
  <c r="P189" i="46"/>
  <c r="P223" i="46"/>
  <c r="P248" i="46"/>
  <c r="P111" i="46"/>
  <c r="P20" i="46"/>
  <c r="P231" i="46"/>
  <c r="H4" i="46"/>
  <c r="P58" i="46"/>
  <c r="P41" i="46"/>
  <c r="P51" i="46"/>
  <c r="P59" i="46"/>
  <c r="P67" i="46"/>
  <c r="P84" i="46"/>
  <c r="P93" i="46"/>
  <c r="P121" i="46"/>
  <c r="P130" i="46"/>
  <c r="P150" i="46"/>
  <c r="P158" i="46"/>
  <c r="P166" i="46"/>
  <c r="P191" i="46"/>
  <c r="P200" i="46"/>
  <c r="P208" i="46"/>
  <c r="P224" i="46"/>
  <c r="P142" i="46"/>
  <c r="P288" i="46"/>
  <c r="P26" i="46"/>
  <c r="P42" i="46"/>
  <c r="P53" i="46"/>
  <c r="P68" i="46"/>
  <c r="P76" i="46"/>
  <c r="P85" i="46"/>
  <c r="P102" i="46"/>
  <c r="P114" i="46"/>
  <c r="P159" i="46"/>
  <c r="P167" i="46"/>
  <c r="P175" i="46"/>
  <c r="P183" i="46"/>
  <c r="P209" i="46"/>
  <c r="P225" i="46"/>
  <c r="P250" i="46"/>
  <c r="P258" i="46"/>
  <c r="P274" i="46"/>
  <c r="P106" i="46"/>
  <c r="P19" i="46"/>
  <c r="J277" i="6"/>
  <c r="K277" i="6" s="1"/>
  <c r="L277" i="6" s="1"/>
  <c r="M277" i="6" s="1"/>
  <c r="N285" i="6"/>
  <c r="N11" i="6"/>
  <c r="C68" i="39"/>
  <c r="K68" i="39" s="1"/>
  <c r="C219" i="39"/>
  <c r="K219" i="39" s="1"/>
  <c r="C23" i="28"/>
  <c r="P23" i="28" s="1"/>
  <c r="C32" i="28"/>
  <c r="P32" i="28" s="1"/>
  <c r="C40" i="28"/>
  <c r="P40" i="28" s="1"/>
  <c r="C243" i="28"/>
  <c r="O243" i="28" s="1"/>
  <c r="D61" i="28"/>
  <c r="D235" i="28"/>
  <c r="N200" i="6"/>
  <c r="N188" i="6"/>
  <c r="O188" i="6" s="1"/>
  <c r="P188" i="6" s="1"/>
  <c r="Q188" i="6" s="1"/>
  <c r="N198" i="6"/>
  <c r="C29" i="39"/>
  <c r="K29" i="39" s="1"/>
  <c r="C37" i="39"/>
  <c r="K37" i="39" s="1"/>
  <c r="C45" i="39"/>
  <c r="K45" i="39" s="1"/>
  <c r="C72" i="39"/>
  <c r="K72" i="39" s="1"/>
  <c r="C114" i="39"/>
  <c r="K114" i="39" s="1"/>
  <c r="C166" i="39"/>
  <c r="K166" i="39" s="1"/>
  <c r="C25" i="28"/>
  <c r="P25" i="28" s="1"/>
  <c r="C41" i="28"/>
  <c r="C54" i="28"/>
  <c r="P54" i="28" s="1"/>
  <c r="C76" i="28"/>
  <c r="O76" i="28" s="1"/>
  <c r="C191" i="28"/>
  <c r="P191" i="28" s="1"/>
  <c r="C244" i="28"/>
  <c r="N288" i="6"/>
  <c r="Q288" i="6" s="1"/>
  <c r="J102" i="6"/>
  <c r="K102" i="6" s="1"/>
  <c r="L102" i="6" s="1"/>
  <c r="M102" i="6" s="1"/>
  <c r="N270" i="6"/>
  <c r="O270" i="6" s="1"/>
  <c r="P270" i="6" s="1"/>
  <c r="Q270" i="6" s="1"/>
  <c r="J214" i="6"/>
  <c r="K214" i="6" s="1"/>
  <c r="L214" i="6" s="1"/>
  <c r="M214" i="6" s="1"/>
  <c r="N37" i="6"/>
  <c r="N50" i="6"/>
  <c r="N181" i="6"/>
  <c r="N220" i="6"/>
  <c r="Q220" i="6" s="1"/>
  <c r="C22" i="39"/>
  <c r="K22" i="39" s="1"/>
  <c r="C30" i="39"/>
  <c r="K30" i="39" s="1"/>
  <c r="C74" i="39"/>
  <c r="K74" i="39" s="1"/>
  <c r="C242" i="39"/>
  <c r="K242" i="39" s="1"/>
  <c r="C15" i="28"/>
  <c r="P15" i="28" s="1"/>
  <c r="C26" i="28"/>
  <c r="P26" i="28" s="1"/>
  <c r="C34" i="28"/>
  <c r="P34" i="28" s="1"/>
  <c r="C42" i="28"/>
  <c r="P42" i="28" s="1"/>
  <c r="C245" i="28"/>
  <c r="O245" i="28" s="1"/>
  <c r="D36" i="28"/>
  <c r="C23" i="39"/>
  <c r="K23" i="39" s="1"/>
  <c r="C39" i="39"/>
  <c r="K39" i="39" s="1"/>
  <c r="C17" i="28"/>
  <c r="O17" i="28" s="1"/>
  <c r="C27" i="28"/>
  <c r="P27" i="28" s="1"/>
  <c r="C43" i="28"/>
  <c r="P43" i="28" s="1"/>
  <c r="C201" i="28"/>
  <c r="O201" i="28" s="1"/>
  <c r="C246" i="28"/>
  <c r="O246" i="28" s="1"/>
  <c r="D31" i="28"/>
  <c r="D33" i="28"/>
  <c r="J58" i="6"/>
  <c r="K58" i="6" s="1"/>
  <c r="L58" i="6" s="1"/>
  <c r="M58" i="6" s="1"/>
  <c r="N111" i="6"/>
  <c r="N176" i="6"/>
  <c r="N10" i="6"/>
  <c r="J167" i="6"/>
  <c r="K167" i="6" s="1"/>
  <c r="L167" i="6" s="1"/>
  <c r="M167" i="6" s="1"/>
  <c r="N147" i="6"/>
  <c r="H88" i="21"/>
  <c r="M88" i="25" s="1"/>
  <c r="C32" i="39"/>
  <c r="K32" i="39" s="1"/>
  <c r="C18" i="28"/>
  <c r="O18" i="28" s="1"/>
  <c r="C88" i="28"/>
  <c r="C203" i="28"/>
  <c r="O203" i="28" s="1"/>
  <c r="C272" i="28"/>
  <c r="O272" i="28" s="1"/>
  <c r="J138" i="6"/>
  <c r="K138" i="6" s="1"/>
  <c r="L138" i="6" s="1"/>
  <c r="M138" i="6" s="1"/>
  <c r="J36" i="6"/>
  <c r="K36" i="6" s="1"/>
  <c r="L36" i="6" s="1"/>
  <c r="M36" i="6" s="1"/>
  <c r="N290" i="6"/>
  <c r="J63" i="6"/>
  <c r="K63" i="6" s="1"/>
  <c r="L63" i="6" s="1"/>
  <c r="M63" i="6" s="1"/>
  <c r="N35" i="6"/>
  <c r="O35" i="6" s="1"/>
  <c r="P35" i="6" s="1"/>
  <c r="Q35" i="6" s="1"/>
  <c r="C286" i="39"/>
  <c r="I286" i="39" s="1"/>
  <c r="C25" i="39"/>
  <c r="K25" i="39" s="1"/>
  <c r="C41" i="39"/>
  <c r="K41" i="39" s="1"/>
  <c r="C54" i="39"/>
  <c r="I54" i="39" s="1"/>
  <c r="C92" i="39"/>
  <c r="K92" i="39" s="1"/>
  <c r="C19" i="28"/>
  <c r="O19" i="28" s="1"/>
  <c r="C29" i="28"/>
  <c r="P29" i="28" s="1"/>
  <c r="C37" i="28"/>
  <c r="P37" i="28" s="1"/>
  <c r="C45" i="28"/>
  <c r="P45" i="28" s="1"/>
  <c r="C155" i="28"/>
  <c r="O155" i="28" s="1"/>
  <c r="N228" i="6"/>
  <c r="O228" i="6" s="1"/>
  <c r="P228" i="6" s="1"/>
  <c r="Q228" i="6" s="1"/>
  <c r="C17" i="39"/>
  <c r="K17" i="39" s="1"/>
  <c r="C34" i="39"/>
  <c r="K34" i="39" s="1"/>
  <c r="C42" i="39"/>
  <c r="K42" i="39" s="1"/>
  <c r="C59" i="39"/>
  <c r="K59" i="39" s="1"/>
  <c r="C93" i="39"/>
  <c r="K93" i="39" s="1"/>
  <c r="C20" i="28"/>
  <c r="O20" i="28" s="1"/>
  <c r="C30" i="28"/>
  <c r="P30" i="28" s="1"/>
  <c r="C38" i="28"/>
  <c r="P38" i="28" s="1"/>
  <c r="C72" i="28"/>
  <c r="O72" i="28" s="1"/>
  <c r="C92" i="28"/>
  <c r="O92" i="28" s="1"/>
  <c r="C166" i="28"/>
  <c r="P166" i="28" s="1"/>
  <c r="J255" i="6"/>
  <c r="K255" i="6" s="1"/>
  <c r="L255" i="6" s="1"/>
  <c r="M255" i="6" s="1"/>
  <c r="N276" i="6"/>
  <c r="O276" i="6" s="1"/>
  <c r="P276" i="6" s="1"/>
  <c r="Q276" i="6" s="1"/>
  <c r="J283" i="6"/>
  <c r="M283" i="6" s="1"/>
  <c r="N226" i="6"/>
  <c r="Q226" i="6" s="1"/>
  <c r="C280" i="28"/>
  <c r="P280" i="28" s="1"/>
  <c r="H242" i="46"/>
  <c r="C18" i="39"/>
  <c r="K18" i="39" s="1"/>
  <c r="C27" i="39"/>
  <c r="K27" i="39" s="1"/>
  <c r="C35" i="39"/>
  <c r="C43" i="39"/>
  <c r="K43" i="39" s="1"/>
  <c r="C145" i="39"/>
  <c r="K145" i="39" s="1"/>
  <c r="C203" i="39"/>
  <c r="K203" i="39" s="1"/>
  <c r="C22" i="28"/>
  <c r="C31" i="28"/>
  <c r="P31" i="28" s="1"/>
  <c r="C39" i="28"/>
  <c r="P39" i="28" s="1"/>
  <c r="C48" i="28"/>
  <c r="C74" i="28"/>
  <c r="O74" i="28" s="1"/>
  <c r="D15" i="28"/>
  <c r="D189" i="28"/>
  <c r="I89" i="21"/>
  <c r="N89" i="25" s="1"/>
  <c r="H69" i="21"/>
  <c r="M69" i="25" s="1"/>
  <c r="F87" i="21"/>
  <c r="C87" i="25" s="1"/>
  <c r="G103" i="21"/>
  <c r="D103" i="25" s="1"/>
  <c r="I115" i="21"/>
  <c r="N115" i="25" s="1"/>
  <c r="F123" i="21"/>
  <c r="C123" i="25" s="1"/>
  <c r="G184" i="21"/>
  <c r="D184" i="25" s="1"/>
  <c r="H259" i="21"/>
  <c r="M259" i="25" s="1"/>
  <c r="F278" i="21"/>
  <c r="C278" i="25" s="1"/>
  <c r="F9" i="21"/>
  <c r="C9" i="25" s="1"/>
  <c r="I33" i="23"/>
  <c r="D44" i="28"/>
  <c r="I38" i="23"/>
  <c r="I39" i="23"/>
  <c r="I40" i="23"/>
  <c r="D45" i="28"/>
  <c r="F105" i="21"/>
  <c r="C105" i="25" s="1"/>
  <c r="E105" i="25" s="1"/>
  <c r="I35" i="23"/>
  <c r="D37" i="28"/>
  <c r="D38" i="28"/>
  <c r="I138" i="21"/>
  <c r="N138" i="25" s="1"/>
  <c r="D40" i="28"/>
  <c r="D89" i="28"/>
  <c r="F165" i="21"/>
  <c r="C165" i="25" s="1"/>
  <c r="E165" i="25" s="1"/>
  <c r="I184" i="21"/>
  <c r="N184" i="25" s="1"/>
  <c r="I245" i="21"/>
  <c r="N245" i="25" s="1"/>
  <c r="O245" i="25" s="1"/>
  <c r="I154" i="23"/>
  <c r="D171" i="28"/>
  <c r="D204" i="28"/>
  <c r="H90" i="21"/>
  <c r="M90" i="25" s="1"/>
  <c r="O90" i="25" s="1"/>
  <c r="F136" i="21"/>
  <c r="C136" i="25" s="1"/>
  <c r="I62" i="21"/>
  <c r="N62" i="25" s="1"/>
  <c r="H248" i="21"/>
  <c r="M248" i="25" s="1"/>
  <c r="G117" i="21"/>
  <c r="D117" i="25" s="1"/>
  <c r="I242" i="21"/>
  <c r="N242" i="25" s="1"/>
  <c r="O242" i="25" s="1"/>
  <c r="H36" i="21"/>
  <c r="M36" i="25" s="1"/>
  <c r="I112" i="21"/>
  <c r="N112" i="25" s="1"/>
  <c r="I18" i="50"/>
  <c r="L18" i="52" s="1"/>
  <c r="J6" i="23"/>
  <c r="D58" i="28"/>
  <c r="D172" i="28"/>
  <c r="D205" i="28"/>
  <c r="I134" i="21"/>
  <c r="N134" i="25" s="1"/>
  <c r="G115" i="21"/>
  <c r="D115" i="25" s="1"/>
  <c r="H56" i="21"/>
  <c r="M56" i="25" s="1"/>
  <c r="G18" i="21"/>
  <c r="D18" i="25" s="1"/>
  <c r="I105" i="21"/>
  <c r="N105" i="25" s="1"/>
  <c r="H123" i="21"/>
  <c r="M123" i="25" s="1"/>
  <c r="F115" i="21"/>
  <c r="C115" i="25" s="1"/>
  <c r="I250" i="21"/>
  <c r="N250" i="25" s="1"/>
  <c r="F179" i="21"/>
  <c r="C179" i="25" s="1"/>
  <c r="J56" i="50"/>
  <c r="M56" i="52" s="1"/>
  <c r="N56" i="52" s="1"/>
  <c r="I56" i="51" s="1"/>
  <c r="J56" i="51" s="1"/>
  <c r="J127" i="50"/>
  <c r="M127" i="52" s="1"/>
  <c r="C98" i="39"/>
  <c r="K98" i="39" s="1"/>
  <c r="D69" i="28"/>
  <c r="D173" i="28"/>
  <c r="D206" i="28"/>
  <c r="I194" i="23"/>
  <c r="J205" i="23"/>
  <c r="I208" i="23"/>
  <c r="I211" i="23"/>
  <c r="J128" i="50"/>
  <c r="M128" i="52" s="1"/>
  <c r="D207" i="28"/>
  <c r="D70" i="28"/>
  <c r="D175" i="28"/>
  <c r="I174" i="23"/>
  <c r="I175" i="23"/>
  <c r="G26" i="21"/>
  <c r="D26" i="25" s="1"/>
  <c r="F103" i="21"/>
  <c r="C103" i="25" s="1"/>
  <c r="H160" i="21"/>
  <c r="M160" i="25" s="1"/>
  <c r="F140" i="21"/>
  <c r="C140" i="25" s="1"/>
  <c r="E140" i="25" s="1"/>
  <c r="J129" i="50"/>
  <c r="M129" i="52" s="1"/>
  <c r="D134" i="28"/>
  <c r="D71" i="28"/>
  <c r="J156" i="23"/>
  <c r="J163" i="23"/>
  <c r="H174" i="21"/>
  <c r="M174" i="25" s="1"/>
  <c r="G223" i="21"/>
  <c r="D223" i="25" s="1"/>
  <c r="G87" i="21"/>
  <c r="D87" i="25" s="1"/>
  <c r="I103" i="21"/>
  <c r="N103" i="25" s="1"/>
  <c r="G123" i="21"/>
  <c r="D123" i="25" s="1"/>
  <c r="I193" i="21"/>
  <c r="N193" i="25" s="1"/>
  <c r="J67" i="50"/>
  <c r="M67" i="52" s="1"/>
  <c r="J130" i="50"/>
  <c r="M130" i="52" s="1"/>
  <c r="D193" i="28"/>
  <c r="J119" i="23"/>
  <c r="I126" i="23"/>
  <c r="I127" i="23"/>
  <c r="I128" i="23"/>
  <c r="I129" i="23"/>
  <c r="I61" i="21"/>
  <c r="I17" i="50"/>
  <c r="L17" i="52" s="1"/>
  <c r="D176" i="28"/>
  <c r="D169" i="28"/>
  <c r="J104" i="23"/>
  <c r="I109" i="23"/>
  <c r="I110" i="23"/>
  <c r="O88" i="6"/>
  <c r="P88" i="6" s="1"/>
  <c r="O181" i="6"/>
  <c r="P181" i="6" s="1"/>
  <c r="O210" i="6"/>
  <c r="P210" i="6" s="1"/>
  <c r="K51" i="6"/>
  <c r="L51" i="6" s="1"/>
  <c r="O112" i="6"/>
  <c r="P112" i="6" s="1"/>
  <c r="O133" i="6"/>
  <c r="P133" i="6" s="1"/>
  <c r="K116" i="6"/>
  <c r="L116" i="6" s="1"/>
  <c r="K224" i="6"/>
  <c r="L224" i="6" s="1"/>
  <c r="O223" i="6"/>
  <c r="P223" i="6" s="1"/>
  <c r="K153" i="6"/>
  <c r="L153" i="6" s="1"/>
  <c r="O17" i="6"/>
  <c r="P17" i="6" s="1"/>
  <c r="O209" i="6"/>
  <c r="P209" i="6" s="1"/>
  <c r="O11" i="6"/>
  <c r="P11" i="6" s="1"/>
  <c r="K173" i="6"/>
  <c r="L173" i="6" s="1"/>
  <c r="K243" i="6"/>
  <c r="L243" i="6" s="1"/>
  <c r="M243" i="6" s="1"/>
  <c r="AP128" i="7"/>
  <c r="AP5" i="7"/>
  <c r="AN67" i="7"/>
  <c r="AO63" i="7"/>
  <c r="AN55" i="7"/>
  <c r="AR74" i="7"/>
  <c r="H74" i="39" s="1"/>
  <c r="AR103" i="7"/>
  <c r="H103" i="39" s="1"/>
  <c r="AP136" i="7"/>
  <c r="O128" i="6"/>
  <c r="P128" i="6" s="1"/>
  <c r="O26" i="6"/>
  <c r="P26" i="6" s="1"/>
  <c r="O118" i="6"/>
  <c r="P118" i="6" s="1"/>
  <c r="O98" i="6"/>
  <c r="P98" i="6" s="1"/>
  <c r="O154" i="6"/>
  <c r="P154" i="6" s="1"/>
  <c r="O82" i="6"/>
  <c r="P82" i="6" s="1"/>
  <c r="O125" i="6"/>
  <c r="P125" i="6" s="1"/>
  <c r="O100" i="6"/>
  <c r="P100" i="6" s="1"/>
  <c r="O38" i="6"/>
  <c r="P38" i="6" s="1"/>
  <c r="O126" i="6"/>
  <c r="P126" i="6" s="1"/>
  <c r="K199" i="6"/>
  <c r="L199" i="6" s="1"/>
  <c r="K244" i="6"/>
  <c r="L244" i="6" s="1"/>
  <c r="M244" i="6" s="1"/>
  <c r="O204" i="6"/>
  <c r="P204" i="6" s="1"/>
  <c r="O174" i="6"/>
  <c r="P174" i="6" s="1"/>
  <c r="O50" i="6"/>
  <c r="P50" i="6" s="1"/>
  <c r="O129" i="6"/>
  <c r="P129" i="6" s="1"/>
  <c r="O254" i="6"/>
  <c r="P254" i="6" s="1"/>
  <c r="K50" i="6"/>
  <c r="L50" i="6" s="1"/>
  <c r="O169" i="6"/>
  <c r="P169" i="6" s="1"/>
  <c r="O33" i="6"/>
  <c r="P33" i="6" s="1"/>
  <c r="O162" i="6"/>
  <c r="P162" i="6" s="1"/>
  <c r="K190" i="6"/>
  <c r="L190" i="6" s="1"/>
  <c r="K48" i="6"/>
  <c r="L48" i="6" s="1"/>
  <c r="K148" i="6"/>
  <c r="L148" i="6" s="1"/>
  <c r="O68" i="6"/>
  <c r="P68" i="6" s="1"/>
  <c r="O290" i="6"/>
  <c r="P290" i="6" s="1"/>
  <c r="O59" i="6"/>
  <c r="P59" i="6" s="1"/>
  <c r="O219" i="6"/>
  <c r="P219" i="6" s="1"/>
  <c r="K245" i="6"/>
  <c r="L245" i="6" s="1"/>
  <c r="M245" i="6" s="1"/>
  <c r="H51" i="26"/>
  <c r="I51" i="26" s="1"/>
  <c r="J51" i="26" s="1"/>
  <c r="H74" i="26"/>
  <c r="I74" i="26" s="1"/>
  <c r="L95" i="26"/>
  <c r="M95" i="26" s="1"/>
  <c r="N95" i="26" s="1"/>
  <c r="H34" i="26"/>
  <c r="I34" i="26" s="1"/>
  <c r="J34" i="26" s="1"/>
  <c r="L111" i="26"/>
  <c r="M111" i="26" s="1"/>
  <c r="N111" i="26" s="1"/>
  <c r="H191" i="26"/>
  <c r="I191" i="26" s="1"/>
  <c r="J191" i="26" s="1"/>
  <c r="L166" i="26"/>
  <c r="M166" i="26" s="1"/>
  <c r="N166" i="26" s="1"/>
  <c r="L34" i="26"/>
  <c r="M34" i="26" s="1"/>
  <c r="N34" i="26" s="1"/>
  <c r="L48" i="26"/>
  <c r="M48" i="26" s="1"/>
  <c r="N48" i="26" s="1"/>
  <c r="L224" i="26"/>
  <c r="M224" i="26" s="1"/>
  <c r="H261" i="26"/>
  <c r="I261" i="26" s="1"/>
  <c r="L136" i="26"/>
  <c r="M136" i="26" s="1"/>
  <c r="H20" i="26"/>
  <c r="I20" i="26" s="1"/>
  <c r="J20" i="26" s="1"/>
  <c r="L86" i="26"/>
  <c r="M86" i="26" s="1"/>
  <c r="C40" i="39"/>
  <c r="K40" i="39" s="1"/>
  <c r="D4" i="51"/>
  <c r="D4" i="28"/>
  <c r="D8" i="28"/>
  <c r="F23" i="50"/>
  <c r="D23" i="52" s="1"/>
  <c r="J23" i="50"/>
  <c r="M23" i="52" s="1"/>
  <c r="N23" i="52" s="1"/>
  <c r="I23" i="51" s="1"/>
  <c r="H23" i="50"/>
  <c r="I23" i="52" s="1"/>
  <c r="D32" i="28"/>
  <c r="G38" i="50"/>
  <c r="H38" i="52" s="1"/>
  <c r="I38" i="50"/>
  <c r="L38" i="52" s="1"/>
  <c r="I39" i="50"/>
  <c r="L39" i="52" s="1"/>
  <c r="G39" i="50"/>
  <c r="H39" i="52" s="1"/>
  <c r="G44" i="50"/>
  <c r="H44" i="52" s="1"/>
  <c r="I44" i="50"/>
  <c r="L44" i="52" s="1"/>
  <c r="D51" i="28"/>
  <c r="E54" i="50"/>
  <c r="C54" i="52" s="1"/>
  <c r="F54" i="52" s="1"/>
  <c r="E54" i="51" s="1"/>
  <c r="I54" i="50"/>
  <c r="L54" i="52" s="1"/>
  <c r="G54" i="50"/>
  <c r="H54" i="52" s="1"/>
  <c r="H58" i="23"/>
  <c r="K58" i="26" s="1"/>
  <c r="J58" i="23"/>
  <c r="G59" i="23"/>
  <c r="G59" i="26" s="1"/>
  <c r="J59" i="26" s="1"/>
  <c r="I59" i="23"/>
  <c r="F62" i="50"/>
  <c r="D62" i="52" s="1"/>
  <c r="F62" i="52" s="1"/>
  <c r="E62" i="51" s="1"/>
  <c r="F62" i="51" s="1"/>
  <c r="J62" i="50"/>
  <c r="M62" i="52" s="1"/>
  <c r="H62" i="50"/>
  <c r="I62" i="52" s="1"/>
  <c r="E63" i="50"/>
  <c r="C63" i="52" s="1"/>
  <c r="I63" i="50"/>
  <c r="L63" i="52" s="1"/>
  <c r="G63" i="50"/>
  <c r="H63" i="52" s="1"/>
  <c r="J63" i="52" s="1"/>
  <c r="G63" i="51" s="1"/>
  <c r="D64" i="28"/>
  <c r="D65" i="28"/>
  <c r="D67" i="28"/>
  <c r="H70" i="23"/>
  <c r="K70" i="26" s="1"/>
  <c r="N70" i="26" s="1"/>
  <c r="J70" i="23"/>
  <c r="H72" i="23"/>
  <c r="K72" i="26" s="1"/>
  <c r="J72" i="23"/>
  <c r="G74" i="23"/>
  <c r="G74" i="26" s="1"/>
  <c r="I74" i="23"/>
  <c r="G75" i="23"/>
  <c r="G75" i="26" s="1"/>
  <c r="J75" i="26" s="1"/>
  <c r="I75" i="23"/>
  <c r="F82" i="50"/>
  <c r="D82" i="52" s="1"/>
  <c r="F82" i="52" s="1"/>
  <c r="E82" i="51" s="1"/>
  <c r="J82" i="50"/>
  <c r="M82" i="52" s="1"/>
  <c r="H82" i="50"/>
  <c r="I82" i="52" s="1"/>
  <c r="F84" i="50"/>
  <c r="D84" i="52" s="1"/>
  <c r="F84" i="52" s="1"/>
  <c r="E84" i="51" s="1"/>
  <c r="J84" i="50"/>
  <c r="M84" i="52" s="1"/>
  <c r="F90" i="50"/>
  <c r="D90" i="52" s="1"/>
  <c r="J90" i="50"/>
  <c r="M90" i="52" s="1"/>
  <c r="H90" i="50"/>
  <c r="I90" i="52" s="1"/>
  <c r="D93" i="28"/>
  <c r="D96" i="28"/>
  <c r="D97" i="28"/>
  <c r="D98" i="28"/>
  <c r="H101" i="23"/>
  <c r="K101" i="26" s="1"/>
  <c r="L101" i="26" s="1"/>
  <c r="M101" i="26" s="1"/>
  <c r="N101" i="26" s="1"/>
  <c r="J101" i="23"/>
  <c r="H102" i="23"/>
  <c r="K102" i="26" s="1"/>
  <c r="N102" i="26" s="1"/>
  <c r="J102" i="23"/>
  <c r="G125" i="23"/>
  <c r="G125" i="26" s="1"/>
  <c r="I125" i="23"/>
  <c r="F134" i="50"/>
  <c r="D134" i="52" s="1"/>
  <c r="J134" i="50"/>
  <c r="M134" i="52" s="1"/>
  <c r="N134" i="52" s="1"/>
  <c r="I134" i="51" s="1"/>
  <c r="J134" i="51" s="1"/>
  <c r="E136" i="50"/>
  <c r="C136" i="52" s="1"/>
  <c r="G136" i="50"/>
  <c r="H136" i="52" s="1"/>
  <c r="G139" i="50"/>
  <c r="H139" i="52" s="1"/>
  <c r="I139" i="50"/>
  <c r="L139" i="52" s="1"/>
  <c r="E140" i="50"/>
  <c r="C140" i="52" s="1"/>
  <c r="G140" i="50"/>
  <c r="H140" i="52" s="1"/>
  <c r="D142" i="28"/>
  <c r="D143" i="28"/>
  <c r="D147" i="28"/>
  <c r="D149" i="28"/>
  <c r="D150" i="28"/>
  <c r="D151" i="28"/>
  <c r="D153" i="28"/>
  <c r="D154" i="28"/>
  <c r="H157" i="23"/>
  <c r="K157" i="26" s="1"/>
  <c r="N157" i="26" s="1"/>
  <c r="J157" i="23"/>
  <c r="H158" i="23"/>
  <c r="K158" i="26" s="1"/>
  <c r="J158" i="23"/>
  <c r="H160" i="23"/>
  <c r="K160" i="26" s="1"/>
  <c r="N160" i="26" s="1"/>
  <c r="J160" i="23"/>
  <c r="H161" i="23"/>
  <c r="K161" i="26" s="1"/>
  <c r="J161" i="23"/>
  <c r="H162" i="23"/>
  <c r="K162" i="26" s="1"/>
  <c r="N162" i="26" s="1"/>
  <c r="J162" i="23"/>
  <c r="H164" i="23"/>
  <c r="K164" i="26" s="1"/>
  <c r="L164" i="26" s="1"/>
  <c r="M164" i="26" s="1"/>
  <c r="N164" i="26" s="1"/>
  <c r="J164" i="23"/>
  <c r="H165" i="23"/>
  <c r="K165" i="26" s="1"/>
  <c r="J165" i="23"/>
  <c r="F185" i="50"/>
  <c r="D185" i="52" s="1"/>
  <c r="F185" i="52" s="1"/>
  <c r="J185" i="50"/>
  <c r="M185" i="52" s="1"/>
  <c r="H185" i="50"/>
  <c r="I185" i="52" s="1"/>
  <c r="F186" i="50"/>
  <c r="D186" i="52" s="1"/>
  <c r="F186" i="52" s="1"/>
  <c r="E186" i="51" s="1"/>
  <c r="F186" i="51" s="1"/>
  <c r="H186" i="50"/>
  <c r="I186" i="52" s="1"/>
  <c r="J186" i="50"/>
  <c r="M186" i="52" s="1"/>
  <c r="E187" i="50"/>
  <c r="C187" i="52" s="1"/>
  <c r="G187" i="50"/>
  <c r="H187" i="52" s="1"/>
  <c r="D188" i="28"/>
  <c r="H190" i="23"/>
  <c r="K190" i="26" s="1"/>
  <c r="N190" i="26" s="1"/>
  <c r="J190" i="23"/>
  <c r="G193" i="23"/>
  <c r="G193" i="26" s="1"/>
  <c r="J193" i="26" s="1"/>
  <c r="I193" i="23"/>
  <c r="D197" i="28"/>
  <c r="D198" i="28"/>
  <c r="D199" i="28"/>
  <c r="D200" i="28"/>
  <c r="H203" i="23"/>
  <c r="K203" i="26" s="1"/>
  <c r="J203" i="23"/>
  <c r="F214" i="50"/>
  <c r="D214" i="52" s="1"/>
  <c r="H214" i="50"/>
  <c r="I214" i="52" s="1"/>
  <c r="J214" i="52" s="1"/>
  <c r="G214" i="51" s="1"/>
  <c r="F215" i="50"/>
  <c r="D215" i="52" s="1"/>
  <c r="F215" i="52" s="1"/>
  <c r="E215" i="51" s="1"/>
  <c r="H215" i="50"/>
  <c r="I215" i="52" s="1"/>
  <c r="J215" i="50"/>
  <c r="M215" i="52" s="1"/>
  <c r="D221" i="28"/>
  <c r="D222" i="28"/>
  <c r="D224" i="28"/>
  <c r="F225" i="50"/>
  <c r="D225" i="52" s="1"/>
  <c r="H225" i="50"/>
  <c r="I225" i="52" s="1"/>
  <c r="F228" i="50"/>
  <c r="D228" i="52" s="1"/>
  <c r="J228" i="50"/>
  <c r="M228" i="52" s="1"/>
  <c r="N228" i="52" s="1"/>
  <c r="I228" i="51" s="1"/>
  <c r="D233" i="28"/>
  <c r="D248" i="28"/>
  <c r="D249" i="28"/>
  <c r="D262" i="28"/>
  <c r="D29" i="28"/>
  <c r="N178" i="6"/>
  <c r="F11" i="21"/>
  <c r="H11" i="21"/>
  <c r="M11" i="25" s="1"/>
  <c r="G57" i="21"/>
  <c r="D57" i="25" s="1"/>
  <c r="I57" i="21"/>
  <c r="N57" i="25" s="1"/>
  <c r="I181" i="21"/>
  <c r="N181" i="25" s="1"/>
  <c r="G181" i="21"/>
  <c r="D181" i="25" s="1"/>
  <c r="G200" i="21"/>
  <c r="D200" i="25" s="1"/>
  <c r="I200" i="21"/>
  <c r="N200" i="25" s="1"/>
  <c r="I208" i="21"/>
  <c r="N208" i="25" s="1"/>
  <c r="G208" i="21"/>
  <c r="D208" i="25" s="1"/>
  <c r="I259" i="21"/>
  <c r="N259" i="25" s="1"/>
  <c r="G259" i="21"/>
  <c r="D259" i="25" s="1"/>
  <c r="H84" i="50"/>
  <c r="I84" i="52" s="1"/>
  <c r="I140" i="50"/>
  <c r="L140" i="52" s="1"/>
  <c r="N140" i="52" s="1"/>
  <c r="I140" i="51" s="1"/>
  <c r="J242" i="23"/>
  <c r="D223" i="28"/>
  <c r="J202" i="23"/>
  <c r="H213" i="21"/>
  <c r="M213" i="25" s="1"/>
  <c r="O213" i="25" s="1"/>
  <c r="F213" i="21"/>
  <c r="C213" i="25" s="1"/>
  <c r="I191" i="23"/>
  <c r="F107" i="21"/>
  <c r="C107" i="25" s="1"/>
  <c r="I171" i="23"/>
  <c r="I173" i="23"/>
  <c r="I212" i="23"/>
  <c r="I15" i="23"/>
  <c r="I17" i="23"/>
  <c r="I61" i="23"/>
  <c r="J103" i="23"/>
  <c r="J116" i="23"/>
  <c r="J118" i="23"/>
  <c r="J120" i="23"/>
  <c r="J121" i="23"/>
  <c r="J123" i="23"/>
  <c r="J124" i="23"/>
  <c r="J167" i="23"/>
  <c r="I179" i="23"/>
  <c r="I181" i="23"/>
  <c r="I280" i="23"/>
  <c r="I282" i="23"/>
  <c r="F262" i="21"/>
  <c r="C262" i="25" s="1"/>
  <c r="H179" i="21"/>
  <c r="M179" i="25" s="1"/>
  <c r="I85" i="21"/>
  <c r="N85" i="25" s="1"/>
  <c r="G175" i="21"/>
  <c r="D175" i="25" s="1"/>
  <c r="F23" i="21"/>
  <c r="C23" i="25" s="1"/>
  <c r="E23" i="25" s="1"/>
  <c r="I40" i="50"/>
  <c r="L40" i="52" s="1"/>
  <c r="F221" i="21"/>
  <c r="C221" i="25" s="1"/>
  <c r="E221" i="25" s="1"/>
  <c r="H151" i="21"/>
  <c r="M151" i="25" s="1"/>
  <c r="I5" i="21"/>
  <c r="N5" i="25" s="1"/>
  <c r="H258" i="21"/>
  <c r="M258" i="25" s="1"/>
  <c r="F175" i="21"/>
  <c r="C175" i="25" s="1"/>
  <c r="G257" i="21"/>
  <c r="D257" i="25" s="1"/>
  <c r="I172" i="23"/>
  <c r="D87" i="28"/>
  <c r="I278" i="23"/>
  <c r="H40" i="21"/>
  <c r="M40" i="25" s="1"/>
  <c r="H140" i="21"/>
  <c r="M140" i="25" s="1"/>
  <c r="G151" i="50"/>
  <c r="H151" i="52" s="1"/>
  <c r="I220" i="50"/>
  <c r="L220" i="52" s="1"/>
  <c r="H59" i="21"/>
  <c r="M59" i="25" s="1"/>
  <c r="H75" i="21"/>
  <c r="M75" i="25" s="1"/>
  <c r="H274" i="21"/>
  <c r="M274" i="25" s="1"/>
  <c r="F264" i="21"/>
  <c r="C264" i="25" s="1"/>
  <c r="H256" i="21"/>
  <c r="M256" i="25" s="1"/>
  <c r="O256" i="25" s="1"/>
  <c r="J108" i="23"/>
  <c r="U10" i="33"/>
  <c r="H10" i="50"/>
  <c r="I10" i="52" s="1"/>
  <c r="J10" i="52" s="1"/>
  <c r="T10" i="33"/>
  <c r="G220" i="21"/>
  <c r="D220" i="25" s="1"/>
  <c r="J10" i="50"/>
  <c r="M10" i="52" s="1"/>
  <c r="D241" i="28"/>
  <c r="I143" i="50"/>
  <c r="L143" i="52" s="1"/>
  <c r="I257" i="23"/>
  <c r="J192" i="23"/>
  <c r="J75" i="23"/>
  <c r="J212" i="23"/>
  <c r="G152" i="50"/>
  <c r="H152" i="52" s="1"/>
  <c r="J152" i="52" s="1"/>
  <c r="G152" i="51" s="1"/>
  <c r="I263" i="50"/>
  <c r="L263" i="52" s="1"/>
  <c r="G183" i="21"/>
  <c r="D183" i="25" s="1"/>
  <c r="E183" i="25" s="1"/>
  <c r="G251" i="50"/>
  <c r="H251" i="52" s="1"/>
  <c r="H41" i="50"/>
  <c r="I41" i="52" s="1"/>
  <c r="H34" i="21"/>
  <c r="M34" i="25" s="1"/>
  <c r="G67" i="21"/>
  <c r="D67" i="25" s="1"/>
  <c r="I248" i="50"/>
  <c r="L248" i="52" s="1"/>
  <c r="D255" i="28"/>
  <c r="I154" i="50"/>
  <c r="L154" i="52" s="1"/>
  <c r="J217" i="23"/>
  <c r="J113" i="23"/>
  <c r="J233" i="50"/>
  <c r="M233" i="52" s="1"/>
  <c r="G66" i="50"/>
  <c r="H66" i="52" s="1"/>
  <c r="G250" i="50"/>
  <c r="H250" i="52" s="1"/>
  <c r="J166" i="23"/>
  <c r="H92" i="50"/>
  <c r="I92" i="52" s="1"/>
  <c r="J92" i="52" s="1"/>
  <c r="G92" i="51" s="1"/>
  <c r="H92" i="51" s="1"/>
  <c r="G200" i="50"/>
  <c r="H200" i="52" s="1"/>
  <c r="I23" i="21"/>
  <c r="N23" i="25" s="1"/>
  <c r="F147" i="21"/>
  <c r="C147" i="25" s="1"/>
  <c r="H34" i="50"/>
  <c r="I34" i="52" s="1"/>
  <c r="G31" i="50"/>
  <c r="H31" i="52" s="1"/>
  <c r="D62" i="28"/>
  <c r="D256" i="28"/>
  <c r="I279" i="23"/>
  <c r="J114" i="23"/>
  <c r="J105" i="23"/>
  <c r="J59" i="23"/>
  <c r="J107" i="23"/>
  <c r="I60" i="23"/>
  <c r="D254" i="28"/>
  <c r="H233" i="50"/>
  <c r="I233" i="52" s="1"/>
  <c r="J233" i="52" s="1"/>
  <c r="G233" i="51" s="1"/>
  <c r="G149" i="50"/>
  <c r="H149" i="52" s="1"/>
  <c r="I66" i="50"/>
  <c r="L66" i="52" s="1"/>
  <c r="I250" i="50"/>
  <c r="L250" i="52" s="1"/>
  <c r="J92" i="50"/>
  <c r="M92" i="52" s="1"/>
  <c r="G224" i="50"/>
  <c r="H224" i="52" s="1"/>
  <c r="I200" i="50"/>
  <c r="L200" i="52" s="1"/>
  <c r="H45" i="50"/>
  <c r="I45" i="52" s="1"/>
  <c r="I40" i="21"/>
  <c r="N40" i="25" s="1"/>
  <c r="G199" i="50"/>
  <c r="H199" i="52" s="1"/>
  <c r="H23" i="21"/>
  <c r="M23" i="25" s="1"/>
  <c r="H43" i="50"/>
  <c r="I43" i="52" s="1"/>
  <c r="J290" i="50"/>
  <c r="M290" i="52" s="1"/>
  <c r="D257" i="28"/>
  <c r="I35" i="50"/>
  <c r="L35" i="52" s="1"/>
  <c r="I188" i="50"/>
  <c r="L188" i="52" s="1"/>
  <c r="J272" i="23"/>
  <c r="J273" i="23"/>
  <c r="G33" i="50"/>
  <c r="H33" i="52" s="1"/>
  <c r="J33" i="52" s="1"/>
  <c r="G33" i="51" s="1"/>
  <c r="H33" i="51" s="1"/>
  <c r="I160" i="21"/>
  <c r="N160" i="25" s="1"/>
  <c r="J139" i="50"/>
  <c r="M139" i="52" s="1"/>
  <c r="G198" i="50"/>
  <c r="H198" i="52" s="1"/>
  <c r="J198" i="52" s="1"/>
  <c r="G198" i="51" s="1"/>
  <c r="G8" i="50"/>
  <c r="H8" i="52" s="1"/>
  <c r="H290" i="50"/>
  <c r="I290" i="52" s="1"/>
  <c r="D201" i="28"/>
  <c r="I111" i="21"/>
  <c r="N111" i="25" s="1"/>
  <c r="I140" i="21"/>
  <c r="N140" i="25" s="1"/>
  <c r="D68" i="28"/>
  <c r="G104" i="21"/>
  <c r="D104" i="25" s="1"/>
  <c r="G169" i="21"/>
  <c r="D169" i="25" s="1"/>
  <c r="H177" i="21"/>
  <c r="M177" i="25" s="1"/>
  <c r="F204" i="21"/>
  <c r="C204" i="25" s="1"/>
  <c r="H227" i="21"/>
  <c r="M227" i="25" s="1"/>
  <c r="H284" i="21"/>
  <c r="M284" i="25" s="1"/>
  <c r="F291" i="21"/>
  <c r="C291" i="25" s="1"/>
  <c r="E291" i="25" s="1"/>
  <c r="D259" i="28"/>
  <c r="I130" i="23"/>
  <c r="J117" i="23"/>
  <c r="I86" i="23"/>
  <c r="I11" i="23"/>
  <c r="I33" i="50"/>
  <c r="L33" i="52" s="1"/>
  <c r="D236" i="28"/>
  <c r="D258" i="28"/>
  <c r="H54" i="50"/>
  <c r="I54" i="52" s="1"/>
  <c r="H91" i="50"/>
  <c r="I91" i="52" s="1"/>
  <c r="F80" i="21"/>
  <c r="C80" i="25" s="1"/>
  <c r="I59" i="21"/>
  <c r="N59" i="25" s="1"/>
  <c r="H44" i="50"/>
  <c r="I44" i="52" s="1"/>
  <c r="J41" i="50"/>
  <c r="M41" i="52" s="1"/>
  <c r="J219" i="50"/>
  <c r="M219" i="52" s="1"/>
  <c r="D10" i="28"/>
  <c r="D260" i="28"/>
  <c r="J125" i="23"/>
  <c r="J122" i="23"/>
  <c r="J112" i="23"/>
  <c r="H9" i="21"/>
  <c r="M9" i="25" s="1"/>
  <c r="J54" i="50"/>
  <c r="M54" i="52" s="1"/>
  <c r="J91" i="50"/>
  <c r="M91" i="52" s="1"/>
  <c r="G263" i="50"/>
  <c r="H263" i="52" s="1"/>
  <c r="G51" i="50"/>
  <c r="H51" i="52" s="1"/>
  <c r="J51" i="52" s="1"/>
  <c r="G51" i="51" s="1"/>
  <c r="H105" i="21"/>
  <c r="M105" i="25" s="1"/>
  <c r="I50" i="21"/>
  <c r="N50" i="25" s="1"/>
  <c r="D100" i="28"/>
  <c r="G249" i="50"/>
  <c r="H249" i="52" s="1"/>
  <c r="H219" i="50"/>
  <c r="I219" i="52" s="1"/>
  <c r="D239" i="28"/>
  <c r="D261" i="28"/>
  <c r="I223" i="50"/>
  <c r="L223" i="52" s="1"/>
  <c r="D237" i="28"/>
  <c r="G29" i="50"/>
  <c r="H29" i="52" s="1"/>
  <c r="G67" i="50"/>
  <c r="H67" i="52" s="1"/>
  <c r="J191" i="23"/>
  <c r="F125" i="21"/>
  <c r="C125" i="25" s="1"/>
  <c r="E125" i="25" s="1"/>
  <c r="G6" i="50"/>
  <c r="H6" i="52" s="1"/>
  <c r="J6" i="52" s="1"/>
  <c r="G6" i="51" s="1"/>
  <c r="H6" i="51" s="1"/>
  <c r="D95" i="28"/>
  <c r="S10" i="33"/>
  <c r="W10" i="33"/>
  <c r="H124" i="21"/>
  <c r="M124" i="25" s="1"/>
  <c r="F79" i="21"/>
  <c r="C79" i="25" s="1"/>
  <c r="H8" i="21"/>
  <c r="M8" i="25" s="1"/>
  <c r="I104" i="21"/>
  <c r="N104" i="25" s="1"/>
  <c r="G116" i="21"/>
  <c r="D116" i="25" s="1"/>
  <c r="I124" i="21"/>
  <c r="N124" i="25" s="1"/>
  <c r="I180" i="23"/>
  <c r="J98" i="6"/>
  <c r="M98" i="6" s="1"/>
  <c r="I187" i="21"/>
  <c r="N187" i="25" s="1"/>
  <c r="I71" i="21"/>
  <c r="N71" i="25" s="1"/>
  <c r="I98" i="21"/>
  <c r="N98" i="25" s="1"/>
  <c r="O98" i="25" s="1"/>
  <c r="D242" i="28"/>
  <c r="I237" i="50"/>
  <c r="L237" i="52" s="1"/>
  <c r="I182" i="23"/>
  <c r="I276" i="21"/>
  <c r="N276" i="25" s="1"/>
  <c r="H205" i="21"/>
  <c r="M205" i="25" s="1"/>
  <c r="H68" i="21"/>
  <c r="M68" i="25" s="1"/>
  <c r="I287" i="21"/>
  <c r="N287" i="25" s="1"/>
  <c r="G213" i="21"/>
  <c r="D213" i="25" s="1"/>
  <c r="G198" i="21"/>
  <c r="D198" i="25" s="1"/>
  <c r="H194" i="21"/>
  <c r="M194" i="25" s="1"/>
  <c r="F177" i="21"/>
  <c r="C177" i="25" s="1"/>
  <c r="J168" i="23"/>
  <c r="J43" i="50"/>
  <c r="M43" i="52" s="1"/>
  <c r="I257" i="50"/>
  <c r="L257" i="52" s="1"/>
  <c r="G237" i="50"/>
  <c r="H237" i="52" s="1"/>
  <c r="G33" i="72"/>
  <c r="X10" i="33"/>
  <c r="J44" i="50"/>
  <c r="M44" i="52" s="1"/>
  <c r="H139" i="50"/>
  <c r="I139" i="52" s="1"/>
  <c r="I177" i="23"/>
  <c r="I178" i="23"/>
  <c r="D24" i="28"/>
  <c r="I63" i="21"/>
  <c r="N63" i="25" s="1"/>
  <c r="O63" i="25" s="1"/>
  <c r="F261" i="21"/>
  <c r="C261" i="25" s="1"/>
  <c r="F51" i="21"/>
  <c r="C51" i="25" s="1"/>
  <c r="E51" i="25" s="1"/>
  <c r="F27" i="21"/>
  <c r="C27" i="25" s="1"/>
  <c r="J15" i="50"/>
  <c r="M15" i="52" s="1"/>
  <c r="J45" i="50"/>
  <c r="M45" i="52" s="1"/>
  <c r="N45" i="52" s="1"/>
  <c r="I45" i="51" s="1"/>
  <c r="J45" i="51" s="1"/>
  <c r="I151" i="50"/>
  <c r="L151" i="52" s="1"/>
  <c r="J251" i="50"/>
  <c r="M251" i="52" s="1"/>
  <c r="D99" i="28"/>
  <c r="D270" i="28"/>
  <c r="H15" i="50"/>
  <c r="I15" i="52" s="1"/>
  <c r="D23" i="28"/>
  <c r="D271" i="28"/>
  <c r="E10" i="50"/>
  <c r="C10" i="52" s="1"/>
  <c r="F10" i="52" s="1"/>
  <c r="I216" i="21"/>
  <c r="N216" i="25" s="1"/>
  <c r="I143" i="21"/>
  <c r="N143" i="25" s="1"/>
  <c r="G212" i="21"/>
  <c r="D212" i="25" s="1"/>
  <c r="I176" i="23"/>
  <c r="J207" i="23"/>
  <c r="I145" i="50"/>
  <c r="L145" i="52" s="1"/>
  <c r="G85" i="21"/>
  <c r="D85" i="25" s="1"/>
  <c r="I175" i="21"/>
  <c r="N175" i="25" s="1"/>
  <c r="I216" i="23"/>
  <c r="F22" i="21"/>
  <c r="C22" i="25" s="1"/>
  <c r="I226" i="23"/>
  <c r="H280" i="21"/>
  <c r="M280" i="25" s="1"/>
  <c r="H178" i="21"/>
  <c r="M178" i="25" s="1"/>
  <c r="F246" i="50"/>
  <c r="D246" i="52" s="1"/>
  <c r="F246" i="52" s="1"/>
  <c r="E246" i="51" s="1"/>
  <c r="F246" i="51" s="1"/>
  <c r="J246" i="50"/>
  <c r="M246" i="52" s="1"/>
  <c r="H246" i="50"/>
  <c r="I246" i="52" s="1"/>
  <c r="D81" i="28"/>
  <c r="D83" i="28"/>
  <c r="D85" i="28"/>
  <c r="I173" i="50"/>
  <c r="L173" i="52" s="1"/>
  <c r="G173" i="50"/>
  <c r="H173" i="52" s="1"/>
  <c r="E259" i="50"/>
  <c r="C259" i="52" s="1"/>
  <c r="I259" i="50"/>
  <c r="L259" i="52" s="1"/>
  <c r="G259" i="50"/>
  <c r="H259" i="52" s="1"/>
  <c r="E96" i="50"/>
  <c r="C96" i="52" s="1"/>
  <c r="F96" i="52" s="1"/>
  <c r="E96" i="51" s="1"/>
  <c r="I96" i="50"/>
  <c r="L96" i="52" s="1"/>
  <c r="G96" i="50"/>
  <c r="H96" i="52" s="1"/>
  <c r="H290" i="21"/>
  <c r="M290" i="25" s="1"/>
  <c r="C23" i="23"/>
  <c r="I23" i="23" s="1"/>
  <c r="C24" i="23"/>
  <c r="I24" i="23" s="1"/>
  <c r="O252" i="25"/>
  <c r="N283" i="6"/>
  <c r="H106" i="21"/>
  <c r="M106" i="25" s="1"/>
  <c r="F111" i="21"/>
  <c r="C111" i="25" s="1"/>
  <c r="E111" i="25" s="1"/>
  <c r="I73" i="23"/>
  <c r="F252" i="45"/>
  <c r="I135" i="23"/>
  <c r="I70" i="23"/>
  <c r="G148" i="21"/>
  <c r="D148" i="25" s="1"/>
  <c r="E148" i="25" s="1"/>
  <c r="I106" i="21"/>
  <c r="N106" i="25" s="1"/>
  <c r="J131" i="23"/>
  <c r="N131" i="6" s="1"/>
  <c r="I204" i="23"/>
  <c r="E258" i="50"/>
  <c r="C258" i="52" s="1"/>
  <c r="G258" i="50"/>
  <c r="H258" i="52" s="1"/>
  <c r="I258" i="50"/>
  <c r="L258" i="52" s="1"/>
  <c r="E144" i="50"/>
  <c r="C144" i="52" s="1"/>
  <c r="F144" i="52" s="1"/>
  <c r="E144" i="51" s="1"/>
  <c r="G144" i="50"/>
  <c r="H144" i="52" s="1"/>
  <c r="E57" i="50"/>
  <c r="C57" i="52" s="1"/>
  <c r="F57" i="52" s="1"/>
  <c r="E57" i="51" s="1"/>
  <c r="F57" i="51" s="1"/>
  <c r="I57" i="50"/>
  <c r="L57" i="52" s="1"/>
  <c r="G57" i="50"/>
  <c r="H57" i="52" s="1"/>
  <c r="E262" i="50"/>
  <c r="C262" i="52" s="1"/>
  <c r="G262" i="50"/>
  <c r="H262" i="52" s="1"/>
  <c r="I262" i="50"/>
  <c r="L262" i="52" s="1"/>
  <c r="E53" i="50"/>
  <c r="C53" i="52" s="1"/>
  <c r="I53" i="50"/>
  <c r="L53" i="52" s="1"/>
  <c r="G53" i="50"/>
  <c r="H53" i="52" s="1"/>
  <c r="F178" i="21"/>
  <c r="C178" i="25" s="1"/>
  <c r="F71" i="21"/>
  <c r="C71" i="25" s="1"/>
  <c r="E71" i="25" s="1"/>
  <c r="H55" i="21"/>
  <c r="M55" i="25" s="1"/>
  <c r="O55" i="25" s="1"/>
  <c r="J252" i="52"/>
  <c r="I157" i="21"/>
  <c r="N157" i="25" s="1"/>
  <c r="J193" i="23"/>
  <c r="F252" i="52"/>
  <c r="I275" i="21"/>
  <c r="N275" i="25" s="1"/>
  <c r="H228" i="21"/>
  <c r="M228" i="25" s="1"/>
  <c r="F220" i="21"/>
  <c r="C220" i="25" s="1"/>
  <c r="H211" i="21"/>
  <c r="M211" i="25" s="1"/>
  <c r="F48" i="50"/>
  <c r="D48" i="52" s="1"/>
  <c r="F48" i="52" s="1"/>
  <c r="E48" i="51" s="1"/>
  <c r="H102" i="21"/>
  <c r="M102" i="25" s="1"/>
  <c r="H15" i="21"/>
  <c r="M15" i="25" s="1"/>
  <c r="O15" i="25" s="1"/>
  <c r="F138" i="21"/>
  <c r="C138" i="25" s="1"/>
  <c r="I218" i="23"/>
  <c r="D56" i="28"/>
  <c r="D57" i="28"/>
  <c r="N282" i="6"/>
  <c r="O282" i="6" s="1"/>
  <c r="P282" i="6" s="1"/>
  <c r="Q282" i="6" s="1"/>
  <c r="F199" i="50"/>
  <c r="D199" i="52" s="1"/>
  <c r="J199" i="50"/>
  <c r="M199" i="52" s="1"/>
  <c r="H199" i="50"/>
  <c r="I199" i="52" s="1"/>
  <c r="F277" i="50"/>
  <c r="D277" i="52" s="1"/>
  <c r="F277" i="52" s="1"/>
  <c r="E277" i="51" s="1"/>
  <c r="J277" i="50"/>
  <c r="M277" i="52" s="1"/>
  <c r="E280" i="50"/>
  <c r="C280" i="52" s="1"/>
  <c r="G280" i="50"/>
  <c r="H280" i="52" s="1"/>
  <c r="N255" i="6"/>
  <c r="O255" i="6" s="1"/>
  <c r="P255" i="6" s="1"/>
  <c r="Q255" i="6" s="1"/>
  <c r="F55" i="50"/>
  <c r="D55" i="52" s="1"/>
  <c r="J55" i="50"/>
  <c r="M55" i="52" s="1"/>
  <c r="H55" i="50"/>
  <c r="I55" i="52" s="1"/>
  <c r="J284" i="6"/>
  <c r="K284" i="6" s="1"/>
  <c r="L284" i="6" s="1"/>
  <c r="M284" i="6" s="1"/>
  <c r="F64" i="50"/>
  <c r="D64" i="52" s="1"/>
  <c r="J64" i="50"/>
  <c r="M64" i="52" s="1"/>
  <c r="H64" i="50"/>
  <c r="I64" i="52" s="1"/>
  <c r="J190" i="50"/>
  <c r="M190" i="52" s="1"/>
  <c r="F190" i="50"/>
  <c r="D190" i="52" s="1"/>
  <c r="F33" i="50"/>
  <c r="D33" i="52" s="1"/>
  <c r="F33" i="52" s="1"/>
  <c r="E33" i="51" s="1"/>
  <c r="F33" i="51" s="1"/>
  <c r="J33" i="50"/>
  <c r="M33" i="52" s="1"/>
  <c r="I216" i="50"/>
  <c r="L216" i="52" s="1"/>
  <c r="G216" i="50"/>
  <c r="H216" i="52" s="1"/>
  <c r="F25" i="50"/>
  <c r="D25" i="52" s="1"/>
  <c r="J25" i="50"/>
  <c r="M25" i="52" s="1"/>
  <c r="H25" i="50"/>
  <c r="I25" i="52" s="1"/>
  <c r="J25" i="52" s="1"/>
  <c r="J175" i="23"/>
  <c r="N252" i="6"/>
  <c r="F63" i="21"/>
  <c r="C63" i="25" s="1"/>
  <c r="E63" i="25" s="1"/>
  <c r="F160" i="21"/>
  <c r="C160" i="25" s="1"/>
  <c r="E160" i="25" s="1"/>
  <c r="F152" i="21"/>
  <c r="C152" i="25" s="1"/>
  <c r="H103" i="21"/>
  <c r="M103" i="25" s="1"/>
  <c r="F95" i="21"/>
  <c r="C95" i="25" s="1"/>
  <c r="G250" i="21"/>
  <c r="D250" i="25" s="1"/>
  <c r="E250" i="25" s="1"/>
  <c r="I278" i="21"/>
  <c r="N278" i="25" s="1"/>
  <c r="F38" i="21"/>
  <c r="C38" i="25" s="1"/>
  <c r="H145" i="21"/>
  <c r="M145" i="25" s="1"/>
  <c r="H163" i="21"/>
  <c r="M163" i="25" s="1"/>
  <c r="H212" i="21"/>
  <c r="M212" i="25" s="1"/>
  <c r="I262" i="21"/>
  <c r="N262" i="25" s="1"/>
  <c r="H17" i="21"/>
  <c r="M17" i="25" s="1"/>
  <c r="O17" i="25" s="1"/>
  <c r="G86" i="21"/>
  <c r="D86" i="25" s="1"/>
  <c r="E86" i="25" s="1"/>
  <c r="G138" i="21"/>
  <c r="D138" i="25" s="1"/>
  <c r="I157" i="23"/>
  <c r="I161" i="23"/>
  <c r="F98" i="21"/>
  <c r="C98" i="25" s="1"/>
  <c r="E98" i="25" s="1"/>
  <c r="H278" i="21"/>
  <c r="M278" i="25" s="1"/>
  <c r="F259" i="21"/>
  <c r="C259" i="25" s="1"/>
  <c r="H184" i="21"/>
  <c r="M184" i="25" s="1"/>
  <c r="H113" i="21"/>
  <c r="M113" i="25" s="1"/>
  <c r="H87" i="21"/>
  <c r="M87" i="25" s="1"/>
  <c r="F69" i="21"/>
  <c r="C69" i="25" s="1"/>
  <c r="H61" i="21"/>
  <c r="M61" i="25" s="1"/>
  <c r="F53" i="21"/>
  <c r="C53" i="25" s="1"/>
  <c r="F42" i="21"/>
  <c r="C42" i="25" s="1"/>
  <c r="I227" i="21"/>
  <c r="N227" i="25" s="1"/>
  <c r="H31" i="21"/>
  <c r="M31" i="25" s="1"/>
  <c r="O31" i="25" s="1"/>
  <c r="H99" i="21"/>
  <c r="M99" i="25" s="1"/>
  <c r="G119" i="21"/>
  <c r="D119" i="25" s="1"/>
  <c r="I135" i="21"/>
  <c r="N135" i="25" s="1"/>
  <c r="F156" i="21"/>
  <c r="C156" i="25" s="1"/>
  <c r="I172" i="21"/>
  <c r="N172" i="25" s="1"/>
  <c r="G255" i="21"/>
  <c r="D255" i="25" s="1"/>
  <c r="H112" i="21"/>
  <c r="M112" i="25" s="1"/>
  <c r="F142" i="21"/>
  <c r="C142" i="25" s="1"/>
  <c r="D25" i="28"/>
  <c r="J91" i="23"/>
  <c r="I139" i="23"/>
  <c r="I209" i="23"/>
  <c r="G131" i="21"/>
  <c r="D131" i="25" s="1"/>
  <c r="I152" i="21"/>
  <c r="N152" i="25" s="1"/>
  <c r="G211" i="21"/>
  <c r="D211" i="25" s="1"/>
  <c r="I261" i="21"/>
  <c r="N261" i="25" s="1"/>
  <c r="I280" i="21"/>
  <c r="N280" i="25" s="1"/>
  <c r="F256" i="21"/>
  <c r="C256" i="25" s="1"/>
  <c r="H264" i="21"/>
  <c r="M264" i="25" s="1"/>
  <c r="I32" i="23"/>
  <c r="J262" i="23"/>
  <c r="H252" i="46"/>
  <c r="F219" i="21"/>
  <c r="C219" i="25" s="1"/>
  <c r="E219" i="25" s="1"/>
  <c r="F55" i="21"/>
  <c r="C55" i="25" s="1"/>
  <c r="F226" i="21"/>
  <c r="C226" i="25" s="1"/>
  <c r="E36" i="25"/>
  <c r="I169" i="21"/>
  <c r="N169" i="25" s="1"/>
  <c r="O169" i="25" s="1"/>
  <c r="F18" i="21"/>
  <c r="C18" i="25" s="1"/>
  <c r="H239" i="21"/>
  <c r="M239" i="25" s="1"/>
  <c r="D6" i="28"/>
  <c r="I237" i="23"/>
  <c r="I148" i="23"/>
  <c r="G89" i="21"/>
  <c r="D89" i="25" s="1"/>
  <c r="I9" i="23"/>
  <c r="I55" i="23"/>
  <c r="J189" i="23"/>
  <c r="N252" i="52"/>
  <c r="I252" i="51" s="1"/>
  <c r="J252" i="51" s="1"/>
  <c r="S11" i="33"/>
  <c r="F216" i="21"/>
  <c r="C216" i="25" s="1"/>
  <c r="F26" i="21"/>
  <c r="C26" i="25" s="1"/>
  <c r="I47" i="21"/>
  <c r="N47" i="25" s="1"/>
  <c r="O47" i="25" s="1"/>
  <c r="F161" i="21"/>
  <c r="C161" i="25" s="1"/>
  <c r="H210" i="21"/>
  <c r="M210" i="25" s="1"/>
  <c r="F284" i="21"/>
  <c r="C284" i="25" s="1"/>
  <c r="D50" i="28"/>
  <c r="I116" i="23"/>
  <c r="I118" i="23"/>
  <c r="D148" i="28"/>
  <c r="J252" i="6"/>
  <c r="D238" i="28"/>
  <c r="L55" i="26"/>
  <c r="M55" i="26" s="1"/>
  <c r="N55" i="26" s="1"/>
  <c r="L59" i="26"/>
  <c r="M59" i="26" s="1"/>
  <c r="N59" i="26" s="1"/>
  <c r="L87" i="26"/>
  <c r="M87" i="26" s="1"/>
  <c r="L151" i="26"/>
  <c r="M151" i="26" s="1"/>
  <c r="H28" i="26"/>
  <c r="I28" i="26" s="1"/>
  <c r="J28" i="26" s="1"/>
  <c r="H43" i="26"/>
  <c r="I43" i="26" s="1"/>
  <c r="H53" i="26"/>
  <c r="I53" i="26" s="1"/>
  <c r="H65" i="26"/>
  <c r="I65" i="26" s="1"/>
  <c r="L177" i="26"/>
  <c r="M177" i="26" s="1"/>
  <c r="L187" i="26"/>
  <c r="M187" i="26" s="1"/>
  <c r="N187" i="26" s="1"/>
  <c r="L264" i="26"/>
  <c r="M264" i="26" s="1"/>
  <c r="H124" i="26"/>
  <c r="I124" i="26" s="1"/>
  <c r="L221" i="26"/>
  <c r="M221" i="26" s="1"/>
  <c r="N221" i="26" s="1"/>
  <c r="H200" i="26"/>
  <c r="I200" i="26" s="1"/>
  <c r="H82" i="26"/>
  <c r="I82" i="26" s="1"/>
  <c r="H115" i="26"/>
  <c r="I115" i="26" s="1"/>
  <c r="L220" i="26"/>
  <c r="M220" i="26" s="1"/>
  <c r="L68" i="26"/>
  <c r="M68" i="26" s="1"/>
  <c r="N68" i="26" s="1"/>
  <c r="L88" i="26"/>
  <c r="M88" i="26" s="1"/>
  <c r="H162" i="26"/>
  <c r="I162" i="26" s="1"/>
  <c r="H210" i="26"/>
  <c r="I210" i="26" s="1"/>
  <c r="H29" i="26"/>
  <c r="I29" i="26" s="1"/>
  <c r="L47" i="26"/>
  <c r="M47" i="26" s="1"/>
  <c r="N47" i="26" s="1"/>
  <c r="H66" i="26"/>
  <c r="I66" i="26" s="1"/>
  <c r="H125" i="26"/>
  <c r="I125" i="26" s="1"/>
  <c r="L127" i="26"/>
  <c r="M127" i="26" s="1"/>
  <c r="N127" i="26" s="1"/>
  <c r="L197" i="26"/>
  <c r="M197" i="26" s="1"/>
  <c r="L254" i="26"/>
  <c r="M254" i="26" s="1"/>
  <c r="N254" i="26" s="1"/>
  <c r="H263" i="26"/>
  <c r="I263" i="26" s="1"/>
  <c r="H244" i="26"/>
  <c r="I244" i="26" s="1"/>
  <c r="J244" i="26" s="1"/>
  <c r="L286" i="26"/>
  <c r="M286" i="26" s="1"/>
  <c r="N286" i="26" s="1"/>
  <c r="H102" i="26"/>
  <c r="I102" i="26" s="1"/>
  <c r="J102" i="26" s="1"/>
  <c r="L108" i="26"/>
  <c r="M108" i="26" s="1"/>
  <c r="N108" i="26" s="1"/>
  <c r="L131" i="26"/>
  <c r="M131" i="26" s="1"/>
  <c r="L11" i="26"/>
  <c r="M11" i="26" s="1"/>
  <c r="H81" i="26"/>
  <c r="I81" i="26" s="1"/>
  <c r="H201" i="26"/>
  <c r="I201" i="26" s="1"/>
  <c r="J201" i="26" s="1"/>
  <c r="L22" i="26"/>
  <c r="M22" i="26" s="1"/>
  <c r="N22" i="26" s="1"/>
  <c r="L61" i="26"/>
  <c r="M61" i="26" s="1"/>
  <c r="N61" i="26" s="1"/>
  <c r="L205" i="26"/>
  <c r="M205" i="26" s="1"/>
  <c r="H26" i="39"/>
  <c r="H98" i="39"/>
  <c r="AO75" i="7"/>
  <c r="AN108" i="7"/>
  <c r="AR89" i="7"/>
  <c r="H89" i="39" s="1"/>
  <c r="AP73" i="7"/>
  <c r="AR60" i="7"/>
  <c r="AR64" i="7"/>
  <c r="AR56" i="7"/>
  <c r="H56" i="39" s="1"/>
  <c r="AO74" i="7"/>
  <c r="AO67" i="7"/>
  <c r="AO65" i="7"/>
  <c r="AO91" i="7"/>
  <c r="AN4" i="7"/>
  <c r="K253" i="6"/>
  <c r="L253" i="6" s="1"/>
  <c r="O201" i="6"/>
  <c r="P201" i="6" s="1"/>
  <c r="O194" i="6"/>
  <c r="P194" i="6" s="1"/>
  <c r="K72" i="6"/>
  <c r="L72" i="6" s="1"/>
  <c r="O44" i="6"/>
  <c r="P44" i="6" s="1"/>
  <c r="O191" i="6"/>
  <c r="P191" i="6" s="1"/>
  <c r="O198" i="6"/>
  <c r="P198" i="6" s="1"/>
  <c r="O130" i="6"/>
  <c r="P130" i="6" s="1"/>
  <c r="O177" i="6"/>
  <c r="P177" i="6" s="1"/>
  <c r="O90" i="6"/>
  <c r="P90" i="6" s="1"/>
  <c r="K160" i="6"/>
  <c r="L160" i="6" s="1"/>
  <c r="O19" i="6"/>
  <c r="P19" i="6" s="1"/>
  <c r="K220" i="6"/>
  <c r="L220" i="6" s="1"/>
  <c r="O289" i="6"/>
  <c r="P289" i="6" s="1"/>
  <c r="K215" i="6"/>
  <c r="L215" i="6" s="1"/>
  <c r="O279" i="6"/>
  <c r="P279" i="6" s="1"/>
  <c r="K134" i="6"/>
  <c r="L134" i="6" s="1"/>
  <c r="O84" i="6"/>
  <c r="P84" i="6" s="1"/>
  <c r="O28" i="6"/>
  <c r="P28" i="6" s="1"/>
  <c r="O225" i="6"/>
  <c r="P225" i="6" s="1"/>
  <c r="K288" i="6"/>
  <c r="L288" i="6" s="1"/>
  <c r="O272" i="6"/>
  <c r="P272" i="6" s="1"/>
  <c r="O231" i="6"/>
  <c r="P231" i="6" s="1"/>
  <c r="K155" i="6"/>
  <c r="L155" i="6" s="1"/>
  <c r="O283" i="6"/>
  <c r="P283" i="6" s="1"/>
  <c r="O203" i="6"/>
  <c r="P203" i="6" s="1"/>
  <c r="P73" i="46"/>
  <c r="P215" i="46"/>
  <c r="P17" i="46"/>
  <c r="P291" i="46"/>
  <c r="P10" i="46"/>
  <c r="P162" i="46"/>
  <c r="P233" i="46"/>
  <c r="P122" i="46"/>
  <c r="P148" i="46"/>
  <c r="P101" i="46"/>
  <c r="P69" i="46"/>
  <c r="P171" i="46"/>
  <c r="H36" i="50"/>
  <c r="I36" i="52" s="1"/>
  <c r="J36" i="52" s="1"/>
  <c r="G36" i="51" s="1"/>
  <c r="H36" i="51" s="1"/>
  <c r="H101" i="50"/>
  <c r="I101" i="52" s="1"/>
  <c r="J101" i="52" s="1"/>
  <c r="G101" i="51" s="1"/>
  <c r="J124" i="50"/>
  <c r="M124" i="52" s="1"/>
  <c r="G159" i="50"/>
  <c r="H159" i="52" s="1"/>
  <c r="J159" i="52" s="1"/>
  <c r="G159" i="51" s="1"/>
  <c r="H124" i="50"/>
  <c r="I124" i="52" s="1"/>
  <c r="G179" i="50"/>
  <c r="H179" i="52" s="1"/>
  <c r="H289" i="50"/>
  <c r="I289" i="52" s="1"/>
  <c r="J289" i="52" s="1"/>
  <c r="G289" i="51" s="1"/>
  <c r="J149" i="50"/>
  <c r="M149" i="52" s="1"/>
  <c r="N149" i="52" s="1"/>
  <c r="I149" i="51" s="1"/>
  <c r="I51" i="50"/>
  <c r="L51" i="52" s="1"/>
  <c r="I183" i="50"/>
  <c r="L183" i="52" s="1"/>
  <c r="H276" i="50"/>
  <c r="I276" i="52" s="1"/>
  <c r="G219" i="50"/>
  <c r="H219" i="52" s="1"/>
  <c r="G30" i="50"/>
  <c r="H30" i="52" s="1"/>
  <c r="J30" i="52" s="1"/>
  <c r="G30" i="51" s="1"/>
  <c r="J276" i="50"/>
  <c r="M276" i="52" s="1"/>
  <c r="I217" i="50"/>
  <c r="L217" i="52" s="1"/>
  <c r="I9" i="50"/>
  <c r="L9" i="52" s="1"/>
  <c r="J155" i="50"/>
  <c r="M155" i="52" s="1"/>
  <c r="G126" i="50"/>
  <c r="H126" i="52" s="1"/>
  <c r="H73" i="50"/>
  <c r="I73" i="52" s="1"/>
  <c r="J34" i="50"/>
  <c r="M34" i="52" s="1"/>
  <c r="J75" i="50"/>
  <c r="M75" i="52" s="1"/>
  <c r="I261" i="50"/>
  <c r="L261" i="52" s="1"/>
  <c r="I62" i="50"/>
  <c r="L62" i="52" s="1"/>
  <c r="J73" i="50"/>
  <c r="M73" i="52" s="1"/>
  <c r="J285" i="50"/>
  <c r="M285" i="52" s="1"/>
  <c r="F109" i="52"/>
  <c r="E109" i="51" s="1"/>
  <c r="F289" i="52"/>
  <c r="E289" i="51" s="1"/>
  <c r="F291" i="52"/>
  <c r="E291" i="51" s="1"/>
  <c r="F291" i="51" s="1"/>
  <c r="I153" i="50"/>
  <c r="L153" i="52" s="1"/>
  <c r="G116" i="50"/>
  <c r="H116" i="52" s="1"/>
  <c r="H285" i="50"/>
  <c r="I285" i="52" s="1"/>
  <c r="J285" i="52" s="1"/>
  <c r="G285" i="51" s="1"/>
  <c r="H285" i="51" s="1"/>
  <c r="H245" i="50"/>
  <c r="I245" i="52" s="1"/>
  <c r="H75" i="50"/>
  <c r="I75" i="52" s="1"/>
  <c r="J75" i="52" s="1"/>
  <c r="G75" i="51" s="1"/>
  <c r="J36" i="50"/>
  <c r="M36" i="52" s="1"/>
  <c r="I77" i="50"/>
  <c r="L77" i="52" s="1"/>
  <c r="J113" i="50"/>
  <c r="M113" i="52" s="1"/>
  <c r="J144" i="50"/>
  <c r="M144" i="52" s="1"/>
  <c r="J208" i="50"/>
  <c r="M208" i="52" s="1"/>
  <c r="I177" i="50"/>
  <c r="L177" i="52" s="1"/>
  <c r="J57" i="50"/>
  <c r="M57" i="52" s="1"/>
  <c r="H122" i="50"/>
  <c r="I122" i="52" s="1"/>
  <c r="J122" i="52" s="1"/>
  <c r="G122" i="51" s="1"/>
  <c r="I67" i="50"/>
  <c r="L67" i="52" s="1"/>
  <c r="H40" i="50"/>
  <c r="I40" i="52" s="1"/>
  <c r="G145" i="50"/>
  <c r="H145" i="52" s="1"/>
  <c r="J145" i="52" s="1"/>
  <c r="G145" i="51" s="1"/>
  <c r="I264" i="50"/>
  <c r="L264" i="52" s="1"/>
  <c r="H57" i="50"/>
  <c r="I57" i="52" s="1"/>
  <c r="J277" i="52"/>
  <c r="G277" i="51" s="1"/>
  <c r="H272" i="50"/>
  <c r="I272" i="52" s="1"/>
  <c r="J272" i="52" s="1"/>
  <c r="G175" i="50"/>
  <c r="H175" i="52" s="1"/>
  <c r="G80" i="50"/>
  <c r="H80" i="52" s="1"/>
  <c r="J80" i="52" s="1"/>
  <c r="G80" i="51" s="1"/>
  <c r="H149" i="50"/>
  <c r="I149" i="52" s="1"/>
  <c r="J40" i="50"/>
  <c r="M40" i="52" s="1"/>
  <c r="I116" i="50"/>
  <c r="L116" i="52" s="1"/>
  <c r="F148" i="50"/>
  <c r="D148" i="52" s="1"/>
  <c r="J38" i="50"/>
  <c r="M38" i="52" s="1"/>
  <c r="G77" i="50"/>
  <c r="H77" i="52" s="1"/>
  <c r="I187" i="50"/>
  <c r="L187" i="52" s="1"/>
  <c r="I207" i="50"/>
  <c r="L207" i="52" s="1"/>
  <c r="J214" i="50"/>
  <c r="M214" i="52" s="1"/>
  <c r="I26" i="50"/>
  <c r="L26" i="52" s="1"/>
  <c r="H38" i="50"/>
  <c r="I38" i="52" s="1"/>
  <c r="G209" i="50"/>
  <c r="H209" i="52" s="1"/>
  <c r="I80" i="50"/>
  <c r="L80" i="52" s="1"/>
  <c r="G221" i="50"/>
  <c r="H221" i="52" s="1"/>
  <c r="H48" i="50"/>
  <c r="I48" i="52" s="1"/>
  <c r="G228" i="50"/>
  <c r="H228" i="52" s="1"/>
  <c r="J228" i="52" s="1"/>
  <c r="G228" i="51" s="1"/>
  <c r="G248" i="50"/>
  <c r="H248" i="52" s="1"/>
  <c r="J248" i="52" s="1"/>
  <c r="G248" i="51" s="1"/>
  <c r="G276" i="50"/>
  <c r="H276" i="52" s="1"/>
  <c r="G28" i="50"/>
  <c r="H28" i="52" s="1"/>
  <c r="J236" i="50"/>
  <c r="M236" i="52" s="1"/>
  <c r="H291" i="50"/>
  <c r="I291" i="52" s="1"/>
  <c r="J291" i="52" s="1"/>
  <c r="H93" i="50"/>
  <c r="I93" i="52" s="1"/>
  <c r="I219" i="50"/>
  <c r="L219" i="52" s="1"/>
  <c r="I280" i="50"/>
  <c r="L280" i="52" s="1"/>
  <c r="G73" i="50"/>
  <c r="H73" i="52" s="1"/>
  <c r="G91" i="50"/>
  <c r="H91" i="52" s="1"/>
  <c r="J93" i="50"/>
  <c r="M93" i="52" s="1"/>
  <c r="J291" i="50"/>
  <c r="M291" i="52" s="1"/>
  <c r="N291" i="52" s="1"/>
  <c r="I291" i="51" s="1"/>
  <c r="J291" i="51" s="1"/>
  <c r="G118" i="50"/>
  <c r="H118" i="52" s="1"/>
  <c r="J118" i="52" s="1"/>
  <c r="G118" i="51" s="1"/>
  <c r="G169" i="50"/>
  <c r="H169" i="52" s="1"/>
  <c r="G61" i="50"/>
  <c r="H61" i="52" s="1"/>
  <c r="J61" i="52" s="1"/>
  <c r="G61" i="51" s="1"/>
  <c r="H61" i="51" s="1"/>
  <c r="G264" i="50"/>
  <c r="H264" i="52" s="1"/>
  <c r="J221" i="50"/>
  <c r="M221" i="52" s="1"/>
  <c r="N221" i="52" s="1"/>
  <c r="I221" i="51" s="1"/>
  <c r="I144" i="50"/>
  <c r="L144" i="52" s="1"/>
  <c r="I215" i="50"/>
  <c r="L215" i="52" s="1"/>
  <c r="I73" i="50"/>
  <c r="L73" i="52" s="1"/>
  <c r="I91" i="50"/>
  <c r="L91" i="52" s="1"/>
  <c r="H151" i="50"/>
  <c r="I151" i="52" s="1"/>
  <c r="G185" i="50"/>
  <c r="H185" i="52" s="1"/>
  <c r="H221" i="50"/>
  <c r="I221" i="52" s="1"/>
  <c r="J241" i="50"/>
  <c r="M241" i="52" s="1"/>
  <c r="N241" i="52" s="1"/>
  <c r="I241" i="51" s="1"/>
  <c r="J241" i="51" s="1"/>
  <c r="J289" i="50"/>
  <c r="M289" i="52" s="1"/>
  <c r="H113" i="50"/>
  <c r="I113" i="52" s="1"/>
  <c r="J225" i="50"/>
  <c r="M225" i="52" s="1"/>
  <c r="J151" i="50"/>
  <c r="M151" i="52" s="1"/>
  <c r="J99" i="50"/>
  <c r="M99" i="52" s="1"/>
  <c r="I159" i="50"/>
  <c r="L159" i="52" s="1"/>
  <c r="G189" i="50"/>
  <c r="H189" i="52" s="1"/>
  <c r="G32" i="50"/>
  <c r="H32" i="52" s="1"/>
  <c r="G197" i="50"/>
  <c r="H197" i="52" s="1"/>
  <c r="G207" i="50"/>
  <c r="H207" i="52" s="1"/>
  <c r="J122" i="50"/>
  <c r="M122" i="52" s="1"/>
  <c r="N122" i="52" s="1"/>
  <c r="I122" i="51" s="1"/>
  <c r="J245" i="50"/>
  <c r="M245" i="52" s="1"/>
  <c r="H270" i="50"/>
  <c r="I270" i="52" s="1"/>
  <c r="J59" i="50"/>
  <c r="M59" i="52" s="1"/>
  <c r="I32" i="50"/>
  <c r="L32" i="52" s="1"/>
  <c r="H99" i="50"/>
  <c r="I99" i="52" s="1"/>
  <c r="I175" i="50"/>
  <c r="L175" i="52" s="1"/>
  <c r="U11" i="33"/>
  <c r="J192" i="6"/>
  <c r="K192" i="6" s="1"/>
  <c r="L192" i="6" s="1"/>
  <c r="M192" i="6" s="1"/>
  <c r="I131" i="23"/>
  <c r="N142" i="6"/>
  <c r="I155" i="23"/>
  <c r="I169" i="23"/>
  <c r="J148" i="23"/>
  <c r="J187" i="23"/>
  <c r="I6" i="23"/>
  <c r="J183" i="23"/>
  <c r="I29" i="23"/>
  <c r="J172" i="23"/>
  <c r="J177" i="23"/>
  <c r="I30" i="23"/>
  <c r="J258" i="23"/>
  <c r="J48" i="23"/>
  <c r="N206" i="6"/>
  <c r="O206" i="6" s="1"/>
  <c r="P206" i="6" s="1"/>
  <c r="Q206" i="6" s="1"/>
  <c r="J153" i="23"/>
  <c r="J34" i="23"/>
  <c r="I207" i="23"/>
  <c r="I67" i="23"/>
  <c r="J219" i="23"/>
  <c r="J40" i="23"/>
  <c r="I222" i="23"/>
  <c r="J142" i="6"/>
  <c r="M142" i="6" s="1"/>
  <c r="J73" i="23"/>
  <c r="J38" i="23"/>
  <c r="I165" i="23"/>
  <c r="I213" i="23"/>
  <c r="G53" i="21"/>
  <c r="D53" i="25" s="1"/>
  <c r="H262" i="21"/>
  <c r="M262" i="25" s="1"/>
  <c r="G144" i="21"/>
  <c r="D144" i="25" s="1"/>
  <c r="H67" i="21"/>
  <c r="M67" i="25" s="1"/>
  <c r="O67" i="25" s="1"/>
  <c r="I123" i="21"/>
  <c r="N123" i="25" s="1"/>
  <c r="G201" i="21"/>
  <c r="D201" i="25" s="1"/>
  <c r="E201" i="25" s="1"/>
  <c r="H79" i="21"/>
  <c r="M79" i="25" s="1"/>
  <c r="F283" i="21"/>
  <c r="C283" i="25" s="1"/>
  <c r="E283" i="25" s="1"/>
  <c r="G203" i="21"/>
  <c r="D203" i="25" s="1"/>
  <c r="E203" i="25" s="1"/>
  <c r="I145" i="21"/>
  <c r="N145" i="25" s="1"/>
  <c r="I163" i="21"/>
  <c r="N163" i="25" s="1"/>
  <c r="G262" i="21"/>
  <c r="D262" i="25" s="1"/>
  <c r="H84" i="21"/>
  <c r="M84" i="25" s="1"/>
  <c r="O84" i="25" s="1"/>
  <c r="F101" i="21"/>
  <c r="C101" i="25" s="1"/>
  <c r="F257" i="21"/>
  <c r="C257" i="25" s="1"/>
  <c r="H276" i="21"/>
  <c r="M276" i="25" s="1"/>
  <c r="I231" i="21"/>
  <c r="N231" i="25" s="1"/>
  <c r="F239" i="21"/>
  <c r="C239" i="25" s="1"/>
  <c r="I96" i="21"/>
  <c r="N96" i="25" s="1"/>
  <c r="G289" i="21"/>
  <c r="D289" i="25" s="1"/>
  <c r="H250" i="21"/>
  <c r="M250" i="25" s="1"/>
  <c r="F163" i="21"/>
  <c r="C163" i="25" s="1"/>
  <c r="H175" i="21"/>
  <c r="M175" i="25" s="1"/>
  <c r="H71" i="21"/>
  <c r="M71" i="25" s="1"/>
  <c r="I228" i="21"/>
  <c r="N228" i="25" s="1"/>
  <c r="I179" i="21"/>
  <c r="N179" i="25" s="1"/>
  <c r="E134" i="25"/>
  <c r="I131" i="21"/>
  <c r="N131" i="25" s="1"/>
  <c r="H53" i="21"/>
  <c r="M53" i="25" s="1"/>
  <c r="O53" i="25" s="1"/>
  <c r="I75" i="21"/>
  <c r="N75" i="25" s="1"/>
  <c r="G60" i="21"/>
  <c r="D60" i="25" s="1"/>
  <c r="F145" i="21"/>
  <c r="C145" i="25" s="1"/>
  <c r="G180" i="21"/>
  <c r="D180" i="25" s="1"/>
  <c r="F8" i="21"/>
  <c r="C8" i="25" s="1"/>
  <c r="H130" i="21"/>
  <c r="M130" i="25" s="1"/>
  <c r="G288" i="21"/>
  <c r="D288" i="25" s="1"/>
  <c r="H161" i="21"/>
  <c r="M161" i="25" s="1"/>
  <c r="H143" i="21"/>
  <c r="M143" i="25" s="1"/>
  <c r="F279" i="21"/>
  <c r="C279" i="25" s="1"/>
  <c r="E279" i="25" s="1"/>
  <c r="F228" i="21"/>
  <c r="C228" i="25" s="1"/>
  <c r="G143" i="21"/>
  <c r="D143" i="25" s="1"/>
  <c r="I199" i="21"/>
  <c r="N199" i="25" s="1"/>
  <c r="G44" i="21"/>
  <c r="D44" i="25" s="1"/>
  <c r="I283" i="21"/>
  <c r="N283" i="25" s="1"/>
  <c r="O283" i="25" s="1"/>
  <c r="F286" i="21"/>
  <c r="C286" i="25" s="1"/>
  <c r="E286" i="25" s="1"/>
  <c r="F17" i="21"/>
  <c r="I70" i="21"/>
  <c r="N70" i="25" s="1"/>
  <c r="G152" i="21"/>
  <c r="D152" i="25" s="1"/>
  <c r="I87" i="21"/>
  <c r="N87" i="25" s="1"/>
  <c r="F227" i="21"/>
  <c r="C227" i="25" s="1"/>
  <c r="I222" i="21"/>
  <c r="N222" i="25" s="1"/>
  <c r="G248" i="21"/>
  <c r="D248" i="25" s="1"/>
  <c r="G54" i="21"/>
  <c r="D54" i="25" s="1"/>
  <c r="H38" i="21"/>
  <c r="M38" i="25" s="1"/>
  <c r="F158" i="21"/>
  <c r="C158" i="25" s="1"/>
  <c r="F211" i="21"/>
  <c r="C211" i="25" s="1"/>
  <c r="F194" i="21"/>
  <c r="C194" i="25" s="1"/>
  <c r="E194" i="25" s="1"/>
  <c r="G186" i="21"/>
  <c r="D186" i="25" s="1"/>
  <c r="E186" i="25" s="1"/>
  <c r="H107" i="21"/>
  <c r="M107" i="25" s="1"/>
  <c r="H111" i="21"/>
  <c r="M111" i="25" s="1"/>
  <c r="H226" i="21"/>
  <c r="M226" i="25" s="1"/>
  <c r="I35" i="21"/>
  <c r="N35" i="25" s="1"/>
  <c r="F212" i="21"/>
  <c r="C212" i="25" s="1"/>
  <c r="F15" i="21"/>
  <c r="C15" i="25" s="1"/>
  <c r="I88" i="21"/>
  <c r="N88" i="25" s="1"/>
  <c r="G124" i="21"/>
  <c r="D124" i="25" s="1"/>
  <c r="G271" i="21"/>
  <c r="D271" i="25" s="1"/>
  <c r="I116" i="21"/>
  <c r="N116" i="25" s="1"/>
  <c r="I81" i="21"/>
  <c r="N81" i="25" s="1"/>
  <c r="I221" i="21"/>
  <c r="N221" i="25" s="1"/>
  <c r="I251" i="50"/>
  <c r="L251" i="52" s="1"/>
  <c r="F43" i="21"/>
  <c r="C43" i="25" s="1"/>
  <c r="H43" i="21"/>
  <c r="M43" i="25" s="1"/>
  <c r="I97" i="21"/>
  <c r="N97" i="25" s="1"/>
  <c r="G97" i="21"/>
  <c r="D97" i="25" s="1"/>
  <c r="I170" i="21"/>
  <c r="N170" i="25" s="1"/>
  <c r="G170" i="21"/>
  <c r="D170" i="25" s="1"/>
  <c r="G204" i="21"/>
  <c r="D204" i="25" s="1"/>
  <c r="I204" i="21"/>
  <c r="N204" i="25" s="1"/>
  <c r="C25" i="23"/>
  <c r="I25" i="23" s="1"/>
  <c r="C25" i="21"/>
  <c r="F25" i="21" s="1"/>
  <c r="C25" i="25" s="1"/>
  <c r="F282" i="50"/>
  <c r="D282" i="52" s="1"/>
  <c r="F282" i="52" s="1"/>
  <c r="E282" i="51" s="1"/>
  <c r="F282" i="51" s="1"/>
  <c r="J282" i="50"/>
  <c r="M282" i="52" s="1"/>
  <c r="H197" i="21"/>
  <c r="M197" i="25" s="1"/>
  <c r="E4" i="50"/>
  <c r="C4" i="52" s="1"/>
  <c r="G4" i="50"/>
  <c r="H4" i="52" s="1"/>
  <c r="J4" i="52" s="1"/>
  <c r="K4" i="52" s="1"/>
  <c r="F226" i="50"/>
  <c r="D226" i="52" s="1"/>
  <c r="J226" i="50"/>
  <c r="M226" i="52" s="1"/>
  <c r="N226" i="52" s="1"/>
  <c r="I226" i="51" s="1"/>
  <c r="D277" i="28"/>
  <c r="D279" i="28"/>
  <c r="H235" i="50"/>
  <c r="I235" i="52" s="1"/>
  <c r="F235" i="50"/>
  <c r="D235" i="52" s="1"/>
  <c r="F17" i="50"/>
  <c r="D17" i="52" s="1"/>
  <c r="F17" i="52" s="1"/>
  <c r="E17" i="51" s="1"/>
  <c r="H17" i="50"/>
  <c r="I17" i="52" s="1"/>
  <c r="J22" i="52"/>
  <c r="F93" i="21"/>
  <c r="C93" i="25" s="1"/>
  <c r="E93" i="25" s="1"/>
  <c r="H93" i="21"/>
  <c r="M93" i="25" s="1"/>
  <c r="F289" i="21"/>
  <c r="C289" i="25" s="1"/>
  <c r="H289" i="21"/>
  <c r="M289" i="25" s="1"/>
  <c r="O289" i="25" s="1"/>
  <c r="E133" i="50"/>
  <c r="C133" i="52" s="1"/>
  <c r="F133" i="52" s="1"/>
  <c r="E133" i="51" s="1"/>
  <c r="F133" i="51" s="1"/>
  <c r="I133" i="50"/>
  <c r="L133" i="52" s="1"/>
  <c r="E191" i="50"/>
  <c r="C191" i="52" s="1"/>
  <c r="F191" i="52" s="1"/>
  <c r="E191" i="51" s="1"/>
  <c r="F191" i="51" s="1"/>
  <c r="I191" i="50"/>
  <c r="L191" i="52" s="1"/>
  <c r="G191" i="50"/>
  <c r="H191" i="52" s="1"/>
  <c r="F242" i="50"/>
  <c r="D242" i="52" s="1"/>
  <c r="F242" i="52" s="1"/>
  <c r="E242" i="51" s="1"/>
  <c r="F242" i="51" s="1"/>
  <c r="J242" i="50"/>
  <c r="M242" i="52" s="1"/>
  <c r="N242" i="52" s="1"/>
  <c r="I242" i="51" s="1"/>
  <c r="J242" i="51" s="1"/>
  <c r="I28" i="21"/>
  <c r="N28" i="25" s="1"/>
  <c r="O28" i="25" s="1"/>
  <c r="G28" i="21"/>
  <c r="D28" i="25" s="1"/>
  <c r="I83" i="21"/>
  <c r="N83" i="25" s="1"/>
  <c r="G83" i="21"/>
  <c r="D83" i="25" s="1"/>
  <c r="M261" i="7"/>
  <c r="I261" i="87" s="1"/>
  <c r="D55" i="28"/>
  <c r="F165" i="50"/>
  <c r="D165" i="52" s="1"/>
  <c r="J165" i="50"/>
  <c r="M165" i="52" s="1"/>
  <c r="N165" i="52" s="1"/>
  <c r="I165" i="51" s="1"/>
  <c r="H224" i="23"/>
  <c r="K224" i="26" s="1"/>
  <c r="J224" i="23"/>
  <c r="I86" i="21"/>
  <c r="N86" i="25" s="1"/>
  <c r="I225" i="21"/>
  <c r="N225" i="25" s="1"/>
  <c r="G225" i="21"/>
  <c r="D225" i="25" s="1"/>
  <c r="G80" i="21"/>
  <c r="D80" i="25" s="1"/>
  <c r="F97" i="50"/>
  <c r="D97" i="52" s="1"/>
  <c r="H97" i="50"/>
  <c r="I97" i="52" s="1"/>
  <c r="J97" i="50"/>
  <c r="M97" i="52" s="1"/>
  <c r="D157" i="28"/>
  <c r="D159" i="28"/>
  <c r="G148" i="50"/>
  <c r="H148" i="52" s="1"/>
  <c r="E148" i="50"/>
  <c r="C148" i="52" s="1"/>
  <c r="I148" i="50"/>
  <c r="L148" i="52" s="1"/>
  <c r="F22" i="50"/>
  <c r="D22" i="52" s="1"/>
  <c r="J22" i="50"/>
  <c r="M22" i="52" s="1"/>
  <c r="G275" i="21"/>
  <c r="D275" i="25" s="1"/>
  <c r="F198" i="21"/>
  <c r="C198" i="25" s="1"/>
  <c r="H198" i="21"/>
  <c r="M198" i="25" s="1"/>
  <c r="F37" i="21"/>
  <c r="C37" i="25" s="1"/>
  <c r="H37" i="21"/>
  <c r="M37" i="25" s="1"/>
  <c r="I8" i="21"/>
  <c r="N8" i="25" s="1"/>
  <c r="G8" i="21"/>
  <c r="D8" i="25" s="1"/>
  <c r="I36" i="21"/>
  <c r="N36" i="25" s="1"/>
  <c r="G191" i="21"/>
  <c r="D191" i="25" s="1"/>
  <c r="E191" i="25" s="1"/>
  <c r="I191" i="21"/>
  <c r="N191" i="25" s="1"/>
  <c r="H171" i="21"/>
  <c r="M171" i="25" s="1"/>
  <c r="H206" i="21"/>
  <c r="M206" i="25" s="1"/>
  <c r="F254" i="21"/>
  <c r="C254" i="25" s="1"/>
  <c r="E254" i="25" s="1"/>
  <c r="O288" i="25"/>
  <c r="E34" i="50"/>
  <c r="C34" i="52" s="1"/>
  <c r="F34" i="52" s="1"/>
  <c r="E34" i="51" s="1"/>
  <c r="G34" i="50"/>
  <c r="H34" i="52" s="1"/>
  <c r="I34" i="50"/>
  <c r="L34" i="52" s="1"/>
  <c r="E89" i="50"/>
  <c r="C89" i="52" s="1"/>
  <c r="I89" i="50"/>
  <c r="L89" i="52" s="1"/>
  <c r="G89" i="50"/>
  <c r="H89" i="52" s="1"/>
  <c r="D124" i="28"/>
  <c r="D155" i="28"/>
  <c r="I222" i="50"/>
  <c r="L222" i="52" s="1"/>
  <c r="J17" i="50"/>
  <c r="M17" i="52" s="1"/>
  <c r="I10" i="21"/>
  <c r="N10" i="25" s="1"/>
  <c r="G10" i="21"/>
  <c r="D10" i="25" s="1"/>
  <c r="E10" i="25" s="1"/>
  <c r="I69" i="21"/>
  <c r="N69" i="25" s="1"/>
  <c r="G69" i="21"/>
  <c r="D69" i="25" s="1"/>
  <c r="F224" i="50"/>
  <c r="D224" i="52" s="1"/>
  <c r="J224" i="50"/>
  <c r="M224" i="52" s="1"/>
  <c r="N224" i="52" s="1"/>
  <c r="I224" i="51" s="1"/>
  <c r="I11" i="21"/>
  <c r="N11" i="25" s="1"/>
  <c r="G11" i="21"/>
  <c r="G55" i="21"/>
  <c r="D55" i="25" s="1"/>
  <c r="I173" i="21"/>
  <c r="N173" i="25" s="1"/>
  <c r="F204" i="50"/>
  <c r="D204" i="52" s="1"/>
  <c r="J204" i="50"/>
  <c r="M204" i="52" s="1"/>
  <c r="G205" i="23"/>
  <c r="G205" i="26" s="1"/>
  <c r="J205" i="26" s="1"/>
  <c r="I205" i="23"/>
  <c r="D217" i="28"/>
  <c r="E272" i="50"/>
  <c r="C272" i="52" s="1"/>
  <c r="F272" i="52" s="1"/>
  <c r="E272" i="51" s="1"/>
  <c r="F272" i="51" s="1"/>
  <c r="I272" i="50"/>
  <c r="L272" i="52" s="1"/>
  <c r="G121" i="21"/>
  <c r="D121" i="25" s="1"/>
  <c r="I137" i="21"/>
  <c r="N137" i="25" s="1"/>
  <c r="O137" i="25" s="1"/>
  <c r="F18" i="50"/>
  <c r="D18" i="52" s="1"/>
  <c r="F18" i="52" s="1"/>
  <c r="E18" i="51" s="1"/>
  <c r="J18" i="50"/>
  <c r="M18" i="52" s="1"/>
  <c r="E20" i="50"/>
  <c r="C20" i="52" s="1"/>
  <c r="I20" i="50"/>
  <c r="L20" i="52" s="1"/>
  <c r="D42" i="28"/>
  <c r="J27" i="23"/>
  <c r="H83" i="50"/>
  <c r="I83" i="52" s="1"/>
  <c r="J83" i="52" s="1"/>
  <c r="E5" i="50"/>
  <c r="C5" i="52" s="1"/>
  <c r="G5" i="50"/>
  <c r="H5" i="52" s="1"/>
  <c r="J5" i="52" s="1"/>
  <c r="G5" i="51" s="1"/>
  <c r="E134" i="50"/>
  <c r="C134" i="52" s="1"/>
  <c r="G134" i="50"/>
  <c r="H134" i="52" s="1"/>
  <c r="J134" i="52" s="1"/>
  <c r="G134" i="51" s="1"/>
  <c r="H134" i="51" s="1"/>
  <c r="F192" i="50"/>
  <c r="D192" i="52" s="1"/>
  <c r="J192" i="50"/>
  <c r="M192" i="52" s="1"/>
  <c r="H192" i="50"/>
  <c r="I192" i="52" s="1"/>
  <c r="J83" i="50"/>
  <c r="M83" i="52" s="1"/>
  <c r="N83" i="52" s="1"/>
  <c r="I83" i="51" s="1"/>
  <c r="J83" i="51" s="1"/>
  <c r="E113" i="50"/>
  <c r="C113" i="52" s="1"/>
  <c r="F113" i="52" s="1"/>
  <c r="E113" i="51" s="1"/>
  <c r="G113" i="50"/>
  <c r="H113" i="52" s="1"/>
  <c r="I113" i="50"/>
  <c r="L113" i="52" s="1"/>
  <c r="E115" i="50"/>
  <c r="C115" i="52" s="1"/>
  <c r="G115" i="50"/>
  <c r="H115" i="52" s="1"/>
  <c r="F140" i="50"/>
  <c r="D140" i="52" s="1"/>
  <c r="H140" i="50"/>
  <c r="I140" i="52" s="1"/>
  <c r="E285" i="50"/>
  <c r="C285" i="52" s="1"/>
  <c r="F285" i="52" s="1"/>
  <c r="E285" i="51" s="1"/>
  <c r="F285" i="51" s="1"/>
  <c r="I285" i="50"/>
  <c r="L285" i="52" s="1"/>
  <c r="I285" i="21"/>
  <c r="N285" i="25" s="1"/>
  <c r="H47" i="50"/>
  <c r="I47" i="52" s="1"/>
  <c r="F47" i="50"/>
  <c r="D47" i="52" s="1"/>
  <c r="J47" i="50"/>
  <c r="M47" i="52" s="1"/>
  <c r="E68" i="50"/>
  <c r="C68" i="52" s="1"/>
  <c r="I68" i="50"/>
  <c r="L68" i="52" s="1"/>
  <c r="E37" i="50"/>
  <c r="C37" i="52" s="1"/>
  <c r="F37" i="52" s="1"/>
  <c r="E37" i="51" s="1"/>
  <c r="F37" i="51" s="1"/>
  <c r="G37" i="50"/>
  <c r="H37" i="52" s="1"/>
  <c r="D144" i="28"/>
  <c r="H224" i="50"/>
  <c r="I224" i="52" s="1"/>
  <c r="F197" i="21"/>
  <c r="C197" i="25" s="1"/>
  <c r="E197" i="25" s="1"/>
  <c r="F154" i="21"/>
  <c r="C154" i="25" s="1"/>
  <c r="H154" i="21"/>
  <c r="M154" i="25" s="1"/>
  <c r="O154" i="25" s="1"/>
  <c r="H133" i="21"/>
  <c r="M133" i="25" s="1"/>
  <c r="F133" i="21"/>
  <c r="C133" i="25" s="1"/>
  <c r="E133" i="25" s="1"/>
  <c r="I20" i="21"/>
  <c r="N20" i="25" s="1"/>
  <c r="O20" i="25" s="1"/>
  <c r="G20" i="21"/>
  <c r="D20" i="25" s="1"/>
  <c r="H11" i="50"/>
  <c r="I11" i="52" s="1"/>
  <c r="F11" i="50"/>
  <c r="D11" i="52" s="1"/>
  <c r="E92" i="50"/>
  <c r="C92" i="52" s="1"/>
  <c r="F92" i="52" s="1"/>
  <c r="E92" i="51" s="1"/>
  <c r="F92" i="51" s="1"/>
  <c r="I92" i="50"/>
  <c r="L92" i="52" s="1"/>
  <c r="F180" i="50"/>
  <c r="D180" i="52" s="1"/>
  <c r="J180" i="50"/>
  <c r="M180" i="52" s="1"/>
  <c r="H42" i="21"/>
  <c r="M42" i="25" s="1"/>
  <c r="O42" i="25" s="1"/>
  <c r="F65" i="50"/>
  <c r="D65" i="52" s="1"/>
  <c r="J65" i="50"/>
  <c r="M65" i="52" s="1"/>
  <c r="E98" i="50"/>
  <c r="C98" i="52" s="1"/>
  <c r="G98" i="50"/>
  <c r="H98" i="52" s="1"/>
  <c r="I98" i="50"/>
  <c r="L98" i="52" s="1"/>
  <c r="F102" i="50"/>
  <c r="D102" i="52" s="1"/>
  <c r="F102" i="52" s="1"/>
  <c r="E102" i="51" s="1"/>
  <c r="H102" i="50"/>
  <c r="I102" i="52" s="1"/>
  <c r="E178" i="50"/>
  <c r="C178" i="52" s="1"/>
  <c r="I178" i="50"/>
  <c r="L178" i="52" s="1"/>
  <c r="F153" i="21"/>
  <c r="C153" i="25" s="1"/>
  <c r="H64" i="21"/>
  <c r="M64" i="25" s="1"/>
  <c r="O64" i="25" s="1"/>
  <c r="H45" i="21"/>
  <c r="M45" i="25" s="1"/>
  <c r="J87" i="23"/>
  <c r="I215" i="23"/>
  <c r="F222" i="21"/>
  <c r="C222" i="25" s="1"/>
  <c r="E222" i="25" s="1"/>
  <c r="H204" i="21"/>
  <c r="M204" i="25" s="1"/>
  <c r="F185" i="21"/>
  <c r="C185" i="25" s="1"/>
  <c r="I151" i="23"/>
  <c r="N215" i="26"/>
  <c r="N148" i="26"/>
  <c r="I115" i="23"/>
  <c r="N98" i="26"/>
  <c r="I259" i="23"/>
  <c r="I106" i="23"/>
  <c r="H148" i="21"/>
  <c r="M148" i="25" s="1"/>
  <c r="I286" i="23"/>
  <c r="I290" i="23"/>
  <c r="G150" i="21"/>
  <c r="D150" i="25" s="1"/>
  <c r="I248" i="21"/>
  <c r="N248" i="25" s="1"/>
  <c r="F6" i="50"/>
  <c r="D6" i="52" s="1"/>
  <c r="N235" i="6"/>
  <c r="F290" i="21"/>
  <c r="C290" i="25" s="1"/>
  <c r="I132" i="23"/>
  <c r="H291" i="21"/>
  <c r="M291" i="25" s="1"/>
  <c r="H29" i="21"/>
  <c r="M29" i="25" s="1"/>
  <c r="I30" i="21"/>
  <c r="N30" i="25" s="1"/>
  <c r="I79" i="21"/>
  <c r="N79" i="25" s="1"/>
  <c r="J173" i="23"/>
  <c r="I69" i="23"/>
  <c r="F155" i="52"/>
  <c r="E155" i="51" s="1"/>
  <c r="H148" i="26"/>
  <c r="I148" i="26" s="1"/>
  <c r="J148" i="26" s="1"/>
  <c r="H71" i="26"/>
  <c r="I71" i="26" s="1"/>
  <c r="L83" i="26"/>
  <c r="M83" i="26" s="1"/>
  <c r="N83" i="26" s="1"/>
  <c r="L170" i="26"/>
  <c r="M170" i="26" s="1"/>
  <c r="N170" i="26" s="1"/>
  <c r="L104" i="26"/>
  <c r="M104" i="26" s="1"/>
  <c r="H113" i="26"/>
  <c r="I113" i="26" s="1"/>
  <c r="H132" i="26"/>
  <c r="I132" i="26" s="1"/>
  <c r="H134" i="26"/>
  <c r="I134" i="26" s="1"/>
  <c r="J134" i="26" s="1"/>
  <c r="H137" i="26"/>
  <c r="I137" i="26" s="1"/>
  <c r="L223" i="26"/>
  <c r="M223" i="26" s="1"/>
  <c r="L19" i="26"/>
  <c r="M19" i="26" s="1"/>
  <c r="N19" i="26" s="1"/>
  <c r="L25" i="26"/>
  <c r="M25" i="26" s="1"/>
  <c r="N25" i="26" s="1"/>
  <c r="H147" i="26"/>
  <c r="I147" i="26" s="1"/>
  <c r="L262" i="26"/>
  <c r="M262" i="26" s="1"/>
  <c r="L27" i="26"/>
  <c r="M27" i="26" s="1"/>
  <c r="N27" i="26" s="1"/>
  <c r="L45" i="26"/>
  <c r="M45" i="26" s="1"/>
  <c r="N45" i="26" s="1"/>
  <c r="J108" i="26"/>
  <c r="H117" i="26"/>
  <c r="I117" i="26" s="1"/>
  <c r="H139" i="26"/>
  <c r="I139" i="26" s="1"/>
  <c r="H153" i="26"/>
  <c r="I153" i="26" s="1"/>
  <c r="H50" i="26"/>
  <c r="I50" i="26" s="1"/>
  <c r="L58" i="26"/>
  <c r="M58" i="26" s="1"/>
  <c r="H70" i="26"/>
  <c r="I70" i="26" s="1"/>
  <c r="H90" i="26"/>
  <c r="I90" i="26" s="1"/>
  <c r="J90" i="26" s="1"/>
  <c r="L92" i="26"/>
  <c r="M92" i="26" s="1"/>
  <c r="N92" i="26" s="1"/>
  <c r="L246" i="26"/>
  <c r="M246" i="26" s="1"/>
  <c r="N246" i="26" s="1"/>
  <c r="O246" i="26" s="1"/>
  <c r="H276" i="26"/>
  <c r="I276" i="26" s="1"/>
  <c r="H110" i="26"/>
  <c r="I110" i="26" s="1"/>
  <c r="L145" i="26"/>
  <c r="M145" i="26" s="1"/>
  <c r="L33" i="26"/>
  <c r="M33" i="26" s="1"/>
  <c r="N33" i="26" s="1"/>
  <c r="L42" i="26"/>
  <c r="M42" i="26" s="1"/>
  <c r="N42" i="26" s="1"/>
  <c r="L72" i="26"/>
  <c r="M72" i="26" s="1"/>
  <c r="L119" i="26"/>
  <c r="M119" i="26" s="1"/>
  <c r="H150" i="26"/>
  <c r="I150" i="26" s="1"/>
  <c r="H67" i="26"/>
  <c r="I67" i="26" s="1"/>
  <c r="L79" i="26"/>
  <c r="M79" i="26" s="1"/>
  <c r="H112" i="26"/>
  <c r="I112" i="26" s="1"/>
  <c r="H174" i="26"/>
  <c r="I174" i="26" s="1"/>
  <c r="L211" i="26"/>
  <c r="M211" i="26" s="1"/>
  <c r="L213" i="26"/>
  <c r="M213" i="26" s="1"/>
  <c r="N213" i="26" s="1"/>
  <c r="H225" i="26"/>
  <c r="I225" i="26" s="1"/>
  <c r="H251" i="26"/>
  <c r="I251" i="26" s="1"/>
  <c r="L271" i="26"/>
  <c r="M271" i="26" s="1"/>
  <c r="N271" i="26" s="1"/>
  <c r="L18" i="26"/>
  <c r="M18" i="26" s="1"/>
  <c r="N18" i="26" s="1"/>
  <c r="L84" i="26"/>
  <c r="M84" i="26" s="1"/>
  <c r="N84" i="26" s="1"/>
  <c r="H169" i="26"/>
  <c r="I169" i="26" s="1"/>
  <c r="J169" i="26" s="1"/>
  <c r="H114" i="26"/>
  <c r="I114" i="26" s="1"/>
  <c r="L123" i="26"/>
  <c r="M123" i="26" s="1"/>
  <c r="L135" i="26"/>
  <c r="M135" i="26" s="1"/>
  <c r="N135" i="26" s="1"/>
  <c r="L192" i="26"/>
  <c r="M192" i="26" s="1"/>
  <c r="N192" i="26" s="1"/>
  <c r="H96" i="26"/>
  <c r="I96" i="26" s="1"/>
  <c r="H128" i="26"/>
  <c r="I128" i="26" s="1"/>
  <c r="L231" i="26"/>
  <c r="M231" i="26" s="1"/>
  <c r="N231" i="26" s="1"/>
  <c r="H149" i="26"/>
  <c r="I149" i="26" s="1"/>
  <c r="H186" i="26"/>
  <c r="I186" i="26" s="1"/>
  <c r="J186" i="26" s="1"/>
  <c r="L204" i="26"/>
  <c r="M204" i="26" s="1"/>
  <c r="L258" i="26"/>
  <c r="M258" i="26" s="1"/>
  <c r="L277" i="26"/>
  <c r="M277" i="26" s="1"/>
  <c r="N277" i="26" s="1"/>
  <c r="H39" i="26"/>
  <c r="I39" i="26" s="1"/>
  <c r="H171" i="26"/>
  <c r="I171" i="26" s="1"/>
  <c r="L279" i="26"/>
  <c r="M279" i="26" s="1"/>
  <c r="N279" i="26" s="1"/>
  <c r="F218" i="52"/>
  <c r="E218" i="51" s="1"/>
  <c r="J103" i="52"/>
  <c r="N158" i="52"/>
  <c r="I158" i="51" s="1"/>
  <c r="F241" i="52"/>
  <c r="E241" i="51" s="1"/>
  <c r="F241" i="51" s="1"/>
  <c r="J226" i="52"/>
  <c r="G226" i="51" s="1"/>
  <c r="H282" i="39"/>
  <c r="AP4" i="7"/>
  <c r="AQ89" i="7"/>
  <c r="AR108" i="7"/>
  <c r="H108" i="39" s="1"/>
  <c r="AR143" i="7"/>
  <c r="H143" i="39" s="1"/>
  <c r="H235" i="39"/>
  <c r="AQ5" i="7"/>
  <c r="AP56" i="7"/>
  <c r="AQ53" i="7"/>
  <c r="AO136" i="7"/>
  <c r="AP62" i="7"/>
  <c r="AN64" i="7"/>
  <c r="AR53" i="7"/>
  <c r="H53" i="39" s="1"/>
  <c r="AQ63" i="7"/>
  <c r="AN5" i="7"/>
  <c r="AR67" i="7"/>
  <c r="AR63" i="7"/>
  <c r="AR70" i="7"/>
  <c r="H70" i="39" s="1"/>
  <c r="AQ60" i="7"/>
  <c r="AO56" i="7"/>
  <c r="H263" i="39"/>
  <c r="H190" i="39"/>
  <c r="O147" i="6"/>
  <c r="P147" i="6" s="1"/>
  <c r="K241" i="6"/>
  <c r="L241" i="6" s="1"/>
  <c r="M241" i="6" s="1"/>
  <c r="K31" i="6"/>
  <c r="L31" i="6" s="1"/>
  <c r="K76" i="6"/>
  <c r="L76" i="6" s="1"/>
  <c r="O291" i="6"/>
  <c r="P291" i="6" s="1"/>
  <c r="K208" i="6"/>
  <c r="L208" i="6" s="1"/>
  <c r="K47" i="6"/>
  <c r="L47" i="6" s="1"/>
  <c r="O43" i="6"/>
  <c r="P43" i="6" s="1"/>
  <c r="O142" i="6"/>
  <c r="P142" i="6" s="1"/>
  <c r="O111" i="6"/>
  <c r="P111" i="6" s="1"/>
  <c r="K168" i="6"/>
  <c r="L168" i="6" s="1"/>
  <c r="K242" i="6"/>
  <c r="L242" i="6" s="1"/>
  <c r="M242" i="6" s="1"/>
  <c r="O200" i="6"/>
  <c r="P200" i="6" s="1"/>
  <c r="O127" i="6"/>
  <c r="P127" i="6" s="1"/>
  <c r="O75" i="6"/>
  <c r="P75" i="6" s="1"/>
  <c r="O64" i="6"/>
  <c r="P64" i="6" s="1"/>
  <c r="K93" i="6"/>
  <c r="L93" i="6" s="1"/>
  <c r="O80" i="6"/>
  <c r="P80" i="6" s="1"/>
  <c r="K79" i="6"/>
  <c r="L79" i="6" s="1"/>
  <c r="P165" i="46"/>
  <c r="P137" i="46"/>
  <c r="P38" i="46"/>
  <c r="P65" i="46"/>
  <c r="E246" i="25"/>
  <c r="P91" i="46"/>
  <c r="P196" i="46"/>
  <c r="P80" i="46"/>
  <c r="P105" i="46"/>
  <c r="P270" i="46"/>
  <c r="E241" i="25"/>
  <c r="E75" i="25"/>
  <c r="E59" i="25"/>
  <c r="P181" i="46"/>
  <c r="P198" i="46"/>
  <c r="J274" i="52"/>
  <c r="G274" i="51" s="1"/>
  <c r="H274" i="51" s="1"/>
  <c r="H126" i="50"/>
  <c r="I126" i="52" s="1"/>
  <c r="G48" i="50"/>
  <c r="H48" i="52" s="1"/>
  <c r="J126" i="50"/>
  <c r="M126" i="52" s="1"/>
  <c r="N126" i="52" s="1"/>
  <c r="I126" i="51" s="1"/>
  <c r="J126" i="51" s="1"/>
  <c r="I79" i="50"/>
  <c r="L79" i="52" s="1"/>
  <c r="N209" i="52"/>
  <c r="I209" i="51" s="1"/>
  <c r="G203" i="50"/>
  <c r="H203" i="52" s="1"/>
  <c r="G161" i="50"/>
  <c r="H161" i="52" s="1"/>
  <c r="H216" i="50"/>
  <c r="I216" i="52" s="1"/>
  <c r="H76" i="50"/>
  <c r="I76" i="52" s="1"/>
  <c r="J76" i="52" s="1"/>
  <c r="G76" i="51" s="1"/>
  <c r="H76" i="51" s="1"/>
  <c r="J96" i="50"/>
  <c r="M96" i="52" s="1"/>
  <c r="F288" i="52"/>
  <c r="E288" i="51" s="1"/>
  <c r="F288" i="51" s="1"/>
  <c r="G260" i="50"/>
  <c r="H260" i="52" s="1"/>
  <c r="J260" i="52" s="1"/>
  <c r="G260" i="51" s="1"/>
  <c r="H260" i="51" s="1"/>
  <c r="G119" i="50"/>
  <c r="H119" i="52" s="1"/>
  <c r="I136" i="50"/>
  <c r="L136" i="52" s="1"/>
  <c r="I260" i="50"/>
  <c r="L260" i="52" s="1"/>
  <c r="I150" i="50"/>
  <c r="L150" i="52" s="1"/>
  <c r="J150" i="52"/>
  <c r="I141" i="50"/>
  <c r="L141" i="52" s="1"/>
  <c r="N141" i="52" s="1"/>
  <c r="I141" i="51" s="1"/>
  <c r="J141" i="51" s="1"/>
  <c r="J174" i="50"/>
  <c r="M174" i="52" s="1"/>
  <c r="H174" i="50"/>
  <c r="I174" i="52" s="1"/>
  <c r="J174" i="52" s="1"/>
  <c r="G174" i="51" s="1"/>
  <c r="G74" i="50"/>
  <c r="H74" i="52" s="1"/>
  <c r="G270" i="50"/>
  <c r="H270" i="52" s="1"/>
  <c r="J204" i="52"/>
  <c r="G204" i="51" s="1"/>
  <c r="H204" i="51" s="1"/>
  <c r="G212" i="50"/>
  <c r="H212" i="52" s="1"/>
  <c r="I203" i="50"/>
  <c r="L203" i="52" s="1"/>
  <c r="I74" i="50"/>
  <c r="L74" i="52" s="1"/>
  <c r="N74" i="52" s="1"/>
  <c r="I74" i="51" s="1"/>
  <c r="J74" i="51" s="1"/>
  <c r="J76" i="50"/>
  <c r="M76" i="52" s="1"/>
  <c r="G253" i="50"/>
  <c r="H253" i="52" s="1"/>
  <c r="E196" i="50"/>
  <c r="C196" i="52" s="1"/>
  <c r="I161" i="50"/>
  <c r="L161" i="52" s="1"/>
  <c r="I270" i="50"/>
  <c r="L270" i="52" s="1"/>
  <c r="I48" i="50"/>
  <c r="L48" i="52" s="1"/>
  <c r="N48" i="52" s="1"/>
  <c r="I48" i="51" s="1"/>
  <c r="I253" i="50"/>
  <c r="L253" i="52" s="1"/>
  <c r="J216" i="50"/>
  <c r="M216" i="52" s="1"/>
  <c r="J138" i="52"/>
  <c r="G138" i="51" s="1"/>
  <c r="F110" i="52"/>
  <c r="G94" i="50"/>
  <c r="H94" i="52" s="1"/>
  <c r="J242" i="52"/>
  <c r="G242" i="51" s="1"/>
  <c r="H242" i="51" s="1"/>
  <c r="H96" i="50"/>
  <c r="I96" i="52" s="1"/>
  <c r="H165" i="50"/>
  <c r="I165" i="52" s="1"/>
  <c r="I94" i="50"/>
  <c r="L94" i="52" s="1"/>
  <c r="N94" i="52" s="1"/>
  <c r="I94" i="51" s="1"/>
  <c r="I103" i="50"/>
  <c r="L103" i="52" s="1"/>
  <c r="G141" i="50"/>
  <c r="H141" i="52" s="1"/>
  <c r="I288" i="23"/>
  <c r="J221" i="23"/>
  <c r="I197" i="23"/>
  <c r="J271" i="6"/>
  <c r="K271" i="6" s="1"/>
  <c r="L271" i="6" s="1"/>
  <c r="M271" i="6" s="1"/>
  <c r="N61" i="6"/>
  <c r="O61" i="6" s="1"/>
  <c r="P61" i="6" s="1"/>
  <c r="Q61" i="6" s="1"/>
  <c r="I159" i="23"/>
  <c r="L206" i="26"/>
  <c r="M206" i="26" s="1"/>
  <c r="N206" i="26" s="1"/>
  <c r="J254" i="23"/>
  <c r="J119" i="26"/>
  <c r="J203" i="26"/>
  <c r="J17" i="23"/>
  <c r="N18" i="6"/>
  <c r="J66" i="23"/>
  <c r="J76" i="23"/>
  <c r="I168" i="23"/>
  <c r="I137" i="23"/>
  <c r="J197" i="23"/>
  <c r="J82" i="23"/>
  <c r="J57" i="23"/>
  <c r="L77" i="26"/>
  <c r="M77" i="26" s="1"/>
  <c r="N77" i="26" s="1"/>
  <c r="J97" i="23"/>
  <c r="J51" i="23"/>
  <c r="J69" i="23"/>
  <c r="I134" i="23"/>
  <c r="F47" i="21"/>
  <c r="C47" i="25" s="1"/>
  <c r="E47" i="25" s="1"/>
  <c r="I241" i="21"/>
  <c r="N241" i="25" s="1"/>
  <c r="O241" i="25" s="1"/>
  <c r="H220" i="21"/>
  <c r="M220" i="25" s="1"/>
  <c r="O220" i="25" s="1"/>
  <c r="F184" i="21"/>
  <c r="C184" i="25" s="1"/>
  <c r="G278" i="21"/>
  <c r="D278" i="25" s="1"/>
  <c r="I279" i="21"/>
  <c r="N279" i="25" s="1"/>
  <c r="O279" i="25" s="1"/>
  <c r="O58" i="25"/>
  <c r="H221" i="21"/>
  <c r="M221" i="25" s="1"/>
  <c r="H183" i="21"/>
  <c r="M183" i="25" s="1"/>
  <c r="O183" i="25" s="1"/>
  <c r="I45" i="21"/>
  <c r="N45" i="25" s="1"/>
  <c r="G163" i="21"/>
  <c r="D163" i="25" s="1"/>
  <c r="I263" i="21"/>
  <c r="N263" i="25" s="1"/>
  <c r="H121" i="21"/>
  <c r="M121" i="25" s="1"/>
  <c r="G79" i="21"/>
  <c r="D79" i="25" s="1"/>
  <c r="H153" i="21"/>
  <c r="M153" i="25" s="1"/>
  <c r="F206" i="21"/>
  <c r="C206" i="25" s="1"/>
  <c r="E206" i="25" s="1"/>
  <c r="G106" i="21"/>
  <c r="D106" i="25" s="1"/>
  <c r="I93" i="21"/>
  <c r="N93" i="25" s="1"/>
  <c r="H223" i="21"/>
  <c r="M223" i="25" s="1"/>
  <c r="O223" i="25" s="1"/>
  <c r="G4" i="21"/>
  <c r="D4" i="25" s="1"/>
  <c r="I211" i="21"/>
  <c r="N211" i="25" s="1"/>
  <c r="F150" i="21"/>
  <c r="C150" i="25" s="1"/>
  <c r="F182" i="21"/>
  <c r="C182" i="25" s="1"/>
  <c r="E272" i="25"/>
  <c r="H254" i="21"/>
  <c r="M254" i="25" s="1"/>
  <c r="O254" i="25" s="1"/>
  <c r="F31" i="21"/>
  <c r="C31" i="25" s="1"/>
  <c r="G227" i="21"/>
  <c r="D227" i="25" s="1"/>
  <c r="G277" i="21"/>
  <c r="D277" i="25" s="1"/>
  <c r="I130" i="21"/>
  <c r="N130" i="25" s="1"/>
  <c r="G128" i="21"/>
  <c r="D128" i="25" s="1"/>
  <c r="G179" i="21"/>
  <c r="D179" i="25" s="1"/>
  <c r="H166" i="21"/>
  <c r="M166" i="25" s="1"/>
  <c r="O166" i="25" s="1"/>
  <c r="G172" i="21"/>
  <c r="D172" i="25" s="1"/>
  <c r="G141" i="21"/>
  <c r="D141" i="25" s="1"/>
  <c r="E141" i="25" s="1"/>
  <c r="G15" i="21"/>
  <c r="D15" i="25" s="1"/>
  <c r="F251" i="21"/>
  <c r="C251" i="25" s="1"/>
  <c r="I212" i="21"/>
  <c r="N212" i="25" s="1"/>
  <c r="F61" i="21"/>
  <c r="C61" i="25" s="1"/>
  <c r="E61" i="25" s="1"/>
  <c r="I214" i="21"/>
  <c r="N214" i="25" s="1"/>
  <c r="I150" i="21"/>
  <c r="N150" i="25" s="1"/>
  <c r="H27" i="21"/>
  <c r="M27" i="25" s="1"/>
  <c r="H222" i="21"/>
  <c r="M222" i="25" s="1"/>
  <c r="G92" i="21"/>
  <c r="D92" i="25" s="1"/>
  <c r="I156" i="21"/>
  <c r="N156" i="25" s="1"/>
  <c r="G280" i="21"/>
  <c r="D280" i="25" s="1"/>
  <c r="E280" i="25" s="1"/>
  <c r="F171" i="21"/>
  <c r="C171" i="25" s="1"/>
  <c r="H141" i="21"/>
  <c r="M141" i="25" s="1"/>
  <c r="O141" i="25" s="1"/>
  <c r="G156" i="21"/>
  <c r="D156" i="25" s="1"/>
  <c r="H152" i="21"/>
  <c r="M152" i="25" s="1"/>
  <c r="H95" i="21"/>
  <c r="M95" i="25" s="1"/>
  <c r="G137" i="21"/>
  <c r="D137" i="25" s="1"/>
  <c r="F76" i="21"/>
  <c r="C76" i="25" s="1"/>
  <c r="G166" i="21"/>
  <c r="D166" i="25" s="1"/>
  <c r="E166" i="25" s="1"/>
  <c r="H142" i="21"/>
  <c r="M142" i="25" s="1"/>
  <c r="G147" i="21"/>
  <c r="D147" i="25" s="1"/>
  <c r="I73" i="21"/>
  <c r="N73" i="25" s="1"/>
  <c r="F271" i="21"/>
  <c r="C271" i="25" s="1"/>
  <c r="I119" i="21"/>
  <c r="N119" i="25" s="1"/>
  <c r="G261" i="21"/>
  <c r="D261" i="25" s="1"/>
  <c r="I194" i="21"/>
  <c r="N194" i="25" s="1"/>
  <c r="F169" i="21"/>
  <c r="C169" i="25" s="1"/>
  <c r="F45" i="21"/>
  <c r="C45" i="25" s="1"/>
  <c r="E45" i="25" s="1"/>
  <c r="G108" i="21"/>
  <c r="D108" i="25" s="1"/>
  <c r="F99" i="21"/>
  <c r="C99" i="25" s="1"/>
  <c r="E99" i="25" s="1"/>
  <c r="O271" i="25"/>
  <c r="H156" i="21"/>
  <c r="M156" i="25" s="1"/>
  <c r="H115" i="21"/>
  <c r="M115" i="25" s="1"/>
  <c r="G162" i="21"/>
  <c r="D162" i="25" s="1"/>
  <c r="I255" i="21"/>
  <c r="N255" i="25" s="1"/>
  <c r="H22" i="21"/>
  <c r="M22" i="25" s="1"/>
  <c r="G74" i="21"/>
  <c r="D74" i="25" s="1"/>
  <c r="H203" i="21"/>
  <c r="M203" i="25" s="1"/>
  <c r="O203" i="25" s="1"/>
  <c r="I129" i="21"/>
  <c r="N129" i="25" s="1"/>
  <c r="I246" i="21"/>
  <c r="N246" i="25" s="1"/>
  <c r="O246" i="25" s="1"/>
  <c r="G109" i="21"/>
  <c r="D109" i="25" s="1"/>
  <c r="H149" i="21"/>
  <c r="M149" i="25" s="1"/>
  <c r="F215" i="21"/>
  <c r="C215" i="25" s="1"/>
  <c r="I239" i="21"/>
  <c r="N239" i="25" s="1"/>
  <c r="H168" i="21"/>
  <c r="M168" i="25" s="1"/>
  <c r="O168" i="25" s="1"/>
  <c r="F29" i="21"/>
  <c r="C29" i="25" s="1"/>
  <c r="H185" i="21"/>
  <c r="M185" i="25" s="1"/>
  <c r="H186" i="21"/>
  <c r="M186" i="25" s="1"/>
  <c r="O186" i="25" s="1"/>
  <c r="G32" i="21"/>
  <c r="D32" i="25" s="1"/>
  <c r="I206" i="21"/>
  <c r="N206" i="25" s="1"/>
  <c r="H48" i="21"/>
  <c r="M48" i="25" s="1"/>
  <c r="O48" i="25" s="1"/>
  <c r="H201" i="21"/>
  <c r="M201" i="25" s="1"/>
  <c r="O201" i="25" s="1"/>
  <c r="F84" i="21"/>
  <c r="C84" i="25" s="1"/>
  <c r="E84" i="25" s="1"/>
  <c r="I273" i="21"/>
  <c r="N273" i="25" s="1"/>
  <c r="F41" i="21"/>
  <c r="C41" i="25" s="1"/>
  <c r="E41" i="25" s="1"/>
  <c r="F63" i="50"/>
  <c r="D63" i="52" s="1"/>
  <c r="J63" i="50"/>
  <c r="M63" i="52" s="1"/>
  <c r="E99" i="50"/>
  <c r="C99" i="52" s="1"/>
  <c r="F99" i="52" s="1"/>
  <c r="E99" i="51" s="1"/>
  <c r="F99" i="51" s="1"/>
  <c r="I99" i="50"/>
  <c r="L99" i="52" s="1"/>
  <c r="G99" i="50"/>
  <c r="H99" i="52" s="1"/>
  <c r="C36" i="28"/>
  <c r="E59" i="50"/>
  <c r="C59" i="52" s="1"/>
  <c r="F59" i="52" s="1"/>
  <c r="E59" i="51" s="1"/>
  <c r="F59" i="51" s="1"/>
  <c r="I59" i="50"/>
  <c r="L59" i="52" s="1"/>
  <c r="G59" i="50"/>
  <c r="H59" i="52" s="1"/>
  <c r="G190" i="50"/>
  <c r="H190" i="52" s="1"/>
  <c r="J190" i="52" s="1"/>
  <c r="I190" i="50"/>
  <c r="L190" i="52" s="1"/>
  <c r="E190" i="50"/>
  <c r="C190" i="52" s="1"/>
  <c r="I246" i="50"/>
  <c r="L246" i="52" s="1"/>
  <c r="G246" i="50"/>
  <c r="H246" i="52" s="1"/>
  <c r="G38" i="21"/>
  <c r="D38" i="25" s="1"/>
  <c r="I38" i="21"/>
  <c r="N38" i="25" s="1"/>
  <c r="G19" i="21"/>
  <c r="D19" i="25" s="1"/>
  <c r="I19" i="21"/>
  <c r="N19" i="25" s="1"/>
  <c r="H135" i="21"/>
  <c r="M135" i="25" s="1"/>
  <c r="F135" i="21"/>
  <c r="C135" i="25" s="1"/>
  <c r="E135" i="25" s="1"/>
  <c r="H119" i="21"/>
  <c r="M119" i="25" s="1"/>
  <c r="F119" i="21"/>
  <c r="C119" i="25" s="1"/>
  <c r="H100" i="21"/>
  <c r="M100" i="25" s="1"/>
  <c r="F100" i="21"/>
  <c r="C100" i="25" s="1"/>
  <c r="F94" i="21"/>
  <c r="C94" i="25" s="1"/>
  <c r="G94" i="21"/>
  <c r="D94" i="25" s="1"/>
  <c r="I94" i="21"/>
  <c r="N94" i="25" s="1"/>
  <c r="H94" i="21"/>
  <c r="M94" i="25" s="1"/>
  <c r="H114" i="21"/>
  <c r="M114" i="25" s="1"/>
  <c r="F114" i="21"/>
  <c r="C114" i="25" s="1"/>
  <c r="I151" i="21"/>
  <c r="N151" i="25" s="1"/>
  <c r="G151" i="21"/>
  <c r="D151" i="25" s="1"/>
  <c r="F202" i="21"/>
  <c r="C202" i="25" s="1"/>
  <c r="H202" i="21"/>
  <c r="M202" i="25" s="1"/>
  <c r="H196" i="21"/>
  <c r="M196" i="25" s="1"/>
  <c r="H273" i="21"/>
  <c r="M273" i="25" s="1"/>
  <c r="F273" i="21"/>
  <c r="C273" i="25" s="1"/>
  <c r="F255" i="21"/>
  <c r="C255" i="25" s="1"/>
  <c r="H255" i="21"/>
  <c r="M255" i="25" s="1"/>
  <c r="F225" i="21"/>
  <c r="C225" i="25" s="1"/>
  <c r="H225" i="21"/>
  <c r="M225" i="25" s="1"/>
  <c r="F207" i="21"/>
  <c r="C207" i="25" s="1"/>
  <c r="E207" i="25" s="1"/>
  <c r="H207" i="21"/>
  <c r="M207" i="25" s="1"/>
  <c r="H188" i="21"/>
  <c r="M188" i="25" s="1"/>
  <c r="F188" i="21"/>
  <c r="C188" i="25" s="1"/>
  <c r="H172" i="21"/>
  <c r="M172" i="25" s="1"/>
  <c r="F172" i="21"/>
  <c r="C172" i="25" s="1"/>
  <c r="H155" i="21"/>
  <c r="M155" i="25" s="1"/>
  <c r="F155" i="21"/>
  <c r="C155" i="25" s="1"/>
  <c r="F32" i="21"/>
  <c r="C32" i="25" s="1"/>
  <c r="H32" i="21"/>
  <c r="M32" i="25" s="1"/>
  <c r="O32" i="25" s="1"/>
  <c r="H132" i="21"/>
  <c r="M132" i="25" s="1"/>
  <c r="O132" i="25" s="1"/>
  <c r="F132" i="21"/>
  <c r="C132" i="25" s="1"/>
  <c r="F116" i="21"/>
  <c r="C116" i="25" s="1"/>
  <c r="H116" i="21"/>
  <c r="M116" i="25" s="1"/>
  <c r="F97" i="21"/>
  <c r="C97" i="25" s="1"/>
  <c r="H97" i="21"/>
  <c r="M97" i="25" s="1"/>
  <c r="F81" i="21"/>
  <c r="C81" i="25" s="1"/>
  <c r="E81" i="25" s="1"/>
  <c r="H81" i="21"/>
  <c r="M81" i="25" s="1"/>
  <c r="H65" i="21"/>
  <c r="M65" i="25" s="1"/>
  <c r="F65" i="21"/>
  <c r="C65" i="25" s="1"/>
  <c r="F50" i="21"/>
  <c r="C50" i="25" s="1"/>
  <c r="E50" i="25" s="1"/>
  <c r="H50" i="21"/>
  <c r="M50" i="25" s="1"/>
  <c r="I110" i="21"/>
  <c r="N110" i="25" s="1"/>
  <c r="G110" i="21"/>
  <c r="D110" i="25" s="1"/>
  <c r="M51" i="7"/>
  <c r="I51" i="87" s="1"/>
  <c r="F50" i="50"/>
  <c r="D50" i="52" s="1"/>
  <c r="J50" i="50"/>
  <c r="M50" i="52" s="1"/>
  <c r="E65" i="50"/>
  <c r="C65" i="52" s="1"/>
  <c r="I65" i="50"/>
  <c r="L65" i="52" s="1"/>
  <c r="G65" i="50"/>
  <c r="H65" i="52" s="1"/>
  <c r="J65" i="52" s="1"/>
  <c r="G65" i="51" s="1"/>
  <c r="J109" i="52"/>
  <c r="G109" i="51" s="1"/>
  <c r="E56" i="50"/>
  <c r="C56" i="52" s="1"/>
  <c r="F56" i="52" s="1"/>
  <c r="E56" i="51" s="1"/>
  <c r="F56" i="51" s="1"/>
  <c r="G56" i="50"/>
  <c r="H56" i="52" s="1"/>
  <c r="F151" i="21"/>
  <c r="C151" i="25" s="1"/>
  <c r="I226" i="21"/>
  <c r="N226" i="25" s="1"/>
  <c r="G226" i="21"/>
  <c r="D226" i="25" s="1"/>
  <c r="I127" i="21"/>
  <c r="N127" i="25" s="1"/>
  <c r="G127" i="21"/>
  <c r="D127" i="25" s="1"/>
  <c r="M226" i="7"/>
  <c r="I226" i="87" s="1"/>
  <c r="F117" i="21"/>
  <c r="C117" i="25" s="1"/>
  <c r="H117" i="21"/>
  <c r="M117" i="25" s="1"/>
  <c r="O117" i="25" s="1"/>
  <c r="F42" i="50"/>
  <c r="D42" i="52" s="1"/>
  <c r="H42" i="50"/>
  <c r="I42" i="52" s="1"/>
  <c r="J42" i="50"/>
  <c r="M42" i="52" s="1"/>
  <c r="E45" i="50"/>
  <c r="C45" i="52" s="1"/>
  <c r="F45" i="52" s="1"/>
  <c r="E45" i="51" s="1"/>
  <c r="F45" i="51" s="1"/>
  <c r="G45" i="50"/>
  <c r="H45" i="52" s="1"/>
  <c r="F20" i="50"/>
  <c r="D20" i="52" s="1"/>
  <c r="H20" i="50"/>
  <c r="I20" i="52" s="1"/>
  <c r="J20" i="52" s="1"/>
  <c r="J20" i="50"/>
  <c r="M20" i="52" s="1"/>
  <c r="E42" i="50"/>
  <c r="C42" i="52" s="1"/>
  <c r="I42" i="50"/>
  <c r="L42" i="52" s="1"/>
  <c r="G42" i="50"/>
  <c r="H42" i="52" s="1"/>
  <c r="I282" i="21"/>
  <c r="N282" i="25" s="1"/>
  <c r="G282" i="21"/>
  <c r="D282" i="25" s="1"/>
  <c r="H285" i="21"/>
  <c r="M285" i="25" s="1"/>
  <c r="F285" i="21"/>
  <c r="C285" i="25" s="1"/>
  <c r="E285" i="25" s="1"/>
  <c r="D152" i="28"/>
  <c r="F154" i="50"/>
  <c r="D154" i="52" s="1"/>
  <c r="J154" i="50"/>
  <c r="M154" i="52" s="1"/>
  <c r="H154" i="50"/>
  <c r="I154" i="52" s="1"/>
  <c r="F160" i="50"/>
  <c r="D160" i="52" s="1"/>
  <c r="F160" i="52" s="1"/>
  <c r="E160" i="51" s="1"/>
  <c r="H160" i="50"/>
  <c r="I160" i="52" s="1"/>
  <c r="E171" i="50"/>
  <c r="C171" i="52" s="1"/>
  <c r="F171" i="52" s="1"/>
  <c r="E171" i="51" s="1"/>
  <c r="F171" i="51" s="1"/>
  <c r="G171" i="50"/>
  <c r="H171" i="52" s="1"/>
  <c r="G187" i="23"/>
  <c r="G187" i="26" s="1"/>
  <c r="J187" i="26" s="1"/>
  <c r="I187" i="23"/>
  <c r="M73" i="7"/>
  <c r="I73" i="87" s="1"/>
  <c r="S73" i="87" s="1"/>
  <c r="G113" i="21"/>
  <c r="D113" i="25" s="1"/>
  <c r="I113" i="21"/>
  <c r="N113" i="25" s="1"/>
  <c r="H28" i="50"/>
  <c r="I28" i="52" s="1"/>
  <c r="J28" i="50"/>
  <c r="M28" i="52" s="1"/>
  <c r="F28" i="50"/>
  <c r="D28" i="52" s="1"/>
  <c r="F28" i="52" s="1"/>
  <c r="E28" i="51" s="1"/>
  <c r="F28" i="51" s="1"/>
  <c r="F60" i="50"/>
  <c r="D60" i="52" s="1"/>
  <c r="F60" i="52" s="1"/>
  <c r="E60" i="51" s="1"/>
  <c r="J60" i="50"/>
  <c r="M60" i="52" s="1"/>
  <c r="E111" i="50"/>
  <c r="C111" i="52" s="1"/>
  <c r="F111" i="52" s="1"/>
  <c r="E111" i="51" s="1"/>
  <c r="G111" i="50"/>
  <c r="H111" i="52" s="1"/>
  <c r="J111" i="52" s="1"/>
  <c r="N117" i="52"/>
  <c r="I117" i="51" s="1"/>
  <c r="E90" i="50"/>
  <c r="C90" i="52" s="1"/>
  <c r="I90" i="50"/>
  <c r="L90" i="52" s="1"/>
  <c r="G90" i="50"/>
  <c r="H90" i="52" s="1"/>
  <c r="F72" i="21"/>
  <c r="C72" i="25" s="1"/>
  <c r="H72" i="21"/>
  <c r="M72" i="25" s="1"/>
  <c r="F4" i="21"/>
  <c r="C4" i="25" s="1"/>
  <c r="H4" i="21"/>
  <c r="M4" i="25" s="1"/>
  <c r="I284" i="21"/>
  <c r="N284" i="25" s="1"/>
  <c r="G284" i="21"/>
  <c r="D284" i="25" s="1"/>
  <c r="F222" i="50"/>
  <c r="D222" i="52" s="1"/>
  <c r="J222" i="50"/>
  <c r="M222" i="52" s="1"/>
  <c r="E274" i="50"/>
  <c r="C274" i="52" s="1"/>
  <c r="I274" i="50"/>
  <c r="L274" i="52" s="1"/>
  <c r="F214" i="21"/>
  <c r="C214" i="25" s="1"/>
  <c r="H214" i="21"/>
  <c r="M214" i="25" s="1"/>
  <c r="I182" i="21"/>
  <c r="N182" i="25" s="1"/>
  <c r="G182" i="21"/>
  <c r="D182" i="25" s="1"/>
  <c r="G249" i="21"/>
  <c r="D249" i="25" s="1"/>
  <c r="F106" i="50"/>
  <c r="D106" i="52" s="1"/>
  <c r="J106" i="50"/>
  <c r="M106" i="52" s="1"/>
  <c r="H106" i="50"/>
  <c r="I106" i="52" s="1"/>
  <c r="F147" i="50"/>
  <c r="D147" i="52" s="1"/>
  <c r="J147" i="50"/>
  <c r="M147" i="52" s="1"/>
  <c r="H70" i="21"/>
  <c r="M70" i="25" s="1"/>
  <c r="F70" i="21"/>
  <c r="C70" i="25" s="1"/>
  <c r="E70" i="25" s="1"/>
  <c r="G66" i="21"/>
  <c r="D66" i="25" s="1"/>
  <c r="I66" i="21"/>
  <c r="N66" i="25" s="1"/>
  <c r="I153" i="21"/>
  <c r="N153" i="25" s="1"/>
  <c r="G153" i="21"/>
  <c r="D153" i="25" s="1"/>
  <c r="C38" i="39"/>
  <c r="K38" i="39" s="1"/>
  <c r="D80" i="28"/>
  <c r="E97" i="50"/>
  <c r="C97" i="52" s="1"/>
  <c r="G97" i="50"/>
  <c r="H97" i="52" s="1"/>
  <c r="I97" i="50"/>
  <c r="L97" i="52" s="1"/>
  <c r="N171" i="52"/>
  <c r="I171" i="51" s="1"/>
  <c r="J171" i="51" s="1"/>
  <c r="F192" i="21"/>
  <c r="C192" i="25" s="1"/>
  <c r="H192" i="21"/>
  <c r="M192" i="25" s="1"/>
  <c r="F54" i="21"/>
  <c r="C54" i="25" s="1"/>
  <c r="H54" i="21"/>
  <c r="M54" i="25" s="1"/>
  <c r="O54" i="25" s="1"/>
  <c r="M161" i="7"/>
  <c r="I161" i="87" s="1"/>
  <c r="E76" i="50"/>
  <c r="C76" i="52" s="1"/>
  <c r="F76" i="52" s="1"/>
  <c r="E76" i="51" s="1"/>
  <c r="F76" i="51" s="1"/>
  <c r="I76" i="50"/>
  <c r="L76" i="52" s="1"/>
  <c r="J81" i="52"/>
  <c r="I196" i="21"/>
  <c r="N196" i="25" s="1"/>
  <c r="F223" i="21"/>
  <c r="C223" i="25" s="1"/>
  <c r="F196" i="21"/>
  <c r="C196" i="25" s="1"/>
  <c r="D63" i="28"/>
  <c r="D66" i="28"/>
  <c r="D196" i="28"/>
  <c r="D218" i="28"/>
  <c r="D220" i="28"/>
  <c r="D194" i="28"/>
  <c r="G126" i="21"/>
  <c r="D126" i="25" s="1"/>
  <c r="I121" i="21"/>
  <c r="N121" i="25" s="1"/>
  <c r="F106" i="21"/>
  <c r="C106" i="25" s="1"/>
  <c r="C144" i="39"/>
  <c r="K144" i="39" s="1"/>
  <c r="I18" i="23"/>
  <c r="E187" i="25"/>
  <c r="I39" i="21"/>
  <c r="N39" i="25" s="1"/>
  <c r="F149" i="21"/>
  <c r="C149" i="25" s="1"/>
  <c r="E149" i="25" s="1"/>
  <c r="H282" i="21"/>
  <c r="M282" i="25" s="1"/>
  <c r="D82" i="28"/>
  <c r="G224" i="21"/>
  <c r="D224" i="25" s="1"/>
  <c r="I115" i="50"/>
  <c r="L115" i="52" s="1"/>
  <c r="D39" i="28"/>
  <c r="D94" i="28"/>
  <c r="I113" i="23"/>
  <c r="D264" i="28"/>
  <c r="F217" i="21"/>
  <c r="C217" i="25" s="1"/>
  <c r="O92" i="25"/>
  <c r="I28" i="50"/>
  <c r="L28" i="52" s="1"/>
  <c r="I249" i="50"/>
  <c r="L249" i="52" s="1"/>
  <c r="J85" i="26"/>
  <c r="F44" i="21"/>
  <c r="C44" i="25" s="1"/>
  <c r="C36" i="39"/>
  <c r="K36" i="39" s="1"/>
  <c r="C44" i="28"/>
  <c r="J9" i="23"/>
  <c r="D84" i="28"/>
  <c r="N56" i="26"/>
  <c r="D5" i="28"/>
  <c r="D34" i="28"/>
  <c r="M235" i="7"/>
  <c r="I235" i="87" s="1"/>
  <c r="G25" i="21"/>
  <c r="D25" i="25" s="1"/>
  <c r="H41" i="21"/>
  <c r="M41" i="25" s="1"/>
  <c r="I276" i="50"/>
  <c r="L276" i="52" s="1"/>
  <c r="C33" i="28"/>
  <c r="D174" i="28"/>
  <c r="J241" i="23"/>
  <c r="H241" i="23"/>
  <c r="K241" i="26" s="1"/>
  <c r="N241" i="26" s="1"/>
  <c r="D263" i="28"/>
  <c r="I209" i="21"/>
  <c r="N209" i="25" s="1"/>
  <c r="F276" i="21"/>
  <c r="C276" i="25" s="1"/>
  <c r="E276" i="25" s="1"/>
  <c r="H157" i="21"/>
  <c r="M157" i="25" s="1"/>
  <c r="F121" i="21"/>
  <c r="C121" i="25" s="1"/>
  <c r="I80" i="21"/>
  <c r="N80" i="25" s="1"/>
  <c r="O80" i="25" s="1"/>
  <c r="H138" i="21"/>
  <c r="M138" i="25" s="1"/>
  <c r="D109" i="28"/>
  <c r="D116" i="28"/>
  <c r="H101" i="21"/>
  <c r="M101" i="25" s="1"/>
  <c r="O101" i="25" s="1"/>
  <c r="C26" i="39"/>
  <c r="K26" i="39" s="1"/>
  <c r="D253" i="28"/>
  <c r="E235" i="50"/>
  <c r="C235" i="52" s="1"/>
  <c r="I235" i="50"/>
  <c r="L235" i="52" s="1"/>
  <c r="F88" i="52"/>
  <c r="J92" i="26"/>
  <c r="I105" i="23"/>
  <c r="F233" i="21"/>
  <c r="C233" i="25" s="1"/>
  <c r="E233" i="25" s="1"/>
  <c r="I210" i="23"/>
  <c r="I158" i="23"/>
  <c r="I220" i="23"/>
  <c r="F235" i="21"/>
  <c r="C235" i="25" s="1"/>
  <c r="E235" i="25" s="1"/>
  <c r="N191" i="26"/>
  <c r="J235" i="50"/>
  <c r="M235" i="52" s="1"/>
  <c r="J106" i="23"/>
  <c r="I83" i="23"/>
  <c r="I66" i="23"/>
  <c r="I185" i="23"/>
  <c r="G235" i="23"/>
  <c r="G235" i="26" s="1"/>
  <c r="J235" i="26" s="1"/>
  <c r="F256" i="52"/>
  <c r="I170" i="23"/>
  <c r="I87" i="23"/>
  <c r="L235" i="26"/>
  <c r="M235" i="26" s="1"/>
  <c r="L10" i="26"/>
  <c r="M10" i="26" s="1"/>
  <c r="L28" i="26"/>
  <c r="M28" i="26" s="1"/>
  <c r="N28" i="26" s="1"/>
  <c r="H56" i="26"/>
  <c r="I56" i="26" s="1"/>
  <c r="H63" i="26"/>
  <c r="I63" i="26" s="1"/>
  <c r="L64" i="26"/>
  <c r="M64" i="26" s="1"/>
  <c r="N64" i="26" s="1"/>
  <c r="L69" i="26"/>
  <c r="M69" i="26" s="1"/>
  <c r="L75" i="26"/>
  <c r="M75" i="26" s="1"/>
  <c r="N75" i="26" s="1"/>
  <c r="H76" i="26"/>
  <c r="I76" i="26" s="1"/>
  <c r="H93" i="26"/>
  <c r="I93" i="26" s="1"/>
  <c r="H98" i="26"/>
  <c r="I98" i="26" s="1"/>
  <c r="J98" i="26" s="1"/>
  <c r="H100" i="26"/>
  <c r="I100" i="26" s="1"/>
  <c r="H107" i="26"/>
  <c r="I107" i="26" s="1"/>
  <c r="H109" i="26"/>
  <c r="I109" i="26" s="1"/>
  <c r="H130" i="26"/>
  <c r="I130" i="26" s="1"/>
  <c r="J130" i="26" s="1"/>
  <c r="L141" i="26"/>
  <c r="M141" i="26" s="1"/>
  <c r="N141" i="26" s="1"/>
  <c r="L159" i="26"/>
  <c r="M159" i="26" s="1"/>
  <c r="N159" i="26" s="1"/>
  <c r="L194" i="26"/>
  <c r="M194" i="26" s="1"/>
  <c r="H202" i="26"/>
  <c r="I202" i="26" s="1"/>
  <c r="L207" i="26"/>
  <c r="M207" i="26" s="1"/>
  <c r="N207" i="26" s="1"/>
  <c r="H215" i="26"/>
  <c r="I215" i="26" s="1"/>
  <c r="H219" i="26"/>
  <c r="I219" i="26" s="1"/>
  <c r="J219" i="26" s="1"/>
  <c r="L222" i="26"/>
  <c r="M222" i="26" s="1"/>
  <c r="H241" i="26"/>
  <c r="I241" i="26" s="1"/>
  <c r="J241" i="26" s="1"/>
  <c r="H243" i="26"/>
  <c r="I243" i="26" s="1"/>
  <c r="J243" i="26" s="1"/>
  <c r="H249" i="26"/>
  <c r="I249" i="26" s="1"/>
  <c r="H257" i="26"/>
  <c r="I257" i="26" s="1"/>
  <c r="H259" i="26"/>
  <c r="I259" i="26" s="1"/>
  <c r="H283" i="26"/>
  <c r="I283" i="26" s="1"/>
  <c r="J283" i="26" s="1"/>
  <c r="L284" i="26"/>
  <c r="M284" i="26" s="1"/>
  <c r="N284" i="26" s="1"/>
  <c r="L288" i="26"/>
  <c r="M288" i="26" s="1"/>
  <c r="N288" i="26" s="1"/>
  <c r="L38" i="26"/>
  <c r="M38" i="26" s="1"/>
  <c r="L40" i="26"/>
  <c r="M40" i="26" s="1"/>
  <c r="N40" i="26" s="1"/>
  <c r="L44" i="26"/>
  <c r="M44" i="26" s="1"/>
  <c r="N44" i="26" s="1"/>
  <c r="L57" i="26"/>
  <c r="M57" i="26" s="1"/>
  <c r="N57" i="26" s="1"/>
  <c r="L60" i="26"/>
  <c r="M60" i="26" s="1"/>
  <c r="N60" i="26" s="1"/>
  <c r="L73" i="26"/>
  <c r="M73" i="26" s="1"/>
  <c r="N73" i="26" s="1"/>
  <c r="L91" i="26"/>
  <c r="M91" i="26" s="1"/>
  <c r="L105" i="26"/>
  <c r="M105" i="26" s="1"/>
  <c r="N105" i="26" s="1"/>
  <c r="H155" i="26"/>
  <c r="I155" i="26" s="1"/>
  <c r="J155" i="26" s="1"/>
  <c r="H157" i="26"/>
  <c r="I157" i="26" s="1"/>
  <c r="H160" i="26"/>
  <c r="I160" i="26" s="1"/>
  <c r="L161" i="26"/>
  <c r="M161" i="26" s="1"/>
  <c r="L173" i="26"/>
  <c r="M173" i="26" s="1"/>
  <c r="N173" i="26" s="1"/>
  <c r="L185" i="26"/>
  <c r="M185" i="26" s="1"/>
  <c r="N185" i="26" s="1"/>
  <c r="L188" i="26"/>
  <c r="M188" i="26" s="1"/>
  <c r="H189" i="26"/>
  <c r="I189" i="26" s="1"/>
  <c r="H190" i="26"/>
  <c r="I190" i="26" s="1"/>
  <c r="J190" i="26" s="1"/>
  <c r="L198" i="26"/>
  <c r="M198" i="26" s="1"/>
  <c r="N198" i="26" s="1"/>
  <c r="H199" i="26"/>
  <c r="I199" i="26" s="1"/>
  <c r="L216" i="26"/>
  <c r="M216" i="26" s="1"/>
  <c r="N216" i="26" s="1"/>
  <c r="J271" i="26"/>
  <c r="H290" i="26"/>
  <c r="I290" i="26" s="1"/>
  <c r="H19" i="26"/>
  <c r="I19" i="26" s="1"/>
  <c r="J19" i="26" s="1"/>
  <c r="H30" i="26"/>
  <c r="I30" i="26" s="1"/>
  <c r="L118" i="26"/>
  <c r="M118" i="26" s="1"/>
  <c r="H126" i="26"/>
  <c r="I126" i="26" s="1"/>
  <c r="L168" i="26"/>
  <c r="M168" i="26" s="1"/>
  <c r="L176" i="26"/>
  <c r="M176" i="26" s="1"/>
  <c r="N176" i="26" s="1"/>
  <c r="L178" i="26"/>
  <c r="M178" i="26" s="1"/>
  <c r="L203" i="26"/>
  <c r="M203" i="26" s="1"/>
  <c r="L233" i="26"/>
  <c r="M233" i="26" s="1"/>
  <c r="N233" i="26" s="1"/>
  <c r="L236" i="26"/>
  <c r="M236" i="26" s="1"/>
  <c r="N236" i="26" s="1"/>
  <c r="L248" i="26"/>
  <c r="M248" i="26" s="1"/>
  <c r="L250" i="26"/>
  <c r="M250" i="26" s="1"/>
  <c r="L256" i="26"/>
  <c r="M256" i="26" s="1"/>
  <c r="N256" i="26" s="1"/>
  <c r="L260" i="26"/>
  <c r="M260" i="26" s="1"/>
  <c r="L278" i="26"/>
  <c r="M278" i="26" s="1"/>
  <c r="L287" i="26"/>
  <c r="M287" i="26" s="1"/>
  <c r="N287" i="26" s="1"/>
  <c r="L291" i="26"/>
  <c r="M291" i="26" s="1"/>
  <c r="N291" i="26" s="1"/>
  <c r="L31" i="26"/>
  <c r="M31" i="26" s="1"/>
  <c r="L37" i="26"/>
  <c r="M37" i="26" s="1"/>
  <c r="N37" i="26" s="1"/>
  <c r="L80" i="26"/>
  <c r="M80" i="26" s="1"/>
  <c r="L85" i="26"/>
  <c r="M85" i="26" s="1"/>
  <c r="L94" i="26"/>
  <c r="M94" i="26" s="1"/>
  <c r="L97" i="26"/>
  <c r="M97" i="26" s="1"/>
  <c r="N97" i="26" s="1"/>
  <c r="L99" i="26"/>
  <c r="M99" i="26" s="1"/>
  <c r="N99" i="26" s="1"/>
  <c r="N107" i="26"/>
  <c r="L116" i="26"/>
  <c r="M116" i="26" s="1"/>
  <c r="L121" i="26"/>
  <c r="M121" i="26" s="1"/>
  <c r="L129" i="26"/>
  <c r="M129" i="26" s="1"/>
  <c r="N129" i="26" s="1"/>
  <c r="L133" i="26"/>
  <c r="M133" i="26" s="1"/>
  <c r="N133" i="26" s="1"/>
  <c r="L140" i="26"/>
  <c r="M140" i="26" s="1"/>
  <c r="N140" i="26" s="1"/>
  <c r="L142" i="26"/>
  <c r="M142" i="26" s="1"/>
  <c r="N142" i="26" s="1"/>
  <c r="L144" i="26"/>
  <c r="M144" i="26" s="1"/>
  <c r="N144" i="26" s="1"/>
  <c r="L154" i="26"/>
  <c r="M154" i="26" s="1"/>
  <c r="L158" i="26"/>
  <c r="M158" i="26" s="1"/>
  <c r="L165" i="26"/>
  <c r="M165" i="26" s="1"/>
  <c r="L193" i="26"/>
  <c r="M193" i="26" s="1"/>
  <c r="N193" i="26" s="1"/>
  <c r="L196" i="26"/>
  <c r="M196" i="26" s="1"/>
  <c r="L208" i="26"/>
  <c r="M208" i="26" s="1"/>
  <c r="L214" i="26"/>
  <c r="M214" i="26" s="1"/>
  <c r="N214" i="26" s="1"/>
  <c r="L226" i="26"/>
  <c r="M226" i="26" s="1"/>
  <c r="L237" i="26"/>
  <c r="M237" i="26" s="1"/>
  <c r="N237" i="26" s="1"/>
  <c r="L242" i="26"/>
  <c r="M242" i="26" s="1"/>
  <c r="N242" i="26" s="1"/>
  <c r="O242" i="26" s="1"/>
  <c r="L245" i="26"/>
  <c r="M245" i="26" s="1"/>
  <c r="N245" i="26" s="1"/>
  <c r="O245" i="26" s="1"/>
  <c r="L253" i="26"/>
  <c r="M253" i="26" s="1"/>
  <c r="N253" i="26" s="1"/>
  <c r="L270" i="26"/>
  <c r="M270" i="26" s="1"/>
  <c r="N270" i="26" s="1"/>
  <c r="L272" i="26"/>
  <c r="M272" i="26" s="1"/>
  <c r="N272" i="26" s="1"/>
  <c r="L282" i="26"/>
  <c r="M282" i="26" s="1"/>
  <c r="N282" i="26" s="1"/>
  <c r="L285" i="26"/>
  <c r="M285" i="26" s="1"/>
  <c r="N285" i="26" s="1"/>
  <c r="L54" i="26"/>
  <c r="M54" i="26" s="1"/>
  <c r="N54" i="26" s="1"/>
  <c r="L62" i="26"/>
  <c r="M62" i="26" s="1"/>
  <c r="N62" i="26" s="1"/>
  <c r="L183" i="26"/>
  <c r="M183" i="26" s="1"/>
  <c r="N183" i="26" s="1"/>
  <c r="L218" i="26"/>
  <c r="M218" i="26" s="1"/>
  <c r="N218" i="26" s="1"/>
  <c r="L289" i="26"/>
  <c r="M289" i="26" s="1"/>
  <c r="N289" i="26" s="1"/>
  <c r="H218" i="26"/>
  <c r="I218" i="26" s="1"/>
  <c r="J218" i="26" s="1"/>
  <c r="L232" i="26"/>
  <c r="M232" i="26" s="1"/>
  <c r="L122" i="26"/>
  <c r="M122" i="26" s="1"/>
  <c r="N122" i="26" s="1"/>
  <c r="L209" i="26"/>
  <c r="M209" i="26" s="1"/>
  <c r="N209" i="26" s="1"/>
  <c r="N244" i="26"/>
  <c r="J180" i="52"/>
  <c r="G180" i="51" s="1"/>
  <c r="F114" i="52"/>
  <c r="E114" i="51" s="1"/>
  <c r="F200" i="52"/>
  <c r="E200" i="51" s="1"/>
  <c r="F197" i="52"/>
  <c r="J137" i="52"/>
  <c r="G137" i="51" s="1"/>
  <c r="J147" i="52"/>
  <c r="J257" i="52"/>
  <c r="G257" i="51" s="1"/>
  <c r="H257" i="51" s="1"/>
  <c r="F279" i="52"/>
  <c r="E279" i="51" s="1"/>
  <c r="AR65" i="7"/>
  <c r="AN65" i="7"/>
  <c r="H97" i="39"/>
  <c r="H87" i="39"/>
  <c r="H231" i="39"/>
  <c r="AN62" i="7"/>
  <c r="AR62" i="7"/>
  <c r="H277" i="39"/>
  <c r="H105" i="39"/>
  <c r="AR72" i="7"/>
  <c r="AN72" i="7"/>
  <c r="H80" i="39"/>
  <c r="H253" i="39"/>
  <c r="AQ73" i="7"/>
  <c r="AR73" i="7"/>
  <c r="H73" i="39" s="1"/>
  <c r="AR91" i="7"/>
  <c r="AP91" i="7"/>
  <c r="AR101" i="7"/>
  <c r="AP101" i="7"/>
  <c r="AR120" i="7"/>
  <c r="AN120" i="7"/>
  <c r="AN136" i="7"/>
  <c r="AR136" i="7"/>
  <c r="AP109" i="7"/>
  <c r="AR109" i="7"/>
  <c r="AO128" i="7"/>
  <c r="AR128" i="7"/>
  <c r="H285" i="39"/>
  <c r="AF5" i="7"/>
  <c r="AO5" i="7" s="1"/>
  <c r="AR4" i="7"/>
  <c r="AO4" i="7"/>
  <c r="H174" i="39"/>
  <c r="H166" i="39"/>
  <c r="H159" i="39"/>
  <c r="H152" i="39"/>
  <c r="H141" i="39"/>
  <c r="H122" i="39"/>
  <c r="H113" i="39"/>
  <c r="AP71" i="7"/>
  <c r="AR71" i="7"/>
  <c r="AP66" i="7"/>
  <c r="AR66" i="7"/>
  <c r="AQ61" i="7"/>
  <c r="AR61" i="7"/>
  <c r="H188" i="39"/>
  <c r="H23" i="39"/>
  <c r="H10" i="39"/>
  <c r="AN75" i="7"/>
  <c r="AR75" i="7"/>
  <c r="H261" i="39"/>
  <c r="H226" i="39"/>
  <c r="H210" i="39"/>
  <c r="H202" i="39"/>
  <c r="H37" i="39"/>
  <c r="H30" i="39"/>
  <c r="AO59" i="7"/>
  <c r="AR59" i="7"/>
  <c r="H244" i="39"/>
  <c r="H44" i="39"/>
  <c r="O235" i="6"/>
  <c r="P235" i="6" s="1"/>
  <c r="K10" i="6"/>
  <c r="L10" i="6" s="1"/>
  <c r="O10" i="6"/>
  <c r="P10" i="6" s="1"/>
  <c r="O151" i="6"/>
  <c r="P151" i="6" s="1"/>
  <c r="K151" i="6"/>
  <c r="L151" i="6" s="1"/>
  <c r="K183" i="6"/>
  <c r="L183" i="6" s="1"/>
  <c r="O183" i="6"/>
  <c r="P183" i="6" s="1"/>
  <c r="K187" i="6"/>
  <c r="L187" i="6" s="1"/>
  <c r="O187" i="6"/>
  <c r="P187" i="6" s="1"/>
  <c r="O202" i="6"/>
  <c r="P202" i="6" s="1"/>
  <c r="K202" i="6"/>
  <c r="L202" i="6" s="1"/>
  <c r="K246" i="6"/>
  <c r="L246" i="6" s="1"/>
  <c r="M246" i="6" s="1"/>
  <c r="K141" i="6"/>
  <c r="L141" i="6" s="1"/>
  <c r="O141" i="6"/>
  <c r="P141" i="6" s="1"/>
  <c r="K178" i="6"/>
  <c r="L178" i="6" s="1"/>
  <c r="O178" i="6"/>
  <c r="P178" i="6" s="1"/>
  <c r="K60" i="6"/>
  <c r="L60" i="6" s="1"/>
  <c r="O60" i="6"/>
  <c r="P60" i="6" s="1"/>
  <c r="K18" i="6"/>
  <c r="L18" i="6" s="1"/>
  <c r="O18" i="6"/>
  <c r="P18" i="6" s="1"/>
  <c r="K54" i="6"/>
  <c r="L54" i="6" s="1"/>
  <c r="O54" i="6"/>
  <c r="P54" i="6" s="1"/>
  <c r="K131" i="6"/>
  <c r="L131" i="6" s="1"/>
  <c r="O131" i="6"/>
  <c r="P131" i="6" s="1"/>
  <c r="K159" i="6"/>
  <c r="L159" i="6" s="1"/>
  <c r="O159" i="6"/>
  <c r="P159" i="6" s="1"/>
  <c r="K221" i="6"/>
  <c r="L221" i="6" s="1"/>
  <c r="O197" i="6"/>
  <c r="P197" i="6" s="1"/>
  <c r="O232" i="6"/>
  <c r="P232" i="6" s="1"/>
  <c r="P107" i="46"/>
  <c r="E218" i="25"/>
  <c r="E245" i="25"/>
  <c r="P48" i="46"/>
  <c r="P232" i="46"/>
  <c r="E56" i="25"/>
  <c r="E88" i="25"/>
  <c r="E130" i="25"/>
  <c r="P238" i="46"/>
  <c r="G235" i="50"/>
  <c r="H235" i="52" s="1"/>
  <c r="J213" i="50"/>
  <c r="M213" i="52" s="1"/>
  <c r="F213" i="50"/>
  <c r="D213" i="52" s="1"/>
  <c r="F213" i="52" s="1"/>
  <c r="E213" i="51" s="1"/>
  <c r="F32" i="50"/>
  <c r="D32" i="52" s="1"/>
  <c r="F32" i="52" s="1"/>
  <c r="E32" i="51" s="1"/>
  <c r="J32" i="50"/>
  <c r="M32" i="52" s="1"/>
  <c r="H32" i="50"/>
  <c r="I32" i="52" s="1"/>
  <c r="E106" i="50"/>
  <c r="C106" i="52" s="1"/>
  <c r="I106" i="50"/>
  <c r="L106" i="52" s="1"/>
  <c r="G106" i="50"/>
  <c r="H106" i="52" s="1"/>
  <c r="H213" i="50"/>
  <c r="I213" i="52" s="1"/>
  <c r="J213" i="52" s="1"/>
  <c r="E75" i="50"/>
  <c r="C75" i="52" s="1"/>
  <c r="F75" i="52" s="1"/>
  <c r="E75" i="51" s="1"/>
  <c r="I75" i="50"/>
  <c r="L75" i="52" s="1"/>
  <c r="E81" i="50"/>
  <c r="C81" i="52" s="1"/>
  <c r="F81" i="52" s="1"/>
  <c r="E81" i="51" s="1"/>
  <c r="F81" i="51" s="1"/>
  <c r="I81" i="50"/>
  <c r="L81" i="52" s="1"/>
  <c r="F98" i="50"/>
  <c r="D98" i="52" s="1"/>
  <c r="J98" i="50"/>
  <c r="M98" i="52" s="1"/>
  <c r="H98" i="50"/>
  <c r="I98" i="52" s="1"/>
  <c r="F100" i="50"/>
  <c r="D100" i="52" s="1"/>
  <c r="F100" i="52" s="1"/>
  <c r="E100" i="51" s="1"/>
  <c r="F100" i="51" s="1"/>
  <c r="H100" i="50"/>
  <c r="I100" i="52" s="1"/>
  <c r="J100" i="50"/>
  <c r="M100" i="52" s="1"/>
  <c r="F141" i="50"/>
  <c r="D141" i="52" s="1"/>
  <c r="F141" i="52" s="1"/>
  <c r="E141" i="51" s="1"/>
  <c r="F141" i="51" s="1"/>
  <c r="H141" i="50"/>
  <c r="I141" i="52" s="1"/>
  <c r="E55" i="50"/>
  <c r="C55" i="52" s="1"/>
  <c r="G55" i="50"/>
  <c r="H55" i="52" s="1"/>
  <c r="I55" i="50"/>
  <c r="L55" i="52" s="1"/>
  <c r="E72" i="50"/>
  <c r="C72" i="52" s="1"/>
  <c r="F72" i="52" s="1"/>
  <c r="E72" i="51" s="1"/>
  <c r="F72" i="51" s="1"/>
  <c r="I72" i="50"/>
  <c r="L72" i="52" s="1"/>
  <c r="N72" i="52" s="1"/>
  <c r="I72" i="51" s="1"/>
  <c r="J72" i="51" s="1"/>
  <c r="G72" i="50"/>
  <c r="H72" i="52" s="1"/>
  <c r="E95" i="50"/>
  <c r="C95" i="52" s="1"/>
  <c r="F95" i="52" s="1"/>
  <c r="E95" i="51" s="1"/>
  <c r="F95" i="51" s="1"/>
  <c r="I95" i="50"/>
  <c r="L95" i="52" s="1"/>
  <c r="G95" i="50"/>
  <c r="H95" i="52" s="1"/>
  <c r="F201" i="50"/>
  <c r="D201" i="52" s="1"/>
  <c r="F201" i="52" s="1"/>
  <c r="E201" i="51" s="1"/>
  <c r="F201" i="51" s="1"/>
  <c r="J201" i="50"/>
  <c r="M201" i="52" s="1"/>
  <c r="N201" i="52" s="1"/>
  <c r="I201" i="51" s="1"/>
  <c r="J201" i="51" s="1"/>
  <c r="H201" i="50"/>
  <c r="I201" i="52" s="1"/>
  <c r="J201" i="52" s="1"/>
  <c r="G201" i="51" s="1"/>
  <c r="H201" i="51" s="1"/>
  <c r="F253" i="50"/>
  <c r="D253" i="52" s="1"/>
  <c r="F253" i="52" s="1"/>
  <c r="E253" i="51" s="1"/>
  <c r="J253" i="50"/>
  <c r="M253" i="52" s="1"/>
  <c r="H253" i="50"/>
  <c r="I253" i="52" s="1"/>
  <c r="E254" i="50"/>
  <c r="C254" i="52" s="1"/>
  <c r="F254" i="52" s="1"/>
  <c r="E254" i="51" s="1"/>
  <c r="F254" i="51" s="1"/>
  <c r="I254" i="50"/>
  <c r="L254" i="52" s="1"/>
  <c r="G254" i="50"/>
  <c r="H254" i="52" s="1"/>
  <c r="E271" i="50"/>
  <c r="C271" i="52" s="1"/>
  <c r="F271" i="52" s="1"/>
  <c r="E271" i="51" s="1"/>
  <c r="F271" i="51" s="1"/>
  <c r="I271" i="50"/>
  <c r="L271" i="52" s="1"/>
  <c r="N271" i="52" s="1"/>
  <c r="I271" i="51" s="1"/>
  <c r="J271" i="51" s="1"/>
  <c r="G271" i="50"/>
  <c r="H271" i="52" s="1"/>
  <c r="F283" i="50"/>
  <c r="D283" i="52" s="1"/>
  <c r="F283" i="52" s="1"/>
  <c r="E283" i="51" s="1"/>
  <c r="F283" i="51" s="1"/>
  <c r="J283" i="50"/>
  <c r="M283" i="52" s="1"/>
  <c r="H283" i="50"/>
  <c r="I283" i="52" s="1"/>
  <c r="F286" i="50"/>
  <c r="D286" i="52" s="1"/>
  <c r="F286" i="52" s="1"/>
  <c r="E286" i="51" s="1"/>
  <c r="F286" i="51" s="1"/>
  <c r="H286" i="50"/>
  <c r="I286" i="52" s="1"/>
  <c r="J286" i="50"/>
  <c r="M286" i="52" s="1"/>
  <c r="F53" i="50"/>
  <c r="D53" i="52" s="1"/>
  <c r="J53" i="50"/>
  <c r="M53" i="52" s="1"/>
  <c r="H53" i="50"/>
  <c r="I53" i="52" s="1"/>
  <c r="F66" i="50"/>
  <c r="D66" i="52" s="1"/>
  <c r="F66" i="52" s="1"/>
  <c r="E66" i="51" s="1"/>
  <c r="F66" i="51" s="1"/>
  <c r="J66" i="50"/>
  <c r="M66" i="52" s="1"/>
  <c r="H66" i="50"/>
  <c r="I66" i="52" s="1"/>
  <c r="F68" i="50"/>
  <c r="D68" i="52" s="1"/>
  <c r="J68" i="50"/>
  <c r="M68" i="52" s="1"/>
  <c r="E69" i="50"/>
  <c r="C69" i="52" s="1"/>
  <c r="F69" i="52" s="1"/>
  <c r="E69" i="51" s="1"/>
  <c r="F69" i="51" s="1"/>
  <c r="I69" i="50"/>
  <c r="L69" i="52" s="1"/>
  <c r="G69" i="50"/>
  <c r="H69" i="52" s="1"/>
  <c r="J69" i="52" s="1"/>
  <c r="G69" i="51" s="1"/>
  <c r="H69" i="51" s="1"/>
  <c r="E93" i="50"/>
  <c r="C93" i="52" s="1"/>
  <c r="F93" i="52" s="1"/>
  <c r="E93" i="51" s="1"/>
  <c r="G93" i="50"/>
  <c r="H93" i="52" s="1"/>
  <c r="I93" i="50"/>
  <c r="L93" i="52" s="1"/>
  <c r="F94" i="50"/>
  <c r="D94" i="52" s="1"/>
  <c r="F94" i="52" s="1"/>
  <c r="E94" i="51" s="1"/>
  <c r="H94" i="50"/>
  <c r="I94" i="52" s="1"/>
  <c r="F170" i="50"/>
  <c r="D170" i="52" s="1"/>
  <c r="F170" i="52" s="1"/>
  <c r="E170" i="51" s="1"/>
  <c r="J170" i="50"/>
  <c r="M170" i="52" s="1"/>
  <c r="H170" i="50"/>
  <c r="I170" i="52" s="1"/>
  <c r="E172" i="50"/>
  <c r="C172" i="52" s="1"/>
  <c r="F172" i="52" s="1"/>
  <c r="E172" i="51" s="1"/>
  <c r="F172" i="51" s="1"/>
  <c r="G172" i="50"/>
  <c r="H172" i="52" s="1"/>
  <c r="I172" i="50"/>
  <c r="L172" i="52" s="1"/>
  <c r="F181" i="50"/>
  <c r="D181" i="52" s="1"/>
  <c r="J181" i="50"/>
  <c r="M181" i="52" s="1"/>
  <c r="N181" i="52" s="1"/>
  <c r="I181" i="51" s="1"/>
  <c r="F187" i="50"/>
  <c r="D187" i="52" s="1"/>
  <c r="J187" i="50"/>
  <c r="M187" i="52" s="1"/>
  <c r="H187" i="50"/>
  <c r="I187" i="52" s="1"/>
  <c r="I192" i="50"/>
  <c r="L192" i="52" s="1"/>
  <c r="G192" i="50"/>
  <c r="H192" i="52" s="1"/>
  <c r="E194" i="50"/>
  <c r="C194" i="52" s="1"/>
  <c r="F194" i="52" s="1"/>
  <c r="E194" i="51" s="1"/>
  <c r="I194" i="50"/>
  <c r="L194" i="52" s="1"/>
  <c r="G194" i="50"/>
  <c r="H194" i="52" s="1"/>
  <c r="J194" i="52" s="1"/>
  <c r="G194" i="51" s="1"/>
  <c r="F198" i="50"/>
  <c r="D198" i="52" s="1"/>
  <c r="J198" i="50"/>
  <c r="M198" i="52" s="1"/>
  <c r="N198" i="52" s="1"/>
  <c r="I198" i="51" s="1"/>
  <c r="E19" i="50"/>
  <c r="C19" i="52" s="1"/>
  <c r="F19" i="52" s="1"/>
  <c r="E19" i="51" s="1"/>
  <c r="F19" i="51" s="1"/>
  <c r="I19" i="50"/>
  <c r="L19" i="52" s="1"/>
  <c r="G19" i="50"/>
  <c r="H19" i="52" s="1"/>
  <c r="E47" i="50"/>
  <c r="C47" i="52" s="1"/>
  <c r="G47" i="50"/>
  <c r="H47" i="52" s="1"/>
  <c r="I47" i="50"/>
  <c r="L47" i="52" s="1"/>
  <c r="E50" i="50"/>
  <c r="C50" i="52" s="1"/>
  <c r="I50" i="50"/>
  <c r="L50" i="52" s="1"/>
  <c r="G50" i="50"/>
  <c r="H50" i="52" s="1"/>
  <c r="J50" i="52" s="1"/>
  <c r="G50" i="51" s="1"/>
  <c r="H50" i="51" s="1"/>
  <c r="E64" i="50"/>
  <c r="C64" i="52" s="1"/>
  <c r="I64" i="50"/>
  <c r="L64" i="52" s="1"/>
  <c r="G64" i="50"/>
  <c r="H64" i="52" s="1"/>
  <c r="F161" i="50"/>
  <c r="D161" i="52" s="1"/>
  <c r="F161" i="52" s="1"/>
  <c r="E161" i="51" s="1"/>
  <c r="H161" i="50"/>
  <c r="I161" i="52" s="1"/>
  <c r="J161" i="50"/>
  <c r="M161" i="52" s="1"/>
  <c r="J117" i="52"/>
  <c r="G117" i="51" s="1"/>
  <c r="E11" i="50"/>
  <c r="C11" i="52" s="1"/>
  <c r="G11" i="50"/>
  <c r="H11" i="52" s="1"/>
  <c r="E43" i="50"/>
  <c r="C43" i="52" s="1"/>
  <c r="F43" i="52" s="1"/>
  <c r="E43" i="51" s="1"/>
  <c r="F43" i="51" s="1"/>
  <c r="G43" i="50"/>
  <c r="H43" i="52" s="1"/>
  <c r="I43" i="50"/>
  <c r="L43" i="52" s="1"/>
  <c r="E245" i="50"/>
  <c r="C245" i="52" s="1"/>
  <c r="F245" i="52" s="1"/>
  <c r="E245" i="51" s="1"/>
  <c r="F245" i="51" s="1"/>
  <c r="G245" i="50"/>
  <c r="H245" i="52" s="1"/>
  <c r="I245" i="50"/>
  <c r="L245" i="52" s="1"/>
  <c r="H196" i="50"/>
  <c r="I196" i="52" s="1"/>
  <c r="J196" i="52" s="1"/>
  <c r="D196" i="52"/>
  <c r="E41" i="50"/>
  <c r="C41" i="52" s="1"/>
  <c r="F41" i="52" s="1"/>
  <c r="E41" i="51" s="1"/>
  <c r="I41" i="50"/>
  <c r="L41" i="52" s="1"/>
  <c r="G41" i="50"/>
  <c r="H41" i="52" s="1"/>
  <c r="E112" i="50"/>
  <c r="C112" i="52" s="1"/>
  <c r="F112" i="52" s="1"/>
  <c r="E112" i="51" s="1"/>
  <c r="G112" i="50"/>
  <c r="H112" i="52" s="1"/>
  <c r="J112" i="52" s="1"/>
  <c r="G112" i="51" s="1"/>
  <c r="I112" i="50"/>
  <c r="L112" i="52" s="1"/>
  <c r="E147" i="50"/>
  <c r="C147" i="52" s="1"/>
  <c r="I147" i="50"/>
  <c r="L147" i="52" s="1"/>
  <c r="F157" i="50"/>
  <c r="D157" i="52" s="1"/>
  <c r="H157" i="50"/>
  <c r="I157" i="52" s="1"/>
  <c r="J157" i="50"/>
  <c r="M157" i="52" s="1"/>
  <c r="N157" i="52" s="1"/>
  <c r="I157" i="51" s="1"/>
  <c r="E58" i="50"/>
  <c r="C58" i="52" s="1"/>
  <c r="F58" i="52" s="1"/>
  <c r="E58" i="51" s="1"/>
  <c r="F58" i="51" s="1"/>
  <c r="G58" i="50"/>
  <c r="H58" i="52" s="1"/>
  <c r="J87" i="52"/>
  <c r="G87" i="51" s="1"/>
  <c r="H87" i="51" s="1"/>
  <c r="F107" i="50"/>
  <c r="D107" i="52" s="1"/>
  <c r="F107" i="52" s="1"/>
  <c r="E107" i="51" s="1"/>
  <c r="H107" i="50"/>
  <c r="I107" i="52" s="1"/>
  <c r="E142" i="50"/>
  <c r="C142" i="52" s="1"/>
  <c r="F142" i="52" s="1"/>
  <c r="E142" i="51" s="1"/>
  <c r="I142" i="50"/>
  <c r="L142" i="52" s="1"/>
  <c r="E233" i="50"/>
  <c r="C233" i="52" s="1"/>
  <c r="F233" i="52" s="1"/>
  <c r="E233" i="51" s="1"/>
  <c r="I233" i="50"/>
  <c r="L233" i="52" s="1"/>
  <c r="F125" i="52"/>
  <c r="E125" i="51" s="1"/>
  <c r="J68" i="52"/>
  <c r="J210" i="52"/>
  <c r="G210" i="51" s="1"/>
  <c r="J178" i="52"/>
  <c r="G178" i="51" s="1"/>
  <c r="F29" i="52"/>
  <c r="E29" i="51" s="1"/>
  <c r="F51" i="52"/>
  <c r="E51" i="51" s="1"/>
  <c r="J60" i="52"/>
  <c r="G60" i="51" s="1"/>
  <c r="H167" i="50"/>
  <c r="I167" i="52" s="1"/>
  <c r="J184" i="52"/>
  <c r="G184" i="51" s="1"/>
  <c r="F74" i="52"/>
  <c r="E74" i="51" s="1"/>
  <c r="F74" i="51" s="1"/>
  <c r="F105" i="52"/>
  <c r="E105" i="51" s="1"/>
  <c r="F203" i="52"/>
  <c r="E203" i="51" s="1"/>
  <c r="F203" i="51" s="1"/>
  <c r="F243" i="52"/>
  <c r="E243" i="51" s="1"/>
  <c r="F243" i="51" s="1"/>
  <c r="F108" i="52"/>
  <c r="E108" i="51" s="1"/>
  <c r="N11" i="52"/>
  <c r="I11" i="51" s="1"/>
  <c r="J217" i="52"/>
  <c r="G217" i="51" s="1"/>
  <c r="F244" i="52"/>
  <c r="E244" i="51" s="1"/>
  <c r="F263" i="52"/>
  <c r="E263" i="51" s="1"/>
  <c r="I235" i="23"/>
  <c r="H235" i="23"/>
  <c r="K235" i="26" s="1"/>
  <c r="N261" i="6"/>
  <c r="O261" i="6" s="1"/>
  <c r="P261" i="6" s="1"/>
  <c r="Q261" i="6" s="1"/>
  <c r="N237" i="6"/>
  <c r="O237" i="6" s="1"/>
  <c r="P237" i="6" s="1"/>
  <c r="J149" i="6"/>
  <c r="K149" i="6" s="1"/>
  <c r="L149" i="6" s="1"/>
  <c r="M149" i="6" s="1"/>
  <c r="N186" i="6"/>
  <c r="Q186" i="6" s="1"/>
  <c r="H15" i="23"/>
  <c r="K15" i="26" s="1"/>
  <c r="L15" i="26" s="1"/>
  <c r="M15" i="26" s="1"/>
  <c r="N15" i="26" s="1"/>
  <c r="J15" i="23"/>
  <c r="H208" i="23"/>
  <c r="K208" i="26" s="1"/>
  <c r="J208" i="23"/>
  <c r="J273" i="6"/>
  <c r="K273" i="6" s="1"/>
  <c r="L273" i="6" s="1"/>
  <c r="M273" i="6" s="1"/>
  <c r="H32" i="23"/>
  <c r="K32" i="26" s="1"/>
  <c r="L32" i="26" s="1"/>
  <c r="M32" i="26" s="1"/>
  <c r="N32" i="26" s="1"/>
  <c r="J32" i="23"/>
  <c r="H41" i="23"/>
  <c r="K41" i="26" s="1"/>
  <c r="L41" i="26" s="1"/>
  <c r="M41" i="26" s="1"/>
  <c r="N41" i="26" s="1"/>
  <c r="J41" i="23"/>
  <c r="N81" i="26"/>
  <c r="G93" i="23"/>
  <c r="G93" i="26" s="1"/>
  <c r="I93" i="23"/>
  <c r="H154" i="23"/>
  <c r="K154" i="26" s="1"/>
  <c r="J154" i="23"/>
  <c r="H194" i="23"/>
  <c r="K194" i="26" s="1"/>
  <c r="J194" i="23"/>
  <c r="J27" i="6"/>
  <c r="K27" i="6" s="1"/>
  <c r="L27" i="6" s="1"/>
  <c r="M27" i="6" s="1"/>
  <c r="H23" i="23"/>
  <c r="K23" i="26" s="1"/>
  <c r="L23" i="26" s="1"/>
  <c r="M23" i="26" s="1"/>
  <c r="N23" i="26" s="1"/>
  <c r="J23" i="23"/>
  <c r="G76" i="23"/>
  <c r="G76" i="26" s="1"/>
  <c r="I76" i="23"/>
  <c r="H204" i="23"/>
  <c r="K204" i="26" s="1"/>
  <c r="J204" i="23"/>
  <c r="N53" i="26"/>
  <c r="H88" i="23"/>
  <c r="K88" i="26" s="1"/>
  <c r="J88" i="23"/>
  <c r="G100" i="23"/>
  <c r="G100" i="26" s="1"/>
  <c r="I100" i="23"/>
  <c r="H74" i="23"/>
  <c r="K74" i="26" s="1"/>
  <c r="N74" i="26" s="1"/>
  <c r="J74" i="23"/>
  <c r="H222" i="23"/>
  <c r="K222" i="26" s="1"/>
  <c r="J222" i="23"/>
  <c r="H243" i="23"/>
  <c r="K243" i="26" s="1"/>
  <c r="N243" i="26" s="1"/>
  <c r="J243" i="23"/>
  <c r="G5" i="23"/>
  <c r="G5" i="26" s="1"/>
  <c r="H5" i="26" s="1"/>
  <c r="I5" i="26" s="1"/>
  <c r="J5" i="26" s="1"/>
  <c r="I5" i="23"/>
  <c r="H36" i="23"/>
  <c r="K36" i="26" s="1"/>
  <c r="L36" i="26" s="1"/>
  <c r="M36" i="26" s="1"/>
  <c r="N36" i="26" s="1"/>
  <c r="J36" i="23"/>
  <c r="G54" i="23"/>
  <c r="G54" i="26" s="1"/>
  <c r="J54" i="26" s="1"/>
  <c r="I54" i="23"/>
  <c r="H67" i="23"/>
  <c r="K67" i="26" s="1"/>
  <c r="N67" i="26" s="1"/>
  <c r="J67" i="23"/>
  <c r="J169" i="23"/>
  <c r="I232" i="23"/>
  <c r="H9" i="23"/>
  <c r="K9" i="26" s="1"/>
  <c r="L9" i="26" s="1"/>
  <c r="M9" i="26" s="1"/>
  <c r="N9" i="26" s="1"/>
  <c r="J60" i="26"/>
  <c r="N63" i="26"/>
  <c r="N90" i="26"/>
  <c r="N110" i="26"/>
  <c r="N186" i="26"/>
  <c r="J88" i="26"/>
  <c r="J48" i="26"/>
  <c r="J57" i="26"/>
  <c r="N66" i="26"/>
  <c r="J86" i="26"/>
  <c r="I114" i="23"/>
  <c r="J47" i="26"/>
  <c r="N76" i="26"/>
  <c r="N100" i="26"/>
  <c r="N155" i="26"/>
  <c r="I235" i="21"/>
  <c r="N235" i="25" s="1"/>
  <c r="H235" i="21"/>
  <c r="M235" i="25" s="1"/>
  <c r="I233" i="21"/>
  <c r="N233" i="25" s="1"/>
  <c r="H233" i="21"/>
  <c r="M233" i="25" s="1"/>
  <c r="H253" i="21"/>
  <c r="M253" i="25" s="1"/>
  <c r="F253" i="21"/>
  <c r="C253" i="25" s="1"/>
  <c r="H74" i="21"/>
  <c r="M74" i="25" s="1"/>
  <c r="O74" i="25" s="1"/>
  <c r="F74" i="21"/>
  <c r="C74" i="25" s="1"/>
  <c r="F60" i="21"/>
  <c r="C60" i="25" s="1"/>
  <c r="H60" i="21"/>
  <c r="M60" i="25" s="1"/>
  <c r="O60" i="25" s="1"/>
  <c r="G22" i="21"/>
  <c r="D22" i="25" s="1"/>
  <c r="I22" i="21"/>
  <c r="N22" i="25" s="1"/>
  <c r="I243" i="21"/>
  <c r="N243" i="25" s="1"/>
  <c r="O243" i="25" s="1"/>
  <c r="G243" i="21"/>
  <c r="D243" i="25" s="1"/>
  <c r="E243" i="25" s="1"/>
  <c r="F270" i="21"/>
  <c r="C270" i="25" s="1"/>
  <c r="E270" i="25" s="1"/>
  <c r="H270" i="21"/>
  <c r="M270" i="25" s="1"/>
  <c r="O270" i="25" s="1"/>
  <c r="F260" i="21"/>
  <c r="C260" i="25" s="1"/>
  <c r="H260" i="21"/>
  <c r="M260" i="25" s="1"/>
  <c r="F82" i="21"/>
  <c r="C82" i="25" s="1"/>
  <c r="H82" i="21"/>
  <c r="M82" i="25" s="1"/>
  <c r="I68" i="21"/>
  <c r="N68" i="25" s="1"/>
  <c r="G68" i="21"/>
  <c r="D68" i="25" s="1"/>
  <c r="E68" i="25" s="1"/>
  <c r="H167" i="21"/>
  <c r="M167" i="25" s="1"/>
  <c r="F167" i="21"/>
  <c r="C167" i="25" s="1"/>
  <c r="I174" i="21"/>
  <c r="N174" i="25" s="1"/>
  <c r="G174" i="21"/>
  <c r="D174" i="25" s="1"/>
  <c r="I9" i="21"/>
  <c r="N9" i="25" s="1"/>
  <c r="G9" i="21"/>
  <c r="D9" i="25" s="1"/>
  <c r="F131" i="21"/>
  <c r="C131" i="25" s="1"/>
  <c r="H131" i="21"/>
  <c r="M131" i="25" s="1"/>
  <c r="H39" i="21"/>
  <c r="M39" i="25" s="1"/>
  <c r="F39" i="21"/>
  <c r="C39" i="25" s="1"/>
  <c r="E39" i="25" s="1"/>
  <c r="H66" i="21"/>
  <c r="M66" i="25" s="1"/>
  <c r="F66" i="21"/>
  <c r="C66" i="25" s="1"/>
  <c r="F83" i="21"/>
  <c r="C83" i="25" s="1"/>
  <c r="H83" i="21"/>
  <c r="M83" i="25" s="1"/>
  <c r="I120" i="21"/>
  <c r="N120" i="25" s="1"/>
  <c r="F120" i="21"/>
  <c r="C120" i="25" s="1"/>
  <c r="H120" i="21"/>
  <c r="M120" i="25" s="1"/>
  <c r="G120" i="21"/>
  <c r="D120" i="25" s="1"/>
  <c r="F129" i="21"/>
  <c r="C129" i="25" s="1"/>
  <c r="E129" i="25" s="1"/>
  <c r="H129" i="21"/>
  <c r="M129" i="25" s="1"/>
  <c r="G189" i="21"/>
  <c r="D189" i="25" s="1"/>
  <c r="I189" i="21"/>
  <c r="N189" i="25" s="1"/>
  <c r="G264" i="21"/>
  <c r="D264" i="25" s="1"/>
  <c r="I264" i="21"/>
  <c r="N264" i="25" s="1"/>
  <c r="F274" i="21"/>
  <c r="C274" i="25" s="1"/>
  <c r="G274" i="21"/>
  <c r="D274" i="25" s="1"/>
  <c r="F110" i="21"/>
  <c r="C110" i="25" s="1"/>
  <c r="H110" i="21"/>
  <c r="M110" i="25" s="1"/>
  <c r="F139" i="21"/>
  <c r="C139" i="25" s="1"/>
  <c r="E139" i="25" s="1"/>
  <c r="H139" i="21"/>
  <c r="M139" i="25" s="1"/>
  <c r="H96" i="21"/>
  <c r="M96" i="25" s="1"/>
  <c r="F96" i="21"/>
  <c r="C96" i="25" s="1"/>
  <c r="E96" i="25" s="1"/>
  <c r="F89" i="21"/>
  <c r="C89" i="25" s="1"/>
  <c r="H89" i="21"/>
  <c r="M89" i="25" s="1"/>
  <c r="H5" i="21"/>
  <c r="M5" i="25" s="1"/>
  <c r="F5" i="21"/>
  <c r="C5" i="25" s="1"/>
  <c r="I161" i="21"/>
  <c r="N161" i="25" s="1"/>
  <c r="G161" i="21"/>
  <c r="D161" i="25" s="1"/>
  <c r="H24" i="21"/>
  <c r="M24" i="25" s="1"/>
  <c r="G24" i="21"/>
  <c r="D24" i="25" s="1"/>
  <c r="I290" i="21"/>
  <c r="N290" i="25" s="1"/>
  <c r="G290" i="21"/>
  <c r="D290" i="25" s="1"/>
  <c r="H287" i="21"/>
  <c r="M287" i="25" s="1"/>
  <c r="F287" i="21"/>
  <c r="C287" i="25" s="1"/>
  <c r="E287" i="25" s="1"/>
  <c r="H30" i="21"/>
  <c r="M30" i="25" s="1"/>
  <c r="F30" i="21"/>
  <c r="C30" i="25" s="1"/>
  <c r="E30" i="25" s="1"/>
  <c r="I155" i="21"/>
  <c r="N155" i="25" s="1"/>
  <c r="G155" i="21"/>
  <c r="D155" i="25" s="1"/>
  <c r="I210" i="21"/>
  <c r="N210" i="25" s="1"/>
  <c r="G210" i="21"/>
  <c r="D210" i="25" s="1"/>
  <c r="H44" i="21"/>
  <c r="M44" i="25" s="1"/>
  <c r="O44" i="25" s="1"/>
  <c r="G145" i="21"/>
  <c r="D145" i="25" s="1"/>
  <c r="H200" i="21"/>
  <c r="M200" i="25" s="1"/>
  <c r="F200" i="21"/>
  <c r="C200" i="25" s="1"/>
  <c r="F189" i="21"/>
  <c r="C189" i="25" s="1"/>
  <c r="H189" i="21"/>
  <c r="M189" i="25" s="1"/>
  <c r="H181" i="21"/>
  <c r="M181" i="25" s="1"/>
  <c r="F181" i="21"/>
  <c r="C181" i="25" s="1"/>
  <c r="H173" i="21"/>
  <c r="M173" i="25" s="1"/>
  <c r="F173" i="21"/>
  <c r="C173" i="25" s="1"/>
  <c r="E173" i="25" s="1"/>
  <c r="H164" i="21"/>
  <c r="M164" i="25" s="1"/>
  <c r="F164" i="21"/>
  <c r="C164" i="25" s="1"/>
  <c r="G95" i="21"/>
  <c r="D95" i="25" s="1"/>
  <c r="I95" i="21"/>
  <c r="N95" i="25" s="1"/>
  <c r="I102" i="21"/>
  <c r="N102" i="25" s="1"/>
  <c r="G102" i="21"/>
  <c r="D102" i="25" s="1"/>
  <c r="E102" i="25" s="1"/>
  <c r="I114" i="21"/>
  <c r="N114" i="25" s="1"/>
  <c r="G114" i="21"/>
  <c r="D114" i="25" s="1"/>
  <c r="I122" i="21"/>
  <c r="N122" i="25" s="1"/>
  <c r="G122" i="21"/>
  <c r="D122" i="25" s="1"/>
  <c r="G136" i="21"/>
  <c r="D136" i="25" s="1"/>
  <c r="I136" i="21"/>
  <c r="N136" i="25" s="1"/>
  <c r="O136" i="25" s="1"/>
  <c r="I192" i="21"/>
  <c r="N192" i="25" s="1"/>
  <c r="G192" i="21"/>
  <c r="D192" i="25" s="1"/>
  <c r="I260" i="21"/>
  <c r="N260" i="25" s="1"/>
  <c r="G260" i="21"/>
  <c r="D260" i="25" s="1"/>
  <c r="I274" i="21"/>
  <c r="N274" i="25" s="1"/>
  <c r="F157" i="21"/>
  <c r="C157" i="25" s="1"/>
  <c r="E157" i="25" s="1"/>
  <c r="I219" i="21"/>
  <c r="N219" i="25" s="1"/>
  <c r="O219" i="25" s="1"/>
  <c r="H109" i="21"/>
  <c r="M109" i="25" s="1"/>
  <c r="O109" i="25" s="1"/>
  <c r="F109" i="21"/>
  <c r="C109" i="25" s="1"/>
  <c r="G185" i="21"/>
  <c r="D185" i="25" s="1"/>
  <c r="I185" i="21"/>
  <c r="N185" i="25" s="1"/>
  <c r="G273" i="21"/>
  <c r="D273" i="25" s="1"/>
  <c r="F224" i="21"/>
  <c r="C224" i="25" s="1"/>
  <c r="H224" i="21"/>
  <c r="M224" i="25" s="1"/>
  <c r="O224" i="25" s="1"/>
  <c r="G29" i="21"/>
  <c r="D29" i="25" s="1"/>
  <c r="I29" i="21"/>
  <c r="N29" i="25" s="1"/>
  <c r="I43" i="21"/>
  <c r="N43" i="25" s="1"/>
  <c r="G43" i="21"/>
  <c r="D43" i="25" s="1"/>
  <c r="G72" i="21"/>
  <c r="D72" i="25" s="1"/>
  <c r="I72" i="21"/>
  <c r="N72" i="25" s="1"/>
  <c r="H19" i="21"/>
  <c r="M19" i="25" s="1"/>
  <c r="F19" i="21"/>
  <c r="C19" i="25" s="1"/>
  <c r="I4" i="21"/>
  <c r="N4" i="25" s="1"/>
  <c r="H215" i="21"/>
  <c r="M215" i="25" s="1"/>
  <c r="I249" i="21"/>
  <c r="N249" i="25" s="1"/>
  <c r="F258" i="21"/>
  <c r="C258" i="25" s="1"/>
  <c r="F112" i="21"/>
  <c r="C112" i="25" s="1"/>
  <c r="E112" i="25" s="1"/>
  <c r="F64" i="21"/>
  <c r="C64" i="25" s="1"/>
  <c r="F231" i="50"/>
  <c r="D231" i="52" s="1"/>
  <c r="J231" i="50"/>
  <c r="M231" i="52" s="1"/>
  <c r="H231" i="50"/>
  <c r="I231" i="52" s="1"/>
  <c r="J232" i="50"/>
  <c r="M232" i="52" s="1"/>
  <c r="F232" i="50"/>
  <c r="D232" i="52" s="1"/>
  <c r="J237" i="50"/>
  <c r="M237" i="52" s="1"/>
  <c r="H237" i="50"/>
  <c r="I237" i="52" s="1"/>
  <c r="E231" i="50"/>
  <c r="C231" i="52" s="1"/>
  <c r="I231" i="50"/>
  <c r="L231" i="52" s="1"/>
  <c r="G231" i="50"/>
  <c r="H231" i="52" s="1"/>
  <c r="H231" i="21"/>
  <c r="M231" i="25" s="1"/>
  <c r="F231" i="21"/>
  <c r="C231" i="25" s="1"/>
  <c r="E231" i="25" s="1"/>
  <c r="F275" i="21"/>
  <c r="C275" i="25" s="1"/>
  <c r="H275" i="21"/>
  <c r="M275" i="25" s="1"/>
  <c r="M20" i="7"/>
  <c r="I20" i="87" s="1"/>
  <c r="M90" i="7"/>
  <c r="I90" i="87" s="1"/>
  <c r="M211" i="7"/>
  <c r="I211" i="87" s="1"/>
  <c r="M284" i="7"/>
  <c r="I284" i="87" s="1"/>
  <c r="M287" i="7"/>
  <c r="I287" i="87" s="1"/>
  <c r="D27" i="28"/>
  <c r="G104" i="23"/>
  <c r="G104" i="26" s="1"/>
  <c r="J104" i="26" s="1"/>
  <c r="I104" i="23"/>
  <c r="I82" i="21"/>
  <c r="N82" i="25" s="1"/>
  <c r="G82" i="21"/>
  <c r="D82" i="25" s="1"/>
  <c r="G202" i="21"/>
  <c r="D202" i="25" s="1"/>
  <c r="I202" i="21"/>
  <c r="N202" i="25" s="1"/>
  <c r="I253" i="21"/>
  <c r="N253" i="25" s="1"/>
  <c r="G253" i="21"/>
  <c r="D253" i="25" s="1"/>
  <c r="M143" i="7"/>
  <c r="I143" i="87" s="1"/>
  <c r="S143" i="87" s="1"/>
  <c r="M27" i="7"/>
  <c r="I27" i="87" s="1"/>
  <c r="S27" i="87" s="1"/>
  <c r="J85" i="52"/>
  <c r="G85" i="51" s="1"/>
  <c r="H85" i="51" s="1"/>
  <c r="I167" i="21"/>
  <c r="N167" i="25" s="1"/>
  <c r="G167" i="21"/>
  <c r="D167" i="25" s="1"/>
  <c r="G142" i="21"/>
  <c r="D142" i="25" s="1"/>
  <c r="I142" i="21"/>
  <c r="N142" i="25" s="1"/>
  <c r="H249" i="21"/>
  <c r="M249" i="25" s="1"/>
  <c r="F249" i="21"/>
  <c r="C249" i="25" s="1"/>
  <c r="I37" i="21"/>
  <c r="N37" i="25" s="1"/>
  <c r="G37" i="21"/>
  <c r="D37" i="25" s="1"/>
  <c r="F209" i="21"/>
  <c r="C209" i="25" s="1"/>
  <c r="E209" i="25" s="1"/>
  <c r="H209" i="21"/>
  <c r="M209" i="25" s="1"/>
  <c r="H217" i="21"/>
  <c r="M217" i="25" s="1"/>
  <c r="I217" i="21"/>
  <c r="N217" i="25" s="1"/>
  <c r="G217" i="21"/>
  <c r="D217" i="25" s="1"/>
  <c r="H277" i="21"/>
  <c r="M277" i="25" s="1"/>
  <c r="O277" i="25" s="1"/>
  <c r="F277" i="21"/>
  <c r="C277" i="25" s="1"/>
  <c r="H193" i="21"/>
  <c r="M193" i="25" s="1"/>
  <c r="F193" i="21"/>
  <c r="C193" i="25" s="1"/>
  <c r="E193" i="25" s="1"/>
  <c r="M32" i="7"/>
  <c r="I32" i="87" s="1"/>
  <c r="S32" i="87" s="1"/>
  <c r="I164" i="21"/>
  <c r="N164" i="25" s="1"/>
  <c r="G164" i="21"/>
  <c r="D164" i="25" s="1"/>
  <c r="F62" i="21"/>
  <c r="C62" i="25" s="1"/>
  <c r="E62" i="25" s="1"/>
  <c r="H62" i="21"/>
  <c r="M62" i="25" s="1"/>
  <c r="I65" i="21"/>
  <c r="N65" i="25" s="1"/>
  <c r="G65" i="21"/>
  <c r="D65" i="25" s="1"/>
  <c r="I107" i="21"/>
  <c r="N107" i="25" s="1"/>
  <c r="G107" i="21"/>
  <c r="D107" i="25" s="1"/>
  <c r="I158" i="21"/>
  <c r="N158" i="25" s="1"/>
  <c r="G158" i="21"/>
  <c r="D158" i="25" s="1"/>
  <c r="I188" i="21"/>
  <c r="N188" i="25" s="1"/>
  <c r="G188" i="21"/>
  <c r="D188" i="25" s="1"/>
  <c r="G215" i="21"/>
  <c r="D215" i="25" s="1"/>
  <c r="I215" i="21"/>
  <c r="N215" i="25" s="1"/>
  <c r="H208" i="21"/>
  <c r="M208" i="25" s="1"/>
  <c r="F208" i="21"/>
  <c r="C208" i="25" s="1"/>
  <c r="I171" i="21"/>
  <c r="N171" i="25" s="1"/>
  <c r="G171" i="21"/>
  <c r="D171" i="25" s="1"/>
  <c r="F144" i="21"/>
  <c r="C144" i="25" s="1"/>
  <c r="H144" i="21"/>
  <c r="M144" i="25" s="1"/>
  <c r="O144" i="25" s="1"/>
  <c r="F162" i="21"/>
  <c r="C162" i="25" s="1"/>
  <c r="H162" i="21"/>
  <c r="M162" i="25" s="1"/>
  <c r="O162" i="25" s="1"/>
  <c r="H170" i="21"/>
  <c r="M170" i="25" s="1"/>
  <c r="F170" i="21"/>
  <c r="C170" i="25" s="1"/>
  <c r="I178" i="21"/>
  <c r="N178" i="25" s="1"/>
  <c r="G178" i="21"/>
  <c r="D178" i="25" s="1"/>
  <c r="G195" i="21"/>
  <c r="D195" i="25" s="1"/>
  <c r="F195" i="21"/>
  <c r="C195" i="25" s="1"/>
  <c r="H195" i="21"/>
  <c r="M195" i="25" s="1"/>
  <c r="I195" i="21"/>
  <c r="N195" i="25" s="1"/>
  <c r="I205" i="21"/>
  <c r="N205" i="25" s="1"/>
  <c r="G205" i="21"/>
  <c r="D205" i="25" s="1"/>
  <c r="E205" i="25" s="1"/>
  <c r="I27" i="21"/>
  <c r="N27" i="25" s="1"/>
  <c r="G27" i="21"/>
  <c r="D27" i="25" s="1"/>
  <c r="G100" i="21"/>
  <c r="D100" i="25" s="1"/>
  <c r="I100" i="21"/>
  <c r="N100" i="25" s="1"/>
  <c r="O128" i="25"/>
  <c r="F118" i="21"/>
  <c r="C118" i="25" s="1"/>
  <c r="I118" i="21"/>
  <c r="N118" i="25" s="1"/>
  <c r="H118" i="21"/>
  <c r="M118" i="25" s="1"/>
  <c r="G118" i="21"/>
  <c r="D118" i="25" s="1"/>
  <c r="F126" i="21"/>
  <c r="C126" i="25" s="1"/>
  <c r="H126" i="21"/>
  <c r="M126" i="25" s="1"/>
  <c r="H108" i="21"/>
  <c r="M108" i="25" s="1"/>
  <c r="O108" i="25" s="1"/>
  <c r="F108" i="21"/>
  <c r="C108" i="25" s="1"/>
  <c r="H73" i="21"/>
  <c r="M73" i="25" s="1"/>
  <c r="F73" i="21"/>
  <c r="C73" i="25" s="1"/>
  <c r="E73" i="25" s="1"/>
  <c r="G238" i="21"/>
  <c r="D238" i="25" s="1"/>
  <c r="I238" i="21"/>
  <c r="N238" i="25" s="1"/>
  <c r="D9" i="28"/>
  <c r="J156" i="52"/>
  <c r="G156" i="51" s="1"/>
  <c r="J131" i="52"/>
  <c r="G131" i="51" s="1"/>
  <c r="H131" i="51" s="1"/>
  <c r="M239" i="7"/>
  <c r="I239" i="87" s="1"/>
  <c r="J128" i="52"/>
  <c r="G128" i="51" s="1"/>
  <c r="H128" i="51" s="1"/>
  <c r="C35" i="28"/>
  <c r="C24" i="39"/>
  <c r="K24" i="39" s="1"/>
  <c r="H197" i="50"/>
  <c r="I197" i="52" s="1"/>
  <c r="J197" i="50"/>
  <c r="M197" i="52" s="1"/>
  <c r="D30" i="28"/>
  <c r="C51" i="39"/>
  <c r="K51" i="39" s="1"/>
  <c r="N39" i="26"/>
  <c r="J58" i="26"/>
  <c r="J10" i="26"/>
  <c r="N29" i="26"/>
  <c r="N65" i="26"/>
  <c r="C24" i="28"/>
  <c r="F151" i="52"/>
  <c r="E151" i="51" s="1"/>
  <c r="N51" i="26"/>
  <c r="F116" i="52"/>
  <c r="E116" i="51" s="1"/>
  <c r="J68" i="26"/>
  <c r="N82" i="26"/>
  <c r="F91" i="52"/>
  <c r="E91" i="51" s="1"/>
  <c r="F91" i="51" s="1"/>
  <c r="N113" i="26"/>
  <c r="N153" i="26"/>
  <c r="F159" i="52"/>
  <c r="E159" i="51" s="1"/>
  <c r="N109" i="26"/>
  <c r="N114" i="26"/>
  <c r="F130" i="52"/>
  <c r="E130" i="51" s="1"/>
  <c r="F130" i="51" s="1"/>
  <c r="N130" i="26"/>
  <c r="N147" i="26"/>
  <c r="F166" i="52"/>
  <c r="E166" i="51" s="1"/>
  <c r="F166" i="51" s="1"/>
  <c r="J168" i="26"/>
  <c r="F183" i="52"/>
  <c r="E183" i="51" s="1"/>
  <c r="J80" i="26"/>
  <c r="N112" i="26"/>
  <c r="J166" i="26"/>
  <c r="N174" i="26"/>
  <c r="F207" i="52"/>
  <c r="E207" i="51" s="1"/>
  <c r="F207" i="51" s="1"/>
  <c r="J207" i="26"/>
  <c r="F251" i="52"/>
  <c r="E251" i="51" s="1"/>
  <c r="F251" i="51" s="1"/>
  <c r="F219" i="52"/>
  <c r="E219" i="51" s="1"/>
  <c r="F219" i="51" s="1"/>
  <c r="F287" i="52"/>
  <c r="E287" i="51" s="1"/>
  <c r="F287" i="51" s="1"/>
  <c r="F290" i="52"/>
  <c r="E290" i="51" s="1"/>
  <c r="F290" i="51" s="1"/>
  <c r="G232" i="21"/>
  <c r="D232" i="25" s="1"/>
  <c r="E232" i="25" s="1"/>
  <c r="I232" i="21"/>
  <c r="N232" i="25" s="1"/>
  <c r="N134" i="26"/>
  <c r="J165" i="26"/>
  <c r="F270" i="52"/>
  <c r="E270" i="51" s="1"/>
  <c r="F270" i="51" s="1"/>
  <c r="I232" i="50"/>
  <c r="L232" i="52" s="1"/>
  <c r="G232" i="50"/>
  <c r="H232" i="52" s="1"/>
  <c r="E232" i="50"/>
  <c r="C232" i="52" s="1"/>
  <c r="J141" i="26"/>
  <c r="N276" i="26"/>
  <c r="D232" i="28"/>
  <c r="F284" i="52"/>
  <c r="E284" i="51" s="1"/>
  <c r="F284" i="51" s="1"/>
  <c r="N201" i="26"/>
  <c r="J154" i="26"/>
  <c r="H232" i="23"/>
  <c r="K232" i="26" s="1"/>
  <c r="J232" i="23"/>
  <c r="N283" i="26"/>
  <c r="N251" i="26"/>
  <c r="H232" i="50"/>
  <c r="I232" i="52" s="1"/>
  <c r="J250" i="26"/>
  <c r="F237" i="52"/>
  <c r="E237" i="51" s="1"/>
  <c r="F237" i="51" s="1"/>
  <c r="N263" i="26"/>
  <c r="J272" i="26"/>
  <c r="C125" i="39"/>
  <c r="K125" i="39" s="1"/>
  <c r="C93" i="28"/>
  <c r="H232" i="21"/>
  <c r="M232" i="25" s="1"/>
  <c r="H237" i="21"/>
  <c r="M237" i="25" s="1"/>
  <c r="O237" i="25" s="1"/>
  <c r="C28" i="39"/>
  <c r="K28" i="39" s="1"/>
  <c r="C44" i="39"/>
  <c r="K44" i="39" s="1"/>
  <c r="C155" i="39"/>
  <c r="I155" i="39" s="1"/>
  <c r="C279" i="28"/>
  <c r="E255" i="50"/>
  <c r="C255" i="52" s="1"/>
  <c r="E224" i="50"/>
  <c r="C224" i="52" s="1"/>
  <c r="E225" i="50"/>
  <c r="C225" i="52" s="1"/>
  <c r="E228" i="50"/>
  <c r="C228" i="52" s="1"/>
  <c r="E214" i="50"/>
  <c r="C214" i="52" s="1"/>
  <c r="E222" i="50"/>
  <c r="C222" i="52" s="1"/>
  <c r="E208" i="50"/>
  <c r="C208" i="52" s="1"/>
  <c r="F208" i="52" s="1"/>
  <c r="E208" i="51" s="1"/>
  <c r="E195" i="50"/>
  <c r="C195" i="52" s="1"/>
  <c r="E227" i="50"/>
  <c r="C227" i="52" s="1"/>
  <c r="E217" i="50"/>
  <c r="C217" i="52" s="1"/>
  <c r="E209" i="50"/>
  <c r="C209" i="52" s="1"/>
  <c r="F209" i="52" s="1"/>
  <c r="E209" i="51" s="1"/>
  <c r="E226" i="50"/>
  <c r="C226" i="52" s="1"/>
  <c r="E221" i="50"/>
  <c r="C221" i="52" s="1"/>
  <c r="F221" i="52" s="1"/>
  <c r="E221" i="51" s="1"/>
  <c r="E212" i="50"/>
  <c r="C212" i="52" s="1"/>
  <c r="E198" i="50"/>
  <c r="C198" i="52" s="1"/>
  <c r="E205" i="50"/>
  <c r="C205" i="52" s="1"/>
  <c r="E204" i="50"/>
  <c r="C204" i="52" s="1"/>
  <c r="E192" i="50"/>
  <c r="C192" i="52" s="1"/>
  <c r="E182" i="50"/>
  <c r="C182" i="52" s="1"/>
  <c r="F182" i="52" s="1"/>
  <c r="E182" i="51" s="1"/>
  <c r="E220" i="50"/>
  <c r="C220" i="52" s="1"/>
  <c r="F220" i="52" s="1"/>
  <c r="E220" i="51" s="1"/>
  <c r="E206" i="50"/>
  <c r="C206" i="52" s="1"/>
  <c r="F206" i="52" s="1"/>
  <c r="E206" i="51" s="1"/>
  <c r="F206" i="51" s="1"/>
  <c r="E188" i="50"/>
  <c r="C188" i="52" s="1"/>
  <c r="E216" i="50"/>
  <c r="C216" i="52" s="1"/>
  <c r="F216" i="52" s="1"/>
  <c r="E216" i="51" s="1"/>
  <c r="E223" i="50"/>
  <c r="C223" i="52" s="1"/>
  <c r="F223" i="52" s="1"/>
  <c r="E223" i="51" s="1"/>
  <c r="E193" i="50"/>
  <c r="C193" i="52" s="1"/>
  <c r="F193" i="52" s="1"/>
  <c r="E193" i="51" s="1"/>
  <c r="F193" i="51" s="1"/>
  <c r="E202" i="50"/>
  <c r="C202" i="52" s="1"/>
  <c r="F202" i="52" s="1"/>
  <c r="E202" i="51" s="1"/>
  <c r="F202" i="51" s="1"/>
  <c r="E179" i="50"/>
  <c r="C179" i="52" s="1"/>
  <c r="E168" i="50"/>
  <c r="C168" i="52" s="1"/>
  <c r="F168" i="52" s="1"/>
  <c r="E168" i="51" s="1"/>
  <c r="F168" i="51" s="1"/>
  <c r="E162" i="50"/>
  <c r="C162" i="52" s="1"/>
  <c r="F162" i="52" s="1"/>
  <c r="E162" i="51" s="1"/>
  <c r="E173" i="50"/>
  <c r="C173" i="52" s="1"/>
  <c r="F173" i="52" s="1"/>
  <c r="E173" i="51" s="1"/>
  <c r="F173" i="51" s="1"/>
  <c r="E163" i="50"/>
  <c r="C163" i="52" s="1"/>
  <c r="E189" i="50"/>
  <c r="C189" i="52" s="1"/>
  <c r="E174" i="50"/>
  <c r="C174" i="52" s="1"/>
  <c r="F174" i="52" s="1"/>
  <c r="E174" i="51" s="1"/>
  <c r="E158" i="50"/>
  <c r="C158" i="52" s="1"/>
  <c r="F158" i="52" s="1"/>
  <c r="E158" i="51" s="1"/>
  <c r="E199" i="50"/>
  <c r="C199" i="52" s="1"/>
  <c r="E157" i="50"/>
  <c r="C157" i="52" s="1"/>
  <c r="E169" i="50"/>
  <c r="C169" i="52" s="1"/>
  <c r="E153" i="50"/>
  <c r="C153" i="52" s="1"/>
  <c r="F153" i="52" s="1"/>
  <c r="E153" i="51" s="1"/>
  <c r="E143" i="50"/>
  <c r="C143" i="52" s="1"/>
  <c r="F143" i="52" s="1"/>
  <c r="E143" i="51" s="1"/>
  <c r="E129" i="50"/>
  <c r="C129" i="52" s="1"/>
  <c r="F129" i="52" s="1"/>
  <c r="E129" i="51" s="1"/>
  <c r="F129" i="51" s="1"/>
  <c r="E122" i="50"/>
  <c r="C122" i="52" s="1"/>
  <c r="F122" i="52" s="1"/>
  <c r="E122" i="51" s="1"/>
  <c r="E184" i="50"/>
  <c r="C184" i="52" s="1"/>
  <c r="E181" i="50"/>
  <c r="C181" i="52" s="1"/>
  <c r="E177" i="50"/>
  <c r="C177" i="52" s="1"/>
  <c r="F177" i="52" s="1"/>
  <c r="E177" i="51" s="1"/>
  <c r="E154" i="50"/>
  <c r="C154" i="52" s="1"/>
  <c r="E123" i="50"/>
  <c r="C123" i="52" s="1"/>
  <c r="E180" i="50"/>
  <c r="C180" i="52" s="1"/>
  <c r="E165" i="50"/>
  <c r="C165" i="52" s="1"/>
  <c r="E164" i="50"/>
  <c r="C164" i="52" s="1"/>
  <c r="F164" i="52" s="1"/>
  <c r="E164" i="51" s="1"/>
  <c r="F164" i="51" s="1"/>
  <c r="E167" i="50"/>
  <c r="C167" i="52" s="1"/>
  <c r="E149" i="50"/>
  <c r="C149" i="52" s="1"/>
  <c r="F149" i="52" s="1"/>
  <c r="E149" i="51" s="1"/>
  <c r="E135" i="50"/>
  <c r="C135" i="52" s="1"/>
  <c r="F135" i="52" s="1"/>
  <c r="E135" i="51" s="1"/>
  <c r="E132" i="50"/>
  <c r="C132" i="52" s="1"/>
  <c r="E118" i="50"/>
  <c r="C118" i="52" s="1"/>
  <c r="E150" i="50"/>
  <c r="C150" i="52" s="1"/>
  <c r="E126" i="50"/>
  <c r="C126" i="52" s="1"/>
  <c r="F126" i="52" s="1"/>
  <c r="E126" i="51" s="1"/>
  <c r="F126" i="51" s="1"/>
  <c r="E124" i="50"/>
  <c r="C124" i="52" s="1"/>
  <c r="F124" i="52" s="1"/>
  <c r="E124" i="51" s="1"/>
  <c r="E152" i="50"/>
  <c r="C152" i="52" s="1"/>
  <c r="E139" i="50"/>
  <c r="C139" i="52" s="1"/>
  <c r="F139" i="52" s="1"/>
  <c r="E139" i="51" s="1"/>
  <c r="E131" i="50"/>
  <c r="C131" i="52" s="1"/>
  <c r="F131" i="52" s="1"/>
  <c r="E131" i="51" s="1"/>
  <c r="F131" i="51" s="1"/>
  <c r="E127" i="50"/>
  <c r="C127" i="52" s="1"/>
  <c r="F127" i="52" s="1"/>
  <c r="E127" i="51" s="1"/>
  <c r="F127" i="51" s="1"/>
  <c r="E103" i="50"/>
  <c r="C103" i="52" s="1"/>
  <c r="E79" i="50"/>
  <c r="C79" i="52" s="1"/>
  <c r="E128" i="50"/>
  <c r="C128" i="52" s="1"/>
  <c r="F128" i="52" s="1"/>
  <c r="E128" i="51" s="1"/>
  <c r="F128" i="51" s="1"/>
  <c r="E101" i="50"/>
  <c r="C101" i="52" s="1"/>
  <c r="F101" i="52" s="1"/>
  <c r="E101" i="51" s="1"/>
  <c r="E44" i="50"/>
  <c r="C44" i="52" s="1"/>
  <c r="F44" i="52" s="1"/>
  <c r="E44" i="51" s="1"/>
  <c r="F44" i="51" s="1"/>
  <c r="E71" i="50"/>
  <c r="C71" i="52" s="1"/>
  <c r="E26" i="50"/>
  <c r="C26" i="52" s="1"/>
  <c r="E25" i="50"/>
  <c r="C25" i="52" s="1"/>
  <c r="E24" i="50"/>
  <c r="C24" i="52" s="1"/>
  <c r="E23" i="50"/>
  <c r="C23" i="52" s="1"/>
  <c r="F23" i="52" s="1"/>
  <c r="E23" i="51" s="1"/>
  <c r="E15" i="50"/>
  <c r="C15" i="52" s="1"/>
  <c r="F15" i="52" s="1"/>
  <c r="E15" i="51" s="1"/>
  <c r="F15" i="51" s="1"/>
  <c r="E8" i="50"/>
  <c r="C8" i="52" s="1"/>
  <c r="E61" i="50"/>
  <c r="C61" i="52" s="1"/>
  <c r="F61" i="52" s="1"/>
  <c r="E61" i="51" s="1"/>
  <c r="F61" i="51" s="1"/>
  <c r="E39" i="50"/>
  <c r="C39" i="52" s="1"/>
  <c r="E35" i="50"/>
  <c r="C35" i="52" s="1"/>
  <c r="F35" i="52" s="1"/>
  <c r="E35" i="51" s="1"/>
  <c r="E30" i="50"/>
  <c r="C30" i="52" s="1"/>
  <c r="F30" i="52" s="1"/>
  <c r="E30" i="51" s="1"/>
  <c r="E27" i="50"/>
  <c r="C27" i="52" s="1"/>
  <c r="E9" i="50"/>
  <c r="C9" i="52" s="1"/>
  <c r="E6" i="50"/>
  <c r="C6" i="52" s="1"/>
  <c r="E22" i="50"/>
  <c r="C22" i="52" s="1"/>
  <c r="E31" i="50"/>
  <c r="C31" i="52" s="1"/>
  <c r="E38" i="50"/>
  <c r="C38" i="52" s="1"/>
  <c r="F38" i="52" s="1"/>
  <c r="E38" i="51" s="1"/>
  <c r="F38" i="51" s="1"/>
  <c r="E36" i="50"/>
  <c r="C36" i="52" s="1"/>
  <c r="F36" i="52" s="1"/>
  <c r="E36" i="51" s="1"/>
  <c r="F36" i="51" s="1"/>
  <c r="E40" i="50"/>
  <c r="C40" i="52" s="1"/>
  <c r="F40" i="52" s="1"/>
  <c r="E40" i="51" s="1"/>
  <c r="F40" i="51" s="1"/>
  <c r="D364" i="17"/>
  <c r="J148" i="50" s="1"/>
  <c r="M148" i="52" s="1"/>
  <c r="C272" i="39"/>
  <c r="D451" i="17"/>
  <c r="N20" i="26"/>
  <c r="C31" i="39"/>
  <c r="I31" i="39" s="1"/>
  <c r="C75" i="28"/>
  <c r="F9" i="50"/>
  <c r="D9" i="52" s="1"/>
  <c r="H24" i="23"/>
  <c r="K24" i="26" s="1"/>
  <c r="L24" i="26" s="1"/>
  <c r="M24" i="26" s="1"/>
  <c r="N24" i="26" s="1"/>
  <c r="G26" i="23"/>
  <c r="G26" i="26" s="1"/>
  <c r="H26" i="26" s="1"/>
  <c r="I26" i="26" s="1"/>
  <c r="J26" i="26" s="1"/>
  <c r="G32" i="23"/>
  <c r="G32" i="26" s="1"/>
  <c r="H32" i="26" s="1"/>
  <c r="I32" i="26" s="1"/>
  <c r="J32" i="26" s="1"/>
  <c r="G33" i="23"/>
  <c r="G33" i="26" s="1"/>
  <c r="H33" i="26" s="1"/>
  <c r="I33" i="26" s="1"/>
  <c r="J33" i="26" s="1"/>
  <c r="H5" i="23"/>
  <c r="K5" i="26" s="1"/>
  <c r="L5" i="26" s="1"/>
  <c r="M5" i="26" s="1"/>
  <c r="N5" i="26" s="1"/>
  <c r="F26" i="50"/>
  <c r="D26" i="52" s="1"/>
  <c r="G29" i="23"/>
  <c r="G29" i="26" s="1"/>
  <c r="N50" i="26"/>
  <c r="C186" i="39"/>
  <c r="I186" i="39" s="1"/>
  <c r="F8" i="50"/>
  <c r="D8" i="52" s="1"/>
  <c r="G31" i="23"/>
  <c r="G31" i="26" s="1"/>
  <c r="J31" i="26" s="1"/>
  <c r="F5" i="50"/>
  <c r="D5" i="52" s="1"/>
  <c r="H8" i="23"/>
  <c r="K8" i="26" s="1"/>
  <c r="L8" i="26" s="1"/>
  <c r="M8" i="26" s="1"/>
  <c r="G37" i="23"/>
  <c r="G37" i="26" s="1"/>
  <c r="J37" i="26" s="1"/>
  <c r="G42" i="23"/>
  <c r="G42" i="26" s="1"/>
  <c r="H42" i="26" s="1"/>
  <c r="I42" i="26" s="1"/>
  <c r="J42" i="26" s="1"/>
  <c r="F280" i="50"/>
  <c r="D280" i="52" s="1"/>
  <c r="F273" i="50"/>
  <c r="D273" i="52" s="1"/>
  <c r="F273" i="52" s="1"/>
  <c r="E273" i="51" s="1"/>
  <c r="F273" i="51" s="1"/>
  <c r="F274" i="50"/>
  <c r="D274" i="52" s="1"/>
  <c r="F275" i="50"/>
  <c r="D275" i="52" s="1"/>
  <c r="F275" i="52" s="1"/>
  <c r="E275" i="51" s="1"/>
  <c r="F275" i="51" s="1"/>
  <c r="F278" i="50"/>
  <c r="D278" i="52" s="1"/>
  <c r="F278" i="52" s="1"/>
  <c r="E278" i="51" s="1"/>
  <c r="F278" i="51" s="1"/>
  <c r="F255" i="50"/>
  <c r="D255" i="52" s="1"/>
  <c r="F264" i="50"/>
  <c r="D264" i="52" s="1"/>
  <c r="F264" i="52" s="1"/>
  <c r="E264" i="51" s="1"/>
  <c r="F248" i="50"/>
  <c r="D248" i="52" s="1"/>
  <c r="F248" i="52" s="1"/>
  <c r="E248" i="51" s="1"/>
  <c r="F257" i="50"/>
  <c r="D257" i="52" s="1"/>
  <c r="F257" i="52" s="1"/>
  <c r="E257" i="51" s="1"/>
  <c r="F257" i="51" s="1"/>
  <c r="F258" i="50"/>
  <c r="D258" i="52" s="1"/>
  <c r="F259" i="50"/>
  <c r="D259" i="52" s="1"/>
  <c r="F260" i="50"/>
  <c r="D260" i="52" s="1"/>
  <c r="F260" i="52" s="1"/>
  <c r="E260" i="51" s="1"/>
  <c r="F260" i="51" s="1"/>
  <c r="F261" i="50"/>
  <c r="D261" i="52" s="1"/>
  <c r="F261" i="52" s="1"/>
  <c r="E261" i="51" s="1"/>
  <c r="F261" i="51" s="1"/>
  <c r="F250" i="50"/>
  <c r="D250" i="52" s="1"/>
  <c r="F250" i="52" s="1"/>
  <c r="E250" i="51" s="1"/>
  <c r="F262" i="50"/>
  <c r="D262" i="52" s="1"/>
  <c r="F212" i="50"/>
  <c r="D212" i="52" s="1"/>
  <c r="F249" i="50"/>
  <c r="D249" i="52" s="1"/>
  <c r="F249" i="52" s="1"/>
  <c r="E249" i="51" s="1"/>
  <c r="F227" i="50"/>
  <c r="D227" i="52" s="1"/>
  <c r="F195" i="50"/>
  <c r="D195" i="52" s="1"/>
  <c r="F217" i="50"/>
  <c r="D217" i="52" s="1"/>
  <c r="F210" i="50"/>
  <c r="D210" i="52" s="1"/>
  <c r="F210" i="52" s="1"/>
  <c r="E210" i="51" s="1"/>
  <c r="F211" i="50"/>
  <c r="D211" i="52" s="1"/>
  <c r="F211" i="52" s="1"/>
  <c r="E211" i="51" s="1"/>
  <c r="F178" i="50"/>
  <c r="D178" i="52" s="1"/>
  <c r="F179" i="50"/>
  <c r="D179" i="52" s="1"/>
  <c r="F205" i="50"/>
  <c r="D205" i="52" s="1"/>
  <c r="F175" i="50"/>
  <c r="D175" i="52" s="1"/>
  <c r="F175" i="52" s="1"/>
  <c r="E175" i="51" s="1"/>
  <c r="F175" i="51" s="1"/>
  <c r="F188" i="50"/>
  <c r="D188" i="52" s="1"/>
  <c r="F176" i="50"/>
  <c r="D176" i="52" s="1"/>
  <c r="F176" i="52" s="1"/>
  <c r="E176" i="51" s="1"/>
  <c r="F176" i="51" s="1"/>
  <c r="F189" i="50"/>
  <c r="D189" i="52" s="1"/>
  <c r="F184" i="50"/>
  <c r="D184" i="52" s="1"/>
  <c r="F163" i="50"/>
  <c r="D163" i="52" s="1"/>
  <c r="F167" i="50"/>
  <c r="D167" i="52" s="1"/>
  <c r="F132" i="50"/>
  <c r="D132" i="52" s="1"/>
  <c r="F118" i="50"/>
  <c r="D118" i="52" s="1"/>
  <c r="F156" i="50"/>
  <c r="D156" i="52" s="1"/>
  <c r="F156" i="52" s="1"/>
  <c r="E156" i="51" s="1"/>
  <c r="F150" i="50"/>
  <c r="D150" i="52" s="1"/>
  <c r="F119" i="50"/>
  <c r="D119" i="52" s="1"/>
  <c r="F119" i="52" s="1"/>
  <c r="E119" i="51" s="1"/>
  <c r="F169" i="50"/>
  <c r="D169" i="52" s="1"/>
  <c r="F137" i="50"/>
  <c r="D137" i="52" s="1"/>
  <c r="F137" i="52" s="1"/>
  <c r="E137" i="51" s="1"/>
  <c r="F138" i="50"/>
  <c r="D138" i="52" s="1"/>
  <c r="F138" i="52" s="1"/>
  <c r="E138" i="51" s="1"/>
  <c r="F123" i="50"/>
  <c r="D123" i="52" s="1"/>
  <c r="F115" i="50"/>
  <c r="D115" i="52" s="1"/>
  <c r="F145" i="50"/>
  <c r="D145" i="52" s="1"/>
  <c r="F145" i="52" s="1"/>
  <c r="E145" i="51" s="1"/>
  <c r="F121" i="50"/>
  <c r="D121" i="52" s="1"/>
  <c r="F121" i="52" s="1"/>
  <c r="E121" i="51" s="1"/>
  <c r="F152" i="50"/>
  <c r="D152" i="52" s="1"/>
  <c r="F136" i="50"/>
  <c r="D136" i="52" s="1"/>
  <c r="F89" i="50"/>
  <c r="D89" i="52" s="1"/>
  <c r="F79" i="50"/>
  <c r="D79" i="52" s="1"/>
  <c r="F85" i="50"/>
  <c r="D85" i="52" s="1"/>
  <c r="F85" i="52" s="1"/>
  <c r="E85" i="51" s="1"/>
  <c r="F85" i="51" s="1"/>
  <c r="F80" i="50"/>
  <c r="D80" i="52" s="1"/>
  <c r="F80" i="52" s="1"/>
  <c r="E80" i="51" s="1"/>
  <c r="F120" i="50"/>
  <c r="D120" i="52" s="1"/>
  <c r="F120" i="52" s="1"/>
  <c r="E120" i="51" s="1"/>
  <c r="F103" i="50"/>
  <c r="D103" i="52" s="1"/>
  <c r="F104" i="50"/>
  <c r="D104" i="52" s="1"/>
  <c r="F104" i="52" s="1"/>
  <c r="E104" i="51" s="1"/>
  <c r="F87" i="50"/>
  <c r="D87" i="52" s="1"/>
  <c r="F87" i="52" s="1"/>
  <c r="E87" i="51" s="1"/>
  <c r="F87" i="51" s="1"/>
  <c r="F71" i="50"/>
  <c r="D71" i="52" s="1"/>
  <c r="F39" i="50"/>
  <c r="D39" i="52" s="1"/>
  <c r="F86" i="50"/>
  <c r="D86" i="52" s="1"/>
  <c r="F86" i="52" s="1"/>
  <c r="E86" i="51" s="1"/>
  <c r="F86" i="51" s="1"/>
  <c r="F31" i="50"/>
  <c r="D31" i="52" s="1"/>
  <c r="F4" i="50"/>
  <c r="D4" i="52" s="1"/>
  <c r="F24" i="50"/>
  <c r="D24" i="52" s="1"/>
  <c r="G40" i="23"/>
  <c r="G40" i="26" s="1"/>
  <c r="H40" i="26" s="1"/>
  <c r="I40" i="26" s="1"/>
  <c r="J40" i="26" s="1"/>
  <c r="F67" i="52"/>
  <c r="E67" i="51" s="1"/>
  <c r="H278" i="23"/>
  <c r="K278" i="26" s="1"/>
  <c r="H280" i="23"/>
  <c r="K280" i="26" s="1"/>
  <c r="L280" i="26" s="1"/>
  <c r="M280" i="26" s="1"/>
  <c r="N280" i="26" s="1"/>
  <c r="H273" i="23"/>
  <c r="K273" i="26" s="1"/>
  <c r="L273" i="26" s="1"/>
  <c r="M273" i="26" s="1"/>
  <c r="N273" i="26" s="1"/>
  <c r="H274" i="23"/>
  <c r="K274" i="26" s="1"/>
  <c r="L274" i="26" s="1"/>
  <c r="M274" i="26" s="1"/>
  <c r="N274" i="26" s="1"/>
  <c r="H275" i="23"/>
  <c r="K275" i="26" s="1"/>
  <c r="L275" i="26" s="1"/>
  <c r="M275" i="26" s="1"/>
  <c r="N275" i="26" s="1"/>
  <c r="H260" i="23"/>
  <c r="K260" i="26" s="1"/>
  <c r="H261" i="23"/>
  <c r="K261" i="26" s="1"/>
  <c r="N261" i="26" s="1"/>
  <c r="H255" i="23"/>
  <c r="K255" i="26" s="1"/>
  <c r="L255" i="26" s="1"/>
  <c r="M255" i="26" s="1"/>
  <c r="N255" i="26" s="1"/>
  <c r="H262" i="23"/>
  <c r="K262" i="26" s="1"/>
  <c r="H264" i="23"/>
  <c r="K264" i="26" s="1"/>
  <c r="H248" i="23"/>
  <c r="K248" i="26" s="1"/>
  <c r="H257" i="23"/>
  <c r="K257" i="26" s="1"/>
  <c r="N257" i="26" s="1"/>
  <c r="H249" i="23"/>
  <c r="K249" i="26" s="1"/>
  <c r="N249" i="26" s="1"/>
  <c r="H258" i="23"/>
  <c r="K258" i="26" s="1"/>
  <c r="H227" i="23"/>
  <c r="K227" i="26" s="1"/>
  <c r="L227" i="26" s="1"/>
  <c r="M227" i="26" s="1"/>
  <c r="N227" i="26" s="1"/>
  <c r="H217" i="23"/>
  <c r="K217" i="26" s="1"/>
  <c r="L217" i="26" s="1"/>
  <c r="M217" i="26" s="1"/>
  <c r="N217" i="26" s="1"/>
  <c r="H250" i="23"/>
  <c r="K250" i="26" s="1"/>
  <c r="H259" i="23"/>
  <c r="K259" i="26" s="1"/>
  <c r="N259" i="26" s="1"/>
  <c r="H212" i="23"/>
  <c r="K212" i="26" s="1"/>
  <c r="L212" i="26" s="1"/>
  <c r="M212" i="26" s="1"/>
  <c r="N212" i="26" s="1"/>
  <c r="H210" i="23"/>
  <c r="K210" i="26" s="1"/>
  <c r="N210" i="26" s="1"/>
  <c r="K196" i="26"/>
  <c r="H211" i="23"/>
  <c r="K211" i="26" s="1"/>
  <c r="H195" i="23"/>
  <c r="K195" i="26" s="1"/>
  <c r="L195" i="26" s="1"/>
  <c r="M195" i="26" s="1"/>
  <c r="N195" i="26" s="1"/>
  <c r="H205" i="23"/>
  <c r="K205" i="26" s="1"/>
  <c r="H188" i="23"/>
  <c r="K188" i="26" s="1"/>
  <c r="H184" i="23"/>
  <c r="K184" i="26" s="1"/>
  <c r="L184" i="26" s="1"/>
  <c r="M184" i="26" s="1"/>
  <c r="N184" i="26" s="1"/>
  <c r="H189" i="23"/>
  <c r="K189" i="26" s="1"/>
  <c r="N189" i="26" s="1"/>
  <c r="H175" i="23"/>
  <c r="K175" i="26" s="1"/>
  <c r="L175" i="26" s="1"/>
  <c r="M175" i="26" s="1"/>
  <c r="N175" i="26" s="1"/>
  <c r="H179" i="23"/>
  <c r="K179" i="26" s="1"/>
  <c r="L179" i="26" s="1"/>
  <c r="M179" i="26" s="1"/>
  <c r="N179" i="26" s="1"/>
  <c r="H169" i="23"/>
  <c r="K169" i="26" s="1"/>
  <c r="N169" i="26" s="1"/>
  <c r="H167" i="23"/>
  <c r="K167" i="26" s="1"/>
  <c r="L167" i="26" s="1"/>
  <c r="M167" i="26" s="1"/>
  <c r="N167" i="26" s="1"/>
  <c r="H178" i="23"/>
  <c r="K178" i="26" s="1"/>
  <c r="H172" i="23"/>
  <c r="K172" i="26" s="1"/>
  <c r="L172" i="26" s="1"/>
  <c r="M172" i="26" s="1"/>
  <c r="N172" i="26" s="1"/>
  <c r="H123" i="23"/>
  <c r="K123" i="26" s="1"/>
  <c r="H115" i="23"/>
  <c r="K115" i="26" s="1"/>
  <c r="N115" i="26" s="1"/>
  <c r="H145" i="23"/>
  <c r="K145" i="26" s="1"/>
  <c r="H124" i="23"/>
  <c r="K124" i="26" s="1"/>
  <c r="N124" i="26" s="1"/>
  <c r="H116" i="23"/>
  <c r="K116" i="26" s="1"/>
  <c r="H156" i="23"/>
  <c r="K156" i="26" s="1"/>
  <c r="L156" i="26" s="1"/>
  <c r="M156" i="26" s="1"/>
  <c r="N156" i="26" s="1"/>
  <c r="H163" i="23"/>
  <c r="K163" i="26" s="1"/>
  <c r="L163" i="26" s="1"/>
  <c r="M163" i="26" s="1"/>
  <c r="N163" i="26" s="1"/>
  <c r="H152" i="23"/>
  <c r="K152" i="26" s="1"/>
  <c r="L152" i="26" s="1"/>
  <c r="M152" i="26" s="1"/>
  <c r="N152" i="26" s="1"/>
  <c r="H150" i="23"/>
  <c r="K150" i="26" s="1"/>
  <c r="N150" i="26" s="1"/>
  <c r="H119" i="23"/>
  <c r="K119" i="26" s="1"/>
  <c r="H151" i="23"/>
  <c r="K151" i="26" s="1"/>
  <c r="H143" i="23"/>
  <c r="K143" i="26" s="1"/>
  <c r="L143" i="26" s="1"/>
  <c r="M143" i="26" s="1"/>
  <c r="N143" i="26" s="1"/>
  <c r="H120" i="23"/>
  <c r="K120" i="26" s="1"/>
  <c r="L120" i="26" s="1"/>
  <c r="M120" i="26" s="1"/>
  <c r="N120" i="26" s="1"/>
  <c r="H121" i="23"/>
  <c r="K121" i="26" s="1"/>
  <c r="H137" i="23"/>
  <c r="K137" i="26" s="1"/>
  <c r="N137" i="26" s="1"/>
  <c r="H138" i="23"/>
  <c r="K138" i="26" s="1"/>
  <c r="L138" i="26" s="1"/>
  <c r="M138" i="26" s="1"/>
  <c r="N138" i="26" s="1"/>
  <c r="H118" i="23"/>
  <c r="K118" i="26" s="1"/>
  <c r="H136" i="23"/>
  <c r="K136" i="26" s="1"/>
  <c r="H131" i="23"/>
  <c r="K131" i="26" s="1"/>
  <c r="H86" i="23"/>
  <c r="K86" i="26" s="1"/>
  <c r="H106" i="23"/>
  <c r="K106" i="26" s="1"/>
  <c r="L106" i="26" s="1"/>
  <c r="M106" i="26" s="1"/>
  <c r="N106" i="26" s="1"/>
  <c r="H104" i="23"/>
  <c r="K104" i="26" s="1"/>
  <c r="H87" i="23"/>
  <c r="K87" i="26" s="1"/>
  <c r="H103" i="23"/>
  <c r="K103" i="26" s="1"/>
  <c r="L103" i="26" s="1"/>
  <c r="M103" i="26" s="1"/>
  <c r="N103" i="26" s="1"/>
  <c r="H79" i="23"/>
  <c r="K79" i="26" s="1"/>
  <c r="H94" i="23"/>
  <c r="K94" i="26" s="1"/>
  <c r="H89" i="23"/>
  <c r="K89" i="26" s="1"/>
  <c r="L89" i="26" s="1"/>
  <c r="M89" i="26" s="1"/>
  <c r="N89" i="26" s="1"/>
  <c r="H85" i="23"/>
  <c r="K85" i="26" s="1"/>
  <c r="H91" i="23"/>
  <c r="K91" i="26" s="1"/>
  <c r="H80" i="23"/>
  <c r="K80" i="26" s="1"/>
  <c r="H69" i="23"/>
  <c r="K69" i="26" s="1"/>
  <c r="H4" i="23"/>
  <c r="K4" i="26" s="1"/>
  <c r="L4" i="26" s="1"/>
  <c r="M4" i="26" s="1"/>
  <c r="N4" i="26" s="1"/>
  <c r="H6" i="23"/>
  <c r="K6" i="26" s="1"/>
  <c r="L6" i="26" s="1"/>
  <c r="M6" i="26" s="1"/>
  <c r="F27" i="50"/>
  <c r="D27" i="52" s="1"/>
  <c r="G284" i="23"/>
  <c r="G284" i="26" s="1"/>
  <c r="H284" i="26" s="1"/>
  <c r="I284" i="26" s="1"/>
  <c r="J284" i="26" s="1"/>
  <c r="G277" i="23"/>
  <c r="G277" i="26" s="1"/>
  <c r="H277" i="26" s="1"/>
  <c r="I277" i="26" s="1"/>
  <c r="J277" i="26" s="1"/>
  <c r="G290" i="23"/>
  <c r="G290" i="26" s="1"/>
  <c r="G276" i="23"/>
  <c r="G276" i="26" s="1"/>
  <c r="G232" i="23"/>
  <c r="G232" i="26" s="1"/>
  <c r="J232" i="26" s="1"/>
  <c r="G291" i="23"/>
  <c r="G291" i="26" s="1"/>
  <c r="J291" i="26" s="1"/>
  <c r="G286" i="23"/>
  <c r="G286" i="26" s="1"/>
  <c r="H286" i="26" s="1"/>
  <c r="I286" i="26" s="1"/>
  <c r="J286" i="26" s="1"/>
  <c r="G285" i="23"/>
  <c r="G285" i="26" s="1"/>
  <c r="J285" i="26" s="1"/>
  <c r="G278" i="23"/>
  <c r="G278" i="26" s="1"/>
  <c r="J278" i="26" s="1"/>
  <c r="G280" i="23"/>
  <c r="G280" i="26" s="1"/>
  <c r="H280" i="26" s="1"/>
  <c r="I280" i="26" s="1"/>
  <c r="J280" i="26" s="1"/>
  <c r="G273" i="23"/>
  <c r="G273" i="26" s="1"/>
  <c r="H273" i="26" s="1"/>
  <c r="I273" i="26" s="1"/>
  <c r="J273" i="26" s="1"/>
  <c r="G287" i="23"/>
  <c r="G287" i="26" s="1"/>
  <c r="J287" i="26" s="1"/>
  <c r="G282" i="23"/>
  <c r="G282" i="26" s="1"/>
  <c r="H282" i="26" s="1"/>
  <c r="I282" i="26" s="1"/>
  <c r="J282" i="26" s="1"/>
  <c r="G274" i="23"/>
  <c r="G274" i="26" s="1"/>
  <c r="H274" i="26" s="1"/>
  <c r="I274" i="26" s="1"/>
  <c r="J274" i="26" s="1"/>
  <c r="G289" i="23"/>
  <c r="G289" i="26" s="1"/>
  <c r="H289" i="26" s="1"/>
  <c r="I289" i="26" s="1"/>
  <c r="J289" i="26" s="1"/>
  <c r="G275" i="23"/>
  <c r="G275" i="26" s="1"/>
  <c r="H275" i="26" s="1"/>
  <c r="I275" i="26" s="1"/>
  <c r="J275" i="26" s="1"/>
  <c r="G258" i="23"/>
  <c r="G258" i="26" s="1"/>
  <c r="J258" i="26" s="1"/>
  <c r="G259" i="23"/>
  <c r="G259" i="26" s="1"/>
  <c r="G270" i="23"/>
  <c r="G270" i="26" s="1"/>
  <c r="H270" i="26" s="1"/>
  <c r="I270" i="26" s="1"/>
  <c r="J270" i="26" s="1"/>
  <c r="G260" i="23"/>
  <c r="G260" i="26" s="1"/>
  <c r="J260" i="26" s="1"/>
  <c r="G261" i="23"/>
  <c r="G261" i="26" s="1"/>
  <c r="G262" i="23"/>
  <c r="G262" i="26" s="1"/>
  <c r="J262" i="26" s="1"/>
  <c r="G254" i="23"/>
  <c r="G254" i="26" s="1"/>
  <c r="J254" i="26" s="1"/>
  <c r="G263" i="23"/>
  <c r="G263" i="26" s="1"/>
  <c r="G264" i="23"/>
  <c r="G264" i="26" s="1"/>
  <c r="J264" i="26" s="1"/>
  <c r="G256" i="23"/>
  <c r="G256" i="26" s="1"/>
  <c r="J256" i="26" s="1"/>
  <c r="G249" i="23"/>
  <c r="G249" i="26" s="1"/>
  <c r="G238" i="23"/>
  <c r="G238" i="26" s="1"/>
  <c r="H238" i="26" s="1"/>
  <c r="I238" i="26" s="1"/>
  <c r="J238" i="26" s="1"/>
  <c r="G223" i="23"/>
  <c r="G223" i="26" s="1"/>
  <c r="J223" i="26" s="1"/>
  <c r="G253" i="23"/>
  <c r="G253" i="26" s="1"/>
  <c r="J253" i="26" s="1"/>
  <c r="G236" i="23"/>
  <c r="G236" i="26" s="1"/>
  <c r="H236" i="26" s="1"/>
  <c r="I236" i="26" s="1"/>
  <c r="J236" i="26" s="1"/>
  <c r="G224" i="23"/>
  <c r="G224" i="26" s="1"/>
  <c r="J224" i="26" s="1"/>
  <c r="G216" i="23"/>
  <c r="G216" i="26" s="1"/>
  <c r="H216" i="26" s="1"/>
  <c r="I216" i="26" s="1"/>
  <c r="J216" i="26" s="1"/>
  <c r="G239" i="23"/>
  <c r="G239" i="26" s="1"/>
  <c r="H239" i="26" s="1"/>
  <c r="I239" i="26" s="1"/>
  <c r="J239" i="26" s="1"/>
  <c r="G255" i="23"/>
  <c r="G255" i="26" s="1"/>
  <c r="H255" i="26" s="1"/>
  <c r="I255" i="26" s="1"/>
  <c r="J255" i="26" s="1"/>
  <c r="G248" i="23"/>
  <c r="G248" i="26" s="1"/>
  <c r="J248" i="26" s="1"/>
  <c r="G257" i="23"/>
  <c r="G257" i="26" s="1"/>
  <c r="G237" i="23"/>
  <c r="G237" i="26" s="1"/>
  <c r="H237" i="26" s="1"/>
  <c r="I237" i="26" s="1"/>
  <c r="J237" i="26" s="1"/>
  <c r="G231" i="23"/>
  <c r="G231" i="26" s="1"/>
  <c r="H231" i="26" s="1"/>
  <c r="I231" i="26" s="1"/>
  <c r="G226" i="23"/>
  <c r="G226" i="26" s="1"/>
  <c r="J226" i="26" s="1"/>
  <c r="G213" i="23"/>
  <c r="G213" i="26" s="1"/>
  <c r="J213" i="26" s="1"/>
  <c r="G209" i="23"/>
  <c r="G209" i="26" s="1"/>
  <c r="H209" i="26" s="1"/>
  <c r="I209" i="26" s="1"/>
  <c r="J209" i="26" s="1"/>
  <c r="G221" i="23"/>
  <c r="G221" i="26" s="1"/>
  <c r="J221" i="26" s="1"/>
  <c r="G208" i="23"/>
  <c r="G208" i="26" s="1"/>
  <c r="J208" i="26" s="1"/>
  <c r="G220" i="23"/>
  <c r="G220" i="26" s="1"/>
  <c r="J220" i="26" s="1"/>
  <c r="G215" i="23"/>
  <c r="G215" i="26" s="1"/>
  <c r="G228" i="23"/>
  <c r="G228" i="26" s="1"/>
  <c r="H228" i="26" s="1"/>
  <c r="I228" i="26" s="1"/>
  <c r="J228" i="26" s="1"/>
  <c r="G212" i="23"/>
  <c r="G212" i="26" s="1"/>
  <c r="H212" i="26" s="1"/>
  <c r="I212" i="26" s="1"/>
  <c r="J212" i="26" s="1"/>
  <c r="G233" i="23"/>
  <c r="G233" i="26" s="1"/>
  <c r="H233" i="26" s="1"/>
  <c r="I233" i="26" s="1"/>
  <c r="J233" i="26" s="1"/>
  <c r="G225" i="23"/>
  <c r="G225" i="26" s="1"/>
  <c r="G222" i="23"/>
  <c r="G222" i="26" s="1"/>
  <c r="J222" i="26" s="1"/>
  <c r="G211" i="23"/>
  <c r="G211" i="26" s="1"/>
  <c r="J211" i="26" s="1"/>
  <c r="G206" i="23"/>
  <c r="G206" i="26" s="1"/>
  <c r="H206" i="26" s="1"/>
  <c r="I206" i="26" s="1"/>
  <c r="J206" i="26" s="1"/>
  <c r="G202" i="23"/>
  <c r="G202" i="26" s="1"/>
  <c r="G197" i="23"/>
  <c r="G197" i="26" s="1"/>
  <c r="J197" i="26" s="1"/>
  <c r="G217" i="23"/>
  <c r="G217" i="26" s="1"/>
  <c r="H217" i="26" s="1"/>
  <c r="I217" i="26" s="1"/>
  <c r="J217" i="26" s="1"/>
  <c r="G227" i="23"/>
  <c r="G227" i="26" s="1"/>
  <c r="H227" i="26" s="1"/>
  <c r="I227" i="26" s="1"/>
  <c r="J227" i="26" s="1"/>
  <c r="G214" i="23"/>
  <c r="G214" i="26" s="1"/>
  <c r="H214" i="26" s="1"/>
  <c r="I214" i="26" s="1"/>
  <c r="J214" i="26" s="1"/>
  <c r="G196" i="23"/>
  <c r="G196" i="26" s="1"/>
  <c r="J196" i="26" s="1"/>
  <c r="G210" i="23"/>
  <c r="G210" i="26" s="1"/>
  <c r="G194" i="23"/>
  <c r="G194" i="26" s="1"/>
  <c r="J194" i="26" s="1"/>
  <c r="G204" i="23"/>
  <c r="G204" i="26" s="1"/>
  <c r="J204" i="26" s="1"/>
  <c r="G179" i="23"/>
  <c r="G179" i="26" s="1"/>
  <c r="H179" i="26" s="1"/>
  <c r="I179" i="26" s="1"/>
  <c r="J179" i="26" s="1"/>
  <c r="G177" i="23"/>
  <c r="G177" i="26" s="1"/>
  <c r="J177" i="26" s="1"/>
  <c r="G185" i="23"/>
  <c r="G185" i="26" s="1"/>
  <c r="J185" i="26" s="1"/>
  <c r="G180" i="23"/>
  <c r="G180" i="26" s="1"/>
  <c r="H180" i="26" s="1"/>
  <c r="I180" i="26" s="1"/>
  <c r="J180" i="26" s="1"/>
  <c r="G178" i="23"/>
  <c r="G178" i="26" s="1"/>
  <c r="J178" i="26" s="1"/>
  <c r="G195" i="23"/>
  <c r="G195" i="26" s="1"/>
  <c r="H195" i="26" s="1"/>
  <c r="I195" i="26" s="1"/>
  <c r="J195" i="26" s="1"/>
  <c r="G192" i="23"/>
  <c r="G192" i="26" s="1"/>
  <c r="H192" i="26" s="1"/>
  <c r="I192" i="26" s="1"/>
  <c r="J192" i="26" s="1"/>
  <c r="G163" i="23"/>
  <c r="G163" i="26" s="1"/>
  <c r="H163" i="26" s="1"/>
  <c r="I163" i="26" s="1"/>
  <c r="J163" i="26" s="1"/>
  <c r="G161" i="23"/>
  <c r="G161" i="26" s="1"/>
  <c r="J161" i="26" s="1"/>
  <c r="G189" i="23"/>
  <c r="G189" i="26" s="1"/>
  <c r="G182" i="23"/>
  <c r="G182" i="26" s="1"/>
  <c r="H182" i="26" s="1"/>
  <c r="I182" i="26" s="1"/>
  <c r="J182" i="26" s="1"/>
  <c r="G175" i="23"/>
  <c r="G175" i="26" s="1"/>
  <c r="H175" i="26" s="1"/>
  <c r="I175" i="26" s="1"/>
  <c r="J175" i="26" s="1"/>
  <c r="G164" i="23"/>
  <c r="G164" i="26" s="1"/>
  <c r="H164" i="26" s="1"/>
  <c r="I164" i="26" s="1"/>
  <c r="J164" i="26" s="1"/>
  <c r="G162" i="23"/>
  <c r="G162" i="26" s="1"/>
  <c r="G199" i="23"/>
  <c r="G199" i="26" s="1"/>
  <c r="G198" i="23"/>
  <c r="G198" i="26" s="1"/>
  <c r="J198" i="26" s="1"/>
  <c r="G172" i="23"/>
  <c r="G172" i="26" s="1"/>
  <c r="H172" i="26" s="1"/>
  <c r="I172" i="26" s="1"/>
  <c r="J172" i="26" s="1"/>
  <c r="G170" i="23"/>
  <c r="G170" i="26" s="1"/>
  <c r="J170" i="26" s="1"/>
  <c r="G188" i="23"/>
  <c r="G188" i="26" s="1"/>
  <c r="J188" i="26" s="1"/>
  <c r="G174" i="23"/>
  <c r="G174" i="26" s="1"/>
  <c r="G171" i="23"/>
  <c r="G171" i="26" s="1"/>
  <c r="G158" i="23"/>
  <c r="G158" i="26" s="1"/>
  <c r="J158" i="26" s="1"/>
  <c r="G160" i="23"/>
  <c r="G160" i="26" s="1"/>
  <c r="G152" i="23"/>
  <c r="G152" i="26" s="1"/>
  <c r="H152" i="26" s="1"/>
  <c r="I152" i="26" s="1"/>
  <c r="J152" i="26" s="1"/>
  <c r="G157" i="23"/>
  <c r="G157" i="26" s="1"/>
  <c r="G142" i="23"/>
  <c r="G142" i="26" s="1"/>
  <c r="J142" i="26" s="1"/>
  <c r="G138" i="23"/>
  <c r="G138" i="26" s="1"/>
  <c r="H138" i="26" s="1"/>
  <c r="I138" i="26" s="1"/>
  <c r="J138" i="26" s="1"/>
  <c r="G128" i="23"/>
  <c r="G128" i="26" s="1"/>
  <c r="G121" i="23"/>
  <c r="G121" i="26" s="1"/>
  <c r="J121" i="26" s="1"/>
  <c r="G184" i="23"/>
  <c r="G184" i="26" s="1"/>
  <c r="H184" i="26" s="1"/>
  <c r="I184" i="26" s="1"/>
  <c r="J184" i="26" s="1"/>
  <c r="G181" i="23"/>
  <c r="G181" i="26" s="1"/>
  <c r="H181" i="26" s="1"/>
  <c r="I181" i="26" s="1"/>
  <c r="J181" i="26" s="1"/>
  <c r="G167" i="23"/>
  <c r="G167" i="26" s="1"/>
  <c r="H167" i="26" s="1"/>
  <c r="I167" i="26" s="1"/>
  <c r="J167" i="26" s="1"/>
  <c r="G153" i="23"/>
  <c r="G153" i="26" s="1"/>
  <c r="G129" i="23"/>
  <c r="G129" i="26" s="1"/>
  <c r="J129" i="26" s="1"/>
  <c r="G114" i="23"/>
  <c r="G114" i="26" s="1"/>
  <c r="G159" i="23"/>
  <c r="G159" i="26" s="1"/>
  <c r="J159" i="26" s="1"/>
  <c r="G173" i="23"/>
  <c r="G173" i="26" s="1"/>
  <c r="H173" i="26" s="1"/>
  <c r="I173" i="26" s="1"/>
  <c r="J173" i="26" s="1"/>
  <c r="G156" i="23"/>
  <c r="G156" i="26" s="1"/>
  <c r="H156" i="26" s="1"/>
  <c r="I156" i="26" s="1"/>
  <c r="J156" i="26" s="1"/>
  <c r="G147" i="23"/>
  <c r="G147" i="26" s="1"/>
  <c r="G139" i="23"/>
  <c r="G139" i="26" s="1"/>
  <c r="G131" i="23"/>
  <c r="G131" i="26" s="1"/>
  <c r="J131" i="26" s="1"/>
  <c r="G117" i="23"/>
  <c r="G117" i="26" s="1"/>
  <c r="G149" i="23"/>
  <c r="G149" i="26" s="1"/>
  <c r="G140" i="23"/>
  <c r="G140" i="26" s="1"/>
  <c r="J140" i="26" s="1"/>
  <c r="G132" i="23"/>
  <c r="G132" i="26" s="1"/>
  <c r="G120" i="23"/>
  <c r="G120" i="26" s="1"/>
  <c r="H120" i="26" s="1"/>
  <c r="I120" i="26" s="1"/>
  <c r="J120" i="26" s="1"/>
  <c r="G118" i="23"/>
  <c r="G118" i="26" s="1"/>
  <c r="J118" i="26" s="1"/>
  <c r="G144" i="23"/>
  <c r="G144" i="26" s="1"/>
  <c r="J144" i="26" s="1"/>
  <c r="G126" i="23"/>
  <c r="G126" i="26" s="1"/>
  <c r="G116" i="23"/>
  <c r="G116" i="26" s="1"/>
  <c r="J116" i="26" s="1"/>
  <c r="G151" i="23"/>
  <c r="G151" i="26" s="1"/>
  <c r="J151" i="26" s="1"/>
  <c r="G135" i="23"/>
  <c r="G135" i="26" s="1"/>
  <c r="J135" i="26" s="1"/>
  <c r="G123" i="23"/>
  <c r="G123" i="26" s="1"/>
  <c r="J123" i="26" s="1"/>
  <c r="G127" i="23"/>
  <c r="G127" i="26" s="1"/>
  <c r="J127" i="26" s="1"/>
  <c r="G150" i="23"/>
  <c r="G150" i="26" s="1"/>
  <c r="G145" i="23"/>
  <c r="G145" i="26" s="1"/>
  <c r="J145" i="26" s="1"/>
  <c r="G122" i="23"/>
  <c r="G122" i="26" s="1"/>
  <c r="H122" i="26" s="1"/>
  <c r="I122" i="26" s="1"/>
  <c r="J122" i="26" s="1"/>
  <c r="G115" i="23"/>
  <c r="G115" i="26" s="1"/>
  <c r="G143" i="23"/>
  <c r="G143" i="26" s="1"/>
  <c r="H143" i="26" s="1"/>
  <c r="I143" i="26" s="1"/>
  <c r="J143" i="26" s="1"/>
  <c r="G124" i="23"/>
  <c r="G124" i="26" s="1"/>
  <c r="G103" i="23"/>
  <c r="G103" i="26" s="1"/>
  <c r="H103" i="26" s="1"/>
  <c r="I103" i="26" s="1"/>
  <c r="J103" i="26" s="1"/>
  <c r="G96" i="23"/>
  <c r="G96" i="26" s="1"/>
  <c r="G84" i="23"/>
  <c r="G84" i="26" s="1"/>
  <c r="J84" i="26" s="1"/>
  <c r="G109" i="23"/>
  <c r="G109" i="26" s="1"/>
  <c r="G97" i="23"/>
  <c r="G97" i="26" s="1"/>
  <c r="J97" i="26" s="1"/>
  <c r="G91" i="23"/>
  <c r="G91" i="26" s="1"/>
  <c r="J91" i="26" s="1"/>
  <c r="G101" i="23"/>
  <c r="G101" i="26" s="1"/>
  <c r="H101" i="26" s="1"/>
  <c r="I101" i="26" s="1"/>
  <c r="J101" i="26" s="1"/>
  <c r="G113" i="23"/>
  <c r="G113" i="26" s="1"/>
  <c r="G110" i="23"/>
  <c r="G110" i="26" s="1"/>
  <c r="G105" i="23"/>
  <c r="G105" i="26" s="1"/>
  <c r="J105" i="26" s="1"/>
  <c r="G95" i="23"/>
  <c r="G95" i="26" s="1"/>
  <c r="J95" i="26" s="1"/>
  <c r="G81" i="23"/>
  <c r="G81" i="26" s="1"/>
  <c r="G79" i="23"/>
  <c r="G79" i="26" s="1"/>
  <c r="J79" i="26" s="1"/>
  <c r="G71" i="23"/>
  <c r="G71" i="26" s="1"/>
  <c r="G107" i="23"/>
  <c r="G107" i="26" s="1"/>
  <c r="G99" i="23"/>
  <c r="G99" i="26" s="1"/>
  <c r="J99" i="26" s="1"/>
  <c r="G94" i="23"/>
  <c r="G94" i="26" s="1"/>
  <c r="J94" i="26" s="1"/>
  <c r="G87" i="23"/>
  <c r="G87" i="26" s="1"/>
  <c r="J87" i="26" s="1"/>
  <c r="G112" i="23"/>
  <c r="G112" i="26" s="1"/>
  <c r="G106" i="23"/>
  <c r="G106" i="26" s="1"/>
  <c r="H106" i="26" s="1"/>
  <c r="I106" i="26" s="1"/>
  <c r="J106" i="26" s="1"/>
  <c r="G83" i="23"/>
  <c r="G83" i="26" s="1"/>
  <c r="J83" i="26" s="1"/>
  <c r="G73" i="23"/>
  <c r="G73" i="26" s="1"/>
  <c r="J73" i="26" s="1"/>
  <c r="G50" i="23"/>
  <c r="G50" i="26" s="1"/>
  <c r="G111" i="23"/>
  <c r="G111" i="26" s="1"/>
  <c r="J111" i="26" s="1"/>
  <c r="G89" i="23"/>
  <c r="G89" i="26" s="1"/>
  <c r="H89" i="26" s="1"/>
  <c r="I89" i="26" s="1"/>
  <c r="J89" i="26" s="1"/>
  <c r="G82" i="23"/>
  <c r="G82" i="26" s="1"/>
  <c r="G45" i="23"/>
  <c r="G45" i="26" s="1"/>
  <c r="H45" i="26" s="1"/>
  <c r="I45" i="26" s="1"/>
  <c r="J45" i="26" s="1"/>
  <c r="G43" i="23"/>
  <c r="G43" i="26" s="1"/>
  <c r="G39" i="23"/>
  <c r="G39" i="26" s="1"/>
  <c r="G70" i="23"/>
  <c r="G70" i="26" s="1"/>
  <c r="G61" i="23"/>
  <c r="G61" i="26" s="1"/>
  <c r="H61" i="26" s="1"/>
  <c r="I61" i="26" s="1"/>
  <c r="J61" i="26" s="1"/>
  <c r="G41" i="23"/>
  <c r="G41" i="26" s="1"/>
  <c r="H41" i="26" s="1"/>
  <c r="I41" i="26" s="1"/>
  <c r="J41" i="26" s="1"/>
  <c r="G69" i="23"/>
  <c r="G69" i="26" s="1"/>
  <c r="J69" i="26" s="1"/>
  <c r="G55" i="23"/>
  <c r="G55" i="26" s="1"/>
  <c r="J55" i="26" s="1"/>
  <c r="G66" i="23"/>
  <c r="G66" i="26" s="1"/>
  <c r="G44" i="23"/>
  <c r="G44" i="26" s="1"/>
  <c r="J44" i="26" s="1"/>
  <c r="G64" i="23"/>
  <c r="G64" i="26" s="1"/>
  <c r="J64" i="26" s="1"/>
  <c r="G38" i="23"/>
  <c r="G38" i="26" s="1"/>
  <c r="J38" i="26" s="1"/>
  <c r="G53" i="23"/>
  <c r="G53" i="26" s="1"/>
  <c r="G35" i="23"/>
  <c r="G35" i="26" s="1"/>
  <c r="H35" i="26" s="1"/>
  <c r="I35" i="26" s="1"/>
  <c r="J35" i="26" s="1"/>
  <c r="G27" i="23"/>
  <c r="G27" i="26" s="1"/>
  <c r="H27" i="26" s="1"/>
  <c r="I27" i="26" s="1"/>
  <c r="J27" i="26" s="1"/>
  <c r="G22" i="23"/>
  <c r="G22" i="26" s="1"/>
  <c r="J22" i="26" s="1"/>
  <c r="G17" i="23"/>
  <c r="G17" i="26" s="1"/>
  <c r="H17" i="26" s="1"/>
  <c r="I17" i="26" s="1"/>
  <c r="J17" i="26" s="1"/>
  <c r="O17" i="26" s="1"/>
  <c r="G9" i="23"/>
  <c r="G9" i="26" s="1"/>
  <c r="H9" i="26" s="1"/>
  <c r="I9" i="26" s="1"/>
  <c r="J9" i="26" s="1"/>
  <c r="G6" i="23"/>
  <c r="G6" i="26" s="1"/>
  <c r="G65" i="23"/>
  <c r="G65" i="26" s="1"/>
  <c r="G18" i="23"/>
  <c r="G18" i="26" s="1"/>
  <c r="H18" i="26" s="1"/>
  <c r="I18" i="26" s="1"/>
  <c r="J18" i="26" s="1"/>
  <c r="G8" i="23"/>
  <c r="G8" i="26" s="1"/>
  <c r="H8" i="26" s="1"/>
  <c r="I8" i="26" s="1"/>
  <c r="G15" i="23"/>
  <c r="G15" i="26" s="1"/>
  <c r="H15" i="26" s="1"/>
  <c r="I15" i="26" s="1"/>
  <c r="J15" i="26" s="1"/>
  <c r="G30" i="23"/>
  <c r="G30" i="26" s="1"/>
  <c r="N93" i="26"/>
  <c r="N96" i="26"/>
  <c r="J72" i="26"/>
  <c r="N43" i="26"/>
  <c r="F70" i="52"/>
  <c r="E70" i="51" s="1"/>
  <c r="F70" i="51" s="1"/>
  <c r="F73" i="52"/>
  <c r="E73" i="51" s="1"/>
  <c r="F83" i="52"/>
  <c r="E83" i="51" s="1"/>
  <c r="F83" i="51" s="1"/>
  <c r="N126" i="26"/>
  <c r="N125" i="26"/>
  <c r="J136" i="26"/>
  <c r="N128" i="26"/>
  <c r="N149" i="26"/>
  <c r="F117" i="52"/>
  <c r="E117" i="51" s="1"/>
  <c r="N117" i="26"/>
  <c r="J133" i="26"/>
  <c r="N171" i="26"/>
  <c r="J176" i="26"/>
  <c r="N199" i="26"/>
  <c r="J183" i="26"/>
  <c r="N200" i="26"/>
  <c r="N202" i="26"/>
  <c r="F239" i="52"/>
  <c r="E239" i="51" s="1"/>
  <c r="F239" i="51" s="1"/>
  <c r="N219" i="26"/>
  <c r="N290" i="26"/>
  <c r="F276" i="52"/>
  <c r="E276" i="51" s="1"/>
  <c r="F276" i="51" s="1"/>
  <c r="J279" i="26"/>
  <c r="J288" i="26"/>
  <c r="O207" i="6"/>
  <c r="P207" i="6" s="1"/>
  <c r="AO61" i="7"/>
  <c r="AQ91" i="7"/>
  <c r="AP103" i="7"/>
  <c r="AO109" i="7"/>
  <c r="H238" i="39"/>
  <c r="I138" i="39" l="1"/>
  <c r="K142" i="39"/>
  <c r="N226" i="26"/>
  <c r="O54" i="28"/>
  <c r="J89" i="52"/>
  <c r="G89" i="51" s="1"/>
  <c r="H89" i="51" s="1"/>
  <c r="N199" i="52"/>
  <c r="I199" i="51" s="1"/>
  <c r="J86" i="52"/>
  <c r="J163" i="52"/>
  <c r="G163" i="51" s="1"/>
  <c r="J171" i="52"/>
  <c r="J258" i="52"/>
  <c r="J135" i="52"/>
  <c r="G135" i="51" s="1"/>
  <c r="J74" i="52"/>
  <c r="G74" i="51" s="1"/>
  <c r="H74" i="51" s="1"/>
  <c r="J164" i="52"/>
  <c r="N272" i="52"/>
  <c r="I272" i="51" s="1"/>
  <c r="J272" i="51" s="1"/>
  <c r="J189" i="52"/>
  <c r="G189" i="51" s="1"/>
  <c r="H189" i="51" s="1"/>
  <c r="J40" i="52"/>
  <c r="G40" i="51" s="1"/>
  <c r="H40" i="51" s="1"/>
  <c r="J88" i="52"/>
  <c r="G88" i="51" s="1"/>
  <c r="H88" i="51" s="1"/>
  <c r="N112" i="52"/>
  <c r="I112" i="51" s="1"/>
  <c r="J112" i="51" s="1"/>
  <c r="J250" i="52"/>
  <c r="G250" i="51" s="1"/>
  <c r="J264" i="52"/>
  <c r="G264" i="51" s="1"/>
  <c r="N225" i="52"/>
  <c r="I225" i="51" s="1"/>
  <c r="J262" i="52"/>
  <c r="G262" i="51" s="1"/>
  <c r="H262" i="51" s="1"/>
  <c r="J72" i="52"/>
  <c r="G72" i="51" s="1"/>
  <c r="H72" i="51" s="1"/>
  <c r="J249" i="52"/>
  <c r="G249" i="51" s="1"/>
  <c r="J19" i="52"/>
  <c r="G19" i="51" s="1"/>
  <c r="H19" i="51" s="1"/>
  <c r="N213" i="52"/>
  <c r="I213" i="51" s="1"/>
  <c r="J124" i="52"/>
  <c r="G124" i="51" s="1"/>
  <c r="J271" i="52"/>
  <c r="G271" i="51" s="1"/>
  <c r="H271" i="51" s="1"/>
  <c r="N214" i="52"/>
  <c r="I214" i="51" s="1"/>
  <c r="N133" i="52"/>
  <c r="I133" i="51" s="1"/>
  <c r="J133" i="51" s="1"/>
  <c r="J59" i="52"/>
  <c r="G59" i="51" s="1"/>
  <c r="H59" i="51" s="1"/>
  <c r="J148" i="52"/>
  <c r="G148" i="51" s="1"/>
  <c r="H148" i="51" s="1"/>
  <c r="J280" i="52"/>
  <c r="G280" i="51" s="1"/>
  <c r="H280" i="51" s="1"/>
  <c r="J119" i="52"/>
  <c r="G119" i="51" s="1"/>
  <c r="J169" i="52"/>
  <c r="G169" i="51" s="1"/>
  <c r="H169" i="51" s="1"/>
  <c r="J157" i="52"/>
  <c r="G157" i="51" s="1"/>
  <c r="N286" i="52"/>
  <c r="I286" i="51" s="1"/>
  <c r="J286" i="51" s="1"/>
  <c r="J259" i="52"/>
  <c r="J8" i="52"/>
  <c r="G8" i="51" s="1"/>
  <c r="J212" i="52"/>
  <c r="G212" i="51" s="1"/>
  <c r="J37" i="52"/>
  <c r="G37" i="51" s="1"/>
  <c r="H37" i="51" s="1"/>
  <c r="J175" i="52"/>
  <c r="J27" i="52"/>
  <c r="G27" i="51" s="1"/>
  <c r="M101" i="7"/>
  <c r="I101" i="87" s="1"/>
  <c r="S101" i="87" s="1"/>
  <c r="M285" i="7"/>
  <c r="I285" i="87" s="1"/>
  <c r="M251" i="7"/>
  <c r="I251" i="87" s="1"/>
  <c r="M142" i="7"/>
  <c r="I142" i="87" s="1"/>
  <c r="M220" i="7"/>
  <c r="I220" i="87" s="1"/>
  <c r="O238" i="25"/>
  <c r="O198" i="25"/>
  <c r="O126" i="25"/>
  <c r="E214" i="25"/>
  <c r="N290" i="52"/>
  <c r="I290" i="51" s="1"/>
  <c r="J290" i="51" s="1"/>
  <c r="J15" i="52"/>
  <c r="G15" i="51" s="1"/>
  <c r="H15" i="51" s="1"/>
  <c r="J211" i="52"/>
  <c r="G211" i="51" s="1"/>
  <c r="H211" i="51" s="1"/>
  <c r="J35" i="52"/>
  <c r="J182" i="52"/>
  <c r="J26" i="52"/>
  <c r="G26" i="51" s="1"/>
  <c r="H26" i="51" s="1"/>
  <c r="J173" i="52"/>
  <c r="G173" i="51" s="1"/>
  <c r="H173" i="51" s="1"/>
  <c r="J31" i="52"/>
  <c r="G31" i="51" s="1"/>
  <c r="H31" i="51" s="1"/>
  <c r="J158" i="52"/>
  <c r="G158" i="51" s="1"/>
  <c r="J193" i="52"/>
  <c r="G193" i="51" s="1"/>
  <c r="H193" i="51" s="1"/>
  <c r="N51" i="52"/>
  <c r="J39" i="52"/>
  <c r="G39" i="51" s="1"/>
  <c r="N131" i="52"/>
  <c r="I131" i="51" s="1"/>
  <c r="J131" i="51" s="1"/>
  <c r="J286" i="52"/>
  <c r="G286" i="51" s="1"/>
  <c r="H286" i="51" s="1"/>
  <c r="N100" i="52"/>
  <c r="I100" i="51" s="1"/>
  <c r="J100" i="51" s="1"/>
  <c r="J191" i="52"/>
  <c r="G191" i="51" s="1"/>
  <c r="H191" i="51" s="1"/>
  <c r="J209" i="52"/>
  <c r="G209" i="51" s="1"/>
  <c r="H209" i="51" s="1"/>
  <c r="J186" i="52"/>
  <c r="G186" i="51" s="1"/>
  <c r="H186" i="51" s="1"/>
  <c r="N19" i="52"/>
  <c r="I19" i="51" s="1"/>
  <c r="J19" i="51" s="1"/>
  <c r="N172" i="52"/>
  <c r="I172" i="51" s="1"/>
  <c r="J172" i="51" s="1"/>
  <c r="J136" i="52"/>
  <c r="G136" i="51" s="1"/>
  <c r="H136" i="51" s="1"/>
  <c r="J236" i="52"/>
  <c r="G236" i="51" s="1"/>
  <c r="H236" i="51" s="1"/>
  <c r="J167" i="52"/>
  <c r="G167" i="51" s="1"/>
  <c r="H167" i="51" s="1"/>
  <c r="J154" i="52"/>
  <c r="G154" i="51" s="1"/>
  <c r="H154" i="51" s="1"/>
  <c r="J275" i="52"/>
  <c r="G275" i="51" s="1"/>
  <c r="H275" i="51" s="1"/>
  <c r="J115" i="52"/>
  <c r="G115" i="51" s="1"/>
  <c r="H115" i="51" s="1"/>
  <c r="N194" i="52"/>
  <c r="I194" i="51" s="1"/>
  <c r="J194" i="51" s="1"/>
  <c r="J67" i="52"/>
  <c r="N38" i="26"/>
  <c r="O38" i="26" s="1"/>
  <c r="N31" i="26"/>
  <c r="J137" i="26"/>
  <c r="O137" i="26" s="1"/>
  <c r="N197" i="26"/>
  <c r="O197" i="26" s="1"/>
  <c r="N220" i="26"/>
  <c r="O220" i="26" s="1"/>
  <c r="E237" i="25"/>
  <c r="O181" i="25"/>
  <c r="E216" i="25"/>
  <c r="E228" i="25"/>
  <c r="H228" i="46" s="1"/>
  <c r="E67" i="25"/>
  <c r="O85" i="25"/>
  <c r="O180" i="25"/>
  <c r="J120" i="52"/>
  <c r="G120" i="51" s="1"/>
  <c r="H120" i="51" s="1"/>
  <c r="G176" i="87"/>
  <c r="M125" i="7"/>
  <c r="I125" i="87" s="1"/>
  <c r="M35" i="7"/>
  <c r="I35" i="87" s="1"/>
  <c r="M41" i="7"/>
  <c r="I41" i="87" s="1"/>
  <c r="S41" i="87" s="1"/>
  <c r="M82" i="7"/>
  <c r="I82" i="87" s="1"/>
  <c r="S82" i="87" s="1"/>
  <c r="N142" i="52"/>
  <c r="I142" i="51" s="1"/>
  <c r="N174" i="52"/>
  <c r="I174" i="51" s="1"/>
  <c r="J174" i="51" s="1"/>
  <c r="O291" i="25"/>
  <c r="M283" i="7"/>
  <c r="I283" i="87" s="1"/>
  <c r="J160" i="52"/>
  <c r="G160" i="51" s="1"/>
  <c r="N101" i="52"/>
  <c r="O101" i="52" s="1"/>
  <c r="L283" i="7"/>
  <c r="M217" i="7"/>
  <c r="I217" i="87" s="1"/>
  <c r="N162" i="52"/>
  <c r="I162" i="51" s="1"/>
  <c r="N171" i="7"/>
  <c r="J239" i="52"/>
  <c r="G239" i="51" s="1"/>
  <c r="H239" i="51" s="1"/>
  <c r="J63" i="26"/>
  <c r="N168" i="26"/>
  <c r="O168" i="26" s="1"/>
  <c r="J56" i="26"/>
  <c r="O56" i="26" s="1"/>
  <c r="N177" i="26"/>
  <c r="O177" i="26" s="1"/>
  <c r="N223" i="26"/>
  <c r="E238" i="25"/>
  <c r="M256" i="7"/>
  <c r="I256" i="87" s="1"/>
  <c r="G249" i="87"/>
  <c r="J111" i="15"/>
  <c r="C111" i="39" s="1"/>
  <c r="M249" i="7"/>
  <c r="I249" i="87" s="1"/>
  <c r="N254" i="52"/>
  <c r="I254" i="51" s="1"/>
  <c r="J254" i="51" s="1"/>
  <c r="M111" i="7"/>
  <c r="I111" i="87" s="1"/>
  <c r="M103" i="7"/>
  <c r="I103" i="87" s="1"/>
  <c r="S103" i="87" s="1"/>
  <c r="J125" i="52"/>
  <c r="G125" i="51" s="1"/>
  <c r="M288" i="7"/>
  <c r="I288" i="87" s="1"/>
  <c r="N152" i="7"/>
  <c r="G152" i="87"/>
  <c r="J103" i="15"/>
  <c r="C103" i="39" s="1"/>
  <c r="E132" i="25"/>
  <c r="M195" i="7"/>
  <c r="I195" i="87" s="1"/>
  <c r="J222" i="15"/>
  <c r="C222" i="39" s="1"/>
  <c r="M205" i="7"/>
  <c r="I205" i="87" s="1"/>
  <c r="M96" i="7"/>
  <c r="I96" i="87" s="1"/>
  <c r="E282" i="25"/>
  <c r="H282" i="46" s="1"/>
  <c r="M19" i="7"/>
  <c r="I19" i="87" s="1"/>
  <c r="K288" i="7"/>
  <c r="E104" i="25"/>
  <c r="H104" i="46" s="1"/>
  <c r="J251" i="52"/>
  <c r="G251" i="51" s="1"/>
  <c r="H251" i="51" s="1"/>
  <c r="K109" i="7"/>
  <c r="N161" i="7"/>
  <c r="K205" i="7"/>
  <c r="O205" i="7" s="1"/>
  <c r="P19" i="28"/>
  <c r="M47" i="7"/>
  <c r="I47" i="87" s="1"/>
  <c r="L286" i="7"/>
  <c r="N238" i="52"/>
  <c r="I238" i="51" s="1"/>
  <c r="J238" i="51" s="1"/>
  <c r="J162" i="52"/>
  <c r="J284" i="52"/>
  <c r="G284" i="51" s="1"/>
  <c r="H284" i="51" s="1"/>
  <c r="J9" i="52"/>
  <c r="G9" i="51" s="1"/>
  <c r="N15" i="52"/>
  <c r="I15" i="51" s="1"/>
  <c r="J15" i="51" s="1"/>
  <c r="N15" i="7"/>
  <c r="N69" i="7"/>
  <c r="J225" i="52"/>
  <c r="G225" i="51" s="1"/>
  <c r="N31" i="7"/>
  <c r="N168" i="52"/>
  <c r="O168" i="52" s="1"/>
  <c r="M231" i="7"/>
  <c r="I231" i="87" s="1"/>
  <c r="N256" i="7"/>
  <c r="J110" i="52"/>
  <c r="G110" i="51" s="1"/>
  <c r="H110" i="51" s="1"/>
  <c r="N256" i="52"/>
  <c r="I256" i="51" s="1"/>
  <c r="J256" i="51" s="1"/>
  <c r="N71" i="7"/>
  <c r="G47" i="87"/>
  <c r="N287" i="7"/>
  <c r="M62" i="7"/>
  <c r="I62" i="87" s="1"/>
  <c r="S62" i="87" s="1"/>
  <c r="M99" i="7"/>
  <c r="I99" i="87" s="1"/>
  <c r="J11" i="51"/>
  <c r="N208" i="52"/>
  <c r="I208" i="51" s="1"/>
  <c r="J208" i="51" s="1"/>
  <c r="M236" i="7"/>
  <c r="I236" i="87" s="1"/>
  <c r="F258" i="52"/>
  <c r="E258" i="51" s="1"/>
  <c r="F258" i="51" s="1"/>
  <c r="J165" i="52"/>
  <c r="G165" i="51" s="1"/>
  <c r="J188" i="52"/>
  <c r="G188" i="51" s="1"/>
  <c r="H188" i="51" s="1"/>
  <c r="M221" i="7"/>
  <c r="I221" i="87" s="1"/>
  <c r="J34" i="52"/>
  <c r="K34" i="52" s="1"/>
  <c r="O35" i="25"/>
  <c r="K236" i="7"/>
  <c r="F225" i="52"/>
  <c r="E225" i="51" s="1"/>
  <c r="F225" i="51" s="1"/>
  <c r="P225" i="26" s="1"/>
  <c r="M5" i="7"/>
  <c r="I5" i="87" s="1"/>
  <c r="M271" i="7"/>
  <c r="I271" i="87" s="1"/>
  <c r="J202" i="52"/>
  <c r="G202" i="51" s="1"/>
  <c r="H202" i="51" s="1"/>
  <c r="M44" i="7"/>
  <c r="I44" i="87" s="1"/>
  <c r="N277" i="52"/>
  <c r="I277" i="51" s="1"/>
  <c r="J277" i="51" s="1"/>
  <c r="M18" i="7"/>
  <c r="I18" i="87" s="1"/>
  <c r="M98" i="7"/>
  <c r="I98" i="87" s="1"/>
  <c r="N4" i="7"/>
  <c r="J238" i="52"/>
  <c r="G238" i="51" s="1"/>
  <c r="H238" i="51" s="1"/>
  <c r="N239" i="7"/>
  <c r="J129" i="52"/>
  <c r="G129" i="51" s="1"/>
  <c r="H129" i="51" s="1"/>
  <c r="J132" i="52"/>
  <c r="G132" i="51" s="1"/>
  <c r="H132" i="51" s="1"/>
  <c r="J168" i="52"/>
  <c r="G168" i="51" s="1"/>
  <c r="H168" i="51" s="1"/>
  <c r="C135" i="39"/>
  <c r="J195" i="52"/>
  <c r="G195" i="51" s="1"/>
  <c r="H195" i="51" s="1"/>
  <c r="J288" i="52"/>
  <c r="G288" i="51" s="1"/>
  <c r="H288" i="51" s="1"/>
  <c r="M81" i="7"/>
  <c r="I81" i="87" s="1"/>
  <c r="N95" i="52"/>
  <c r="I95" i="51" s="1"/>
  <c r="J95" i="51" s="1"/>
  <c r="M188" i="7"/>
  <c r="I188" i="87" s="1"/>
  <c r="M85" i="7"/>
  <c r="I85" i="87" s="1"/>
  <c r="N112" i="7"/>
  <c r="C151" i="39"/>
  <c r="C184" i="39"/>
  <c r="C257" i="39"/>
  <c r="G31" i="87"/>
  <c r="O148" i="25"/>
  <c r="P243" i="28"/>
  <c r="O177" i="25"/>
  <c r="M31" i="7"/>
  <c r="I31" i="87" s="1"/>
  <c r="N91" i="7"/>
  <c r="G288" i="87"/>
  <c r="G205" i="87"/>
  <c r="J67" i="26"/>
  <c r="O67" i="26" s="1"/>
  <c r="N18" i="52"/>
  <c r="I18" i="51" s="1"/>
  <c r="J18" i="51" s="1"/>
  <c r="N131" i="7"/>
  <c r="N151" i="7"/>
  <c r="K283" i="7"/>
  <c r="J179" i="52"/>
  <c r="G179" i="51" s="1"/>
  <c r="H179" i="51" s="1"/>
  <c r="N288" i="52"/>
  <c r="O288" i="52" s="1"/>
  <c r="N282" i="7"/>
  <c r="K151" i="7"/>
  <c r="O151" i="7" s="1"/>
  <c r="N88" i="52"/>
  <c r="J143" i="52"/>
  <c r="K143" i="52" s="1"/>
  <c r="N69" i="52"/>
  <c r="I69" i="51" s="1"/>
  <c r="J69" i="51" s="1"/>
  <c r="N207" i="52"/>
  <c r="I207" i="51" s="1"/>
  <c r="J207" i="51" s="1"/>
  <c r="N158" i="7"/>
  <c r="P158" i="7" s="1"/>
  <c r="L152" i="7"/>
  <c r="L151" i="7"/>
  <c r="M215" i="7"/>
  <c r="I215" i="87" s="1"/>
  <c r="G151" i="87"/>
  <c r="M279" i="7"/>
  <c r="I279" i="87" s="1"/>
  <c r="N236" i="52"/>
  <c r="I236" i="51" s="1"/>
  <c r="J236" i="51" s="1"/>
  <c r="N283" i="7"/>
  <c r="L137" i="7"/>
  <c r="G135" i="87"/>
  <c r="O99" i="25"/>
  <c r="N129" i="7"/>
  <c r="N98" i="7"/>
  <c r="M6" i="7"/>
  <c r="N85" i="7"/>
  <c r="N210" i="7"/>
  <c r="L143" i="7"/>
  <c r="N64" i="7"/>
  <c r="N81" i="7"/>
  <c r="L129" i="7"/>
  <c r="P129" i="7" s="1"/>
  <c r="K98" i="7"/>
  <c r="K85" i="7"/>
  <c r="L236" i="7"/>
  <c r="P236" i="7" s="1"/>
  <c r="L239" i="7"/>
  <c r="J287" i="52"/>
  <c r="G287" i="51" s="1"/>
  <c r="H287" i="51" s="1"/>
  <c r="F16" i="46"/>
  <c r="E16" i="46"/>
  <c r="I13" i="51"/>
  <c r="J13" i="51" s="1"/>
  <c r="O13" i="52"/>
  <c r="I16" i="51"/>
  <c r="J16" i="51" s="1"/>
  <c r="O16" i="52"/>
  <c r="R138" i="33"/>
  <c r="R253" i="33"/>
  <c r="R254" i="33"/>
  <c r="U254" i="33" s="1"/>
  <c r="N125" i="52"/>
  <c r="I125" i="51" s="1"/>
  <c r="N25" i="52"/>
  <c r="I25" i="51" s="1"/>
  <c r="J25" i="51" s="1"/>
  <c r="J176" i="52"/>
  <c r="K176" i="52" s="1"/>
  <c r="K16" i="52"/>
  <c r="G16" i="51"/>
  <c r="H16" i="51" s="1"/>
  <c r="P138" i="33"/>
  <c r="P254" i="33"/>
  <c r="P253" i="33"/>
  <c r="E40" i="25"/>
  <c r="H40" i="46" s="1"/>
  <c r="J220" i="52"/>
  <c r="G220" i="51" s="1"/>
  <c r="H220" i="51" s="1"/>
  <c r="G13" i="51"/>
  <c r="H13" i="51" s="1"/>
  <c r="K13" i="52"/>
  <c r="E13" i="51"/>
  <c r="F13" i="51" s="1"/>
  <c r="P13" i="26" s="1"/>
  <c r="G13" i="52"/>
  <c r="E13" i="54" s="1"/>
  <c r="C13" i="54"/>
  <c r="J33" i="72"/>
  <c r="K33" i="72" s="1"/>
  <c r="M77" i="33" s="1"/>
  <c r="J223" i="52"/>
  <c r="G223" i="51" s="1"/>
  <c r="H223" i="51" s="1"/>
  <c r="E16" i="51"/>
  <c r="F16" i="51" s="1"/>
  <c r="P16" i="26" s="1"/>
  <c r="I16" i="45" s="1"/>
  <c r="D16" i="45" s="1"/>
  <c r="G16" i="52"/>
  <c r="E16" i="54" s="1"/>
  <c r="C16" i="54"/>
  <c r="J24" i="52"/>
  <c r="G24" i="51" s="1"/>
  <c r="H24" i="51" s="1"/>
  <c r="N186" i="52"/>
  <c r="I186" i="51" s="1"/>
  <c r="J186" i="51" s="1"/>
  <c r="J104" i="52"/>
  <c r="G104" i="51" s="1"/>
  <c r="H104" i="51" s="1"/>
  <c r="F16" i="45"/>
  <c r="E16" i="28"/>
  <c r="F234" i="45"/>
  <c r="E234" i="28"/>
  <c r="R234" i="26"/>
  <c r="N155" i="52"/>
  <c r="I155" i="51" s="1"/>
  <c r="Q138" i="33"/>
  <c r="T138" i="33" s="1"/>
  <c r="Q254" i="33"/>
  <c r="T254" i="33" s="1"/>
  <c r="Q253" i="33"/>
  <c r="E230" i="28"/>
  <c r="F230" i="45"/>
  <c r="R230" i="26"/>
  <c r="N251" i="7"/>
  <c r="L40" i="7"/>
  <c r="P40" i="7" s="1"/>
  <c r="K270" i="7"/>
  <c r="O270" i="7" s="1"/>
  <c r="M171" i="7"/>
  <c r="I171" i="87" s="1"/>
  <c r="N163" i="7"/>
  <c r="L270" i="7"/>
  <c r="M260" i="7"/>
  <c r="I260" i="87" s="1"/>
  <c r="M163" i="7"/>
  <c r="I163" i="87" s="1"/>
  <c r="G270" i="87"/>
  <c r="L45" i="7"/>
  <c r="K258" i="7"/>
  <c r="O10" i="25"/>
  <c r="N270" i="7"/>
  <c r="N270" i="52"/>
  <c r="I270" i="51" s="1"/>
  <c r="J270" i="51" s="1"/>
  <c r="E190" i="25"/>
  <c r="H190" i="46" s="1"/>
  <c r="L163" i="7"/>
  <c r="L109" i="7"/>
  <c r="M276" i="7"/>
  <c r="I276" i="87" s="1"/>
  <c r="M141" i="6"/>
  <c r="N261" i="7"/>
  <c r="P261" i="7" s="1"/>
  <c r="K137" i="7"/>
  <c r="O137" i="7" s="1"/>
  <c r="K64" i="7"/>
  <c r="O64" i="7" s="1"/>
  <c r="L19" i="7"/>
  <c r="N22" i="52"/>
  <c r="I22" i="51" s="1"/>
  <c r="J22" i="51" s="1"/>
  <c r="N249" i="7"/>
  <c r="P249" i="7" s="1"/>
  <c r="G67" i="87"/>
  <c r="G112" i="87"/>
  <c r="J279" i="52"/>
  <c r="G279" i="51" s="1"/>
  <c r="N287" i="52"/>
  <c r="I287" i="51" s="1"/>
  <c r="J287" i="51" s="1"/>
  <c r="J170" i="52"/>
  <c r="G170" i="51" s="1"/>
  <c r="H170" i="51" s="1"/>
  <c r="J254" i="52"/>
  <c r="G254" i="51" s="1"/>
  <c r="H254" i="51" s="1"/>
  <c r="N105" i="7"/>
  <c r="N279" i="52"/>
  <c r="I279" i="51" s="1"/>
  <c r="N263" i="52"/>
  <c r="O263" i="52" s="1"/>
  <c r="J114" i="52"/>
  <c r="G114" i="51" s="1"/>
  <c r="H114" i="51" s="1"/>
  <c r="N159" i="52"/>
  <c r="I159" i="51" s="1"/>
  <c r="J159" i="51" s="1"/>
  <c r="F5" i="52"/>
  <c r="E5" i="51" s="1"/>
  <c r="F5" i="51" s="1"/>
  <c r="P5" i="26" s="1"/>
  <c r="K121" i="52"/>
  <c r="J144" i="52"/>
  <c r="G144" i="51" s="1"/>
  <c r="H144" i="51" s="1"/>
  <c r="O57" i="25"/>
  <c r="N19" i="7"/>
  <c r="N111" i="7"/>
  <c r="O26" i="25"/>
  <c r="G236" i="87"/>
  <c r="L23" i="7"/>
  <c r="G261" i="87"/>
  <c r="G110" i="87"/>
  <c r="N211" i="7"/>
  <c r="G163" i="87"/>
  <c r="K176" i="7"/>
  <c r="O176" i="7" s="1"/>
  <c r="K31" i="7"/>
  <c r="G286" i="87"/>
  <c r="J263" i="52"/>
  <c r="G263" i="51" s="1"/>
  <c r="H263" i="51" s="1"/>
  <c r="N258" i="7"/>
  <c r="N176" i="7"/>
  <c r="O91" i="25"/>
  <c r="K152" i="7"/>
  <c r="O152" i="7" s="1"/>
  <c r="L176" i="7"/>
  <c r="M258" i="7"/>
  <c r="I258" i="87" s="1"/>
  <c r="L288" i="7"/>
  <c r="P288" i="7" s="1"/>
  <c r="L205" i="7"/>
  <c r="N221" i="7"/>
  <c r="N175" i="7"/>
  <c r="P175" i="7" s="1"/>
  <c r="N195" i="7"/>
  <c r="G156" i="87"/>
  <c r="L25" i="7"/>
  <c r="K96" i="7"/>
  <c r="M156" i="7"/>
  <c r="I156" i="87" s="1"/>
  <c r="K25" i="7"/>
  <c r="O25" i="7" s="1"/>
  <c r="L96" i="7"/>
  <c r="P96" i="7" s="1"/>
  <c r="K261" i="7"/>
  <c r="O261" i="7" s="1"/>
  <c r="G25" i="87"/>
  <c r="G96" i="87"/>
  <c r="N110" i="7"/>
  <c r="P110" i="7" s="1"/>
  <c r="L175" i="7"/>
  <c r="L258" i="7"/>
  <c r="K111" i="7"/>
  <c r="O111" i="7" s="1"/>
  <c r="K195" i="7"/>
  <c r="K23" i="7"/>
  <c r="O23" i="7" s="1"/>
  <c r="M175" i="7"/>
  <c r="I175" i="87" s="1"/>
  <c r="M282" i="7"/>
  <c r="I282" i="87" s="1"/>
  <c r="L111" i="7"/>
  <c r="L195" i="7"/>
  <c r="K156" i="7"/>
  <c r="G23" i="87"/>
  <c r="M110" i="7"/>
  <c r="I110" i="87" s="1"/>
  <c r="N44" i="7"/>
  <c r="N25" i="7"/>
  <c r="L156" i="7"/>
  <c r="N23" i="7"/>
  <c r="K110" i="7"/>
  <c r="J56" i="52"/>
  <c r="G56" i="51" s="1"/>
  <c r="H56" i="51" s="1"/>
  <c r="M165" i="7"/>
  <c r="I165" i="87" s="1"/>
  <c r="N57" i="7"/>
  <c r="G35" i="87"/>
  <c r="N181" i="7"/>
  <c r="P181" i="7" s="1"/>
  <c r="K18" i="7"/>
  <c r="N219" i="7"/>
  <c r="G24" i="23"/>
  <c r="G24" i="26" s="1"/>
  <c r="H24" i="26" s="1"/>
  <c r="I24" i="26" s="1"/>
  <c r="J24" i="26" s="1"/>
  <c r="O24" i="26" s="1"/>
  <c r="M166" i="7"/>
  <c r="I166" i="87" s="1"/>
  <c r="L32" i="7"/>
  <c r="N109" i="52"/>
  <c r="I109" i="51" s="1"/>
  <c r="J109" i="51" s="1"/>
  <c r="G32" i="87"/>
  <c r="G145" i="87"/>
  <c r="N84" i="52"/>
  <c r="K90" i="7"/>
  <c r="O90" i="7" s="1"/>
  <c r="L58" i="7"/>
  <c r="J82" i="52"/>
  <c r="G82" i="51" s="1"/>
  <c r="H82" i="51" s="1"/>
  <c r="N32" i="7"/>
  <c r="M115" i="7"/>
  <c r="I115" i="87" s="1"/>
  <c r="K30" i="7"/>
  <c r="O30" i="7" s="1"/>
  <c r="N10" i="26"/>
  <c r="O10" i="26" s="1"/>
  <c r="E179" i="25"/>
  <c r="M233" i="7"/>
  <c r="I233" i="87" s="1"/>
  <c r="M199" i="7"/>
  <c r="I199" i="87" s="1"/>
  <c r="M290" i="7"/>
  <c r="I290" i="87" s="1"/>
  <c r="J200" i="52"/>
  <c r="G200" i="51" s="1"/>
  <c r="H200" i="51" s="1"/>
  <c r="N109" i="7"/>
  <c r="N74" i="7"/>
  <c r="N127" i="7"/>
  <c r="L127" i="7"/>
  <c r="G105" i="87"/>
  <c r="L231" i="7"/>
  <c r="L51" i="7"/>
  <c r="G244" i="87"/>
  <c r="G127" i="87"/>
  <c r="G231" i="87"/>
  <c r="K286" i="7"/>
  <c r="O286" i="7" s="1"/>
  <c r="K40" i="7"/>
  <c r="M133" i="7"/>
  <c r="I133" i="87" s="1"/>
  <c r="M257" i="7"/>
  <c r="I257" i="87" s="1"/>
  <c r="M74" i="7"/>
  <c r="I74" i="87" s="1"/>
  <c r="S74" i="87" s="1"/>
  <c r="N290" i="7"/>
  <c r="N286" i="7"/>
  <c r="G137" i="87"/>
  <c r="K290" i="7"/>
  <c r="L64" i="7"/>
  <c r="G161" i="87"/>
  <c r="K71" i="7"/>
  <c r="O71" i="7" s="1"/>
  <c r="N110" i="52"/>
  <c r="I110" i="51" s="1"/>
  <c r="J110" i="51" s="1"/>
  <c r="J256" i="52"/>
  <c r="G256" i="51" s="1"/>
  <c r="H256" i="51" s="1"/>
  <c r="N214" i="7"/>
  <c r="N137" i="7"/>
  <c r="K214" i="7"/>
  <c r="O214" i="7" s="1"/>
  <c r="K256" i="7"/>
  <c r="L290" i="7"/>
  <c r="G64" i="87"/>
  <c r="L71" i="7"/>
  <c r="N182" i="7"/>
  <c r="N199" i="7"/>
  <c r="G214" i="87"/>
  <c r="G181" i="87"/>
  <c r="G284" i="87"/>
  <c r="K244" i="7"/>
  <c r="G71" i="87"/>
  <c r="E20" i="25"/>
  <c r="H20" i="46" s="1"/>
  <c r="M109" i="7"/>
  <c r="I109" i="87" s="1"/>
  <c r="S109" i="87" s="1"/>
  <c r="M131" i="7"/>
  <c r="I131" i="87" s="1"/>
  <c r="O258" i="25"/>
  <c r="M154" i="7"/>
  <c r="I154" i="87" s="1"/>
  <c r="N231" i="7"/>
  <c r="K191" i="7"/>
  <c r="O191" i="7" s="1"/>
  <c r="Z191" i="7" s="1"/>
  <c r="K154" i="7"/>
  <c r="L287" i="7"/>
  <c r="N116" i="52"/>
  <c r="I116" i="51" s="1"/>
  <c r="J116" i="51" s="1"/>
  <c r="M59" i="7"/>
  <c r="I59" i="87" s="1"/>
  <c r="S59" i="87" s="1"/>
  <c r="M238" i="7"/>
  <c r="I238" i="87" s="1"/>
  <c r="L191" i="7"/>
  <c r="L154" i="7"/>
  <c r="P154" i="7" s="1"/>
  <c r="G287" i="87"/>
  <c r="K182" i="7"/>
  <c r="O182" i="7" s="1"/>
  <c r="J197" i="52"/>
  <c r="K197" i="52" s="1"/>
  <c r="F200" i="51"/>
  <c r="M69" i="7"/>
  <c r="I69" i="87" s="1"/>
  <c r="M127" i="7"/>
  <c r="I127" i="87" s="1"/>
  <c r="G191" i="87"/>
  <c r="G154" i="87"/>
  <c r="K220" i="7"/>
  <c r="L182" i="7"/>
  <c r="N165" i="26"/>
  <c r="O165" i="26" s="1"/>
  <c r="N159" i="7"/>
  <c r="N220" i="7"/>
  <c r="K69" i="7"/>
  <c r="L220" i="7"/>
  <c r="G182" i="87"/>
  <c r="N183" i="52"/>
  <c r="I183" i="51" s="1"/>
  <c r="J183" i="51" s="1"/>
  <c r="N90" i="7"/>
  <c r="N51" i="7"/>
  <c r="L69" i="7"/>
  <c r="L105" i="7"/>
  <c r="J54" i="52"/>
  <c r="G54" i="51" s="1"/>
  <c r="H54" i="51" s="1"/>
  <c r="N100" i="7"/>
  <c r="N150" i="7"/>
  <c r="K272" i="7"/>
  <c r="O272" i="7" s="1"/>
  <c r="L189" i="7"/>
  <c r="N197" i="52"/>
  <c r="I197" i="51" s="1"/>
  <c r="M130" i="7"/>
  <c r="I130" i="87" s="1"/>
  <c r="N203" i="52"/>
  <c r="I203" i="51" s="1"/>
  <c r="J203" i="51" s="1"/>
  <c r="J17" i="52"/>
  <c r="G17" i="51" s="1"/>
  <c r="H17" i="51" s="1"/>
  <c r="O104" i="25"/>
  <c r="L272" i="7"/>
  <c r="G189" i="87"/>
  <c r="M232" i="7"/>
  <c r="I232" i="87" s="1"/>
  <c r="Q60" i="6"/>
  <c r="M72" i="7"/>
  <c r="I72" i="87" s="1"/>
  <c r="S72" i="87" s="1"/>
  <c r="J29" i="52"/>
  <c r="G29" i="51" s="1"/>
  <c r="H29" i="51" s="1"/>
  <c r="N35" i="52"/>
  <c r="I35" i="51" s="1"/>
  <c r="J35" i="51" s="1"/>
  <c r="N123" i="7"/>
  <c r="P123" i="7" s="1"/>
  <c r="G272" i="87"/>
  <c r="K100" i="7"/>
  <c r="O100" i="7" s="1"/>
  <c r="M119" i="7"/>
  <c r="I119" i="87" s="1"/>
  <c r="M63" i="7"/>
  <c r="I63" i="87" s="1"/>
  <c r="S63" i="87" s="1"/>
  <c r="N232" i="7"/>
  <c r="P232" i="7" s="1"/>
  <c r="L100" i="7"/>
  <c r="G6" i="87"/>
  <c r="N223" i="52"/>
  <c r="I223" i="51" s="1"/>
  <c r="J223" i="51" s="1"/>
  <c r="L30" i="7"/>
  <c r="J290" i="52"/>
  <c r="K290" i="52" s="1"/>
  <c r="N246" i="7"/>
  <c r="N272" i="7"/>
  <c r="N143" i="7"/>
  <c r="N72" i="7"/>
  <c r="N189" i="7"/>
  <c r="L242" i="7"/>
  <c r="K217" i="7"/>
  <c r="O217" i="7" s="1"/>
  <c r="L124" i="7"/>
  <c r="M202" i="7"/>
  <c r="I202" i="87" s="1"/>
  <c r="N124" i="7"/>
  <c r="L98" i="7"/>
  <c r="G124" i="87"/>
  <c r="J58" i="52"/>
  <c r="G58" i="51" s="1"/>
  <c r="H58" i="51" s="1"/>
  <c r="M189" i="7"/>
  <c r="I189" i="87" s="1"/>
  <c r="N242" i="7"/>
  <c r="N45" i="7"/>
  <c r="K72" i="7"/>
  <c r="M242" i="7"/>
  <c r="I242" i="87" s="1"/>
  <c r="N204" i="52"/>
  <c r="I204" i="51" s="1"/>
  <c r="J204" i="51" s="1"/>
  <c r="O261" i="25"/>
  <c r="K276" i="7"/>
  <c r="L72" i="7"/>
  <c r="K198" i="7"/>
  <c r="O198" i="7" s="1"/>
  <c r="L67" i="7"/>
  <c r="L210" i="7"/>
  <c r="N220" i="52"/>
  <c r="I220" i="51" s="1"/>
  <c r="G123" i="87"/>
  <c r="L133" i="7"/>
  <c r="P133" i="7" s="1"/>
  <c r="E127" i="25"/>
  <c r="H127" i="46" s="1"/>
  <c r="M185" i="7"/>
  <c r="I185" i="87" s="1"/>
  <c r="M132" i="7"/>
  <c r="I132" i="87" s="1"/>
  <c r="M181" i="7"/>
  <c r="I181" i="87" s="1"/>
  <c r="G198" i="87"/>
  <c r="G90" i="87"/>
  <c r="G51" i="87"/>
  <c r="J116" i="52"/>
  <c r="G116" i="51" s="1"/>
  <c r="H116" i="51" s="1"/>
  <c r="E91" i="25"/>
  <c r="H91" i="46" s="1"/>
  <c r="N284" i="7"/>
  <c r="K181" i="7"/>
  <c r="K284" i="7"/>
  <c r="O284" i="7" s="1"/>
  <c r="J208" i="52"/>
  <c r="G208" i="51" s="1"/>
  <c r="H208" i="51" s="1"/>
  <c r="N191" i="7"/>
  <c r="K105" i="7"/>
  <c r="O105" i="7" s="1"/>
  <c r="N43" i="52"/>
  <c r="I43" i="51" s="1"/>
  <c r="J43" i="51" s="1"/>
  <c r="O214" i="52"/>
  <c r="O61" i="26"/>
  <c r="F61" i="45" s="1"/>
  <c r="N160" i="7"/>
  <c r="L214" i="7"/>
  <c r="K215" i="7"/>
  <c r="N282" i="52"/>
  <c r="I282" i="51" s="1"/>
  <c r="J282" i="51" s="1"/>
  <c r="E101" i="25"/>
  <c r="H101" i="46" s="1"/>
  <c r="J207" i="52"/>
  <c r="G207" i="51" s="1"/>
  <c r="H207" i="51" s="1"/>
  <c r="E42" i="25"/>
  <c r="H42" i="46" s="1"/>
  <c r="C198" i="39"/>
  <c r="K198" i="39" s="1"/>
  <c r="M224" i="7"/>
  <c r="I224" i="87" s="1"/>
  <c r="N161" i="26"/>
  <c r="O161" i="26" s="1"/>
  <c r="O112" i="25"/>
  <c r="M157" i="7"/>
  <c r="I157" i="87" s="1"/>
  <c r="L119" i="7"/>
  <c r="K35" i="7"/>
  <c r="O35" i="7" s="1"/>
  <c r="N64" i="52"/>
  <c r="I64" i="51" s="1"/>
  <c r="J64" i="51" s="1"/>
  <c r="J53" i="52"/>
  <c r="G53" i="51" s="1"/>
  <c r="H53" i="51" s="1"/>
  <c r="E159" i="25"/>
  <c r="H159" i="46" s="1"/>
  <c r="P76" i="28"/>
  <c r="L82" i="7"/>
  <c r="P82" i="7" s="1"/>
  <c r="L113" i="7"/>
  <c r="G222" i="87"/>
  <c r="G158" i="87"/>
  <c r="G187" i="87"/>
  <c r="N216" i="52"/>
  <c r="I216" i="51" s="1"/>
  <c r="J216" i="51" s="1"/>
  <c r="N60" i="52"/>
  <c r="I60" i="51" s="1"/>
  <c r="J60" i="51" s="1"/>
  <c r="E180" i="25"/>
  <c r="H180" i="46" s="1"/>
  <c r="L166" i="7"/>
  <c r="J11" i="52"/>
  <c r="K11" i="52" s="1"/>
  <c r="N283" i="52"/>
  <c r="I283" i="51" s="1"/>
  <c r="J283" i="51" s="1"/>
  <c r="M36" i="7"/>
  <c r="I36" i="87" s="1"/>
  <c r="S36" i="87" s="1"/>
  <c r="N128" i="52"/>
  <c r="I128" i="51" s="1"/>
  <c r="J128" i="51" s="1"/>
  <c r="K47" i="7"/>
  <c r="N180" i="7"/>
  <c r="O199" i="25"/>
  <c r="E89" i="25"/>
  <c r="H89" i="46" s="1"/>
  <c r="J172" i="52"/>
  <c r="G172" i="51" s="1"/>
  <c r="H172" i="51" s="1"/>
  <c r="M167" i="7"/>
  <c r="I167" i="87" s="1"/>
  <c r="N157" i="7"/>
  <c r="M174" i="7"/>
  <c r="I174" i="87" s="1"/>
  <c r="G116" i="87"/>
  <c r="G56" i="87"/>
  <c r="N237" i="52"/>
  <c r="I237" i="51" s="1"/>
  <c r="J237" i="51" s="1"/>
  <c r="E131" i="25"/>
  <c r="H131" i="46" s="1"/>
  <c r="N47" i="7"/>
  <c r="P47" i="7" s="1"/>
  <c r="N174" i="7"/>
  <c r="L122" i="7"/>
  <c r="P122" i="7" s="1"/>
  <c r="K246" i="7"/>
  <c r="O246" i="7" s="1"/>
  <c r="Z246" i="7" s="1"/>
  <c r="G132" i="87"/>
  <c r="O272" i="25"/>
  <c r="M15" i="7"/>
  <c r="I15" i="87" s="1"/>
  <c r="L246" i="7"/>
  <c r="E288" i="25"/>
  <c r="H288" i="46" s="1"/>
  <c r="M140" i="6"/>
  <c r="R140" i="6" s="1"/>
  <c r="AB140" i="6" s="1"/>
  <c r="M80" i="7"/>
  <c r="I80" i="87" s="1"/>
  <c r="N132" i="7"/>
  <c r="L157" i="7"/>
  <c r="L276" i="7"/>
  <c r="P276" i="7" s="1"/>
  <c r="G45" i="87"/>
  <c r="M45" i="7"/>
  <c r="I45" i="87" s="1"/>
  <c r="S45" i="87" s="1"/>
  <c r="G217" i="87"/>
  <c r="L15" i="7"/>
  <c r="L243" i="7"/>
  <c r="L43" i="7"/>
  <c r="K175" i="7"/>
  <c r="G276" i="87"/>
  <c r="O23" i="25"/>
  <c r="G174" i="87"/>
  <c r="K124" i="7"/>
  <c r="O124" i="7" s="1"/>
  <c r="L217" i="7"/>
  <c r="P217" i="7" s="1"/>
  <c r="N177" i="52"/>
  <c r="I177" i="51" s="1"/>
  <c r="J177" i="51" s="1"/>
  <c r="O175" i="25"/>
  <c r="K185" i="7"/>
  <c r="M123" i="7"/>
  <c r="I123" i="87" s="1"/>
  <c r="L174" i="7"/>
  <c r="L185" i="7"/>
  <c r="P185" i="7" s="1"/>
  <c r="N237" i="7"/>
  <c r="M92" i="7"/>
  <c r="I92" i="87" s="1"/>
  <c r="K282" i="7"/>
  <c r="G185" i="87"/>
  <c r="K122" i="7"/>
  <c r="L282" i="7"/>
  <c r="K123" i="7"/>
  <c r="J55" i="52"/>
  <c r="G55" i="51" s="1"/>
  <c r="H55" i="51" s="1"/>
  <c r="N207" i="7"/>
  <c r="L198" i="7"/>
  <c r="K82" i="7"/>
  <c r="K157" i="7"/>
  <c r="L257" i="7"/>
  <c r="G255" i="87"/>
  <c r="L161" i="7"/>
  <c r="G19" i="87"/>
  <c r="J245" i="52"/>
  <c r="G245" i="51" s="1"/>
  <c r="H245" i="51" s="1"/>
  <c r="G82" i="87"/>
  <c r="M180" i="7"/>
  <c r="I180" i="87" s="1"/>
  <c r="N113" i="7"/>
  <c r="L89" i="7"/>
  <c r="O161" i="25"/>
  <c r="E156" i="25"/>
  <c r="H156" i="46" s="1"/>
  <c r="N147" i="7"/>
  <c r="G213" i="87"/>
  <c r="G143" i="87"/>
  <c r="K207" i="7"/>
  <c r="O207" i="7" s="1"/>
  <c r="K59" i="7"/>
  <c r="L207" i="7"/>
  <c r="N182" i="52"/>
  <c r="I182" i="51" s="1"/>
  <c r="J182" i="51" s="1"/>
  <c r="O37" i="52"/>
  <c r="O111" i="52"/>
  <c r="L188" i="7"/>
  <c r="G34" i="87"/>
  <c r="G207" i="87"/>
  <c r="G188" i="87"/>
  <c r="K55" i="7"/>
  <c r="L85" i="7"/>
  <c r="E85" i="25"/>
  <c r="H85" i="46" s="1"/>
  <c r="O252" i="7"/>
  <c r="N20" i="7"/>
  <c r="P20" i="7" s="1"/>
  <c r="N198" i="7"/>
  <c r="K113" i="7"/>
  <c r="O113" i="7" s="1"/>
  <c r="E124" i="25"/>
  <c r="H124" i="46" s="1"/>
  <c r="N188" i="7"/>
  <c r="K22" i="7"/>
  <c r="G113" i="87"/>
  <c r="K260" i="7"/>
  <c r="L81" i="7"/>
  <c r="K167" i="7"/>
  <c r="L260" i="7"/>
  <c r="P260" i="7" s="1"/>
  <c r="G81" i="87"/>
  <c r="L167" i="7"/>
  <c r="P167" i="7" s="1"/>
  <c r="Q80" i="6"/>
  <c r="E208" i="25"/>
  <c r="H208" i="46" s="1"/>
  <c r="O102" i="25"/>
  <c r="N35" i="7"/>
  <c r="P35" i="7" s="1"/>
  <c r="N173" i="7"/>
  <c r="G262" i="87"/>
  <c r="K173" i="7"/>
  <c r="O173" i="7" s="1"/>
  <c r="L18" i="7"/>
  <c r="P18" i="7" s="1"/>
  <c r="G147" i="87"/>
  <c r="L241" i="7"/>
  <c r="K29" i="7"/>
  <c r="G117" i="87"/>
  <c r="K125" i="7"/>
  <c r="O125" i="7" s="1"/>
  <c r="N93" i="52"/>
  <c r="I93" i="51" s="1"/>
  <c r="J93" i="51" s="1"/>
  <c r="H25" i="21"/>
  <c r="M25" i="25" s="1"/>
  <c r="O25" i="25" s="1"/>
  <c r="M147" i="7"/>
  <c r="I147" i="87" s="1"/>
  <c r="N166" i="7"/>
  <c r="L173" i="7"/>
  <c r="G18" i="87"/>
  <c r="G264" i="87"/>
  <c r="K165" i="7"/>
  <c r="H165" i="87" s="1"/>
  <c r="K99" i="7"/>
  <c r="O99" i="7" s="1"/>
  <c r="L125" i="7"/>
  <c r="J43" i="26"/>
  <c r="O43" i="26" s="1"/>
  <c r="O274" i="25"/>
  <c r="M190" i="7"/>
  <c r="I190" i="87" s="1"/>
  <c r="G173" i="87"/>
  <c r="L165" i="7"/>
  <c r="P165" i="7" s="1"/>
  <c r="L99" i="7"/>
  <c r="P99" i="7" s="1"/>
  <c r="G125" i="87"/>
  <c r="N134" i="7"/>
  <c r="N53" i="7"/>
  <c r="K166" i="7"/>
  <c r="G165" i="87"/>
  <c r="G5" i="87"/>
  <c r="G99" i="87"/>
  <c r="N142" i="7"/>
  <c r="N116" i="7"/>
  <c r="K211" i="7"/>
  <c r="O211" i="7" s="1"/>
  <c r="O15" i="28"/>
  <c r="K15" i="7"/>
  <c r="G134" i="87"/>
  <c r="L211" i="7"/>
  <c r="P20" i="28"/>
  <c r="K41" i="7"/>
  <c r="O41" i="7" s="1"/>
  <c r="Q159" i="6"/>
  <c r="N79" i="7"/>
  <c r="M89" i="7"/>
  <c r="I89" i="87" s="1"/>
  <c r="S89" i="87" s="1"/>
  <c r="K190" i="7"/>
  <c r="K221" i="7"/>
  <c r="L41" i="7"/>
  <c r="J200" i="26"/>
  <c r="O200" i="26" s="1"/>
  <c r="N190" i="7"/>
  <c r="N257" i="7"/>
  <c r="L190" i="7"/>
  <c r="G278" i="87"/>
  <c r="L221" i="7"/>
  <c r="K142" i="7"/>
  <c r="O142" i="7" s="1"/>
  <c r="K44" i="7"/>
  <c r="O44" i="7" s="1"/>
  <c r="G41" i="87"/>
  <c r="J90" i="52"/>
  <c r="G90" i="51" s="1"/>
  <c r="H90" i="51" s="1"/>
  <c r="K116" i="7"/>
  <c r="O116" i="7" s="1"/>
  <c r="L142" i="7"/>
  <c r="L44" i="7"/>
  <c r="N164" i="52"/>
  <c r="I164" i="51" s="1"/>
  <c r="J164" i="51" s="1"/>
  <c r="K166" i="52"/>
  <c r="N193" i="7"/>
  <c r="L116" i="7"/>
  <c r="M168" i="7"/>
  <c r="I168" i="87" s="1"/>
  <c r="M22" i="7"/>
  <c r="I22" i="87" s="1"/>
  <c r="M250" i="7"/>
  <c r="I250" i="87" s="1"/>
  <c r="M153" i="7"/>
  <c r="I153" i="87" s="1"/>
  <c r="N54" i="7"/>
  <c r="N103" i="7"/>
  <c r="P103" i="7" s="1"/>
  <c r="N241" i="7"/>
  <c r="G92" i="87"/>
  <c r="K119" i="7"/>
  <c r="G84" i="87"/>
  <c r="L56" i="7"/>
  <c r="L187" i="7"/>
  <c r="L147" i="7"/>
  <c r="G103" i="87"/>
  <c r="K257" i="7"/>
  <c r="O257" i="7" s="1"/>
  <c r="G224" i="87"/>
  <c r="K158" i="7"/>
  <c r="G61" i="87"/>
  <c r="E144" i="25"/>
  <c r="H144" i="46" s="1"/>
  <c r="E122" i="25"/>
  <c r="H122" i="46" s="1"/>
  <c r="O284" i="25"/>
  <c r="M76" i="7"/>
  <c r="I76" i="87" s="1"/>
  <c r="E213" i="25"/>
  <c r="H213" i="46" s="1"/>
  <c r="M117" i="7"/>
  <c r="I117" i="87" s="1"/>
  <c r="N224" i="7"/>
  <c r="P224" i="7" s="1"/>
  <c r="G89" i="87"/>
  <c r="G119" i="87"/>
  <c r="G59" i="87"/>
  <c r="K133" i="7"/>
  <c r="K210" i="7"/>
  <c r="O210" i="7" s="1"/>
  <c r="L289" i="7"/>
  <c r="K129" i="7"/>
  <c r="O129" i="7" s="1"/>
  <c r="K239" i="7"/>
  <c r="O239" i="7" s="1"/>
  <c r="N28" i="7"/>
  <c r="K245" i="7"/>
  <c r="H245" i="87" s="1"/>
  <c r="K289" i="7"/>
  <c r="O289" i="7" s="1"/>
  <c r="E24" i="25"/>
  <c r="H24" i="46" s="1"/>
  <c r="O41" i="25"/>
  <c r="M245" i="7"/>
  <c r="I245" i="87" s="1"/>
  <c r="N24" i="7"/>
  <c r="N117" i="7"/>
  <c r="P117" i="7" s="1"/>
  <c r="N48" i="7"/>
  <c r="N89" i="7"/>
  <c r="G22" i="87"/>
  <c r="G242" i="87"/>
  <c r="K130" i="7"/>
  <c r="G79" i="87"/>
  <c r="G24" i="87"/>
  <c r="L245" i="7"/>
  <c r="P245" i="7" s="1"/>
  <c r="G210" i="87"/>
  <c r="K112" i="7"/>
  <c r="O112" i="7" s="1"/>
  <c r="G289" i="87"/>
  <c r="G129" i="87"/>
  <c r="M203" i="7"/>
  <c r="I203" i="87" s="1"/>
  <c r="M241" i="7"/>
  <c r="I241" i="87" s="1"/>
  <c r="N183" i="7"/>
  <c r="N56" i="7"/>
  <c r="N92" i="7"/>
  <c r="P92" i="7" s="1"/>
  <c r="N222" i="7"/>
  <c r="N192" i="7"/>
  <c r="K28" i="7"/>
  <c r="O28" i="7" s="1"/>
  <c r="L285" i="7"/>
  <c r="K222" i="7"/>
  <c r="O222" i="7" s="1"/>
  <c r="L130" i="7"/>
  <c r="P130" i="7" s="1"/>
  <c r="G245" i="87"/>
  <c r="K192" i="7"/>
  <c r="L112" i="7"/>
  <c r="K117" i="7"/>
  <c r="E58" i="25"/>
  <c r="O62" i="25"/>
  <c r="J261" i="26"/>
  <c r="O261" i="26" s="1"/>
  <c r="O150" i="25"/>
  <c r="O216" i="25"/>
  <c r="M158" i="7"/>
  <c r="I158" i="87" s="1"/>
  <c r="M192" i="7"/>
  <c r="I192" i="87" s="1"/>
  <c r="M91" i="7"/>
  <c r="I91" i="87" s="1"/>
  <c r="S91" i="87" s="1"/>
  <c r="N285" i="7"/>
  <c r="L28" i="7"/>
  <c r="K285" i="7"/>
  <c r="O285" i="7" s="1"/>
  <c r="L222" i="7"/>
  <c r="G130" i="87"/>
  <c r="K241" i="7"/>
  <c r="L192" i="7"/>
  <c r="K93" i="7"/>
  <c r="E57" i="25"/>
  <c r="K251" i="7"/>
  <c r="O251" i="7" s="1"/>
  <c r="G28" i="87"/>
  <c r="L93" i="7"/>
  <c r="P93" i="7" s="1"/>
  <c r="E210" i="25"/>
  <c r="H210" i="46" s="1"/>
  <c r="M93" i="7"/>
  <c r="I93" i="87" s="1"/>
  <c r="M140" i="7"/>
  <c r="I140" i="87" s="1"/>
  <c r="N76" i="7"/>
  <c r="N149" i="7"/>
  <c r="L251" i="7"/>
  <c r="G93" i="87"/>
  <c r="N289" i="7"/>
  <c r="M187" i="7"/>
  <c r="I187" i="87" s="1"/>
  <c r="M29" i="7"/>
  <c r="I29" i="87" s="1"/>
  <c r="N250" i="7"/>
  <c r="N140" i="7"/>
  <c r="K149" i="7"/>
  <c r="O149" i="7" s="1"/>
  <c r="L250" i="7"/>
  <c r="K237" i="7"/>
  <c r="O237" i="7" s="1"/>
  <c r="K76" i="7"/>
  <c r="L149" i="7"/>
  <c r="K92" i="7"/>
  <c r="L237" i="7"/>
  <c r="L76" i="7"/>
  <c r="O86" i="25"/>
  <c r="N187" i="7"/>
  <c r="N29" i="7"/>
  <c r="G149" i="87"/>
  <c r="K279" i="7"/>
  <c r="K140" i="7"/>
  <c r="G237" i="87"/>
  <c r="K183" i="7"/>
  <c r="L29" i="7"/>
  <c r="K91" i="7"/>
  <c r="O9" i="25"/>
  <c r="M194" i="7"/>
  <c r="I194" i="87" s="1"/>
  <c r="O149" i="25"/>
  <c r="O88" i="25"/>
  <c r="L141" i="7"/>
  <c r="P141" i="7" s="1"/>
  <c r="K84" i="7"/>
  <c r="O84" i="7" s="1"/>
  <c r="L279" i="7"/>
  <c r="L140" i="7"/>
  <c r="L55" i="7"/>
  <c r="P55" i="7" s="1"/>
  <c r="K103" i="7"/>
  <c r="O103" i="7" s="1"/>
  <c r="K224" i="7"/>
  <c r="L183" i="7"/>
  <c r="L91" i="7"/>
  <c r="K249" i="7"/>
  <c r="O249" i="7" s="1"/>
  <c r="M95" i="7"/>
  <c r="I95" i="87" s="1"/>
  <c r="M183" i="7"/>
  <c r="I183" i="87" s="1"/>
  <c r="N84" i="7"/>
  <c r="N279" i="7"/>
  <c r="G141" i="87"/>
  <c r="L84" i="7"/>
  <c r="K56" i="7"/>
  <c r="O56" i="7" s="1"/>
  <c r="G55" i="87"/>
  <c r="M4" i="7"/>
  <c r="I4" i="87" s="1"/>
  <c r="S4" i="87" s="1"/>
  <c r="O83" i="25"/>
  <c r="E31" i="25"/>
  <c r="N98" i="6"/>
  <c r="Q98" i="6" s="1"/>
  <c r="R98" i="6" s="1"/>
  <c r="E76" i="25"/>
  <c r="H76" i="46" s="1"/>
  <c r="Q285" i="6"/>
  <c r="R285" i="6" s="1"/>
  <c r="AB285" i="6" s="1"/>
  <c r="O173" i="25"/>
  <c r="E251" i="25"/>
  <c r="E64" i="25"/>
  <c r="H64" i="46" s="1"/>
  <c r="O207" i="25"/>
  <c r="E60" i="25"/>
  <c r="H60" i="46" s="1"/>
  <c r="Q54" i="6"/>
  <c r="N86" i="6"/>
  <c r="O86" i="6" s="1"/>
  <c r="P86" i="6" s="1"/>
  <c r="Q86" i="6" s="1"/>
  <c r="N124" i="52"/>
  <c r="I124" i="51" s="1"/>
  <c r="J124" i="51" s="1"/>
  <c r="J28" i="52"/>
  <c r="G28" i="51" s="1"/>
  <c r="H28" i="51" s="1"/>
  <c r="E107" i="25"/>
  <c r="H107" i="46" s="1"/>
  <c r="H134" i="46"/>
  <c r="O11" i="25"/>
  <c r="Q225" i="6"/>
  <c r="R225" i="6" s="1"/>
  <c r="AB225" i="6" s="1"/>
  <c r="G25" i="23"/>
  <c r="G25" i="26" s="1"/>
  <c r="H25" i="26" s="1"/>
  <c r="I25" i="26" s="1"/>
  <c r="J25" i="26" s="1"/>
  <c r="O25" i="26" s="1"/>
  <c r="J48" i="51"/>
  <c r="I291" i="39"/>
  <c r="C206" i="39"/>
  <c r="C129" i="39"/>
  <c r="I129" i="39" s="1"/>
  <c r="C141" i="28"/>
  <c r="P141" i="28" s="1"/>
  <c r="O96" i="25"/>
  <c r="N276" i="52"/>
  <c r="I276" i="51" s="1"/>
  <c r="J276" i="51" s="1"/>
  <c r="N59" i="52"/>
  <c r="I59" i="51" s="1"/>
  <c r="J59" i="51" s="1"/>
  <c r="N151" i="6"/>
  <c r="Q151" i="6" s="1"/>
  <c r="E212" i="25"/>
  <c r="H212" i="46" s="1"/>
  <c r="J71" i="6"/>
  <c r="K71" i="6" s="1"/>
  <c r="L71" i="6" s="1"/>
  <c r="M71" i="6" s="1"/>
  <c r="R71" i="6" s="1"/>
  <c r="AG71" i="6" s="1"/>
  <c r="N38" i="52"/>
  <c r="O38" i="52" s="1"/>
  <c r="F32" i="72"/>
  <c r="H32" i="72" s="1"/>
  <c r="F63" i="52"/>
  <c r="E63" i="51" s="1"/>
  <c r="F63" i="51" s="1"/>
  <c r="P63" i="26" s="1"/>
  <c r="O105" i="25"/>
  <c r="E117" i="25"/>
  <c r="H117" i="46" s="1"/>
  <c r="K152" i="52"/>
  <c r="J130" i="6"/>
  <c r="M130" i="6" s="1"/>
  <c r="E103" i="25"/>
  <c r="H103" i="46" s="1"/>
  <c r="E138" i="25"/>
  <c r="H138" i="46" s="1"/>
  <c r="Q141" i="6"/>
  <c r="O75" i="25"/>
  <c r="O29" i="28"/>
  <c r="N82" i="52"/>
  <c r="I82" i="51" s="1"/>
  <c r="J82" i="51" s="1"/>
  <c r="I32" i="72"/>
  <c r="K32" i="72" s="1"/>
  <c r="E171" i="25"/>
  <c r="H171" i="46" s="1"/>
  <c r="O68" i="25"/>
  <c r="J155" i="52"/>
  <c r="G155" i="51" s="1"/>
  <c r="H155" i="51" s="1"/>
  <c r="C182" i="39"/>
  <c r="K182" i="39" s="1"/>
  <c r="C142" i="28"/>
  <c r="P142" i="28" s="1"/>
  <c r="N91" i="52"/>
  <c r="I91" i="51" s="1"/>
  <c r="J91" i="51" s="1"/>
  <c r="J23" i="52"/>
  <c r="G23" i="51" s="1"/>
  <c r="H23" i="51" s="1"/>
  <c r="O69" i="25"/>
  <c r="C84" i="39"/>
  <c r="J201" i="6"/>
  <c r="M201" i="6" s="1"/>
  <c r="F33" i="72"/>
  <c r="H33" i="72" s="1"/>
  <c r="J77" i="33" s="1"/>
  <c r="Q33" i="6"/>
  <c r="J180" i="6"/>
  <c r="K180" i="6" s="1"/>
  <c r="L180" i="6" s="1"/>
  <c r="M180" i="6" s="1"/>
  <c r="N246" i="52"/>
  <c r="I246" i="51" s="1"/>
  <c r="J246" i="51" s="1"/>
  <c r="M221" i="6"/>
  <c r="E226" i="25"/>
  <c r="H226" i="46" s="1"/>
  <c r="Q111" i="6"/>
  <c r="R111" i="6" s="1"/>
  <c r="AB111" i="6" s="1"/>
  <c r="C70" i="39"/>
  <c r="K70" i="39" s="1"/>
  <c r="C285" i="28"/>
  <c r="P285" i="28" s="1"/>
  <c r="C207" i="39"/>
  <c r="K207" i="39" s="1"/>
  <c r="C290" i="39"/>
  <c r="K290" i="39" s="1"/>
  <c r="P17" i="28"/>
  <c r="P246" i="28"/>
  <c r="C139" i="39"/>
  <c r="K139" i="39" s="1"/>
  <c r="I97" i="39"/>
  <c r="C51" i="28"/>
  <c r="P51" i="28" s="1"/>
  <c r="O166" i="28"/>
  <c r="K54" i="39"/>
  <c r="C141" i="39"/>
  <c r="K141" i="39" s="1"/>
  <c r="C59" i="28"/>
  <c r="O59" i="28" s="1"/>
  <c r="C125" i="28"/>
  <c r="P125" i="28" s="1"/>
  <c r="C80" i="28"/>
  <c r="P80" i="28" s="1"/>
  <c r="C282" i="28"/>
  <c r="P282" i="28" s="1"/>
  <c r="O191" i="28"/>
  <c r="C224" i="39"/>
  <c r="K224" i="39" s="1"/>
  <c r="C286" i="28"/>
  <c r="P286" i="28" s="1"/>
  <c r="C274" i="39"/>
  <c r="K274" i="39" s="1"/>
  <c r="C53" i="39"/>
  <c r="K53" i="39" s="1"/>
  <c r="C221" i="39"/>
  <c r="I221" i="39" s="1"/>
  <c r="C124" i="39"/>
  <c r="K124" i="39" s="1"/>
  <c r="O34" i="28"/>
  <c r="C259" i="39"/>
  <c r="C110" i="28"/>
  <c r="O110" i="28" s="1"/>
  <c r="C69" i="39"/>
  <c r="K69" i="39" s="1"/>
  <c r="C275" i="39"/>
  <c r="K275" i="39" s="1"/>
  <c r="C238" i="39"/>
  <c r="K238" i="39" s="1"/>
  <c r="C56" i="39"/>
  <c r="K56" i="39" s="1"/>
  <c r="C10" i="39"/>
  <c r="K10" i="39" s="1"/>
  <c r="C179" i="39"/>
  <c r="K179" i="39" s="1"/>
  <c r="C156" i="39"/>
  <c r="K156" i="39" s="1"/>
  <c r="C126" i="39"/>
  <c r="K126" i="39" s="1"/>
  <c r="C152" i="39"/>
  <c r="K152" i="39" s="1"/>
  <c r="C79" i="39"/>
  <c r="K79" i="39" s="1"/>
  <c r="C244" i="39"/>
  <c r="K244" i="39" s="1"/>
  <c r="C190" i="39"/>
  <c r="K190" i="39" s="1"/>
  <c r="C191" i="39"/>
  <c r="C243" i="39"/>
  <c r="K243" i="39" s="1"/>
  <c r="C245" i="39"/>
  <c r="K245" i="39" s="1"/>
  <c r="C6" i="39"/>
  <c r="K6" i="39" s="1"/>
  <c r="C171" i="39"/>
  <c r="K171" i="39" s="1"/>
  <c r="C153" i="39"/>
  <c r="K153" i="39" s="1"/>
  <c r="C262" i="28"/>
  <c r="O262" i="28" s="1"/>
  <c r="C273" i="39"/>
  <c r="I273" i="39" s="1"/>
  <c r="C246" i="39"/>
  <c r="K246" i="39" s="1"/>
  <c r="C201" i="39"/>
  <c r="C90" i="39"/>
  <c r="K90" i="39" s="1"/>
  <c r="C65" i="39"/>
  <c r="K65" i="39" s="1"/>
  <c r="C108" i="39"/>
  <c r="K108" i="39" s="1"/>
  <c r="C127" i="28"/>
  <c r="O127" i="28" s="1"/>
  <c r="P155" i="28"/>
  <c r="C113" i="39"/>
  <c r="K113" i="39" s="1"/>
  <c r="C83" i="39"/>
  <c r="K83" i="39" s="1"/>
  <c r="C150" i="39"/>
  <c r="K150" i="39" s="1"/>
  <c r="C123" i="39"/>
  <c r="K123" i="39" s="1"/>
  <c r="O145" i="25"/>
  <c r="J31" i="6"/>
  <c r="M31" i="6" s="1"/>
  <c r="R31" i="6" s="1"/>
  <c r="AB31" i="6" s="1"/>
  <c r="Q209" i="6"/>
  <c r="N143" i="52"/>
  <c r="I143" i="51" s="1"/>
  <c r="J143" i="51" s="1"/>
  <c r="E55" i="25"/>
  <c r="E284" i="25"/>
  <c r="H284" i="46" s="1"/>
  <c r="Q37" i="6"/>
  <c r="R37" i="6" s="1"/>
  <c r="AB37" i="6" s="1"/>
  <c r="C230" i="39"/>
  <c r="G230" i="39" s="1"/>
  <c r="O50" i="25"/>
  <c r="N158" i="6"/>
  <c r="Q158" i="6" s="1"/>
  <c r="O179" i="25"/>
  <c r="N277" i="6"/>
  <c r="O277" i="6" s="1"/>
  <c r="P277" i="6" s="1"/>
  <c r="Q277" i="6" s="1"/>
  <c r="R277" i="6" s="1"/>
  <c r="J162" i="6"/>
  <c r="M162" i="6" s="1"/>
  <c r="J223" i="6"/>
  <c r="M223" i="6" s="1"/>
  <c r="J171" i="6"/>
  <c r="M171" i="6" s="1"/>
  <c r="R171" i="6" s="1"/>
  <c r="AB171" i="6" s="1"/>
  <c r="J65" i="6"/>
  <c r="K65" i="6" s="1"/>
  <c r="L65" i="6" s="1"/>
  <c r="M65" i="6" s="1"/>
  <c r="R65" i="6" s="1"/>
  <c r="AB65" i="6" s="1"/>
  <c r="C86" i="28"/>
  <c r="O86" i="28" s="1"/>
  <c r="N90" i="6"/>
  <c r="Q90" i="6" s="1"/>
  <c r="R90" i="6" s="1"/>
  <c r="E178" i="25"/>
  <c r="N195" i="6"/>
  <c r="Q195" i="6" s="1"/>
  <c r="C116" i="39"/>
  <c r="K116" i="39" s="1"/>
  <c r="C111" i="28"/>
  <c r="N114" i="52"/>
  <c r="I114" i="51" s="1"/>
  <c r="J114" i="51" s="1"/>
  <c r="N239" i="52"/>
  <c r="I239" i="51" s="1"/>
  <c r="J239" i="51" s="1"/>
  <c r="F180" i="52"/>
  <c r="E180" i="51" s="1"/>
  <c r="F180" i="51" s="1"/>
  <c r="P180" i="26" s="1"/>
  <c r="E177" i="25"/>
  <c r="H177" i="46" s="1"/>
  <c r="Q83" i="6"/>
  <c r="C50" i="39"/>
  <c r="F165" i="52"/>
  <c r="E165" i="51" s="1"/>
  <c r="F165" i="51" s="1"/>
  <c r="P165" i="26" s="1"/>
  <c r="J121" i="6"/>
  <c r="K121" i="6" s="1"/>
  <c r="L121" i="6" s="1"/>
  <c r="M121" i="6" s="1"/>
  <c r="N205" i="6"/>
  <c r="Q205" i="6" s="1"/>
  <c r="N105" i="52"/>
  <c r="I105" i="51" s="1"/>
  <c r="J105" i="51" s="1"/>
  <c r="N55" i="52"/>
  <c r="I55" i="51" s="1"/>
  <c r="J55" i="51" s="1"/>
  <c r="C233" i="39"/>
  <c r="K233" i="39" s="1"/>
  <c r="E121" i="25"/>
  <c r="H121" i="46" s="1"/>
  <c r="C231" i="39"/>
  <c r="K231" i="39" s="1"/>
  <c r="N200" i="52"/>
  <c r="I200" i="51" s="1"/>
  <c r="J200" i="51" s="1"/>
  <c r="N245" i="52"/>
  <c r="I245" i="51" s="1"/>
  <c r="J245" i="51" s="1"/>
  <c r="O280" i="28"/>
  <c r="O30" i="25"/>
  <c r="J177" i="6"/>
  <c r="M177" i="6" s="1"/>
  <c r="K5" i="52"/>
  <c r="C58" i="39"/>
  <c r="K58" i="39" s="1"/>
  <c r="O59" i="25"/>
  <c r="Q286" i="6"/>
  <c r="E259" i="25"/>
  <c r="H259" i="46" s="1"/>
  <c r="Q176" i="6"/>
  <c r="E145" i="25"/>
  <c r="H145" i="46" s="1"/>
  <c r="M22" i="6"/>
  <c r="R22" i="6" s="1"/>
  <c r="AB22" i="6" s="1"/>
  <c r="J68" i="6"/>
  <c r="M68" i="6" s="1"/>
  <c r="P74" i="28"/>
  <c r="O28" i="28"/>
  <c r="P201" i="28"/>
  <c r="P219" i="28"/>
  <c r="I68" i="39"/>
  <c r="I92" i="39"/>
  <c r="I93" i="39"/>
  <c r="J98" i="52"/>
  <c r="G98" i="51" s="1"/>
  <c r="H98" i="51" s="1"/>
  <c r="J41" i="52"/>
  <c r="G41" i="51" s="1"/>
  <c r="H41" i="51" s="1"/>
  <c r="N130" i="52"/>
  <c r="O130" i="52" s="1"/>
  <c r="N139" i="52"/>
  <c r="I139" i="51" s="1"/>
  <c r="J139" i="51" s="1"/>
  <c r="F214" i="52"/>
  <c r="E214" i="51" s="1"/>
  <c r="F214" i="51" s="1"/>
  <c r="P214" i="26" s="1"/>
  <c r="J140" i="52"/>
  <c r="G140" i="51" s="1"/>
  <c r="H140" i="51" s="1"/>
  <c r="N180" i="52"/>
  <c r="I180" i="51" s="1"/>
  <c r="J180" i="51" s="1"/>
  <c r="N215" i="52"/>
  <c r="I215" i="51" s="1"/>
  <c r="J215" i="51" s="1"/>
  <c r="F47" i="52"/>
  <c r="E47" i="51" s="1"/>
  <c r="F47" i="51" s="1"/>
  <c r="P47" i="26" s="1"/>
  <c r="N36" i="52"/>
  <c r="I36" i="51" s="1"/>
  <c r="J36" i="51" s="1"/>
  <c r="M68" i="7"/>
  <c r="I68" i="87" s="1"/>
  <c r="M53" i="7"/>
  <c r="I53" i="87" s="1"/>
  <c r="S53" i="87" s="1"/>
  <c r="M60" i="7"/>
  <c r="I60" i="87" s="1"/>
  <c r="S60" i="87" s="1"/>
  <c r="M8" i="7"/>
  <c r="I8" i="87" s="1"/>
  <c r="S8" i="87" s="1"/>
  <c r="M83" i="7"/>
  <c r="I83" i="87" s="1"/>
  <c r="S83" i="87" s="1"/>
  <c r="M17" i="7"/>
  <c r="I17" i="87" s="1"/>
  <c r="N94" i="7"/>
  <c r="N226" i="7"/>
  <c r="N106" i="7"/>
  <c r="N8" i="7"/>
  <c r="N107" i="7"/>
  <c r="N162" i="7"/>
  <c r="N59" i="7"/>
  <c r="P59" i="7" s="1"/>
  <c r="F59" i="39" s="1"/>
  <c r="G59" i="39" s="1"/>
  <c r="K243" i="7"/>
  <c r="O243" i="7" s="1"/>
  <c r="K141" i="7"/>
  <c r="K43" i="7"/>
  <c r="O43" i="7" s="1"/>
  <c r="K67" i="7"/>
  <c r="L213" i="7"/>
  <c r="L135" i="7"/>
  <c r="G75" i="87"/>
  <c r="L79" i="7"/>
  <c r="G164" i="87"/>
  <c r="G73" i="87"/>
  <c r="L132" i="7"/>
  <c r="G88" i="87"/>
  <c r="L212" i="7"/>
  <c r="L145" i="7"/>
  <c r="K58" i="7"/>
  <c r="H58" i="87" s="1"/>
  <c r="C58" i="87" s="1"/>
  <c r="G128" i="87"/>
  <c r="N243" i="7"/>
  <c r="N58" i="7"/>
  <c r="N128" i="7"/>
  <c r="P128" i="7" s="1"/>
  <c r="N280" i="7"/>
  <c r="N135" i="7"/>
  <c r="N80" i="7"/>
  <c r="L209" i="7"/>
  <c r="K179" i="7"/>
  <c r="O179" i="7" s="1"/>
  <c r="G120" i="87"/>
  <c r="K228" i="7"/>
  <c r="O228" i="7" s="1"/>
  <c r="K197" i="7"/>
  <c r="O197" i="7" s="1"/>
  <c r="K121" i="7"/>
  <c r="O121" i="7" s="1"/>
  <c r="K227" i="7"/>
  <c r="O227" i="7" s="1"/>
  <c r="K271" i="7"/>
  <c r="O271" i="7" s="1"/>
  <c r="K186" i="7"/>
  <c r="K17" i="7"/>
  <c r="M139" i="7"/>
  <c r="I139" i="87" s="1"/>
  <c r="S139" i="87" s="1"/>
  <c r="M186" i="7"/>
  <c r="I186" i="87" s="1"/>
  <c r="N228" i="7"/>
  <c r="G209" i="87"/>
  <c r="L179" i="7"/>
  <c r="G122" i="87"/>
  <c r="K83" i="7"/>
  <c r="L228" i="7"/>
  <c r="L22" i="7"/>
  <c r="P22" i="7" s="1"/>
  <c r="G225" i="87"/>
  <c r="G246" i="87"/>
  <c r="L197" i="7"/>
  <c r="K162" i="7"/>
  <c r="O162" i="7" s="1"/>
  <c r="G121" i="87"/>
  <c r="L227" i="7"/>
  <c r="G133" i="87"/>
  <c r="L271" i="7"/>
  <c r="P271" i="7" s="1"/>
  <c r="L186" i="7"/>
  <c r="P186" i="7" s="1"/>
  <c r="L17" i="7"/>
  <c r="P17" i="7" s="1"/>
  <c r="N218" i="7"/>
  <c r="K206" i="7"/>
  <c r="G179" i="87"/>
  <c r="L83" i="7"/>
  <c r="G228" i="87"/>
  <c r="K216" i="7"/>
  <c r="G197" i="87"/>
  <c r="L162" i="7"/>
  <c r="G227" i="87"/>
  <c r="K94" i="7"/>
  <c r="O94" i="7" s="1"/>
  <c r="L53" i="7"/>
  <c r="G271" i="87"/>
  <c r="G186" i="87"/>
  <c r="G17" i="87"/>
  <c r="K104" i="7"/>
  <c r="O104" i="7" s="1"/>
  <c r="M67" i="7"/>
  <c r="I67" i="87" s="1"/>
  <c r="S67" i="87" s="1"/>
  <c r="M280" i="7"/>
  <c r="I280" i="87" s="1"/>
  <c r="M75" i="7"/>
  <c r="I75" i="87" s="1"/>
  <c r="S75" i="87" s="1"/>
  <c r="M135" i="7"/>
  <c r="I135" i="87" s="1"/>
  <c r="N42" i="7"/>
  <c r="N164" i="7"/>
  <c r="P164" i="7" s="1"/>
  <c r="N108" i="7"/>
  <c r="N223" i="7"/>
  <c r="N204" i="7"/>
  <c r="N263" i="7"/>
  <c r="N26" i="7"/>
  <c r="P26" i="7" s="1"/>
  <c r="N227" i="7"/>
  <c r="N83" i="7"/>
  <c r="K148" i="7"/>
  <c r="O148" i="7" s="1"/>
  <c r="L206" i="7"/>
  <c r="P206" i="7" s="1"/>
  <c r="K218" i="7"/>
  <c r="O218" i="7" s="1"/>
  <c r="L216" i="7"/>
  <c r="P216" i="7" s="1"/>
  <c r="G162" i="87"/>
  <c r="K275" i="7"/>
  <c r="L94" i="7"/>
  <c r="K42" i="7"/>
  <c r="O42" i="7" s="1"/>
  <c r="G53" i="87"/>
  <c r="K139" i="7"/>
  <c r="L104" i="7"/>
  <c r="K209" i="7"/>
  <c r="O209" i="7" s="1"/>
  <c r="M144" i="7"/>
  <c r="I144" i="87" s="1"/>
  <c r="M97" i="7"/>
  <c r="I97" i="87" s="1"/>
  <c r="M86" i="7"/>
  <c r="I86" i="87" s="1"/>
  <c r="N61" i="7"/>
  <c r="N75" i="7"/>
  <c r="P75" i="7" s="1"/>
  <c r="N213" i="7"/>
  <c r="N60" i="7"/>
  <c r="N97" i="7"/>
  <c r="G26" i="87"/>
  <c r="L148" i="7"/>
  <c r="G206" i="87"/>
  <c r="K60" i="7"/>
  <c r="L218" i="7"/>
  <c r="K80" i="7"/>
  <c r="G216" i="87"/>
  <c r="K144" i="7"/>
  <c r="K233" i="7"/>
  <c r="L275" i="7"/>
  <c r="G94" i="87"/>
  <c r="L42" i="7"/>
  <c r="P42" i="7" s="1"/>
  <c r="L139" i="7"/>
  <c r="P139" i="7" s="1"/>
  <c r="K150" i="7"/>
  <c r="O150" i="7" s="1"/>
  <c r="G38" i="87"/>
  <c r="K172" i="7"/>
  <c r="G104" i="87"/>
  <c r="N43" i="7"/>
  <c r="G243" i="87"/>
  <c r="K225" i="7"/>
  <c r="O225" i="7" s="1"/>
  <c r="M108" i="7"/>
  <c r="I108" i="87" s="1"/>
  <c r="S108" i="87" s="1"/>
  <c r="M206" i="7"/>
  <c r="I206" i="87" s="1"/>
  <c r="M164" i="7"/>
  <c r="I164" i="87" s="1"/>
  <c r="M184" i="7"/>
  <c r="I184" i="87" s="1"/>
  <c r="N170" i="7"/>
  <c r="N148" i="7"/>
  <c r="N153" i="7"/>
  <c r="N209" i="7"/>
  <c r="N88" i="7"/>
  <c r="N179" i="7"/>
  <c r="N238" i="7"/>
  <c r="N203" i="7"/>
  <c r="N86" i="7"/>
  <c r="M26" i="7"/>
  <c r="I26" i="87" s="1"/>
  <c r="G148" i="87"/>
  <c r="L60" i="7"/>
  <c r="G218" i="87"/>
  <c r="K160" i="7"/>
  <c r="O160" i="7" s="1"/>
  <c r="L80" i="7"/>
  <c r="L233" i="7"/>
  <c r="P233" i="7" s="1"/>
  <c r="K97" i="7"/>
  <c r="K126" i="7"/>
  <c r="O126" i="7" s="1"/>
  <c r="G42" i="87"/>
  <c r="L68" i="7"/>
  <c r="P68" i="7" s="1"/>
  <c r="G139" i="87"/>
  <c r="K280" i="7"/>
  <c r="L150" i="7"/>
  <c r="L172" i="7"/>
  <c r="P172" i="7" s="1"/>
  <c r="M122" i="7"/>
  <c r="I122" i="87" s="1"/>
  <c r="M48" i="7"/>
  <c r="I48" i="87" s="1"/>
  <c r="M106" i="7"/>
  <c r="I106" i="87" s="1"/>
  <c r="M128" i="7"/>
  <c r="I128" i="87" s="1"/>
  <c r="S128" i="87" s="1"/>
  <c r="N126" i="7"/>
  <c r="N225" i="7"/>
  <c r="N136" i="7"/>
  <c r="P136" i="7" s="1"/>
  <c r="N197" i="7"/>
  <c r="L204" i="7"/>
  <c r="L160" i="7"/>
  <c r="G233" i="87"/>
  <c r="L97" i="7"/>
  <c r="K108" i="7"/>
  <c r="L203" i="7"/>
  <c r="L126" i="7"/>
  <c r="K170" i="7"/>
  <c r="O170" i="7" s="1"/>
  <c r="K68" i="7"/>
  <c r="K101" i="7"/>
  <c r="O101" i="7" s="1"/>
  <c r="L280" i="7"/>
  <c r="G150" i="87"/>
  <c r="K219" i="7"/>
  <c r="G172" i="87"/>
  <c r="M57" i="7"/>
  <c r="I57" i="87" s="1"/>
  <c r="M216" i="7"/>
  <c r="I216" i="87" s="1"/>
  <c r="M55" i="7"/>
  <c r="I55" i="87" s="1"/>
  <c r="S55" i="87" s="1"/>
  <c r="M219" i="7"/>
  <c r="I219" i="87" s="1"/>
  <c r="M145" i="7"/>
  <c r="I145" i="87" s="1"/>
  <c r="N115" i="7"/>
  <c r="N145" i="7"/>
  <c r="N101" i="7"/>
  <c r="G58" i="87"/>
  <c r="K223" i="7"/>
  <c r="O223" i="7" s="1"/>
  <c r="G36" i="87"/>
  <c r="G160" i="87"/>
  <c r="K106" i="7"/>
  <c r="K57" i="7"/>
  <c r="G77" i="87"/>
  <c r="L108" i="7"/>
  <c r="G203" i="87"/>
  <c r="G126" i="87"/>
  <c r="L170" i="7"/>
  <c r="G68" i="87"/>
  <c r="L101" i="7"/>
  <c r="L219" i="7"/>
  <c r="M38" i="7"/>
  <c r="I38" i="87" s="1"/>
  <c r="M204" i="7"/>
  <c r="I204" i="87" s="1"/>
  <c r="M107" i="7"/>
  <c r="I107" i="87" s="1"/>
  <c r="N66" i="7"/>
  <c r="N104" i="7"/>
  <c r="N73" i="7"/>
  <c r="P73" i="7" s="1"/>
  <c r="N275" i="7"/>
  <c r="L223" i="7"/>
  <c r="K26" i="7"/>
  <c r="L106" i="7"/>
  <c r="L57" i="7"/>
  <c r="L184" i="7"/>
  <c r="K66" i="7"/>
  <c r="O66" i="7" s="1"/>
  <c r="K86" i="7"/>
  <c r="K263" i="7"/>
  <c r="O263" i="7" s="1"/>
  <c r="K194" i="7"/>
  <c r="K115" i="7"/>
  <c r="G170" i="87"/>
  <c r="K196" i="7"/>
  <c r="O196" i="7" s="1"/>
  <c r="M213" i="7"/>
  <c r="I213" i="87" s="1"/>
  <c r="M172" i="7"/>
  <c r="I172" i="87" s="1"/>
  <c r="M201" i="7"/>
  <c r="I201" i="87" s="1"/>
  <c r="N121" i="7"/>
  <c r="N63" i="7"/>
  <c r="N184" i="7"/>
  <c r="N168" i="7"/>
  <c r="G274" i="87"/>
  <c r="G223" i="87"/>
  <c r="L66" i="7"/>
  <c r="L86" i="7"/>
  <c r="K75" i="7"/>
  <c r="L263" i="7"/>
  <c r="K168" i="7"/>
  <c r="L115" i="7"/>
  <c r="K164" i="7"/>
  <c r="K73" i="7"/>
  <c r="O73" i="7" s="1"/>
  <c r="L196" i="7"/>
  <c r="K128" i="7"/>
  <c r="G43" i="87"/>
  <c r="L121" i="7"/>
  <c r="L225" i="7"/>
  <c r="N196" i="7"/>
  <c r="M118" i="7"/>
  <c r="I118" i="87" s="1"/>
  <c r="G66" i="87"/>
  <c r="G263" i="87"/>
  <c r="G196" i="87"/>
  <c r="G9" i="87"/>
  <c r="J112" i="26"/>
  <c r="O112" i="26" s="1"/>
  <c r="J160" i="26"/>
  <c r="O160" i="26" s="1"/>
  <c r="N158" i="26"/>
  <c r="O158" i="26" s="1"/>
  <c r="R264" i="6"/>
  <c r="V264" i="6" s="1"/>
  <c r="R136" i="6"/>
  <c r="W136" i="6" s="1"/>
  <c r="M190" i="6"/>
  <c r="Q84" i="6"/>
  <c r="R84" i="6" s="1"/>
  <c r="AB84" i="6" s="1"/>
  <c r="M10" i="6"/>
  <c r="Q44" i="6"/>
  <c r="R44" i="6" s="1"/>
  <c r="AB44" i="6" s="1"/>
  <c r="Q291" i="6"/>
  <c r="R291" i="6" s="1"/>
  <c r="AB291" i="6" s="1"/>
  <c r="Q200" i="6"/>
  <c r="R200" i="6" s="1"/>
  <c r="Q50" i="6"/>
  <c r="Q236" i="6"/>
  <c r="R236" i="6" s="1"/>
  <c r="AB236" i="6" s="1"/>
  <c r="O182" i="25"/>
  <c r="O111" i="25"/>
  <c r="E9" i="25"/>
  <c r="H9" i="46" s="1"/>
  <c r="E223" i="25"/>
  <c r="H223" i="46" s="1"/>
  <c r="E169" i="25"/>
  <c r="H169" i="46" s="1"/>
  <c r="E258" i="25"/>
  <c r="E181" i="25"/>
  <c r="H51" i="46"/>
  <c r="O115" i="25"/>
  <c r="O40" i="25"/>
  <c r="E8" i="25"/>
  <c r="H8" i="46" s="1"/>
  <c r="I166" i="51"/>
  <c r="J166" i="51" s="1"/>
  <c r="O166" i="52"/>
  <c r="F280" i="52"/>
  <c r="E280" i="51" s="1"/>
  <c r="F280" i="51" s="1"/>
  <c r="N66" i="52"/>
  <c r="I66" i="51" s="1"/>
  <c r="J66" i="51" s="1"/>
  <c r="N191" i="52"/>
  <c r="I191" i="51" s="1"/>
  <c r="J191" i="51" s="1"/>
  <c r="F55" i="52"/>
  <c r="E55" i="51" s="1"/>
  <c r="F55" i="51" s="1"/>
  <c r="P55" i="26" s="1"/>
  <c r="C218" i="54"/>
  <c r="G218" i="52"/>
  <c r="E218" i="54" s="1"/>
  <c r="J100" i="52"/>
  <c r="G100" i="51" s="1"/>
  <c r="H100" i="51" s="1"/>
  <c r="J184" i="6"/>
  <c r="K184" i="6" s="1"/>
  <c r="L184" i="6" s="1"/>
  <c r="M184" i="6" s="1"/>
  <c r="R184" i="6" s="1"/>
  <c r="R85" i="6"/>
  <c r="H85" i="28" s="1"/>
  <c r="M153" i="6"/>
  <c r="O27" i="26"/>
  <c r="Q201" i="6"/>
  <c r="J26" i="6"/>
  <c r="M26" i="6" s="1"/>
  <c r="M50" i="6"/>
  <c r="R50" i="6" s="1"/>
  <c r="G50" i="45" s="1"/>
  <c r="N99" i="6"/>
  <c r="O99" i="6" s="1"/>
  <c r="P99" i="6" s="1"/>
  <c r="Q99" i="6" s="1"/>
  <c r="R99" i="6" s="1"/>
  <c r="AB99" i="6" s="1"/>
  <c r="Q170" i="6"/>
  <c r="N246" i="6"/>
  <c r="O246" i="6" s="1"/>
  <c r="P246" i="6" s="1"/>
  <c r="Q246" i="6" s="1"/>
  <c r="R246" i="6" s="1"/>
  <c r="M51" i="6"/>
  <c r="Q196" i="6"/>
  <c r="R196" i="6" s="1"/>
  <c r="AB196" i="6" s="1"/>
  <c r="H236" i="46"/>
  <c r="E264" i="25"/>
  <c r="H264" i="46" s="1"/>
  <c r="E26" i="25"/>
  <c r="O124" i="25"/>
  <c r="C277" i="39"/>
  <c r="K277" i="39" s="1"/>
  <c r="N28" i="6"/>
  <c r="Q28" i="6" s="1"/>
  <c r="R28" i="6" s="1"/>
  <c r="AB28" i="6" s="1"/>
  <c r="J107" i="26"/>
  <c r="O107" i="26" s="1"/>
  <c r="C68" i="28"/>
  <c r="O68" i="28" s="1"/>
  <c r="C216" i="39"/>
  <c r="C205" i="39"/>
  <c r="K205" i="39" s="1"/>
  <c r="C20" i="39"/>
  <c r="K20" i="39" s="1"/>
  <c r="N45" i="6"/>
  <c r="O45" i="6" s="1"/>
  <c r="P45" i="6" s="1"/>
  <c r="Q45" i="6" s="1"/>
  <c r="R45" i="6" s="1"/>
  <c r="V45" i="6" s="1"/>
  <c r="C140" i="39"/>
  <c r="C102" i="39"/>
  <c r="I102" i="39" s="1"/>
  <c r="F25" i="52"/>
  <c r="E25" i="51" s="1"/>
  <c r="F25" i="51" s="1"/>
  <c r="P25" i="26" s="1"/>
  <c r="M224" i="6"/>
  <c r="C187" i="39"/>
  <c r="K187" i="39" s="1"/>
  <c r="J47" i="6"/>
  <c r="M47" i="6" s="1"/>
  <c r="R47" i="6" s="1"/>
  <c r="X47" i="6" s="1"/>
  <c r="G277" i="87"/>
  <c r="L277" i="7"/>
  <c r="K277" i="7"/>
  <c r="N277" i="7"/>
  <c r="M277" i="7"/>
  <c r="N155" i="7"/>
  <c r="P155" i="7" s="1"/>
  <c r="G155" i="87"/>
  <c r="K155" i="7"/>
  <c r="M155" i="7"/>
  <c r="I155" i="87" s="1"/>
  <c r="G276" i="33"/>
  <c r="D276" i="33"/>
  <c r="I276" i="33"/>
  <c r="H276" i="33"/>
  <c r="F276" i="33"/>
  <c r="E276" i="33"/>
  <c r="I124" i="33"/>
  <c r="H124" i="33"/>
  <c r="G124" i="33"/>
  <c r="D124" i="33"/>
  <c r="F124" i="33"/>
  <c r="E124" i="33"/>
  <c r="I45" i="33"/>
  <c r="G45" i="33"/>
  <c r="H45" i="33"/>
  <c r="F45" i="33"/>
  <c r="E45" i="33"/>
  <c r="D45" i="33"/>
  <c r="I217" i="33"/>
  <c r="H217" i="33"/>
  <c r="F217" i="33"/>
  <c r="G217" i="33"/>
  <c r="E217" i="33"/>
  <c r="D217" i="33"/>
  <c r="G123" i="33"/>
  <c r="H123" i="33"/>
  <c r="I123" i="33"/>
  <c r="F123" i="33"/>
  <c r="E123" i="33"/>
  <c r="D123" i="33"/>
  <c r="M70" i="7"/>
  <c r="I70" i="87" s="1"/>
  <c r="S70" i="87" s="1"/>
  <c r="G70" i="87"/>
  <c r="L70" i="7"/>
  <c r="K70" i="7"/>
  <c r="N70" i="7"/>
  <c r="G273" i="87"/>
  <c r="M178" i="7"/>
  <c r="I178" i="87" s="1"/>
  <c r="K178" i="7"/>
  <c r="N178" i="7"/>
  <c r="G178" i="87"/>
  <c r="L178" i="7"/>
  <c r="M54" i="7"/>
  <c r="I54" i="87" s="1"/>
  <c r="G54" i="87"/>
  <c r="L54" i="7"/>
  <c r="I272" i="33"/>
  <c r="F272" i="33"/>
  <c r="D272" i="33"/>
  <c r="E272" i="33"/>
  <c r="G272" i="33"/>
  <c r="H272" i="33"/>
  <c r="L177" i="7"/>
  <c r="K177" i="7"/>
  <c r="O177" i="7" s="1"/>
  <c r="N177" i="7"/>
  <c r="G177" i="87"/>
  <c r="L33" i="7"/>
  <c r="K33" i="7"/>
  <c r="M33" i="7"/>
  <c r="I33" i="87" s="1"/>
  <c r="G33" i="87"/>
  <c r="N33" i="7"/>
  <c r="F72" i="33"/>
  <c r="I72" i="33"/>
  <c r="H72" i="33"/>
  <c r="G72" i="33"/>
  <c r="D72" i="33"/>
  <c r="E72" i="33"/>
  <c r="G202" i="87"/>
  <c r="L202" i="7"/>
  <c r="N202" i="7"/>
  <c r="M87" i="7"/>
  <c r="I87" i="87" s="1"/>
  <c r="N87" i="7"/>
  <c r="G87" i="87"/>
  <c r="L87" i="7"/>
  <c r="K87" i="7"/>
  <c r="K27" i="7"/>
  <c r="O27" i="7" s="1"/>
  <c r="L27" i="7"/>
  <c r="N27" i="7"/>
  <c r="N156" i="6"/>
  <c r="O156" i="6" s="1"/>
  <c r="P156" i="6" s="1"/>
  <c r="Q156" i="6" s="1"/>
  <c r="C101" i="39"/>
  <c r="K101" i="39" s="1"/>
  <c r="N123" i="6"/>
  <c r="O123" i="6" s="1"/>
  <c r="P123" i="6" s="1"/>
  <c r="Q123" i="6" s="1"/>
  <c r="R123" i="6" s="1"/>
  <c r="AG123" i="6" s="1"/>
  <c r="J253" i="6"/>
  <c r="M253" i="6" s="1"/>
  <c r="R253" i="6" s="1"/>
  <c r="G253" i="45" s="1"/>
  <c r="N129" i="6"/>
  <c r="Q129" i="6" s="1"/>
  <c r="I270" i="33"/>
  <c r="H270" i="33"/>
  <c r="G270" i="33"/>
  <c r="D270" i="33"/>
  <c r="F270" i="33"/>
  <c r="E270" i="33"/>
  <c r="E163" i="33"/>
  <c r="D163" i="33"/>
  <c r="G163" i="33"/>
  <c r="H163" i="33"/>
  <c r="F163" i="33"/>
  <c r="I163" i="33"/>
  <c r="N200" i="7"/>
  <c r="L200" i="7"/>
  <c r="K200" i="7"/>
  <c r="M200" i="7"/>
  <c r="I200" i="87" s="1"/>
  <c r="N102" i="7"/>
  <c r="M102" i="7"/>
  <c r="I102" i="87" s="1"/>
  <c r="L102" i="7"/>
  <c r="K102" i="7"/>
  <c r="N62" i="7"/>
  <c r="G62" i="87"/>
  <c r="L62" i="7"/>
  <c r="G173" i="33"/>
  <c r="D173" i="33"/>
  <c r="I173" i="33"/>
  <c r="H173" i="33"/>
  <c r="F173" i="33"/>
  <c r="E173" i="33"/>
  <c r="H44" i="33"/>
  <c r="G44" i="33"/>
  <c r="D44" i="33"/>
  <c r="I44" i="33"/>
  <c r="F44" i="33"/>
  <c r="E44" i="33"/>
  <c r="I211" i="33"/>
  <c r="F211" i="33"/>
  <c r="H211" i="33"/>
  <c r="E211" i="33"/>
  <c r="G211" i="33"/>
  <c r="D211" i="33"/>
  <c r="E99" i="33"/>
  <c r="D99" i="33"/>
  <c r="F99" i="33"/>
  <c r="G99" i="33"/>
  <c r="I99" i="33"/>
  <c r="H99" i="33"/>
  <c r="D5" i="33"/>
  <c r="H5" i="33"/>
  <c r="E5" i="33"/>
  <c r="I5" i="33"/>
  <c r="G5" i="33"/>
  <c r="F5" i="33"/>
  <c r="G221" i="33"/>
  <c r="F221" i="33"/>
  <c r="E221" i="33"/>
  <c r="H221" i="33"/>
  <c r="I221" i="33"/>
  <c r="D221" i="33"/>
  <c r="G116" i="33"/>
  <c r="I116" i="33"/>
  <c r="F116" i="33"/>
  <c r="E116" i="33"/>
  <c r="D116" i="33"/>
  <c r="H116" i="33"/>
  <c r="E264" i="33"/>
  <c r="D264" i="33"/>
  <c r="G264" i="33"/>
  <c r="I264" i="33"/>
  <c r="H264" i="33"/>
  <c r="F264" i="33"/>
  <c r="H142" i="33"/>
  <c r="E142" i="33"/>
  <c r="G142" i="33"/>
  <c r="F142" i="33"/>
  <c r="I142" i="33"/>
  <c r="D142" i="33"/>
  <c r="L208" i="7"/>
  <c r="K208" i="7"/>
  <c r="N208" i="7"/>
  <c r="M208" i="7"/>
  <c r="I208" i="87" s="1"/>
  <c r="G208" i="87"/>
  <c r="K114" i="7"/>
  <c r="N114" i="7"/>
  <c r="M114" i="7"/>
  <c r="G114" i="87"/>
  <c r="L114" i="7"/>
  <c r="G232" i="87"/>
  <c r="K232" i="7"/>
  <c r="K169" i="7"/>
  <c r="N169" i="7"/>
  <c r="M169" i="7"/>
  <c r="I169" i="87" s="1"/>
  <c r="G169" i="87"/>
  <c r="L169" i="7"/>
  <c r="G39" i="87"/>
  <c r="L39" i="7"/>
  <c r="M39" i="7"/>
  <c r="I39" i="87" s="1"/>
  <c r="K39" i="7"/>
  <c r="N39" i="7"/>
  <c r="C47" i="28"/>
  <c r="O47" i="28" s="1"/>
  <c r="C204" i="39"/>
  <c r="I213" i="39"/>
  <c r="K213" i="39"/>
  <c r="J30" i="6"/>
  <c r="K30" i="6" s="1"/>
  <c r="L30" i="6" s="1"/>
  <c r="M30" i="6" s="1"/>
  <c r="R30" i="6" s="1"/>
  <c r="C230" i="28"/>
  <c r="P230" i="28" s="1"/>
  <c r="N244" i="6"/>
  <c r="O244" i="6" s="1"/>
  <c r="P244" i="6" s="1"/>
  <c r="Q244" i="6" s="1"/>
  <c r="R244" i="6" s="1"/>
  <c r="AB244" i="6" s="1"/>
  <c r="O248" i="25"/>
  <c r="J262" i="6"/>
  <c r="K262" i="6" s="1"/>
  <c r="L262" i="6" s="1"/>
  <c r="M262" i="6" s="1"/>
  <c r="E100" i="25"/>
  <c r="H100" i="46" s="1"/>
  <c r="O170" i="25"/>
  <c r="F64" i="52"/>
  <c r="E64" i="51" s="1"/>
  <c r="F64" i="51" s="1"/>
  <c r="P64" i="26" s="1"/>
  <c r="N20" i="52"/>
  <c r="I20" i="51" s="1"/>
  <c r="J20" i="51" s="1"/>
  <c r="I17" i="39"/>
  <c r="Q289" i="6"/>
  <c r="R289" i="6" s="1"/>
  <c r="Z289" i="6" s="1"/>
  <c r="P72" i="28"/>
  <c r="J23" i="51"/>
  <c r="N68" i="6"/>
  <c r="Q68" i="6" s="1"/>
  <c r="M275" i="7"/>
  <c r="I275" i="87" s="1"/>
  <c r="N244" i="7"/>
  <c r="P244" i="7" s="1"/>
  <c r="N263" i="6"/>
  <c r="O263" i="6" s="1"/>
  <c r="P263" i="6" s="1"/>
  <c r="Q263" i="6" s="1"/>
  <c r="R263" i="6" s="1"/>
  <c r="AB263" i="6" s="1"/>
  <c r="C277" i="28"/>
  <c r="P277" i="28" s="1"/>
  <c r="G37" i="87"/>
  <c r="G235" i="87"/>
  <c r="G65" i="87"/>
  <c r="K79" i="7"/>
  <c r="O79" i="7" s="1"/>
  <c r="G20" i="87"/>
  <c r="L38" i="7"/>
  <c r="Q110" i="6"/>
  <c r="G201" i="33"/>
  <c r="H201" i="33"/>
  <c r="F201" i="33"/>
  <c r="D201" i="33"/>
  <c r="I201" i="33"/>
  <c r="E201" i="33"/>
  <c r="I48" i="33"/>
  <c r="D48" i="33"/>
  <c r="F48" i="33"/>
  <c r="H48" i="33"/>
  <c r="E48" i="33"/>
  <c r="G48" i="33"/>
  <c r="E212" i="33"/>
  <c r="D212" i="33"/>
  <c r="H212" i="33"/>
  <c r="G212" i="33"/>
  <c r="I212" i="33"/>
  <c r="F212" i="33"/>
  <c r="I118" i="33"/>
  <c r="H118" i="33"/>
  <c r="G118" i="33"/>
  <c r="E118" i="33"/>
  <c r="D118" i="33"/>
  <c r="F118" i="33"/>
  <c r="H53" i="33"/>
  <c r="I53" i="33"/>
  <c r="E53" i="33"/>
  <c r="G53" i="33"/>
  <c r="D53" i="33"/>
  <c r="F53" i="33"/>
  <c r="G144" i="33"/>
  <c r="E144" i="33"/>
  <c r="H144" i="33"/>
  <c r="F144" i="33"/>
  <c r="D144" i="33"/>
  <c r="I144" i="33"/>
  <c r="G172" i="33"/>
  <c r="F172" i="33"/>
  <c r="E172" i="33"/>
  <c r="I172" i="33"/>
  <c r="H172" i="33"/>
  <c r="D172" i="33"/>
  <c r="G275" i="33"/>
  <c r="F275" i="33"/>
  <c r="E275" i="33"/>
  <c r="I275" i="33"/>
  <c r="H275" i="33"/>
  <c r="D275" i="33"/>
  <c r="E184" i="33"/>
  <c r="D184" i="33"/>
  <c r="I184" i="33"/>
  <c r="H184" i="33"/>
  <c r="G184" i="33"/>
  <c r="F184" i="33"/>
  <c r="F79" i="33"/>
  <c r="E79" i="33"/>
  <c r="G79" i="33"/>
  <c r="H79" i="33"/>
  <c r="I79" i="33"/>
  <c r="D79" i="33"/>
  <c r="H59" i="33"/>
  <c r="G59" i="33"/>
  <c r="E59" i="33"/>
  <c r="I59" i="33"/>
  <c r="D59" i="33"/>
  <c r="F59" i="33"/>
  <c r="G136" i="33"/>
  <c r="F136" i="33"/>
  <c r="E136" i="33"/>
  <c r="D136" i="33"/>
  <c r="I136" i="33"/>
  <c r="H136" i="33"/>
  <c r="G180" i="33"/>
  <c r="D180" i="33"/>
  <c r="E180" i="33"/>
  <c r="I180" i="33"/>
  <c r="H180" i="33"/>
  <c r="F180" i="33"/>
  <c r="H37" i="33"/>
  <c r="F37" i="33"/>
  <c r="G37" i="33"/>
  <c r="E37" i="33"/>
  <c r="D37" i="33"/>
  <c r="I37" i="33"/>
  <c r="G260" i="33"/>
  <c r="H260" i="33"/>
  <c r="D260" i="33"/>
  <c r="I260" i="33"/>
  <c r="F260" i="33"/>
  <c r="E260" i="33"/>
  <c r="I167" i="33"/>
  <c r="H167" i="33"/>
  <c r="G167" i="33"/>
  <c r="D167" i="33"/>
  <c r="F167" i="33"/>
  <c r="E167" i="33"/>
  <c r="I20" i="33"/>
  <c r="G20" i="33"/>
  <c r="H20" i="33"/>
  <c r="F20" i="33"/>
  <c r="D20" i="33"/>
  <c r="E20" i="33"/>
  <c r="H235" i="33"/>
  <c r="E235" i="33"/>
  <c r="F235" i="33"/>
  <c r="D235" i="33"/>
  <c r="G235" i="33"/>
  <c r="I235" i="33"/>
  <c r="G215" i="33"/>
  <c r="I215" i="33"/>
  <c r="F215" i="33"/>
  <c r="H215" i="33"/>
  <c r="D215" i="33"/>
  <c r="E215" i="33"/>
  <c r="D34" i="33"/>
  <c r="I34" i="33"/>
  <c r="G34" i="33"/>
  <c r="E34" i="33"/>
  <c r="F34" i="33"/>
  <c r="H34" i="33"/>
  <c r="N153" i="52"/>
  <c r="O153" i="52" s="1"/>
  <c r="J84" i="52"/>
  <c r="G84" i="51" s="1"/>
  <c r="H84" i="51" s="1"/>
  <c r="N185" i="52"/>
  <c r="O185" i="52" s="1"/>
  <c r="G244" i="33"/>
  <c r="F244" i="33"/>
  <c r="E244" i="33"/>
  <c r="I244" i="33"/>
  <c r="D244" i="33"/>
  <c r="H244" i="33"/>
  <c r="I133" i="33"/>
  <c r="F133" i="33"/>
  <c r="E133" i="33"/>
  <c r="G133" i="33"/>
  <c r="D133" i="33"/>
  <c r="H133" i="33"/>
  <c r="I63" i="33"/>
  <c r="D63" i="33"/>
  <c r="H63" i="33"/>
  <c r="G63" i="33"/>
  <c r="F63" i="33"/>
  <c r="E63" i="33"/>
  <c r="I61" i="33"/>
  <c r="G61" i="33"/>
  <c r="H61" i="33"/>
  <c r="F61" i="33"/>
  <c r="D61" i="33"/>
  <c r="E61" i="33"/>
  <c r="I238" i="33"/>
  <c r="H238" i="33"/>
  <c r="G238" i="33"/>
  <c r="D238" i="33"/>
  <c r="F238" i="33"/>
  <c r="E238" i="33"/>
  <c r="E141" i="33"/>
  <c r="D141" i="33"/>
  <c r="I141" i="33"/>
  <c r="G141" i="33"/>
  <c r="H141" i="33"/>
  <c r="F141" i="33"/>
  <c r="L252" i="33"/>
  <c r="K252" i="33"/>
  <c r="J252" i="33"/>
  <c r="N252" i="33"/>
  <c r="M252" i="33"/>
  <c r="O252" i="33"/>
  <c r="G194" i="33"/>
  <c r="F194" i="33"/>
  <c r="E194" i="33"/>
  <c r="H194" i="33"/>
  <c r="I194" i="33"/>
  <c r="D194" i="33"/>
  <c r="G95" i="33"/>
  <c r="F95" i="33"/>
  <c r="E95" i="33"/>
  <c r="H95" i="33"/>
  <c r="I95" i="33"/>
  <c r="D95" i="33"/>
  <c r="D55" i="33"/>
  <c r="E55" i="33"/>
  <c r="F55" i="33"/>
  <c r="I55" i="33"/>
  <c r="H55" i="33"/>
  <c r="G55" i="33"/>
  <c r="G193" i="33"/>
  <c r="F193" i="33"/>
  <c r="E193" i="33"/>
  <c r="I193" i="33"/>
  <c r="D193" i="33"/>
  <c r="H193" i="33"/>
  <c r="I38" i="33"/>
  <c r="G38" i="33"/>
  <c r="H38" i="33"/>
  <c r="F38" i="33"/>
  <c r="D38" i="33"/>
  <c r="E38" i="33"/>
  <c r="I204" i="33"/>
  <c r="F204" i="33"/>
  <c r="G204" i="33"/>
  <c r="E204" i="33"/>
  <c r="H204" i="33"/>
  <c r="D204" i="33"/>
  <c r="H107" i="33"/>
  <c r="E107" i="33"/>
  <c r="I107" i="33"/>
  <c r="G107" i="33"/>
  <c r="F107" i="33"/>
  <c r="D107" i="33"/>
  <c r="H36" i="33"/>
  <c r="F36" i="33"/>
  <c r="I36" i="33"/>
  <c r="D36" i="33"/>
  <c r="E36" i="33"/>
  <c r="G36" i="33"/>
  <c r="H88" i="33"/>
  <c r="G88" i="33"/>
  <c r="E88" i="33"/>
  <c r="I88" i="33"/>
  <c r="F88" i="33"/>
  <c r="D88" i="33"/>
  <c r="E226" i="33"/>
  <c r="D226" i="33"/>
  <c r="I226" i="33"/>
  <c r="H226" i="33"/>
  <c r="G226" i="33"/>
  <c r="F226" i="33"/>
  <c r="E134" i="33"/>
  <c r="D134" i="33"/>
  <c r="H134" i="33"/>
  <c r="I134" i="33"/>
  <c r="G134" i="33"/>
  <c r="F134" i="33"/>
  <c r="F65" i="33"/>
  <c r="I65" i="33"/>
  <c r="H65" i="33"/>
  <c r="G65" i="33"/>
  <c r="E65" i="33"/>
  <c r="D65" i="33"/>
  <c r="N96" i="52"/>
  <c r="O96" i="52" s="1"/>
  <c r="J102" i="52"/>
  <c r="G102" i="51" s="1"/>
  <c r="H102" i="51" s="1"/>
  <c r="N67" i="52"/>
  <c r="I67" i="51" s="1"/>
  <c r="J67" i="51" s="1"/>
  <c r="J125" i="26"/>
  <c r="O125" i="26" s="1"/>
  <c r="I189" i="33"/>
  <c r="D189" i="33"/>
  <c r="H189" i="33"/>
  <c r="G189" i="33"/>
  <c r="E189" i="33"/>
  <c r="F189" i="33"/>
  <c r="F30" i="33"/>
  <c r="G30" i="33"/>
  <c r="I30" i="33"/>
  <c r="H30" i="33"/>
  <c r="E30" i="33"/>
  <c r="D30" i="33"/>
  <c r="H199" i="33"/>
  <c r="E199" i="33"/>
  <c r="G199" i="33"/>
  <c r="D199" i="33"/>
  <c r="I199" i="33"/>
  <c r="F199" i="33"/>
  <c r="H100" i="33"/>
  <c r="E100" i="33"/>
  <c r="G100" i="33"/>
  <c r="I100" i="33"/>
  <c r="F100" i="33"/>
  <c r="D100" i="33"/>
  <c r="E242" i="33"/>
  <c r="D242" i="33"/>
  <c r="I242" i="33"/>
  <c r="F242" i="33"/>
  <c r="H242" i="33"/>
  <c r="G242" i="33"/>
  <c r="I131" i="33"/>
  <c r="H131" i="33"/>
  <c r="G131" i="33"/>
  <c r="D131" i="33"/>
  <c r="F131" i="33"/>
  <c r="E131" i="33"/>
  <c r="I256" i="33"/>
  <c r="F256" i="33"/>
  <c r="E256" i="33"/>
  <c r="G256" i="33"/>
  <c r="D256" i="33"/>
  <c r="H256" i="33"/>
  <c r="G159" i="33"/>
  <c r="H159" i="33"/>
  <c r="F159" i="33"/>
  <c r="I159" i="33"/>
  <c r="E159" i="33"/>
  <c r="D159" i="33"/>
  <c r="G290" i="33"/>
  <c r="F290" i="33"/>
  <c r="E290" i="33"/>
  <c r="I290" i="33"/>
  <c r="H290" i="33"/>
  <c r="D290" i="33"/>
  <c r="H171" i="33"/>
  <c r="E171" i="33"/>
  <c r="I171" i="33"/>
  <c r="G171" i="33"/>
  <c r="D171" i="33"/>
  <c r="F171" i="33"/>
  <c r="I40" i="33"/>
  <c r="D40" i="33"/>
  <c r="G40" i="33"/>
  <c r="E40" i="33"/>
  <c r="H40" i="33"/>
  <c r="F40" i="33"/>
  <c r="C138" i="28"/>
  <c r="H74" i="33"/>
  <c r="I74" i="33"/>
  <c r="G74" i="33"/>
  <c r="D74" i="33"/>
  <c r="F74" i="33"/>
  <c r="E74" i="33"/>
  <c r="I168" i="33"/>
  <c r="H168" i="33"/>
  <c r="F168" i="33"/>
  <c r="E168" i="33"/>
  <c r="D168" i="33"/>
  <c r="G168" i="33"/>
  <c r="D22" i="33"/>
  <c r="F22" i="33"/>
  <c r="E22" i="33"/>
  <c r="H22" i="33"/>
  <c r="I22" i="33"/>
  <c r="G22" i="33"/>
  <c r="E250" i="33"/>
  <c r="D250" i="33"/>
  <c r="H250" i="33"/>
  <c r="F250" i="33"/>
  <c r="I250" i="33"/>
  <c r="G250" i="33"/>
  <c r="I153" i="33"/>
  <c r="H153" i="33"/>
  <c r="G153" i="33"/>
  <c r="D153" i="33"/>
  <c r="F153" i="33"/>
  <c r="E153" i="33"/>
  <c r="I203" i="33"/>
  <c r="F203" i="33"/>
  <c r="H203" i="33"/>
  <c r="G203" i="33"/>
  <c r="E203" i="33"/>
  <c r="D203" i="33"/>
  <c r="I224" i="33"/>
  <c r="D224" i="33"/>
  <c r="H224" i="33"/>
  <c r="G224" i="33"/>
  <c r="F224" i="33"/>
  <c r="E224" i="33"/>
  <c r="I119" i="33"/>
  <c r="F119" i="33"/>
  <c r="H119" i="33"/>
  <c r="D119" i="33"/>
  <c r="G119" i="33"/>
  <c r="E119" i="33"/>
  <c r="H24" i="33"/>
  <c r="F24" i="33"/>
  <c r="I24" i="33"/>
  <c r="D24" i="33"/>
  <c r="E24" i="33"/>
  <c r="H220" i="33"/>
  <c r="E220" i="33"/>
  <c r="D220" i="33"/>
  <c r="I220" i="33"/>
  <c r="G220" i="33"/>
  <c r="F220" i="33"/>
  <c r="E127" i="33"/>
  <c r="D127" i="33"/>
  <c r="I127" i="33"/>
  <c r="G127" i="33"/>
  <c r="H127" i="33"/>
  <c r="F127" i="33"/>
  <c r="P252" i="33"/>
  <c r="R252" i="33"/>
  <c r="Q252" i="33"/>
  <c r="I182" i="33"/>
  <c r="H182" i="33"/>
  <c r="E182" i="33"/>
  <c r="G182" i="33"/>
  <c r="F182" i="33"/>
  <c r="D182" i="33"/>
  <c r="D69" i="33"/>
  <c r="E69" i="33"/>
  <c r="H69" i="33"/>
  <c r="G69" i="33"/>
  <c r="F69" i="33"/>
  <c r="I69" i="33"/>
  <c r="I287" i="33"/>
  <c r="F287" i="33"/>
  <c r="G287" i="33"/>
  <c r="E287" i="33"/>
  <c r="D287" i="33"/>
  <c r="H287" i="33"/>
  <c r="I181" i="33"/>
  <c r="H181" i="33"/>
  <c r="G181" i="33"/>
  <c r="D181" i="33"/>
  <c r="F181" i="33"/>
  <c r="E181" i="33"/>
  <c r="G109" i="33"/>
  <c r="I109" i="33"/>
  <c r="H109" i="33"/>
  <c r="E109" i="33"/>
  <c r="F109" i="33"/>
  <c r="D109" i="33"/>
  <c r="G284" i="33"/>
  <c r="D284" i="33"/>
  <c r="E284" i="33"/>
  <c r="H284" i="33"/>
  <c r="F284" i="33"/>
  <c r="I284" i="33"/>
  <c r="E191" i="33"/>
  <c r="D191" i="33"/>
  <c r="F191" i="33"/>
  <c r="G191" i="33"/>
  <c r="I191" i="33"/>
  <c r="H191" i="33"/>
  <c r="I90" i="33"/>
  <c r="D90" i="33"/>
  <c r="G90" i="33"/>
  <c r="H90" i="33"/>
  <c r="F90" i="33"/>
  <c r="E90" i="33"/>
  <c r="H51" i="33"/>
  <c r="G51" i="33"/>
  <c r="E51" i="33"/>
  <c r="I51" i="33"/>
  <c r="F51" i="33"/>
  <c r="D51" i="33"/>
  <c r="G214" i="33"/>
  <c r="F214" i="33"/>
  <c r="E214" i="33"/>
  <c r="D214" i="33"/>
  <c r="I214" i="33"/>
  <c r="H214" i="33"/>
  <c r="I105" i="33"/>
  <c r="F105" i="33"/>
  <c r="G105" i="33"/>
  <c r="D105" i="33"/>
  <c r="H105" i="33"/>
  <c r="E105" i="33"/>
  <c r="H32" i="33"/>
  <c r="F32" i="33"/>
  <c r="E32" i="33"/>
  <c r="D32" i="33"/>
  <c r="G32" i="33"/>
  <c r="I32" i="33"/>
  <c r="N29" i="52"/>
  <c r="I29" i="51" s="1"/>
  <c r="J29" i="51" s="1"/>
  <c r="K134" i="7"/>
  <c r="O134" i="7" s="1"/>
  <c r="L256" i="7"/>
  <c r="P256" i="7" s="1"/>
  <c r="G260" i="87"/>
  <c r="L194" i="7"/>
  <c r="P194" i="7" s="1"/>
  <c r="G100" i="87"/>
  <c r="L215" i="7"/>
  <c r="P215" i="7" s="1"/>
  <c r="G167" i="87"/>
  <c r="K88" i="7"/>
  <c r="O88" i="7" s="1"/>
  <c r="G30" i="87"/>
  <c r="G40" i="87"/>
  <c r="K61" i="7"/>
  <c r="O61" i="7" s="1"/>
  <c r="H282" i="33"/>
  <c r="E282" i="33"/>
  <c r="F282" i="33"/>
  <c r="D282" i="33"/>
  <c r="G282" i="33"/>
  <c r="I282" i="33"/>
  <c r="I175" i="33"/>
  <c r="G175" i="33"/>
  <c r="F175" i="33"/>
  <c r="E175" i="33"/>
  <c r="D175" i="33"/>
  <c r="H175" i="33"/>
  <c r="I15" i="33"/>
  <c r="D15" i="33"/>
  <c r="G15" i="33"/>
  <c r="H15" i="33"/>
  <c r="E15" i="33"/>
  <c r="F15" i="33"/>
  <c r="G187" i="33"/>
  <c r="E187" i="33"/>
  <c r="D187" i="33"/>
  <c r="F187" i="33"/>
  <c r="I187" i="33"/>
  <c r="H187" i="33"/>
  <c r="D84" i="33"/>
  <c r="E84" i="33"/>
  <c r="I84" i="33"/>
  <c r="H84" i="33"/>
  <c r="G84" i="33"/>
  <c r="F84" i="33"/>
  <c r="G222" i="33"/>
  <c r="H222" i="33"/>
  <c r="F222" i="33"/>
  <c r="I222" i="33"/>
  <c r="E222" i="33"/>
  <c r="D222" i="33"/>
  <c r="I117" i="33"/>
  <c r="H117" i="33"/>
  <c r="G117" i="33"/>
  <c r="D117" i="33"/>
  <c r="E117" i="33"/>
  <c r="F117" i="33"/>
  <c r="I279" i="33"/>
  <c r="F279" i="33"/>
  <c r="E279" i="33"/>
  <c r="D279" i="33"/>
  <c r="G279" i="33"/>
  <c r="H279" i="33"/>
  <c r="I241" i="33"/>
  <c r="F241" i="33"/>
  <c r="G241" i="33"/>
  <c r="H241" i="33"/>
  <c r="E241" i="33"/>
  <c r="D241" i="33"/>
  <c r="G130" i="33"/>
  <c r="I130" i="33"/>
  <c r="E130" i="33"/>
  <c r="F130" i="33"/>
  <c r="D130" i="33"/>
  <c r="H130" i="33"/>
  <c r="I278" i="33"/>
  <c r="H278" i="33"/>
  <c r="G278" i="33"/>
  <c r="E278" i="33"/>
  <c r="F278" i="33"/>
  <c r="D278" i="33"/>
  <c r="G158" i="33"/>
  <c r="F158" i="33"/>
  <c r="E158" i="33"/>
  <c r="D158" i="33"/>
  <c r="H158" i="33"/>
  <c r="I158" i="33"/>
  <c r="F29" i="33"/>
  <c r="E29" i="33"/>
  <c r="D29" i="33"/>
  <c r="I29" i="33"/>
  <c r="H29" i="33"/>
  <c r="G29" i="33"/>
  <c r="I56" i="33"/>
  <c r="D56" i="33"/>
  <c r="G56" i="33"/>
  <c r="H56" i="33"/>
  <c r="F56" i="33"/>
  <c r="E56" i="33"/>
  <c r="I286" i="33"/>
  <c r="H286" i="33"/>
  <c r="G286" i="33"/>
  <c r="F286" i="33"/>
  <c r="D286" i="33"/>
  <c r="E286" i="33"/>
  <c r="I154" i="33"/>
  <c r="G154" i="33"/>
  <c r="F154" i="33"/>
  <c r="D154" i="33"/>
  <c r="H154" i="33"/>
  <c r="E154" i="33"/>
  <c r="F71" i="33"/>
  <c r="E71" i="33"/>
  <c r="G71" i="33"/>
  <c r="D71" i="33"/>
  <c r="I71" i="33"/>
  <c r="H71" i="33"/>
  <c r="I231" i="33"/>
  <c r="H231" i="33"/>
  <c r="G231" i="33"/>
  <c r="D231" i="33"/>
  <c r="F231" i="33"/>
  <c r="E231" i="33"/>
  <c r="G137" i="33"/>
  <c r="D137" i="33"/>
  <c r="I137" i="33"/>
  <c r="H137" i="33"/>
  <c r="E137" i="33"/>
  <c r="F137" i="33"/>
  <c r="F64" i="33"/>
  <c r="E64" i="33"/>
  <c r="G64" i="33"/>
  <c r="I64" i="33"/>
  <c r="D64" i="33"/>
  <c r="H64" i="33"/>
  <c r="F134" i="52"/>
  <c r="E134" i="51" s="1"/>
  <c r="F134" i="51" s="1"/>
  <c r="P134" i="26" s="1"/>
  <c r="O259" i="25"/>
  <c r="C130" i="39"/>
  <c r="K130" i="39" s="1"/>
  <c r="Q223" i="6"/>
  <c r="N212" i="7"/>
  <c r="K204" i="7"/>
  <c r="L134" i="7"/>
  <c r="K184" i="7"/>
  <c r="K250" i="7"/>
  <c r="O250" i="7" s="1"/>
  <c r="G194" i="87"/>
  <c r="G215" i="87"/>
  <c r="L88" i="7"/>
  <c r="K212" i="7"/>
  <c r="O212" i="7" s="1"/>
  <c r="L61" i="7"/>
  <c r="Q92" i="6"/>
  <c r="R92" i="6" s="1"/>
  <c r="AB92" i="6" s="1"/>
  <c r="G200" i="33"/>
  <c r="F200" i="33"/>
  <c r="E200" i="33"/>
  <c r="I200" i="33"/>
  <c r="D200" i="33"/>
  <c r="H200" i="33"/>
  <c r="G102" i="33"/>
  <c r="H102" i="33"/>
  <c r="F102" i="33"/>
  <c r="D102" i="33"/>
  <c r="I102" i="33"/>
  <c r="E102" i="33"/>
  <c r="D62" i="33"/>
  <c r="E62" i="33"/>
  <c r="G62" i="33"/>
  <c r="F62" i="33"/>
  <c r="H62" i="33"/>
  <c r="I62" i="33"/>
  <c r="G208" i="33"/>
  <c r="I208" i="33"/>
  <c r="H208" i="33"/>
  <c r="E208" i="33"/>
  <c r="D208" i="33"/>
  <c r="F208" i="33"/>
  <c r="H114" i="33"/>
  <c r="E114" i="33"/>
  <c r="G114" i="33"/>
  <c r="I114" i="33"/>
  <c r="F114" i="33"/>
  <c r="D114" i="33"/>
  <c r="I232" i="33"/>
  <c r="D232" i="33"/>
  <c r="E232" i="33"/>
  <c r="G232" i="33"/>
  <c r="F232" i="33"/>
  <c r="H232" i="33"/>
  <c r="I169" i="33"/>
  <c r="F169" i="33"/>
  <c r="D169" i="33"/>
  <c r="E169" i="33"/>
  <c r="H169" i="33"/>
  <c r="G169" i="33"/>
  <c r="D39" i="33"/>
  <c r="F39" i="33"/>
  <c r="E39" i="33"/>
  <c r="I39" i="33"/>
  <c r="H39" i="33"/>
  <c r="G39" i="33"/>
  <c r="I277" i="33"/>
  <c r="H277" i="33"/>
  <c r="G277" i="33"/>
  <c r="D277" i="33"/>
  <c r="E277" i="33"/>
  <c r="F277" i="33"/>
  <c r="I155" i="33"/>
  <c r="F155" i="33"/>
  <c r="H155" i="33"/>
  <c r="E155" i="33"/>
  <c r="G155" i="33"/>
  <c r="D155" i="33"/>
  <c r="I70" i="33"/>
  <c r="D70" i="33"/>
  <c r="G70" i="33"/>
  <c r="F70" i="33"/>
  <c r="E70" i="33"/>
  <c r="H70" i="33"/>
  <c r="E273" i="33"/>
  <c r="D273" i="33"/>
  <c r="H273" i="33"/>
  <c r="I273" i="33"/>
  <c r="G273" i="33"/>
  <c r="F273" i="33"/>
  <c r="H178" i="33"/>
  <c r="E178" i="33"/>
  <c r="I178" i="33"/>
  <c r="G178" i="33"/>
  <c r="F178" i="33"/>
  <c r="D178" i="33"/>
  <c r="I54" i="33"/>
  <c r="G54" i="33"/>
  <c r="H54" i="33"/>
  <c r="F54" i="33"/>
  <c r="E54" i="33"/>
  <c r="D54" i="33"/>
  <c r="E177" i="33"/>
  <c r="D177" i="33"/>
  <c r="I177" i="33"/>
  <c r="H177" i="33"/>
  <c r="G177" i="33"/>
  <c r="F177" i="33"/>
  <c r="I33" i="33"/>
  <c r="G33" i="33"/>
  <c r="H33" i="33"/>
  <c r="F33" i="33"/>
  <c r="E33" i="33"/>
  <c r="D33" i="33"/>
  <c r="I202" i="33"/>
  <c r="H202" i="33"/>
  <c r="G202" i="33"/>
  <c r="D202" i="33"/>
  <c r="F202" i="33"/>
  <c r="E202" i="33"/>
  <c r="F87" i="33"/>
  <c r="I87" i="33"/>
  <c r="G87" i="33"/>
  <c r="D87" i="33"/>
  <c r="H87" i="33"/>
  <c r="E87" i="33"/>
  <c r="D27" i="33"/>
  <c r="I27" i="33"/>
  <c r="F27" i="33"/>
  <c r="G27" i="33"/>
  <c r="H27" i="33"/>
  <c r="E27" i="33"/>
  <c r="M40" i="7"/>
  <c r="I40" i="87" s="1"/>
  <c r="N38" i="7"/>
  <c r="N201" i="7"/>
  <c r="N235" i="7"/>
  <c r="P235" i="7" s="1"/>
  <c r="N34" i="7"/>
  <c r="M244" i="7"/>
  <c r="I244" i="87" s="1"/>
  <c r="K131" i="7"/>
  <c r="K238" i="7"/>
  <c r="L144" i="7"/>
  <c r="P144" i="7" s="1"/>
  <c r="K48" i="7"/>
  <c r="L168" i="7"/>
  <c r="K153" i="7"/>
  <c r="K193" i="7"/>
  <c r="O193" i="7" s="1"/>
  <c r="I188" i="33"/>
  <c r="H188" i="33"/>
  <c r="G188" i="33"/>
  <c r="D188" i="33"/>
  <c r="F188" i="33"/>
  <c r="E188" i="33"/>
  <c r="I85" i="33"/>
  <c r="D85" i="33"/>
  <c r="E85" i="33"/>
  <c r="G85" i="33"/>
  <c r="H85" i="33"/>
  <c r="F85" i="33"/>
  <c r="I195" i="33"/>
  <c r="H195" i="33"/>
  <c r="G195" i="33"/>
  <c r="D195" i="33"/>
  <c r="F195" i="33"/>
  <c r="E195" i="33"/>
  <c r="I96" i="33"/>
  <c r="H96" i="33"/>
  <c r="G96" i="33"/>
  <c r="D96" i="33"/>
  <c r="F96" i="33"/>
  <c r="E96" i="33"/>
  <c r="I23" i="33"/>
  <c r="D23" i="33"/>
  <c r="G23" i="33"/>
  <c r="F23" i="33"/>
  <c r="H23" i="33"/>
  <c r="E23" i="33"/>
  <c r="E288" i="33"/>
  <c r="D288" i="33"/>
  <c r="G288" i="33"/>
  <c r="F288" i="33"/>
  <c r="I288" i="33"/>
  <c r="H288" i="33"/>
  <c r="E156" i="33"/>
  <c r="D156" i="33"/>
  <c r="F156" i="33"/>
  <c r="I156" i="33"/>
  <c r="H156" i="33"/>
  <c r="G156" i="33"/>
  <c r="H25" i="33"/>
  <c r="I25" i="33"/>
  <c r="G25" i="33"/>
  <c r="F25" i="33"/>
  <c r="E25" i="33"/>
  <c r="D25" i="33"/>
  <c r="I262" i="33"/>
  <c r="H262" i="33"/>
  <c r="G262" i="33"/>
  <c r="F262" i="33"/>
  <c r="E262" i="33"/>
  <c r="D262" i="33"/>
  <c r="I125" i="33"/>
  <c r="D125" i="33"/>
  <c r="H125" i="33"/>
  <c r="E125" i="33"/>
  <c r="F125" i="33"/>
  <c r="G125" i="33"/>
  <c r="F41" i="33"/>
  <c r="E41" i="33"/>
  <c r="I41" i="33"/>
  <c r="G41" i="33"/>
  <c r="D41" i="33"/>
  <c r="H41" i="33"/>
  <c r="G259" i="33"/>
  <c r="F259" i="33"/>
  <c r="E259" i="33"/>
  <c r="D259" i="33"/>
  <c r="H259" i="33"/>
  <c r="I259" i="33"/>
  <c r="G166" i="33"/>
  <c r="I166" i="33"/>
  <c r="F166" i="33"/>
  <c r="D166" i="33"/>
  <c r="H166" i="33"/>
  <c r="E166" i="33"/>
  <c r="I35" i="33"/>
  <c r="D35" i="33"/>
  <c r="G35" i="33"/>
  <c r="F35" i="33"/>
  <c r="E35" i="33"/>
  <c r="H35" i="33"/>
  <c r="G165" i="33"/>
  <c r="F165" i="33"/>
  <c r="E165" i="33"/>
  <c r="H165" i="33"/>
  <c r="D165" i="33"/>
  <c r="I165" i="33"/>
  <c r="H18" i="33"/>
  <c r="G18" i="33"/>
  <c r="E18" i="33"/>
  <c r="I18" i="33"/>
  <c r="F18" i="33"/>
  <c r="D18" i="33"/>
  <c r="I190" i="33"/>
  <c r="F190" i="33"/>
  <c r="H190" i="33"/>
  <c r="G190" i="33"/>
  <c r="D190" i="33"/>
  <c r="E190" i="33"/>
  <c r="F50" i="33"/>
  <c r="G50" i="33"/>
  <c r="E50" i="33"/>
  <c r="D50" i="33"/>
  <c r="I50" i="33"/>
  <c r="H50" i="33"/>
  <c r="J45" i="52"/>
  <c r="K45" i="52" s="1"/>
  <c r="E38" i="25"/>
  <c r="E80" i="25"/>
  <c r="H80" i="46" s="1"/>
  <c r="Q130" i="6"/>
  <c r="J215" i="52"/>
  <c r="K215" i="52" s="1"/>
  <c r="N37" i="7"/>
  <c r="N30" i="7"/>
  <c r="N95" i="7"/>
  <c r="K201" i="7"/>
  <c r="L131" i="7"/>
  <c r="P131" i="7" s="1"/>
  <c r="K95" i="7"/>
  <c r="L238" i="7"/>
  <c r="G144" i="87"/>
  <c r="L48" i="7"/>
  <c r="K74" i="7"/>
  <c r="L153" i="7"/>
  <c r="K63" i="7"/>
  <c r="L193" i="7"/>
  <c r="G245" i="33"/>
  <c r="E245" i="33"/>
  <c r="H245" i="33"/>
  <c r="F245" i="33"/>
  <c r="D245" i="33"/>
  <c r="I245" i="33"/>
  <c r="E149" i="33"/>
  <c r="D149" i="33"/>
  <c r="I149" i="33"/>
  <c r="G149" i="33"/>
  <c r="H149" i="33"/>
  <c r="F149" i="33"/>
  <c r="I161" i="33"/>
  <c r="H161" i="33"/>
  <c r="G161" i="33"/>
  <c r="E161" i="33"/>
  <c r="F161" i="33"/>
  <c r="D161" i="33"/>
  <c r="I6" i="33"/>
  <c r="G6" i="33"/>
  <c r="F6" i="33"/>
  <c r="E6" i="33"/>
  <c r="D6" i="33"/>
  <c r="H6" i="33"/>
  <c r="E198" i="33"/>
  <c r="D198" i="33"/>
  <c r="F198" i="33"/>
  <c r="G198" i="33"/>
  <c r="I198" i="33"/>
  <c r="H198" i="33"/>
  <c r="H81" i="33"/>
  <c r="G81" i="33"/>
  <c r="E81" i="33"/>
  <c r="I81" i="33"/>
  <c r="F81" i="33"/>
  <c r="D81" i="33"/>
  <c r="G143" i="33"/>
  <c r="F143" i="33"/>
  <c r="E143" i="33"/>
  <c r="I143" i="33"/>
  <c r="D143" i="33"/>
  <c r="H143" i="33"/>
  <c r="I210" i="33"/>
  <c r="G210" i="33"/>
  <c r="F210" i="33"/>
  <c r="H210" i="33"/>
  <c r="E210" i="33"/>
  <c r="D210" i="33"/>
  <c r="I98" i="33"/>
  <c r="F98" i="33"/>
  <c r="H98" i="33"/>
  <c r="E98" i="33"/>
  <c r="G98" i="33"/>
  <c r="D98" i="33"/>
  <c r="I239" i="33"/>
  <c r="E239" i="33"/>
  <c r="D239" i="33"/>
  <c r="F239" i="33"/>
  <c r="G239" i="33"/>
  <c r="H239" i="33"/>
  <c r="G129" i="33"/>
  <c r="F129" i="33"/>
  <c r="E129" i="33"/>
  <c r="I129" i="33"/>
  <c r="H129" i="33"/>
  <c r="D129" i="33"/>
  <c r="H4" i="33"/>
  <c r="G4" i="33"/>
  <c r="I4" i="33"/>
  <c r="F4" i="33"/>
  <c r="E4" i="33"/>
  <c r="D4" i="33"/>
  <c r="I261" i="33"/>
  <c r="H261" i="33"/>
  <c r="G261" i="33"/>
  <c r="D261" i="33"/>
  <c r="E261" i="33"/>
  <c r="F261" i="33"/>
  <c r="I111" i="33"/>
  <c r="G111" i="33"/>
  <c r="E111" i="33"/>
  <c r="D111" i="33"/>
  <c r="H111" i="33"/>
  <c r="F111" i="33"/>
  <c r="E205" i="33"/>
  <c r="D205" i="33"/>
  <c r="G205" i="33"/>
  <c r="F205" i="33"/>
  <c r="H205" i="33"/>
  <c r="I205" i="33"/>
  <c r="I110" i="33"/>
  <c r="H110" i="33"/>
  <c r="G110" i="33"/>
  <c r="D110" i="33"/>
  <c r="E110" i="33"/>
  <c r="F110" i="33"/>
  <c r="H258" i="33"/>
  <c r="E258" i="33"/>
  <c r="I258" i="33"/>
  <c r="G258" i="33"/>
  <c r="F258" i="33"/>
  <c r="D258" i="33"/>
  <c r="O143" i="26"/>
  <c r="J257" i="26"/>
  <c r="O257" i="26" s="1"/>
  <c r="O264" i="25"/>
  <c r="Q198" i="6"/>
  <c r="R198" i="6" s="1"/>
  <c r="O227" i="25"/>
  <c r="Q133" i="6"/>
  <c r="R133" i="6" s="1"/>
  <c r="AB133" i="6" s="1"/>
  <c r="M141" i="7"/>
  <c r="G136" i="87"/>
  <c r="L201" i="7"/>
  <c r="L95" i="7"/>
  <c r="K118" i="7"/>
  <c r="K159" i="7"/>
  <c r="O159" i="7" s="1"/>
  <c r="L74" i="7"/>
  <c r="K199" i="7"/>
  <c r="L63" i="7"/>
  <c r="K107" i="7"/>
  <c r="K136" i="7"/>
  <c r="I174" i="33"/>
  <c r="H174" i="33"/>
  <c r="G174" i="33"/>
  <c r="D174" i="33"/>
  <c r="E174" i="33"/>
  <c r="F174" i="33"/>
  <c r="D47" i="33"/>
  <c r="E47" i="33"/>
  <c r="G47" i="33"/>
  <c r="F47" i="33"/>
  <c r="H47" i="33"/>
  <c r="I47" i="33"/>
  <c r="H289" i="33"/>
  <c r="E289" i="33"/>
  <c r="D289" i="33"/>
  <c r="I289" i="33"/>
  <c r="G289" i="33"/>
  <c r="F289" i="33"/>
  <c r="I183" i="33"/>
  <c r="F183" i="33"/>
  <c r="G183" i="33"/>
  <c r="E183" i="33"/>
  <c r="H183" i="33"/>
  <c r="D183" i="33"/>
  <c r="D76" i="33"/>
  <c r="E76" i="33"/>
  <c r="I76" i="33"/>
  <c r="H76" i="33"/>
  <c r="G76" i="33"/>
  <c r="F76" i="33"/>
  <c r="I28" i="33"/>
  <c r="D28" i="33"/>
  <c r="H28" i="33"/>
  <c r="G28" i="33"/>
  <c r="F28" i="33"/>
  <c r="E28" i="33"/>
  <c r="G237" i="33"/>
  <c r="D237" i="33"/>
  <c r="I237" i="33"/>
  <c r="H237" i="33"/>
  <c r="F237" i="33"/>
  <c r="E237" i="33"/>
  <c r="I140" i="33"/>
  <c r="F140" i="33"/>
  <c r="G140" i="33"/>
  <c r="H140" i="33"/>
  <c r="E140" i="33"/>
  <c r="D140" i="33"/>
  <c r="G236" i="33"/>
  <c r="F236" i="33"/>
  <c r="E236" i="33"/>
  <c r="H236" i="33"/>
  <c r="I236" i="33"/>
  <c r="D236" i="33"/>
  <c r="I112" i="33"/>
  <c r="F112" i="33"/>
  <c r="H112" i="33"/>
  <c r="E112" i="33"/>
  <c r="D112" i="33"/>
  <c r="G112" i="33"/>
  <c r="I249" i="33"/>
  <c r="F249" i="33"/>
  <c r="H249" i="33"/>
  <c r="G249" i="33"/>
  <c r="E249" i="33"/>
  <c r="D249" i="33"/>
  <c r="G152" i="33"/>
  <c r="F152" i="33"/>
  <c r="E152" i="33"/>
  <c r="D152" i="33"/>
  <c r="I152" i="33"/>
  <c r="H152" i="33"/>
  <c r="H19" i="33"/>
  <c r="F19" i="33"/>
  <c r="D19" i="33"/>
  <c r="I19" i="33"/>
  <c r="E19" i="33"/>
  <c r="G19" i="33"/>
  <c r="G151" i="33"/>
  <c r="F151" i="33"/>
  <c r="E151" i="33"/>
  <c r="D151" i="33"/>
  <c r="I151" i="33"/>
  <c r="H151" i="33"/>
  <c r="G283" i="33"/>
  <c r="F283" i="33"/>
  <c r="E283" i="33"/>
  <c r="I283" i="33"/>
  <c r="H283" i="33"/>
  <c r="D283" i="33"/>
  <c r="I176" i="33"/>
  <c r="F176" i="33"/>
  <c r="E176" i="33"/>
  <c r="D176" i="33"/>
  <c r="G176" i="33"/>
  <c r="H176" i="33"/>
  <c r="H31" i="33"/>
  <c r="G31" i="33"/>
  <c r="E31" i="33"/>
  <c r="I31" i="33"/>
  <c r="D31" i="33"/>
  <c r="F31" i="33"/>
  <c r="O172" i="25"/>
  <c r="E92" i="25"/>
  <c r="J94" i="51"/>
  <c r="Q279" i="6"/>
  <c r="O25" i="28"/>
  <c r="M136" i="7"/>
  <c r="I136" i="87" s="1"/>
  <c r="S136" i="87" s="1"/>
  <c r="G212" i="87"/>
  <c r="L118" i="7"/>
  <c r="L159" i="7"/>
  <c r="L199" i="7"/>
  <c r="K180" i="7"/>
  <c r="L107" i="7"/>
  <c r="I225" i="33"/>
  <c r="F225" i="33"/>
  <c r="D225" i="33"/>
  <c r="G225" i="33"/>
  <c r="E225" i="33"/>
  <c r="H225" i="33"/>
  <c r="I104" i="33"/>
  <c r="F104" i="33"/>
  <c r="H104" i="33"/>
  <c r="G104" i="33"/>
  <c r="E104" i="33"/>
  <c r="D104" i="33"/>
  <c r="H243" i="33"/>
  <c r="E243" i="33"/>
  <c r="G243" i="33"/>
  <c r="F243" i="33"/>
  <c r="D243" i="33"/>
  <c r="I243" i="33"/>
  <c r="I145" i="33"/>
  <c r="H145" i="33"/>
  <c r="G145" i="33"/>
  <c r="D145" i="33"/>
  <c r="F145" i="33"/>
  <c r="E145" i="33"/>
  <c r="I83" i="33"/>
  <c r="G83" i="33"/>
  <c r="H83" i="33"/>
  <c r="D83" i="33"/>
  <c r="F83" i="33"/>
  <c r="E83" i="33"/>
  <c r="G186" i="33"/>
  <c r="F186" i="33"/>
  <c r="E186" i="33"/>
  <c r="H186" i="33"/>
  <c r="I186" i="33"/>
  <c r="D186" i="33"/>
  <c r="H43" i="33"/>
  <c r="G43" i="33"/>
  <c r="E43" i="33"/>
  <c r="F43" i="33"/>
  <c r="D43" i="33"/>
  <c r="I43" i="33"/>
  <c r="F77" i="33"/>
  <c r="G77" i="33"/>
  <c r="I197" i="33"/>
  <c r="F197" i="33"/>
  <c r="H197" i="33"/>
  <c r="E197" i="33"/>
  <c r="G197" i="33"/>
  <c r="D197" i="33"/>
  <c r="F80" i="33"/>
  <c r="I80" i="33"/>
  <c r="H80" i="33"/>
  <c r="E80" i="33"/>
  <c r="G80" i="33"/>
  <c r="D80" i="33"/>
  <c r="I209" i="33"/>
  <c r="H209" i="33"/>
  <c r="G209" i="33"/>
  <c r="D209" i="33"/>
  <c r="E209" i="33"/>
  <c r="F209" i="33"/>
  <c r="G115" i="33"/>
  <c r="F115" i="33"/>
  <c r="E115" i="33"/>
  <c r="D115" i="33"/>
  <c r="I115" i="33"/>
  <c r="H115" i="33"/>
  <c r="I139" i="33"/>
  <c r="E139" i="33"/>
  <c r="D139" i="33"/>
  <c r="F139" i="33"/>
  <c r="G139" i="33"/>
  <c r="H139" i="33"/>
  <c r="H251" i="33"/>
  <c r="E251" i="33"/>
  <c r="I251" i="33"/>
  <c r="G251" i="33"/>
  <c r="F251" i="33"/>
  <c r="D251" i="33"/>
  <c r="H93" i="33"/>
  <c r="E93" i="33"/>
  <c r="F93" i="33"/>
  <c r="I93" i="33"/>
  <c r="G93" i="33"/>
  <c r="D93" i="33"/>
  <c r="I285" i="33"/>
  <c r="H285" i="33"/>
  <c r="G285" i="33"/>
  <c r="D285" i="33"/>
  <c r="F285" i="33"/>
  <c r="E285" i="33"/>
  <c r="H192" i="33"/>
  <c r="E192" i="33"/>
  <c r="F192" i="33"/>
  <c r="G192" i="33"/>
  <c r="D192" i="33"/>
  <c r="I192" i="33"/>
  <c r="E92" i="33"/>
  <c r="D92" i="33"/>
  <c r="F92" i="33"/>
  <c r="I92" i="33"/>
  <c r="G92" i="33"/>
  <c r="H92" i="33"/>
  <c r="I91" i="33"/>
  <c r="F91" i="33"/>
  <c r="H91" i="33"/>
  <c r="G91" i="33"/>
  <c r="D91" i="33"/>
  <c r="E91" i="33"/>
  <c r="I248" i="33"/>
  <c r="F248" i="33"/>
  <c r="E248" i="33"/>
  <c r="D248" i="33"/>
  <c r="G248" i="33"/>
  <c r="H248" i="33"/>
  <c r="I103" i="33"/>
  <c r="H103" i="33"/>
  <c r="G103" i="33"/>
  <c r="D103" i="33"/>
  <c r="F103" i="33"/>
  <c r="E103" i="33"/>
  <c r="O284" i="28"/>
  <c r="Q290" i="6"/>
  <c r="N118" i="7"/>
  <c r="K171" i="7"/>
  <c r="G159" i="87"/>
  <c r="L180" i="7"/>
  <c r="K226" i="7"/>
  <c r="O226" i="7" s="1"/>
  <c r="E280" i="33"/>
  <c r="D280" i="33"/>
  <c r="I280" i="33"/>
  <c r="H280" i="33"/>
  <c r="G280" i="33"/>
  <c r="F280" i="33"/>
  <c r="I162" i="33"/>
  <c r="F162" i="33"/>
  <c r="D162" i="33"/>
  <c r="H162" i="33"/>
  <c r="G162" i="33"/>
  <c r="E162" i="33"/>
  <c r="I9" i="33"/>
  <c r="G9" i="33"/>
  <c r="D9" i="33"/>
  <c r="E9" i="33"/>
  <c r="H9" i="33"/>
  <c r="F9" i="33"/>
  <c r="I263" i="33"/>
  <c r="F263" i="33"/>
  <c r="D263" i="33"/>
  <c r="H263" i="33"/>
  <c r="G263" i="33"/>
  <c r="E263" i="33"/>
  <c r="E170" i="33"/>
  <c r="D170" i="33"/>
  <c r="H170" i="33"/>
  <c r="I170" i="33"/>
  <c r="G170" i="33"/>
  <c r="F170" i="33"/>
  <c r="I26" i="33"/>
  <c r="G26" i="33"/>
  <c r="E26" i="33"/>
  <c r="D26" i="33"/>
  <c r="F26" i="33"/>
  <c r="H26" i="33"/>
  <c r="E120" i="33"/>
  <c r="D120" i="33"/>
  <c r="I120" i="33"/>
  <c r="H120" i="33"/>
  <c r="F120" i="33"/>
  <c r="G120" i="33"/>
  <c r="E219" i="33"/>
  <c r="D219" i="33"/>
  <c r="I219" i="33"/>
  <c r="H219" i="33"/>
  <c r="F219" i="33"/>
  <c r="G219" i="33"/>
  <c r="I126" i="33"/>
  <c r="F126" i="33"/>
  <c r="D126" i="33"/>
  <c r="H126" i="33"/>
  <c r="G126" i="33"/>
  <c r="E126" i="33"/>
  <c r="H128" i="33"/>
  <c r="E128" i="33"/>
  <c r="D128" i="33"/>
  <c r="F128" i="33"/>
  <c r="G128" i="33"/>
  <c r="I128" i="33"/>
  <c r="I218" i="33"/>
  <c r="F218" i="33"/>
  <c r="H218" i="33"/>
  <c r="G218" i="33"/>
  <c r="E218" i="33"/>
  <c r="D218" i="33"/>
  <c r="G94" i="33"/>
  <c r="F94" i="33"/>
  <c r="E94" i="33"/>
  <c r="I94" i="33"/>
  <c r="H94" i="33"/>
  <c r="D94" i="33"/>
  <c r="G228" i="33"/>
  <c r="F228" i="33"/>
  <c r="E228" i="33"/>
  <c r="I228" i="33"/>
  <c r="H228" i="33"/>
  <c r="D228" i="33"/>
  <c r="H135" i="33"/>
  <c r="E135" i="33"/>
  <c r="F135" i="33"/>
  <c r="D135" i="33"/>
  <c r="G135" i="33"/>
  <c r="I135" i="33"/>
  <c r="G108" i="33"/>
  <c r="F108" i="33"/>
  <c r="E108" i="33"/>
  <c r="I108" i="33"/>
  <c r="H108" i="33"/>
  <c r="D108" i="33"/>
  <c r="H121" i="33"/>
  <c r="E121" i="33"/>
  <c r="D121" i="33"/>
  <c r="I121" i="33"/>
  <c r="G121" i="33"/>
  <c r="F121" i="33"/>
  <c r="I271" i="33"/>
  <c r="H271" i="33"/>
  <c r="G271" i="33"/>
  <c r="F271" i="33"/>
  <c r="D271" i="33"/>
  <c r="E271" i="33"/>
  <c r="H164" i="33"/>
  <c r="E164" i="33"/>
  <c r="G164" i="33"/>
  <c r="I164" i="33"/>
  <c r="F164" i="33"/>
  <c r="D164" i="33"/>
  <c r="F17" i="33"/>
  <c r="I17" i="33"/>
  <c r="H17" i="33"/>
  <c r="G17" i="33"/>
  <c r="E17" i="33"/>
  <c r="D17" i="33"/>
  <c r="J40" i="6"/>
  <c r="K40" i="6" s="1"/>
  <c r="L40" i="6" s="1"/>
  <c r="M40" i="6" s="1"/>
  <c r="Q174" i="6"/>
  <c r="G193" i="87"/>
  <c r="L171" i="7"/>
  <c r="P171" i="7" s="1"/>
  <c r="K235" i="7"/>
  <c r="O235" i="7" s="1"/>
  <c r="K20" i="7"/>
  <c r="O20" i="7" s="1"/>
  <c r="L226" i="7"/>
  <c r="Q251" i="6"/>
  <c r="R251" i="6" s="1"/>
  <c r="AB251" i="6" s="1"/>
  <c r="H213" i="33"/>
  <c r="E213" i="33"/>
  <c r="G213" i="33"/>
  <c r="F213" i="33"/>
  <c r="D213" i="33"/>
  <c r="I213" i="33"/>
  <c r="F86" i="33"/>
  <c r="E86" i="33"/>
  <c r="G86" i="33"/>
  <c r="I86" i="33"/>
  <c r="H86" i="33"/>
  <c r="D86" i="33"/>
  <c r="I223" i="33"/>
  <c r="H223" i="33"/>
  <c r="G223" i="33"/>
  <c r="D223" i="33"/>
  <c r="F223" i="33"/>
  <c r="E223" i="33"/>
  <c r="I132" i="33"/>
  <c r="D132" i="33"/>
  <c r="E132" i="33"/>
  <c r="H132" i="33"/>
  <c r="G132" i="33"/>
  <c r="F132" i="33"/>
  <c r="F8" i="33"/>
  <c r="E8" i="33"/>
  <c r="I8" i="33"/>
  <c r="H8" i="33"/>
  <c r="G8" i="33"/>
  <c r="D8" i="33"/>
  <c r="I160" i="33"/>
  <c r="H160" i="33"/>
  <c r="G160" i="33"/>
  <c r="D160" i="33"/>
  <c r="F160" i="33"/>
  <c r="E160" i="33"/>
  <c r="H60" i="33"/>
  <c r="F60" i="33"/>
  <c r="G60" i="33"/>
  <c r="I60" i="33"/>
  <c r="D60" i="33"/>
  <c r="E60" i="33"/>
  <c r="H185" i="33"/>
  <c r="E185" i="33"/>
  <c r="D185" i="33"/>
  <c r="F185" i="33"/>
  <c r="I185" i="33"/>
  <c r="G185" i="33"/>
  <c r="F42" i="33"/>
  <c r="G42" i="33"/>
  <c r="E42" i="33"/>
  <c r="D42" i="33"/>
  <c r="I42" i="33"/>
  <c r="H42" i="33"/>
  <c r="I196" i="33"/>
  <c r="E196" i="33"/>
  <c r="G196" i="33"/>
  <c r="F196" i="33"/>
  <c r="D196" i="33"/>
  <c r="H196" i="33"/>
  <c r="I97" i="33"/>
  <c r="E97" i="33"/>
  <c r="G97" i="33"/>
  <c r="F97" i="33"/>
  <c r="H97" i="33"/>
  <c r="D97" i="33"/>
  <c r="I75" i="33"/>
  <c r="G75" i="33"/>
  <c r="F75" i="33"/>
  <c r="H75" i="33"/>
  <c r="E75" i="33"/>
  <c r="D75" i="33"/>
  <c r="I233" i="33"/>
  <c r="F233" i="33"/>
  <c r="E233" i="33"/>
  <c r="D233" i="33"/>
  <c r="H233" i="33"/>
  <c r="G233" i="33"/>
  <c r="F58" i="33"/>
  <c r="H58" i="33"/>
  <c r="G58" i="33"/>
  <c r="E58" i="33"/>
  <c r="D58" i="33"/>
  <c r="I58" i="33"/>
  <c r="H274" i="33"/>
  <c r="E274" i="33"/>
  <c r="I274" i="33"/>
  <c r="D274" i="33"/>
  <c r="G274" i="33"/>
  <c r="F274" i="33"/>
  <c r="G179" i="33"/>
  <c r="F179" i="33"/>
  <c r="E179" i="33"/>
  <c r="I179" i="33"/>
  <c r="D179" i="33"/>
  <c r="H179" i="33"/>
  <c r="F57" i="33"/>
  <c r="E57" i="33"/>
  <c r="G57" i="33"/>
  <c r="H57" i="33"/>
  <c r="I57" i="33"/>
  <c r="D57" i="33"/>
  <c r="I148" i="33"/>
  <c r="F148" i="33"/>
  <c r="H148" i="33"/>
  <c r="E148" i="33"/>
  <c r="D148" i="33"/>
  <c r="G148" i="33"/>
  <c r="H227" i="33"/>
  <c r="E227" i="33"/>
  <c r="D227" i="33"/>
  <c r="F227" i="33"/>
  <c r="I227" i="33"/>
  <c r="G227" i="33"/>
  <c r="H66" i="33"/>
  <c r="G66" i="33"/>
  <c r="E66" i="33"/>
  <c r="I66" i="33"/>
  <c r="D66" i="33"/>
  <c r="F66" i="33"/>
  <c r="E28" i="25"/>
  <c r="H28" i="46" s="1"/>
  <c r="E257" i="33"/>
  <c r="D257" i="33"/>
  <c r="F257" i="33"/>
  <c r="I257" i="33"/>
  <c r="G257" i="33"/>
  <c r="H257" i="33"/>
  <c r="I147" i="33"/>
  <c r="F147" i="33"/>
  <c r="E147" i="33"/>
  <c r="G147" i="33"/>
  <c r="H147" i="33"/>
  <c r="D147" i="33"/>
  <c r="I89" i="33"/>
  <c r="G89" i="33"/>
  <c r="D89" i="33"/>
  <c r="H89" i="33"/>
  <c r="E89" i="33"/>
  <c r="F89" i="33"/>
  <c r="H82" i="33"/>
  <c r="I82" i="33"/>
  <c r="F82" i="33"/>
  <c r="D82" i="33"/>
  <c r="E82" i="33"/>
  <c r="G82" i="33"/>
  <c r="I255" i="33"/>
  <c r="G255" i="33"/>
  <c r="F255" i="33"/>
  <c r="E255" i="33"/>
  <c r="D255" i="33"/>
  <c r="H255" i="33"/>
  <c r="H157" i="33"/>
  <c r="E157" i="33"/>
  <c r="I157" i="33"/>
  <c r="F157" i="33"/>
  <c r="G157" i="33"/>
  <c r="D157" i="33"/>
  <c r="G207" i="33"/>
  <c r="F207" i="33"/>
  <c r="E207" i="33"/>
  <c r="I207" i="33"/>
  <c r="H207" i="33"/>
  <c r="D207" i="33"/>
  <c r="E113" i="33"/>
  <c r="D113" i="33"/>
  <c r="H113" i="33"/>
  <c r="G113" i="33"/>
  <c r="I113" i="33"/>
  <c r="F113" i="33"/>
  <c r="H73" i="33"/>
  <c r="G73" i="33"/>
  <c r="E73" i="33"/>
  <c r="I73" i="33"/>
  <c r="D73" i="33"/>
  <c r="F73" i="33"/>
  <c r="H206" i="33"/>
  <c r="E206" i="33"/>
  <c r="I206" i="33"/>
  <c r="G206" i="33"/>
  <c r="D206" i="33"/>
  <c r="F206" i="33"/>
  <c r="I68" i="33"/>
  <c r="G68" i="33"/>
  <c r="H68" i="33"/>
  <c r="E68" i="33"/>
  <c r="D68" i="33"/>
  <c r="F68" i="33"/>
  <c r="I216" i="33"/>
  <c r="H216" i="33"/>
  <c r="G216" i="33"/>
  <c r="D216" i="33"/>
  <c r="E216" i="33"/>
  <c r="F216" i="33"/>
  <c r="G122" i="33"/>
  <c r="F122" i="33"/>
  <c r="E122" i="33"/>
  <c r="H122" i="33"/>
  <c r="D122" i="33"/>
  <c r="I122" i="33"/>
  <c r="H67" i="33"/>
  <c r="G67" i="33"/>
  <c r="E67" i="33"/>
  <c r="I67" i="33"/>
  <c r="F67" i="33"/>
  <c r="D67" i="33"/>
  <c r="E106" i="33"/>
  <c r="D106" i="33"/>
  <c r="G106" i="33"/>
  <c r="F106" i="33"/>
  <c r="H106" i="33"/>
  <c r="I106" i="33"/>
  <c r="I246" i="33"/>
  <c r="H246" i="33"/>
  <c r="G246" i="33"/>
  <c r="D246" i="33"/>
  <c r="F246" i="33"/>
  <c r="E246" i="33"/>
  <c r="H150" i="33"/>
  <c r="E150" i="33"/>
  <c r="I150" i="33"/>
  <c r="G150" i="33"/>
  <c r="D150" i="33"/>
  <c r="F150" i="33"/>
  <c r="G101" i="33"/>
  <c r="F101" i="33"/>
  <c r="E101" i="33"/>
  <c r="I101" i="33"/>
  <c r="D101" i="33"/>
  <c r="H101" i="33"/>
  <c r="C77" i="54"/>
  <c r="G77" i="52"/>
  <c r="E77" i="54" s="1"/>
  <c r="R149" i="6"/>
  <c r="W149" i="6" s="1"/>
  <c r="R56" i="6"/>
  <c r="AB56" i="6" s="1"/>
  <c r="R227" i="6"/>
  <c r="Z227" i="6" s="1"/>
  <c r="R214" i="6"/>
  <c r="AB214" i="6" s="1"/>
  <c r="R276" i="6"/>
  <c r="AB276" i="6" s="1"/>
  <c r="R188" i="6"/>
  <c r="G188" i="45" s="1"/>
  <c r="Q213" i="6"/>
  <c r="R228" i="6"/>
  <c r="AC228" i="6" s="1"/>
  <c r="G24" i="33"/>
  <c r="O33" i="25"/>
  <c r="N202" i="52"/>
  <c r="I202" i="51" s="1"/>
  <c r="J202" i="51" s="1"/>
  <c r="C234" i="28"/>
  <c r="C49" i="28"/>
  <c r="C49" i="39"/>
  <c r="F65" i="52"/>
  <c r="E65" i="51" s="1"/>
  <c r="F65" i="51" s="1"/>
  <c r="P65" i="26" s="1"/>
  <c r="C234" i="39"/>
  <c r="R250" i="6"/>
  <c r="H250" i="28" s="1"/>
  <c r="R248" i="6"/>
  <c r="AB248" i="6" s="1"/>
  <c r="K230" i="39"/>
  <c r="P130" i="28"/>
  <c r="O35" i="26"/>
  <c r="F35" i="45" s="1"/>
  <c r="J251" i="26"/>
  <c r="O251" i="26" s="1"/>
  <c r="I43" i="39"/>
  <c r="I242" i="39"/>
  <c r="I82" i="39"/>
  <c r="N129" i="52"/>
  <c r="N233" i="52"/>
  <c r="I233" i="51" s="1"/>
  <c r="J233" i="51" s="1"/>
  <c r="N190" i="52"/>
  <c r="I190" i="51" s="1"/>
  <c r="J190" i="51" s="1"/>
  <c r="J64" i="52"/>
  <c r="G64" i="51" s="1"/>
  <c r="H64" i="51" s="1"/>
  <c r="N90" i="52"/>
  <c r="I90" i="51" s="1"/>
  <c r="J90" i="51" s="1"/>
  <c r="J270" i="52"/>
  <c r="G270" i="51" s="1"/>
  <c r="H270" i="51" s="1"/>
  <c r="N17" i="52"/>
  <c r="F226" i="52"/>
  <c r="E226" i="51" s="1"/>
  <c r="F226" i="51" s="1"/>
  <c r="P226" i="26" s="1"/>
  <c r="N75" i="52"/>
  <c r="I75" i="51" s="1"/>
  <c r="J75" i="51" s="1"/>
  <c r="N170" i="52"/>
  <c r="I170" i="51" s="1"/>
  <c r="J170" i="51" s="1"/>
  <c r="F187" i="52"/>
  <c r="E187" i="51" s="1"/>
  <c r="F187" i="51" s="1"/>
  <c r="P187" i="26" s="1"/>
  <c r="R42" i="6"/>
  <c r="AB42" i="6" s="1"/>
  <c r="Q19" i="6"/>
  <c r="R19" i="6" s="1"/>
  <c r="AB19" i="6" s="1"/>
  <c r="O263" i="25"/>
  <c r="E43" i="25"/>
  <c r="H43" i="46" s="1"/>
  <c r="O187" i="25"/>
  <c r="E143" i="25"/>
  <c r="H143" i="46" s="1"/>
  <c r="O208" i="25"/>
  <c r="E239" i="25"/>
  <c r="O139" i="25"/>
  <c r="E262" i="25"/>
  <c r="O184" i="25"/>
  <c r="O236" i="25"/>
  <c r="O122" i="25"/>
  <c r="E248" i="25"/>
  <c r="H248" i="46" s="1"/>
  <c r="O275" i="25"/>
  <c r="O287" i="25"/>
  <c r="E174" i="25"/>
  <c r="O103" i="25"/>
  <c r="O231" i="25"/>
  <c r="O89" i="25"/>
  <c r="O174" i="25"/>
  <c r="E22" i="25"/>
  <c r="H111" i="46"/>
  <c r="O138" i="25"/>
  <c r="E54" i="25"/>
  <c r="H54" i="46" s="1"/>
  <c r="O113" i="25"/>
  <c r="E142" i="25"/>
  <c r="H142" i="46" s="1"/>
  <c r="O191" i="25"/>
  <c r="E198" i="25"/>
  <c r="H198" i="46" s="1"/>
  <c r="E27" i="25"/>
  <c r="E278" i="25"/>
  <c r="H278" i="46" s="1"/>
  <c r="O197" i="25"/>
  <c r="G185" i="52"/>
  <c r="E185" i="54" s="1"/>
  <c r="C185" i="54"/>
  <c r="F97" i="52"/>
  <c r="E97" i="51" s="1"/>
  <c r="F97" i="51" s="1"/>
  <c r="P97" i="26" s="1"/>
  <c r="O56" i="25"/>
  <c r="E170" i="25"/>
  <c r="O158" i="25"/>
  <c r="O225" i="25"/>
  <c r="E95" i="25"/>
  <c r="H95" i="46" s="1"/>
  <c r="O200" i="25"/>
  <c r="E147" i="25"/>
  <c r="H147" i="46" s="1"/>
  <c r="E83" i="25"/>
  <c r="E256" i="25"/>
  <c r="O278" i="25"/>
  <c r="O127" i="25"/>
  <c r="E128" i="25"/>
  <c r="E277" i="25"/>
  <c r="H33" i="46"/>
  <c r="E154" i="25"/>
  <c r="H154" i="46" s="1"/>
  <c r="O134" i="25"/>
  <c r="O228" i="25"/>
  <c r="N33" i="52"/>
  <c r="I33" i="51" s="1"/>
  <c r="J33" i="51" s="1"/>
  <c r="R20" i="6"/>
  <c r="AB20" i="6" s="1"/>
  <c r="R152" i="6"/>
  <c r="X152" i="6" s="1"/>
  <c r="J130" i="52"/>
  <c r="C251" i="28"/>
  <c r="J97" i="52"/>
  <c r="G97" i="51" s="1"/>
  <c r="H97" i="51" s="1"/>
  <c r="E153" i="25"/>
  <c r="O222" i="25"/>
  <c r="J216" i="52"/>
  <c r="G216" i="51" s="1"/>
  <c r="H216" i="51" s="1"/>
  <c r="E53" i="25"/>
  <c r="H53" i="46" s="1"/>
  <c r="Q43" i="6"/>
  <c r="R43" i="6" s="1"/>
  <c r="AB43" i="6" s="1"/>
  <c r="O19" i="25"/>
  <c r="M48" i="6"/>
  <c r="J64" i="6"/>
  <c r="M64" i="6" s="1"/>
  <c r="J139" i="52"/>
  <c r="G139" i="51" s="1"/>
  <c r="H139" i="51" s="1"/>
  <c r="C82" i="28"/>
  <c r="P82" i="28" s="1"/>
  <c r="N27" i="6"/>
  <c r="O27" i="6" s="1"/>
  <c r="P27" i="6" s="1"/>
  <c r="Q27" i="6" s="1"/>
  <c r="R27" i="6" s="1"/>
  <c r="G27" i="45" s="1"/>
  <c r="O276" i="25"/>
  <c r="O160" i="25"/>
  <c r="N127" i="52"/>
  <c r="N10" i="52"/>
  <c r="I10" i="51" s="1"/>
  <c r="J10" i="51" s="1"/>
  <c r="I208" i="39"/>
  <c r="N54" i="52"/>
  <c r="I54" i="51" s="1"/>
  <c r="J54" i="51" s="1"/>
  <c r="O79" i="25"/>
  <c r="N58" i="6"/>
  <c r="O58" i="6" s="1"/>
  <c r="P58" i="6" s="1"/>
  <c r="Q58" i="6" s="1"/>
  <c r="R58" i="6" s="1"/>
  <c r="AB58" i="6" s="1"/>
  <c r="I263" i="51"/>
  <c r="J263" i="51" s="1"/>
  <c r="H6" i="21"/>
  <c r="M6" i="25" s="1"/>
  <c r="E255" i="25"/>
  <c r="E137" i="25"/>
  <c r="J182" i="6"/>
  <c r="K182" i="6" s="1"/>
  <c r="L182" i="6" s="1"/>
  <c r="M182" i="6" s="1"/>
  <c r="R182" i="6" s="1"/>
  <c r="H182" i="28" s="1"/>
  <c r="Q231" i="6"/>
  <c r="R231" i="6" s="1"/>
  <c r="AB231" i="6" s="1"/>
  <c r="P18" i="28"/>
  <c r="O56" i="52"/>
  <c r="E72" i="25"/>
  <c r="O129" i="25"/>
  <c r="J235" i="52"/>
  <c r="K235" i="52" s="1"/>
  <c r="F6" i="21"/>
  <c r="C6" i="25" s="1"/>
  <c r="E6" i="25" s="1"/>
  <c r="N126" i="6"/>
  <c r="Q126" i="6" s="1"/>
  <c r="Q147" i="6"/>
  <c r="R147" i="6" s="1"/>
  <c r="AB147" i="6" s="1"/>
  <c r="O133" i="25"/>
  <c r="I6" i="21"/>
  <c r="N6" i="25" s="1"/>
  <c r="M160" i="6"/>
  <c r="N92" i="52"/>
  <c r="I92" i="51" s="1"/>
  <c r="J92" i="51" s="1"/>
  <c r="O36" i="25"/>
  <c r="N289" i="52"/>
  <c r="I289" i="51" s="1"/>
  <c r="J289" i="51" s="1"/>
  <c r="J195" i="6"/>
  <c r="M195" i="6" s="1"/>
  <c r="E116" i="25"/>
  <c r="H116" i="46" s="1"/>
  <c r="I211" i="39"/>
  <c r="O290" i="25"/>
  <c r="J95" i="52"/>
  <c r="G95" i="51" s="1"/>
  <c r="H95" i="51" s="1"/>
  <c r="F98" i="52"/>
  <c r="E98" i="51" s="1"/>
  <c r="F98" i="51" s="1"/>
  <c r="P98" i="26" s="1"/>
  <c r="O39" i="28"/>
  <c r="E184" i="25"/>
  <c r="E18" i="25"/>
  <c r="N108" i="52"/>
  <c r="I108" i="51" s="1"/>
  <c r="J108" i="51" s="1"/>
  <c r="Y10" i="33"/>
  <c r="Z10" i="33" s="1"/>
  <c r="O151" i="25"/>
  <c r="O24" i="28"/>
  <c r="O100" i="25"/>
  <c r="J38" i="52"/>
  <c r="G38" i="51" s="1"/>
  <c r="H38" i="51" s="1"/>
  <c r="N11" i="26"/>
  <c r="O11" i="26" s="1"/>
  <c r="J260" i="6"/>
  <c r="K260" i="6" s="1"/>
  <c r="L260" i="6" s="1"/>
  <c r="M260" i="6" s="1"/>
  <c r="R260" i="6" s="1"/>
  <c r="AA260" i="6" s="1"/>
  <c r="N203" i="26"/>
  <c r="O203" i="26" s="1"/>
  <c r="J203" i="52"/>
  <c r="G203" i="51" s="1"/>
  <c r="H203" i="51" s="1"/>
  <c r="I189" i="39"/>
  <c r="O23" i="28"/>
  <c r="J108" i="52"/>
  <c r="G108" i="51" s="1"/>
  <c r="H108" i="51" s="1"/>
  <c r="H187" i="46"/>
  <c r="E19" i="25"/>
  <c r="R274" i="6"/>
  <c r="Y274" i="6" s="1"/>
  <c r="M183" i="6"/>
  <c r="E113" i="25"/>
  <c r="I39" i="39"/>
  <c r="Q100" i="6"/>
  <c r="N180" i="6"/>
  <c r="O180" i="6" s="1"/>
  <c r="P180" i="6" s="1"/>
  <c r="Q180" i="6" s="1"/>
  <c r="K71" i="52"/>
  <c r="G71" i="51"/>
  <c r="H71" i="51" s="1"/>
  <c r="E256" i="51"/>
  <c r="F256" i="51" s="1"/>
  <c r="P256" i="26" s="1"/>
  <c r="K162" i="52"/>
  <c r="G162" i="51"/>
  <c r="H162" i="51" s="1"/>
  <c r="G18" i="51"/>
  <c r="H18" i="51" s="1"/>
  <c r="K81" i="52"/>
  <c r="G81" i="51"/>
  <c r="H81" i="51" s="1"/>
  <c r="K171" i="52"/>
  <c r="G171" i="51"/>
  <c r="H171" i="51" s="1"/>
  <c r="E110" i="51"/>
  <c r="F110" i="51" s="1"/>
  <c r="P110" i="26" s="1"/>
  <c r="K164" i="52"/>
  <c r="G164" i="51"/>
  <c r="H164" i="51" s="1"/>
  <c r="K288" i="52"/>
  <c r="K182" i="52"/>
  <c r="G182" i="51"/>
  <c r="H182" i="51" s="1"/>
  <c r="O51" i="52"/>
  <c r="I51" i="51"/>
  <c r="J51" i="51" s="1"/>
  <c r="K10" i="52"/>
  <c r="G10" i="51"/>
  <c r="H10" i="51" s="1"/>
  <c r="F111" i="51"/>
  <c r="P111" i="26" s="1"/>
  <c r="J111" i="51"/>
  <c r="F139" i="51"/>
  <c r="P139" i="26" s="1"/>
  <c r="F108" i="51"/>
  <c r="P108" i="26" s="1"/>
  <c r="H248" i="51"/>
  <c r="F248" i="51"/>
  <c r="P248" i="26" s="1"/>
  <c r="F215" i="51"/>
  <c r="P215" i="26" s="1"/>
  <c r="F158" i="51"/>
  <c r="P158" i="26" s="1"/>
  <c r="H158" i="51"/>
  <c r="J158" i="51"/>
  <c r="F124" i="51"/>
  <c r="P124" i="26" s="1"/>
  <c r="H124" i="51"/>
  <c r="F84" i="51"/>
  <c r="P84" i="26" s="1"/>
  <c r="F29" i="51"/>
  <c r="P29" i="26" s="1"/>
  <c r="F216" i="51"/>
  <c r="P216" i="26" s="1"/>
  <c r="J117" i="51"/>
  <c r="H117" i="51"/>
  <c r="F117" i="51"/>
  <c r="P117" i="26" s="1"/>
  <c r="H30" i="51"/>
  <c r="F30" i="51"/>
  <c r="P30" i="26" s="1"/>
  <c r="F263" i="51"/>
  <c r="P263" i="26" s="1"/>
  <c r="F211" i="51"/>
  <c r="P211" i="26" s="1"/>
  <c r="F73" i="51"/>
  <c r="P73" i="26" s="1"/>
  <c r="H5" i="51"/>
  <c r="C88" i="54"/>
  <c r="E88" i="51"/>
  <c r="F88" i="51" s="1"/>
  <c r="P88" i="26" s="1"/>
  <c r="G103" i="51"/>
  <c r="H103" i="51" s="1"/>
  <c r="K252" i="52"/>
  <c r="G252" i="51"/>
  <c r="H252" i="51" s="1"/>
  <c r="R138" i="6"/>
  <c r="AB138" i="6" s="1"/>
  <c r="J224" i="51"/>
  <c r="H105" i="51"/>
  <c r="F105" i="51"/>
  <c r="P105" i="26" s="1"/>
  <c r="H80" i="51"/>
  <c r="F80" i="51"/>
  <c r="P80" i="26" s="1"/>
  <c r="J149" i="51"/>
  <c r="F149" i="51"/>
  <c r="P149" i="26" s="1"/>
  <c r="J122" i="51"/>
  <c r="H122" i="51"/>
  <c r="F122" i="51"/>
  <c r="P122" i="26" s="1"/>
  <c r="F60" i="51"/>
  <c r="P60" i="26" s="1"/>
  <c r="H60" i="51"/>
  <c r="J214" i="51"/>
  <c r="H214" i="51"/>
  <c r="H165" i="51"/>
  <c r="J165" i="51"/>
  <c r="F137" i="51"/>
  <c r="P137" i="26" s="1"/>
  <c r="H137" i="51"/>
  <c r="H160" i="51"/>
  <c r="F160" i="51"/>
  <c r="P160" i="26" s="1"/>
  <c r="K196" i="52"/>
  <c r="G196" i="51"/>
  <c r="H196" i="51" s="1"/>
  <c r="K181" i="52"/>
  <c r="G181" i="51"/>
  <c r="H181" i="51" s="1"/>
  <c r="G244" i="51"/>
  <c r="H244" i="51" s="1"/>
  <c r="K86" i="52"/>
  <c r="G86" i="51"/>
  <c r="H86" i="51" s="1"/>
  <c r="G67" i="51"/>
  <c r="H67" i="51" s="1"/>
  <c r="F104" i="51"/>
  <c r="P104" i="26" s="1"/>
  <c r="F32" i="51"/>
  <c r="P32" i="26" s="1"/>
  <c r="J225" i="51"/>
  <c r="H225" i="51"/>
  <c r="F182" i="51"/>
  <c r="P182" i="26" s="1"/>
  <c r="J162" i="51"/>
  <c r="F162" i="51"/>
  <c r="P162" i="26" s="1"/>
  <c r="F183" i="51"/>
  <c r="P183" i="26" s="1"/>
  <c r="H183" i="51"/>
  <c r="F253" i="51"/>
  <c r="P253" i="26" s="1"/>
  <c r="H227" i="51"/>
  <c r="F23" i="51"/>
  <c r="P23" i="26" s="1"/>
  <c r="H101" i="51"/>
  <c r="F101" i="51"/>
  <c r="P101" i="26" s="1"/>
  <c r="F209" i="51"/>
  <c r="P209" i="26" s="1"/>
  <c r="J209" i="51"/>
  <c r="H152" i="51"/>
  <c r="F116" i="51"/>
  <c r="P116" i="26" s="1"/>
  <c r="H51" i="51"/>
  <c r="F51" i="51"/>
  <c r="P51" i="26" s="1"/>
  <c r="H210" i="51"/>
  <c r="F210" i="51"/>
  <c r="P210" i="26" s="1"/>
  <c r="H109" i="51"/>
  <c r="F109" i="51"/>
  <c r="P109" i="26" s="1"/>
  <c r="C251" i="39"/>
  <c r="K68" i="52"/>
  <c r="G68" i="51"/>
  <c r="H68" i="51" s="1"/>
  <c r="G35" i="51"/>
  <c r="H35" i="51" s="1"/>
  <c r="K120" i="52"/>
  <c r="E185" i="51"/>
  <c r="F185" i="51" s="1"/>
  <c r="P185" i="26" s="1"/>
  <c r="G70" i="51"/>
  <c r="H70" i="51" s="1"/>
  <c r="O238" i="52"/>
  <c r="K153" i="52"/>
  <c r="G153" i="51"/>
  <c r="H153" i="51" s="1"/>
  <c r="F218" i="51"/>
  <c r="P218" i="26" s="1"/>
  <c r="H218" i="51"/>
  <c r="H63" i="51"/>
  <c r="H27" i="51"/>
  <c r="J226" i="51"/>
  <c r="H226" i="51"/>
  <c r="J140" i="51"/>
  <c r="H121" i="51"/>
  <c r="F121" i="51"/>
  <c r="P121" i="26" s="1"/>
  <c r="F48" i="51"/>
  <c r="P48" i="26" s="1"/>
  <c r="H9" i="51"/>
  <c r="F114" i="51"/>
  <c r="P114" i="26" s="1"/>
  <c r="F82" i="51"/>
  <c r="P82" i="26" s="1"/>
  <c r="F208" i="51"/>
  <c r="P208" i="26" s="1"/>
  <c r="H184" i="51"/>
  <c r="J157" i="51"/>
  <c r="H157" i="51"/>
  <c r="F289" i="51"/>
  <c r="P289" i="26" s="1"/>
  <c r="H289" i="51"/>
  <c r="H178" i="51"/>
  <c r="F159" i="51"/>
  <c r="P159" i="26" s="1"/>
  <c r="H159" i="51"/>
  <c r="F277" i="51"/>
  <c r="P277" i="26" s="1"/>
  <c r="H277" i="51"/>
  <c r="G197" i="52"/>
  <c r="E197" i="54" s="1"/>
  <c r="E197" i="51"/>
  <c r="F197" i="51" s="1"/>
  <c r="P197" i="26" s="1"/>
  <c r="K111" i="52"/>
  <c r="G111" i="51"/>
  <c r="H111" i="51" s="1"/>
  <c r="K150" i="52"/>
  <c r="G150" i="51"/>
  <c r="H150" i="51" s="1"/>
  <c r="I101" i="51"/>
  <c r="J101" i="51" s="1"/>
  <c r="K83" i="52"/>
  <c r="G83" i="51"/>
  <c r="H83" i="51" s="1"/>
  <c r="C10" i="54"/>
  <c r="E10" i="51"/>
  <c r="F10" i="51" s="1"/>
  <c r="P10" i="26" s="1"/>
  <c r="O107" i="52"/>
  <c r="I107" i="51"/>
  <c r="J107" i="51" s="1"/>
  <c r="F161" i="51"/>
  <c r="P161" i="26" s="1"/>
  <c r="F54" i="51"/>
  <c r="P54" i="26" s="1"/>
  <c r="J279" i="51"/>
  <c r="H279" i="51"/>
  <c r="F279" i="51"/>
  <c r="P279" i="26" s="1"/>
  <c r="J155" i="51"/>
  <c r="F155" i="51"/>
  <c r="P155" i="26" s="1"/>
  <c r="J213" i="51"/>
  <c r="F213" i="51"/>
  <c r="P213" i="26" s="1"/>
  <c r="H123" i="51"/>
  <c r="F35" i="51"/>
  <c r="P35" i="26" s="1"/>
  <c r="J142" i="51"/>
  <c r="F142" i="51"/>
  <c r="P142" i="26" s="1"/>
  <c r="F102" i="51"/>
  <c r="P102" i="26" s="1"/>
  <c r="F18" i="51"/>
  <c r="P18" i="26" s="1"/>
  <c r="H198" i="51"/>
  <c r="J198" i="51"/>
  <c r="F67" i="51"/>
  <c r="P67" i="26" s="1"/>
  <c r="F223" i="51"/>
  <c r="P223" i="26" s="1"/>
  <c r="H180" i="51"/>
  <c r="H118" i="51"/>
  <c r="K190" i="52"/>
  <c r="G190" i="51"/>
  <c r="H190" i="51" s="1"/>
  <c r="G241" i="51"/>
  <c r="H241" i="51" s="1"/>
  <c r="K127" i="52"/>
  <c r="G127" i="51"/>
  <c r="H127" i="51" s="1"/>
  <c r="G252" i="52"/>
  <c r="E252" i="54" s="1"/>
  <c r="E252" i="51"/>
  <c r="F252" i="51" s="1"/>
  <c r="P252" i="26" s="1"/>
  <c r="O102" i="52"/>
  <c r="I102" i="51"/>
  <c r="J102" i="51" s="1"/>
  <c r="H212" i="51"/>
  <c r="J181" i="51"/>
  <c r="F120" i="51"/>
  <c r="P120" i="26" s="1"/>
  <c r="F93" i="51"/>
  <c r="P93" i="26" s="1"/>
  <c r="F113" i="51"/>
  <c r="P113" i="26" s="1"/>
  <c r="H75" i="51"/>
  <c r="F75" i="51"/>
  <c r="P75" i="26" s="1"/>
  <c r="F107" i="51"/>
  <c r="P107" i="26" s="1"/>
  <c r="F41" i="51"/>
  <c r="P41" i="26" s="1"/>
  <c r="J228" i="51"/>
  <c r="H228" i="51"/>
  <c r="F177" i="51"/>
  <c r="P177" i="26" s="1"/>
  <c r="H177" i="51"/>
  <c r="F151" i="51"/>
  <c r="P151" i="26" s="1"/>
  <c r="F153" i="51"/>
  <c r="P153" i="26" s="1"/>
  <c r="H250" i="51"/>
  <c r="F250" i="51"/>
  <c r="P250" i="26" s="1"/>
  <c r="J199" i="51"/>
  <c r="F144" i="51"/>
  <c r="P144" i="26" s="1"/>
  <c r="K213" i="52"/>
  <c r="G213" i="51"/>
  <c r="H213" i="51" s="1"/>
  <c r="H246" i="46"/>
  <c r="K147" i="52"/>
  <c r="G147" i="51"/>
  <c r="H147" i="51" s="1"/>
  <c r="K20" i="52"/>
  <c r="G20" i="51"/>
  <c r="H20" i="51" s="1"/>
  <c r="O160" i="52"/>
  <c r="I160" i="51"/>
  <c r="J160" i="51" s="1"/>
  <c r="O88" i="52"/>
  <c r="I88" i="51"/>
  <c r="J88" i="51" s="1"/>
  <c r="K22" i="52"/>
  <c r="G22" i="51"/>
  <c r="H22" i="51" s="1"/>
  <c r="K175" i="52"/>
  <c r="G175" i="51"/>
  <c r="H175" i="51" s="1"/>
  <c r="K255" i="52"/>
  <c r="G255" i="51"/>
  <c r="H255" i="51" s="1"/>
  <c r="G258" i="51"/>
  <c r="H258" i="51" s="1"/>
  <c r="F145" i="51"/>
  <c r="H145" i="51"/>
  <c r="F119" i="51"/>
  <c r="P119" i="26" s="1"/>
  <c r="H119" i="51"/>
  <c r="H79" i="51"/>
  <c r="H65" i="51"/>
  <c r="F17" i="51"/>
  <c r="P17" i="26" s="1"/>
  <c r="J221" i="51"/>
  <c r="F221" i="51"/>
  <c r="P221" i="26" s="1"/>
  <c r="F96" i="51"/>
  <c r="P96" i="26" s="1"/>
  <c r="H249" i="51"/>
  <c r="F249" i="51"/>
  <c r="P249" i="26" s="1"/>
  <c r="H222" i="51"/>
  <c r="F194" i="51"/>
  <c r="P194" i="26" s="1"/>
  <c r="H194" i="51"/>
  <c r="H125" i="51"/>
  <c r="J125" i="51"/>
  <c r="F125" i="51"/>
  <c r="P125" i="26" s="1"/>
  <c r="H217" i="51"/>
  <c r="J8" i="26"/>
  <c r="G25" i="51"/>
  <c r="H25" i="51" s="1"/>
  <c r="K291" i="52"/>
  <c r="G291" i="51"/>
  <c r="H291" i="51" s="1"/>
  <c r="K272" i="52"/>
  <c r="G272" i="51"/>
  <c r="H272" i="51" s="1"/>
  <c r="G142" i="51"/>
  <c r="H142" i="51" s="1"/>
  <c r="K259" i="52"/>
  <c r="G259" i="51"/>
  <c r="H259" i="51" s="1"/>
  <c r="N61" i="25"/>
  <c r="O61" i="25" s="1"/>
  <c r="I77" i="21"/>
  <c r="N77" i="25" s="1"/>
  <c r="H264" i="51"/>
  <c r="F264" i="51"/>
  <c r="P264" i="26" s="1"/>
  <c r="H233" i="51"/>
  <c r="F233" i="51"/>
  <c r="P233" i="26" s="1"/>
  <c r="F174" i="51"/>
  <c r="P174" i="26" s="1"/>
  <c r="H174" i="51"/>
  <c r="H112" i="51"/>
  <c r="F112" i="51"/>
  <c r="P112" i="26" s="1"/>
  <c r="H39" i="51"/>
  <c r="H8" i="51"/>
  <c r="H163" i="51"/>
  <c r="F34" i="51"/>
  <c r="P34" i="26" s="1"/>
  <c r="H156" i="51"/>
  <c r="F156" i="51"/>
  <c r="P156" i="26" s="1"/>
  <c r="F94" i="51"/>
  <c r="P94" i="26" s="1"/>
  <c r="J220" i="51"/>
  <c r="F220" i="51"/>
  <c r="P220" i="26" s="1"/>
  <c r="F170" i="51"/>
  <c r="P170" i="26" s="1"/>
  <c r="H135" i="51"/>
  <c r="F135" i="51"/>
  <c r="P135" i="26" s="1"/>
  <c r="J197" i="51"/>
  <c r="F143" i="51"/>
  <c r="P143" i="26" s="1"/>
  <c r="J244" i="51"/>
  <c r="F244" i="51"/>
  <c r="P244" i="26" s="1"/>
  <c r="F138" i="51"/>
  <c r="P138" i="26" s="1"/>
  <c r="H138" i="51"/>
  <c r="C200" i="28"/>
  <c r="P200" i="28" s="1"/>
  <c r="O71" i="25"/>
  <c r="N6" i="6"/>
  <c r="O6" i="6" s="1"/>
  <c r="P6" i="6" s="1"/>
  <c r="Q6" i="6" s="1"/>
  <c r="H6" i="26"/>
  <c r="I6" i="26" s="1"/>
  <c r="J6" i="26" s="1"/>
  <c r="Q11" i="6"/>
  <c r="J81" i="26"/>
  <c r="O81" i="26" s="1"/>
  <c r="J210" i="26"/>
  <c r="O210" i="26" s="1"/>
  <c r="O193" i="25"/>
  <c r="O250" i="25"/>
  <c r="E175" i="25"/>
  <c r="J128" i="26"/>
  <c r="O128" i="26" s="1"/>
  <c r="J70" i="26"/>
  <c r="O70" i="26" s="1"/>
  <c r="N72" i="26"/>
  <c r="O72" i="26" s="1"/>
  <c r="F228" i="52"/>
  <c r="E228" i="51" s="1"/>
  <c r="F228" i="51" s="1"/>
  <c r="P228" i="26" s="1"/>
  <c r="F199" i="52"/>
  <c r="E199" i="51" s="1"/>
  <c r="F199" i="51" s="1"/>
  <c r="P199" i="26" s="1"/>
  <c r="J276" i="52"/>
  <c r="G276" i="51" s="1"/>
  <c r="H276" i="51" s="1"/>
  <c r="K189" i="52"/>
  <c r="Q210" i="6"/>
  <c r="R275" i="6"/>
  <c r="H275" i="28" s="1"/>
  <c r="R287" i="6"/>
  <c r="AA287" i="6" s="1"/>
  <c r="Q26" i="6"/>
  <c r="Q18" i="6"/>
  <c r="O24" i="25"/>
  <c r="K277" i="52"/>
  <c r="J283" i="52"/>
  <c r="G283" i="51" s="1"/>
  <c r="H283" i="51" s="1"/>
  <c r="K249" i="52"/>
  <c r="J224" i="52"/>
  <c r="G224" i="51" s="1"/>
  <c r="H224" i="51" s="1"/>
  <c r="O279" i="52"/>
  <c r="J161" i="52"/>
  <c r="G161" i="51" s="1"/>
  <c r="H161" i="51" s="1"/>
  <c r="J107" i="52"/>
  <c r="G107" i="51" s="1"/>
  <c r="H107" i="51" s="1"/>
  <c r="O205" i="25"/>
  <c r="E261" i="25"/>
  <c r="M202" i="6"/>
  <c r="J256" i="6"/>
  <c r="K256" i="6" s="1"/>
  <c r="L256" i="6" s="1"/>
  <c r="M256" i="6" s="1"/>
  <c r="R256" i="6" s="1"/>
  <c r="G256" i="45" s="1"/>
  <c r="M199" i="6"/>
  <c r="R199" i="6" s="1"/>
  <c r="U199" i="6" s="1"/>
  <c r="R143" i="6"/>
  <c r="AB143" i="6" s="1"/>
  <c r="O106" i="25"/>
  <c r="J33" i="6"/>
  <c r="M33" i="6" s="1"/>
  <c r="O29" i="25"/>
  <c r="E29" i="25"/>
  <c r="H29" i="46" s="1"/>
  <c r="Q181" i="6"/>
  <c r="Q178" i="6"/>
  <c r="N120" i="6"/>
  <c r="O120" i="6" s="1"/>
  <c r="P120" i="6" s="1"/>
  <c r="Q120" i="6" s="1"/>
  <c r="R120" i="6" s="1"/>
  <c r="AB120" i="6" s="1"/>
  <c r="J181" i="6"/>
  <c r="M181" i="6" s="1"/>
  <c r="Q64" i="6"/>
  <c r="J172" i="6"/>
  <c r="K172" i="6" s="1"/>
  <c r="L172" i="6" s="1"/>
  <c r="M172" i="6" s="1"/>
  <c r="J53" i="6"/>
  <c r="K53" i="6" s="1"/>
  <c r="L53" i="6" s="1"/>
  <c r="M53" i="6" s="1"/>
  <c r="R53" i="6" s="1"/>
  <c r="AB53" i="6" s="1"/>
  <c r="J199" i="52"/>
  <c r="G199" i="51" s="1"/>
  <c r="H199" i="51" s="1"/>
  <c r="E220" i="25"/>
  <c r="Q128" i="6"/>
  <c r="N104" i="6"/>
  <c r="O104" i="6" s="1"/>
  <c r="P104" i="6" s="1"/>
  <c r="Q104" i="6" s="1"/>
  <c r="O212" i="25"/>
  <c r="E211" i="25"/>
  <c r="J62" i="52"/>
  <c r="O257" i="25"/>
  <c r="E123" i="25"/>
  <c r="E115" i="25"/>
  <c r="E87" i="25"/>
  <c r="F11" i="52"/>
  <c r="G11" i="52" s="1"/>
  <c r="E11" i="54" s="1"/>
  <c r="F20" i="52"/>
  <c r="E20" i="51" s="1"/>
  <c r="F20" i="51" s="1"/>
  <c r="P20" i="26" s="1"/>
  <c r="J139" i="6"/>
  <c r="K139" i="6" s="1"/>
  <c r="L139" i="6" s="1"/>
  <c r="M139" i="6" s="1"/>
  <c r="R139" i="6" s="1"/>
  <c r="AB139" i="6" s="1"/>
  <c r="G23" i="23"/>
  <c r="G23" i="26" s="1"/>
  <c r="H23" i="26" s="1"/>
  <c r="I23" i="26" s="1"/>
  <c r="J23" i="26" s="1"/>
  <c r="O23" i="26" s="1"/>
  <c r="O40" i="28"/>
  <c r="P272" i="28"/>
  <c r="O185" i="25"/>
  <c r="J187" i="52"/>
  <c r="F90" i="52"/>
  <c r="C90" i="54" s="1"/>
  <c r="E79" i="25"/>
  <c r="Q127" i="6"/>
  <c r="P288" i="28"/>
  <c r="E290" i="25"/>
  <c r="E44" i="25"/>
  <c r="C80" i="39"/>
  <c r="K80" i="39" s="1"/>
  <c r="C278" i="28"/>
  <c r="O278" i="28" s="1"/>
  <c r="J173" i="6"/>
  <c r="M173" i="6" s="1"/>
  <c r="I100" i="39"/>
  <c r="E69" i="25"/>
  <c r="C187" i="28"/>
  <c r="O187" i="28" s="1"/>
  <c r="C288" i="39"/>
  <c r="K288" i="39" s="1"/>
  <c r="O43" i="25"/>
  <c r="O210" i="25"/>
  <c r="O135" i="25"/>
  <c r="O206" i="25"/>
  <c r="J216" i="6"/>
  <c r="K216" i="6" s="1"/>
  <c r="L216" i="6" s="1"/>
  <c r="M216" i="6" s="1"/>
  <c r="R216" i="6" s="1"/>
  <c r="T216" i="6" s="1"/>
  <c r="H221" i="46"/>
  <c r="F22" i="52"/>
  <c r="E22" i="51" s="1"/>
  <c r="F22" i="51" s="1"/>
  <c r="P22" i="26" s="1"/>
  <c r="O178" i="25"/>
  <c r="O202" i="25"/>
  <c r="O95" i="25"/>
  <c r="N47" i="52"/>
  <c r="I47" i="51" s="1"/>
  <c r="J47" i="51" s="1"/>
  <c r="Q10" i="6"/>
  <c r="J79" i="6"/>
  <c r="M79" i="6" s="1"/>
  <c r="R79" i="6" s="1"/>
  <c r="AB79" i="6" s="1"/>
  <c r="I287" i="39"/>
  <c r="E37" i="25"/>
  <c r="E136" i="25"/>
  <c r="I105" i="39"/>
  <c r="N154" i="52"/>
  <c r="I154" i="51" s="1"/>
  <c r="J154" i="51" s="1"/>
  <c r="O194" i="25"/>
  <c r="O211" i="25"/>
  <c r="F140" i="52"/>
  <c r="C131" i="39"/>
  <c r="F115" i="52"/>
  <c r="C115" i="54" s="1"/>
  <c r="C242" i="28"/>
  <c r="P242" i="28" s="1"/>
  <c r="E200" i="25"/>
  <c r="H48" i="46"/>
  <c r="O26" i="28"/>
  <c r="K138" i="52"/>
  <c r="N62" i="52"/>
  <c r="O38" i="28"/>
  <c r="E271" i="25"/>
  <c r="O38" i="25"/>
  <c r="E257" i="25"/>
  <c r="I45" i="39"/>
  <c r="C217" i="39"/>
  <c r="O130" i="25"/>
  <c r="J9" i="6"/>
  <c r="K9" i="6" s="1"/>
  <c r="L9" i="6" s="1"/>
  <c r="M9" i="6" s="1"/>
  <c r="J219" i="52"/>
  <c r="K219" i="52" s="1"/>
  <c r="E119" i="25"/>
  <c r="O32" i="7"/>
  <c r="P31" i="7"/>
  <c r="O161" i="7"/>
  <c r="O62" i="7"/>
  <c r="P205" i="7"/>
  <c r="O132" i="7"/>
  <c r="O287" i="7"/>
  <c r="O221" i="7"/>
  <c r="O143" i="7"/>
  <c r="O188" i="7"/>
  <c r="P67" i="7"/>
  <c r="P90" i="7"/>
  <c r="P41" i="7"/>
  <c r="O19" i="7"/>
  <c r="P119" i="7"/>
  <c r="O283" i="7"/>
  <c r="P284" i="7"/>
  <c r="P125" i="7"/>
  <c r="P98" i="7"/>
  <c r="P156" i="7"/>
  <c r="O51" i="7"/>
  <c r="C94" i="39"/>
  <c r="J115" i="26"/>
  <c r="O115" i="26" s="1"/>
  <c r="F6" i="52"/>
  <c r="E6" i="51" s="1"/>
  <c r="F6" i="51" s="1"/>
  <c r="P6" i="26" s="1"/>
  <c r="E273" i="25"/>
  <c r="K163" i="52"/>
  <c r="N73" i="52"/>
  <c r="C262" i="39"/>
  <c r="I262" i="39" s="1"/>
  <c r="C254" i="39"/>
  <c r="J65" i="26"/>
  <c r="O65" i="26" s="1"/>
  <c r="E188" i="25"/>
  <c r="C239" i="39"/>
  <c r="O116" i="25"/>
  <c r="J174" i="6"/>
  <c r="M174" i="6" s="1"/>
  <c r="I18" i="39"/>
  <c r="C284" i="39"/>
  <c r="C136" i="39"/>
  <c r="H237" i="46"/>
  <c r="K104" i="39"/>
  <c r="C252" i="39"/>
  <c r="F89" i="52"/>
  <c r="E89" i="51" s="1"/>
  <c r="F89" i="51" s="1"/>
  <c r="P89" i="26" s="1"/>
  <c r="F262" i="52"/>
  <c r="N15" i="6"/>
  <c r="O15" i="6" s="1"/>
  <c r="P15" i="6" s="1"/>
  <c r="Q15" i="6" s="1"/>
  <c r="C253" i="39"/>
  <c r="K253" i="39" s="1"/>
  <c r="C99" i="39"/>
  <c r="C112" i="39"/>
  <c r="C210" i="39"/>
  <c r="O93" i="25"/>
  <c r="J15" i="6"/>
  <c r="K15" i="6" s="1"/>
  <c r="L15" i="6" s="1"/>
  <c r="M15" i="6" s="1"/>
  <c r="I271" i="39"/>
  <c r="C261" i="39"/>
  <c r="K261" i="39" s="1"/>
  <c r="F192" i="52"/>
  <c r="E192" i="51" s="1"/>
  <c r="F192" i="51" s="1"/>
  <c r="P192" i="26" s="1"/>
  <c r="E161" i="25"/>
  <c r="O157" i="25"/>
  <c r="C106" i="39"/>
  <c r="C127" i="39"/>
  <c r="N68" i="52"/>
  <c r="I68" i="51" s="1"/>
  <c r="J68" i="51" s="1"/>
  <c r="J106" i="6"/>
  <c r="M106" i="6" s="1"/>
  <c r="J44" i="52"/>
  <c r="G44" i="51" s="1"/>
  <c r="H44" i="51" s="1"/>
  <c r="J74" i="26"/>
  <c r="O74" i="26" s="1"/>
  <c r="C260" i="39"/>
  <c r="K260" i="39" s="1"/>
  <c r="C110" i="39"/>
  <c r="K110" i="39" s="1"/>
  <c r="O42" i="28"/>
  <c r="P92" i="28"/>
  <c r="P203" i="28"/>
  <c r="O37" i="28"/>
  <c r="P28" i="28"/>
  <c r="O221" i="26"/>
  <c r="O206" i="26"/>
  <c r="N58" i="26"/>
  <c r="O58" i="26" s="1"/>
  <c r="I22" i="39"/>
  <c r="K286" i="39"/>
  <c r="I98" i="39"/>
  <c r="I203" i="39"/>
  <c r="I88" i="39"/>
  <c r="I25" i="39"/>
  <c r="I42" i="39"/>
  <c r="I38" i="39"/>
  <c r="I30" i="39"/>
  <c r="I166" i="39"/>
  <c r="I37" i="39"/>
  <c r="I32" i="39"/>
  <c r="I200" i="39"/>
  <c r="I23" i="39"/>
  <c r="F53" i="52"/>
  <c r="E53" i="51" s="1"/>
  <c r="F53" i="51" s="1"/>
  <c r="P53" i="26" s="1"/>
  <c r="N57" i="52"/>
  <c r="F222" i="52"/>
  <c r="E222" i="51" s="1"/>
  <c r="F222" i="51" s="1"/>
  <c r="P222" i="26" s="1"/>
  <c r="N41" i="52"/>
  <c r="I41" i="51" s="1"/>
  <c r="J41" i="51" s="1"/>
  <c r="K67" i="52"/>
  <c r="J246" i="52"/>
  <c r="J151" i="52"/>
  <c r="G151" i="51" s="1"/>
  <c r="H151" i="51" s="1"/>
  <c r="J66" i="52"/>
  <c r="G66" i="51" s="1"/>
  <c r="H66" i="51" s="1"/>
  <c r="F190" i="52"/>
  <c r="N63" i="52"/>
  <c r="I63" i="51" s="1"/>
  <c r="J63" i="51" s="1"/>
  <c r="J96" i="52"/>
  <c r="K142" i="52"/>
  <c r="J57" i="52"/>
  <c r="N44" i="52"/>
  <c r="I44" i="51" s="1"/>
  <c r="J44" i="51" s="1"/>
  <c r="F178" i="52"/>
  <c r="F136" i="52"/>
  <c r="E136" i="51" s="1"/>
  <c r="F136" i="51" s="1"/>
  <c r="P136" i="26" s="1"/>
  <c r="N53" i="52"/>
  <c r="J185" i="52"/>
  <c r="K185" i="52" s="1"/>
  <c r="N151" i="52"/>
  <c r="I151" i="51" s="1"/>
  <c r="J151" i="51" s="1"/>
  <c r="N40" i="52"/>
  <c r="I40" i="51" s="1"/>
  <c r="J40" i="51" s="1"/>
  <c r="F259" i="52"/>
  <c r="J237" i="52"/>
  <c r="K237" i="52" s="1"/>
  <c r="J43" i="52"/>
  <c r="N219" i="52"/>
  <c r="I219" i="51" s="1"/>
  <c r="J219" i="51" s="1"/>
  <c r="J141" i="52"/>
  <c r="G141" i="51" s="1"/>
  <c r="H141" i="51" s="1"/>
  <c r="N251" i="52"/>
  <c r="I251" i="51" s="1"/>
  <c r="J251" i="51" s="1"/>
  <c r="J149" i="52"/>
  <c r="G149" i="51" s="1"/>
  <c r="H149" i="51" s="1"/>
  <c r="O131" i="52"/>
  <c r="K87" i="52"/>
  <c r="O241" i="26"/>
  <c r="E241" i="28" s="1"/>
  <c r="N77" i="6"/>
  <c r="O77" i="6" s="1"/>
  <c r="P77" i="6" s="1"/>
  <c r="Q77" i="6" s="1"/>
  <c r="H222" i="46"/>
  <c r="O273" i="25"/>
  <c r="C17" i="25"/>
  <c r="E17" i="25" s="1"/>
  <c r="D11" i="25"/>
  <c r="E11" i="25" s="1"/>
  <c r="E82" i="25"/>
  <c r="C227" i="28"/>
  <c r="C99" i="28"/>
  <c r="P99" i="28" s="1"/>
  <c r="C180" i="28"/>
  <c r="C175" i="28"/>
  <c r="O175" i="28" s="1"/>
  <c r="C157" i="28"/>
  <c r="C91" i="28"/>
  <c r="O91" i="28" s="1"/>
  <c r="C167" i="28"/>
  <c r="P167" i="28" s="1"/>
  <c r="C73" i="28"/>
  <c r="P73" i="28" s="1"/>
  <c r="C276" i="39"/>
  <c r="C282" i="39"/>
  <c r="K282" i="39" s="1"/>
  <c r="C63" i="39"/>
  <c r="K63" i="39" s="1"/>
  <c r="C120" i="39"/>
  <c r="K120" i="39" s="1"/>
  <c r="C157" i="39"/>
  <c r="C238" i="28"/>
  <c r="C134" i="28"/>
  <c r="P134" i="28" s="1"/>
  <c r="N148" i="52"/>
  <c r="I148" i="51" s="1"/>
  <c r="J148" i="51" s="1"/>
  <c r="O262" i="25"/>
  <c r="C126" i="28"/>
  <c r="P126" i="28" s="1"/>
  <c r="C137" i="28"/>
  <c r="P137" i="28" s="1"/>
  <c r="C207" i="28"/>
  <c r="P207" i="28" s="1"/>
  <c r="C95" i="28"/>
  <c r="P95" i="28" s="1"/>
  <c r="C173" i="28"/>
  <c r="C67" i="28"/>
  <c r="P67" i="28" s="1"/>
  <c r="C145" i="28"/>
  <c r="P145" i="28" s="1"/>
  <c r="C108" i="28"/>
  <c r="P108" i="28" s="1"/>
  <c r="J208" i="6"/>
  <c r="M208" i="6" s="1"/>
  <c r="C176" i="39"/>
  <c r="C202" i="39"/>
  <c r="K202" i="39" s="1"/>
  <c r="C228" i="39"/>
  <c r="C218" i="39"/>
  <c r="P241" i="28"/>
  <c r="O241" i="28"/>
  <c r="C278" i="39"/>
  <c r="C61" i="39"/>
  <c r="K61" i="39" s="1"/>
  <c r="C192" i="28"/>
  <c r="C109" i="28"/>
  <c r="P109" i="28" s="1"/>
  <c r="C184" i="28"/>
  <c r="C64" i="28"/>
  <c r="P64" i="28" s="1"/>
  <c r="C115" i="28"/>
  <c r="O115" i="28" s="1"/>
  <c r="C113" i="28"/>
  <c r="P113" i="28" s="1"/>
  <c r="C120" i="28"/>
  <c r="C87" i="28"/>
  <c r="P87" i="28" s="1"/>
  <c r="C112" i="28"/>
  <c r="O106" i="28"/>
  <c r="P106" i="28"/>
  <c r="C220" i="39"/>
  <c r="C159" i="39"/>
  <c r="K159" i="39" s="1"/>
  <c r="C195" i="39"/>
  <c r="C154" i="39"/>
  <c r="C169" i="28"/>
  <c r="P169" i="28" s="1"/>
  <c r="H36" i="46"/>
  <c r="J161" i="6"/>
  <c r="M161" i="6" s="1"/>
  <c r="C55" i="28"/>
  <c r="P55" i="28" s="1"/>
  <c r="C79" i="28"/>
  <c r="C177" i="28"/>
  <c r="P177" i="28" s="1"/>
  <c r="C50" i="28"/>
  <c r="O50" i="28" s="1"/>
  <c r="O280" i="25"/>
  <c r="C149" i="28"/>
  <c r="O149" i="28" s="1"/>
  <c r="C208" i="28"/>
  <c r="P208" i="28" s="1"/>
  <c r="O31" i="28"/>
  <c r="C65" i="28"/>
  <c r="C199" i="39"/>
  <c r="C181" i="39"/>
  <c r="C285" i="39"/>
  <c r="K285" i="39" s="1"/>
  <c r="C274" i="28"/>
  <c r="C202" i="28"/>
  <c r="C193" i="28"/>
  <c r="P193" i="28" s="1"/>
  <c r="C71" i="28"/>
  <c r="P71" i="28" s="1"/>
  <c r="C215" i="28"/>
  <c r="C63" i="28"/>
  <c r="P63" i="28" s="1"/>
  <c r="C164" i="28"/>
  <c r="P164" i="28" s="1"/>
  <c r="C179" i="28"/>
  <c r="P179" i="28" s="1"/>
  <c r="C102" i="28"/>
  <c r="P102" i="28" s="1"/>
  <c r="C133" i="39"/>
  <c r="C91" i="39"/>
  <c r="K91" i="39" s="1"/>
  <c r="C225" i="39"/>
  <c r="C66" i="39"/>
  <c r="K66" i="39" s="1"/>
  <c r="C178" i="28"/>
  <c r="P178" i="28" s="1"/>
  <c r="C118" i="28"/>
  <c r="P118" i="28" s="1"/>
  <c r="C56" i="28"/>
  <c r="P56" i="28" s="1"/>
  <c r="C128" i="28"/>
  <c r="P128" i="28" s="1"/>
  <c r="C5" i="28"/>
  <c r="P5" i="28" s="1"/>
  <c r="C62" i="28"/>
  <c r="P62" i="28" s="1"/>
  <c r="C252" i="28"/>
  <c r="C153" i="28"/>
  <c r="P153" i="28" s="1"/>
  <c r="C190" i="28"/>
  <c r="P190" i="28" s="1"/>
  <c r="C119" i="28"/>
  <c r="P119" i="28" s="1"/>
  <c r="C121" i="39"/>
  <c r="J72" i="6"/>
  <c r="M72" i="6" s="1"/>
  <c r="C173" i="39"/>
  <c r="O186" i="28"/>
  <c r="P186" i="28"/>
  <c r="C194" i="39"/>
  <c r="C133" i="28"/>
  <c r="C233" i="28"/>
  <c r="P233" i="28" s="1"/>
  <c r="K135" i="52"/>
  <c r="C117" i="28"/>
  <c r="P117" i="28" s="1"/>
  <c r="C270" i="28"/>
  <c r="P270" i="28" s="1"/>
  <c r="C135" i="28"/>
  <c r="O135" i="28" s="1"/>
  <c r="C220" i="28"/>
  <c r="P220" i="28" s="1"/>
  <c r="C58" i="28"/>
  <c r="P58" i="28" s="1"/>
  <c r="C192" i="39"/>
  <c r="C143" i="39"/>
  <c r="K143" i="39" s="1"/>
  <c r="C250" i="39"/>
  <c r="C73" i="39"/>
  <c r="K73" i="39" s="1"/>
  <c r="C64" i="39"/>
  <c r="K64" i="39" s="1"/>
  <c r="C239" i="28"/>
  <c r="C198" i="28"/>
  <c r="P198" i="28" s="1"/>
  <c r="C101" i="28"/>
  <c r="P101" i="28" s="1"/>
  <c r="C156" i="28"/>
  <c r="P156" i="28" s="1"/>
  <c r="C182" i="28"/>
  <c r="P182" i="28" s="1"/>
  <c r="C94" i="28"/>
  <c r="O94" i="28" s="1"/>
  <c r="C144" i="28"/>
  <c r="P144" i="28" s="1"/>
  <c r="C154" i="28"/>
  <c r="P154" i="28" s="1"/>
  <c r="C185" i="28"/>
  <c r="P185" i="28" s="1"/>
  <c r="C183" i="39"/>
  <c r="C119" i="39"/>
  <c r="C165" i="39"/>
  <c r="C193" i="39"/>
  <c r="C215" i="39"/>
  <c r="O70" i="52"/>
  <c r="O204" i="25"/>
  <c r="N91" i="6"/>
  <c r="O91" i="6" s="1"/>
  <c r="P91" i="6" s="1"/>
  <c r="Q91" i="6" s="1"/>
  <c r="R91" i="6" s="1"/>
  <c r="G91" i="45" s="1"/>
  <c r="E108" i="25"/>
  <c r="H108" i="46" s="1"/>
  <c r="O239" i="25"/>
  <c r="O152" i="25"/>
  <c r="J237" i="6"/>
  <c r="K237" i="6" s="1"/>
  <c r="L237" i="6" s="1"/>
  <c r="M237" i="6" s="1"/>
  <c r="E215" i="25"/>
  <c r="N192" i="52"/>
  <c r="I192" i="51" s="1"/>
  <c r="J192" i="51" s="1"/>
  <c r="J286" i="6"/>
  <c r="M286" i="6" s="1"/>
  <c r="H241" i="46"/>
  <c r="J32" i="6"/>
  <c r="K32" i="6" s="1"/>
  <c r="L32" i="6" s="1"/>
  <c r="M32" i="6" s="1"/>
  <c r="I29" i="39"/>
  <c r="J156" i="6"/>
  <c r="K156" i="6" s="1"/>
  <c r="L156" i="6" s="1"/>
  <c r="M156" i="6" s="1"/>
  <c r="O87" i="25"/>
  <c r="E152" i="25"/>
  <c r="J209" i="6"/>
  <c r="M209" i="6" s="1"/>
  <c r="J282" i="6"/>
  <c r="K282" i="6" s="1"/>
  <c r="L282" i="6" s="1"/>
  <c r="M282" i="6" s="1"/>
  <c r="R282" i="6" s="1"/>
  <c r="V282" i="6" s="1"/>
  <c r="R150" i="6"/>
  <c r="AB150" i="6" s="1"/>
  <c r="K39" i="52"/>
  <c r="N82" i="6"/>
  <c r="Q82" i="6" s="1"/>
  <c r="R82" i="6" s="1"/>
  <c r="G10" i="52"/>
  <c r="E10" i="54" s="1"/>
  <c r="H199" i="46"/>
  <c r="O22" i="25"/>
  <c r="N98" i="52"/>
  <c r="H133" i="46"/>
  <c r="O8" i="25"/>
  <c r="O123" i="25"/>
  <c r="Q283" i="6"/>
  <c r="R283" i="6" s="1"/>
  <c r="O140" i="25"/>
  <c r="O32" i="28"/>
  <c r="I74" i="39"/>
  <c r="H285" i="46"/>
  <c r="O163" i="25"/>
  <c r="N262" i="6"/>
  <c r="O262" i="6" s="1"/>
  <c r="P262" i="6" s="1"/>
  <c r="Q262" i="6" s="1"/>
  <c r="P245" i="28"/>
  <c r="E217" i="25"/>
  <c r="O155" i="25"/>
  <c r="O271" i="28"/>
  <c r="O43" i="28"/>
  <c r="O134" i="52"/>
  <c r="E182" i="25"/>
  <c r="N148" i="6"/>
  <c r="Q148" i="6" s="1"/>
  <c r="N101" i="6"/>
  <c r="O101" i="6" s="1"/>
  <c r="P101" i="6" s="1"/>
  <c r="Q101" i="6" s="1"/>
  <c r="R101" i="6" s="1"/>
  <c r="N118" i="6"/>
  <c r="Q118" i="6" s="1"/>
  <c r="J128" i="6"/>
  <c r="M128" i="6" s="1"/>
  <c r="J194" i="6"/>
  <c r="M194" i="6" s="1"/>
  <c r="J69" i="6"/>
  <c r="M69" i="6" s="1"/>
  <c r="J231" i="26"/>
  <c r="O231" i="26" s="1"/>
  <c r="F232" i="52"/>
  <c r="J259" i="6"/>
  <c r="K259" i="6" s="1"/>
  <c r="L259" i="6" s="1"/>
  <c r="M259" i="6" s="1"/>
  <c r="R259" i="6" s="1"/>
  <c r="N167" i="6"/>
  <c r="O167" i="6" s="1"/>
  <c r="P167" i="6" s="1"/>
  <c r="Q167" i="6" s="1"/>
  <c r="R167" i="6" s="1"/>
  <c r="H167" i="28" s="1"/>
  <c r="I41" i="39"/>
  <c r="V10" i="33"/>
  <c r="Z10" i="7" s="1"/>
  <c r="O45" i="28"/>
  <c r="A152" i="52"/>
  <c r="A152" i="51"/>
  <c r="A152" i="33"/>
  <c r="A152" i="39"/>
  <c r="A152" i="50"/>
  <c r="A152" i="6"/>
  <c r="A152" i="28"/>
  <c r="A152" i="23"/>
  <c r="A152" i="26"/>
  <c r="A152" i="21"/>
  <c r="A152" i="7"/>
  <c r="A152" i="25"/>
  <c r="A152" i="54"/>
  <c r="A152" i="15"/>
  <c r="H246" i="87"/>
  <c r="C246" i="87" s="1"/>
  <c r="H64" i="39"/>
  <c r="H60" i="39"/>
  <c r="I60" i="39" s="1"/>
  <c r="D36" i="39"/>
  <c r="E36" i="39" s="1"/>
  <c r="H36" i="45" s="1"/>
  <c r="I6" i="87"/>
  <c r="D120" i="39"/>
  <c r="I24" i="87"/>
  <c r="S24" i="87" s="1"/>
  <c r="D4" i="39"/>
  <c r="O119" i="25"/>
  <c r="H263" i="46"/>
  <c r="C183" i="28"/>
  <c r="P183" i="28" s="1"/>
  <c r="H276" i="46"/>
  <c r="H93" i="46"/>
  <c r="O140" i="52"/>
  <c r="J290" i="6"/>
  <c r="M290" i="6" s="1"/>
  <c r="J151" i="6"/>
  <c r="M151" i="6" s="1"/>
  <c r="O72" i="25"/>
  <c r="J232" i="6"/>
  <c r="M232" i="6" s="1"/>
  <c r="H75" i="46"/>
  <c r="K51" i="52"/>
  <c r="H105" i="46"/>
  <c r="N232" i="6"/>
  <c r="Q232" i="6" s="1"/>
  <c r="C261" i="28"/>
  <c r="P261" i="28" s="1"/>
  <c r="H47" i="46"/>
  <c r="O9" i="26"/>
  <c r="F9" i="45" s="1"/>
  <c r="C276" i="28"/>
  <c r="O276" i="28" s="1"/>
  <c r="E192" i="25"/>
  <c r="C287" i="28"/>
  <c r="P287" i="28" s="1"/>
  <c r="O66" i="25"/>
  <c r="H86" i="46"/>
  <c r="H207" i="46"/>
  <c r="C161" i="28"/>
  <c r="P161" i="28" s="1"/>
  <c r="E204" i="25"/>
  <c r="O143" i="25"/>
  <c r="J131" i="6"/>
  <c r="M131" i="6" s="1"/>
  <c r="N189" i="6"/>
  <c r="O189" i="6" s="1"/>
  <c r="P189" i="6" s="1"/>
  <c r="Q189" i="6" s="1"/>
  <c r="R189" i="6" s="1"/>
  <c r="J118" i="6"/>
  <c r="M118" i="6" s="1"/>
  <c r="J157" i="6"/>
  <c r="K157" i="6" s="1"/>
  <c r="L157" i="6" s="1"/>
  <c r="M157" i="6" s="1"/>
  <c r="J218" i="6"/>
  <c r="K218" i="6" s="1"/>
  <c r="L218" i="6" s="1"/>
  <c r="M218" i="6" s="1"/>
  <c r="R218" i="6" s="1"/>
  <c r="W218" i="6" s="1"/>
  <c r="J23" i="6"/>
  <c r="K23" i="6" s="1"/>
  <c r="L23" i="6" s="1"/>
  <c r="M23" i="6" s="1"/>
  <c r="N242" i="6"/>
  <c r="O242" i="6" s="1"/>
  <c r="P242" i="6" s="1"/>
  <c r="Q242" i="6" s="1"/>
  <c r="R242" i="6" s="1"/>
  <c r="N103" i="6"/>
  <c r="O103" i="6" s="1"/>
  <c r="P103" i="6" s="1"/>
  <c r="Q103" i="6" s="1"/>
  <c r="R103" i="6" s="1"/>
  <c r="AG103" i="6" s="1"/>
  <c r="N70" i="6"/>
  <c r="Q70" i="6" s="1"/>
  <c r="J110" i="6"/>
  <c r="M110" i="6" s="1"/>
  <c r="J126" i="6"/>
  <c r="M126" i="6" s="1"/>
  <c r="I219" i="39"/>
  <c r="Z11" i="33"/>
  <c r="BA11" i="7" s="1"/>
  <c r="H160" i="46"/>
  <c r="N87" i="6"/>
  <c r="O87" i="6" s="1"/>
  <c r="P87" i="6" s="1"/>
  <c r="Q87" i="6" s="1"/>
  <c r="H194" i="46"/>
  <c r="N175" i="6"/>
  <c r="O175" i="6" s="1"/>
  <c r="P175" i="6" s="1"/>
  <c r="Q175" i="6" s="1"/>
  <c r="J116" i="6"/>
  <c r="M116" i="6" s="1"/>
  <c r="J226" i="6"/>
  <c r="M226" i="6" s="1"/>
  <c r="R226" i="6" s="1"/>
  <c r="J176" i="6"/>
  <c r="M176" i="6" s="1"/>
  <c r="N112" i="6"/>
  <c r="Q112" i="6" s="1"/>
  <c r="R112" i="6" s="1"/>
  <c r="AB112" i="6" s="1"/>
  <c r="N212" i="6"/>
  <c r="O212" i="6" s="1"/>
  <c r="P212" i="6" s="1"/>
  <c r="Q212" i="6" s="1"/>
  <c r="I40" i="39"/>
  <c r="J61" i="6"/>
  <c r="K61" i="6" s="1"/>
  <c r="L61" i="6" s="1"/>
  <c r="M61" i="6" s="1"/>
  <c r="R61" i="6" s="1"/>
  <c r="X61" i="6" s="1"/>
  <c r="R89" i="6"/>
  <c r="AB89" i="6" s="1"/>
  <c r="N161" i="6"/>
  <c r="Q161" i="6" s="1"/>
  <c r="J109" i="6"/>
  <c r="K109" i="6" s="1"/>
  <c r="L109" i="6" s="1"/>
  <c r="M109" i="6" s="1"/>
  <c r="R109" i="6" s="1"/>
  <c r="N119" i="6"/>
  <c r="O119" i="6" s="1"/>
  <c r="P119" i="6" s="1"/>
  <c r="Q119" i="6" s="1"/>
  <c r="R119" i="6" s="1"/>
  <c r="AC119" i="6" s="1"/>
  <c r="I145" i="39"/>
  <c r="P41" i="28"/>
  <c r="O41" i="28"/>
  <c r="I114" i="39"/>
  <c r="J132" i="6"/>
  <c r="K132" i="6" s="1"/>
  <c r="L132" i="6" s="1"/>
  <c r="M132" i="6" s="1"/>
  <c r="R132" i="6" s="1"/>
  <c r="AB132" i="6" s="1"/>
  <c r="H283" i="46"/>
  <c r="J204" i="6"/>
  <c r="M204" i="6" s="1"/>
  <c r="N193" i="6"/>
  <c r="Q193" i="6" s="1"/>
  <c r="J73" i="6"/>
  <c r="K73" i="6" s="1"/>
  <c r="L73" i="6" s="1"/>
  <c r="M73" i="6" s="1"/>
  <c r="N122" i="6"/>
  <c r="O122" i="6" s="1"/>
  <c r="P122" i="6" s="1"/>
  <c r="Q122" i="6" s="1"/>
  <c r="R122" i="6" s="1"/>
  <c r="N124" i="6"/>
  <c r="O124" i="6" s="1"/>
  <c r="P124" i="6" s="1"/>
  <c r="Q124" i="6" s="1"/>
  <c r="R124" i="6" s="1"/>
  <c r="Z124" i="6" s="1"/>
  <c r="J75" i="6"/>
  <c r="M75" i="6" s="1"/>
  <c r="K35" i="39"/>
  <c r="I35" i="39"/>
  <c r="N32" i="52"/>
  <c r="I32" i="51" s="1"/>
  <c r="J32" i="51" s="1"/>
  <c r="J113" i="52"/>
  <c r="K113" i="52" s="1"/>
  <c r="H165" i="46"/>
  <c r="N125" i="6"/>
  <c r="Q125" i="6" s="1"/>
  <c r="N105" i="6"/>
  <c r="O105" i="6" s="1"/>
  <c r="P105" i="6" s="1"/>
  <c r="Q105" i="6" s="1"/>
  <c r="N192" i="6"/>
  <c r="O192" i="6" s="1"/>
  <c r="P192" i="6" s="1"/>
  <c r="Q192" i="6" s="1"/>
  <c r="R192" i="6" s="1"/>
  <c r="V192" i="6" s="1"/>
  <c r="N202" i="6"/>
  <c r="Q202" i="6" s="1"/>
  <c r="J125" i="6"/>
  <c r="M125" i="6" s="1"/>
  <c r="C171" i="28"/>
  <c r="P171" i="28" s="1"/>
  <c r="J175" i="6"/>
  <c r="K175" i="6" s="1"/>
  <c r="L175" i="6" s="1"/>
  <c r="M175" i="6" s="1"/>
  <c r="I27" i="39"/>
  <c r="I34" i="39"/>
  <c r="J115" i="6"/>
  <c r="K115" i="6" s="1"/>
  <c r="L115" i="6" s="1"/>
  <c r="M115" i="6" s="1"/>
  <c r="R115" i="6" s="1"/>
  <c r="H115" i="28" s="1"/>
  <c r="H201" i="46"/>
  <c r="N40" i="6"/>
  <c r="O40" i="6" s="1"/>
  <c r="P40" i="6" s="1"/>
  <c r="Q40" i="6" s="1"/>
  <c r="J29" i="6"/>
  <c r="K29" i="6" s="1"/>
  <c r="L29" i="6" s="1"/>
  <c r="M29" i="6" s="1"/>
  <c r="R29" i="6" s="1"/>
  <c r="T29" i="6" s="1"/>
  <c r="J55" i="6"/>
  <c r="K55" i="6" s="1"/>
  <c r="L55" i="6" s="1"/>
  <c r="M55" i="6" s="1"/>
  <c r="R55" i="6" s="1"/>
  <c r="V55" i="6" s="1"/>
  <c r="N160" i="6"/>
  <c r="Q160" i="6" s="1"/>
  <c r="J11" i="6"/>
  <c r="M11" i="6" s="1"/>
  <c r="N114" i="6"/>
  <c r="O114" i="6" s="1"/>
  <c r="P114" i="6" s="1"/>
  <c r="Q114" i="6" s="1"/>
  <c r="J257" i="6"/>
  <c r="K257" i="6" s="1"/>
  <c r="L257" i="6" s="1"/>
  <c r="M257" i="6" s="1"/>
  <c r="R257" i="6" s="1"/>
  <c r="N121" i="6"/>
  <c r="O121" i="6" s="1"/>
  <c r="P121" i="6" s="1"/>
  <c r="Q121" i="6" s="1"/>
  <c r="J193" i="6"/>
  <c r="M193" i="6" s="1"/>
  <c r="N163" i="6"/>
  <c r="O163" i="6" s="1"/>
  <c r="P163" i="6" s="1"/>
  <c r="Q163" i="6" s="1"/>
  <c r="R163" i="6" s="1"/>
  <c r="AB163" i="6" s="1"/>
  <c r="J211" i="6"/>
  <c r="K211" i="6" s="1"/>
  <c r="L211" i="6" s="1"/>
  <c r="M211" i="6" s="1"/>
  <c r="R211" i="6" s="1"/>
  <c r="AA211" i="6" s="1"/>
  <c r="O88" i="28"/>
  <c r="P88" i="28"/>
  <c r="J155" i="6"/>
  <c r="M155" i="6" s="1"/>
  <c r="R155" i="6" s="1"/>
  <c r="AB155" i="6" s="1"/>
  <c r="J70" i="6"/>
  <c r="M70" i="6" s="1"/>
  <c r="C10" i="28"/>
  <c r="P10" i="28" s="1"/>
  <c r="N272" i="6"/>
  <c r="Q272" i="6" s="1"/>
  <c r="R272" i="6" s="1"/>
  <c r="T272" i="6" s="1"/>
  <c r="J279" i="6"/>
  <c r="M279" i="6" s="1"/>
  <c r="N113" i="6"/>
  <c r="O113" i="6" s="1"/>
  <c r="P113" i="6" s="1"/>
  <c r="Q113" i="6" s="1"/>
  <c r="J278" i="6"/>
  <c r="K278" i="6" s="1"/>
  <c r="L278" i="6" s="1"/>
  <c r="M278" i="6" s="1"/>
  <c r="R278" i="6" s="1"/>
  <c r="J280" i="6"/>
  <c r="K280" i="6" s="1"/>
  <c r="L280" i="6" s="1"/>
  <c r="M280" i="6" s="1"/>
  <c r="R280" i="6" s="1"/>
  <c r="N164" i="6"/>
  <c r="O164" i="6" s="1"/>
  <c r="P164" i="6" s="1"/>
  <c r="Q164" i="6" s="1"/>
  <c r="R164" i="6" s="1"/>
  <c r="R245" i="6"/>
  <c r="AB245" i="6" s="1"/>
  <c r="J129" i="6"/>
  <c r="M129" i="6" s="1"/>
  <c r="J39" i="6"/>
  <c r="K39" i="6" s="1"/>
  <c r="L39" i="6" s="1"/>
  <c r="M39" i="6" s="1"/>
  <c r="R39" i="6" s="1"/>
  <c r="AB39" i="6" s="1"/>
  <c r="P22" i="28"/>
  <c r="O22" i="28"/>
  <c r="J67" i="6"/>
  <c r="K67" i="6" s="1"/>
  <c r="L67" i="6" s="1"/>
  <c r="M67" i="6" s="1"/>
  <c r="J91" i="52"/>
  <c r="C11" i="28"/>
  <c r="N217" i="6"/>
  <c r="O217" i="6" s="1"/>
  <c r="P217" i="6" s="1"/>
  <c r="Q217" i="6" s="1"/>
  <c r="R217" i="6" s="1"/>
  <c r="T217" i="6" s="1"/>
  <c r="J17" i="6"/>
  <c r="M17" i="6" s="1"/>
  <c r="N108" i="6"/>
  <c r="O108" i="6" s="1"/>
  <c r="P108" i="6" s="1"/>
  <c r="Q108" i="6" s="1"/>
  <c r="R108" i="6" s="1"/>
  <c r="AG108" i="6" s="1"/>
  <c r="J212" i="6"/>
  <c r="K212" i="6" s="1"/>
  <c r="L212" i="6" s="1"/>
  <c r="M212" i="6" s="1"/>
  <c r="N190" i="6"/>
  <c r="Q190" i="6" s="1"/>
  <c r="N102" i="6"/>
  <c r="O102" i="6" s="1"/>
  <c r="P102" i="6" s="1"/>
  <c r="Q102" i="6" s="1"/>
  <c r="R102" i="6" s="1"/>
  <c r="J59" i="6"/>
  <c r="M59" i="6" s="1"/>
  <c r="J38" i="6"/>
  <c r="M38" i="6" s="1"/>
  <c r="H166" i="46"/>
  <c r="C147" i="39"/>
  <c r="K147" i="39" s="1"/>
  <c r="H197" i="46"/>
  <c r="N38" i="6"/>
  <c r="Q38" i="6" s="1"/>
  <c r="J179" i="6"/>
  <c r="K179" i="6" s="1"/>
  <c r="L179" i="6" s="1"/>
  <c r="M179" i="6" s="1"/>
  <c r="R179" i="6" s="1"/>
  <c r="AG179" i="6" s="1"/>
  <c r="N116" i="6"/>
  <c r="Q116" i="6" s="1"/>
  <c r="J191" i="6"/>
  <c r="M191" i="6" s="1"/>
  <c r="N162" i="6"/>
  <c r="Q162" i="6" s="1"/>
  <c r="N157" i="6"/>
  <c r="O157" i="6" s="1"/>
  <c r="P157" i="6" s="1"/>
  <c r="Q157" i="6" s="1"/>
  <c r="J127" i="6"/>
  <c r="M127" i="6" s="1"/>
  <c r="C57" i="28"/>
  <c r="P57" i="28" s="1"/>
  <c r="O48" i="28"/>
  <c r="P48" i="28"/>
  <c r="O244" i="28"/>
  <c r="P244" i="28"/>
  <c r="E63" i="46"/>
  <c r="E62" i="46"/>
  <c r="AK62" i="46" s="1"/>
  <c r="D63" i="46"/>
  <c r="J93" i="52"/>
  <c r="G93" i="51" s="1"/>
  <c r="H93" i="51" s="1"/>
  <c r="N97" i="52"/>
  <c r="I97" i="51" s="1"/>
  <c r="J97" i="51" s="1"/>
  <c r="O285" i="25"/>
  <c r="E227" i="25"/>
  <c r="J48" i="52"/>
  <c r="E163" i="25"/>
  <c r="J35" i="6"/>
  <c r="K35" i="6" s="1"/>
  <c r="L35" i="6" s="1"/>
  <c r="M35" i="6" s="1"/>
  <c r="R35" i="6" s="1"/>
  <c r="E65" i="25"/>
  <c r="Q235" i="6"/>
  <c r="K101" i="52"/>
  <c r="J50" i="26"/>
  <c r="O50" i="26" s="1"/>
  <c r="O277" i="26"/>
  <c r="F277" i="45" s="1"/>
  <c r="K188" i="52"/>
  <c r="H35" i="46"/>
  <c r="O73" i="25"/>
  <c r="J32" i="52"/>
  <c r="N76" i="52"/>
  <c r="I76" i="51" s="1"/>
  <c r="J76" i="51" s="1"/>
  <c r="O81" i="25"/>
  <c r="E74" i="25"/>
  <c r="H272" i="46"/>
  <c r="J47" i="52"/>
  <c r="G47" i="51" s="1"/>
  <c r="H47" i="51" s="1"/>
  <c r="H98" i="46"/>
  <c r="K118" i="52"/>
  <c r="E275" i="25"/>
  <c r="H203" i="46"/>
  <c r="G110" i="52"/>
  <c r="E110" i="54" s="1"/>
  <c r="N224" i="26"/>
  <c r="O224" i="26" s="1"/>
  <c r="Y138" i="33"/>
  <c r="O122" i="26"/>
  <c r="O34" i="26"/>
  <c r="J124" i="26"/>
  <c r="O124" i="26" s="1"/>
  <c r="O252" i="6"/>
  <c r="P252" i="6" s="1"/>
  <c r="Q252" i="6" s="1"/>
  <c r="K132" i="52"/>
  <c r="N88" i="26"/>
  <c r="O88" i="26" s="1"/>
  <c r="K252" i="6"/>
  <c r="L252" i="6" s="1"/>
  <c r="M252" i="6" s="1"/>
  <c r="H250" i="46"/>
  <c r="N154" i="26"/>
  <c r="O154" i="26" s="1"/>
  <c r="H280" i="46"/>
  <c r="N232" i="52"/>
  <c r="I232" i="51" s="1"/>
  <c r="J232" i="51" s="1"/>
  <c r="F50" i="52"/>
  <c r="E50" i="51" s="1"/>
  <c r="F50" i="51" s="1"/>
  <c r="P50" i="26" s="1"/>
  <c r="J154" i="6"/>
  <c r="M154" i="6" s="1"/>
  <c r="E66" i="25"/>
  <c r="U138" i="33"/>
  <c r="C110" i="54"/>
  <c r="R94" i="6"/>
  <c r="AB94" i="6" s="1"/>
  <c r="R255" i="6"/>
  <c r="G255" i="45" s="1"/>
  <c r="R4" i="6"/>
  <c r="AG4" i="6" s="1"/>
  <c r="Q237" i="6"/>
  <c r="R249" i="6"/>
  <c r="AB249" i="6" s="1"/>
  <c r="R145" i="6"/>
  <c r="G145" i="45" s="1"/>
  <c r="R206" i="6"/>
  <c r="G206" i="45" s="1"/>
  <c r="R81" i="6"/>
  <c r="G81" i="45" s="1"/>
  <c r="R63" i="6"/>
  <c r="H63" i="28" s="1"/>
  <c r="R62" i="6"/>
  <c r="Y62" i="6" s="1"/>
  <c r="R238" i="6"/>
  <c r="G238" i="45" s="1"/>
  <c r="R8" i="6"/>
  <c r="AB8" i="6" s="1"/>
  <c r="R271" i="6"/>
  <c r="AC271" i="6" s="1"/>
  <c r="N131" i="26"/>
  <c r="O131" i="26" s="1"/>
  <c r="N151" i="26"/>
  <c r="O151" i="26" s="1"/>
  <c r="O101" i="26"/>
  <c r="O22" i="26"/>
  <c r="N136" i="26"/>
  <c r="O136" i="26" s="1"/>
  <c r="N119" i="26"/>
  <c r="O119" i="26" s="1"/>
  <c r="O191" i="26"/>
  <c r="O44" i="26"/>
  <c r="J139" i="26"/>
  <c r="O139" i="26" s="1"/>
  <c r="O286" i="26"/>
  <c r="N123" i="26"/>
  <c r="O123" i="26" s="1"/>
  <c r="O36" i="26"/>
  <c r="N178" i="26"/>
  <c r="O178" i="26" s="1"/>
  <c r="O33" i="26"/>
  <c r="J171" i="26"/>
  <c r="O171" i="26" s="1"/>
  <c r="O32" i="26"/>
  <c r="J174" i="26"/>
  <c r="O174" i="26" s="1"/>
  <c r="J259" i="26"/>
  <c r="O259" i="26" s="1"/>
  <c r="J199" i="26"/>
  <c r="O199" i="26" s="1"/>
  <c r="N121" i="26"/>
  <c r="O121" i="26" s="1"/>
  <c r="O183" i="26"/>
  <c r="E183" i="28" s="1"/>
  <c r="O111" i="26"/>
  <c r="O164" i="26"/>
  <c r="N80" i="26"/>
  <c r="O80" i="26" s="1"/>
  <c r="O209" i="26"/>
  <c r="N260" i="26"/>
  <c r="O260" i="26" s="1"/>
  <c r="O216" i="26"/>
  <c r="O218" i="26"/>
  <c r="J215" i="26"/>
  <c r="O215" i="26" s="1"/>
  <c r="N204" i="26"/>
  <c r="O204" i="26" s="1"/>
  <c r="J162" i="26"/>
  <c r="O162" i="26" s="1"/>
  <c r="O141" i="26"/>
  <c r="O271" i="26"/>
  <c r="J150" i="26"/>
  <c r="O150" i="26" s="1"/>
  <c r="J147" i="26"/>
  <c r="O147" i="26" s="1"/>
  <c r="O181" i="26"/>
  <c r="O4" i="26"/>
  <c r="J132" i="26"/>
  <c r="O132" i="26" s="1"/>
  <c r="O173" i="26"/>
  <c r="J276" i="26"/>
  <c r="O276" i="26" s="1"/>
  <c r="N104" i="26"/>
  <c r="O104" i="26" s="1"/>
  <c r="O133" i="26"/>
  <c r="O135" i="26"/>
  <c r="J225" i="26"/>
  <c r="O225" i="26" s="1"/>
  <c r="O270" i="26"/>
  <c r="N258" i="26"/>
  <c r="O258" i="26" s="1"/>
  <c r="J29" i="26"/>
  <c r="O29" i="26" s="1"/>
  <c r="O108" i="26"/>
  <c r="J53" i="26"/>
  <c r="O53" i="26" s="1"/>
  <c r="O233" i="26"/>
  <c r="O213" i="26"/>
  <c r="N85" i="26"/>
  <c r="O85" i="26" s="1"/>
  <c r="N196" i="26"/>
  <c r="O196" i="26" s="1"/>
  <c r="J263" i="26"/>
  <c r="O263" i="26" s="1"/>
  <c r="O284" i="26"/>
  <c r="N145" i="26"/>
  <c r="O145" i="26" s="1"/>
  <c r="J153" i="26"/>
  <c r="O153" i="26" s="1"/>
  <c r="O28" i="26"/>
  <c r="N211" i="26"/>
  <c r="O211" i="26" s="1"/>
  <c r="J114" i="26"/>
  <c r="O114" i="26" s="1"/>
  <c r="N86" i="26"/>
  <c r="O86" i="26" s="1"/>
  <c r="O42" i="26"/>
  <c r="J71" i="26"/>
  <c r="O71" i="26" s="1"/>
  <c r="J117" i="26"/>
  <c r="O117" i="26" s="1"/>
  <c r="O68" i="26"/>
  <c r="J157" i="26"/>
  <c r="O157" i="26" s="1"/>
  <c r="O228" i="26"/>
  <c r="N118" i="26"/>
  <c r="O118" i="26" s="1"/>
  <c r="N264" i="26"/>
  <c r="O264" i="26" s="1"/>
  <c r="O102" i="26"/>
  <c r="J100" i="26"/>
  <c r="O100" i="26" s="1"/>
  <c r="J66" i="26"/>
  <c r="O66" i="26" s="1"/>
  <c r="N87" i="26"/>
  <c r="O87" i="26" s="1"/>
  <c r="N205" i="26"/>
  <c r="O205" i="26" s="1"/>
  <c r="O199" i="52"/>
  <c r="O82" i="52"/>
  <c r="O214" i="25"/>
  <c r="O256" i="26"/>
  <c r="O291" i="52"/>
  <c r="Q142" i="6"/>
  <c r="R142" i="6" s="1"/>
  <c r="AB142" i="6" s="1"/>
  <c r="R95" i="6"/>
  <c r="J74" i="6"/>
  <c r="M74" i="6" s="1"/>
  <c r="N203" i="6"/>
  <c r="Q203" i="6" s="1"/>
  <c r="R203" i="6" s="1"/>
  <c r="AB203" i="6" s="1"/>
  <c r="F148" i="52"/>
  <c r="N165" i="6"/>
  <c r="Q165" i="6" s="1"/>
  <c r="N72" i="6"/>
  <c r="Q72" i="6" s="1"/>
  <c r="K27" i="52"/>
  <c r="K25" i="52"/>
  <c r="N144" i="52"/>
  <c r="I144" i="51" s="1"/>
  <c r="J144" i="51" s="1"/>
  <c r="K233" i="52"/>
  <c r="O45" i="52"/>
  <c r="H125" i="46"/>
  <c r="J60" i="6"/>
  <c r="M60" i="6" s="1"/>
  <c r="R60" i="6" s="1"/>
  <c r="V11" i="33"/>
  <c r="J86" i="6"/>
  <c r="K86" i="6" s="1"/>
  <c r="L86" i="6" s="1"/>
  <c r="M86" i="6" s="1"/>
  <c r="N107" i="6"/>
  <c r="O107" i="6" s="1"/>
  <c r="P107" i="6" s="1"/>
  <c r="Q107" i="6" s="1"/>
  <c r="R107" i="6" s="1"/>
  <c r="AB107" i="6" s="1"/>
  <c r="N34" i="52"/>
  <c r="I34" i="51" s="1"/>
  <c r="J34" i="51" s="1"/>
  <c r="N117" i="6"/>
  <c r="Q117" i="6" s="1"/>
  <c r="R117" i="6" s="1"/>
  <c r="AB117" i="6" s="1"/>
  <c r="N273" i="6"/>
  <c r="O273" i="6" s="1"/>
  <c r="P273" i="6" s="1"/>
  <c r="Q273" i="6" s="1"/>
  <c r="R273" i="6" s="1"/>
  <c r="N59" i="6"/>
  <c r="Q59" i="6" s="1"/>
  <c r="O198" i="52"/>
  <c r="K35" i="52"/>
  <c r="H71" i="46"/>
  <c r="N75" i="6"/>
  <c r="Q75" i="6" s="1"/>
  <c r="F157" i="52"/>
  <c r="H61" i="46"/>
  <c r="E15" i="25"/>
  <c r="J148" i="6"/>
  <c r="M148" i="6" s="1"/>
  <c r="C252" i="54"/>
  <c r="N191" i="6"/>
  <c r="Q191" i="6" s="1"/>
  <c r="N166" i="6"/>
  <c r="Q166" i="6" s="1"/>
  <c r="R166" i="6" s="1"/>
  <c r="AB166" i="6" s="1"/>
  <c r="R144" i="6"/>
  <c r="Z144" i="6" s="1"/>
  <c r="N207" i="6"/>
  <c r="Q207" i="6" s="1"/>
  <c r="N168" i="6"/>
  <c r="Q168" i="6" s="1"/>
  <c r="J178" i="6"/>
  <c r="M178" i="6" s="1"/>
  <c r="N172" i="6"/>
  <c r="O172" i="6" s="1"/>
  <c r="P172" i="6" s="1"/>
  <c r="Q172" i="6" s="1"/>
  <c r="J73" i="52"/>
  <c r="J110" i="26"/>
  <c r="O110" i="26" s="1"/>
  <c r="E155" i="25"/>
  <c r="F68" i="52"/>
  <c r="E68" i="51" s="1"/>
  <c r="F68" i="51" s="1"/>
  <c r="P68" i="26" s="1"/>
  <c r="F235" i="52"/>
  <c r="G235" i="52" s="1"/>
  <c r="E235" i="54" s="1"/>
  <c r="J113" i="26"/>
  <c r="O113" i="26" s="1"/>
  <c r="N208" i="26"/>
  <c r="O208" i="26" s="1"/>
  <c r="O288" i="26"/>
  <c r="N94" i="26"/>
  <c r="O94" i="26" s="1"/>
  <c r="O37" i="25"/>
  <c r="N65" i="52"/>
  <c r="I65" i="51" s="1"/>
  <c r="J65" i="51" s="1"/>
  <c r="E97" i="25"/>
  <c r="F204" i="52"/>
  <c r="E204" i="51" s="1"/>
  <c r="F204" i="51" s="1"/>
  <c r="P204" i="26" s="1"/>
  <c r="E224" i="25"/>
  <c r="H191" i="46"/>
  <c r="H90" i="46"/>
  <c r="H219" i="46"/>
  <c r="N222" i="52"/>
  <c r="I222" i="51" s="1"/>
  <c r="J222" i="51" s="1"/>
  <c r="O192" i="26"/>
  <c r="N262" i="26"/>
  <c r="O262" i="26" s="1"/>
  <c r="J76" i="26"/>
  <c r="O76" i="26" s="1"/>
  <c r="K40" i="52"/>
  <c r="O148" i="26"/>
  <c r="J24" i="6"/>
  <c r="K24" i="6" s="1"/>
  <c r="L24" i="6" s="1"/>
  <c r="M24" i="6" s="1"/>
  <c r="R24" i="6" s="1"/>
  <c r="X24" i="6" s="1"/>
  <c r="O57" i="26"/>
  <c r="E167" i="25"/>
  <c r="O185" i="26"/>
  <c r="J232" i="52"/>
  <c r="G232" i="51" s="1"/>
  <c r="H232" i="51" s="1"/>
  <c r="R96" i="6"/>
  <c r="Y96" i="6" s="1"/>
  <c r="J135" i="6"/>
  <c r="K135" i="6" s="1"/>
  <c r="L135" i="6" s="1"/>
  <c r="M135" i="6" s="1"/>
  <c r="R135" i="6" s="1"/>
  <c r="W135" i="6" s="1"/>
  <c r="C259" i="28"/>
  <c r="P259" i="28" s="1"/>
  <c r="R284" i="6"/>
  <c r="AB284" i="6" s="1"/>
  <c r="N99" i="52"/>
  <c r="I99" i="51" s="1"/>
  <c r="J99" i="51" s="1"/>
  <c r="C189" i="28"/>
  <c r="J99" i="52"/>
  <c r="K99" i="52" s="1"/>
  <c r="J126" i="52"/>
  <c r="G126" i="51" s="1"/>
  <c r="H126" i="51" s="1"/>
  <c r="C6" i="28"/>
  <c r="P24" i="28"/>
  <c r="O252" i="52"/>
  <c r="O92" i="26"/>
  <c r="F231" i="52"/>
  <c r="J249" i="26"/>
  <c r="O249" i="26" s="1"/>
  <c r="P60" i="28"/>
  <c r="N250" i="26"/>
  <c r="O250" i="26" s="1"/>
  <c r="O98" i="26"/>
  <c r="J30" i="26"/>
  <c r="O30" i="26" s="1"/>
  <c r="O244" i="26"/>
  <c r="O175" i="26"/>
  <c r="O166" i="26"/>
  <c r="O243" i="26"/>
  <c r="J149" i="26"/>
  <c r="O149" i="26" s="1"/>
  <c r="O20" i="26"/>
  <c r="O95" i="26"/>
  <c r="J82" i="26"/>
  <c r="O82" i="26" s="1"/>
  <c r="O89" i="26"/>
  <c r="O180" i="26"/>
  <c r="O144" i="26"/>
  <c r="K159" i="52"/>
  <c r="O165" i="52"/>
  <c r="O221" i="52"/>
  <c r="O208" i="52"/>
  <c r="O126" i="52"/>
  <c r="K115" i="52"/>
  <c r="O149" i="52"/>
  <c r="K103" i="52"/>
  <c r="N28" i="52"/>
  <c r="I28" i="51" s="1"/>
  <c r="J28" i="51" s="1"/>
  <c r="N113" i="52"/>
  <c r="I113" i="51" s="1"/>
  <c r="J113" i="51" s="1"/>
  <c r="J192" i="52"/>
  <c r="O209" i="52"/>
  <c r="N147" i="52"/>
  <c r="I147" i="51" s="1"/>
  <c r="J147" i="51" s="1"/>
  <c r="O23" i="52"/>
  <c r="K80" i="52"/>
  <c r="O110" i="52"/>
  <c r="N50" i="52"/>
  <c r="N187" i="52"/>
  <c r="I187" i="51" s="1"/>
  <c r="J187" i="51" s="1"/>
  <c r="K193" i="52"/>
  <c r="J221" i="52"/>
  <c r="G221" i="51" s="1"/>
  <c r="H221" i="51" s="1"/>
  <c r="F224" i="52"/>
  <c r="F196" i="52"/>
  <c r="N161" i="52"/>
  <c r="K258" i="52"/>
  <c r="K63" i="52"/>
  <c r="AR5" i="7"/>
  <c r="H286" i="46"/>
  <c r="O215" i="25"/>
  <c r="O131" i="25"/>
  <c r="E150" i="25"/>
  <c r="H150" i="46" s="1"/>
  <c r="O196" i="25"/>
  <c r="E158" i="25"/>
  <c r="O45" i="25"/>
  <c r="O226" i="25"/>
  <c r="H99" i="46"/>
  <c r="E289" i="25"/>
  <c r="O221" i="25"/>
  <c r="E114" i="25"/>
  <c r="H218" i="46"/>
  <c r="K61" i="52"/>
  <c r="K264" i="52"/>
  <c r="O226" i="52"/>
  <c r="K17" i="52"/>
  <c r="K140" i="52"/>
  <c r="O83" i="52"/>
  <c r="K289" i="52"/>
  <c r="N285" i="52"/>
  <c r="I285" i="51" s="1"/>
  <c r="J285" i="51" s="1"/>
  <c r="O155" i="52"/>
  <c r="K36" i="52"/>
  <c r="C289" i="54"/>
  <c r="G289" i="52"/>
  <c r="E289" i="54" s="1"/>
  <c r="F42" i="52"/>
  <c r="G42" i="52" s="1"/>
  <c r="E42" i="54" s="1"/>
  <c r="G109" i="52"/>
  <c r="E109" i="54" s="1"/>
  <c r="C109" i="54"/>
  <c r="J94" i="52"/>
  <c r="F198" i="52"/>
  <c r="P291" i="26"/>
  <c r="C291" i="54"/>
  <c r="G291" i="52"/>
  <c r="E291" i="54" s="1"/>
  <c r="K205" i="52"/>
  <c r="K24" i="52"/>
  <c r="K250" i="52"/>
  <c r="K218" i="52"/>
  <c r="J165" i="6"/>
  <c r="M165" i="6" s="1"/>
  <c r="N219" i="6"/>
  <c r="Q219" i="6" s="1"/>
  <c r="R219" i="6" s="1"/>
  <c r="AB219" i="6" s="1"/>
  <c r="J189" i="26"/>
  <c r="O189" i="26" s="1"/>
  <c r="N183" i="6"/>
  <c r="Q183" i="6" s="1"/>
  <c r="J6" i="6"/>
  <c r="K6" i="6" s="1"/>
  <c r="L6" i="6" s="1"/>
  <c r="M6" i="6" s="1"/>
  <c r="J169" i="6"/>
  <c r="M169" i="6" s="1"/>
  <c r="N153" i="6"/>
  <c r="Q153" i="6" s="1"/>
  <c r="O127" i="26"/>
  <c r="N48" i="6"/>
  <c r="Q48" i="6" s="1"/>
  <c r="O31" i="26"/>
  <c r="N73" i="6"/>
  <c r="O73" i="6" s="1"/>
  <c r="P73" i="6" s="1"/>
  <c r="Q73" i="6" s="1"/>
  <c r="N258" i="6"/>
  <c r="O258" i="6" s="1"/>
  <c r="P258" i="6" s="1"/>
  <c r="Q258" i="6" s="1"/>
  <c r="R258" i="6" s="1"/>
  <c r="N177" i="6"/>
  <c r="Q177" i="6" s="1"/>
  <c r="O130" i="26"/>
  <c r="J207" i="6"/>
  <c r="M207" i="6" s="1"/>
  <c r="N187" i="6"/>
  <c r="Q187" i="6" s="1"/>
  <c r="J213" i="6"/>
  <c r="M213" i="6" s="1"/>
  <c r="J222" i="6"/>
  <c r="M222" i="6" s="1"/>
  <c r="N34" i="6"/>
  <c r="O34" i="6" s="1"/>
  <c r="P34" i="6" s="1"/>
  <c r="Q34" i="6" s="1"/>
  <c r="R34" i="6" s="1"/>
  <c r="J215" i="6"/>
  <c r="M215" i="6" s="1"/>
  <c r="R215" i="6" s="1"/>
  <c r="AB215" i="6" s="1"/>
  <c r="O47" i="26"/>
  <c r="E249" i="25"/>
  <c r="O70" i="25"/>
  <c r="E225" i="25"/>
  <c r="O255" i="25"/>
  <c r="O82" i="25"/>
  <c r="H168" i="46"/>
  <c r="O107" i="25"/>
  <c r="O97" i="25"/>
  <c r="O142" i="25"/>
  <c r="E185" i="25"/>
  <c r="H233" i="46"/>
  <c r="O114" i="25"/>
  <c r="O224" i="52"/>
  <c r="O236" i="26"/>
  <c r="C188" i="28"/>
  <c r="Y254" i="33"/>
  <c r="J205" i="6"/>
  <c r="M205" i="6" s="1"/>
  <c r="J96" i="26"/>
  <c r="O96" i="26" s="1"/>
  <c r="E109" i="25"/>
  <c r="E110" i="25"/>
  <c r="O232" i="25"/>
  <c r="O99" i="26"/>
  <c r="J253" i="52"/>
  <c r="G4" i="51"/>
  <c r="H4" i="51" s="1"/>
  <c r="H10" i="46"/>
  <c r="K279" i="52"/>
  <c r="J25" i="6"/>
  <c r="K25" i="6" s="1"/>
  <c r="L25" i="6" s="1"/>
  <c r="M25" i="6" s="1"/>
  <c r="R25" i="6" s="1"/>
  <c r="AB25" i="6" s="1"/>
  <c r="K196" i="39"/>
  <c r="I196" i="39"/>
  <c r="N79" i="26"/>
  <c r="O79" i="26" s="1"/>
  <c r="N278" i="26"/>
  <c r="O278" i="26" s="1"/>
  <c r="F4" i="52"/>
  <c r="C4" i="54" s="1"/>
  <c r="N224" i="6"/>
  <c r="Q224" i="6" s="1"/>
  <c r="N173" i="6"/>
  <c r="Q173" i="6" s="1"/>
  <c r="O171" i="25"/>
  <c r="O167" i="25"/>
  <c r="C197" i="54"/>
  <c r="K145" i="52"/>
  <c r="C155" i="54"/>
  <c r="G155" i="52"/>
  <c r="E155" i="54" s="1"/>
  <c r="O187" i="26"/>
  <c r="F147" i="52"/>
  <c r="K148" i="52"/>
  <c r="N106" i="52"/>
  <c r="F274" i="52"/>
  <c r="H148" i="46"/>
  <c r="O186" i="26"/>
  <c r="O207" i="26"/>
  <c r="O18" i="26"/>
  <c r="O201" i="26"/>
  <c r="O155" i="26"/>
  <c r="J39" i="26"/>
  <c r="O39" i="26" s="1"/>
  <c r="O254" i="26"/>
  <c r="N232" i="26"/>
  <c r="O232" i="26" s="1"/>
  <c r="N194" i="26"/>
  <c r="O194" i="26" s="1"/>
  <c r="O219" i="26"/>
  <c r="N8" i="26"/>
  <c r="O90" i="26"/>
  <c r="O45" i="26"/>
  <c r="O253" i="26"/>
  <c r="O193" i="26"/>
  <c r="O226" i="26"/>
  <c r="O55" i="26"/>
  <c r="O120" i="26"/>
  <c r="O63" i="26"/>
  <c r="O19" i="26"/>
  <c r="G256" i="52"/>
  <c r="E256" i="54" s="1"/>
  <c r="K206" i="52"/>
  <c r="C256" i="54"/>
  <c r="K275" i="52"/>
  <c r="K109" i="52"/>
  <c r="O158" i="52"/>
  <c r="K191" i="52"/>
  <c r="K75" i="52"/>
  <c r="J106" i="52"/>
  <c r="K106" i="52" s="1"/>
  <c r="K226" i="52"/>
  <c r="O177" i="52"/>
  <c r="N253" i="52"/>
  <c r="I253" i="51" s="1"/>
  <c r="J253" i="51" s="1"/>
  <c r="O225" i="52"/>
  <c r="P241" i="26"/>
  <c r="C241" i="54"/>
  <c r="H63" i="39"/>
  <c r="H67" i="39"/>
  <c r="R186" i="6"/>
  <c r="V186" i="6" s="1"/>
  <c r="R80" i="6"/>
  <c r="Q131" i="6"/>
  <c r="O27" i="25"/>
  <c r="O94" i="25"/>
  <c r="O153" i="25"/>
  <c r="E32" i="25"/>
  <c r="E106" i="25"/>
  <c r="H216" i="46"/>
  <c r="H186" i="46"/>
  <c r="E196" i="25"/>
  <c r="H196" i="46" s="1"/>
  <c r="E172" i="25"/>
  <c r="O65" i="25"/>
  <c r="E164" i="25"/>
  <c r="O164" i="25"/>
  <c r="O110" i="25"/>
  <c r="H59" i="46"/>
  <c r="K260" i="52"/>
  <c r="K76" i="52"/>
  <c r="O141" i="52"/>
  <c r="O48" i="52"/>
  <c r="O94" i="52"/>
  <c r="K30" i="52"/>
  <c r="K104" i="52"/>
  <c r="K177" i="52"/>
  <c r="P288" i="26"/>
  <c r="G288" i="52"/>
  <c r="E288" i="54" s="1"/>
  <c r="C288" i="54"/>
  <c r="O74" i="52"/>
  <c r="K228" i="52"/>
  <c r="K227" i="52"/>
  <c r="K200" i="52"/>
  <c r="K89" i="52"/>
  <c r="K79" i="52"/>
  <c r="K134" i="52"/>
  <c r="K204" i="52"/>
  <c r="K274" i="52"/>
  <c r="K262" i="52"/>
  <c r="K133" i="52"/>
  <c r="K33" i="52"/>
  <c r="O270" i="52"/>
  <c r="K284" i="52"/>
  <c r="O290" i="52"/>
  <c r="K122" i="52"/>
  <c r="K212" i="52"/>
  <c r="O125" i="52"/>
  <c r="J137" i="6"/>
  <c r="K137" i="6" s="1"/>
  <c r="L137" i="6" s="1"/>
  <c r="M137" i="6" s="1"/>
  <c r="R137" i="6" s="1"/>
  <c r="O129" i="26"/>
  <c r="N97" i="6"/>
  <c r="O97" i="6" s="1"/>
  <c r="P97" i="6" s="1"/>
  <c r="Q97" i="6" s="1"/>
  <c r="R97" i="6" s="1"/>
  <c r="J168" i="6"/>
  <c r="M168" i="6" s="1"/>
  <c r="O97" i="26"/>
  <c r="O289" i="26"/>
  <c r="N6" i="26"/>
  <c r="AC136" i="6"/>
  <c r="V136" i="6"/>
  <c r="Y136" i="6"/>
  <c r="J197" i="6"/>
  <c r="M197" i="6" s="1"/>
  <c r="R239" i="6"/>
  <c r="AB239" i="6" s="1"/>
  <c r="N197" i="6"/>
  <c r="Q197" i="6" s="1"/>
  <c r="N51" i="6"/>
  <c r="Q51" i="6" s="1"/>
  <c r="O272" i="26"/>
  <c r="N69" i="6"/>
  <c r="Q69" i="6" s="1"/>
  <c r="J134" i="6"/>
  <c r="M134" i="6" s="1"/>
  <c r="R134" i="6" s="1"/>
  <c r="AB134" i="6" s="1"/>
  <c r="O214" i="26"/>
  <c r="O182" i="26"/>
  <c r="O40" i="26"/>
  <c r="O48" i="26"/>
  <c r="J288" i="6"/>
  <c r="M288" i="6" s="1"/>
  <c r="R288" i="6" s="1"/>
  <c r="AB288" i="6" s="1"/>
  <c r="N91" i="26"/>
  <c r="O91" i="26" s="1"/>
  <c r="J93" i="26"/>
  <c r="O93" i="26" s="1"/>
  <c r="J159" i="6"/>
  <c r="M159" i="6" s="1"/>
  <c r="N248" i="26"/>
  <c r="O248" i="26" s="1"/>
  <c r="N17" i="6"/>
  <c r="Q17" i="6" s="1"/>
  <c r="O237" i="26"/>
  <c r="N57" i="6"/>
  <c r="O57" i="6" s="1"/>
  <c r="P57" i="6" s="1"/>
  <c r="Q57" i="6" s="1"/>
  <c r="R57" i="6" s="1"/>
  <c r="N221" i="6"/>
  <c r="Q221" i="6" s="1"/>
  <c r="N188" i="26"/>
  <c r="O188" i="26" s="1"/>
  <c r="N76" i="6"/>
  <c r="Q76" i="6" s="1"/>
  <c r="N254" i="6"/>
  <c r="Q254" i="6" s="1"/>
  <c r="R254" i="6" s="1"/>
  <c r="AB254" i="6" s="1"/>
  <c r="N66" i="6"/>
  <c r="O66" i="6" s="1"/>
  <c r="P66" i="6" s="1"/>
  <c r="Q66" i="6" s="1"/>
  <c r="H179" i="46"/>
  <c r="H206" i="46"/>
  <c r="O39" i="25"/>
  <c r="E151" i="25"/>
  <c r="O156" i="25"/>
  <c r="O192" i="25"/>
  <c r="E25" i="25"/>
  <c r="O235" i="25"/>
  <c r="H45" i="46"/>
  <c r="O188" i="25"/>
  <c r="O249" i="25"/>
  <c r="O282" i="25"/>
  <c r="H193" i="46"/>
  <c r="E162" i="25"/>
  <c r="E126" i="25"/>
  <c r="O121" i="25"/>
  <c r="H235" i="46"/>
  <c r="O106" i="26"/>
  <c r="F106" i="52"/>
  <c r="J170" i="6"/>
  <c r="M170" i="6" s="1"/>
  <c r="J42" i="52"/>
  <c r="G42" i="51" s="1"/>
  <c r="H42" i="51" s="1"/>
  <c r="J158" i="6"/>
  <c r="M158" i="6" s="1"/>
  <c r="R158" i="6" s="1"/>
  <c r="AB158" i="6" s="1"/>
  <c r="O274" i="26"/>
  <c r="E120" i="25"/>
  <c r="N42" i="52"/>
  <c r="I42" i="51" s="1"/>
  <c r="J42" i="51" s="1"/>
  <c r="O184" i="26"/>
  <c r="O282" i="26"/>
  <c r="O195" i="25"/>
  <c r="O172" i="52"/>
  <c r="C260" i="28"/>
  <c r="O100" i="28"/>
  <c r="P100" i="28"/>
  <c r="J113" i="6"/>
  <c r="K113" i="6" s="1"/>
  <c r="L113" i="6" s="1"/>
  <c r="M113" i="6" s="1"/>
  <c r="O15" i="26"/>
  <c r="O287" i="26"/>
  <c r="F154" i="52"/>
  <c r="J83" i="6"/>
  <c r="M83" i="6" s="1"/>
  <c r="J210" i="6"/>
  <c r="M210" i="6" s="1"/>
  <c r="N241" i="6"/>
  <c r="O241" i="6" s="1"/>
  <c r="P241" i="6" s="1"/>
  <c r="Q241" i="6" s="1"/>
  <c r="R241" i="6" s="1"/>
  <c r="AB241" i="6" s="1"/>
  <c r="I144" i="39"/>
  <c r="I26" i="39"/>
  <c r="C111" i="54"/>
  <c r="G111" i="52"/>
  <c r="E111" i="54" s="1"/>
  <c r="J66" i="6"/>
  <c r="K66" i="6" s="1"/>
  <c r="L66" i="6" s="1"/>
  <c r="M66" i="6" s="1"/>
  <c r="O41" i="26"/>
  <c r="O280" i="26"/>
  <c r="F181" i="52"/>
  <c r="E181" i="51" s="1"/>
  <c r="F181" i="51" s="1"/>
  <c r="P181" i="26" s="1"/>
  <c r="N106" i="6"/>
  <c r="Q106" i="6" s="1"/>
  <c r="H214" i="46"/>
  <c r="H50" i="46"/>
  <c r="E94" i="25"/>
  <c r="O171" i="52"/>
  <c r="E260" i="25"/>
  <c r="J187" i="6"/>
  <c r="M187" i="6" s="1"/>
  <c r="O58" i="52"/>
  <c r="O260" i="25"/>
  <c r="P56" i="26"/>
  <c r="C56" i="54"/>
  <c r="G56" i="52"/>
  <c r="E56" i="54" s="1"/>
  <c r="J18" i="6"/>
  <c r="M18" i="6" s="1"/>
  <c r="J235" i="6"/>
  <c r="M235" i="6" s="1"/>
  <c r="N235" i="26"/>
  <c r="O235" i="26" s="1"/>
  <c r="J105" i="6"/>
  <c r="K105" i="6" s="1"/>
  <c r="L105" i="6" s="1"/>
  <c r="M105" i="6" s="1"/>
  <c r="G88" i="52"/>
  <c r="E88" i="54" s="1"/>
  <c r="O272" i="52"/>
  <c r="N9" i="6"/>
  <c r="O9" i="6" s="1"/>
  <c r="P9" i="6" s="1"/>
  <c r="Q9" i="6" s="1"/>
  <c r="H70" i="46"/>
  <c r="O117" i="52"/>
  <c r="J87" i="6"/>
  <c r="K87" i="6" s="1"/>
  <c r="L87" i="6" s="1"/>
  <c r="M87" i="6" s="1"/>
  <c r="P33" i="28"/>
  <c r="O33" i="28"/>
  <c r="H81" i="46"/>
  <c r="O36" i="28"/>
  <c r="P36" i="28"/>
  <c r="O159" i="26"/>
  <c r="I36" i="39"/>
  <c r="K15" i="52"/>
  <c r="K160" i="52"/>
  <c r="O62" i="26"/>
  <c r="J109" i="26"/>
  <c r="O109" i="26" s="1"/>
  <c r="C235" i="39"/>
  <c r="J290" i="26"/>
  <c r="O290" i="26" s="1"/>
  <c r="O209" i="25"/>
  <c r="E253" i="25"/>
  <c r="O60" i="26"/>
  <c r="N222" i="26"/>
  <c r="O222" i="26" s="1"/>
  <c r="J185" i="6"/>
  <c r="J220" i="6"/>
  <c r="M220" i="6" s="1"/>
  <c r="R220" i="6" s="1"/>
  <c r="AB220" i="6" s="1"/>
  <c r="P44" i="28"/>
  <c r="O44" i="28"/>
  <c r="O118" i="25"/>
  <c r="E202" i="25"/>
  <c r="O253" i="25"/>
  <c r="N235" i="52"/>
  <c r="I235" i="51" s="1"/>
  <c r="J235" i="51" s="1"/>
  <c r="K183" i="52"/>
  <c r="O64" i="26"/>
  <c r="J126" i="26"/>
  <c r="O126" i="26" s="1"/>
  <c r="O172" i="26"/>
  <c r="J202" i="26"/>
  <c r="O202" i="26" s="1"/>
  <c r="O37" i="26"/>
  <c r="O105" i="26"/>
  <c r="N69" i="26"/>
  <c r="O69" i="26" s="1"/>
  <c r="O26" i="26"/>
  <c r="O59" i="26"/>
  <c r="F242" i="45"/>
  <c r="E242" i="28"/>
  <c r="N116" i="26"/>
  <c r="O116" i="26" s="1"/>
  <c r="O5" i="26"/>
  <c r="O176" i="26"/>
  <c r="O51" i="26"/>
  <c r="I279" i="39"/>
  <c r="K256" i="52"/>
  <c r="K257" i="52"/>
  <c r="K105" i="52"/>
  <c r="P200" i="26"/>
  <c r="G200" i="52"/>
  <c r="E200" i="54" s="1"/>
  <c r="C200" i="54"/>
  <c r="K280" i="52"/>
  <c r="G114" i="52"/>
  <c r="E114" i="54" s="1"/>
  <c r="C114" i="54"/>
  <c r="K248" i="52"/>
  <c r="P191" i="26"/>
  <c r="G191" i="52"/>
  <c r="C190" i="54"/>
  <c r="C191" i="54"/>
  <c r="O122" i="52"/>
  <c r="P99" i="26"/>
  <c r="C99" i="54"/>
  <c r="G99" i="52"/>
  <c r="E99" i="54" s="1"/>
  <c r="G84" i="52"/>
  <c r="E84" i="54" s="1"/>
  <c r="C84" i="54"/>
  <c r="C60" i="54"/>
  <c r="G60" i="52"/>
  <c r="E60" i="54" s="1"/>
  <c r="K180" i="52"/>
  <c r="O284" i="52"/>
  <c r="O15" i="52"/>
  <c r="P37" i="26"/>
  <c r="C37" i="54"/>
  <c r="G37" i="52"/>
  <c r="E37" i="54" s="1"/>
  <c r="J231" i="52"/>
  <c r="G231" i="51" s="1"/>
  <c r="H231" i="51" s="1"/>
  <c r="K173" i="52"/>
  <c r="K208" i="52"/>
  <c r="N231" i="52"/>
  <c r="I231" i="51" s="1"/>
  <c r="J231" i="51" s="1"/>
  <c r="K9" i="52"/>
  <c r="K125" i="52"/>
  <c r="K222" i="52"/>
  <c r="C279" i="54"/>
  <c r="G279" i="52"/>
  <c r="E279" i="54" s="1"/>
  <c r="K137" i="52"/>
  <c r="K8" i="52"/>
  <c r="H128" i="39"/>
  <c r="H72" i="39"/>
  <c r="I72" i="39" s="1"/>
  <c r="H66" i="39"/>
  <c r="H71" i="39"/>
  <c r="H101" i="39"/>
  <c r="H62" i="39"/>
  <c r="H4" i="39"/>
  <c r="H109" i="39"/>
  <c r="H75" i="39"/>
  <c r="I75" i="39" s="1"/>
  <c r="H91" i="39"/>
  <c r="H136" i="39"/>
  <c r="H120" i="39"/>
  <c r="H61" i="39"/>
  <c r="H59" i="39"/>
  <c r="I59" i="39" s="1"/>
  <c r="H65" i="39"/>
  <c r="R261" i="6"/>
  <c r="AB261" i="6" s="1"/>
  <c r="R233" i="6"/>
  <c r="AB233" i="6" s="1"/>
  <c r="R270" i="6"/>
  <c r="E118" i="25"/>
  <c r="H254" i="46"/>
  <c r="H130" i="46"/>
  <c r="H88" i="46"/>
  <c r="H149" i="46"/>
  <c r="H141" i="46"/>
  <c r="H183" i="46"/>
  <c r="H140" i="46"/>
  <c r="H245" i="46"/>
  <c r="P72" i="26"/>
  <c r="G72" i="52"/>
  <c r="E72" i="54" s="1"/>
  <c r="C72" i="54"/>
  <c r="C94" i="54"/>
  <c r="G94" i="52"/>
  <c r="E94" i="54" s="1"/>
  <c r="O286" i="52"/>
  <c r="K286" i="52"/>
  <c r="O157" i="52"/>
  <c r="P100" i="26"/>
  <c r="C100" i="54"/>
  <c r="G100" i="52"/>
  <c r="E100" i="54" s="1"/>
  <c r="K194" i="52"/>
  <c r="O181" i="52"/>
  <c r="P203" i="26"/>
  <c r="G203" i="52"/>
  <c r="E203" i="54" s="1"/>
  <c r="C203" i="54"/>
  <c r="K184" i="52"/>
  <c r="P133" i="26"/>
  <c r="C133" i="54"/>
  <c r="G133" i="52"/>
  <c r="E133" i="54" s="1"/>
  <c r="K69" i="52"/>
  <c r="G112" i="52"/>
  <c r="E112" i="54" s="1"/>
  <c r="C112" i="54"/>
  <c r="O19" i="52"/>
  <c r="P172" i="26"/>
  <c r="G172" i="52"/>
  <c r="E172" i="54" s="1"/>
  <c r="C172" i="54"/>
  <c r="P81" i="26"/>
  <c r="C81" i="54"/>
  <c r="G81" i="52"/>
  <c r="E81" i="54" s="1"/>
  <c r="G263" i="52"/>
  <c r="E263" i="54" s="1"/>
  <c r="C263" i="54"/>
  <c r="G108" i="52"/>
  <c r="E108" i="54" s="1"/>
  <c r="C108" i="54"/>
  <c r="C105" i="54"/>
  <c r="G105" i="52"/>
  <c r="E105" i="54" s="1"/>
  <c r="K198" i="52"/>
  <c r="K174" i="52"/>
  <c r="P19" i="26"/>
  <c r="C19" i="54"/>
  <c r="G19" i="52"/>
  <c r="E19" i="54" s="1"/>
  <c r="G93" i="52"/>
  <c r="E93" i="54" s="1"/>
  <c r="C93" i="54"/>
  <c r="O254" i="52"/>
  <c r="O100" i="52"/>
  <c r="C244" i="54"/>
  <c r="G18" i="52"/>
  <c r="E18" i="54" s="1"/>
  <c r="C18" i="54"/>
  <c r="C102" i="54"/>
  <c r="G102" i="52"/>
  <c r="E102" i="54" s="1"/>
  <c r="K202" i="52"/>
  <c r="K273" i="52"/>
  <c r="O245" i="52"/>
  <c r="O95" i="52"/>
  <c r="P242" i="26"/>
  <c r="C242" i="54"/>
  <c r="P74" i="26"/>
  <c r="C74" i="54"/>
  <c r="G74" i="52"/>
  <c r="E74" i="54" s="1"/>
  <c r="G51" i="52"/>
  <c r="E51" i="54" s="1"/>
  <c r="C51" i="54"/>
  <c r="K287" i="52"/>
  <c r="O213" i="52"/>
  <c r="G41" i="52"/>
  <c r="E41" i="54" s="1"/>
  <c r="C41" i="54"/>
  <c r="K261" i="52"/>
  <c r="O69" i="52"/>
  <c r="P95" i="26"/>
  <c r="G95" i="52"/>
  <c r="E95" i="54" s="1"/>
  <c r="C95" i="54"/>
  <c r="K214" i="52"/>
  <c r="P246" i="26"/>
  <c r="C246" i="54"/>
  <c r="G246" i="52"/>
  <c r="E246" i="54" s="1"/>
  <c r="C29" i="54"/>
  <c r="G29" i="52"/>
  <c r="E29" i="54" s="1"/>
  <c r="K210" i="52"/>
  <c r="P245" i="26"/>
  <c r="G245" i="52"/>
  <c r="E245" i="54" s="1"/>
  <c r="C245" i="54"/>
  <c r="K117" i="52"/>
  <c r="P141" i="26"/>
  <c r="C141" i="54"/>
  <c r="G141" i="52"/>
  <c r="E141" i="54" s="1"/>
  <c r="K72" i="52"/>
  <c r="O228" i="52"/>
  <c r="K217" i="52"/>
  <c r="C17" i="54"/>
  <c r="G17" i="52"/>
  <c r="E17" i="54" s="1"/>
  <c r="P28" i="26"/>
  <c r="C28" i="54"/>
  <c r="G28" i="52"/>
  <c r="E28" i="54" s="1"/>
  <c r="P283" i="26"/>
  <c r="C283" i="54"/>
  <c r="G283" i="52"/>
  <c r="E283" i="54" s="1"/>
  <c r="O142" i="52"/>
  <c r="K123" i="52"/>
  <c r="K271" i="52"/>
  <c r="O72" i="52"/>
  <c r="C213" i="54"/>
  <c r="G213" i="52"/>
  <c r="E213" i="54" s="1"/>
  <c r="P272" i="26"/>
  <c r="C272" i="54"/>
  <c r="G272" i="52"/>
  <c r="E272" i="54" s="1"/>
  <c r="K167" i="52"/>
  <c r="K158" i="52"/>
  <c r="C170" i="54"/>
  <c r="G170" i="52"/>
  <c r="E170" i="54" s="1"/>
  <c r="O112" i="52"/>
  <c r="G194" i="52"/>
  <c r="E194" i="54" s="1"/>
  <c r="C194" i="54"/>
  <c r="O271" i="52"/>
  <c r="K201" i="52"/>
  <c r="O11" i="52"/>
  <c r="P243" i="26"/>
  <c r="C243" i="54"/>
  <c r="K157" i="52"/>
  <c r="K60" i="52"/>
  <c r="K178" i="52"/>
  <c r="G253" i="52"/>
  <c r="E253" i="54" s="1"/>
  <c r="C253" i="54"/>
  <c r="K278" i="52"/>
  <c r="G125" i="52"/>
  <c r="E125" i="54" s="1"/>
  <c r="C125" i="54"/>
  <c r="O194" i="52"/>
  <c r="P201" i="26"/>
  <c r="C201" i="54"/>
  <c r="G201" i="52"/>
  <c r="E201" i="54" s="1"/>
  <c r="K19" i="52"/>
  <c r="O201" i="52"/>
  <c r="T253" i="33"/>
  <c r="X253" i="33"/>
  <c r="U253" i="33"/>
  <c r="Y253" i="33"/>
  <c r="O291" i="26"/>
  <c r="J5" i="6"/>
  <c r="K5" i="6" s="1"/>
  <c r="L5" i="6" s="1"/>
  <c r="M5" i="6" s="1"/>
  <c r="R5" i="6" s="1"/>
  <c r="N74" i="6"/>
  <c r="Q74" i="6" s="1"/>
  <c r="O279" i="26"/>
  <c r="N169" i="6"/>
  <c r="Q169" i="6" s="1"/>
  <c r="N67" i="6"/>
  <c r="O67" i="6" s="1"/>
  <c r="P67" i="6" s="1"/>
  <c r="Q67" i="6" s="1"/>
  <c r="N204" i="6"/>
  <c r="Q204" i="6" s="1"/>
  <c r="O54" i="26"/>
  <c r="N194" i="6"/>
  <c r="Q194" i="6" s="1"/>
  <c r="N41" i="6"/>
  <c r="O41" i="6" s="1"/>
  <c r="P41" i="6" s="1"/>
  <c r="Q41" i="6" s="1"/>
  <c r="R41" i="6" s="1"/>
  <c r="J54" i="6"/>
  <c r="M54" i="6" s="1"/>
  <c r="N243" i="6"/>
  <c r="O243" i="6" s="1"/>
  <c r="P243" i="6" s="1"/>
  <c r="Q243" i="6" s="1"/>
  <c r="R243" i="6" s="1"/>
  <c r="J76" i="6"/>
  <c r="M76" i="6" s="1"/>
  <c r="O170" i="26"/>
  <c r="J114" i="6"/>
  <c r="K114" i="6" s="1"/>
  <c r="L114" i="6" s="1"/>
  <c r="M114" i="6" s="1"/>
  <c r="J100" i="6"/>
  <c r="M100" i="6" s="1"/>
  <c r="N154" i="6"/>
  <c r="Q154" i="6" s="1"/>
  <c r="N32" i="6"/>
  <c r="O32" i="6" s="1"/>
  <c r="P32" i="6" s="1"/>
  <c r="Q32" i="6" s="1"/>
  <c r="N208" i="6"/>
  <c r="Q208" i="6" s="1"/>
  <c r="O140" i="26"/>
  <c r="O179" i="26"/>
  <c r="O275" i="26"/>
  <c r="O75" i="26"/>
  <c r="N36" i="6"/>
  <c r="O36" i="6" s="1"/>
  <c r="P36" i="6" s="1"/>
  <c r="Q36" i="6" s="1"/>
  <c r="R36" i="6" s="1"/>
  <c r="N222" i="6"/>
  <c r="Q222" i="6" s="1"/>
  <c r="N23" i="6"/>
  <c r="O23" i="6" s="1"/>
  <c r="P23" i="6" s="1"/>
  <c r="Q23" i="6" s="1"/>
  <c r="N88" i="6"/>
  <c r="Q88" i="6" s="1"/>
  <c r="R88" i="6" s="1"/>
  <c r="AB88" i="6" s="1"/>
  <c r="J93" i="6"/>
  <c r="M93" i="6" s="1"/>
  <c r="R93" i="6" s="1"/>
  <c r="AB93" i="6" s="1"/>
  <c r="O233" i="25"/>
  <c r="H96" i="46"/>
  <c r="E274" i="25"/>
  <c r="H129" i="46"/>
  <c r="H23" i="46"/>
  <c r="H84" i="46"/>
  <c r="H112" i="46"/>
  <c r="H173" i="46"/>
  <c r="H39" i="46"/>
  <c r="H251" i="46"/>
  <c r="H102" i="46"/>
  <c r="H139" i="46"/>
  <c r="H243" i="46"/>
  <c r="H157" i="46"/>
  <c r="H30" i="46"/>
  <c r="H287" i="46"/>
  <c r="O189" i="25"/>
  <c r="O120" i="25"/>
  <c r="H135" i="46"/>
  <c r="E189" i="25"/>
  <c r="H68" i="46"/>
  <c r="H270" i="46"/>
  <c r="K239" i="52"/>
  <c r="K236" i="52"/>
  <c r="H238" i="46"/>
  <c r="H209" i="46"/>
  <c r="H205" i="46"/>
  <c r="P287" i="26"/>
  <c r="C287" i="54"/>
  <c r="G287" i="52"/>
  <c r="E287" i="54" s="1"/>
  <c r="P130" i="26"/>
  <c r="G130" i="52"/>
  <c r="E130" i="54" s="1"/>
  <c r="C130" i="54"/>
  <c r="P35" i="28"/>
  <c r="O35" i="28"/>
  <c r="K156" i="52"/>
  <c r="H279" i="46"/>
  <c r="H41" i="46"/>
  <c r="K85" i="52"/>
  <c r="O152" i="26"/>
  <c r="O163" i="26"/>
  <c r="I44" i="39"/>
  <c r="P237" i="26"/>
  <c r="C237" i="54"/>
  <c r="G237" i="52"/>
  <c r="E237" i="54" s="1"/>
  <c r="O283" i="26"/>
  <c r="P284" i="26"/>
  <c r="G284" i="52"/>
  <c r="E284" i="54" s="1"/>
  <c r="C284" i="54"/>
  <c r="P254" i="26"/>
  <c r="C254" i="54"/>
  <c r="G254" i="52"/>
  <c r="E254" i="54" s="1"/>
  <c r="C277" i="54"/>
  <c r="G277" i="52"/>
  <c r="E277" i="54" s="1"/>
  <c r="C75" i="54"/>
  <c r="G75" i="52"/>
  <c r="E75" i="54" s="1"/>
  <c r="C96" i="54"/>
  <c r="G96" i="52"/>
  <c r="E96" i="54" s="1"/>
  <c r="P59" i="26"/>
  <c r="G59" i="52"/>
  <c r="E59" i="54" s="1"/>
  <c r="C59" i="54"/>
  <c r="P33" i="26"/>
  <c r="G33" i="52"/>
  <c r="E33" i="54" s="1"/>
  <c r="C33" i="54"/>
  <c r="K112" i="52"/>
  <c r="K282" i="52"/>
  <c r="Z85" i="6"/>
  <c r="G85" i="45"/>
  <c r="AC85" i="6"/>
  <c r="T85" i="6"/>
  <c r="C233" i="54"/>
  <c r="G233" i="52"/>
  <c r="E233" i="54" s="1"/>
  <c r="P238" i="26"/>
  <c r="C238" i="54"/>
  <c r="G238" i="52"/>
  <c r="E238" i="54" s="1"/>
  <c r="G183" i="52"/>
  <c r="E183" i="54" s="1"/>
  <c r="C183" i="54"/>
  <c r="K128" i="52"/>
  <c r="H73" i="46"/>
  <c r="K31" i="52"/>
  <c r="K74" i="52"/>
  <c r="H231" i="46"/>
  <c r="P251" i="26"/>
  <c r="C251" i="54"/>
  <c r="G251" i="52"/>
  <c r="E251" i="54" s="1"/>
  <c r="O30" i="28"/>
  <c r="K6" i="52"/>
  <c r="P236" i="26"/>
  <c r="C236" i="54"/>
  <c r="G236" i="52"/>
  <c r="E236" i="54" s="1"/>
  <c r="K136" i="52"/>
  <c r="O190" i="26"/>
  <c r="O103" i="26"/>
  <c r="O255" i="26"/>
  <c r="P219" i="26"/>
  <c r="G219" i="52"/>
  <c r="E219" i="54" s="1"/>
  <c r="C219" i="54"/>
  <c r="P186" i="26"/>
  <c r="G186" i="52"/>
  <c r="E186" i="54" s="1"/>
  <c r="C186" i="54"/>
  <c r="G144" i="52"/>
  <c r="E144" i="54" s="1"/>
  <c r="C144" i="54"/>
  <c r="P171" i="26"/>
  <c r="C171" i="54"/>
  <c r="G171" i="52"/>
  <c r="E171" i="54" s="1"/>
  <c r="P57" i="26"/>
  <c r="C57" i="54"/>
  <c r="G57" i="52"/>
  <c r="E57" i="54" s="1"/>
  <c r="P76" i="26"/>
  <c r="G76" i="52"/>
  <c r="E76" i="54" s="1"/>
  <c r="C76" i="54"/>
  <c r="G64" i="52"/>
  <c r="E64" i="54" s="1"/>
  <c r="G54" i="52"/>
  <c r="E54" i="54" s="1"/>
  <c r="C54" i="54"/>
  <c r="P43" i="26"/>
  <c r="C43" i="54"/>
  <c r="G43" i="52"/>
  <c r="E43" i="54" s="1"/>
  <c r="I24" i="39"/>
  <c r="K119" i="52"/>
  <c r="E195" i="25"/>
  <c r="G107" i="52"/>
  <c r="E107" i="54" s="1"/>
  <c r="C107" i="54"/>
  <c r="F245" i="45"/>
  <c r="E245" i="28"/>
  <c r="O273" i="26"/>
  <c r="C116" i="54"/>
  <c r="G116" i="52"/>
  <c r="E116" i="54" s="1"/>
  <c r="C82" i="54"/>
  <c r="G82" i="52"/>
  <c r="E82" i="54" s="1"/>
  <c r="G34" i="52"/>
  <c r="E34" i="54" s="1"/>
  <c r="C34" i="54"/>
  <c r="H132" i="46"/>
  <c r="O27" i="28"/>
  <c r="P270" i="26"/>
  <c r="G270" i="52"/>
  <c r="E270" i="54" s="1"/>
  <c r="C270" i="54"/>
  <c r="P166" i="26"/>
  <c r="G166" i="52"/>
  <c r="E166" i="54" s="1"/>
  <c r="C166" i="54"/>
  <c r="F246" i="45"/>
  <c r="E246" i="28"/>
  <c r="P207" i="26"/>
  <c r="G207" i="52"/>
  <c r="E207" i="54" s="1"/>
  <c r="C207" i="54"/>
  <c r="P92" i="26"/>
  <c r="C92" i="54"/>
  <c r="G92" i="52"/>
  <c r="E92" i="54" s="1"/>
  <c r="J104" i="6"/>
  <c r="K104" i="6" s="1"/>
  <c r="L104" i="6" s="1"/>
  <c r="M104" i="6" s="1"/>
  <c r="O138" i="26"/>
  <c r="C215" i="54"/>
  <c r="G215" i="52"/>
  <c r="E215" i="54" s="1"/>
  <c r="O134" i="26"/>
  <c r="G159" i="52"/>
  <c r="E159" i="54" s="1"/>
  <c r="C159" i="54"/>
  <c r="C113" i="54"/>
  <c r="G113" i="52"/>
  <c r="E113" i="54" s="1"/>
  <c r="G151" i="52"/>
  <c r="E151" i="54" s="1"/>
  <c r="C151" i="54"/>
  <c r="G32" i="52"/>
  <c r="E32" i="54" s="1"/>
  <c r="C32" i="54"/>
  <c r="O197" i="52"/>
  <c r="K169" i="52"/>
  <c r="K37" i="52"/>
  <c r="K92" i="52"/>
  <c r="H178" i="46"/>
  <c r="K50" i="52"/>
  <c r="K88" i="52"/>
  <c r="P286" i="26"/>
  <c r="G286" i="52"/>
  <c r="E286" i="54" s="1"/>
  <c r="C286" i="54"/>
  <c r="P91" i="26"/>
  <c r="C91" i="54"/>
  <c r="G91" i="52"/>
  <c r="E91" i="54" s="1"/>
  <c r="P66" i="26"/>
  <c r="C66" i="54"/>
  <c r="G66" i="52"/>
  <c r="E66" i="54" s="1"/>
  <c r="O73" i="26"/>
  <c r="O217" i="26"/>
  <c r="O212" i="26"/>
  <c r="F26" i="52"/>
  <c r="I125" i="39"/>
  <c r="P290" i="26"/>
  <c r="G290" i="52"/>
  <c r="E290" i="54" s="1"/>
  <c r="C290" i="54"/>
  <c r="P282" i="26"/>
  <c r="C282" i="54"/>
  <c r="G282" i="52"/>
  <c r="E282" i="54" s="1"/>
  <c r="C250" i="28"/>
  <c r="C48" i="54"/>
  <c r="G48" i="52"/>
  <c r="E48" i="54" s="1"/>
  <c r="I51" i="39"/>
  <c r="K251" i="52"/>
  <c r="K131" i="52"/>
  <c r="O217" i="25"/>
  <c r="C80" i="54"/>
  <c r="G80" i="52"/>
  <c r="E80" i="54" s="1"/>
  <c r="P273" i="26"/>
  <c r="G273" i="52"/>
  <c r="E273" i="54" s="1"/>
  <c r="C273" i="54"/>
  <c r="C104" i="54"/>
  <c r="G104" i="52"/>
  <c r="E104" i="54" s="1"/>
  <c r="P168" i="26"/>
  <c r="C168" i="54"/>
  <c r="G168" i="52"/>
  <c r="E168" i="54" s="1"/>
  <c r="H291" i="46"/>
  <c r="P276" i="26"/>
  <c r="C276" i="54"/>
  <c r="G276" i="52"/>
  <c r="E276" i="54" s="1"/>
  <c r="P257" i="26"/>
  <c r="G257" i="52"/>
  <c r="E257" i="54" s="1"/>
  <c r="C257" i="54"/>
  <c r="C161" i="54"/>
  <c r="G161" i="52"/>
  <c r="E161" i="54" s="1"/>
  <c r="P62" i="26"/>
  <c r="C62" i="54"/>
  <c r="G62" i="52"/>
  <c r="E62" i="54" s="1"/>
  <c r="P86" i="26"/>
  <c r="G86" i="52"/>
  <c r="E86" i="54" s="1"/>
  <c r="C86" i="54"/>
  <c r="P85" i="26"/>
  <c r="C85" i="54"/>
  <c r="G85" i="52"/>
  <c r="E85" i="54" s="1"/>
  <c r="P90" i="28"/>
  <c r="O90" i="28"/>
  <c r="P38" i="26"/>
  <c r="C38" i="54"/>
  <c r="G38" i="52"/>
  <c r="E38" i="54" s="1"/>
  <c r="F39" i="52"/>
  <c r="E39" i="51" s="1"/>
  <c r="F39" i="51" s="1"/>
  <c r="F71" i="52"/>
  <c r="E71" i="51" s="1"/>
  <c r="F71" i="51" s="1"/>
  <c r="C139" i="54"/>
  <c r="G139" i="52"/>
  <c r="E139" i="54" s="1"/>
  <c r="C149" i="54"/>
  <c r="G149" i="52"/>
  <c r="E149" i="54" s="1"/>
  <c r="F179" i="52"/>
  <c r="E179" i="51" s="1"/>
  <c r="F179" i="51" s="1"/>
  <c r="G182" i="52"/>
  <c r="E182" i="54" s="1"/>
  <c r="C182" i="54"/>
  <c r="C209" i="54"/>
  <c r="G209" i="52"/>
  <c r="E209" i="54" s="1"/>
  <c r="C225" i="54"/>
  <c r="G225" i="52"/>
  <c r="E225" i="54" s="1"/>
  <c r="I76" i="39"/>
  <c r="I28" i="39"/>
  <c r="K65" i="52"/>
  <c r="P36" i="26"/>
  <c r="G36" i="52"/>
  <c r="E36" i="54" s="1"/>
  <c r="C36" i="54"/>
  <c r="P271" i="26"/>
  <c r="C271" i="54"/>
  <c r="G271" i="52"/>
  <c r="E271" i="54" s="1"/>
  <c r="P239" i="26"/>
  <c r="G239" i="52"/>
  <c r="E239" i="54" s="1"/>
  <c r="C239" i="54"/>
  <c r="P145" i="26"/>
  <c r="C145" i="54"/>
  <c r="G145" i="52"/>
  <c r="E145" i="54" s="1"/>
  <c r="G142" i="52"/>
  <c r="E142" i="54" s="1"/>
  <c r="C142" i="54"/>
  <c r="O227" i="26"/>
  <c r="G138" i="52"/>
  <c r="E138" i="54" s="1"/>
  <c r="C138" i="54"/>
  <c r="G248" i="52"/>
  <c r="E248" i="54" s="1"/>
  <c r="C248" i="54"/>
  <c r="F31" i="52"/>
  <c r="E31" i="51" s="1"/>
  <c r="F31" i="51" s="1"/>
  <c r="P61" i="26"/>
  <c r="G61" i="52"/>
  <c r="E61" i="54" s="1"/>
  <c r="C61" i="54"/>
  <c r="P44" i="26"/>
  <c r="C44" i="54"/>
  <c r="G44" i="52"/>
  <c r="E44" i="54" s="1"/>
  <c r="F152" i="52"/>
  <c r="E152" i="51" s="1"/>
  <c r="F152" i="51" s="1"/>
  <c r="F167" i="52"/>
  <c r="E167" i="51" s="1"/>
  <c r="F167" i="51" s="1"/>
  <c r="F184" i="52"/>
  <c r="E184" i="51" s="1"/>
  <c r="F184" i="51" s="1"/>
  <c r="G158" i="52"/>
  <c r="E158" i="54" s="1"/>
  <c r="C158" i="54"/>
  <c r="P202" i="26"/>
  <c r="C202" i="54"/>
  <c r="G202" i="52"/>
  <c r="E202" i="54" s="1"/>
  <c r="F217" i="52"/>
  <c r="E217" i="51" s="1"/>
  <c r="F217" i="51" s="1"/>
  <c r="K263" i="52"/>
  <c r="C177" i="54"/>
  <c r="G177" i="52"/>
  <c r="E177" i="54" s="1"/>
  <c r="K285" i="52"/>
  <c r="P278" i="26"/>
  <c r="C278" i="54"/>
  <c r="G278" i="52"/>
  <c r="E278" i="54" s="1"/>
  <c r="H232" i="46"/>
  <c r="C160" i="54"/>
  <c r="G160" i="52"/>
  <c r="E160" i="54" s="1"/>
  <c r="G117" i="52"/>
  <c r="E117" i="54" s="1"/>
  <c r="C117" i="54"/>
  <c r="C137" i="54"/>
  <c r="G137" i="52"/>
  <c r="E137" i="54" s="1"/>
  <c r="C264" i="54"/>
  <c r="G264" i="52"/>
  <c r="E264" i="54" s="1"/>
  <c r="K186" i="39"/>
  <c r="K48" i="39"/>
  <c r="F8" i="52"/>
  <c r="E8" i="51" s="1"/>
  <c r="F8" i="51" s="1"/>
  <c r="C101" i="54"/>
  <c r="G101" i="52"/>
  <c r="E101" i="54" s="1"/>
  <c r="G124" i="52"/>
  <c r="E124" i="54" s="1"/>
  <c r="C124" i="54"/>
  <c r="P164" i="26"/>
  <c r="G164" i="52"/>
  <c r="E164" i="54" s="1"/>
  <c r="C164" i="54"/>
  <c r="C122" i="54"/>
  <c r="G122" i="52"/>
  <c r="E122" i="54" s="1"/>
  <c r="G174" i="52"/>
  <c r="E174" i="54" s="1"/>
  <c r="C174" i="54"/>
  <c r="P193" i="26"/>
  <c r="C193" i="54"/>
  <c r="G193" i="52"/>
  <c r="E193" i="54" s="1"/>
  <c r="F227" i="52"/>
  <c r="E227" i="51" s="1"/>
  <c r="F227" i="51" s="1"/>
  <c r="F255" i="52"/>
  <c r="E255" i="51" s="1"/>
  <c r="F255" i="51" s="1"/>
  <c r="P70" i="26"/>
  <c r="G70" i="52"/>
  <c r="E70" i="54" s="1"/>
  <c r="C70" i="54"/>
  <c r="G67" i="52"/>
  <c r="E67" i="54" s="1"/>
  <c r="C67" i="54"/>
  <c r="G35" i="52"/>
  <c r="E35" i="54" s="1"/>
  <c r="C35" i="54"/>
  <c r="G220" i="52"/>
  <c r="E220" i="54" s="1"/>
  <c r="C220" i="54"/>
  <c r="O285" i="26"/>
  <c r="C250" i="54"/>
  <c r="G250" i="52"/>
  <c r="E250" i="54" s="1"/>
  <c r="O169" i="26"/>
  <c r="G121" i="52"/>
  <c r="E121" i="54" s="1"/>
  <c r="C121" i="54"/>
  <c r="C120" i="54"/>
  <c r="G120" i="52"/>
  <c r="E120" i="54" s="1"/>
  <c r="P58" i="26"/>
  <c r="C58" i="54"/>
  <c r="G58" i="52"/>
  <c r="E58" i="54" s="1"/>
  <c r="P87" i="26"/>
  <c r="C87" i="54"/>
  <c r="G87" i="52"/>
  <c r="E87" i="54" s="1"/>
  <c r="K279" i="39"/>
  <c r="K272" i="39"/>
  <c r="P15" i="26"/>
  <c r="C15" i="54"/>
  <c r="G15" i="52"/>
  <c r="E15" i="54" s="1"/>
  <c r="P128" i="26"/>
  <c r="C128" i="54"/>
  <c r="G128" i="52"/>
  <c r="E128" i="54" s="1"/>
  <c r="P126" i="26"/>
  <c r="G126" i="52"/>
  <c r="E126" i="54" s="1"/>
  <c r="C126" i="54"/>
  <c r="P129" i="26"/>
  <c r="G129" i="52"/>
  <c r="E129" i="54" s="1"/>
  <c r="C129" i="54"/>
  <c r="F189" i="52"/>
  <c r="E189" i="51" s="1"/>
  <c r="F189" i="51" s="1"/>
  <c r="G223" i="52"/>
  <c r="E223" i="54" s="1"/>
  <c r="C223" i="54"/>
  <c r="F205" i="52"/>
  <c r="E205" i="51" s="1"/>
  <c r="F205" i="51" s="1"/>
  <c r="F195" i="52"/>
  <c r="E195" i="51" s="1"/>
  <c r="F195" i="51" s="1"/>
  <c r="I15" i="39"/>
  <c r="I48" i="39"/>
  <c r="K241" i="39"/>
  <c r="P258" i="26"/>
  <c r="C258" i="54"/>
  <c r="G258" i="52"/>
  <c r="E258" i="54" s="1"/>
  <c r="O198" i="26"/>
  <c r="P175" i="26"/>
  <c r="C175" i="54"/>
  <c r="G175" i="52"/>
  <c r="E175" i="54" s="1"/>
  <c r="P131" i="26"/>
  <c r="G131" i="52"/>
  <c r="E131" i="54" s="1"/>
  <c r="C131" i="54"/>
  <c r="P98" i="28"/>
  <c r="O98" i="28"/>
  <c r="P285" i="26"/>
  <c r="G285" i="52"/>
  <c r="E285" i="54" s="1"/>
  <c r="C285" i="54"/>
  <c r="G211" i="52"/>
  <c r="E211" i="54" s="1"/>
  <c r="C211" i="54"/>
  <c r="P83" i="26"/>
  <c r="G83" i="52"/>
  <c r="E83" i="54" s="1"/>
  <c r="C83" i="54"/>
  <c r="O84" i="26"/>
  <c r="O167" i="26"/>
  <c r="G119" i="52"/>
  <c r="E119" i="54" s="1"/>
  <c r="C119" i="54"/>
  <c r="K19" i="39"/>
  <c r="I19" i="39"/>
  <c r="F9" i="52"/>
  <c r="E9" i="51" s="1"/>
  <c r="F9" i="51" s="1"/>
  <c r="C23" i="54"/>
  <c r="G23" i="52"/>
  <c r="E23" i="54" s="1"/>
  <c r="F79" i="52"/>
  <c r="E79" i="51" s="1"/>
  <c r="F79" i="51" s="1"/>
  <c r="F150" i="52"/>
  <c r="E150" i="51" s="1"/>
  <c r="F150" i="51" s="1"/>
  <c r="G180" i="52"/>
  <c r="E180" i="54" s="1"/>
  <c r="G143" i="52"/>
  <c r="E143" i="54" s="1"/>
  <c r="C143" i="54"/>
  <c r="F163" i="52"/>
  <c r="E163" i="51" s="1"/>
  <c r="F163" i="51" s="1"/>
  <c r="C216" i="54"/>
  <c r="G216" i="52"/>
  <c r="E216" i="54" s="1"/>
  <c r="G208" i="52"/>
  <c r="E208" i="54" s="1"/>
  <c r="C208" i="54"/>
  <c r="I47" i="39"/>
  <c r="K155" i="39"/>
  <c r="P261" i="26"/>
  <c r="G261" i="52"/>
  <c r="E261" i="54" s="1"/>
  <c r="C261" i="54"/>
  <c r="P75" i="28"/>
  <c r="O75" i="28"/>
  <c r="G135" i="52"/>
  <c r="E135" i="54" s="1"/>
  <c r="C135" i="54"/>
  <c r="P275" i="26"/>
  <c r="G275" i="52"/>
  <c r="E275" i="54" s="1"/>
  <c r="C275" i="54"/>
  <c r="C249" i="54"/>
  <c r="G249" i="52"/>
  <c r="E249" i="54" s="1"/>
  <c r="P45" i="26"/>
  <c r="G45" i="52"/>
  <c r="E45" i="54" s="1"/>
  <c r="C45" i="54"/>
  <c r="P69" i="26"/>
  <c r="C69" i="54"/>
  <c r="G69" i="52"/>
  <c r="E69" i="54" s="1"/>
  <c r="O83" i="26"/>
  <c r="E17" i="28"/>
  <c r="F17" i="45"/>
  <c r="O223" i="26"/>
  <c r="P176" i="26"/>
  <c r="C176" i="54"/>
  <c r="G176" i="52"/>
  <c r="E176" i="54" s="1"/>
  <c r="P260" i="26"/>
  <c r="C260" i="54"/>
  <c r="G260" i="52"/>
  <c r="E260" i="54" s="1"/>
  <c r="K31" i="39"/>
  <c r="J179" i="50"/>
  <c r="M179" i="52" s="1"/>
  <c r="N179" i="52" s="1"/>
  <c r="I179" i="51" s="1"/>
  <c r="J179" i="51" s="1"/>
  <c r="J278" i="50"/>
  <c r="M278" i="52" s="1"/>
  <c r="N278" i="52" s="1"/>
  <c r="I278" i="51" s="1"/>
  <c r="J278" i="51" s="1"/>
  <c r="J31" i="50"/>
  <c r="M31" i="52" s="1"/>
  <c r="N31" i="52" s="1"/>
  <c r="I31" i="51" s="1"/>
  <c r="J31" i="51" s="1"/>
  <c r="J119" i="50"/>
  <c r="M119" i="52" s="1"/>
  <c r="N119" i="52" s="1"/>
  <c r="I119" i="51" s="1"/>
  <c r="J119" i="51" s="1"/>
  <c r="J103" i="50"/>
  <c r="M103" i="52" s="1"/>
  <c r="N103" i="52" s="1"/>
  <c r="I103" i="51" s="1"/>
  <c r="J103" i="51" s="1"/>
  <c r="J193" i="50"/>
  <c r="M193" i="52" s="1"/>
  <c r="N193" i="52" s="1"/>
  <c r="I193" i="51" s="1"/>
  <c r="J193" i="51" s="1"/>
  <c r="J196" i="50"/>
  <c r="M196" i="52" s="1"/>
  <c r="N196" i="52" s="1"/>
  <c r="I196" i="51" s="1"/>
  <c r="J196" i="51" s="1"/>
  <c r="J80" i="50"/>
  <c r="M80" i="52" s="1"/>
  <c r="N80" i="52" s="1"/>
  <c r="I80" i="51" s="1"/>
  <c r="J80" i="51" s="1"/>
  <c r="J259" i="50"/>
  <c r="M259" i="52" s="1"/>
  <c r="N259" i="52" s="1"/>
  <c r="I259" i="51" s="1"/>
  <c r="J259" i="51" s="1"/>
  <c r="J79" i="50"/>
  <c r="M79" i="52" s="1"/>
  <c r="N79" i="52" s="1"/>
  <c r="I79" i="51" s="1"/>
  <c r="J79" i="51" s="1"/>
  <c r="J227" i="50"/>
  <c r="M227" i="52" s="1"/>
  <c r="N227" i="52" s="1"/>
  <c r="I227" i="51" s="1"/>
  <c r="J227" i="51" s="1"/>
  <c r="J184" i="50"/>
  <c r="M184" i="52" s="1"/>
  <c r="N184" i="52" s="1"/>
  <c r="I184" i="51" s="1"/>
  <c r="J184" i="51" s="1"/>
  <c r="J260" i="50"/>
  <c r="M260" i="52" s="1"/>
  <c r="N260" i="52" s="1"/>
  <c r="I260" i="51" s="1"/>
  <c r="J260" i="51" s="1"/>
  <c r="J217" i="50"/>
  <c r="M217" i="52" s="1"/>
  <c r="N217" i="52" s="1"/>
  <c r="I217" i="51" s="1"/>
  <c r="J217" i="51" s="1"/>
  <c r="J212" i="50"/>
  <c r="M212" i="52" s="1"/>
  <c r="N212" i="52" s="1"/>
  <c r="I212" i="51" s="1"/>
  <c r="J212" i="51" s="1"/>
  <c r="J81" i="50"/>
  <c r="M81" i="52" s="1"/>
  <c r="N81" i="52" s="1"/>
  <c r="I81" i="51" s="1"/>
  <c r="J81" i="51" s="1"/>
  <c r="J178" i="50"/>
  <c r="M178" i="52" s="1"/>
  <c r="N178" i="52" s="1"/>
  <c r="I178" i="51" s="1"/>
  <c r="J178" i="51" s="1"/>
  <c r="J30" i="50"/>
  <c r="M30" i="52" s="1"/>
  <c r="N30" i="52" s="1"/>
  <c r="I30" i="51" s="1"/>
  <c r="J30" i="51" s="1"/>
  <c r="J24" i="50"/>
  <c r="M24" i="52" s="1"/>
  <c r="N24" i="52" s="1"/>
  <c r="I24" i="51" s="1"/>
  <c r="J24" i="51" s="1"/>
  <c r="J123" i="50"/>
  <c r="M123" i="52" s="1"/>
  <c r="N123" i="52" s="1"/>
  <c r="I123" i="51" s="1"/>
  <c r="J123" i="51" s="1"/>
  <c r="J136" i="50"/>
  <c r="M136" i="52" s="1"/>
  <c r="N136" i="52" s="1"/>
  <c r="I136" i="51" s="1"/>
  <c r="J136" i="51" s="1"/>
  <c r="J248" i="50"/>
  <c r="M248" i="52" s="1"/>
  <c r="N248" i="52" s="1"/>
  <c r="I248" i="51" s="1"/>
  <c r="J248" i="51" s="1"/>
  <c r="J261" i="50"/>
  <c r="M261" i="52" s="1"/>
  <c r="N261" i="52" s="1"/>
  <c r="I261" i="51" s="1"/>
  <c r="J261" i="51" s="1"/>
  <c r="J138" i="50"/>
  <c r="M138" i="52" s="1"/>
  <c r="N138" i="52" s="1"/>
  <c r="I138" i="51" s="1"/>
  <c r="J138" i="51" s="1"/>
  <c r="J206" i="50"/>
  <c r="M206" i="52" s="1"/>
  <c r="N206" i="52" s="1"/>
  <c r="I206" i="51" s="1"/>
  <c r="J206" i="51" s="1"/>
  <c r="J273" i="50"/>
  <c r="M273" i="52" s="1"/>
  <c r="N273" i="52" s="1"/>
  <c r="I273" i="51" s="1"/>
  <c r="J273" i="51" s="1"/>
  <c r="J85" i="50"/>
  <c r="M85" i="52" s="1"/>
  <c r="N85" i="52" s="1"/>
  <c r="I85" i="51" s="1"/>
  <c r="J85" i="51" s="1"/>
  <c r="J152" i="50"/>
  <c r="M152" i="52" s="1"/>
  <c r="N152" i="52" s="1"/>
  <c r="I152" i="51" s="1"/>
  <c r="J152" i="51" s="1"/>
  <c r="J135" i="50"/>
  <c r="M135" i="52" s="1"/>
  <c r="N135" i="52" s="1"/>
  <c r="I135" i="51" s="1"/>
  <c r="J135" i="51" s="1"/>
  <c r="J249" i="50"/>
  <c r="M249" i="52" s="1"/>
  <c r="N249" i="52" s="1"/>
  <c r="I249" i="51" s="1"/>
  <c r="J249" i="51" s="1"/>
  <c r="J115" i="50"/>
  <c r="M115" i="52" s="1"/>
  <c r="N115" i="52" s="1"/>
  <c r="I115" i="51" s="1"/>
  <c r="J115" i="51" s="1"/>
  <c r="J89" i="50"/>
  <c r="M89" i="52" s="1"/>
  <c r="N89" i="52" s="1"/>
  <c r="I89" i="51" s="1"/>
  <c r="J89" i="51" s="1"/>
  <c r="J8" i="50"/>
  <c r="M8" i="52" s="1"/>
  <c r="N8" i="52" s="1"/>
  <c r="I8" i="51" s="1"/>
  <c r="J8" i="51" s="1"/>
  <c r="J189" i="50"/>
  <c r="M189" i="52" s="1"/>
  <c r="N189" i="52" s="1"/>
  <c r="I189" i="51" s="1"/>
  <c r="J189" i="51" s="1"/>
  <c r="J132" i="50"/>
  <c r="M132" i="52" s="1"/>
  <c r="N132" i="52" s="1"/>
  <c r="I132" i="51" s="1"/>
  <c r="J132" i="51" s="1"/>
  <c r="J280" i="50"/>
  <c r="M280" i="52" s="1"/>
  <c r="N280" i="52" s="1"/>
  <c r="I280" i="51" s="1"/>
  <c r="J280" i="51" s="1"/>
  <c r="J250" i="50"/>
  <c r="M250" i="52" s="1"/>
  <c r="N250" i="52" s="1"/>
  <c r="I250" i="51" s="1"/>
  <c r="J250" i="51" s="1"/>
  <c r="J163" i="50"/>
  <c r="M163" i="52" s="1"/>
  <c r="N163" i="52" s="1"/>
  <c r="I163" i="51" s="1"/>
  <c r="J163" i="51" s="1"/>
  <c r="J257" i="50"/>
  <c r="M257" i="52" s="1"/>
  <c r="N257" i="52" s="1"/>
  <c r="I257" i="51" s="1"/>
  <c r="J257" i="51" s="1"/>
  <c r="J5" i="50"/>
  <c r="M5" i="52" s="1"/>
  <c r="N5" i="52" s="1"/>
  <c r="I5" i="51" s="1"/>
  <c r="J5" i="51" s="1"/>
  <c r="J176" i="50"/>
  <c r="M176" i="52" s="1"/>
  <c r="N176" i="52" s="1"/>
  <c r="I176" i="51" s="1"/>
  <c r="J176" i="51" s="1"/>
  <c r="J87" i="50"/>
  <c r="M87" i="52" s="1"/>
  <c r="N87" i="52" s="1"/>
  <c r="I87" i="51" s="1"/>
  <c r="J87" i="51" s="1"/>
  <c r="J169" i="50"/>
  <c r="M169" i="52" s="1"/>
  <c r="N169" i="52" s="1"/>
  <c r="I169" i="51" s="1"/>
  <c r="J169" i="51" s="1"/>
  <c r="J156" i="50"/>
  <c r="M156" i="52" s="1"/>
  <c r="N156" i="52" s="1"/>
  <c r="I156" i="51" s="1"/>
  <c r="J156" i="51" s="1"/>
  <c r="J258" i="50"/>
  <c r="M258" i="52" s="1"/>
  <c r="N258" i="52" s="1"/>
  <c r="I258" i="51" s="1"/>
  <c r="J258" i="51" s="1"/>
  <c r="J118" i="50"/>
  <c r="M118" i="52" s="1"/>
  <c r="N118" i="52" s="1"/>
  <c r="I118" i="51" s="1"/>
  <c r="J118" i="51" s="1"/>
  <c r="J71" i="50"/>
  <c r="M71" i="52" s="1"/>
  <c r="N71" i="52" s="1"/>
  <c r="I71" i="51" s="1"/>
  <c r="J71" i="51" s="1"/>
  <c r="J205" i="50"/>
  <c r="M205" i="52" s="1"/>
  <c r="N205" i="52" s="1"/>
  <c r="I205" i="51" s="1"/>
  <c r="J205" i="51" s="1"/>
  <c r="J262" i="50"/>
  <c r="M262" i="52" s="1"/>
  <c r="N262" i="52" s="1"/>
  <c r="I262" i="51" s="1"/>
  <c r="J262" i="51" s="1"/>
  <c r="J104" i="50"/>
  <c r="M104" i="52" s="1"/>
  <c r="N104" i="52" s="1"/>
  <c r="I104" i="51" s="1"/>
  <c r="J104" i="51" s="1"/>
  <c r="J27" i="50"/>
  <c r="M27" i="52" s="1"/>
  <c r="N27" i="52" s="1"/>
  <c r="I27" i="51" s="1"/>
  <c r="J27" i="51" s="1"/>
  <c r="J150" i="50"/>
  <c r="M150" i="52" s="1"/>
  <c r="N150" i="52" s="1"/>
  <c r="I150" i="51" s="1"/>
  <c r="J150" i="51" s="1"/>
  <c r="J173" i="50"/>
  <c r="M173" i="52" s="1"/>
  <c r="N173" i="52" s="1"/>
  <c r="I173" i="51" s="1"/>
  <c r="J173" i="51" s="1"/>
  <c r="J218" i="50"/>
  <c r="M218" i="52" s="1"/>
  <c r="N218" i="52" s="1"/>
  <c r="I218" i="51" s="1"/>
  <c r="J218" i="51" s="1"/>
  <c r="J275" i="50"/>
  <c r="M275" i="52" s="1"/>
  <c r="N275" i="52" s="1"/>
  <c r="I275" i="51" s="1"/>
  <c r="J275" i="51" s="1"/>
  <c r="J167" i="50"/>
  <c r="M167" i="52" s="1"/>
  <c r="N167" i="52" s="1"/>
  <c r="I167" i="51" s="1"/>
  <c r="J167" i="51" s="1"/>
  <c r="J120" i="50"/>
  <c r="M120" i="52" s="1"/>
  <c r="N120" i="52" s="1"/>
  <c r="I120" i="51" s="1"/>
  <c r="J120" i="51" s="1"/>
  <c r="J39" i="50"/>
  <c r="M39" i="52" s="1"/>
  <c r="N39" i="52" s="1"/>
  <c r="I39" i="51" s="1"/>
  <c r="J39" i="51" s="1"/>
  <c r="J6" i="50"/>
  <c r="M6" i="52" s="1"/>
  <c r="N6" i="52" s="1"/>
  <c r="I6" i="51" s="1"/>
  <c r="J6" i="51" s="1"/>
  <c r="J175" i="50"/>
  <c r="M175" i="52" s="1"/>
  <c r="N175" i="52" s="1"/>
  <c r="I175" i="51" s="1"/>
  <c r="J175" i="51" s="1"/>
  <c r="J210" i="50"/>
  <c r="M210" i="52" s="1"/>
  <c r="N210" i="52" s="1"/>
  <c r="I210" i="51" s="1"/>
  <c r="J210" i="51" s="1"/>
  <c r="J195" i="50"/>
  <c r="M195" i="52" s="1"/>
  <c r="N195" i="52" s="1"/>
  <c r="I195" i="51" s="1"/>
  <c r="J195" i="51" s="1"/>
  <c r="J211" i="50"/>
  <c r="M211" i="52" s="1"/>
  <c r="N211" i="52" s="1"/>
  <c r="I211" i="51" s="1"/>
  <c r="J211" i="51" s="1"/>
  <c r="J9" i="50"/>
  <c r="M9" i="52" s="1"/>
  <c r="N9" i="52" s="1"/>
  <c r="I9" i="51" s="1"/>
  <c r="J9" i="51" s="1"/>
  <c r="J274" i="50"/>
  <c r="M274" i="52" s="1"/>
  <c r="N274" i="52" s="1"/>
  <c r="I274" i="51" s="1"/>
  <c r="J274" i="51" s="1"/>
  <c r="J145" i="50"/>
  <c r="M145" i="52" s="1"/>
  <c r="N145" i="52" s="1"/>
  <c r="I145" i="51" s="1"/>
  <c r="J145" i="51" s="1"/>
  <c r="J26" i="50"/>
  <c r="M26" i="52" s="1"/>
  <c r="N26" i="52" s="1"/>
  <c r="I26" i="51" s="1"/>
  <c r="J26" i="51" s="1"/>
  <c r="J61" i="50"/>
  <c r="M61" i="52" s="1"/>
  <c r="N61" i="52" s="1"/>
  <c r="I61" i="51" s="1"/>
  <c r="J61" i="51" s="1"/>
  <c r="J188" i="50"/>
  <c r="M188" i="52" s="1"/>
  <c r="N188" i="52" s="1"/>
  <c r="I188" i="51" s="1"/>
  <c r="J188" i="51" s="1"/>
  <c r="J137" i="50"/>
  <c r="M137" i="52" s="1"/>
  <c r="N137" i="52" s="1"/>
  <c r="I137" i="51" s="1"/>
  <c r="J137" i="51" s="1"/>
  <c r="J4" i="50"/>
  <c r="M4" i="52" s="1"/>
  <c r="N4" i="52" s="1"/>
  <c r="J255" i="50"/>
  <c r="M255" i="52" s="1"/>
  <c r="N255" i="52" s="1"/>
  <c r="I255" i="51" s="1"/>
  <c r="J255" i="51" s="1"/>
  <c r="J86" i="50"/>
  <c r="M86" i="52" s="1"/>
  <c r="N86" i="52" s="1"/>
  <c r="I86" i="51" s="1"/>
  <c r="J86" i="51" s="1"/>
  <c r="J121" i="50"/>
  <c r="M121" i="52" s="1"/>
  <c r="N121" i="52" s="1"/>
  <c r="I121" i="51" s="1"/>
  <c r="J121" i="51" s="1"/>
  <c r="J264" i="50"/>
  <c r="M264" i="52" s="1"/>
  <c r="N264" i="52" s="1"/>
  <c r="I264" i="51" s="1"/>
  <c r="J264" i="51" s="1"/>
  <c r="F27" i="52"/>
  <c r="E27" i="51" s="1"/>
  <c r="F27" i="51" s="1"/>
  <c r="F24" i="52"/>
  <c r="E24" i="51" s="1"/>
  <c r="F24" i="51" s="1"/>
  <c r="F103" i="52"/>
  <c r="E103" i="51" s="1"/>
  <c r="F103" i="51" s="1"/>
  <c r="F118" i="52"/>
  <c r="E118" i="51" s="1"/>
  <c r="F118" i="51" s="1"/>
  <c r="F123" i="52"/>
  <c r="E123" i="51" s="1"/>
  <c r="F123" i="51" s="1"/>
  <c r="C153" i="54"/>
  <c r="G153" i="52"/>
  <c r="E153" i="54" s="1"/>
  <c r="P173" i="26"/>
  <c r="C173" i="54"/>
  <c r="G173" i="52"/>
  <c r="E173" i="54" s="1"/>
  <c r="F188" i="52"/>
  <c r="E188" i="51" s="1"/>
  <c r="F188" i="51" s="1"/>
  <c r="F212" i="52"/>
  <c r="E212" i="51" s="1"/>
  <c r="F212" i="51" s="1"/>
  <c r="C222" i="54"/>
  <c r="G222" i="52"/>
  <c r="E222" i="54" s="1"/>
  <c r="I272" i="39"/>
  <c r="K124" i="52"/>
  <c r="C210" i="54"/>
  <c r="G210" i="52"/>
  <c r="E210" i="54" s="1"/>
  <c r="P280" i="26"/>
  <c r="C187" i="54"/>
  <c r="O142" i="26"/>
  <c r="C73" i="54"/>
  <c r="G73" i="52"/>
  <c r="E73" i="54" s="1"/>
  <c r="O156" i="26"/>
  <c r="O195" i="26"/>
  <c r="E238" i="28"/>
  <c r="F238" i="45"/>
  <c r="C156" i="54"/>
  <c r="G156" i="52"/>
  <c r="E156" i="54" s="1"/>
  <c r="P40" i="26"/>
  <c r="G40" i="52"/>
  <c r="E40" i="54" s="1"/>
  <c r="C40" i="54"/>
  <c r="C30" i="54"/>
  <c r="G30" i="52"/>
  <c r="E30" i="54" s="1"/>
  <c r="C25" i="54"/>
  <c r="G25" i="52"/>
  <c r="E25" i="54" s="1"/>
  <c r="P127" i="26"/>
  <c r="C127" i="54"/>
  <c r="G127" i="52"/>
  <c r="E127" i="54" s="1"/>
  <c r="F132" i="52"/>
  <c r="E132" i="51" s="1"/>
  <c r="F132" i="51" s="1"/>
  <c r="F169" i="52"/>
  <c r="E169" i="51" s="1"/>
  <c r="F169" i="51" s="1"/>
  <c r="G162" i="52"/>
  <c r="E162" i="54" s="1"/>
  <c r="C162" i="54"/>
  <c r="P206" i="26"/>
  <c r="G206" i="52"/>
  <c r="E206" i="54" s="1"/>
  <c r="C206" i="54"/>
  <c r="C221" i="54"/>
  <c r="G221" i="52"/>
  <c r="E221" i="54" s="1"/>
  <c r="G214" i="52"/>
  <c r="E214" i="54" s="1"/>
  <c r="C214" i="54"/>
  <c r="P279" i="28"/>
  <c r="O279" i="28"/>
  <c r="K33" i="39"/>
  <c r="P93" i="28"/>
  <c r="O93" i="28"/>
  <c r="Y149" i="6"/>
  <c r="AC149" i="6"/>
  <c r="V149" i="6"/>
  <c r="D24" i="39"/>
  <c r="E24" i="39" s="1"/>
  <c r="H5" i="39"/>
  <c r="I198" i="39" l="1"/>
  <c r="I265" i="46"/>
  <c r="C265" i="46" s="1"/>
  <c r="L265" i="46"/>
  <c r="D265" i="46" s="1"/>
  <c r="O125" i="28"/>
  <c r="O141" i="28"/>
  <c r="K23" i="52"/>
  <c r="K209" i="52"/>
  <c r="G34" i="51"/>
  <c r="H34" i="51" s="1"/>
  <c r="K26" i="52"/>
  <c r="O133" i="52"/>
  <c r="C165" i="54"/>
  <c r="K90" i="52"/>
  <c r="G165" i="52"/>
  <c r="E165" i="54" s="1"/>
  <c r="C5" i="54"/>
  <c r="K59" i="52"/>
  <c r="K110" i="52"/>
  <c r="K211" i="52"/>
  <c r="O36" i="52"/>
  <c r="O174" i="52"/>
  <c r="O256" i="52"/>
  <c r="O276" i="52"/>
  <c r="O163" i="7"/>
  <c r="P290" i="7"/>
  <c r="P211" i="7"/>
  <c r="P152" i="7"/>
  <c r="O279" i="7"/>
  <c r="Z279" i="7" s="1"/>
  <c r="O82" i="7"/>
  <c r="O231" i="7"/>
  <c r="O260" i="7"/>
  <c r="P113" i="7"/>
  <c r="P74" i="7"/>
  <c r="O119" i="7"/>
  <c r="O220" i="7"/>
  <c r="O74" i="7"/>
  <c r="P221" i="7"/>
  <c r="O288" i="7"/>
  <c r="Z288" i="7" s="1"/>
  <c r="D288" i="39" s="1"/>
  <c r="E288" i="39" s="1"/>
  <c r="K288" i="28" s="1"/>
  <c r="O256" i="7"/>
  <c r="O162" i="52"/>
  <c r="O91" i="52"/>
  <c r="K154" i="52"/>
  <c r="O223" i="52"/>
  <c r="I168" i="51"/>
  <c r="J168" i="51" s="1"/>
  <c r="K165" i="52"/>
  <c r="K238" i="52"/>
  <c r="K186" i="52"/>
  <c r="G143" i="51"/>
  <c r="H143" i="51" s="1"/>
  <c r="T264" i="6"/>
  <c r="X136" i="6"/>
  <c r="Z136" i="6"/>
  <c r="AB136" i="6"/>
  <c r="AG136" i="6"/>
  <c r="C64" i="54"/>
  <c r="K84" i="52"/>
  <c r="O233" i="52"/>
  <c r="P283" i="7"/>
  <c r="BB283" i="7" s="1"/>
  <c r="X227" i="6"/>
  <c r="O116" i="52"/>
  <c r="AA227" i="6"/>
  <c r="Z56" i="6"/>
  <c r="P71" i="7"/>
  <c r="P15" i="7"/>
  <c r="K103" i="39"/>
  <c r="I103" i="39"/>
  <c r="K116" i="52"/>
  <c r="P48" i="7"/>
  <c r="AY48" i="7" s="1"/>
  <c r="O186" i="52"/>
  <c r="G149" i="45"/>
  <c r="C65" i="54"/>
  <c r="R86" i="6"/>
  <c r="P286" i="7"/>
  <c r="O207" i="52"/>
  <c r="AB264" i="6"/>
  <c r="P151" i="7"/>
  <c r="K195" i="52"/>
  <c r="P159" i="7"/>
  <c r="O241" i="7"/>
  <c r="E61" i="28"/>
  <c r="K222" i="39"/>
  <c r="I222" i="39"/>
  <c r="K111" i="39"/>
  <c r="I111" i="39"/>
  <c r="J24" i="46"/>
  <c r="I24" i="46"/>
  <c r="O47" i="7"/>
  <c r="R141" i="6"/>
  <c r="AB141" i="6" s="1"/>
  <c r="M24" i="46"/>
  <c r="L24" i="46"/>
  <c r="O167" i="7"/>
  <c r="O69" i="7"/>
  <c r="R170" i="6"/>
  <c r="W170" i="6" s="1"/>
  <c r="I288" i="51"/>
  <c r="J288" i="51" s="1"/>
  <c r="O96" i="7"/>
  <c r="K129" i="52"/>
  <c r="R190" i="6"/>
  <c r="AB190" i="6" s="1"/>
  <c r="O195" i="7"/>
  <c r="P161" i="7"/>
  <c r="I243" i="39"/>
  <c r="O81" i="7"/>
  <c r="P219" i="7"/>
  <c r="BA219" i="7" s="1"/>
  <c r="P287" i="7"/>
  <c r="Y227" i="6"/>
  <c r="AC227" i="6"/>
  <c r="R130" i="6"/>
  <c r="AB130" i="6" s="1"/>
  <c r="P109" i="7"/>
  <c r="O171" i="7"/>
  <c r="O282" i="52"/>
  <c r="O128" i="52"/>
  <c r="O276" i="7"/>
  <c r="O258" i="7"/>
  <c r="O199" i="7"/>
  <c r="P251" i="7"/>
  <c r="O93" i="52"/>
  <c r="K98" i="52"/>
  <c r="R209" i="6"/>
  <c r="AB209" i="6" s="1"/>
  <c r="O85" i="7"/>
  <c r="O282" i="7"/>
  <c r="R33" i="6"/>
  <c r="AB33" i="6" s="1"/>
  <c r="O277" i="52"/>
  <c r="O236" i="7"/>
  <c r="K225" i="52"/>
  <c r="O18" i="52"/>
  <c r="P69" i="7"/>
  <c r="O215" i="7"/>
  <c r="P112" i="7"/>
  <c r="P81" i="7"/>
  <c r="O18" i="7"/>
  <c r="P137" i="7"/>
  <c r="AG214" i="6"/>
  <c r="O98" i="7"/>
  <c r="Z98" i="7" s="1"/>
  <c r="P282" i="7"/>
  <c r="G187" i="52"/>
  <c r="E187" i="54" s="1"/>
  <c r="O151" i="52"/>
  <c r="I257" i="39"/>
  <c r="K257" i="39"/>
  <c r="I184" i="39"/>
  <c r="K184" i="39"/>
  <c r="K135" i="39"/>
  <c r="I135" i="39"/>
  <c r="U136" i="6"/>
  <c r="K179" i="52"/>
  <c r="K100" i="52"/>
  <c r="T136" i="6"/>
  <c r="O25" i="52"/>
  <c r="I126" i="39"/>
  <c r="R201" i="6"/>
  <c r="AB201" i="6" s="1"/>
  <c r="O236" i="52"/>
  <c r="K82" i="52"/>
  <c r="O123" i="7"/>
  <c r="O45" i="7"/>
  <c r="O154" i="52"/>
  <c r="R159" i="6"/>
  <c r="O189" i="7"/>
  <c r="K168" i="52"/>
  <c r="P239" i="7"/>
  <c r="K151" i="39"/>
  <c r="I151" i="39"/>
  <c r="K95" i="52"/>
  <c r="O190" i="52"/>
  <c r="AC56" i="6"/>
  <c r="P91" i="7"/>
  <c r="O287" i="52"/>
  <c r="O130" i="7"/>
  <c r="Z130" i="7" s="1"/>
  <c r="O130" i="46" s="1"/>
  <c r="O31" i="7"/>
  <c r="W56" i="6"/>
  <c r="T56" i="6"/>
  <c r="X56" i="6"/>
  <c r="V56" i="6"/>
  <c r="Y56" i="6"/>
  <c r="P220" i="7"/>
  <c r="P163" i="7"/>
  <c r="I20" i="39"/>
  <c r="G47" i="52"/>
  <c r="E47" i="54" s="1"/>
  <c r="P105" i="7"/>
  <c r="C47" i="54"/>
  <c r="O64" i="52"/>
  <c r="O170" i="52"/>
  <c r="P210" i="7"/>
  <c r="K64" i="52"/>
  <c r="P51" i="7"/>
  <c r="BB51" i="7" s="1"/>
  <c r="P111" i="7"/>
  <c r="P143" i="7"/>
  <c r="P64" i="7"/>
  <c r="G97" i="52"/>
  <c r="E97" i="54" s="1"/>
  <c r="P29" i="7"/>
  <c r="P272" i="7"/>
  <c r="AY272" i="7" s="1"/>
  <c r="O290" i="7"/>
  <c r="P25" i="7"/>
  <c r="P45" i="7"/>
  <c r="P118" i="7"/>
  <c r="P160" i="7"/>
  <c r="O139" i="7"/>
  <c r="P166" i="7"/>
  <c r="P242" i="7"/>
  <c r="AZ242" i="7" s="1"/>
  <c r="O154" i="7"/>
  <c r="P19" i="7"/>
  <c r="O63" i="7"/>
  <c r="U264" i="6"/>
  <c r="X254" i="33"/>
  <c r="AC264" i="6"/>
  <c r="Y264" i="6"/>
  <c r="O22" i="52"/>
  <c r="Z264" i="6"/>
  <c r="K172" i="52"/>
  <c r="P89" i="7"/>
  <c r="P276" i="28"/>
  <c r="X264" i="6"/>
  <c r="K220" i="52"/>
  <c r="G176" i="51"/>
  <c r="H176" i="51" s="1"/>
  <c r="P192" i="7"/>
  <c r="P85" i="7"/>
  <c r="R16" i="26"/>
  <c r="X16" i="26" s="1"/>
  <c r="G264" i="45"/>
  <c r="C16" i="45"/>
  <c r="P16" i="45" s="1"/>
  <c r="AA264" i="6"/>
  <c r="AG264" i="6"/>
  <c r="O233" i="7"/>
  <c r="W264" i="6"/>
  <c r="O110" i="7"/>
  <c r="G11" i="51"/>
  <c r="H11" i="51" s="1"/>
  <c r="I130" i="51"/>
  <c r="J130" i="51" s="1"/>
  <c r="P134" i="7"/>
  <c r="P132" i="7"/>
  <c r="P142" i="7"/>
  <c r="P189" i="7"/>
  <c r="P195" i="7"/>
  <c r="H264" i="28"/>
  <c r="K223" i="52"/>
  <c r="O166" i="7"/>
  <c r="Z166" i="7" s="1"/>
  <c r="O175" i="7"/>
  <c r="P246" i="7"/>
  <c r="BB246" i="7" s="1"/>
  <c r="O72" i="7"/>
  <c r="P182" i="7"/>
  <c r="P231" i="7"/>
  <c r="P127" i="7"/>
  <c r="U234" i="26"/>
  <c r="X234" i="26"/>
  <c r="V234" i="26"/>
  <c r="W234" i="26"/>
  <c r="T234" i="26"/>
  <c r="Z234" i="26"/>
  <c r="S234" i="26"/>
  <c r="Y234" i="26"/>
  <c r="C226" i="54"/>
  <c r="I65" i="39"/>
  <c r="P58" i="7"/>
  <c r="BA58" i="7" s="1"/>
  <c r="R13" i="26"/>
  <c r="I13" i="45"/>
  <c r="G226" i="52"/>
  <c r="E226" i="54" s="1"/>
  <c r="G5" i="52"/>
  <c r="E5" i="54" s="1"/>
  <c r="F16" i="28"/>
  <c r="I16" i="46" s="1"/>
  <c r="C16" i="46" s="1"/>
  <c r="G16" i="28"/>
  <c r="L16" i="46" s="1"/>
  <c r="D16" i="46" s="1"/>
  <c r="K54" i="52"/>
  <c r="Y230" i="26"/>
  <c r="X230" i="26"/>
  <c r="T230" i="26"/>
  <c r="U230" i="26"/>
  <c r="Z230" i="26"/>
  <c r="S230" i="26"/>
  <c r="V230" i="26"/>
  <c r="W230" i="26"/>
  <c r="AA56" i="6"/>
  <c r="P270" i="7"/>
  <c r="AH16" i="46"/>
  <c r="AI16" i="46"/>
  <c r="AG16" i="46"/>
  <c r="AJ16" i="46"/>
  <c r="AL16" i="46"/>
  <c r="AK16" i="46"/>
  <c r="X138" i="33"/>
  <c r="P258" i="7"/>
  <c r="P191" i="7"/>
  <c r="U16" i="45"/>
  <c r="S16" i="45"/>
  <c r="R16" i="45"/>
  <c r="T16" i="45"/>
  <c r="AR16" i="46"/>
  <c r="AO16" i="46"/>
  <c r="AN16" i="46"/>
  <c r="AP16" i="46"/>
  <c r="AM16" i="46"/>
  <c r="AQ16" i="46"/>
  <c r="AB85" i="6"/>
  <c r="P188" i="7"/>
  <c r="O118" i="28"/>
  <c r="X85" i="6"/>
  <c r="AA85" i="6"/>
  <c r="O33" i="52"/>
  <c r="P28" i="7"/>
  <c r="AY28" i="7" s="1"/>
  <c r="P54" i="7"/>
  <c r="BA54" i="7" s="1"/>
  <c r="U85" i="6"/>
  <c r="O114" i="52"/>
  <c r="O142" i="28"/>
  <c r="O185" i="7"/>
  <c r="P140" i="7"/>
  <c r="R224" i="6"/>
  <c r="AB224" i="6" s="1"/>
  <c r="C134" i="54"/>
  <c r="P198" i="7"/>
  <c r="P100" i="7"/>
  <c r="O43" i="52"/>
  <c r="O204" i="52"/>
  <c r="P157" i="7"/>
  <c r="P214" i="7"/>
  <c r="P32" i="7"/>
  <c r="P44" i="7"/>
  <c r="P23" i="7"/>
  <c r="O157" i="7"/>
  <c r="P176" i="7"/>
  <c r="BA176" i="7" s="1"/>
  <c r="O60" i="52"/>
  <c r="R54" i="6"/>
  <c r="AB54" i="6" s="1"/>
  <c r="K56" i="52"/>
  <c r="V85" i="6"/>
  <c r="O237" i="52"/>
  <c r="O283" i="52"/>
  <c r="K41" i="52"/>
  <c r="O182" i="52"/>
  <c r="V42" i="6"/>
  <c r="P180" i="7"/>
  <c r="P30" i="7"/>
  <c r="P57" i="7"/>
  <c r="F57" i="39" s="1"/>
  <c r="O108" i="7"/>
  <c r="P237" i="7"/>
  <c r="O242" i="7"/>
  <c r="Z242" i="7" s="1"/>
  <c r="O109" i="7"/>
  <c r="G280" i="52"/>
  <c r="E280" i="54" s="1"/>
  <c r="K55" i="52"/>
  <c r="H56" i="28"/>
  <c r="J56" i="28" s="1"/>
  <c r="K207" i="52"/>
  <c r="H191" i="87"/>
  <c r="C191" i="87" s="1"/>
  <c r="O29" i="52"/>
  <c r="G227" i="45"/>
  <c r="P59" i="28"/>
  <c r="C280" i="54"/>
  <c r="C180" i="54"/>
  <c r="O55" i="52"/>
  <c r="K114" i="52"/>
  <c r="K58" i="52"/>
  <c r="O109" i="52"/>
  <c r="K254" i="52"/>
  <c r="O216" i="52"/>
  <c r="G56" i="45"/>
  <c r="O203" i="52"/>
  <c r="G42" i="45"/>
  <c r="R177" i="6"/>
  <c r="AA177" i="6" s="1"/>
  <c r="O203" i="7"/>
  <c r="Z203" i="7" s="1"/>
  <c r="O127" i="7"/>
  <c r="O89" i="7"/>
  <c r="P43" i="7"/>
  <c r="C165" i="87"/>
  <c r="K245" i="52"/>
  <c r="C55" i="54"/>
  <c r="R162" i="6"/>
  <c r="AB162" i="6" s="1"/>
  <c r="O156" i="7"/>
  <c r="W227" i="6"/>
  <c r="Y85" i="6"/>
  <c r="K53" i="52"/>
  <c r="R221" i="6"/>
  <c r="AB221" i="6" s="1"/>
  <c r="K28" i="52"/>
  <c r="K129" i="39"/>
  <c r="O224" i="7"/>
  <c r="G197" i="51"/>
  <c r="H197" i="51" s="1"/>
  <c r="K29" i="52"/>
  <c r="V227" i="6"/>
  <c r="O183" i="52"/>
  <c r="O143" i="52"/>
  <c r="W85" i="6"/>
  <c r="G63" i="52"/>
  <c r="E63" i="54" s="1"/>
  <c r="R83" i="6"/>
  <c r="AB83" i="6" s="1"/>
  <c r="AG85" i="6"/>
  <c r="R286" i="6"/>
  <c r="AB286" i="6" s="1"/>
  <c r="G290" i="51"/>
  <c r="H290" i="51" s="1"/>
  <c r="O133" i="7"/>
  <c r="Z133" i="7" s="1"/>
  <c r="BG133" i="7" s="1"/>
  <c r="P204" i="7"/>
  <c r="Y58" i="6"/>
  <c r="O115" i="7"/>
  <c r="K170" i="52"/>
  <c r="O35" i="52"/>
  <c r="K144" i="52"/>
  <c r="K102" i="52"/>
  <c r="O159" i="52"/>
  <c r="O202" i="7"/>
  <c r="O131" i="7"/>
  <c r="P190" i="7"/>
  <c r="AZ190" i="7" s="1"/>
  <c r="O168" i="7"/>
  <c r="P173" i="7"/>
  <c r="P207" i="7"/>
  <c r="BA207" i="7" s="1"/>
  <c r="P243" i="7"/>
  <c r="AZ243" i="7" s="1"/>
  <c r="P279" i="7"/>
  <c r="BA279" i="7" s="1"/>
  <c r="P174" i="7"/>
  <c r="O26" i="7"/>
  <c r="O92" i="7"/>
  <c r="Z92" i="7" s="1"/>
  <c r="P72" i="7"/>
  <c r="BA72" i="7" s="1"/>
  <c r="P124" i="7"/>
  <c r="O244" i="7"/>
  <c r="Z244" i="7" s="1"/>
  <c r="P149" i="7"/>
  <c r="P116" i="7"/>
  <c r="O15" i="7"/>
  <c r="O147" i="7"/>
  <c r="P199" i="7"/>
  <c r="K151" i="52"/>
  <c r="I84" i="51"/>
  <c r="J84" i="51" s="1"/>
  <c r="O84" i="52"/>
  <c r="I207" i="39"/>
  <c r="O22" i="7"/>
  <c r="O53" i="7"/>
  <c r="C20" i="54"/>
  <c r="R40" i="6"/>
  <c r="Z40" i="6" s="1"/>
  <c r="I238" i="39"/>
  <c r="P84" i="7"/>
  <c r="P53" i="7"/>
  <c r="G65" i="52"/>
  <c r="E65" i="54" s="1"/>
  <c r="O139" i="52"/>
  <c r="O200" i="52"/>
  <c r="O105" i="52"/>
  <c r="O238" i="7"/>
  <c r="P150" i="7"/>
  <c r="O80" i="7"/>
  <c r="G55" i="52"/>
  <c r="E55" i="54" s="1"/>
  <c r="R153" i="6"/>
  <c r="T153" i="6" s="1"/>
  <c r="O153" i="7"/>
  <c r="O38" i="7"/>
  <c r="U276" i="6"/>
  <c r="H276" i="28"/>
  <c r="J276" i="28" s="1"/>
  <c r="M276" i="46" s="1"/>
  <c r="AC276" i="6"/>
  <c r="P79" i="7"/>
  <c r="O180" i="52"/>
  <c r="R10" i="6"/>
  <c r="AB10" i="6" s="1"/>
  <c r="P147" i="7"/>
  <c r="O59" i="7"/>
  <c r="O181" i="7"/>
  <c r="I171" i="39"/>
  <c r="O180" i="7"/>
  <c r="G199" i="52"/>
  <c r="E199" i="54" s="1"/>
  <c r="P196" i="7"/>
  <c r="O174" i="7"/>
  <c r="P257" i="7"/>
  <c r="C136" i="54"/>
  <c r="G136" i="52"/>
  <c r="E136" i="54" s="1"/>
  <c r="O232" i="7"/>
  <c r="P183" i="7"/>
  <c r="G192" i="52"/>
  <c r="E192" i="54" s="1"/>
  <c r="O190" i="7"/>
  <c r="Z190" i="7" s="1"/>
  <c r="O220" i="52"/>
  <c r="I96" i="51"/>
  <c r="J96" i="51" s="1"/>
  <c r="O75" i="52"/>
  <c r="O208" i="28"/>
  <c r="K155" i="52"/>
  <c r="O76" i="7"/>
  <c r="Z76" i="7" s="1"/>
  <c r="O59" i="52"/>
  <c r="O165" i="7"/>
  <c r="AX165" i="7" s="1"/>
  <c r="C63" i="54"/>
  <c r="O60" i="7"/>
  <c r="O107" i="7"/>
  <c r="O124" i="52"/>
  <c r="O169" i="28"/>
  <c r="I156" i="39"/>
  <c r="O242" i="28"/>
  <c r="K270" i="52"/>
  <c r="K139" i="52"/>
  <c r="K97" i="52"/>
  <c r="P153" i="7"/>
  <c r="I108" i="39"/>
  <c r="P223" i="7"/>
  <c r="O40" i="7"/>
  <c r="P263" i="7"/>
  <c r="O57" i="7"/>
  <c r="Z57" i="7" s="1"/>
  <c r="O204" i="7"/>
  <c r="P127" i="28"/>
  <c r="C6" i="54"/>
  <c r="R195" i="6"/>
  <c r="AB195" i="6" s="1"/>
  <c r="P201" i="7"/>
  <c r="O128" i="28"/>
  <c r="G6" i="52"/>
  <c r="E6" i="54" s="1"/>
  <c r="G98" i="52"/>
  <c r="E98" i="54" s="1"/>
  <c r="P27" i="7"/>
  <c r="O92" i="52"/>
  <c r="AG149" i="6"/>
  <c r="O194" i="7"/>
  <c r="P94" i="28"/>
  <c r="P88" i="7"/>
  <c r="BA88" i="7" s="1"/>
  <c r="I277" i="39"/>
  <c r="O183" i="7"/>
  <c r="O95" i="7"/>
  <c r="P104" i="7"/>
  <c r="AZ104" i="7" s="1"/>
  <c r="P135" i="7"/>
  <c r="O80" i="28"/>
  <c r="O108" i="52"/>
  <c r="P277" i="7"/>
  <c r="P126" i="7"/>
  <c r="P187" i="28"/>
  <c r="V188" i="6"/>
  <c r="O164" i="52"/>
  <c r="P114" i="7"/>
  <c r="P177" i="7"/>
  <c r="K273" i="39"/>
  <c r="C199" i="54"/>
  <c r="Z188" i="6"/>
  <c r="Y276" i="6"/>
  <c r="P193" i="7"/>
  <c r="BB193" i="7" s="1"/>
  <c r="Y188" i="6"/>
  <c r="V276" i="6"/>
  <c r="P66" i="7"/>
  <c r="O140" i="7"/>
  <c r="P241" i="7"/>
  <c r="AZ241" i="7" s="1"/>
  <c r="T276" i="6"/>
  <c r="P94" i="7"/>
  <c r="G22" i="52"/>
  <c r="E22" i="54" s="1"/>
  <c r="G20" i="52"/>
  <c r="E20" i="54" s="1"/>
  <c r="X188" i="6"/>
  <c r="G276" i="45"/>
  <c r="O213" i="7"/>
  <c r="O216" i="7"/>
  <c r="I38" i="51"/>
  <c r="J38" i="51" s="1"/>
  <c r="P225" i="7"/>
  <c r="P56" i="7"/>
  <c r="F56" i="39" s="1"/>
  <c r="G56" i="39" s="1"/>
  <c r="Z276" i="6"/>
  <c r="O200" i="28"/>
  <c r="P38" i="7"/>
  <c r="I246" i="39"/>
  <c r="P80" i="7"/>
  <c r="I244" i="39"/>
  <c r="P238" i="7"/>
  <c r="P170" i="7"/>
  <c r="P213" i="7"/>
  <c r="O158" i="7"/>
  <c r="AG276" i="6"/>
  <c r="O118" i="7"/>
  <c r="P275" i="7"/>
  <c r="P76" i="7"/>
  <c r="BA76" i="7" s="1"/>
  <c r="O117" i="7"/>
  <c r="O93" i="7"/>
  <c r="Z93" i="7" s="1"/>
  <c r="O10" i="52"/>
  <c r="P83" i="7"/>
  <c r="P212" i="7"/>
  <c r="I152" i="39"/>
  <c r="O289" i="52"/>
  <c r="P106" i="7"/>
  <c r="O144" i="7"/>
  <c r="P228" i="7"/>
  <c r="P222" i="7"/>
  <c r="H279" i="87"/>
  <c r="C279" i="87" s="1"/>
  <c r="P280" i="7"/>
  <c r="P250" i="7"/>
  <c r="BB250" i="7" s="1"/>
  <c r="P289" i="7"/>
  <c r="P60" i="7"/>
  <c r="BA155" i="7"/>
  <c r="AY155" i="7"/>
  <c r="O206" i="7"/>
  <c r="O33" i="7"/>
  <c r="O201" i="7"/>
  <c r="P108" i="7"/>
  <c r="F108" i="39" s="1"/>
  <c r="G108" i="39" s="1"/>
  <c r="P169" i="7"/>
  <c r="BA169" i="7" s="1"/>
  <c r="P218" i="7"/>
  <c r="P179" i="7"/>
  <c r="P209" i="7"/>
  <c r="C245" i="87"/>
  <c r="O208" i="7"/>
  <c r="P62" i="7"/>
  <c r="BA62" i="7" s="1"/>
  <c r="O245" i="7"/>
  <c r="Z245" i="7" s="1"/>
  <c r="BG245" i="7" s="1"/>
  <c r="O145" i="7"/>
  <c r="O83" i="7"/>
  <c r="O122" i="7"/>
  <c r="O17" i="7"/>
  <c r="O186" i="7"/>
  <c r="Z186" i="7" s="1"/>
  <c r="P285" i="7"/>
  <c r="P187" i="7"/>
  <c r="F187" i="39" s="1"/>
  <c r="G187" i="39" s="1"/>
  <c r="P121" i="7"/>
  <c r="P197" i="7"/>
  <c r="P168" i="7"/>
  <c r="P61" i="7"/>
  <c r="P101" i="7"/>
  <c r="O68" i="7"/>
  <c r="Z68" i="7" s="1"/>
  <c r="O128" i="7"/>
  <c r="P184" i="7"/>
  <c r="P145" i="7"/>
  <c r="H55" i="46"/>
  <c r="O58" i="7"/>
  <c r="Z58" i="7" s="1"/>
  <c r="BH58" i="7" s="1"/>
  <c r="E143" i="28"/>
  <c r="H92" i="46"/>
  <c r="P95" i="7"/>
  <c r="P203" i="7"/>
  <c r="BA203" i="7" s="1"/>
  <c r="H181" i="46"/>
  <c r="P33" i="7"/>
  <c r="P178" i="7"/>
  <c r="P115" i="7"/>
  <c r="P97" i="7"/>
  <c r="O280" i="7"/>
  <c r="P202" i="7"/>
  <c r="O155" i="7"/>
  <c r="Z155" i="7" s="1"/>
  <c r="D155" i="39" s="1"/>
  <c r="E155" i="39" s="1"/>
  <c r="K155" i="28" s="1"/>
  <c r="O91" i="7"/>
  <c r="P208" i="7"/>
  <c r="O178" i="7"/>
  <c r="O29" i="7"/>
  <c r="O135" i="7"/>
  <c r="O172" i="7"/>
  <c r="H255" i="46"/>
  <c r="O102" i="7"/>
  <c r="Z102" i="7" s="1"/>
  <c r="P148" i="7"/>
  <c r="AY148" i="7" s="1"/>
  <c r="O187" i="7"/>
  <c r="AX187" i="7" s="1"/>
  <c r="P102" i="7"/>
  <c r="AY102" i="7" s="1"/>
  <c r="O97" i="7"/>
  <c r="O67" i="7"/>
  <c r="H38" i="46"/>
  <c r="H31" i="46"/>
  <c r="O192" i="7"/>
  <c r="O97" i="52"/>
  <c r="C192" i="54"/>
  <c r="K224" i="52"/>
  <c r="E4" i="51"/>
  <c r="F4" i="51" s="1"/>
  <c r="P4" i="26" s="1"/>
  <c r="I4" i="45" s="1"/>
  <c r="R151" i="6"/>
  <c r="X151" i="6" s="1"/>
  <c r="K199" i="52"/>
  <c r="O54" i="52"/>
  <c r="O63" i="52"/>
  <c r="I153" i="51"/>
  <c r="J153" i="51" s="1"/>
  <c r="G45" i="51"/>
  <c r="H45" i="51" s="1"/>
  <c r="G89" i="52"/>
  <c r="E89" i="54" s="1"/>
  <c r="K203" i="52"/>
  <c r="O239" i="52"/>
  <c r="K283" i="52"/>
  <c r="H277" i="46"/>
  <c r="H161" i="46"/>
  <c r="H273" i="46"/>
  <c r="H184" i="46"/>
  <c r="H65" i="46"/>
  <c r="I61" i="39"/>
  <c r="I141" i="39"/>
  <c r="I70" i="39"/>
  <c r="K206" i="39"/>
  <c r="I206" i="39"/>
  <c r="I123" i="39"/>
  <c r="K221" i="39"/>
  <c r="H83" i="46"/>
  <c r="AG188" i="6"/>
  <c r="AB188" i="6"/>
  <c r="K107" i="52"/>
  <c r="H19" i="46"/>
  <c r="H188" i="28"/>
  <c r="I188" i="28" s="1"/>
  <c r="J188" i="46" s="1"/>
  <c r="K108" i="52"/>
  <c r="I179" i="39"/>
  <c r="C89" i="54"/>
  <c r="U188" i="6"/>
  <c r="I182" i="39"/>
  <c r="H44" i="46"/>
  <c r="I124" i="39"/>
  <c r="T188" i="6"/>
  <c r="O286" i="28"/>
  <c r="O246" i="52"/>
  <c r="W188" i="6"/>
  <c r="R180" i="6"/>
  <c r="G180" i="45" s="1"/>
  <c r="G215" i="51"/>
  <c r="H215" i="51" s="1"/>
  <c r="X30" i="6"/>
  <c r="T30" i="6"/>
  <c r="R223" i="6"/>
  <c r="AC223" i="6" s="1"/>
  <c r="H215" i="46"/>
  <c r="H244" i="28"/>
  <c r="K161" i="52"/>
  <c r="G136" i="45"/>
  <c r="C122" i="28"/>
  <c r="P122" i="28" s="1"/>
  <c r="C163" i="28"/>
  <c r="O163" i="28" s="1"/>
  <c r="O148" i="52"/>
  <c r="H258" i="46"/>
  <c r="H136" i="28"/>
  <c r="O67" i="52"/>
  <c r="I139" i="39"/>
  <c r="O90" i="52"/>
  <c r="AA136" i="6"/>
  <c r="G244" i="45"/>
  <c r="C264" i="28"/>
  <c r="P264" i="28" s="1"/>
  <c r="K44" i="52"/>
  <c r="C162" i="28"/>
  <c r="O162" i="28" s="1"/>
  <c r="I53" i="39"/>
  <c r="O109" i="28"/>
  <c r="O202" i="52"/>
  <c r="C209" i="28"/>
  <c r="P209" i="28" s="1"/>
  <c r="C22" i="54"/>
  <c r="O20" i="52"/>
  <c r="AA188" i="6"/>
  <c r="AC188" i="6"/>
  <c r="G235" i="51"/>
  <c r="H235" i="51" s="1"/>
  <c r="I231" i="39"/>
  <c r="C114" i="28"/>
  <c r="I290" i="39"/>
  <c r="H188" i="46"/>
  <c r="H239" i="46"/>
  <c r="O47" i="52"/>
  <c r="O285" i="28"/>
  <c r="K84" i="39"/>
  <c r="I84" i="39"/>
  <c r="I90" i="39"/>
  <c r="P262" i="28"/>
  <c r="C151" i="28"/>
  <c r="O151" i="28" s="1"/>
  <c r="C107" i="28"/>
  <c r="P107" i="28" s="1"/>
  <c r="O51" i="28"/>
  <c r="I116" i="39"/>
  <c r="I205" i="39"/>
  <c r="I275" i="39"/>
  <c r="O277" i="28"/>
  <c r="C199" i="28"/>
  <c r="P199" i="28" s="1"/>
  <c r="C152" i="28"/>
  <c r="O152" i="28" s="1"/>
  <c r="C129" i="28"/>
  <c r="P129" i="28" s="1"/>
  <c r="I58" i="39"/>
  <c r="I150" i="39"/>
  <c r="P110" i="28"/>
  <c r="O153" i="28"/>
  <c r="C96" i="28"/>
  <c r="O96" i="28" s="1"/>
  <c r="C89" i="28"/>
  <c r="P89" i="28" s="1"/>
  <c r="I233" i="39"/>
  <c r="E230" i="39"/>
  <c r="K230" i="28" s="1"/>
  <c r="I10" i="39"/>
  <c r="O282" i="28"/>
  <c r="I69" i="39"/>
  <c r="I230" i="39"/>
  <c r="I153" i="39"/>
  <c r="I190" i="39"/>
  <c r="C165" i="28"/>
  <c r="O165" i="28" s="1"/>
  <c r="C273" i="28"/>
  <c r="O273" i="28" s="1"/>
  <c r="C289" i="28"/>
  <c r="O289" i="28" s="1"/>
  <c r="C256" i="28"/>
  <c r="O256" i="28" s="1"/>
  <c r="O145" i="28"/>
  <c r="C214" i="28"/>
  <c r="P214" i="28" s="1"/>
  <c r="O117" i="28"/>
  <c r="O193" i="28"/>
  <c r="I274" i="39"/>
  <c r="P175" i="28"/>
  <c r="C204" i="28"/>
  <c r="O204" i="28" s="1"/>
  <c r="C121" i="28"/>
  <c r="P121" i="28" s="1"/>
  <c r="C124" i="28"/>
  <c r="P124" i="28" s="1"/>
  <c r="C66" i="28"/>
  <c r="P66" i="28" s="1"/>
  <c r="I6" i="39"/>
  <c r="I224" i="39"/>
  <c r="C211" i="28"/>
  <c r="P211" i="28" s="1"/>
  <c r="C148" i="28"/>
  <c r="O148" i="28" s="1"/>
  <c r="C196" i="28"/>
  <c r="P196" i="28" s="1"/>
  <c r="C131" i="28"/>
  <c r="O131" i="28" s="1"/>
  <c r="O190" i="28"/>
  <c r="C253" i="28"/>
  <c r="P253" i="28" s="1"/>
  <c r="C195" i="28"/>
  <c r="O195" i="28" s="1"/>
  <c r="C223" i="39"/>
  <c r="K223" i="39" s="1"/>
  <c r="C180" i="39"/>
  <c r="K180" i="39" s="1"/>
  <c r="C55" i="39"/>
  <c r="K55" i="39" s="1"/>
  <c r="C214" i="39"/>
  <c r="I214" i="39" s="1"/>
  <c r="C270" i="39"/>
  <c r="K270" i="39" s="1"/>
  <c r="C81" i="39"/>
  <c r="K81" i="39" s="1"/>
  <c r="I245" i="39"/>
  <c r="I101" i="39"/>
  <c r="I56" i="39"/>
  <c r="C96" i="39"/>
  <c r="I96" i="39" s="1"/>
  <c r="C212" i="39"/>
  <c r="K212" i="39" s="1"/>
  <c r="C149" i="39"/>
  <c r="I149" i="39" s="1"/>
  <c r="C5" i="39"/>
  <c r="K5" i="39" s="1"/>
  <c r="C86" i="39"/>
  <c r="K86" i="39" s="1"/>
  <c r="C167" i="39"/>
  <c r="K167" i="39" s="1"/>
  <c r="C237" i="39"/>
  <c r="K237" i="39" s="1"/>
  <c r="C117" i="39"/>
  <c r="K117" i="39" s="1"/>
  <c r="C280" i="39"/>
  <c r="I280" i="39" s="1"/>
  <c r="I79" i="39"/>
  <c r="P278" i="28"/>
  <c r="C236" i="28"/>
  <c r="P236" i="28" s="1"/>
  <c r="C221" i="28"/>
  <c r="P221" i="28" s="1"/>
  <c r="C263" i="39"/>
  <c r="K263" i="39" s="1"/>
  <c r="C164" i="39"/>
  <c r="K164" i="39" s="1"/>
  <c r="C172" i="39"/>
  <c r="K172" i="39" s="1"/>
  <c r="C188" i="39"/>
  <c r="K188" i="39" s="1"/>
  <c r="C87" i="39"/>
  <c r="I87" i="39" s="1"/>
  <c r="C227" i="39"/>
  <c r="K227" i="39" s="1"/>
  <c r="C118" i="39"/>
  <c r="K118" i="39" s="1"/>
  <c r="C254" i="28"/>
  <c r="P254" i="28" s="1"/>
  <c r="C210" i="28"/>
  <c r="P210" i="28" s="1"/>
  <c r="C256" i="39"/>
  <c r="K256" i="39" s="1"/>
  <c r="C137" i="39"/>
  <c r="K137" i="39" s="1"/>
  <c r="C85" i="39"/>
  <c r="I85" i="39" s="1"/>
  <c r="C258" i="39"/>
  <c r="K258" i="39" s="1"/>
  <c r="C255" i="39"/>
  <c r="C107" i="39"/>
  <c r="P68" i="28"/>
  <c r="C67" i="39"/>
  <c r="K67" i="39" s="1"/>
  <c r="C109" i="39"/>
  <c r="K109" i="39" s="1"/>
  <c r="C158" i="39"/>
  <c r="C248" i="39"/>
  <c r="I248" i="39" s="1"/>
  <c r="C8" i="39"/>
  <c r="K8" i="39" s="1"/>
  <c r="C71" i="39"/>
  <c r="K71" i="39" s="1"/>
  <c r="O161" i="28"/>
  <c r="C213" i="28"/>
  <c r="P213" i="28" s="1"/>
  <c r="I115" i="28"/>
  <c r="J115" i="46" s="1"/>
  <c r="C177" i="39"/>
  <c r="K177" i="39" s="1"/>
  <c r="C115" i="39"/>
  <c r="K115" i="39" s="1"/>
  <c r="C283" i="39"/>
  <c r="C169" i="39"/>
  <c r="K169" i="39" s="1"/>
  <c r="I113" i="39"/>
  <c r="I120" i="39"/>
  <c r="O108" i="28"/>
  <c r="C289" i="39"/>
  <c r="C178" i="39"/>
  <c r="K178" i="39" s="1"/>
  <c r="C236" i="39"/>
  <c r="K236" i="39" s="1"/>
  <c r="P86" i="28"/>
  <c r="K191" i="39"/>
  <c r="I191" i="39"/>
  <c r="I83" i="39"/>
  <c r="C170" i="39"/>
  <c r="I170" i="39" s="1"/>
  <c r="C232" i="39"/>
  <c r="K232" i="39" s="1"/>
  <c r="C185" i="39"/>
  <c r="I185" i="39" s="1"/>
  <c r="P91" i="28"/>
  <c r="O182" i="28"/>
  <c r="O56" i="28"/>
  <c r="P149" i="28"/>
  <c r="I91" i="39"/>
  <c r="C163" i="39"/>
  <c r="K163" i="39" s="1"/>
  <c r="C226" i="39"/>
  <c r="K226" i="39" s="1"/>
  <c r="C161" i="39"/>
  <c r="K161" i="39" s="1"/>
  <c r="C209" i="39"/>
  <c r="K209" i="39" s="1"/>
  <c r="P47" i="28"/>
  <c r="C143" i="28"/>
  <c r="C160" i="28"/>
  <c r="P160" i="28" s="1"/>
  <c r="C97" i="28"/>
  <c r="P97" i="28" s="1"/>
  <c r="C134" i="39"/>
  <c r="K134" i="39" s="1"/>
  <c r="C175" i="39"/>
  <c r="K175" i="39" s="1"/>
  <c r="C132" i="39"/>
  <c r="K132" i="39" s="1"/>
  <c r="K201" i="39"/>
  <c r="I201" i="39"/>
  <c r="C174" i="39"/>
  <c r="K174" i="39" s="1"/>
  <c r="C162" i="39"/>
  <c r="C57" i="39"/>
  <c r="I57" i="39" s="1"/>
  <c r="C89" i="39"/>
  <c r="K89" i="39" s="1"/>
  <c r="C95" i="39"/>
  <c r="K95" i="39" s="1"/>
  <c r="C249" i="39"/>
  <c r="I249" i="39" s="1"/>
  <c r="C128" i="39"/>
  <c r="K128" i="39" s="1"/>
  <c r="K259" i="39"/>
  <c r="I259" i="39"/>
  <c r="P115" i="28"/>
  <c r="O261" i="28"/>
  <c r="C8" i="28"/>
  <c r="O8" i="28" s="1"/>
  <c r="C62" i="39"/>
  <c r="K62" i="39" s="1"/>
  <c r="C122" i="39"/>
  <c r="K122" i="39" s="1"/>
  <c r="C197" i="39"/>
  <c r="K197" i="39" s="1"/>
  <c r="C9" i="39"/>
  <c r="I9" i="39" s="1"/>
  <c r="C160" i="39"/>
  <c r="K160" i="39" s="1"/>
  <c r="C4" i="39"/>
  <c r="K4" i="39" s="1"/>
  <c r="C150" i="28"/>
  <c r="O150" i="28" s="1"/>
  <c r="C170" i="28"/>
  <c r="P170" i="28" s="1"/>
  <c r="C231" i="28"/>
  <c r="P231" i="28" s="1"/>
  <c r="C206" i="28"/>
  <c r="C61" i="28"/>
  <c r="R75" i="6"/>
  <c r="AB75" i="6" s="1"/>
  <c r="K93" i="52"/>
  <c r="C147" i="28"/>
  <c r="O147" i="28" s="1"/>
  <c r="F230" i="28"/>
  <c r="I230" i="46" s="1"/>
  <c r="G230" i="28"/>
  <c r="L230" i="46" s="1"/>
  <c r="C53" i="28"/>
  <c r="P53" i="28" s="1"/>
  <c r="C81" i="28"/>
  <c r="O81" i="28" s="1"/>
  <c r="H26" i="46"/>
  <c r="O230" i="28"/>
  <c r="T228" i="6"/>
  <c r="R176" i="6"/>
  <c r="AB176" i="6" s="1"/>
  <c r="G228" i="45"/>
  <c r="R213" i="6"/>
  <c r="R205" i="6"/>
  <c r="AB205" i="6" s="1"/>
  <c r="Y44" i="6"/>
  <c r="Z44" i="6"/>
  <c r="R290" i="6"/>
  <c r="AB290" i="6" s="1"/>
  <c r="G184" i="45"/>
  <c r="Y184" i="6"/>
  <c r="V184" i="6"/>
  <c r="AA184" i="6"/>
  <c r="U184" i="6"/>
  <c r="W184" i="6"/>
  <c r="H184" i="28"/>
  <c r="J184" i="28" s="1"/>
  <c r="M184" i="46" s="1"/>
  <c r="X184" i="6"/>
  <c r="AC184" i="6"/>
  <c r="AG184" i="6"/>
  <c r="T184" i="6"/>
  <c r="AB184" i="6"/>
  <c r="Z184" i="6"/>
  <c r="R121" i="6"/>
  <c r="AC121" i="6" s="1"/>
  <c r="AG143" i="6"/>
  <c r="Y143" i="6"/>
  <c r="O64" i="28"/>
  <c r="O134" i="28"/>
  <c r="C158" i="28"/>
  <c r="P158" i="28" s="1"/>
  <c r="O270" i="28"/>
  <c r="O111" i="28"/>
  <c r="P111" i="28"/>
  <c r="K232" i="52"/>
  <c r="C140" i="28"/>
  <c r="P140" i="28" s="1"/>
  <c r="E120" i="39"/>
  <c r="K120" i="28" s="1"/>
  <c r="L120" i="28" s="1"/>
  <c r="K120" i="46" s="1"/>
  <c r="K50" i="39"/>
  <c r="I50" i="39"/>
  <c r="T144" i="6"/>
  <c r="C257" i="28"/>
  <c r="K47" i="52"/>
  <c r="R68" i="6"/>
  <c r="U68" i="6" s="1"/>
  <c r="C194" i="28"/>
  <c r="P194" i="28" s="1"/>
  <c r="C235" i="28"/>
  <c r="O235" i="28" s="1"/>
  <c r="R212" i="6"/>
  <c r="T212" i="6" s="1"/>
  <c r="I64" i="39"/>
  <c r="P162" i="7"/>
  <c r="P107" i="7"/>
  <c r="G4" i="52"/>
  <c r="E4" i="54" s="1"/>
  <c r="C181" i="28"/>
  <c r="O181" i="28" s="1"/>
  <c r="C123" i="28"/>
  <c r="P123" i="28" s="1"/>
  <c r="P86" i="7"/>
  <c r="AY86" i="7" s="1"/>
  <c r="P227" i="7"/>
  <c r="P226" i="7"/>
  <c r="C168" i="28"/>
  <c r="O168" i="28" s="1"/>
  <c r="C70" i="28"/>
  <c r="P70" i="28" s="1"/>
  <c r="O62" i="28"/>
  <c r="O73" i="28"/>
  <c r="O259" i="28"/>
  <c r="O95" i="28"/>
  <c r="O198" i="28"/>
  <c r="O55" i="28"/>
  <c r="O164" i="28"/>
  <c r="O185" i="28"/>
  <c r="K102" i="39"/>
  <c r="I147" i="39"/>
  <c r="I187" i="39"/>
  <c r="I130" i="39"/>
  <c r="I218" i="45"/>
  <c r="R218" i="26"/>
  <c r="Y218" i="26" s="1"/>
  <c r="I134" i="45"/>
  <c r="O191" i="52"/>
  <c r="O76" i="52"/>
  <c r="O44" i="52"/>
  <c r="C97" i="54"/>
  <c r="G134" i="52"/>
  <c r="E134" i="54" s="1"/>
  <c r="O66" i="52"/>
  <c r="G50" i="52"/>
  <c r="E50" i="54" s="1"/>
  <c r="I185" i="51"/>
  <c r="J185" i="51" s="1"/>
  <c r="C50" i="54"/>
  <c r="O28" i="52"/>
  <c r="K216" i="52"/>
  <c r="O68" i="52"/>
  <c r="O215" i="52"/>
  <c r="C181" i="54"/>
  <c r="G181" i="52"/>
  <c r="E181" i="54" s="1"/>
  <c r="P63" i="7"/>
  <c r="BA63" i="7" s="1"/>
  <c r="O39" i="7"/>
  <c r="P200" i="7"/>
  <c r="AY200" i="7" s="1"/>
  <c r="P87" i="7"/>
  <c r="O75" i="7"/>
  <c r="O275" i="7"/>
  <c r="H155" i="87"/>
  <c r="C155" i="87" s="1"/>
  <c r="O55" i="7"/>
  <c r="O164" i="7"/>
  <c r="O106" i="7"/>
  <c r="O219" i="7"/>
  <c r="Z219" i="7" s="1"/>
  <c r="O184" i="7"/>
  <c r="O169" i="7"/>
  <c r="Z169" i="7" s="1"/>
  <c r="O86" i="7"/>
  <c r="Z86" i="7" s="1"/>
  <c r="O136" i="7"/>
  <c r="AV136" i="7" s="1"/>
  <c r="O48" i="7"/>
  <c r="Z48" i="7" s="1"/>
  <c r="P39" i="7"/>
  <c r="O200" i="7"/>
  <c r="AU200" i="7" s="1"/>
  <c r="P70" i="7"/>
  <c r="F143" i="45"/>
  <c r="E35" i="28"/>
  <c r="G35" i="28" s="1"/>
  <c r="L35" i="46" s="1"/>
  <c r="O8" i="26"/>
  <c r="E8" i="28" s="1"/>
  <c r="R241" i="26"/>
  <c r="X241" i="26" s="1"/>
  <c r="H152" i="28"/>
  <c r="U250" i="6"/>
  <c r="AA250" i="6"/>
  <c r="R51" i="6"/>
  <c r="AB51" i="6" s="1"/>
  <c r="Z152" i="6"/>
  <c r="AA152" i="6"/>
  <c r="H174" i="46"/>
  <c r="H257" i="46"/>
  <c r="H114" i="46"/>
  <c r="H72" i="46"/>
  <c r="H256" i="46"/>
  <c r="K149" i="52"/>
  <c r="G204" i="52"/>
  <c r="E204" i="54" s="1"/>
  <c r="C204" i="54"/>
  <c r="O41" i="52"/>
  <c r="I37" i="45"/>
  <c r="AY74" i="7"/>
  <c r="BB74" i="7"/>
  <c r="F74" i="39"/>
  <c r="G74" i="39" s="1"/>
  <c r="AZ74" i="7"/>
  <c r="H136" i="87"/>
  <c r="C136" i="87" s="1"/>
  <c r="U252" i="33"/>
  <c r="AA149" i="6"/>
  <c r="E181" i="28"/>
  <c r="W228" i="6"/>
  <c r="AB228" i="6"/>
  <c r="R129" i="6"/>
  <c r="G129" i="45" s="1"/>
  <c r="U228" i="6"/>
  <c r="R262" i="6"/>
  <c r="AC262" i="6" s="1"/>
  <c r="E44" i="28"/>
  <c r="F44" i="28" s="1"/>
  <c r="I44" i="46" s="1"/>
  <c r="X149" i="6"/>
  <c r="F44" i="45"/>
  <c r="Y256" i="6"/>
  <c r="Z30" i="6"/>
  <c r="T149" i="6"/>
  <c r="U149" i="6"/>
  <c r="AB149" i="6"/>
  <c r="Z149" i="6"/>
  <c r="AC182" i="6"/>
  <c r="Y65" i="6"/>
  <c r="AA182" i="6"/>
  <c r="E42" i="28"/>
  <c r="F42" i="28" s="1"/>
  <c r="I42" i="46" s="1"/>
  <c r="R26" i="6"/>
  <c r="T26" i="6" s="1"/>
  <c r="Z182" i="6"/>
  <c r="V228" i="6"/>
  <c r="Y287" i="6"/>
  <c r="R279" i="6"/>
  <c r="AB279" i="6" s="1"/>
  <c r="R110" i="6"/>
  <c r="W110" i="6" s="1"/>
  <c r="H149" i="28"/>
  <c r="J149" i="28" s="1"/>
  <c r="M149" i="46" s="1"/>
  <c r="X182" i="6"/>
  <c r="F27" i="45"/>
  <c r="R154" i="6"/>
  <c r="AB154" i="6" s="1"/>
  <c r="H228" i="28"/>
  <c r="E27" i="28"/>
  <c r="F27" i="28" s="1"/>
  <c r="I27" i="46" s="1"/>
  <c r="Y228" i="6"/>
  <c r="H271" i="46"/>
  <c r="H115" i="46"/>
  <c r="H37" i="46"/>
  <c r="H200" i="46"/>
  <c r="H123" i="46"/>
  <c r="E257" i="28"/>
  <c r="F271" i="45"/>
  <c r="F183" i="45"/>
  <c r="I114" i="87"/>
  <c r="O114" i="7"/>
  <c r="R264" i="33"/>
  <c r="Q264" i="33"/>
  <c r="P264" i="33"/>
  <c r="L99" i="33"/>
  <c r="O99" i="33"/>
  <c r="N99" i="33"/>
  <c r="K99" i="33"/>
  <c r="J99" i="33"/>
  <c r="M99" i="33"/>
  <c r="O127" i="52"/>
  <c r="I127" i="51"/>
  <c r="J127" i="51" s="1"/>
  <c r="R228" i="33"/>
  <c r="Q228" i="33"/>
  <c r="P228" i="33"/>
  <c r="R9" i="33"/>
  <c r="Q9" i="33"/>
  <c r="P9" i="33"/>
  <c r="P248" i="33"/>
  <c r="R248" i="33"/>
  <c r="Q248" i="33"/>
  <c r="L80" i="33"/>
  <c r="N80" i="33"/>
  <c r="O80" i="33"/>
  <c r="J80" i="33"/>
  <c r="K80" i="33"/>
  <c r="M80" i="33"/>
  <c r="Q186" i="33"/>
  <c r="P186" i="33"/>
  <c r="R186" i="33"/>
  <c r="K76" i="33"/>
  <c r="O76" i="33"/>
  <c r="L76" i="33"/>
  <c r="M76" i="33"/>
  <c r="N76" i="33"/>
  <c r="J76" i="33"/>
  <c r="L202" i="33"/>
  <c r="J202" i="33"/>
  <c r="O202" i="33"/>
  <c r="K202" i="33"/>
  <c r="N202" i="33"/>
  <c r="M202" i="33"/>
  <c r="M177" i="33"/>
  <c r="L177" i="33"/>
  <c r="N177" i="33"/>
  <c r="J177" i="33"/>
  <c r="K177" i="33"/>
  <c r="O177" i="33"/>
  <c r="R273" i="33"/>
  <c r="Q273" i="33"/>
  <c r="P273" i="33"/>
  <c r="Q39" i="33"/>
  <c r="R39" i="33"/>
  <c r="P39" i="33"/>
  <c r="K114" i="33"/>
  <c r="J114" i="33"/>
  <c r="L114" i="33"/>
  <c r="M114" i="33"/>
  <c r="N114" i="33"/>
  <c r="O114" i="33"/>
  <c r="Q62" i="33"/>
  <c r="R62" i="33"/>
  <c r="P62" i="33"/>
  <c r="R200" i="33"/>
  <c r="Q200" i="33"/>
  <c r="P200" i="33"/>
  <c r="O137" i="33"/>
  <c r="N137" i="33"/>
  <c r="M137" i="33"/>
  <c r="L137" i="33"/>
  <c r="J137" i="33"/>
  <c r="K137" i="33"/>
  <c r="R158" i="33"/>
  <c r="P158" i="33"/>
  <c r="Q158" i="33"/>
  <c r="O241" i="33"/>
  <c r="L241" i="33"/>
  <c r="M241" i="33"/>
  <c r="N241" i="33"/>
  <c r="K241" i="33"/>
  <c r="J241" i="33"/>
  <c r="O117" i="33"/>
  <c r="K117" i="33"/>
  <c r="N117" i="33"/>
  <c r="M117" i="33"/>
  <c r="L117" i="33"/>
  <c r="J117" i="33"/>
  <c r="L32" i="33"/>
  <c r="N32" i="33"/>
  <c r="M32" i="33"/>
  <c r="O32" i="33"/>
  <c r="J32" i="33"/>
  <c r="K32" i="33"/>
  <c r="R214" i="33"/>
  <c r="Q214" i="33"/>
  <c r="P214" i="33"/>
  <c r="P287" i="33"/>
  <c r="Q287" i="33"/>
  <c r="R287" i="33"/>
  <c r="P40" i="33"/>
  <c r="Q40" i="33"/>
  <c r="R40" i="33"/>
  <c r="Q256" i="33"/>
  <c r="P256" i="33"/>
  <c r="R256" i="33"/>
  <c r="J100" i="33"/>
  <c r="O100" i="33"/>
  <c r="N100" i="33"/>
  <c r="M100" i="33"/>
  <c r="K100" i="33"/>
  <c r="L100" i="33"/>
  <c r="J65" i="33"/>
  <c r="M65" i="33"/>
  <c r="L65" i="33"/>
  <c r="K65" i="33"/>
  <c r="N65" i="33"/>
  <c r="O65" i="33"/>
  <c r="P36" i="33"/>
  <c r="R36" i="33"/>
  <c r="Q36" i="33"/>
  <c r="P194" i="33"/>
  <c r="Q194" i="33"/>
  <c r="R194" i="33"/>
  <c r="Q244" i="33"/>
  <c r="P244" i="33"/>
  <c r="R244" i="33"/>
  <c r="R215" i="33"/>
  <c r="P215" i="33"/>
  <c r="Q215" i="33"/>
  <c r="O37" i="33"/>
  <c r="M37" i="33"/>
  <c r="J37" i="33"/>
  <c r="K37" i="33"/>
  <c r="N37" i="33"/>
  <c r="L37" i="33"/>
  <c r="P79" i="33"/>
  <c r="Q79" i="33"/>
  <c r="R79" i="33"/>
  <c r="K231" i="52"/>
  <c r="F51" i="45"/>
  <c r="C116" i="28"/>
  <c r="P116" i="28" s="1"/>
  <c r="K157" i="33"/>
  <c r="J157" i="33"/>
  <c r="O157" i="33"/>
  <c r="N157" i="33"/>
  <c r="M157" i="33"/>
  <c r="L157" i="33"/>
  <c r="J82" i="33"/>
  <c r="M82" i="33"/>
  <c r="K82" i="33"/>
  <c r="O82" i="33"/>
  <c r="L82" i="33"/>
  <c r="N82" i="33"/>
  <c r="P147" i="33"/>
  <c r="Q147" i="33"/>
  <c r="R147" i="33"/>
  <c r="N57" i="33"/>
  <c r="L57" i="33"/>
  <c r="K57" i="33"/>
  <c r="J57" i="33"/>
  <c r="M57" i="33"/>
  <c r="O57" i="33"/>
  <c r="O274" i="33"/>
  <c r="N274" i="33"/>
  <c r="M274" i="33"/>
  <c r="L274" i="33"/>
  <c r="K274" i="33"/>
  <c r="J274" i="33"/>
  <c r="R233" i="33"/>
  <c r="Q233" i="33"/>
  <c r="P233" i="33"/>
  <c r="P185" i="33"/>
  <c r="Q185" i="33"/>
  <c r="R185" i="33"/>
  <c r="P213" i="33"/>
  <c r="R213" i="33"/>
  <c r="Q213" i="33"/>
  <c r="E176" i="28"/>
  <c r="G176" i="28" s="1"/>
  <c r="L176" i="46" s="1"/>
  <c r="C69" i="28"/>
  <c r="P69" i="28" s="1"/>
  <c r="C291" i="28"/>
  <c r="P291" i="28" s="1"/>
  <c r="H262" i="46"/>
  <c r="F241" i="45"/>
  <c r="C84" i="28"/>
  <c r="P84" i="28" s="1"/>
  <c r="E133" i="28"/>
  <c r="F133" i="28" s="1"/>
  <c r="I133" i="46" s="1"/>
  <c r="E101" i="28"/>
  <c r="G101" i="28" s="1"/>
  <c r="L101" i="46" s="1"/>
  <c r="AB259" i="6"/>
  <c r="T259" i="6"/>
  <c r="C159" i="28"/>
  <c r="P159" i="28" s="1"/>
  <c r="I17" i="51"/>
  <c r="J17" i="51" s="1"/>
  <c r="O17" i="52"/>
  <c r="P211" i="33"/>
  <c r="R211" i="33"/>
  <c r="Q211" i="33"/>
  <c r="E122" i="28"/>
  <c r="F122" i="28" s="1"/>
  <c r="I122" i="46" s="1"/>
  <c r="C85" i="28"/>
  <c r="I85" i="28" s="1"/>
  <c r="J85" i="46" s="1"/>
  <c r="R121" i="33"/>
  <c r="P121" i="33"/>
  <c r="Q121" i="33"/>
  <c r="O135" i="33"/>
  <c r="N135" i="33"/>
  <c r="M135" i="33"/>
  <c r="K135" i="33"/>
  <c r="L135" i="33"/>
  <c r="J135" i="33"/>
  <c r="R94" i="33"/>
  <c r="P94" i="33"/>
  <c r="Q94" i="33"/>
  <c r="M170" i="33"/>
  <c r="N170" i="33"/>
  <c r="L170" i="33"/>
  <c r="K170" i="33"/>
  <c r="J170" i="33"/>
  <c r="O170" i="33"/>
  <c r="K103" i="33"/>
  <c r="N103" i="33"/>
  <c r="L103" i="33"/>
  <c r="J103" i="33"/>
  <c r="O103" i="33"/>
  <c r="M103" i="33"/>
  <c r="R91" i="33"/>
  <c r="Q91" i="33"/>
  <c r="P91" i="33"/>
  <c r="Q115" i="33"/>
  <c r="P115" i="33"/>
  <c r="R115" i="33"/>
  <c r="N197" i="33"/>
  <c r="M197" i="33"/>
  <c r="L197" i="33"/>
  <c r="O197" i="33"/>
  <c r="J197" i="33"/>
  <c r="K197" i="33"/>
  <c r="R43" i="33"/>
  <c r="Q43" i="33"/>
  <c r="P43" i="33"/>
  <c r="K104" i="33"/>
  <c r="N104" i="33"/>
  <c r="J104" i="33"/>
  <c r="O104" i="33"/>
  <c r="M104" i="33"/>
  <c r="L104" i="33"/>
  <c r="O19" i="33"/>
  <c r="L19" i="33"/>
  <c r="M19" i="33"/>
  <c r="J19" i="33"/>
  <c r="N19" i="33"/>
  <c r="K19" i="33"/>
  <c r="J143" i="33"/>
  <c r="O143" i="33"/>
  <c r="K143" i="33"/>
  <c r="N143" i="33"/>
  <c r="M143" i="33"/>
  <c r="L143" i="33"/>
  <c r="Q198" i="33"/>
  <c r="R198" i="33"/>
  <c r="P198" i="33"/>
  <c r="O245" i="33"/>
  <c r="N245" i="33"/>
  <c r="L245" i="33"/>
  <c r="J245" i="33"/>
  <c r="M245" i="33"/>
  <c r="K245" i="33"/>
  <c r="O41" i="33"/>
  <c r="N41" i="33"/>
  <c r="K41" i="33"/>
  <c r="M41" i="33"/>
  <c r="J41" i="33"/>
  <c r="L41" i="33"/>
  <c r="P96" i="33"/>
  <c r="Q96" i="33"/>
  <c r="R96" i="33"/>
  <c r="R33" i="33"/>
  <c r="P33" i="33"/>
  <c r="Q33" i="33"/>
  <c r="K277" i="33"/>
  <c r="N277" i="33"/>
  <c r="J277" i="33"/>
  <c r="O277" i="33"/>
  <c r="M277" i="33"/>
  <c r="L277" i="33"/>
  <c r="P169" i="33"/>
  <c r="R169" i="33"/>
  <c r="Q169" i="33"/>
  <c r="P208" i="33"/>
  <c r="Q208" i="33"/>
  <c r="R208" i="33"/>
  <c r="O102" i="33"/>
  <c r="N102" i="33"/>
  <c r="M102" i="33"/>
  <c r="K102" i="33"/>
  <c r="J102" i="33"/>
  <c r="L102" i="33"/>
  <c r="M105" i="33"/>
  <c r="L105" i="33"/>
  <c r="K105" i="33"/>
  <c r="J105" i="33"/>
  <c r="N105" i="33"/>
  <c r="O105" i="33"/>
  <c r="L181" i="33"/>
  <c r="K181" i="33"/>
  <c r="N181" i="33"/>
  <c r="O181" i="33"/>
  <c r="J181" i="33"/>
  <c r="M181" i="33"/>
  <c r="N250" i="33"/>
  <c r="O250" i="33"/>
  <c r="K250" i="33"/>
  <c r="L250" i="33"/>
  <c r="J250" i="33"/>
  <c r="M250" i="33"/>
  <c r="R171" i="33"/>
  <c r="P171" i="33"/>
  <c r="Q171" i="33"/>
  <c r="Q199" i="33"/>
  <c r="R199" i="33"/>
  <c r="P199" i="33"/>
  <c r="Q134" i="33"/>
  <c r="P134" i="33"/>
  <c r="R134" i="33"/>
  <c r="T252" i="33"/>
  <c r="R34" i="33"/>
  <c r="Q34" i="33"/>
  <c r="P34" i="33"/>
  <c r="Q235" i="33"/>
  <c r="P235" i="33"/>
  <c r="R235" i="33"/>
  <c r="K204" i="39"/>
  <c r="I204" i="39"/>
  <c r="L116" i="33"/>
  <c r="K116" i="33"/>
  <c r="O116" i="33"/>
  <c r="N116" i="33"/>
  <c r="M116" i="33"/>
  <c r="J116" i="33"/>
  <c r="J163" i="33"/>
  <c r="O163" i="33"/>
  <c r="M163" i="33"/>
  <c r="N163" i="33"/>
  <c r="L163" i="33"/>
  <c r="K163" i="33"/>
  <c r="C218" i="28"/>
  <c r="P218" i="28" s="1"/>
  <c r="H87" i="46"/>
  <c r="J106" i="33"/>
  <c r="N106" i="33"/>
  <c r="K106" i="33"/>
  <c r="O106" i="33"/>
  <c r="L106" i="33"/>
  <c r="M106" i="33"/>
  <c r="R216" i="33"/>
  <c r="Q216" i="33"/>
  <c r="P216" i="33"/>
  <c r="N113" i="33"/>
  <c r="K113" i="33"/>
  <c r="O113" i="33"/>
  <c r="M113" i="33"/>
  <c r="L113" i="33"/>
  <c r="J113" i="33"/>
  <c r="K257" i="33"/>
  <c r="N257" i="33"/>
  <c r="M257" i="33"/>
  <c r="W257" i="33" s="1"/>
  <c r="L257" i="33"/>
  <c r="O257" i="33"/>
  <c r="J257" i="33"/>
  <c r="J86" i="33"/>
  <c r="O86" i="33"/>
  <c r="K86" i="33"/>
  <c r="N86" i="33"/>
  <c r="M86" i="33"/>
  <c r="L86" i="33"/>
  <c r="R17" i="33"/>
  <c r="Q17" i="33"/>
  <c r="P17" i="33"/>
  <c r="R135" i="33"/>
  <c r="Q135" i="33"/>
  <c r="P135" i="33"/>
  <c r="P285" i="33"/>
  <c r="R285" i="33"/>
  <c r="Q285" i="33"/>
  <c r="R31" i="33"/>
  <c r="P31" i="33"/>
  <c r="Q31" i="33"/>
  <c r="R19" i="33"/>
  <c r="Q19" i="33"/>
  <c r="P19" i="33"/>
  <c r="O28" i="33"/>
  <c r="M28" i="33"/>
  <c r="J28" i="33"/>
  <c r="L28" i="33"/>
  <c r="K28" i="33"/>
  <c r="N28" i="33"/>
  <c r="P289" i="33"/>
  <c r="Q289" i="33"/>
  <c r="R289" i="33"/>
  <c r="N174" i="33"/>
  <c r="L174" i="33"/>
  <c r="K174" i="33"/>
  <c r="M174" i="33"/>
  <c r="J174" i="33"/>
  <c r="O174" i="33"/>
  <c r="I141" i="87"/>
  <c r="O141" i="7"/>
  <c r="Z141" i="7" s="1"/>
  <c r="Q110" i="33"/>
  <c r="R110" i="33"/>
  <c r="P110" i="33"/>
  <c r="L111" i="33"/>
  <c r="M111" i="33"/>
  <c r="N111" i="33"/>
  <c r="K111" i="33"/>
  <c r="J111" i="33"/>
  <c r="O111" i="33"/>
  <c r="N98" i="33"/>
  <c r="M98" i="33"/>
  <c r="L98" i="33"/>
  <c r="K98" i="33"/>
  <c r="O98" i="33"/>
  <c r="J98" i="33"/>
  <c r="L198" i="33"/>
  <c r="O198" i="33"/>
  <c r="N198" i="33"/>
  <c r="K198" i="33"/>
  <c r="M198" i="33"/>
  <c r="W198" i="33" s="1"/>
  <c r="J198" i="33"/>
  <c r="R245" i="33"/>
  <c r="Q245" i="33"/>
  <c r="P245" i="33"/>
  <c r="M50" i="33"/>
  <c r="L50" i="33"/>
  <c r="K50" i="33"/>
  <c r="J50" i="33"/>
  <c r="N50" i="33"/>
  <c r="O50" i="33"/>
  <c r="K96" i="33"/>
  <c r="O96" i="33"/>
  <c r="N96" i="33"/>
  <c r="M96" i="33"/>
  <c r="L96" i="33"/>
  <c r="J96" i="33"/>
  <c r="O85" i="33"/>
  <c r="N85" i="33"/>
  <c r="L85" i="33"/>
  <c r="J85" i="33"/>
  <c r="K85" i="33"/>
  <c r="M85" i="33"/>
  <c r="K208" i="33"/>
  <c r="M208" i="33"/>
  <c r="L208" i="33"/>
  <c r="J208" i="33"/>
  <c r="O208" i="33"/>
  <c r="N208" i="33"/>
  <c r="P102" i="33"/>
  <c r="R102" i="33"/>
  <c r="Q102" i="33"/>
  <c r="J286" i="33"/>
  <c r="O286" i="33"/>
  <c r="K286" i="33"/>
  <c r="N286" i="33"/>
  <c r="L286" i="33"/>
  <c r="M286" i="33"/>
  <c r="O29" i="33"/>
  <c r="M29" i="33"/>
  <c r="L29" i="33"/>
  <c r="K29" i="33"/>
  <c r="N29" i="33"/>
  <c r="J29" i="33"/>
  <c r="R222" i="33"/>
  <c r="Q222" i="33"/>
  <c r="P222" i="33"/>
  <c r="Q284" i="33"/>
  <c r="P284" i="33"/>
  <c r="R284" i="33"/>
  <c r="K69" i="33"/>
  <c r="J69" i="33"/>
  <c r="M69" i="33"/>
  <c r="O69" i="33"/>
  <c r="N69" i="33"/>
  <c r="L69" i="33"/>
  <c r="N127" i="33"/>
  <c r="M127" i="33"/>
  <c r="L127" i="33"/>
  <c r="K127" i="33"/>
  <c r="J127" i="33"/>
  <c r="O127" i="33"/>
  <c r="R74" i="33"/>
  <c r="Q74" i="33"/>
  <c r="P74" i="33"/>
  <c r="J171" i="33"/>
  <c r="M171" i="33"/>
  <c r="K171" i="33"/>
  <c r="L171" i="33"/>
  <c r="N171" i="33"/>
  <c r="O171" i="33"/>
  <c r="R159" i="33"/>
  <c r="Q159" i="33"/>
  <c r="P159" i="33"/>
  <c r="N193" i="33"/>
  <c r="M193" i="33"/>
  <c r="O193" i="33"/>
  <c r="L193" i="33"/>
  <c r="K193" i="33"/>
  <c r="J193" i="33"/>
  <c r="M61" i="33"/>
  <c r="J61" i="33"/>
  <c r="N61" i="33"/>
  <c r="O61" i="33"/>
  <c r="K61" i="33"/>
  <c r="L61" i="33"/>
  <c r="L275" i="33"/>
  <c r="K275" i="33"/>
  <c r="O275" i="33"/>
  <c r="J275" i="33"/>
  <c r="M275" i="33"/>
  <c r="N275" i="33"/>
  <c r="F279" i="45"/>
  <c r="K185" i="6"/>
  <c r="L185" i="6" s="1"/>
  <c r="M185" i="6" s="1"/>
  <c r="R185" i="6" s="1"/>
  <c r="H18" i="46"/>
  <c r="M255" i="33"/>
  <c r="L255" i="33"/>
  <c r="J255" i="33"/>
  <c r="N255" i="33"/>
  <c r="K255" i="33"/>
  <c r="O255" i="33"/>
  <c r="N89" i="33"/>
  <c r="K89" i="33"/>
  <c r="O89" i="33"/>
  <c r="J89" i="33"/>
  <c r="L89" i="33"/>
  <c r="M89" i="33"/>
  <c r="K179" i="33"/>
  <c r="J179" i="33"/>
  <c r="O179" i="33"/>
  <c r="L179" i="33"/>
  <c r="N179" i="33"/>
  <c r="M179" i="33"/>
  <c r="R8" i="33"/>
  <c r="Q8" i="33"/>
  <c r="P8" i="33"/>
  <c r="R116" i="33"/>
  <c r="Q116" i="33"/>
  <c r="P116" i="33"/>
  <c r="M5" i="33"/>
  <c r="N5" i="33"/>
  <c r="J5" i="33"/>
  <c r="K5" i="33"/>
  <c r="O5" i="33"/>
  <c r="L5" i="33"/>
  <c r="Q44" i="33"/>
  <c r="P44" i="33"/>
  <c r="R44" i="33"/>
  <c r="L72" i="33"/>
  <c r="N72" i="33"/>
  <c r="J72" i="33"/>
  <c r="O72" i="33"/>
  <c r="M72" i="33"/>
  <c r="K72" i="33"/>
  <c r="O217" i="33"/>
  <c r="N217" i="33"/>
  <c r="M217" i="33"/>
  <c r="K217" i="33"/>
  <c r="L217" i="33"/>
  <c r="J217" i="33"/>
  <c r="K124" i="33"/>
  <c r="J124" i="33"/>
  <c r="N124" i="33"/>
  <c r="O124" i="33"/>
  <c r="M124" i="33"/>
  <c r="L124" i="33"/>
  <c r="I277" i="87"/>
  <c r="O277" i="7"/>
  <c r="F275" i="45"/>
  <c r="E26" i="28"/>
  <c r="G26" i="28" s="1"/>
  <c r="L26" i="46" s="1"/>
  <c r="C139" i="28"/>
  <c r="P139" i="28" s="1"/>
  <c r="R164" i="33"/>
  <c r="Q164" i="33"/>
  <c r="P164" i="33"/>
  <c r="M121" i="33"/>
  <c r="L121" i="33"/>
  <c r="K121" i="33"/>
  <c r="J121" i="33"/>
  <c r="N121" i="33"/>
  <c r="O121" i="33"/>
  <c r="J126" i="33"/>
  <c r="O126" i="33"/>
  <c r="L126" i="33"/>
  <c r="M126" i="33"/>
  <c r="K126" i="33"/>
  <c r="N126" i="33"/>
  <c r="M162" i="33"/>
  <c r="O162" i="33"/>
  <c r="N162" i="33"/>
  <c r="L162" i="33"/>
  <c r="J162" i="33"/>
  <c r="K162" i="33"/>
  <c r="R145" i="33"/>
  <c r="Q145" i="33"/>
  <c r="P145" i="33"/>
  <c r="R283" i="33"/>
  <c r="Q283" i="33"/>
  <c r="P283" i="33"/>
  <c r="R140" i="33"/>
  <c r="Q140" i="33"/>
  <c r="P140" i="33"/>
  <c r="R76" i="33"/>
  <c r="Q76" i="33"/>
  <c r="P76" i="33"/>
  <c r="K110" i="33"/>
  <c r="N110" i="33"/>
  <c r="O110" i="33"/>
  <c r="J110" i="33"/>
  <c r="S110" i="33" s="1"/>
  <c r="M110" i="33"/>
  <c r="L110" i="33"/>
  <c r="M129" i="33"/>
  <c r="K129" i="33"/>
  <c r="O129" i="33"/>
  <c r="L129" i="33"/>
  <c r="J129" i="33"/>
  <c r="N129" i="33"/>
  <c r="R143" i="33"/>
  <c r="Q143" i="33"/>
  <c r="P143" i="33"/>
  <c r="M166" i="33"/>
  <c r="N166" i="33"/>
  <c r="O166" i="33"/>
  <c r="L166" i="33"/>
  <c r="K166" i="33"/>
  <c r="J166" i="33"/>
  <c r="L25" i="33"/>
  <c r="K25" i="33"/>
  <c r="J25" i="33"/>
  <c r="M25" i="33"/>
  <c r="O25" i="33"/>
  <c r="N25" i="33"/>
  <c r="P288" i="33"/>
  <c r="R288" i="33"/>
  <c r="Q288" i="33"/>
  <c r="P178" i="33"/>
  <c r="Q178" i="33"/>
  <c r="R178" i="33"/>
  <c r="Q232" i="33"/>
  <c r="P232" i="33"/>
  <c r="R232" i="33"/>
  <c r="R64" i="33"/>
  <c r="P64" i="33"/>
  <c r="Q64" i="33"/>
  <c r="R29" i="33"/>
  <c r="P29" i="33"/>
  <c r="Q29" i="33"/>
  <c r="K130" i="33"/>
  <c r="J130" i="33"/>
  <c r="N130" i="33"/>
  <c r="M130" i="33"/>
  <c r="L130" i="33"/>
  <c r="O130" i="33"/>
  <c r="R282" i="33"/>
  <c r="Q282" i="33"/>
  <c r="P282" i="33"/>
  <c r="Q90" i="33"/>
  <c r="P90" i="33"/>
  <c r="R90" i="33"/>
  <c r="R182" i="33"/>
  <c r="Q182" i="33"/>
  <c r="P182" i="33"/>
  <c r="R220" i="33"/>
  <c r="Q220" i="33"/>
  <c r="P220" i="33"/>
  <c r="M180" i="33"/>
  <c r="J180" i="33"/>
  <c r="L180" i="33"/>
  <c r="N180" i="33"/>
  <c r="O180" i="33"/>
  <c r="K180" i="33"/>
  <c r="L79" i="33"/>
  <c r="K79" i="33"/>
  <c r="M79" i="33"/>
  <c r="J79" i="33"/>
  <c r="O79" i="33"/>
  <c r="N79" i="33"/>
  <c r="P118" i="33"/>
  <c r="R118" i="33"/>
  <c r="Q118" i="33"/>
  <c r="E233" i="28"/>
  <c r="G233" i="28" s="1"/>
  <c r="L233" i="46" s="1"/>
  <c r="U214" i="6"/>
  <c r="V214" i="6"/>
  <c r="T214" i="6"/>
  <c r="W214" i="6"/>
  <c r="Z214" i="6"/>
  <c r="Y214" i="6"/>
  <c r="H214" i="28"/>
  <c r="AC214" i="6"/>
  <c r="AA214" i="6"/>
  <c r="G214" i="45"/>
  <c r="X214" i="6"/>
  <c r="Q67" i="33"/>
  <c r="R67" i="33"/>
  <c r="P67" i="33"/>
  <c r="P255" i="33"/>
  <c r="R255" i="33"/>
  <c r="Q255" i="33"/>
  <c r="L148" i="33"/>
  <c r="M148" i="33"/>
  <c r="O148" i="33"/>
  <c r="N148" i="33"/>
  <c r="K148" i="33"/>
  <c r="J148" i="33"/>
  <c r="P58" i="33"/>
  <c r="R58" i="33"/>
  <c r="Q58" i="33"/>
  <c r="G130" i="51"/>
  <c r="H130" i="51" s="1"/>
  <c r="K130" i="52"/>
  <c r="O129" i="52"/>
  <c r="I129" i="51"/>
  <c r="J129" i="51" s="1"/>
  <c r="AA30" i="6"/>
  <c r="Y30" i="6"/>
  <c r="E209" i="28"/>
  <c r="R174" i="6"/>
  <c r="AB174" i="6" s="1"/>
  <c r="K122" i="33"/>
  <c r="J122" i="33"/>
  <c r="O122" i="33"/>
  <c r="L122" i="33"/>
  <c r="M122" i="33"/>
  <c r="N122" i="33"/>
  <c r="R82" i="33"/>
  <c r="P82" i="33"/>
  <c r="Q82" i="33"/>
  <c r="L196" i="33"/>
  <c r="M196" i="33"/>
  <c r="N196" i="33"/>
  <c r="K196" i="33"/>
  <c r="J196" i="33"/>
  <c r="O196" i="33"/>
  <c r="M185" i="33"/>
  <c r="L185" i="33"/>
  <c r="O185" i="33"/>
  <c r="N185" i="33"/>
  <c r="J185" i="33"/>
  <c r="K185" i="33"/>
  <c r="R223" i="33"/>
  <c r="P223" i="33"/>
  <c r="Q223" i="33"/>
  <c r="M271" i="33"/>
  <c r="L271" i="33"/>
  <c r="J271" i="33"/>
  <c r="O271" i="33"/>
  <c r="N271" i="33"/>
  <c r="K271" i="33"/>
  <c r="K192" i="33"/>
  <c r="J192" i="33"/>
  <c r="O192" i="33"/>
  <c r="N192" i="33"/>
  <c r="M192" i="33"/>
  <c r="L192" i="33"/>
  <c r="R93" i="33"/>
  <c r="Q93" i="33"/>
  <c r="P93" i="33"/>
  <c r="O243" i="33"/>
  <c r="N243" i="33"/>
  <c r="M243" i="33"/>
  <c r="L243" i="33"/>
  <c r="J243" i="33"/>
  <c r="K243" i="33"/>
  <c r="N225" i="33"/>
  <c r="L225" i="33"/>
  <c r="K225" i="33"/>
  <c r="O225" i="33"/>
  <c r="M225" i="33"/>
  <c r="J225" i="33"/>
  <c r="K176" i="33"/>
  <c r="J176" i="33"/>
  <c r="N176" i="33"/>
  <c r="M176" i="33"/>
  <c r="O176" i="33"/>
  <c r="L176" i="33"/>
  <c r="R151" i="33"/>
  <c r="Q151" i="33"/>
  <c r="P151" i="33"/>
  <c r="O249" i="33"/>
  <c r="M249" i="33"/>
  <c r="J249" i="33"/>
  <c r="N249" i="33"/>
  <c r="K249" i="33"/>
  <c r="L249" i="33"/>
  <c r="M237" i="33"/>
  <c r="L237" i="33"/>
  <c r="O237" i="33"/>
  <c r="N237" i="33"/>
  <c r="K237" i="33"/>
  <c r="J237" i="33"/>
  <c r="K183" i="33"/>
  <c r="J183" i="33"/>
  <c r="L183" i="33"/>
  <c r="M183" i="33"/>
  <c r="N183" i="33"/>
  <c r="O183" i="33"/>
  <c r="R47" i="33"/>
  <c r="P47" i="33"/>
  <c r="Q47" i="33"/>
  <c r="O258" i="33"/>
  <c r="N258" i="33"/>
  <c r="M258" i="33"/>
  <c r="L258" i="33"/>
  <c r="J258" i="33"/>
  <c r="K258" i="33"/>
  <c r="R205" i="33"/>
  <c r="Q205" i="33"/>
  <c r="P205" i="33"/>
  <c r="L161" i="33"/>
  <c r="K161" i="33"/>
  <c r="N161" i="33"/>
  <c r="O161" i="33"/>
  <c r="M161" i="33"/>
  <c r="J161" i="33"/>
  <c r="Q190" i="33"/>
  <c r="P190" i="33"/>
  <c r="R190" i="33"/>
  <c r="K259" i="33"/>
  <c r="J259" i="33"/>
  <c r="N259" i="33"/>
  <c r="O259" i="33"/>
  <c r="M259" i="33"/>
  <c r="L259" i="33"/>
  <c r="O125" i="33"/>
  <c r="N125" i="33"/>
  <c r="M125" i="33"/>
  <c r="K125" i="33"/>
  <c r="L125" i="33"/>
  <c r="J125" i="33"/>
  <c r="R23" i="33"/>
  <c r="P23" i="33"/>
  <c r="Q23" i="33"/>
  <c r="O39" i="33"/>
  <c r="L39" i="33"/>
  <c r="M39" i="33"/>
  <c r="K39" i="33"/>
  <c r="J39" i="33"/>
  <c r="N39" i="33"/>
  <c r="R114" i="33"/>
  <c r="Q114" i="33"/>
  <c r="P114" i="33"/>
  <c r="K84" i="33"/>
  <c r="O84" i="33"/>
  <c r="N84" i="33"/>
  <c r="M84" i="33"/>
  <c r="L84" i="33"/>
  <c r="J84" i="33"/>
  <c r="K175" i="33"/>
  <c r="J175" i="33"/>
  <c r="N175" i="33"/>
  <c r="M175" i="33"/>
  <c r="L175" i="33"/>
  <c r="O175" i="33"/>
  <c r="K168" i="33"/>
  <c r="M168" i="33"/>
  <c r="J168" i="33"/>
  <c r="O168" i="33"/>
  <c r="N168" i="33"/>
  <c r="L168" i="33"/>
  <c r="R100" i="33"/>
  <c r="P100" i="33"/>
  <c r="Q100" i="33"/>
  <c r="L38" i="33"/>
  <c r="O38" i="33"/>
  <c r="N38" i="33"/>
  <c r="M38" i="33"/>
  <c r="K38" i="33"/>
  <c r="J38" i="33"/>
  <c r="Q55" i="33"/>
  <c r="R55" i="33"/>
  <c r="P55" i="33"/>
  <c r="R238" i="33"/>
  <c r="P238" i="33"/>
  <c r="Q238" i="33"/>
  <c r="P136" i="33"/>
  <c r="R136" i="33"/>
  <c r="Q136" i="33"/>
  <c r="P184" i="33"/>
  <c r="Q184" i="33"/>
  <c r="R184" i="33"/>
  <c r="P212" i="33"/>
  <c r="R212" i="33"/>
  <c r="Q212" i="33"/>
  <c r="K201" i="33"/>
  <c r="O201" i="33"/>
  <c r="N201" i="33"/>
  <c r="M201" i="33"/>
  <c r="L201" i="33"/>
  <c r="J201" i="33"/>
  <c r="R173" i="33"/>
  <c r="Q173" i="33"/>
  <c r="P173" i="33"/>
  <c r="J45" i="33"/>
  <c r="O45" i="33"/>
  <c r="N45" i="33"/>
  <c r="L45" i="33"/>
  <c r="M45" i="33"/>
  <c r="K45" i="33"/>
  <c r="E137" i="28"/>
  <c r="F137" i="28" s="1"/>
  <c r="I137" i="46" s="1"/>
  <c r="E277" i="28"/>
  <c r="G277" i="28" s="1"/>
  <c r="L277" i="46" s="1"/>
  <c r="R101" i="33"/>
  <c r="P101" i="33"/>
  <c r="Q101" i="33"/>
  <c r="R113" i="33"/>
  <c r="Q113" i="33"/>
  <c r="P113" i="33"/>
  <c r="P157" i="33"/>
  <c r="R157" i="33"/>
  <c r="Q157" i="33"/>
  <c r="K75" i="33"/>
  <c r="J75" i="33"/>
  <c r="M75" i="33"/>
  <c r="L75" i="33"/>
  <c r="N75" i="33"/>
  <c r="O75" i="33"/>
  <c r="Q196" i="33"/>
  <c r="R196" i="33"/>
  <c r="P196" i="33"/>
  <c r="O8" i="33"/>
  <c r="M8" i="33"/>
  <c r="J8" i="33"/>
  <c r="N8" i="33"/>
  <c r="L8" i="33"/>
  <c r="K8" i="33"/>
  <c r="N223" i="33"/>
  <c r="L223" i="33"/>
  <c r="K223" i="33"/>
  <c r="J223" i="33"/>
  <c r="O223" i="33"/>
  <c r="M223" i="33"/>
  <c r="O17" i="33"/>
  <c r="L17" i="33"/>
  <c r="K17" i="33"/>
  <c r="N17" i="33"/>
  <c r="J17" i="33"/>
  <c r="M17" i="33"/>
  <c r="R271" i="33"/>
  <c r="Q271" i="33"/>
  <c r="P271" i="33"/>
  <c r="R108" i="33"/>
  <c r="Q108" i="33"/>
  <c r="P108" i="33"/>
  <c r="L94" i="33"/>
  <c r="K94" i="33"/>
  <c r="J94" i="33"/>
  <c r="O94" i="33"/>
  <c r="M94" i="33"/>
  <c r="N94" i="33"/>
  <c r="R128" i="33"/>
  <c r="Q128" i="33"/>
  <c r="P128" i="33"/>
  <c r="O219" i="33"/>
  <c r="M219" i="33"/>
  <c r="J219" i="33"/>
  <c r="L219" i="33"/>
  <c r="K219" i="33"/>
  <c r="N219" i="33"/>
  <c r="R170" i="33"/>
  <c r="Q170" i="33"/>
  <c r="P170" i="33"/>
  <c r="N280" i="33"/>
  <c r="O280" i="33"/>
  <c r="L280" i="33"/>
  <c r="M280" i="33"/>
  <c r="K280" i="33"/>
  <c r="J280" i="33"/>
  <c r="P243" i="33"/>
  <c r="R243" i="33"/>
  <c r="Q243" i="33"/>
  <c r="P225" i="33"/>
  <c r="R225" i="33"/>
  <c r="Q225" i="33"/>
  <c r="P258" i="33"/>
  <c r="Q258" i="33"/>
  <c r="R258" i="33"/>
  <c r="R210" i="33"/>
  <c r="Q210" i="33"/>
  <c r="P210" i="33"/>
  <c r="P161" i="33"/>
  <c r="R161" i="33"/>
  <c r="Q161" i="33"/>
  <c r="O54" i="33"/>
  <c r="M54" i="33"/>
  <c r="J54" i="33"/>
  <c r="K54" i="33"/>
  <c r="N54" i="33"/>
  <c r="L54" i="33"/>
  <c r="R155" i="33"/>
  <c r="Q155" i="33"/>
  <c r="P155" i="33"/>
  <c r="N154" i="33"/>
  <c r="M154" i="33"/>
  <c r="J154" i="33"/>
  <c r="O154" i="33"/>
  <c r="K154" i="33"/>
  <c r="L154" i="33"/>
  <c r="O56" i="33"/>
  <c r="N56" i="33"/>
  <c r="M56" i="33"/>
  <c r="K56" i="33"/>
  <c r="J56" i="33"/>
  <c r="L56" i="33"/>
  <c r="M278" i="33"/>
  <c r="N278" i="33"/>
  <c r="L278" i="33"/>
  <c r="K278" i="33"/>
  <c r="J278" i="33"/>
  <c r="O278" i="33"/>
  <c r="Q32" i="33"/>
  <c r="R32" i="33"/>
  <c r="P32" i="33"/>
  <c r="J51" i="33"/>
  <c r="O51" i="33"/>
  <c r="L51" i="33"/>
  <c r="K51" i="33"/>
  <c r="M51" i="33"/>
  <c r="N51" i="33"/>
  <c r="O24" i="33"/>
  <c r="L24" i="33"/>
  <c r="N24" i="33"/>
  <c r="M24" i="33"/>
  <c r="K24" i="33"/>
  <c r="J24" i="33"/>
  <c r="L224" i="33"/>
  <c r="N224" i="33"/>
  <c r="M224" i="33"/>
  <c r="O224" i="33"/>
  <c r="K224" i="33"/>
  <c r="J224" i="33"/>
  <c r="Q290" i="33"/>
  <c r="P290" i="33"/>
  <c r="R290" i="33"/>
  <c r="N226" i="33"/>
  <c r="O226" i="33"/>
  <c r="M226" i="33"/>
  <c r="L226" i="33"/>
  <c r="K226" i="33"/>
  <c r="J226" i="33"/>
  <c r="M107" i="33"/>
  <c r="O107" i="33"/>
  <c r="N107" i="33"/>
  <c r="K107" i="33"/>
  <c r="L107" i="33"/>
  <c r="J107" i="33"/>
  <c r="P38" i="33"/>
  <c r="Q38" i="33"/>
  <c r="R38" i="33"/>
  <c r="Y252" i="33"/>
  <c r="O238" i="33"/>
  <c r="L238" i="33"/>
  <c r="N238" i="33"/>
  <c r="M238" i="33"/>
  <c r="K238" i="33"/>
  <c r="J238" i="33"/>
  <c r="L63" i="33"/>
  <c r="N63" i="33"/>
  <c r="M63" i="33"/>
  <c r="K63" i="33"/>
  <c r="J63" i="33"/>
  <c r="O63" i="33"/>
  <c r="R167" i="33"/>
  <c r="Q167" i="33"/>
  <c r="P167" i="33"/>
  <c r="P201" i="33"/>
  <c r="Q201" i="33"/>
  <c r="R201" i="33"/>
  <c r="R221" i="33"/>
  <c r="Q221" i="33"/>
  <c r="P221" i="33"/>
  <c r="M211" i="33"/>
  <c r="O211" i="33"/>
  <c r="L211" i="33"/>
  <c r="N211" i="33"/>
  <c r="J211" i="33"/>
  <c r="K211" i="33"/>
  <c r="O54" i="7"/>
  <c r="Z54" i="7" s="1"/>
  <c r="F213" i="45"/>
  <c r="R156" i="6"/>
  <c r="X156" i="6" s="1"/>
  <c r="E115" i="28"/>
  <c r="G115" i="28" s="1"/>
  <c r="L115" i="46" s="1"/>
  <c r="L128" i="33"/>
  <c r="K128" i="33"/>
  <c r="M128" i="33"/>
  <c r="J128" i="33"/>
  <c r="N128" i="33"/>
  <c r="O128" i="33"/>
  <c r="O9" i="33"/>
  <c r="M9" i="33"/>
  <c r="J9" i="33"/>
  <c r="K9" i="33"/>
  <c r="L9" i="33"/>
  <c r="N9" i="33"/>
  <c r="M91" i="33"/>
  <c r="L91" i="33"/>
  <c r="O91" i="33"/>
  <c r="N91" i="33"/>
  <c r="K91" i="33"/>
  <c r="J91" i="33"/>
  <c r="Q192" i="33"/>
  <c r="R192" i="33"/>
  <c r="P192" i="33"/>
  <c r="Q83" i="33"/>
  <c r="P83" i="33"/>
  <c r="R83" i="33"/>
  <c r="P176" i="33"/>
  <c r="R176" i="33"/>
  <c r="Q176" i="33"/>
  <c r="R236" i="33"/>
  <c r="Q236" i="33"/>
  <c r="P236" i="33"/>
  <c r="K205" i="33"/>
  <c r="M205" i="33"/>
  <c r="O205" i="33"/>
  <c r="J205" i="33"/>
  <c r="N205" i="33"/>
  <c r="L205" i="33"/>
  <c r="N4" i="33"/>
  <c r="O4" i="33"/>
  <c r="M4" i="33"/>
  <c r="K4" i="33"/>
  <c r="L4" i="33"/>
  <c r="J4" i="33"/>
  <c r="R239" i="33"/>
  <c r="P239" i="33"/>
  <c r="Q239" i="33"/>
  <c r="L149" i="33"/>
  <c r="K149" i="33"/>
  <c r="N149" i="33"/>
  <c r="J149" i="33"/>
  <c r="M149" i="33"/>
  <c r="O149" i="33"/>
  <c r="K18" i="33"/>
  <c r="J18" i="33"/>
  <c r="M18" i="33"/>
  <c r="L18" i="33"/>
  <c r="N18" i="33"/>
  <c r="O18" i="33"/>
  <c r="P35" i="33"/>
  <c r="R35" i="33"/>
  <c r="Q35" i="33"/>
  <c r="R259" i="33"/>
  <c r="Q259" i="33"/>
  <c r="P259" i="33"/>
  <c r="O262" i="33"/>
  <c r="N262" i="33"/>
  <c r="L262" i="33"/>
  <c r="K262" i="33"/>
  <c r="M262" i="33"/>
  <c r="J262" i="33"/>
  <c r="M23" i="33"/>
  <c r="K23" i="33"/>
  <c r="O23" i="33"/>
  <c r="L23" i="33"/>
  <c r="J23" i="33"/>
  <c r="N23" i="33"/>
  <c r="Q85" i="33"/>
  <c r="P85" i="33"/>
  <c r="R85" i="33"/>
  <c r="P27" i="33"/>
  <c r="R27" i="33"/>
  <c r="Q27" i="33"/>
  <c r="N62" i="33"/>
  <c r="L62" i="33"/>
  <c r="M62" i="33"/>
  <c r="K62" i="33"/>
  <c r="O62" i="33"/>
  <c r="J62" i="33"/>
  <c r="R231" i="33"/>
  <c r="Q231" i="33"/>
  <c r="P231" i="33"/>
  <c r="R154" i="33"/>
  <c r="Q154" i="33"/>
  <c r="P154" i="33"/>
  <c r="P278" i="33"/>
  <c r="R278" i="33"/>
  <c r="Q278" i="33"/>
  <c r="P175" i="33"/>
  <c r="Q175" i="33"/>
  <c r="R175" i="33"/>
  <c r="R51" i="33"/>
  <c r="Q51" i="33"/>
  <c r="P51" i="33"/>
  <c r="R191" i="33"/>
  <c r="P191" i="33"/>
  <c r="Q191" i="33"/>
  <c r="Q69" i="33"/>
  <c r="P69" i="33"/>
  <c r="R69" i="33"/>
  <c r="R127" i="33"/>
  <c r="Q127" i="33"/>
  <c r="P127" i="33"/>
  <c r="P168" i="33"/>
  <c r="R168" i="33"/>
  <c r="Q168" i="33"/>
  <c r="R131" i="33"/>
  <c r="P131" i="33"/>
  <c r="Q131" i="33"/>
  <c r="R30" i="33"/>
  <c r="Q30" i="33"/>
  <c r="P30" i="33"/>
  <c r="P107" i="33"/>
  <c r="R107" i="33"/>
  <c r="Q107" i="33"/>
  <c r="M55" i="33"/>
  <c r="J55" i="33"/>
  <c r="L55" i="33"/>
  <c r="N55" i="33"/>
  <c r="O55" i="33"/>
  <c r="K55" i="33"/>
  <c r="W252" i="33"/>
  <c r="J167" i="33"/>
  <c r="O167" i="33"/>
  <c r="N167" i="33"/>
  <c r="M167" i="33"/>
  <c r="L167" i="33"/>
  <c r="K167" i="33"/>
  <c r="R37" i="33"/>
  <c r="Q37" i="33"/>
  <c r="P37" i="33"/>
  <c r="P59" i="33"/>
  <c r="Q59" i="33"/>
  <c r="R59" i="33"/>
  <c r="R172" i="33"/>
  <c r="Q172" i="33"/>
  <c r="P172" i="33"/>
  <c r="R53" i="33"/>
  <c r="Q53" i="33"/>
  <c r="P53" i="33"/>
  <c r="M123" i="33"/>
  <c r="L123" i="33"/>
  <c r="J123" i="33"/>
  <c r="O123" i="33"/>
  <c r="K123" i="33"/>
  <c r="N123" i="33"/>
  <c r="Q45" i="33"/>
  <c r="P45" i="33"/>
  <c r="R45" i="33"/>
  <c r="N276" i="33"/>
  <c r="O276" i="33"/>
  <c r="M276" i="33"/>
  <c r="K276" i="33"/>
  <c r="L276" i="33"/>
  <c r="J276" i="33"/>
  <c r="E286" i="28"/>
  <c r="G286" i="28" s="1"/>
  <c r="L286" i="46" s="1"/>
  <c r="R150" i="33"/>
  <c r="P150" i="33"/>
  <c r="Q150" i="33"/>
  <c r="R106" i="33"/>
  <c r="Q106" i="33"/>
  <c r="P106" i="33"/>
  <c r="R122" i="33"/>
  <c r="Q122" i="33"/>
  <c r="P122" i="33"/>
  <c r="R206" i="33"/>
  <c r="Q206" i="33"/>
  <c r="P206" i="33"/>
  <c r="R89" i="33"/>
  <c r="Q89" i="33"/>
  <c r="P89" i="33"/>
  <c r="R227" i="33"/>
  <c r="P227" i="33"/>
  <c r="Q227" i="33"/>
  <c r="O251" i="33"/>
  <c r="N251" i="33"/>
  <c r="M251" i="33"/>
  <c r="L251" i="33"/>
  <c r="J251" i="33"/>
  <c r="K251" i="33"/>
  <c r="M115" i="33"/>
  <c r="L115" i="33"/>
  <c r="O115" i="33"/>
  <c r="N115" i="33"/>
  <c r="J115" i="33"/>
  <c r="K115" i="33"/>
  <c r="L83" i="33"/>
  <c r="M83" i="33"/>
  <c r="N83" i="33"/>
  <c r="K83" i="33"/>
  <c r="O83" i="33"/>
  <c r="J83" i="33"/>
  <c r="R28" i="33"/>
  <c r="Q28" i="33"/>
  <c r="P28" i="33"/>
  <c r="O47" i="33"/>
  <c r="N47" i="33"/>
  <c r="J47" i="33"/>
  <c r="K47" i="33"/>
  <c r="M47" i="33"/>
  <c r="L47" i="33"/>
  <c r="J239" i="33"/>
  <c r="O239" i="33"/>
  <c r="N239" i="33"/>
  <c r="M239" i="33"/>
  <c r="L239" i="33"/>
  <c r="K239" i="33"/>
  <c r="Q18" i="33"/>
  <c r="R18" i="33"/>
  <c r="P18" i="33"/>
  <c r="Q156" i="33"/>
  <c r="R156" i="33"/>
  <c r="P156" i="33"/>
  <c r="M33" i="33"/>
  <c r="L33" i="33"/>
  <c r="K33" i="33"/>
  <c r="J33" i="33"/>
  <c r="O33" i="33"/>
  <c r="N33" i="33"/>
  <c r="R54" i="33"/>
  <c r="Q54" i="33"/>
  <c r="P54" i="33"/>
  <c r="M273" i="33"/>
  <c r="L273" i="33"/>
  <c r="J273" i="33"/>
  <c r="O273" i="33"/>
  <c r="N273" i="33"/>
  <c r="K273" i="33"/>
  <c r="P277" i="33"/>
  <c r="Q277" i="33"/>
  <c r="R277" i="33"/>
  <c r="O231" i="33"/>
  <c r="M231" i="33"/>
  <c r="L231" i="33"/>
  <c r="K231" i="33"/>
  <c r="J231" i="33"/>
  <c r="S231" i="33" s="1"/>
  <c r="N231" i="33"/>
  <c r="R241" i="33"/>
  <c r="P241" i="33"/>
  <c r="Q241" i="33"/>
  <c r="O222" i="33"/>
  <c r="L222" i="33"/>
  <c r="M222" i="33"/>
  <c r="J222" i="33"/>
  <c r="K222" i="33"/>
  <c r="N222" i="33"/>
  <c r="R187" i="33"/>
  <c r="Q187" i="33"/>
  <c r="P187" i="33"/>
  <c r="K191" i="33"/>
  <c r="J191" i="33"/>
  <c r="O191" i="33"/>
  <c r="M191" i="33"/>
  <c r="N191" i="33"/>
  <c r="L191" i="33"/>
  <c r="O203" i="33"/>
  <c r="J203" i="33"/>
  <c r="N203" i="33"/>
  <c r="L203" i="33"/>
  <c r="K203" i="33"/>
  <c r="M203" i="33"/>
  <c r="P250" i="33"/>
  <c r="R250" i="33"/>
  <c r="Q250" i="33"/>
  <c r="L40" i="33"/>
  <c r="N40" i="33"/>
  <c r="M40" i="33"/>
  <c r="J40" i="33"/>
  <c r="O40" i="33"/>
  <c r="K40" i="33"/>
  <c r="J159" i="33"/>
  <c r="O159" i="33"/>
  <c r="N159" i="33"/>
  <c r="L159" i="33"/>
  <c r="K159" i="33"/>
  <c r="M159" i="33"/>
  <c r="M131" i="33"/>
  <c r="L131" i="33"/>
  <c r="O131" i="33"/>
  <c r="N131" i="33"/>
  <c r="K131" i="33"/>
  <c r="J131" i="33"/>
  <c r="R189" i="33"/>
  <c r="Q189" i="33"/>
  <c r="P189" i="33"/>
  <c r="L88" i="33"/>
  <c r="K88" i="33"/>
  <c r="J88" i="33"/>
  <c r="O88" i="33"/>
  <c r="N88" i="33"/>
  <c r="M88" i="33"/>
  <c r="K95" i="33"/>
  <c r="M95" i="33"/>
  <c r="L95" i="33"/>
  <c r="J95" i="33"/>
  <c r="O95" i="33"/>
  <c r="N95" i="33"/>
  <c r="X252" i="33"/>
  <c r="M59" i="33"/>
  <c r="L59" i="33"/>
  <c r="N59" i="33"/>
  <c r="K59" i="33"/>
  <c r="J59" i="33"/>
  <c r="O59" i="33"/>
  <c r="O53" i="33"/>
  <c r="K53" i="33"/>
  <c r="J53" i="33"/>
  <c r="L53" i="33"/>
  <c r="M53" i="33"/>
  <c r="N53" i="33"/>
  <c r="O264" i="33"/>
  <c r="M264" i="33"/>
  <c r="J264" i="33"/>
  <c r="K264" i="33"/>
  <c r="L264" i="33"/>
  <c r="N264" i="33"/>
  <c r="R5" i="33"/>
  <c r="P5" i="33"/>
  <c r="Q5" i="33"/>
  <c r="L173" i="33"/>
  <c r="K173" i="33"/>
  <c r="J173" i="33"/>
  <c r="O173" i="33"/>
  <c r="M173" i="33"/>
  <c r="N173" i="33"/>
  <c r="R163" i="33"/>
  <c r="Q163" i="33"/>
  <c r="P163" i="33"/>
  <c r="E166" i="28"/>
  <c r="F166" i="28" s="1"/>
  <c r="I166" i="46" s="1"/>
  <c r="E160" i="28"/>
  <c r="M150" i="33"/>
  <c r="L150" i="33"/>
  <c r="K150" i="33"/>
  <c r="J150" i="33"/>
  <c r="O150" i="33"/>
  <c r="N150" i="33"/>
  <c r="K206" i="33"/>
  <c r="L206" i="33"/>
  <c r="J206" i="33"/>
  <c r="O206" i="33"/>
  <c r="M206" i="33"/>
  <c r="N206" i="33"/>
  <c r="P257" i="33"/>
  <c r="Q257" i="33"/>
  <c r="R257" i="33"/>
  <c r="N227" i="33"/>
  <c r="M227" i="33"/>
  <c r="L227" i="33"/>
  <c r="K227" i="33"/>
  <c r="J227" i="33"/>
  <c r="O227" i="33"/>
  <c r="Q57" i="33"/>
  <c r="R57" i="33"/>
  <c r="P57" i="33"/>
  <c r="L58" i="33"/>
  <c r="O58" i="33"/>
  <c r="N58" i="33"/>
  <c r="M58" i="33"/>
  <c r="J58" i="33"/>
  <c r="K58" i="33"/>
  <c r="R75" i="33"/>
  <c r="P75" i="33"/>
  <c r="Q75" i="33"/>
  <c r="M60" i="33"/>
  <c r="N60" i="33"/>
  <c r="L60" i="33"/>
  <c r="K60" i="33"/>
  <c r="J60" i="33"/>
  <c r="O60" i="33"/>
  <c r="P120" i="33"/>
  <c r="R120" i="33"/>
  <c r="Q120" i="33"/>
  <c r="Q103" i="33"/>
  <c r="P103" i="33"/>
  <c r="R103" i="33"/>
  <c r="R251" i="33"/>
  <c r="P251" i="33"/>
  <c r="Q251" i="33"/>
  <c r="P80" i="33"/>
  <c r="R80" i="33"/>
  <c r="Q80" i="33"/>
  <c r="L43" i="33"/>
  <c r="O43" i="33"/>
  <c r="M43" i="33"/>
  <c r="N43" i="33"/>
  <c r="K43" i="33"/>
  <c r="J43" i="33"/>
  <c r="N283" i="33"/>
  <c r="K283" i="33"/>
  <c r="J283" i="33"/>
  <c r="O283" i="33"/>
  <c r="M283" i="33"/>
  <c r="L283" i="33"/>
  <c r="R249" i="33"/>
  <c r="Q249" i="33"/>
  <c r="P249" i="33"/>
  <c r="L140" i="33"/>
  <c r="K140" i="33"/>
  <c r="M140" i="33"/>
  <c r="J140" i="33"/>
  <c r="N140" i="33"/>
  <c r="O140" i="33"/>
  <c r="R183" i="33"/>
  <c r="Q183" i="33"/>
  <c r="P183" i="33"/>
  <c r="R174" i="33"/>
  <c r="P174" i="33"/>
  <c r="Q174" i="33"/>
  <c r="R111" i="33"/>
  <c r="Q111" i="33"/>
  <c r="P111" i="33"/>
  <c r="P4" i="33"/>
  <c r="Q4" i="33"/>
  <c r="R4" i="33"/>
  <c r="J35" i="33"/>
  <c r="M35" i="33"/>
  <c r="N35" i="33"/>
  <c r="L35" i="33"/>
  <c r="K35" i="33"/>
  <c r="O35" i="33"/>
  <c r="P262" i="33"/>
  <c r="R262" i="33"/>
  <c r="Q262" i="33"/>
  <c r="L156" i="33"/>
  <c r="M156" i="33"/>
  <c r="O156" i="33"/>
  <c r="J156" i="33"/>
  <c r="N156" i="33"/>
  <c r="K156" i="33"/>
  <c r="J27" i="33"/>
  <c r="L27" i="33"/>
  <c r="M27" i="33"/>
  <c r="K27" i="33"/>
  <c r="N27" i="33"/>
  <c r="O27" i="33"/>
  <c r="L169" i="33"/>
  <c r="K169" i="33"/>
  <c r="O169" i="33"/>
  <c r="J169" i="33"/>
  <c r="N169" i="33"/>
  <c r="M169" i="33"/>
  <c r="M64" i="33"/>
  <c r="O64" i="33"/>
  <c r="N64" i="33"/>
  <c r="J64" i="33"/>
  <c r="K64" i="33"/>
  <c r="L64" i="33"/>
  <c r="K187" i="33"/>
  <c r="J187" i="33"/>
  <c r="O187" i="33"/>
  <c r="M187" i="33"/>
  <c r="L187" i="33"/>
  <c r="N187" i="33"/>
  <c r="R181" i="33"/>
  <c r="Q181" i="33"/>
  <c r="P181" i="33"/>
  <c r="Q65" i="33"/>
  <c r="R65" i="33"/>
  <c r="P65" i="33"/>
  <c r="P88" i="33"/>
  <c r="Q88" i="33"/>
  <c r="R88" i="33"/>
  <c r="S252" i="33"/>
  <c r="J133" i="33"/>
  <c r="L133" i="33"/>
  <c r="M133" i="33"/>
  <c r="K133" i="33"/>
  <c r="O133" i="33"/>
  <c r="N133" i="33"/>
  <c r="K235" i="33"/>
  <c r="J235" i="33"/>
  <c r="M235" i="33"/>
  <c r="L235" i="33"/>
  <c r="O235" i="33"/>
  <c r="N235" i="33"/>
  <c r="Q180" i="33"/>
  <c r="P180" i="33"/>
  <c r="R180" i="33"/>
  <c r="N184" i="33"/>
  <c r="K184" i="33"/>
  <c r="J184" i="33"/>
  <c r="O184" i="33"/>
  <c r="M184" i="33"/>
  <c r="L184" i="33"/>
  <c r="M212" i="33"/>
  <c r="L212" i="33"/>
  <c r="O212" i="33"/>
  <c r="N212" i="33"/>
  <c r="K212" i="33"/>
  <c r="J212" i="33"/>
  <c r="Q123" i="33"/>
  <c r="P123" i="33"/>
  <c r="R123" i="33"/>
  <c r="K216" i="39"/>
  <c r="I216" i="39"/>
  <c r="R191" i="6"/>
  <c r="W191" i="6" s="1"/>
  <c r="E9" i="28"/>
  <c r="M67" i="33"/>
  <c r="L67" i="33"/>
  <c r="K67" i="33"/>
  <c r="J67" i="33"/>
  <c r="N67" i="33"/>
  <c r="O67" i="33"/>
  <c r="M216" i="33"/>
  <c r="K216" i="33"/>
  <c r="O216" i="33"/>
  <c r="N216" i="33"/>
  <c r="J216" i="33"/>
  <c r="L216" i="33"/>
  <c r="K207" i="33"/>
  <c r="N207" i="33"/>
  <c r="M207" i="33"/>
  <c r="L207" i="33"/>
  <c r="O207" i="33"/>
  <c r="J207" i="33"/>
  <c r="N97" i="33"/>
  <c r="L97" i="33"/>
  <c r="O97" i="33"/>
  <c r="M97" i="33"/>
  <c r="K97" i="33"/>
  <c r="J97" i="33"/>
  <c r="L42" i="33"/>
  <c r="K42" i="33"/>
  <c r="J42" i="33"/>
  <c r="O42" i="33"/>
  <c r="N42" i="33"/>
  <c r="M42" i="33"/>
  <c r="P60" i="33"/>
  <c r="Q60" i="33"/>
  <c r="R60" i="33"/>
  <c r="R132" i="33"/>
  <c r="Q132" i="33"/>
  <c r="P132" i="33"/>
  <c r="L164" i="33"/>
  <c r="J164" i="33"/>
  <c r="M164" i="33"/>
  <c r="N164" i="33"/>
  <c r="O164" i="33"/>
  <c r="K164" i="33"/>
  <c r="J218" i="33"/>
  <c r="K218" i="33"/>
  <c r="O218" i="33"/>
  <c r="L218" i="33"/>
  <c r="N218" i="33"/>
  <c r="M218" i="33"/>
  <c r="M120" i="33"/>
  <c r="L120" i="33"/>
  <c r="O120" i="33"/>
  <c r="J120" i="33"/>
  <c r="K120" i="33"/>
  <c r="N120" i="33"/>
  <c r="O285" i="33"/>
  <c r="M285" i="33"/>
  <c r="N285" i="33"/>
  <c r="L285" i="33"/>
  <c r="K285" i="33"/>
  <c r="J285" i="33"/>
  <c r="P209" i="33"/>
  <c r="Q209" i="33"/>
  <c r="R209" i="33"/>
  <c r="O31" i="33"/>
  <c r="N31" i="33"/>
  <c r="M31" i="33"/>
  <c r="L31" i="33"/>
  <c r="J31" i="33"/>
  <c r="K31" i="33"/>
  <c r="M112" i="33"/>
  <c r="L112" i="33"/>
  <c r="J112" i="33"/>
  <c r="K112" i="33"/>
  <c r="N112" i="33"/>
  <c r="O112" i="33"/>
  <c r="J87" i="33"/>
  <c r="K87" i="33"/>
  <c r="O87" i="33"/>
  <c r="N87" i="33"/>
  <c r="M87" i="33"/>
  <c r="L87" i="33"/>
  <c r="N178" i="33"/>
  <c r="L178" i="33"/>
  <c r="K178" i="33"/>
  <c r="J178" i="33"/>
  <c r="O178" i="33"/>
  <c r="M178" i="33"/>
  <c r="R70" i="33"/>
  <c r="P70" i="33"/>
  <c r="Q70" i="33"/>
  <c r="R286" i="33"/>
  <c r="Q286" i="33"/>
  <c r="P286" i="33"/>
  <c r="L279" i="33"/>
  <c r="K279" i="33"/>
  <c r="O279" i="33"/>
  <c r="N279" i="33"/>
  <c r="J279" i="33"/>
  <c r="M279" i="33"/>
  <c r="Q15" i="33"/>
  <c r="R15" i="33"/>
  <c r="P15" i="33"/>
  <c r="M282" i="33"/>
  <c r="L282" i="33"/>
  <c r="K282" i="33"/>
  <c r="J282" i="33"/>
  <c r="N282" i="33"/>
  <c r="O282" i="33"/>
  <c r="R105" i="33"/>
  <c r="Q105" i="33"/>
  <c r="P105" i="33"/>
  <c r="N182" i="33"/>
  <c r="M182" i="33"/>
  <c r="J182" i="33"/>
  <c r="L182" i="33"/>
  <c r="K182" i="33"/>
  <c r="O182" i="33"/>
  <c r="M119" i="33"/>
  <c r="L119" i="33"/>
  <c r="N119" i="33"/>
  <c r="O119" i="33"/>
  <c r="J119" i="33"/>
  <c r="K119" i="33"/>
  <c r="Q203" i="33"/>
  <c r="P203" i="33"/>
  <c r="R203" i="33"/>
  <c r="O74" i="33"/>
  <c r="N74" i="33"/>
  <c r="M74" i="33"/>
  <c r="K74" i="33"/>
  <c r="J74" i="33"/>
  <c r="L74" i="33"/>
  <c r="N199" i="33"/>
  <c r="M199" i="33"/>
  <c r="O199" i="33"/>
  <c r="J199" i="33"/>
  <c r="K199" i="33"/>
  <c r="L199" i="33"/>
  <c r="K189" i="33"/>
  <c r="J189" i="33"/>
  <c r="M189" i="33"/>
  <c r="L189" i="33"/>
  <c r="O189" i="33"/>
  <c r="N189" i="33"/>
  <c r="M204" i="33"/>
  <c r="L204" i="33"/>
  <c r="O204" i="33"/>
  <c r="N204" i="33"/>
  <c r="K204" i="33"/>
  <c r="J204" i="33"/>
  <c r="R95" i="33"/>
  <c r="Q95" i="33"/>
  <c r="P95" i="33"/>
  <c r="R141" i="33"/>
  <c r="Q141" i="33"/>
  <c r="P141" i="33"/>
  <c r="P61" i="33"/>
  <c r="Q61" i="33"/>
  <c r="R61" i="33"/>
  <c r="R133" i="33"/>
  <c r="P133" i="33"/>
  <c r="Q133" i="33"/>
  <c r="P260" i="33"/>
  <c r="R260" i="33"/>
  <c r="Q260" i="33"/>
  <c r="K142" i="33"/>
  <c r="J142" i="33"/>
  <c r="L142" i="33"/>
  <c r="O142" i="33"/>
  <c r="N142" i="33"/>
  <c r="M142" i="33"/>
  <c r="R124" i="33"/>
  <c r="Q124" i="33"/>
  <c r="P124" i="33"/>
  <c r="E172" i="28"/>
  <c r="F197" i="45"/>
  <c r="E22" i="28"/>
  <c r="G22" i="28" s="1"/>
  <c r="L22" i="46" s="1"/>
  <c r="Q73" i="33"/>
  <c r="P73" i="33"/>
  <c r="R73" i="33"/>
  <c r="K147" i="33"/>
  <c r="J147" i="33"/>
  <c r="O147" i="33"/>
  <c r="N147" i="33"/>
  <c r="M147" i="33"/>
  <c r="L147" i="33"/>
  <c r="R66" i="33"/>
  <c r="P66" i="33"/>
  <c r="Q66" i="33"/>
  <c r="R179" i="33"/>
  <c r="Q179" i="33"/>
  <c r="P179" i="33"/>
  <c r="R97" i="33"/>
  <c r="Q97" i="33"/>
  <c r="P97" i="33"/>
  <c r="M228" i="33"/>
  <c r="L228" i="33"/>
  <c r="J228" i="33"/>
  <c r="O228" i="33"/>
  <c r="N228" i="33"/>
  <c r="K228" i="33"/>
  <c r="R126" i="33"/>
  <c r="Q126" i="33"/>
  <c r="P126" i="33"/>
  <c r="R162" i="33"/>
  <c r="P162" i="33"/>
  <c r="Q162" i="33"/>
  <c r="N209" i="33"/>
  <c r="O209" i="33"/>
  <c r="M209" i="33"/>
  <c r="L209" i="33"/>
  <c r="J209" i="33"/>
  <c r="K209" i="33"/>
  <c r="R197" i="33"/>
  <c r="Q197" i="33"/>
  <c r="P197" i="33"/>
  <c r="N186" i="33"/>
  <c r="J186" i="33"/>
  <c r="L186" i="33"/>
  <c r="O186" i="33"/>
  <c r="M186" i="33"/>
  <c r="K186" i="33"/>
  <c r="O145" i="33"/>
  <c r="M145" i="33"/>
  <c r="J145" i="33"/>
  <c r="N145" i="33"/>
  <c r="K145" i="33"/>
  <c r="L145" i="33"/>
  <c r="P104" i="33"/>
  <c r="R104" i="33"/>
  <c r="Q104" i="33"/>
  <c r="O289" i="33"/>
  <c r="M289" i="33"/>
  <c r="K289" i="33"/>
  <c r="L289" i="33"/>
  <c r="J289" i="33"/>
  <c r="N289" i="33"/>
  <c r="L6" i="33"/>
  <c r="K6" i="33"/>
  <c r="J6" i="33"/>
  <c r="O6" i="33"/>
  <c r="N6" i="33"/>
  <c r="M6" i="33"/>
  <c r="R50" i="33"/>
  <c r="Q50" i="33"/>
  <c r="P50" i="33"/>
  <c r="K165" i="33"/>
  <c r="J165" i="33"/>
  <c r="M165" i="33"/>
  <c r="L165" i="33"/>
  <c r="N165" i="33"/>
  <c r="O165" i="33"/>
  <c r="R166" i="33"/>
  <c r="Q166" i="33"/>
  <c r="P166" i="33"/>
  <c r="R41" i="33"/>
  <c r="Q41" i="33"/>
  <c r="P41" i="33"/>
  <c r="R188" i="33"/>
  <c r="Q188" i="33"/>
  <c r="P188" i="33"/>
  <c r="P177" i="33"/>
  <c r="Q177" i="33"/>
  <c r="R177" i="33"/>
  <c r="K70" i="33"/>
  <c r="J70" i="33"/>
  <c r="N70" i="33"/>
  <c r="L70" i="33"/>
  <c r="M70" i="33"/>
  <c r="O70" i="33"/>
  <c r="P137" i="33"/>
  <c r="R137" i="33"/>
  <c r="Q137" i="33"/>
  <c r="L71" i="33"/>
  <c r="K71" i="33"/>
  <c r="J71" i="33"/>
  <c r="O71" i="33"/>
  <c r="N71" i="33"/>
  <c r="M71" i="33"/>
  <c r="R130" i="33"/>
  <c r="P130" i="33"/>
  <c r="Q130" i="33"/>
  <c r="Q279" i="33"/>
  <c r="P279" i="33"/>
  <c r="R279" i="33"/>
  <c r="R84" i="33"/>
  <c r="Q84" i="33"/>
  <c r="P84" i="33"/>
  <c r="K284" i="33"/>
  <c r="J284" i="33"/>
  <c r="N284" i="33"/>
  <c r="L284" i="33"/>
  <c r="O284" i="33"/>
  <c r="M284" i="33"/>
  <c r="Q119" i="33"/>
  <c r="P119" i="33"/>
  <c r="R119" i="33"/>
  <c r="R242" i="33"/>
  <c r="Q242" i="33"/>
  <c r="P242" i="33"/>
  <c r="J134" i="33"/>
  <c r="O134" i="33"/>
  <c r="N134" i="33"/>
  <c r="L134" i="33"/>
  <c r="K134" i="33"/>
  <c r="M134" i="33"/>
  <c r="P193" i="33"/>
  <c r="R193" i="33"/>
  <c r="Q193" i="33"/>
  <c r="M194" i="33"/>
  <c r="K194" i="33"/>
  <c r="J194" i="33"/>
  <c r="L194" i="33"/>
  <c r="O194" i="33"/>
  <c r="N194" i="33"/>
  <c r="N34" i="33"/>
  <c r="K34" i="33"/>
  <c r="L34" i="33"/>
  <c r="J34" i="33"/>
  <c r="O34" i="33"/>
  <c r="M34" i="33"/>
  <c r="J20" i="33"/>
  <c r="M20" i="33"/>
  <c r="K20" i="33"/>
  <c r="O20" i="33"/>
  <c r="N20" i="33"/>
  <c r="L20" i="33"/>
  <c r="O260" i="33"/>
  <c r="M260" i="33"/>
  <c r="J260" i="33"/>
  <c r="K260" i="33"/>
  <c r="L260" i="33"/>
  <c r="N260" i="33"/>
  <c r="K118" i="33"/>
  <c r="J118" i="33"/>
  <c r="O118" i="33"/>
  <c r="N118" i="33"/>
  <c r="M118" i="33"/>
  <c r="L118" i="33"/>
  <c r="Q48" i="33"/>
  <c r="R48" i="33"/>
  <c r="P48" i="33"/>
  <c r="R142" i="33"/>
  <c r="P142" i="33"/>
  <c r="Q142" i="33"/>
  <c r="P270" i="33"/>
  <c r="Q270" i="33"/>
  <c r="R270" i="33"/>
  <c r="R17" i="6"/>
  <c r="AB17" i="6" s="1"/>
  <c r="F112" i="45"/>
  <c r="F144" i="45"/>
  <c r="E288" i="28"/>
  <c r="G288" i="28" s="1"/>
  <c r="L288" i="46" s="1"/>
  <c r="E135" i="28"/>
  <c r="F135" i="28" s="1"/>
  <c r="I135" i="46" s="1"/>
  <c r="F25" i="45"/>
  <c r="E34" i="28"/>
  <c r="G34" i="28" s="1"/>
  <c r="L34" i="46" s="1"/>
  <c r="R246" i="33"/>
  <c r="Q246" i="33"/>
  <c r="P246" i="33"/>
  <c r="J73" i="33"/>
  <c r="O73" i="33"/>
  <c r="M73" i="33"/>
  <c r="N73" i="33"/>
  <c r="K73" i="33"/>
  <c r="L73" i="33"/>
  <c r="J66" i="33"/>
  <c r="K66" i="33"/>
  <c r="N66" i="33"/>
  <c r="M66" i="33"/>
  <c r="L66" i="33"/>
  <c r="O66" i="33"/>
  <c r="R42" i="33"/>
  <c r="P42" i="33"/>
  <c r="Q42" i="33"/>
  <c r="R160" i="33"/>
  <c r="P160" i="33"/>
  <c r="Q160" i="33"/>
  <c r="R86" i="33"/>
  <c r="Q86" i="33"/>
  <c r="P86" i="33"/>
  <c r="R26" i="33"/>
  <c r="Q26" i="33"/>
  <c r="P26" i="33"/>
  <c r="M263" i="33"/>
  <c r="L263" i="33"/>
  <c r="K263" i="33"/>
  <c r="N263" i="33"/>
  <c r="J263" i="33"/>
  <c r="O263" i="33"/>
  <c r="R92" i="33"/>
  <c r="P92" i="33"/>
  <c r="Q92" i="33"/>
  <c r="K152" i="33"/>
  <c r="J152" i="33"/>
  <c r="O152" i="33"/>
  <c r="N152" i="33"/>
  <c r="L152" i="33"/>
  <c r="M152" i="33"/>
  <c r="P112" i="33"/>
  <c r="R112" i="33"/>
  <c r="Q112" i="33"/>
  <c r="R261" i="33"/>
  <c r="P261" i="33"/>
  <c r="Q261" i="33"/>
  <c r="R98" i="33"/>
  <c r="P98" i="33"/>
  <c r="Q98" i="33"/>
  <c r="O81" i="33"/>
  <c r="N81" i="33"/>
  <c r="M81" i="33"/>
  <c r="L81" i="33"/>
  <c r="J81" i="33"/>
  <c r="K81" i="33"/>
  <c r="R25" i="33"/>
  <c r="P25" i="33"/>
  <c r="Q25" i="33"/>
  <c r="K288" i="33"/>
  <c r="J288" i="33"/>
  <c r="N288" i="33"/>
  <c r="M288" i="33"/>
  <c r="L288" i="33"/>
  <c r="O288" i="33"/>
  <c r="L188" i="33"/>
  <c r="M188" i="33"/>
  <c r="K188" i="33"/>
  <c r="J188" i="33"/>
  <c r="N188" i="33"/>
  <c r="O188" i="33"/>
  <c r="R87" i="33"/>
  <c r="Q87" i="33"/>
  <c r="P87" i="33"/>
  <c r="K200" i="33"/>
  <c r="J200" i="33"/>
  <c r="O200" i="33"/>
  <c r="M200" i="33"/>
  <c r="N200" i="33"/>
  <c r="L200" i="33"/>
  <c r="O287" i="33"/>
  <c r="M287" i="33"/>
  <c r="J287" i="33"/>
  <c r="N287" i="33"/>
  <c r="L287" i="33"/>
  <c r="K287" i="33"/>
  <c r="P153" i="33"/>
  <c r="Q153" i="33"/>
  <c r="R153" i="33"/>
  <c r="O256" i="33"/>
  <c r="N256" i="33"/>
  <c r="M256" i="33"/>
  <c r="L256" i="33"/>
  <c r="J256" i="33"/>
  <c r="K256" i="33"/>
  <c r="J244" i="33"/>
  <c r="O244" i="33"/>
  <c r="N244" i="33"/>
  <c r="L244" i="33"/>
  <c r="K244" i="33"/>
  <c r="M244" i="33"/>
  <c r="R20" i="33"/>
  <c r="P20" i="33"/>
  <c r="Q20" i="33"/>
  <c r="Q275" i="33"/>
  <c r="R275" i="33"/>
  <c r="P275" i="33"/>
  <c r="N48" i="33"/>
  <c r="M48" i="33"/>
  <c r="L48" i="33"/>
  <c r="K48" i="33"/>
  <c r="O48" i="33"/>
  <c r="J48" i="33"/>
  <c r="O44" i="33"/>
  <c r="M44" i="33"/>
  <c r="K44" i="33"/>
  <c r="J44" i="33"/>
  <c r="N44" i="33"/>
  <c r="L44" i="33"/>
  <c r="J270" i="33"/>
  <c r="L270" i="33"/>
  <c r="K270" i="33"/>
  <c r="O270" i="33"/>
  <c r="M270" i="33"/>
  <c r="N270" i="33"/>
  <c r="K140" i="39"/>
  <c r="I140" i="39"/>
  <c r="F203" i="45"/>
  <c r="M246" i="33"/>
  <c r="L246" i="33"/>
  <c r="K246" i="33"/>
  <c r="O246" i="33"/>
  <c r="N246" i="33"/>
  <c r="J246" i="33"/>
  <c r="R68" i="33"/>
  <c r="Q68" i="33"/>
  <c r="P68" i="33"/>
  <c r="P207" i="33"/>
  <c r="R207" i="33"/>
  <c r="Q207" i="33"/>
  <c r="R148" i="33"/>
  <c r="Q148" i="33"/>
  <c r="P148" i="33"/>
  <c r="R274" i="33"/>
  <c r="Q274" i="33"/>
  <c r="P274" i="33"/>
  <c r="M233" i="33"/>
  <c r="L233" i="33"/>
  <c r="J233" i="33"/>
  <c r="N233" i="33"/>
  <c r="O233" i="33"/>
  <c r="K233" i="33"/>
  <c r="K160" i="33"/>
  <c r="J160" i="33"/>
  <c r="O160" i="33"/>
  <c r="N160" i="33"/>
  <c r="M160" i="33"/>
  <c r="L160" i="33"/>
  <c r="K132" i="33"/>
  <c r="J132" i="33"/>
  <c r="O132" i="33"/>
  <c r="N132" i="33"/>
  <c r="M132" i="33"/>
  <c r="L132" i="33"/>
  <c r="L108" i="33"/>
  <c r="N108" i="33"/>
  <c r="O108" i="33"/>
  <c r="J108" i="33"/>
  <c r="K108" i="33"/>
  <c r="M108" i="33"/>
  <c r="Q218" i="33"/>
  <c r="P218" i="33"/>
  <c r="R218" i="33"/>
  <c r="N26" i="33"/>
  <c r="K26" i="33"/>
  <c r="L26" i="33"/>
  <c r="J26" i="33"/>
  <c r="M26" i="33"/>
  <c r="O26" i="33"/>
  <c r="Q263" i="33"/>
  <c r="P263" i="33"/>
  <c r="W263" i="33" s="1"/>
  <c r="R263" i="33"/>
  <c r="Q280" i="33"/>
  <c r="P280" i="33"/>
  <c r="R280" i="33"/>
  <c r="O248" i="33"/>
  <c r="M248" i="33"/>
  <c r="L248" i="33"/>
  <c r="K248" i="33"/>
  <c r="J248" i="33"/>
  <c r="N248" i="33"/>
  <c r="J92" i="33"/>
  <c r="L92" i="33"/>
  <c r="K92" i="33"/>
  <c r="N92" i="33"/>
  <c r="M92" i="33"/>
  <c r="O92" i="33"/>
  <c r="O93" i="33"/>
  <c r="L93" i="33"/>
  <c r="M93" i="33"/>
  <c r="N93" i="33"/>
  <c r="K93" i="33"/>
  <c r="J93" i="33"/>
  <c r="R139" i="33"/>
  <c r="Q139" i="33"/>
  <c r="P139" i="33"/>
  <c r="R237" i="33"/>
  <c r="P237" i="33"/>
  <c r="Q237" i="33"/>
  <c r="P81" i="33"/>
  <c r="Q81" i="33"/>
  <c r="R81" i="33"/>
  <c r="R6" i="33"/>
  <c r="Q6" i="33"/>
  <c r="M190" i="33"/>
  <c r="N190" i="33"/>
  <c r="O190" i="33"/>
  <c r="L190" i="33"/>
  <c r="J190" i="33"/>
  <c r="K190" i="33"/>
  <c r="R125" i="33"/>
  <c r="P125" i="33"/>
  <c r="Q125" i="33"/>
  <c r="R195" i="33"/>
  <c r="Q195" i="33"/>
  <c r="P195" i="33"/>
  <c r="K155" i="33"/>
  <c r="J155" i="33"/>
  <c r="L155" i="33"/>
  <c r="O155" i="33"/>
  <c r="N155" i="33"/>
  <c r="M155" i="33"/>
  <c r="M232" i="33"/>
  <c r="O232" i="33"/>
  <c r="N232" i="33"/>
  <c r="L232" i="33"/>
  <c r="K232" i="33"/>
  <c r="J232" i="33"/>
  <c r="M158" i="33"/>
  <c r="K158" i="33"/>
  <c r="J158" i="33"/>
  <c r="L158" i="33"/>
  <c r="O158" i="33"/>
  <c r="N158" i="33"/>
  <c r="R117" i="33"/>
  <c r="Q117" i="33"/>
  <c r="P117" i="33"/>
  <c r="K15" i="33"/>
  <c r="M15" i="33"/>
  <c r="J15" i="33"/>
  <c r="L15" i="33"/>
  <c r="N15" i="33"/>
  <c r="O15" i="33"/>
  <c r="J214" i="33"/>
  <c r="O214" i="33"/>
  <c r="N214" i="33"/>
  <c r="L214" i="33"/>
  <c r="K214" i="33"/>
  <c r="M214" i="33"/>
  <c r="J90" i="33"/>
  <c r="K90" i="33"/>
  <c r="O90" i="33"/>
  <c r="N90" i="33"/>
  <c r="L90" i="33"/>
  <c r="M90" i="33"/>
  <c r="O109" i="33"/>
  <c r="N109" i="33"/>
  <c r="M109" i="33"/>
  <c r="K109" i="33"/>
  <c r="J109" i="33"/>
  <c r="L109" i="33"/>
  <c r="M220" i="33"/>
  <c r="L220" i="33"/>
  <c r="O220" i="33"/>
  <c r="N220" i="33"/>
  <c r="K220" i="33"/>
  <c r="J220" i="33"/>
  <c r="M153" i="33"/>
  <c r="L153" i="33"/>
  <c r="O153" i="33"/>
  <c r="N153" i="33"/>
  <c r="K153" i="33"/>
  <c r="J153" i="33"/>
  <c r="P22" i="33"/>
  <c r="Q22" i="33"/>
  <c r="R22" i="33"/>
  <c r="P138" i="28"/>
  <c r="O138" i="28"/>
  <c r="M290" i="33"/>
  <c r="L290" i="33"/>
  <c r="N290" i="33"/>
  <c r="K290" i="33"/>
  <c r="J290" i="33"/>
  <c r="O290" i="33"/>
  <c r="N242" i="33"/>
  <c r="M242" i="33"/>
  <c r="L242" i="33"/>
  <c r="O242" i="33"/>
  <c r="J242" i="33"/>
  <c r="K242" i="33"/>
  <c r="L30" i="33"/>
  <c r="N30" i="33"/>
  <c r="O30" i="33"/>
  <c r="J30" i="33"/>
  <c r="M30" i="33"/>
  <c r="K30" i="33"/>
  <c r="Q226" i="33"/>
  <c r="R226" i="33"/>
  <c r="P226" i="33"/>
  <c r="O36" i="33"/>
  <c r="N36" i="33"/>
  <c r="M36" i="33"/>
  <c r="J36" i="33"/>
  <c r="K36" i="33"/>
  <c r="L36" i="33"/>
  <c r="Q204" i="33"/>
  <c r="R204" i="33"/>
  <c r="P204" i="33"/>
  <c r="N141" i="33"/>
  <c r="K141" i="33"/>
  <c r="L141" i="33"/>
  <c r="O141" i="33"/>
  <c r="M141" i="33"/>
  <c r="J141" i="33"/>
  <c r="O215" i="33"/>
  <c r="N215" i="33"/>
  <c r="J215" i="33"/>
  <c r="M215" i="33"/>
  <c r="W215" i="33" s="1"/>
  <c r="K215" i="33"/>
  <c r="L215" i="33"/>
  <c r="M144" i="33"/>
  <c r="L144" i="33"/>
  <c r="O144" i="33"/>
  <c r="N144" i="33"/>
  <c r="K144" i="33"/>
  <c r="J144" i="33"/>
  <c r="O221" i="33"/>
  <c r="N221" i="33"/>
  <c r="M221" i="33"/>
  <c r="L221" i="33"/>
  <c r="K221" i="33"/>
  <c r="J221" i="33"/>
  <c r="O272" i="33"/>
  <c r="K272" i="33"/>
  <c r="J272" i="33"/>
  <c r="N272" i="33"/>
  <c r="M272" i="33"/>
  <c r="L272" i="33"/>
  <c r="P217" i="33"/>
  <c r="R217" i="33"/>
  <c r="Q217" i="33"/>
  <c r="F256" i="45"/>
  <c r="E284" i="28"/>
  <c r="G284" i="28" s="1"/>
  <c r="L284" i="46" s="1"/>
  <c r="J101" i="33"/>
  <c r="L101" i="33"/>
  <c r="O101" i="33"/>
  <c r="M101" i="33"/>
  <c r="K101" i="33"/>
  <c r="N101" i="33"/>
  <c r="O68" i="33"/>
  <c r="N68" i="33"/>
  <c r="K68" i="33"/>
  <c r="L68" i="33"/>
  <c r="J68" i="33"/>
  <c r="M68" i="33"/>
  <c r="N213" i="33"/>
  <c r="M213" i="33"/>
  <c r="O213" i="33"/>
  <c r="J213" i="33"/>
  <c r="L213" i="33"/>
  <c r="K213" i="33"/>
  <c r="Q219" i="33"/>
  <c r="R219" i="33"/>
  <c r="P219" i="33"/>
  <c r="M139" i="33"/>
  <c r="L139" i="33"/>
  <c r="O139" i="33"/>
  <c r="N139" i="33"/>
  <c r="K139" i="33"/>
  <c r="J139" i="33"/>
  <c r="K151" i="33"/>
  <c r="J151" i="33"/>
  <c r="O151" i="33"/>
  <c r="L151" i="33"/>
  <c r="N151" i="33"/>
  <c r="M151" i="33"/>
  <c r="P152" i="33"/>
  <c r="R152" i="33"/>
  <c r="Q152" i="33"/>
  <c r="M236" i="33"/>
  <c r="O236" i="33"/>
  <c r="N236" i="33"/>
  <c r="K236" i="33"/>
  <c r="L236" i="33"/>
  <c r="J236" i="33"/>
  <c r="K261" i="33"/>
  <c r="L261" i="33"/>
  <c r="J261" i="33"/>
  <c r="O261" i="33"/>
  <c r="M261" i="33"/>
  <c r="N261" i="33"/>
  <c r="R129" i="33"/>
  <c r="P129" i="33"/>
  <c r="Q129" i="33"/>
  <c r="K210" i="33"/>
  <c r="N210" i="33"/>
  <c r="M210" i="33"/>
  <c r="O210" i="33"/>
  <c r="L210" i="33"/>
  <c r="J210" i="33"/>
  <c r="P6" i="33"/>
  <c r="P149" i="33"/>
  <c r="Q149" i="33"/>
  <c r="R149" i="33"/>
  <c r="Q165" i="33"/>
  <c r="P165" i="33"/>
  <c r="R165" i="33"/>
  <c r="M195" i="33"/>
  <c r="L195" i="33"/>
  <c r="O195" i="33"/>
  <c r="K195" i="33"/>
  <c r="J195" i="33"/>
  <c r="N195" i="33"/>
  <c r="Q202" i="33"/>
  <c r="R202" i="33"/>
  <c r="P202" i="33"/>
  <c r="R71" i="33"/>
  <c r="P71" i="33"/>
  <c r="Q71" i="33"/>
  <c r="R56" i="33"/>
  <c r="P56" i="33"/>
  <c r="Q56" i="33"/>
  <c r="P109" i="33"/>
  <c r="Q109" i="33"/>
  <c r="R109" i="33"/>
  <c r="R224" i="33"/>
  <c r="Q224" i="33"/>
  <c r="P224" i="33"/>
  <c r="O22" i="33"/>
  <c r="N22" i="33"/>
  <c r="M22" i="33"/>
  <c r="K22" i="33"/>
  <c r="L22" i="33"/>
  <c r="J22" i="33"/>
  <c r="R63" i="33"/>
  <c r="P63" i="33"/>
  <c r="Q63" i="33"/>
  <c r="L136" i="33"/>
  <c r="K136" i="33"/>
  <c r="M136" i="33"/>
  <c r="J136" i="33"/>
  <c r="N136" i="33"/>
  <c r="O136" i="33"/>
  <c r="M172" i="33"/>
  <c r="K172" i="33"/>
  <c r="N172" i="33"/>
  <c r="J172" i="33"/>
  <c r="L172" i="33"/>
  <c r="O172" i="33"/>
  <c r="P144" i="33"/>
  <c r="Q144" i="33"/>
  <c r="R144" i="33"/>
  <c r="P99" i="33"/>
  <c r="Q99" i="33"/>
  <c r="R99" i="33"/>
  <c r="R72" i="33"/>
  <c r="Q72" i="33"/>
  <c r="P72" i="33"/>
  <c r="R272" i="33"/>
  <c r="Q272" i="33"/>
  <c r="P272" i="33"/>
  <c r="O70" i="7"/>
  <c r="O87" i="7"/>
  <c r="Q276" i="33"/>
  <c r="P276" i="33"/>
  <c r="R276" i="33"/>
  <c r="AG39" i="6"/>
  <c r="V250" i="6"/>
  <c r="T39" i="6"/>
  <c r="AC250" i="6"/>
  <c r="Y81" i="6"/>
  <c r="U182" i="6"/>
  <c r="Z250" i="6"/>
  <c r="AC81" i="6"/>
  <c r="AC30" i="6"/>
  <c r="X250" i="6"/>
  <c r="W30" i="6"/>
  <c r="H227" i="28"/>
  <c r="I227" i="28" s="1"/>
  <c r="J227" i="46" s="1"/>
  <c r="G245" i="45"/>
  <c r="AA228" i="6"/>
  <c r="Z263" i="6"/>
  <c r="G152" i="45"/>
  <c r="U30" i="6"/>
  <c r="AB227" i="6"/>
  <c r="AB152" i="6"/>
  <c r="T227" i="6"/>
  <c r="X144" i="6"/>
  <c r="W152" i="6"/>
  <c r="V30" i="6"/>
  <c r="Y248" i="6"/>
  <c r="W287" i="6"/>
  <c r="AC45" i="6"/>
  <c r="AA39" i="6"/>
  <c r="AG56" i="6"/>
  <c r="AA276" i="6"/>
  <c r="AG227" i="6"/>
  <c r="AG152" i="6"/>
  <c r="U227" i="6"/>
  <c r="Y182" i="6"/>
  <c r="H144" i="28"/>
  <c r="J144" i="28" s="1"/>
  <c r="M144" i="46" s="1"/>
  <c r="R204" i="6"/>
  <c r="AB204" i="6" s="1"/>
  <c r="T152" i="6"/>
  <c r="G30" i="45"/>
  <c r="W248" i="6"/>
  <c r="AB30" i="6"/>
  <c r="W182" i="6"/>
  <c r="V144" i="6"/>
  <c r="AC152" i="6"/>
  <c r="U56" i="6"/>
  <c r="H30" i="28"/>
  <c r="J30" i="28" s="1"/>
  <c r="M30" i="46" s="1"/>
  <c r="AA248" i="6"/>
  <c r="Z287" i="6"/>
  <c r="AG30" i="6"/>
  <c r="T182" i="6"/>
  <c r="Y152" i="6"/>
  <c r="AC248" i="6"/>
  <c r="G39" i="45"/>
  <c r="X218" i="6"/>
  <c r="G182" i="45"/>
  <c r="Z228" i="6"/>
  <c r="V152" i="6"/>
  <c r="Z248" i="6"/>
  <c r="AG228" i="6"/>
  <c r="X170" i="6"/>
  <c r="V182" i="6"/>
  <c r="R114" i="6"/>
  <c r="AB114" i="6" s="1"/>
  <c r="X228" i="6"/>
  <c r="Z255" i="6"/>
  <c r="U152" i="6"/>
  <c r="Y39" i="6"/>
  <c r="W276" i="6"/>
  <c r="X39" i="6"/>
  <c r="R161" i="6"/>
  <c r="AA161" i="6" s="1"/>
  <c r="U144" i="6"/>
  <c r="U287" i="6"/>
  <c r="X276" i="6"/>
  <c r="AC138" i="6"/>
  <c r="Z24" i="6"/>
  <c r="T250" i="6"/>
  <c r="R32" i="6"/>
  <c r="T32" i="6" s="1"/>
  <c r="AC263" i="6"/>
  <c r="T42" i="6"/>
  <c r="T248" i="6"/>
  <c r="X138" i="6"/>
  <c r="T45" i="6"/>
  <c r="U138" i="6"/>
  <c r="U39" i="6"/>
  <c r="AG248" i="6"/>
  <c r="H103" i="28"/>
  <c r="Y250" i="6"/>
  <c r="H248" i="28"/>
  <c r="W138" i="6"/>
  <c r="AA42" i="6"/>
  <c r="Z218" i="6"/>
  <c r="T138" i="6"/>
  <c r="V103" i="6"/>
  <c r="Y42" i="6"/>
  <c r="U248" i="6"/>
  <c r="G138" i="45"/>
  <c r="X4" i="6"/>
  <c r="AA138" i="6"/>
  <c r="H39" i="28"/>
  <c r="I39" i="28" s="1"/>
  <c r="J39" i="46" s="1"/>
  <c r="AB45" i="6"/>
  <c r="W144" i="6"/>
  <c r="T92" i="6"/>
  <c r="Z42" i="6"/>
  <c r="X248" i="6"/>
  <c r="AC39" i="6"/>
  <c r="AB250" i="6"/>
  <c r="R23" i="6"/>
  <c r="U23" i="6" s="1"/>
  <c r="AC144" i="6"/>
  <c r="AA92" i="6"/>
  <c r="H42" i="28"/>
  <c r="J42" i="28" s="1"/>
  <c r="M42" i="46" s="1"/>
  <c r="U42" i="6"/>
  <c r="Z138" i="6"/>
  <c r="R237" i="6"/>
  <c r="AB237" i="6" s="1"/>
  <c r="AB216" i="6"/>
  <c r="AG250" i="6"/>
  <c r="R181" i="6"/>
  <c r="AB181" i="6" s="1"/>
  <c r="W24" i="6"/>
  <c r="X216" i="6"/>
  <c r="G250" i="45"/>
  <c r="Y144" i="6"/>
  <c r="U92" i="6"/>
  <c r="H138" i="28"/>
  <c r="I138" i="28" s="1"/>
  <c r="J138" i="46" s="1"/>
  <c r="W42" i="6"/>
  <c r="R67" i="6"/>
  <c r="G67" i="45" s="1"/>
  <c r="AA144" i="6"/>
  <c r="G248" i="45"/>
  <c r="V138" i="6"/>
  <c r="V39" i="6"/>
  <c r="AG138" i="6"/>
  <c r="W250" i="6"/>
  <c r="G144" i="45"/>
  <c r="V248" i="6"/>
  <c r="Y138" i="6"/>
  <c r="U216" i="6"/>
  <c r="W92" i="6"/>
  <c r="Z28" i="6"/>
  <c r="R113" i="6"/>
  <c r="AB113" i="6" s="1"/>
  <c r="AC42" i="6"/>
  <c r="X42" i="6"/>
  <c r="Z39" i="6"/>
  <c r="W39" i="6"/>
  <c r="Y140" i="6"/>
  <c r="Z92" i="6"/>
  <c r="X140" i="6"/>
  <c r="R194" i="6"/>
  <c r="AB194" i="6" s="1"/>
  <c r="AC92" i="6"/>
  <c r="V92" i="6"/>
  <c r="G92" i="45"/>
  <c r="X92" i="6"/>
  <c r="H92" i="28"/>
  <c r="J92" i="28" s="1"/>
  <c r="M92" i="46" s="1"/>
  <c r="Y92" i="6"/>
  <c r="R64" i="6"/>
  <c r="AB64" i="6" s="1"/>
  <c r="U94" i="6"/>
  <c r="X259" i="6"/>
  <c r="Y94" i="6"/>
  <c r="Z259" i="6"/>
  <c r="Z201" i="6"/>
  <c r="AA259" i="6"/>
  <c r="Y259" i="6"/>
  <c r="Y251" i="6"/>
  <c r="U65" i="6"/>
  <c r="H259" i="28"/>
  <c r="J259" i="28" s="1"/>
  <c r="M259" i="46" s="1"/>
  <c r="G251" i="45"/>
  <c r="V259" i="6"/>
  <c r="V251" i="6"/>
  <c r="AA65" i="6"/>
  <c r="AA251" i="6"/>
  <c r="AC65" i="6"/>
  <c r="Z65" i="6"/>
  <c r="G259" i="45"/>
  <c r="Z251" i="6"/>
  <c r="AG259" i="6"/>
  <c r="V20" i="6"/>
  <c r="U251" i="6"/>
  <c r="H65" i="28"/>
  <c r="I65" i="28" s="1"/>
  <c r="J65" i="46" s="1"/>
  <c r="W65" i="6"/>
  <c r="U259" i="6"/>
  <c r="G94" i="45"/>
  <c r="AC259" i="6"/>
  <c r="X251" i="6"/>
  <c r="T65" i="6"/>
  <c r="H251" i="28"/>
  <c r="I251" i="28" s="1"/>
  <c r="J251" i="46" s="1"/>
  <c r="X65" i="6"/>
  <c r="R6" i="6"/>
  <c r="AB6" i="6" s="1"/>
  <c r="G65" i="45"/>
  <c r="AG65" i="6"/>
  <c r="W259" i="6"/>
  <c r="V65" i="6"/>
  <c r="T275" i="6"/>
  <c r="G20" i="45"/>
  <c r="AG20" i="6"/>
  <c r="Q24" i="33"/>
  <c r="P24" i="33"/>
  <c r="R24" i="33"/>
  <c r="K49" i="39"/>
  <c r="I49" i="39"/>
  <c r="G49" i="39"/>
  <c r="E49" i="39"/>
  <c r="I234" i="39"/>
  <c r="K234" i="39"/>
  <c r="G234" i="39"/>
  <c r="E234" i="39"/>
  <c r="P49" i="28"/>
  <c r="O49" i="28"/>
  <c r="I49" i="28"/>
  <c r="J49" i="46" s="1"/>
  <c r="J49" i="28"/>
  <c r="M49" i="46" s="1"/>
  <c r="F234" i="28"/>
  <c r="I234" i="46" s="1"/>
  <c r="O234" i="28"/>
  <c r="G234" i="28"/>
  <c r="L234" i="46" s="1"/>
  <c r="P234" i="28"/>
  <c r="J234" i="28"/>
  <c r="M234" i="46" s="1"/>
  <c r="I234" i="28"/>
  <c r="J234" i="46" s="1"/>
  <c r="E196" i="51"/>
  <c r="F196" i="51" s="1"/>
  <c r="P196" i="26" s="1"/>
  <c r="C196" i="54"/>
  <c r="AB82" i="6"/>
  <c r="U82" i="6"/>
  <c r="AA143" i="6"/>
  <c r="V4" i="6"/>
  <c r="H143" i="28"/>
  <c r="W143" i="6"/>
  <c r="V143" i="6"/>
  <c r="W4" i="6"/>
  <c r="Z4" i="6"/>
  <c r="AG267" i="6"/>
  <c r="G217" i="45"/>
  <c r="X143" i="6"/>
  <c r="U143" i="6"/>
  <c r="AC4" i="6"/>
  <c r="R69" i="6"/>
  <c r="U69" i="6" s="1"/>
  <c r="G4" i="45"/>
  <c r="AC143" i="6"/>
  <c r="G143" i="45"/>
  <c r="R18" i="6"/>
  <c r="AB18" i="6" s="1"/>
  <c r="T4" i="6"/>
  <c r="AA58" i="6"/>
  <c r="Y4" i="6"/>
  <c r="Z143" i="6"/>
  <c r="U4" i="6"/>
  <c r="H4" i="28"/>
  <c r="X275" i="6"/>
  <c r="R128" i="6"/>
  <c r="T143" i="6"/>
  <c r="AA4" i="6"/>
  <c r="V101" i="6"/>
  <c r="Y101" i="6"/>
  <c r="X101" i="6"/>
  <c r="U101" i="6"/>
  <c r="W101" i="6"/>
  <c r="AC101" i="6"/>
  <c r="AA101" i="6"/>
  <c r="G101" i="45"/>
  <c r="H101" i="28"/>
  <c r="J101" i="28" s="1"/>
  <c r="M101" i="46" s="1"/>
  <c r="T101" i="6"/>
  <c r="Z101" i="6"/>
  <c r="Z103" i="6"/>
  <c r="Z94" i="6"/>
  <c r="V94" i="6"/>
  <c r="V287" i="6"/>
  <c r="U45" i="6"/>
  <c r="R183" i="6"/>
  <c r="AB183" i="6" s="1"/>
  <c r="X20" i="6"/>
  <c r="R126" i="6"/>
  <c r="W126" i="6" s="1"/>
  <c r="AC103" i="6"/>
  <c r="Y22" i="6"/>
  <c r="W94" i="6"/>
  <c r="X287" i="6"/>
  <c r="H287" i="28"/>
  <c r="I287" i="28" s="1"/>
  <c r="J287" i="46" s="1"/>
  <c r="H45" i="28"/>
  <c r="J45" i="28" s="1"/>
  <c r="M45" i="46" s="1"/>
  <c r="Y45" i="6"/>
  <c r="U20" i="6"/>
  <c r="G45" i="45"/>
  <c r="AB287" i="6"/>
  <c r="R11" i="6"/>
  <c r="H11" i="28" s="1"/>
  <c r="J11" i="28" s="1"/>
  <c r="M11" i="46" s="1"/>
  <c r="Y201" i="6"/>
  <c r="T103" i="6"/>
  <c r="AA94" i="6"/>
  <c r="R105" i="6"/>
  <c r="V105" i="6" s="1"/>
  <c r="R210" i="6"/>
  <c r="AB210" i="6" s="1"/>
  <c r="R172" i="6"/>
  <c r="G172" i="45" s="1"/>
  <c r="AC20" i="6"/>
  <c r="AG268" i="6"/>
  <c r="G287" i="45"/>
  <c r="X103" i="6"/>
  <c r="Y103" i="6"/>
  <c r="X94" i="6"/>
  <c r="R106" i="6"/>
  <c r="AB106" i="6" s="1"/>
  <c r="AC287" i="6"/>
  <c r="X45" i="6"/>
  <c r="AG45" i="6"/>
  <c r="Y20" i="6"/>
  <c r="AA20" i="6"/>
  <c r="AA103" i="6"/>
  <c r="U103" i="6"/>
  <c r="H94" i="28"/>
  <c r="J94" i="28" s="1"/>
  <c r="M94" i="46" s="1"/>
  <c r="Z45" i="6"/>
  <c r="W45" i="6"/>
  <c r="T287" i="6"/>
  <c r="W20" i="6"/>
  <c r="Z20" i="6"/>
  <c r="R202" i="6"/>
  <c r="AB202" i="6" s="1"/>
  <c r="V201" i="6"/>
  <c r="G103" i="45"/>
  <c r="W103" i="6"/>
  <c r="H274" i="28"/>
  <c r="I274" i="28" s="1"/>
  <c r="J274" i="46" s="1"/>
  <c r="T94" i="6"/>
  <c r="AC94" i="6"/>
  <c r="AA45" i="6"/>
  <c r="T20" i="6"/>
  <c r="H20" i="28"/>
  <c r="J20" i="28" s="1"/>
  <c r="M20" i="46" s="1"/>
  <c r="AB29" i="6"/>
  <c r="O179" i="28"/>
  <c r="O178" i="28"/>
  <c r="P50" i="28"/>
  <c r="I10" i="45"/>
  <c r="K262" i="39"/>
  <c r="I80" i="39"/>
  <c r="AZ155" i="7"/>
  <c r="BA130" i="7"/>
  <c r="F155" i="39"/>
  <c r="G155" i="39" s="1"/>
  <c r="BA133" i="7"/>
  <c r="BB155" i="7"/>
  <c r="R193" i="6"/>
  <c r="T193" i="6" s="1"/>
  <c r="U263" i="6"/>
  <c r="V225" i="6"/>
  <c r="AA263" i="6"/>
  <c r="R116" i="6"/>
  <c r="AB116" i="6" s="1"/>
  <c r="Y263" i="6"/>
  <c r="U50" i="6"/>
  <c r="V263" i="6"/>
  <c r="H263" i="28"/>
  <c r="T263" i="6"/>
  <c r="G263" i="45"/>
  <c r="X263" i="6"/>
  <c r="H179" i="28"/>
  <c r="I179" i="28" s="1"/>
  <c r="J179" i="46" s="1"/>
  <c r="W263" i="6"/>
  <c r="H155" i="46"/>
  <c r="H164" i="46"/>
  <c r="H192" i="46"/>
  <c r="H170" i="46"/>
  <c r="H119" i="46"/>
  <c r="H261" i="46"/>
  <c r="H11" i="46"/>
  <c r="H220" i="46"/>
  <c r="H79" i="46"/>
  <c r="H128" i="46"/>
  <c r="H69" i="46"/>
  <c r="H153" i="46"/>
  <c r="H82" i="46"/>
  <c r="H27" i="46"/>
  <c r="H22" i="46"/>
  <c r="I283" i="45"/>
  <c r="BA75" i="7"/>
  <c r="BA166" i="7"/>
  <c r="R127" i="6"/>
  <c r="G127" i="45" s="1"/>
  <c r="R160" i="6"/>
  <c r="AB160" i="6" s="1"/>
  <c r="Z256" i="6"/>
  <c r="Y255" i="6"/>
  <c r="T253" i="6"/>
  <c r="F34" i="45"/>
  <c r="R104" i="6"/>
  <c r="AB104" i="6" s="1"/>
  <c r="R100" i="6"/>
  <c r="AB100" i="6" s="1"/>
  <c r="T256" i="6"/>
  <c r="V145" i="6"/>
  <c r="W255" i="6"/>
  <c r="AA256" i="6"/>
  <c r="AC145" i="6"/>
  <c r="E275" i="28"/>
  <c r="F133" i="45"/>
  <c r="AC256" i="6"/>
  <c r="V256" i="6"/>
  <c r="T145" i="6"/>
  <c r="U256" i="6"/>
  <c r="H256" i="28"/>
  <c r="H145" i="28"/>
  <c r="J145" i="28" s="1"/>
  <c r="M145" i="46" s="1"/>
  <c r="AB256" i="6"/>
  <c r="F233" i="45"/>
  <c r="W256" i="6"/>
  <c r="X256" i="6"/>
  <c r="U145" i="6"/>
  <c r="AC255" i="6"/>
  <c r="R72" i="6"/>
  <c r="AB72" i="6" s="1"/>
  <c r="AG256" i="6"/>
  <c r="AA145" i="6"/>
  <c r="U255" i="6"/>
  <c r="Z145" i="6"/>
  <c r="G186" i="45"/>
  <c r="X145" i="6"/>
  <c r="W145" i="6"/>
  <c r="Y145" i="6"/>
  <c r="O251" i="28"/>
  <c r="P251" i="28"/>
  <c r="G196" i="52"/>
  <c r="E196" i="54" s="1"/>
  <c r="R232" i="6"/>
  <c r="AB232" i="6" s="1"/>
  <c r="X284" i="6"/>
  <c r="AB90" i="6"/>
  <c r="U90" i="6"/>
  <c r="AB189" i="6"/>
  <c r="X189" i="6"/>
  <c r="AA189" i="6"/>
  <c r="Z189" i="6"/>
  <c r="U189" i="6"/>
  <c r="Y189" i="6"/>
  <c r="T189" i="6"/>
  <c r="G189" i="45"/>
  <c r="V189" i="6"/>
  <c r="AC189" i="6"/>
  <c r="H189" i="28"/>
  <c r="I189" i="28" s="1"/>
  <c r="J189" i="46" s="1"/>
  <c r="W189" i="6"/>
  <c r="E221" i="28"/>
  <c r="H216" i="28"/>
  <c r="AA216" i="6"/>
  <c r="AA274" i="6"/>
  <c r="Y245" i="6"/>
  <c r="H123" i="28"/>
  <c r="V58" i="6"/>
  <c r="R48" i="6"/>
  <c r="H48" i="28" s="1"/>
  <c r="I48" i="28" s="1"/>
  <c r="J48" i="46" s="1"/>
  <c r="AG216" i="6"/>
  <c r="V216" i="6"/>
  <c r="C263" i="28"/>
  <c r="O263" i="28" s="1"/>
  <c r="G274" i="45"/>
  <c r="Z245" i="6"/>
  <c r="H218" i="28"/>
  <c r="X260" i="6"/>
  <c r="C283" i="28"/>
  <c r="P283" i="28" s="1"/>
  <c r="BA90" i="7"/>
  <c r="BA141" i="7"/>
  <c r="U218" i="6"/>
  <c r="C168" i="39"/>
  <c r="K168" i="39" s="1"/>
  <c r="C228" i="54"/>
  <c r="AC216" i="6"/>
  <c r="O5" i="28"/>
  <c r="O32" i="52"/>
  <c r="O177" i="28"/>
  <c r="W274" i="6"/>
  <c r="AA245" i="6"/>
  <c r="AC245" i="6"/>
  <c r="AC58" i="6"/>
  <c r="BA93" i="7"/>
  <c r="H163" i="46"/>
  <c r="AA218" i="6"/>
  <c r="K38" i="52"/>
  <c r="C237" i="28"/>
  <c r="P237" i="28" s="1"/>
  <c r="C172" i="28"/>
  <c r="P172" i="28" s="1"/>
  <c r="C83" i="28"/>
  <c r="P83" i="28" s="1"/>
  <c r="AG218" i="6"/>
  <c r="BA59" i="7"/>
  <c r="O82" i="28"/>
  <c r="G228" i="52"/>
  <c r="E228" i="54" s="1"/>
  <c r="Y216" i="6"/>
  <c r="C176" i="28"/>
  <c r="P176" i="28" s="1"/>
  <c r="C222" i="28"/>
  <c r="P222" i="28" s="1"/>
  <c r="U274" i="6"/>
  <c r="V245" i="6"/>
  <c r="T245" i="6"/>
  <c r="O192" i="52"/>
  <c r="R87" i="6"/>
  <c r="U87" i="6" s="1"/>
  <c r="Y218" i="6"/>
  <c r="I261" i="39"/>
  <c r="AC218" i="6"/>
  <c r="AB274" i="6"/>
  <c r="P135" i="28"/>
  <c r="O119" i="28"/>
  <c r="G216" i="45"/>
  <c r="H126" i="46"/>
  <c r="H224" i="46"/>
  <c r="X274" i="6"/>
  <c r="AC274" i="6"/>
  <c r="U245" i="6"/>
  <c r="W245" i="6"/>
  <c r="G68" i="52"/>
  <c r="E68" i="54" s="1"/>
  <c r="W58" i="6"/>
  <c r="H58" i="28"/>
  <c r="I58" i="28" s="1"/>
  <c r="T58" i="6"/>
  <c r="O207" i="28"/>
  <c r="C255" i="28"/>
  <c r="O255" i="28" s="1"/>
  <c r="C174" i="28"/>
  <c r="P174" i="28" s="1"/>
  <c r="C232" i="28"/>
  <c r="AG274" i="6"/>
  <c r="W216" i="6"/>
  <c r="H290" i="46"/>
  <c r="T274" i="6"/>
  <c r="Z274" i="6"/>
  <c r="H245" i="28"/>
  <c r="K141" i="52"/>
  <c r="C68" i="54"/>
  <c r="X58" i="6"/>
  <c r="Z58" i="6"/>
  <c r="C258" i="28"/>
  <c r="O258" i="28" s="1"/>
  <c r="G218" i="45"/>
  <c r="C148" i="39"/>
  <c r="I148" i="39" s="1"/>
  <c r="T218" i="6"/>
  <c r="C136" i="28"/>
  <c r="AG58" i="6"/>
  <c r="C264" i="39"/>
  <c r="I264" i="39" s="1"/>
  <c r="Z216" i="6"/>
  <c r="C248" i="28"/>
  <c r="P248" i="28" s="1"/>
  <c r="H136" i="46"/>
  <c r="V274" i="6"/>
  <c r="X245" i="6"/>
  <c r="U58" i="6"/>
  <c r="AC37" i="6"/>
  <c r="BA154" i="7"/>
  <c r="C105" i="28"/>
  <c r="O105" i="28" s="1"/>
  <c r="V218" i="6"/>
  <c r="G58" i="45"/>
  <c r="AB218" i="6"/>
  <c r="Z241" i="7"/>
  <c r="BI241" i="7" s="1"/>
  <c r="I282" i="39"/>
  <c r="AC251" i="6"/>
  <c r="O171" i="28"/>
  <c r="R118" i="6"/>
  <c r="AB118" i="6" s="1"/>
  <c r="X278" i="6"/>
  <c r="Z278" i="6"/>
  <c r="U278" i="6"/>
  <c r="H278" i="28"/>
  <c r="I278" i="28" s="1"/>
  <c r="J278" i="46" s="1"/>
  <c r="W278" i="6"/>
  <c r="Y278" i="6"/>
  <c r="AA278" i="6"/>
  <c r="V278" i="6"/>
  <c r="AC278" i="6"/>
  <c r="T278" i="6"/>
  <c r="G278" i="45"/>
  <c r="H275" i="46"/>
  <c r="U123" i="6"/>
  <c r="G236" i="45"/>
  <c r="R178" i="6"/>
  <c r="AB178" i="6" s="1"/>
  <c r="R148" i="6"/>
  <c r="AB148" i="6" s="1"/>
  <c r="H29" i="28"/>
  <c r="Y29" i="6"/>
  <c r="AG29" i="6"/>
  <c r="AG91" i="6"/>
  <c r="Z29" i="6"/>
  <c r="AA275" i="6"/>
  <c r="V275" i="6"/>
  <c r="O287" i="28"/>
  <c r="K276" i="52"/>
  <c r="V123" i="6"/>
  <c r="Y236" i="6"/>
  <c r="R59" i="6"/>
  <c r="AB59" i="6" s="1"/>
  <c r="G29" i="45"/>
  <c r="AA29" i="6"/>
  <c r="AC275" i="6"/>
  <c r="G275" i="45"/>
  <c r="Z275" i="6"/>
  <c r="O6" i="25"/>
  <c r="O99" i="28"/>
  <c r="O144" i="28"/>
  <c r="AC123" i="6"/>
  <c r="C53" i="54"/>
  <c r="AC236" i="6"/>
  <c r="I66" i="39"/>
  <c r="K126" i="52"/>
  <c r="R73" i="6"/>
  <c r="AB73" i="6" s="1"/>
  <c r="V29" i="6"/>
  <c r="U275" i="6"/>
  <c r="H175" i="46"/>
  <c r="AB275" i="6"/>
  <c r="O102" i="28"/>
  <c r="O220" i="28"/>
  <c r="O156" i="28"/>
  <c r="AA123" i="6"/>
  <c r="G53" i="52"/>
  <c r="E53" i="54" s="1"/>
  <c r="W275" i="6"/>
  <c r="U91" i="6"/>
  <c r="E203" i="28"/>
  <c r="F203" i="28" s="1"/>
  <c r="I203" i="46" s="1"/>
  <c r="T123" i="6"/>
  <c r="Y123" i="6"/>
  <c r="H137" i="46"/>
  <c r="R235" i="6"/>
  <c r="AB235" i="6" s="1"/>
  <c r="I63" i="39"/>
  <c r="X29" i="6"/>
  <c r="U29" i="6"/>
  <c r="Y275" i="6"/>
  <c r="H217" i="46"/>
  <c r="Z123" i="6"/>
  <c r="G123" i="45"/>
  <c r="H113" i="46"/>
  <c r="V150" i="6"/>
  <c r="H204" i="46"/>
  <c r="AC29" i="6"/>
  <c r="W29" i="6"/>
  <c r="AG275" i="6"/>
  <c r="O67" i="28"/>
  <c r="C98" i="54"/>
  <c r="H66" i="46"/>
  <c r="W123" i="6"/>
  <c r="X123" i="6"/>
  <c r="K66" i="52"/>
  <c r="Y150" i="6"/>
  <c r="R70" i="6"/>
  <c r="AC70" i="6" s="1"/>
  <c r="I185" i="45"/>
  <c r="I110" i="45"/>
  <c r="AB280" i="6"/>
  <c r="Y280" i="6"/>
  <c r="I256" i="45"/>
  <c r="E147" i="51"/>
  <c r="F147" i="51" s="1"/>
  <c r="P147" i="26" s="1"/>
  <c r="C42" i="54"/>
  <c r="E42" i="51"/>
  <c r="F42" i="51" s="1"/>
  <c r="P42" i="26" s="1"/>
  <c r="C157" i="54"/>
  <c r="E157" i="51"/>
  <c r="F157" i="51" s="1"/>
  <c r="P157" i="26" s="1"/>
  <c r="G113" i="51"/>
  <c r="H113" i="51" s="1"/>
  <c r="C232" i="54"/>
  <c r="E232" i="51"/>
  <c r="F232" i="51" s="1"/>
  <c r="P232" i="26" s="1"/>
  <c r="E259" i="51"/>
  <c r="F259" i="51" s="1"/>
  <c r="P259" i="26" s="1"/>
  <c r="G185" i="51"/>
  <c r="H185" i="51" s="1"/>
  <c r="W196" i="6"/>
  <c r="G106" i="51"/>
  <c r="H106" i="51" s="1"/>
  <c r="C198" i="54"/>
  <c r="E198" i="51"/>
  <c r="F198" i="51" s="1"/>
  <c r="P198" i="26" s="1"/>
  <c r="O53" i="52"/>
  <c r="I53" i="51"/>
  <c r="J53" i="51" s="1"/>
  <c r="G96" i="51"/>
  <c r="H96" i="51" s="1"/>
  <c r="G219" i="51"/>
  <c r="H219" i="51" s="1"/>
  <c r="H158" i="46"/>
  <c r="G274" i="52"/>
  <c r="E274" i="54" s="1"/>
  <c r="E274" i="51"/>
  <c r="F274" i="51" s="1"/>
  <c r="P274" i="26" s="1"/>
  <c r="R110" i="26"/>
  <c r="X110" i="26" s="1"/>
  <c r="K48" i="52"/>
  <c r="G48" i="51"/>
  <c r="H48" i="51" s="1"/>
  <c r="K251" i="39"/>
  <c r="I251" i="39"/>
  <c r="G73" i="51"/>
  <c r="H73" i="51" s="1"/>
  <c r="H17" i="46"/>
  <c r="G178" i="52"/>
  <c r="E178" i="54" s="1"/>
  <c r="E178" i="51"/>
  <c r="F178" i="51" s="1"/>
  <c r="P178" i="26" s="1"/>
  <c r="G190" i="52"/>
  <c r="E190" i="51"/>
  <c r="F190" i="51" s="1"/>
  <c r="P190" i="26" s="1"/>
  <c r="R190" i="26" s="1"/>
  <c r="X190" i="26" s="1"/>
  <c r="O57" i="52"/>
  <c r="I57" i="51"/>
  <c r="J57" i="51" s="1"/>
  <c r="G90" i="52"/>
  <c r="E90" i="54" s="1"/>
  <c r="E90" i="51"/>
  <c r="F90" i="51" s="1"/>
  <c r="P90" i="26" s="1"/>
  <c r="G94" i="51"/>
  <c r="H94" i="51" s="1"/>
  <c r="C26" i="54"/>
  <c r="E26" i="51"/>
  <c r="F26" i="51" s="1"/>
  <c r="P26" i="26" s="1"/>
  <c r="I26" i="45" s="1"/>
  <c r="O187" i="52"/>
  <c r="O50" i="52"/>
  <c r="I50" i="51"/>
  <c r="J50" i="51" s="1"/>
  <c r="E231" i="51"/>
  <c r="F231" i="51" s="1"/>
  <c r="P231" i="26" s="1"/>
  <c r="G99" i="51"/>
  <c r="H99" i="51" s="1"/>
  <c r="G148" i="52"/>
  <c r="E148" i="54" s="1"/>
  <c r="E148" i="51"/>
  <c r="F148" i="51" s="1"/>
  <c r="P148" i="26" s="1"/>
  <c r="K187" i="52"/>
  <c r="G187" i="51"/>
  <c r="H187" i="51" s="1"/>
  <c r="O106" i="52"/>
  <c r="I106" i="51"/>
  <c r="J106" i="51" s="1"/>
  <c r="O253" i="52"/>
  <c r="C106" i="54"/>
  <c r="E106" i="51"/>
  <c r="F106" i="51" s="1"/>
  <c r="P106" i="26" s="1"/>
  <c r="W132" i="6"/>
  <c r="O161" i="52"/>
  <c r="I161" i="51"/>
  <c r="J161" i="51" s="1"/>
  <c r="G192" i="51"/>
  <c r="H192" i="51" s="1"/>
  <c r="O73" i="52"/>
  <c r="I73" i="51"/>
  <c r="J73" i="51" s="1"/>
  <c r="O62" i="52"/>
  <c r="I62" i="51"/>
  <c r="J62" i="51" s="1"/>
  <c r="G115" i="52"/>
  <c r="E115" i="54" s="1"/>
  <c r="E115" i="51"/>
  <c r="F115" i="51" s="1"/>
  <c r="P115" i="26" s="1"/>
  <c r="E140" i="51"/>
  <c r="F140" i="51" s="1"/>
  <c r="P140" i="26" s="1"/>
  <c r="AC291" i="6"/>
  <c r="E154" i="51"/>
  <c r="F154" i="51" s="1"/>
  <c r="P154" i="26" s="1"/>
  <c r="U132" i="6"/>
  <c r="C235" i="54"/>
  <c r="E235" i="51"/>
  <c r="F235" i="51" s="1"/>
  <c r="P235" i="26" s="1"/>
  <c r="K43" i="52"/>
  <c r="G43" i="51"/>
  <c r="H43" i="51" s="1"/>
  <c r="C11" i="54"/>
  <c r="E11" i="51"/>
  <c r="F11" i="51" s="1"/>
  <c r="P11" i="26" s="1"/>
  <c r="I11" i="45" s="1"/>
  <c r="G62" i="51"/>
  <c r="H62" i="51" s="1"/>
  <c r="G291" i="45"/>
  <c r="O65" i="52"/>
  <c r="K253" i="52"/>
  <c r="G253" i="51"/>
  <c r="H253" i="51" s="1"/>
  <c r="C224" i="54"/>
  <c r="E224" i="51"/>
  <c r="F224" i="51" s="1"/>
  <c r="P224" i="26" s="1"/>
  <c r="G32" i="51"/>
  <c r="H32" i="51" s="1"/>
  <c r="G91" i="51"/>
  <c r="H91" i="51" s="1"/>
  <c r="O98" i="52"/>
  <c r="I98" i="51"/>
  <c r="J98" i="51" s="1"/>
  <c r="G237" i="51"/>
  <c r="H237" i="51" s="1"/>
  <c r="G57" i="51"/>
  <c r="H57" i="51" s="1"/>
  <c r="G246" i="51"/>
  <c r="H246" i="51" s="1"/>
  <c r="E262" i="51"/>
  <c r="F262" i="51" s="1"/>
  <c r="P262" i="26" s="1"/>
  <c r="O6" i="26"/>
  <c r="E6" i="28" s="1"/>
  <c r="F122" i="45"/>
  <c r="F221" i="45"/>
  <c r="F101" i="45"/>
  <c r="E144" i="28"/>
  <c r="F144" i="28" s="1"/>
  <c r="I144" i="46" s="1"/>
  <c r="F206" i="45"/>
  <c r="E206" i="28"/>
  <c r="F286" i="45"/>
  <c r="F166" i="45"/>
  <c r="I260" i="39"/>
  <c r="H211" i="46"/>
  <c r="F172" i="45"/>
  <c r="F22" i="45"/>
  <c r="O40" i="52"/>
  <c r="G262" i="52"/>
  <c r="E262" i="54" s="1"/>
  <c r="C262" i="54"/>
  <c r="K96" i="52"/>
  <c r="C147" i="54"/>
  <c r="G147" i="52"/>
  <c r="E147" i="54" s="1"/>
  <c r="G140" i="52"/>
  <c r="E140" i="54" s="1"/>
  <c r="C140" i="54"/>
  <c r="G259" i="52"/>
  <c r="E259" i="54" s="1"/>
  <c r="C259" i="54"/>
  <c r="I291" i="45"/>
  <c r="O222" i="52"/>
  <c r="G224" i="52"/>
  <c r="E224" i="54" s="1"/>
  <c r="K192" i="52"/>
  <c r="K91" i="52"/>
  <c r="K94" i="52"/>
  <c r="K62" i="52"/>
  <c r="K32" i="52"/>
  <c r="AA120" i="6"/>
  <c r="Y120" i="6"/>
  <c r="H109" i="46"/>
  <c r="AB103" i="6"/>
  <c r="U140" i="6"/>
  <c r="G140" i="45"/>
  <c r="Z179" i="6"/>
  <c r="AA99" i="6"/>
  <c r="Y89" i="6"/>
  <c r="H150" i="28"/>
  <c r="AB124" i="6"/>
  <c r="H140" i="28"/>
  <c r="J140" i="28" s="1"/>
  <c r="M140" i="46" s="1"/>
  <c r="G179" i="45"/>
  <c r="G99" i="45"/>
  <c r="AC150" i="6"/>
  <c r="AC89" i="6"/>
  <c r="V124" i="6"/>
  <c r="AC140" i="6"/>
  <c r="AC179" i="6"/>
  <c r="V53" i="6"/>
  <c r="G89" i="45"/>
  <c r="T150" i="6"/>
  <c r="AG89" i="6"/>
  <c r="U89" i="6"/>
  <c r="AA84" i="6"/>
  <c r="AA140" i="6"/>
  <c r="X179" i="6"/>
  <c r="AA179" i="6"/>
  <c r="W89" i="6"/>
  <c r="H89" i="28"/>
  <c r="AA150" i="6"/>
  <c r="T140" i="6"/>
  <c r="U179" i="6"/>
  <c r="Y179" i="6"/>
  <c r="X89" i="6"/>
  <c r="Z89" i="6"/>
  <c r="T89" i="6"/>
  <c r="G150" i="45"/>
  <c r="W140" i="6"/>
  <c r="V179" i="6"/>
  <c r="T179" i="6"/>
  <c r="AA89" i="6"/>
  <c r="V89" i="6"/>
  <c r="AG150" i="6"/>
  <c r="X150" i="6"/>
  <c r="Z140" i="6"/>
  <c r="V140" i="6"/>
  <c r="W179" i="6"/>
  <c r="W71" i="6"/>
  <c r="W150" i="6"/>
  <c r="U150" i="6"/>
  <c r="Z150" i="6"/>
  <c r="R125" i="6"/>
  <c r="W125" i="6" s="1"/>
  <c r="Y43" i="6"/>
  <c r="G43" i="45"/>
  <c r="AC43" i="6"/>
  <c r="H253" i="46"/>
  <c r="O34" i="52"/>
  <c r="AB242" i="6"/>
  <c r="W242" i="6"/>
  <c r="H242" i="28"/>
  <c r="H124" i="28"/>
  <c r="I288" i="39"/>
  <c r="X63" i="6"/>
  <c r="C217" i="28"/>
  <c r="P217" i="28" s="1"/>
  <c r="AC231" i="6"/>
  <c r="T71" i="6"/>
  <c r="X43" i="6"/>
  <c r="T43" i="6"/>
  <c r="H97" i="46"/>
  <c r="O63" i="28"/>
  <c r="R9" i="6"/>
  <c r="AC9" i="6" s="1"/>
  <c r="T53" i="6"/>
  <c r="Y53" i="6"/>
  <c r="C205" i="28"/>
  <c r="P205" i="28" s="1"/>
  <c r="Z132" i="6"/>
  <c r="Z99" i="6"/>
  <c r="H99" i="28"/>
  <c r="J99" i="28" s="1"/>
  <c r="M99" i="46" s="1"/>
  <c r="Y108" i="6"/>
  <c r="O251" i="52"/>
  <c r="AG124" i="6"/>
  <c r="C104" i="28"/>
  <c r="O183" i="28"/>
  <c r="C212" i="28"/>
  <c r="O212" i="28" s="1"/>
  <c r="AA124" i="6"/>
  <c r="C197" i="28"/>
  <c r="O197" i="28" s="1"/>
  <c r="Z63" i="6"/>
  <c r="H182" i="46"/>
  <c r="G231" i="45"/>
  <c r="V71" i="6"/>
  <c r="Z43" i="6"/>
  <c r="AA43" i="6"/>
  <c r="W53" i="6"/>
  <c r="AA53" i="6"/>
  <c r="H132" i="28"/>
  <c r="V99" i="6"/>
  <c r="Y99" i="6"/>
  <c r="Z108" i="6"/>
  <c r="C225" i="28"/>
  <c r="P225" i="28" s="1"/>
  <c r="Y124" i="6"/>
  <c r="U231" i="6"/>
  <c r="AA71" i="6"/>
  <c r="X53" i="6"/>
  <c r="H53" i="28"/>
  <c r="X99" i="6"/>
  <c r="T108" i="6"/>
  <c r="BA186" i="7"/>
  <c r="C103" i="28"/>
  <c r="AA63" i="6"/>
  <c r="C228" i="28"/>
  <c r="P228" i="28" s="1"/>
  <c r="T124" i="6"/>
  <c r="I56" i="45"/>
  <c r="W231" i="6"/>
  <c r="Z71" i="6"/>
  <c r="H71" i="28"/>
  <c r="J71" i="28" s="1"/>
  <c r="M71" i="46" s="1"/>
  <c r="H43" i="28"/>
  <c r="I43" i="28" s="1"/>
  <c r="J43" i="46" s="1"/>
  <c r="C226" i="28"/>
  <c r="P226" i="28" s="1"/>
  <c r="Z53" i="6"/>
  <c r="Y132" i="6"/>
  <c r="AC99" i="6"/>
  <c r="H108" i="28"/>
  <c r="I108" i="28" s="1"/>
  <c r="J108" i="46" s="1"/>
  <c r="C224" i="28"/>
  <c r="C223" i="28"/>
  <c r="P223" i="28" s="1"/>
  <c r="O10" i="28"/>
  <c r="AC124" i="6"/>
  <c r="U124" i="6"/>
  <c r="O87" i="28"/>
  <c r="H185" i="46"/>
  <c r="H74" i="46"/>
  <c r="X231" i="6"/>
  <c r="X71" i="6"/>
  <c r="AC71" i="6"/>
  <c r="V285" i="6"/>
  <c r="W43" i="6"/>
  <c r="O99" i="52"/>
  <c r="G53" i="45"/>
  <c r="H25" i="28"/>
  <c r="J25" i="28" s="1"/>
  <c r="M25" i="46" s="1"/>
  <c r="AC132" i="6"/>
  <c r="W99" i="6"/>
  <c r="AC108" i="6"/>
  <c r="C249" i="28"/>
  <c r="P249" i="28" s="1"/>
  <c r="R173" i="6"/>
  <c r="AB173" i="6" s="1"/>
  <c r="C216" i="28"/>
  <c r="C178" i="54"/>
  <c r="G198" i="52"/>
  <c r="E198" i="54" s="1"/>
  <c r="O137" i="28"/>
  <c r="F160" i="45"/>
  <c r="W124" i="6"/>
  <c r="G124" i="45"/>
  <c r="C290" i="28"/>
  <c r="P290" i="28" s="1"/>
  <c r="O101" i="28"/>
  <c r="T231" i="6"/>
  <c r="G71" i="45"/>
  <c r="U71" i="6"/>
  <c r="G285" i="45"/>
  <c r="U43" i="6"/>
  <c r="AC53" i="6"/>
  <c r="AA132" i="6"/>
  <c r="U99" i="6"/>
  <c r="H152" i="46"/>
  <c r="C11" i="39"/>
  <c r="K11" i="39" s="1"/>
  <c r="X124" i="6"/>
  <c r="Y231" i="6"/>
  <c r="Y71" i="6"/>
  <c r="V43" i="6"/>
  <c r="C275" i="28"/>
  <c r="J275" i="28" s="1"/>
  <c r="M275" i="46" s="1"/>
  <c r="U53" i="6"/>
  <c r="T99" i="6"/>
  <c r="C9" i="28"/>
  <c r="K131" i="39"/>
  <c r="I131" i="39"/>
  <c r="U151" i="6"/>
  <c r="H151" i="28"/>
  <c r="J151" i="28" s="1"/>
  <c r="M151" i="46" s="1"/>
  <c r="R131" i="6"/>
  <c r="AB131" i="6" s="1"/>
  <c r="T132" i="6"/>
  <c r="X289" i="6"/>
  <c r="V132" i="6"/>
  <c r="Y289" i="6"/>
  <c r="G280" i="45"/>
  <c r="I217" i="39"/>
  <c r="K217" i="39"/>
  <c r="Z280" i="6"/>
  <c r="AC280" i="6"/>
  <c r="I202" i="39"/>
  <c r="U289" i="6"/>
  <c r="AG280" i="6"/>
  <c r="V289" i="6"/>
  <c r="C132" i="28"/>
  <c r="AB108" i="6"/>
  <c r="R15" i="6"/>
  <c r="AG15" i="6" s="1"/>
  <c r="T249" i="6"/>
  <c r="AA249" i="6"/>
  <c r="Y249" i="6"/>
  <c r="W249" i="6"/>
  <c r="AC249" i="6"/>
  <c r="V249" i="6"/>
  <c r="AA164" i="6"/>
  <c r="U164" i="6"/>
  <c r="H164" i="28"/>
  <c r="J164" i="28" s="1"/>
  <c r="M164" i="46" s="1"/>
  <c r="K127" i="39"/>
  <c r="I127" i="39"/>
  <c r="I110" i="39"/>
  <c r="H227" i="46"/>
  <c r="I253" i="39"/>
  <c r="K112" i="39"/>
  <c r="I112" i="39"/>
  <c r="I99" i="39"/>
  <c r="K99" i="39"/>
  <c r="V231" i="6"/>
  <c r="Z231" i="6"/>
  <c r="H32" i="46"/>
  <c r="X132" i="6"/>
  <c r="T251" i="6"/>
  <c r="K254" i="39"/>
  <c r="I254" i="39"/>
  <c r="H231" i="28"/>
  <c r="I231" i="28" s="1"/>
  <c r="J231" i="46" s="1"/>
  <c r="AA231" i="6"/>
  <c r="G132" i="45"/>
  <c r="W251" i="6"/>
  <c r="O154" i="28"/>
  <c r="Z239" i="6"/>
  <c r="K106" i="39"/>
  <c r="I106" i="39"/>
  <c r="AA239" i="6"/>
  <c r="H15" i="46"/>
  <c r="H241" i="87"/>
  <c r="C241" i="87" s="1"/>
  <c r="AU246" i="7"/>
  <c r="F186" i="39"/>
  <c r="G186" i="39" s="1"/>
  <c r="AX246" i="7"/>
  <c r="AY51" i="7"/>
  <c r="AW246" i="7"/>
  <c r="AV246" i="7"/>
  <c r="AZ59" i="7"/>
  <c r="AY59" i="7"/>
  <c r="BB59" i="7"/>
  <c r="BJ246" i="7"/>
  <c r="BI246" i="7"/>
  <c r="BH246" i="7"/>
  <c r="BG246" i="7"/>
  <c r="BF246" i="7"/>
  <c r="BE246" i="7"/>
  <c r="BD246" i="7"/>
  <c r="BC246" i="7"/>
  <c r="BJ279" i="7"/>
  <c r="BI279" i="7"/>
  <c r="BH279" i="7"/>
  <c r="BG279" i="7"/>
  <c r="BF279" i="7"/>
  <c r="BE279" i="7"/>
  <c r="BD279" i="7"/>
  <c r="BC279" i="7"/>
  <c r="AY186" i="7"/>
  <c r="BG10" i="7"/>
  <c r="BF10" i="7"/>
  <c r="BE10" i="7"/>
  <c r="BJ10" i="7"/>
  <c r="BD10" i="7"/>
  <c r="BC10" i="7"/>
  <c r="BH10" i="7"/>
  <c r="BI10" i="7"/>
  <c r="BI191" i="7"/>
  <c r="BH191" i="7"/>
  <c r="BG191" i="7"/>
  <c r="BF191" i="7"/>
  <c r="BE191" i="7"/>
  <c r="BD191" i="7"/>
  <c r="BJ191" i="7"/>
  <c r="BC191" i="7"/>
  <c r="AZ186" i="7"/>
  <c r="BB186" i="7"/>
  <c r="BI133" i="7"/>
  <c r="AZ141" i="7"/>
  <c r="BB141" i="7"/>
  <c r="F141" i="39"/>
  <c r="G141" i="39" s="1"/>
  <c r="AY141" i="7"/>
  <c r="F51" i="39"/>
  <c r="G51" i="39" s="1"/>
  <c r="O71" i="28"/>
  <c r="O126" i="28"/>
  <c r="O167" i="28"/>
  <c r="I167" i="28"/>
  <c r="J167" i="46" s="1"/>
  <c r="O58" i="28"/>
  <c r="O113" i="28"/>
  <c r="O233" i="28"/>
  <c r="E25" i="28"/>
  <c r="G25" i="28" s="1"/>
  <c r="L25" i="46" s="1"/>
  <c r="I252" i="45"/>
  <c r="R33" i="26"/>
  <c r="X33" i="26" s="1"/>
  <c r="K246" i="52"/>
  <c r="K57" i="52"/>
  <c r="O232" i="52"/>
  <c r="C274" i="54"/>
  <c r="C148" i="54"/>
  <c r="C231" i="54"/>
  <c r="I289" i="45"/>
  <c r="G231" i="52"/>
  <c r="E231" i="54" s="1"/>
  <c r="G157" i="52"/>
  <c r="E157" i="54" s="1"/>
  <c r="O219" i="52"/>
  <c r="Z119" i="7"/>
  <c r="AZ133" i="7"/>
  <c r="R246" i="26"/>
  <c r="X246" i="26" s="1"/>
  <c r="G232" i="52"/>
  <c r="E232" i="54" s="1"/>
  <c r="AY133" i="7"/>
  <c r="Z90" i="7"/>
  <c r="F90" i="87" s="1"/>
  <c r="BB133" i="7"/>
  <c r="F133" i="39"/>
  <c r="G133" i="39" s="1"/>
  <c r="E279" i="28"/>
  <c r="G279" i="28" s="1"/>
  <c r="L279" i="46" s="1"/>
  <c r="W199" i="6"/>
  <c r="W244" i="6"/>
  <c r="H120" i="28"/>
  <c r="I120" i="28" s="1"/>
  <c r="J120" i="46" s="1"/>
  <c r="V28" i="6"/>
  <c r="Y192" i="6"/>
  <c r="Z47" i="6"/>
  <c r="AB255" i="6"/>
  <c r="Z217" i="6"/>
  <c r="V84" i="6"/>
  <c r="X244" i="6"/>
  <c r="AC244" i="6"/>
  <c r="X120" i="6"/>
  <c r="W120" i="6"/>
  <c r="R169" i="6"/>
  <c r="AB169" i="6" s="1"/>
  <c r="W28" i="6"/>
  <c r="T91" i="6"/>
  <c r="W91" i="6"/>
  <c r="AB91" i="6"/>
  <c r="Z91" i="6"/>
  <c r="Y196" i="6"/>
  <c r="F288" i="45"/>
  <c r="G84" i="45"/>
  <c r="Z244" i="6"/>
  <c r="V244" i="6"/>
  <c r="Z120" i="6"/>
  <c r="G120" i="45"/>
  <c r="V112" i="6"/>
  <c r="X135" i="6"/>
  <c r="Y28" i="6"/>
  <c r="X28" i="6"/>
  <c r="AC90" i="6"/>
  <c r="V91" i="6"/>
  <c r="AC91" i="6"/>
  <c r="H196" i="28"/>
  <c r="J196" i="28" s="1"/>
  <c r="M196" i="46" s="1"/>
  <c r="U244" i="6"/>
  <c r="V120" i="6"/>
  <c r="G112" i="45"/>
  <c r="G135" i="45"/>
  <c r="H28" i="28"/>
  <c r="J28" i="28" s="1"/>
  <c r="M28" i="46" s="1"/>
  <c r="T28" i="6"/>
  <c r="X90" i="6"/>
  <c r="AA91" i="6"/>
  <c r="T244" i="6"/>
  <c r="U120" i="6"/>
  <c r="AA112" i="6"/>
  <c r="U28" i="6"/>
  <c r="AA28" i="6"/>
  <c r="X91" i="6"/>
  <c r="Y91" i="6"/>
  <c r="H91" i="28"/>
  <c r="AA244" i="6"/>
  <c r="AC120" i="6"/>
  <c r="G28" i="45"/>
  <c r="T192" i="6"/>
  <c r="Y244" i="6"/>
  <c r="T120" i="6"/>
  <c r="AC28" i="6"/>
  <c r="AA192" i="6"/>
  <c r="AB4" i="6"/>
  <c r="R208" i="6"/>
  <c r="AB208" i="6" s="1"/>
  <c r="H6" i="46"/>
  <c r="I159" i="39"/>
  <c r="P65" i="28"/>
  <c r="O65" i="28"/>
  <c r="AA196" i="6"/>
  <c r="X255" i="6"/>
  <c r="AA255" i="6"/>
  <c r="AB179" i="6"/>
  <c r="AG255" i="6"/>
  <c r="F176" i="45"/>
  <c r="U196" i="6"/>
  <c r="F257" i="45"/>
  <c r="V255" i="6"/>
  <c r="H255" i="28"/>
  <c r="R279" i="26"/>
  <c r="X279" i="26" s="1"/>
  <c r="G196" i="45"/>
  <c r="T255" i="6"/>
  <c r="G284" i="45"/>
  <c r="K73" i="52"/>
  <c r="X196" i="6"/>
  <c r="V196" i="6"/>
  <c r="T196" i="6"/>
  <c r="AC196" i="6"/>
  <c r="R76" i="6"/>
  <c r="AB76" i="6" s="1"/>
  <c r="AA22" i="6"/>
  <c r="G242" i="45"/>
  <c r="W50" i="6"/>
  <c r="AG163" i="6"/>
  <c r="Z196" i="6"/>
  <c r="Y50" i="6"/>
  <c r="R252" i="26"/>
  <c r="X252" i="26" s="1"/>
  <c r="AC163" i="6"/>
  <c r="K199" i="39"/>
  <c r="I199" i="39"/>
  <c r="C4" i="28"/>
  <c r="K165" i="39"/>
  <c r="I165" i="39"/>
  <c r="I194" i="39"/>
  <c r="K194" i="39"/>
  <c r="K225" i="39"/>
  <c r="I225" i="39"/>
  <c r="I285" i="39"/>
  <c r="R38" i="6"/>
  <c r="AB38" i="6" s="1"/>
  <c r="I176" i="39"/>
  <c r="K176" i="39"/>
  <c r="K119" i="39"/>
  <c r="I119" i="39"/>
  <c r="K192" i="39"/>
  <c r="I192" i="39"/>
  <c r="I220" i="39"/>
  <c r="K220" i="39"/>
  <c r="K218" i="39"/>
  <c r="I218" i="39"/>
  <c r="K215" i="39"/>
  <c r="I215" i="39"/>
  <c r="I183" i="39"/>
  <c r="K183" i="39"/>
  <c r="K173" i="39"/>
  <c r="I173" i="39"/>
  <c r="K121" i="39"/>
  <c r="I121" i="39"/>
  <c r="K133" i="39"/>
  <c r="I133" i="39"/>
  <c r="K154" i="39"/>
  <c r="I154" i="39"/>
  <c r="K181" i="39"/>
  <c r="I181" i="39"/>
  <c r="K228" i="39"/>
  <c r="I228" i="39"/>
  <c r="I143" i="39"/>
  <c r="K193" i="39"/>
  <c r="I193" i="39"/>
  <c r="K250" i="39"/>
  <c r="I250" i="39"/>
  <c r="K195" i="39"/>
  <c r="I195" i="39"/>
  <c r="O112" i="28"/>
  <c r="P112" i="28"/>
  <c r="K278" i="39"/>
  <c r="I278" i="39"/>
  <c r="K157" i="39"/>
  <c r="I157" i="39"/>
  <c r="K276" i="39"/>
  <c r="I276" i="39"/>
  <c r="I73" i="39"/>
  <c r="H225" i="46"/>
  <c r="AG189" i="6"/>
  <c r="U280" i="6"/>
  <c r="Z102" i="6"/>
  <c r="X102" i="6"/>
  <c r="AC102" i="6"/>
  <c r="T289" i="6"/>
  <c r="AC192" i="6"/>
  <c r="G249" i="45"/>
  <c r="H280" i="28"/>
  <c r="I280" i="28" s="1"/>
  <c r="J280" i="46" s="1"/>
  <c r="G163" i="45"/>
  <c r="T280" i="6"/>
  <c r="I125" i="45"/>
  <c r="U249" i="6"/>
  <c r="W280" i="6"/>
  <c r="AA280" i="6"/>
  <c r="AG53" i="6"/>
  <c r="Z249" i="6"/>
  <c r="X280" i="6"/>
  <c r="V280" i="6"/>
  <c r="U163" i="6"/>
  <c r="AG132" i="6"/>
  <c r="T163" i="6"/>
  <c r="AB123" i="6"/>
  <c r="E88" i="28"/>
  <c r="F88" i="28" s="1"/>
  <c r="I88" i="46" s="1"/>
  <c r="F88" i="45"/>
  <c r="R88" i="26"/>
  <c r="X88" i="26" s="1"/>
  <c r="F115" i="45"/>
  <c r="R34" i="26"/>
  <c r="X34" i="26" s="1"/>
  <c r="R252" i="6"/>
  <c r="AB252" i="6" s="1"/>
  <c r="H10" i="87"/>
  <c r="C10" i="87" s="1"/>
  <c r="O144" i="52"/>
  <c r="A153" i="52"/>
  <c r="A153" i="50"/>
  <c r="A153" i="6"/>
  <c r="A153" i="28"/>
  <c r="A153" i="33"/>
  <c r="A153" i="39"/>
  <c r="A153" i="23"/>
  <c r="A153" i="26"/>
  <c r="A153" i="51"/>
  <c r="A153" i="21"/>
  <c r="A153" i="7"/>
  <c r="A153" i="25"/>
  <c r="A153" i="54"/>
  <c r="A153" i="15"/>
  <c r="H98" i="87"/>
  <c r="C98" i="87" s="1"/>
  <c r="H88" i="87"/>
  <c r="C88" i="87" s="1"/>
  <c r="Z88" i="7"/>
  <c r="H166" i="87"/>
  <c r="C166" i="87" s="1"/>
  <c r="H86" i="87"/>
  <c r="C86" i="87" s="1"/>
  <c r="H93" i="87"/>
  <c r="C93" i="87" s="1"/>
  <c r="H125" i="87"/>
  <c r="C125" i="87" s="1"/>
  <c r="Z125" i="7"/>
  <c r="H141" i="87"/>
  <c r="H20" i="87"/>
  <c r="C20" i="87" s="1"/>
  <c r="Z20" i="7"/>
  <c r="H242" i="87"/>
  <c r="C242" i="87" s="1"/>
  <c r="BA288" i="7"/>
  <c r="H47" i="87"/>
  <c r="C47" i="87" s="1"/>
  <c r="Z47" i="7"/>
  <c r="H76" i="87"/>
  <c r="C76" i="87" s="1"/>
  <c r="O10" i="46"/>
  <c r="F10" i="87"/>
  <c r="H56" i="87"/>
  <c r="Z11" i="7"/>
  <c r="H11" i="87"/>
  <c r="C11" i="87" s="1"/>
  <c r="H62" i="87"/>
  <c r="H243" i="87"/>
  <c r="C243" i="87" s="1"/>
  <c r="Z243" i="7"/>
  <c r="H75" i="87"/>
  <c r="BA191" i="7"/>
  <c r="H59" i="87"/>
  <c r="H67" i="87"/>
  <c r="H148" i="87"/>
  <c r="C148" i="87" s="1"/>
  <c r="Z148" i="7"/>
  <c r="H200" i="87"/>
  <c r="C200" i="87" s="1"/>
  <c r="H57" i="87"/>
  <c r="C57" i="87" s="1"/>
  <c r="H272" i="87"/>
  <c r="C272" i="87" s="1"/>
  <c r="Z272" i="7"/>
  <c r="H74" i="87"/>
  <c r="H176" i="87"/>
  <c r="C176" i="87" s="1"/>
  <c r="Z176" i="7"/>
  <c r="H104" i="87"/>
  <c r="C104" i="87" s="1"/>
  <c r="Z104" i="7"/>
  <c r="F19" i="39"/>
  <c r="G19" i="39" s="1"/>
  <c r="H68" i="87"/>
  <c r="C68" i="87" s="1"/>
  <c r="F133" i="87"/>
  <c r="H19" i="87"/>
  <c r="C19" i="87" s="1"/>
  <c r="Z19" i="7"/>
  <c r="H190" i="87"/>
  <c r="C190" i="87" s="1"/>
  <c r="BA10" i="7"/>
  <c r="BA20" i="7"/>
  <c r="O279" i="46"/>
  <c r="F279" i="87"/>
  <c r="O191" i="46"/>
  <c r="F191" i="87"/>
  <c r="H51" i="87"/>
  <c r="C51" i="87" s="1"/>
  <c r="Z51" i="7"/>
  <c r="H28" i="87"/>
  <c r="H137" i="87"/>
  <c r="C137" i="87" s="1"/>
  <c r="Z137" i="7"/>
  <c r="BA92" i="7"/>
  <c r="H244" i="87"/>
  <c r="C244" i="87" s="1"/>
  <c r="BA244" i="7"/>
  <c r="H207" i="87"/>
  <c r="C207" i="87" s="1"/>
  <c r="Z207" i="7"/>
  <c r="H250" i="87"/>
  <c r="C250" i="87" s="1"/>
  <c r="Z250" i="7"/>
  <c r="BB205" i="7"/>
  <c r="H193" i="87"/>
  <c r="C193" i="87" s="1"/>
  <c r="Z193" i="7"/>
  <c r="H186" i="87"/>
  <c r="C186" i="87" s="1"/>
  <c r="H54" i="87"/>
  <c r="C54" i="87" s="1"/>
  <c r="H288" i="87"/>
  <c r="C288" i="87" s="1"/>
  <c r="H48" i="87"/>
  <c r="C48" i="87" s="1"/>
  <c r="H252" i="87"/>
  <c r="C252" i="87" s="1"/>
  <c r="Z252" i="7"/>
  <c r="H72" i="87"/>
  <c r="H205" i="87"/>
  <c r="C205" i="87" s="1"/>
  <c r="Z205" i="7"/>
  <c r="H169" i="87"/>
  <c r="C169" i="87" s="1"/>
  <c r="H102" i="87"/>
  <c r="C102" i="87" s="1"/>
  <c r="H219" i="87"/>
  <c r="C219" i="87" s="1"/>
  <c r="H92" i="87"/>
  <c r="C92" i="87" s="1"/>
  <c r="H203" i="87"/>
  <c r="C203" i="87" s="1"/>
  <c r="H283" i="87"/>
  <c r="C283" i="87" s="1"/>
  <c r="F246" i="87"/>
  <c r="O246" i="46"/>
  <c r="AY205" i="7"/>
  <c r="AZ205" i="7"/>
  <c r="F205" i="39"/>
  <c r="G205" i="39" s="1"/>
  <c r="AX90" i="7"/>
  <c r="AU90" i="7"/>
  <c r="AV90" i="7"/>
  <c r="AW90" i="7"/>
  <c r="AU10" i="7"/>
  <c r="D136" i="39"/>
  <c r="E136" i="39" s="1"/>
  <c r="AV241" i="7"/>
  <c r="AL62" i="46"/>
  <c r="AH62" i="46"/>
  <c r="H260" i="46"/>
  <c r="AJ62" i="46"/>
  <c r="AI62" i="46"/>
  <c r="H151" i="46"/>
  <c r="AG62" i="46"/>
  <c r="H167" i="46"/>
  <c r="W35" i="6"/>
  <c r="G35" i="45"/>
  <c r="U35" i="6"/>
  <c r="Z35" i="6"/>
  <c r="X35" i="6"/>
  <c r="Y35" i="6"/>
  <c r="H35" i="28"/>
  <c r="J35" i="28" s="1"/>
  <c r="M35" i="46" s="1"/>
  <c r="AC35" i="6"/>
  <c r="AA35" i="6"/>
  <c r="AG35" i="6"/>
  <c r="V35" i="6"/>
  <c r="AB35" i="6"/>
  <c r="T35" i="6"/>
  <c r="R160" i="26"/>
  <c r="X160" i="26" s="1"/>
  <c r="R286" i="26"/>
  <c r="X286" i="26" s="1"/>
  <c r="E103" i="28"/>
  <c r="F151" i="45"/>
  <c r="E287" i="28"/>
  <c r="G287" i="28" s="1"/>
  <c r="L287" i="46" s="1"/>
  <c r="R288" i="26"/>
  <c r="X288" i="26" s="1"/>
  <c r="E90" i="28"/>
  <c r="G90" i="28" s="1"/>
  <c r="L90" i="46" s="1"/>
  <c r="E127" i="28"/>
  <c r="G127" i="28" s="1"/>
  <c r="L127" i="46" s="1"/>
  <c r="E89" i="28"/>
  <c r="E173" i="28"/>
  <c r="G173" i="28" s="1"/>
  <c r="L173" i="46" s="1"/>
  <c r="AG120" i="6"/>
  <c r="R173" i="26"/>
  <c r="X173" i="26" s="1"/>
  <c r="R257" i="26"/>
  <c r="X257" i="26" s="1"/>
  <c r="F179" i="45"/>
  <c r="R172" i="26"/>
  <c r="X172" i="26" s="1"/>
  <c r="F41" i="45"/>
  <c r="E15" i="28"/>
  <c r="F15" i="28" s="1"/>
  <c r="I15" i="46" s="1"/>
  <c r="H25" i="46"/>
  <c r="F48" i="45"/>
  <c r="H106" i="46"/>
  <c r="E18" i="28"/>
  <c r="G18" i="28" s="1"/>
  <c r="L18" i="46" s="1"/>
  <c r="E99" i="28"/>
  <c r="G99" i="28" s="1"/>
  <c r="L99" i="46" s="1"/>
  <c r="E50" i="28"/>
  <c r="F50" i="28" s="1"/>
  <c r="I50" i="46" s="1"/>
  <c r="E239" i="28"/>
  <c r="G239" i="28" s="1"/>
  <c r="L239" i="46" s="1"/>
  <c r="E228" i="28"/>
  <c r="E258" i="28"/>
  <c r="F164" i="45"/>
  <c r="E32" i="28"/>
  <c r="G32" i="28" s="1"/>
  <c r="L32" i="46" s="1"/>
  <c r="R221" i="26"/>
  <c r="X221" i="26" s="1"/>
  <c r="R176" i="26"/>
  <c r="X176" i="26" s="1"/>
  <c r="F205" i="45"/>
  <c r="R238" i="26"/>
  <c r="X238" i="26" s="1"/>
  <c r="E291" i="28"/>
  <c r="E5" i="28"/>
  <c r="G5" i="28" s="1"/>
  <c r="L5" i="46" s="1"/>
  <c r="E60" i="28"/>
  <c r="F60" i="28" s="1"/>
  <c r="I60" i="46" s="1"/>
  <c r="R10" i="26"/>
  <c r="X10" i="26" s="1"/>
  <c r="E274" i="28"/>
  <c r="G274" i="28" s="1"/>
  <c r="L274" i="46" s="1"/>
  <c r="F188" i="45"/>
  <c r="F214" i="45"/>
  <c r="R289" i="26"/>
  <c r="X289" i="26" s="1"/>
  <c r="E219" i="28"/>
  <c r="E207" i="28"/>
  <c r="F207" i="28" s="1"/>
  <c r="I207" i="46" s="1"/>
  <c r="F236" i="45"/>
  <c r="F130" i="45"/>
  <c r="F98" i="45"/>
  <c r="E174" i="28"/>
  <c r="F110" i="45"/>
  <c r="E114" i="28"/>
  <c r="G114" i="28" s="1"/>
  <c r="L114" i="46" s="1"/>
  <c r="E196" i="28"/>
  <c r="F270" i="45"/>
  <c r="E4" i="28"/>
  <c r="R137" i="26"/>
  <c r="X137" i="26" s="1"/>
  <c r="E165" i="28"/>
  <c r="G165" i="28" s="1"/>
  <c r="L165" i="46" s="1"/>
  <c r="R144" i="26"/>
  <c r="X144" i="26" s="1"/>
  <c r="E140" i="28"/>
  <c r="R17" i="26"/>
  <c r="X17" i="26" s="1"/>
  <c r="F105" i="45"/>
  <c r="E109" i="28"/>
  <c r="G109" i="28" s="1"/>
  <c r="L109" i="46" s="1"/>
  <c r="E72" i="28"/>
  <c r="G72" i="28" s="1"/>
  <c r="L72" i="46" s="1"/>
  <c r="F106" i="45"/>
  <c r="H162" i="46"/>
  <c r="F182" i="45"/>
  <c r="E251" i="28"/>
  <c r="F251" i="28" s="1"/>
  <c r="I251" i="46" s="1"/>
  <c r="H289" i="46"/>
  <c r="F250" i="45"/>
  <c r="F67" i="45"/>
  <c r="E87" i="28"/>
  <c r="F87" i="28" s="1"/>
  <c r="I87" i="46" s="1"/>
  <c r="F85" i="45"/>
  <c r="F181" i="45"/>
  <c r="F111" i="45"/>
  <c r="R183" i="26"/>
  <c r="X183" i="26" s="1"/>
  <c r="E163" i="28"/>
  <c r="E125" i="28"/>
  <c r="F125" i="28" s="1"/>
  <c r="I125" i="46" s="1"/>
  <c r="F37" i="45"/>
  <c r="F62" i="45"/>
  <c r="E119" i="28"/>
  <c r="F119" i="28" s="1"/>
  <c r="I119" i="46" s="1"/>
  <c r="F58" i="45"/>
  <c r="E189" i="28"/>
  <c r="F189" i="28" s="1"/>
  <c r="I189" i="46" s="1"/>
  <c r="E213" i="28"/>
  <c r="E216" i="28"/>
  <c r="R122" i="26"/>
  <c r="X122" i="26" s="1"/>
  <c r="R233" i="26"/>
  <c r="X233" i="26" s="1"/>
  <c r="R277" i="26"/>
  <c r="X277" i="26" s="1"/>
  <c r="E152" i="28"/>
  <c r="F152" i="28" s="1"/>
  <c r="I152" i="46" s="1"/>
  <c r="R245" i="26"/>
  <c r="X245" i="26" s="1"/>
  <c r="H118" i="46"/>
  <c r="E97" i="28"/>
  <c r="E193" i="28"/>
  <c r="F193" i="28" s="1"/>
  <c r="I193" i="46" s="1"/>
  <c r="E187" i="28"/>
  <c r="F187" i="28" s="1"/>
  <c r="I187" i="46" s="1"/>
  <c r="I109" i="45"/>
  <c r="F92" i="45"/>
  <c r="P11" i="28"/>
  <c r="O11" i="28"/>
  <c r="E212" i="28"/>
  <c r="R166" i="26"/>
  <c r="X166" i="26" s="1"/>
  <c r="R203" i="26"/>
  <c r="X203" i="26" s="1"/>
  <c r="E51" i="28"/>
  <c r="F51" i="28" s="1"/>
  <c r="I51" i="46" s="1"/>
  <c r="H202" i="46"/>
  <c r="E159" i="28"/>
  <c r="F154" i="45"/>
  <c r="E93" i="28"/>
  <c r="F93" i="28" s="1"/>
  <c r="I93" i="46" s="1"/>
  <c r="E272" i="28"/>
  <c r="G272" i="28" s="1"/>
  <c r="L272" i="46" s="1"/>
  <c r="I241" i="45"/>
  <c r="F253" i="45"/>
  <c r="F39" i="45"/>
  <c r="E57" i="28"/>
  <c r="G57" i="28" s="1"/>
  <c r="E102" i="28"/>
  <c r="G102" i="28" s="1"/>
  <c r="L102" i="46" s="1"/>
  <c r="E38" i="28"/>
  <c r="F38" i="28" s="1"/>
  <c r="I38" i="46" s="1"/>
  <c r="F153" i="45"/>
  <c r="E199" i="28"/>
  <c r="R101" i="26"/>
  <c r="X101" i="26" s="1"/>
  <c r="R25" i="26"/>
  <c r="X25" i="26" s="1"/>
  <c r="R44" i="26"/>
  <c r="X44" i="26" s="1"/>
  <c r="F124" i="45"/>
  <c r="I170" i="45"/>
  <c r="R19" i="26"/>
  <c r="X19" i="26" s="1"/>
  <c r="R133" i="26"/>
  <c r="X133" i="26" s="1"/>
  <c r="E81" i="28"/>
  <c r="F63" i="45"/>
  <c r="E45" i="28"/>
  <c r="F45" i="28" s="1"/>
  <c r="I45" i="46" s="1"/>
  <c r="H110" i="46"/>
  <c r="F175" i="45"/>
  <c r="R185" i="26"/>
  <c r="X185" i="26" s="1"/>
  <c r="E264" i="28"/>
  <c r="F23" i="45"/>
  <c r="F145" i="45"/>
  <c r="E108" i="28"/>
  <c r="F108" i="28" s="1"/>
  <c r="I108" i="46" s="1"/>
  <c r="F276" i="45"/>
  <c r="E141" i="28"/>
  <c r="F141" i="28" s="1"/>
  <c r="I141" i="46" s="1"/>
  <c r="R175" i="6"/>
  <c r="R157" i="6"/>
  <c r="O57" i="28"/>
  <c r="G108" i="45"/>
  <c r="X108" i="6"/>
  <c r="AA108" i="6"/>
  <c r="W108" i="6"/>
  <c r="U108" i="6"/>
  <c r="V108" i="6"/>
  <c r="AY11" i="7"/>
  <c r="AZ11" i="7"/>
  <c r="F11" i="39"/>
  <c r="BB11" i="7"/>
  <c r="D62" i="46"/>
  <c r="AE62" i="46" s="1"/>
  <c r="C63" i="46"/>
  <c r="S63" i="46" s="1"/>
  <c r="F63" i="46"/>
  <c r="AP63" i="46" s="1"/>
  <c r="C62" i="46"/>
  <c r="D56" i="46"/>
  <c r="C56" i="46"/>
  <c r="E56" i="46"/>
  <c r="F56" i="46"/>
  <c r="F62" i="46"/>
  <c r="F67" i="46"/>
  <c r="D67" i="46"/>
  <c r="C67" i="46"/>
  <c r="E67" i="46"/>
  <c r="AJ63" i="46"/>
  <c r="AG63" i="46"/>
  <c r="AI63" i="46"/>
  <c r="AK63" i="46"/>
  <c r="AH63" i="46"/>
  <c r="AL63" i="46"/>
  <c r="AF63" i="46"/>
  <c r="Z63" i="46"/>
  <c r="AB63" i="46"/>
  <c r="AE63" i="46"/>
  <c r="AC63" i="46"/>
  <c r="AA63" i="46"/>
  <c r="AD63" i="46"/>
  <c r="BB165" i="7"/>
  <c r="AY165" i="7"/>
  <c r="E136" i="28"/>
  <c r="R56" i="26"/>
  <c r="X56" i="26" s="1"/>
  <c r="R94" i="26"/>
  <c r="X94" i="26" s="1"/>
  <c r="AW191" i="7"/>
  <c r="AX191" i="7"/>
  <c r="AU191" i="7"/>
  <c r="AV191" i="7"/>
  <c r="R95" i="26"/>
  <c r="X95" i="26" s="1"/>
  <c r="R112" i="26"/>
  <c r="X112" i="26" s="1"/>
  <c r="R186" i="26"/>
  <c r="X186" i="26" s="1"/>
  <c r="R68" i="26"/>
  <c r="X68" i="26" s="1"/>
  <c r="Z177" i="6"/>
  <c r="T167" i="6"/>
  <c r="AB71" i="6"/>
  <c r="AG99" i="6"/>
  <c r="V164" i="6"/>
  <c r="Y24" i="6"/>
  <c r="W63" i="6"/>
  <c r="T81" i="6"/>
  <c r="Z22" i="6"/>
  <c r="T285" i="6"/>
  <c r="V135" i="6"/>
  <c r="Y90" i="6"/>
  <c r="AA171" i="6"/>
  <c r="T171" i="6"/>
  <c r="R165" i="6"/>
  <c r="Z165" i="6" s="1"/>
  <c r="Y164" i="6"/>
  <c r="X164" i="6"/>
  <c r="U24" i="6"/>
  <c r="AC63" i="6"/>
  <c r="Y63" i="6"/>
  <c r="Z81" i="6"/>
  <c r="U22" i="6"/>
  <c r="AC22" i="6"/>
  <c r="Z285" i="6"/>
  <c r="AA285" i="6"/>
  <c r="Y135" i="6"/>
  <c r="AA90" i="6"/>
  <c r="H171" i="28"/>
  <c r="I171" i="28" s="1"/>
  <c r="J171" i="46" s="1"/>
  <c r="V171" i="6"/>
  <c r="X8" i="6"/>
  <c r="T164" i="6"/>
  <c r="W164" i="6"/>
  <c r="AC24" i="6"/>
  <c r="AA24" i="6"/>
  <c r="T63" i="6"/>
  <c r="U63" i="6"/>
  <c r="AA81" i="6"/>
  <c r="G22" i="45"/>
  <c r="H22" i="28"/>
  <c r="J22" i="28" s="1"/>
  <c r="M22" i="46" s="1"/>
  <c r="AC285" i="6"/>
  <c r="W285" i="6"/>
  <c r="H135" i="28"/>
  <c r="J135" i="28" s="1"/>
  <c r="M135" i="46" s="1"/>
  <c r="G90" i="45"/>
  <c r="U171" i="6"/>
  <c r="X171" i="6"/>
  <c r="AC171" i="6"/>
  <c r="G164" i="45"/>
  <c r="AC164" i="6"/>
  <c r="G24" i="45"/>
  <c r="V24" i="6"/>
  <c r="G63" i="45"/>
  <c r="V81" i="6"/>
  <c r="H81" i="28"/>
  <c r="T22" i="6"/>
  <c r="V22" i="6"/>
  <c r="U285" i="6"/>
  <c r="Y285" i="6"/>
  <c r="AC135" i="6"/>
  <c r="T135" i="6"/>
  <c r="H90" i="28"/>
  <c r="I90" i="28" s="1"/>
  <c r="J90" i="46" s="1"/>
  <c r="V8" i="6"/>
  <c r="Z164" i="6"/>
  <c r="T24" i="6"/>
  <c r="H24" i="28"/>
  <c r="J24" i="28" s="1"/>
  <c r="V63" i="6"/>
  <c r="X81" i="6"/>
  <c r="W81" i="6"/>
  <c r="W22" i="6"/>
  <c r="H285" i="28"/>
  <c r="J285" i="28" s="1"/>
  <c r="M285" i="46" s="1"/>
  <c r="AA135" i="6"/>
  <c r="U135" i="6"/>
  <c r="T206" i="6"/>
  <c r="W90" i="6"/>
  <c r="T90" i="6"/>
  <c r="AC206" i="6"/>
  <c r="W171" i="6"/>
  <c r="G171" i="45"/>
  <c r="AA8" i="6"/>
  <c r="W206" i="6"/>
  <c r="U81" i="6"/>
  <c r="X22" i="6"/>
  <c r="X285" i="6"/>
  <c r="Z135" i="6"/>
  <c r="Z90" i="6"/>
  <c r="V90" i="6"/>
  <c r="Z171" i="6"/>
  <c r="H206" i="28"/>
  <c r="D77" i="39"/>
  <c r="X141" i="6"/>
  <c r="T102" i="6"/>
  <c r="V37" i="6"/>
  <c r="X282" i="6"/>
  <c r="AC282" i="6"/>
  <c r="X223" i="6"/>
  <c r="V102" i="6"/>
  <c r="AA37" i="6"/>
  <c r="Y102" i="6"/>
  <c r="G37" i="45"/>
  <c r="G102" i="45"/>
  <c r="Z37" i="6"/>
  <c r="AG249" i="6"/>
  <c r="Z163" i="6"/>
  <c r="H102" i="28"/>
  <c r="J102" i="28" s="1"/>
  <c r="M102" i="46" s="1"/>
  <c r="W37" i="6"/>
  <c r="H37" i="28"/>
  <c r="I37" i="28" s="1"/>
  <c r="J37" i="46" s="1"/>
  <c r="W163" i="6"/>
  <c r="AA102" i="6"/>
  <c r="W102" i="6"/>
  <c r="Y37" i="6"/>
  <c r="T37" i="6"/>
  <c r="U102" i="6"/>
  <c r="U37" i="6"/>
  <c r="X37" i="6"/>
  <c r="AA163" i="6"/>
  <c r="W185" i="6"/>
  <c r="AB185" i="6"/>
  <c r="AA60" i="6"/>
  <c r="AB60" i="6"/>
  <c r="U96" i="6"/>
  <c r="AB96" i="6"/>
  <c r="X84" i="6"/>
  <c r="Z84" i="6"/>
  <c r="R74" i="6"/>
  <c r="AB74" i="6" s="1"/>
  <c r="X112" i="6"/>
  <c r="Z236" i="6"/>
  <c r="U236" i="6"/>
  <c r="H286" i="28"/>
  <c r="J286" i="28" s="1"/>
  <c r="M286" i="46" s="1"/>
  <c r="Z242" i="6"/>
  <c r="X242" i="6"/>
  <c r="T284" i="6"/>
  <c r="H50" i="28"/>
  <c r="J50" i="28" s="1"/>
  <c r="M50" i="46" s="1"/>
  <c r="AG277" i="6"/>
  <c r="AB277" i="6"/>
  <c r="X192" i="6"/>
  <c r="G192" i="45"/>
  <c r="U272" i="6"/>
  <c r="AB272" i="6"/>
  <c r="AG167" i="6"/>
  <c r="AB167" i="6"/>
  <c r="H249" i="28"/>
  <c r="V163" i="6"/>
  <c r="H163" i="28"/>
  <c r="AG81" i="6"/>
  <c r="AB81" i="6"/>
  <c r="AC289" i="6"/>
  <c r="AB289" i="6"/>
  <c r="AC84" i="6"/>
  <c r="W84" i="6"/>
  <c r="Y112" i="6"/>
  <c r="W112" i="6"/>
  <c r="T236" i="6"/>
  <c r="V236" i="6"/>
  <c r="T31" i="6"/>
  <c r="U242" i="6"/>
  <c r="AA284" i="6"/>
  <c r="AC50" i="6"/>
  <c r="H192" i="28"/>
  <c r="I192" i="28" s="1"/>
  <c r="J192" i="46" s="1"/>
  <c r="AG34" i="6"/>
  <c r="AB34" i="6"/>
  <c r="AG86" i="6"/>
  <c r="AB86" i="6"/>
  <c r="Y163" i="6"/>
  <c r="U282" i="6"/>
  <c r="AG27" i="6"/>
  <c r="AB27" i="6"/>
  <c r="AG164" i="6"/>
  <c r="AB164" i="6"/>
  <c r="AG243" i="6"/>
  <c r="AB243" i="6"/>
  <c r="X283" i="6"/>
  <c r="AB283" i="6"/>
  <c r="AG206" i="6"/>
  <c r="AB206" i="6"/>
  <c r="T84" i="6"/>
  <c r="T121" i="6"/>
  <c r="AG36" i="6"/>
  <c r="AB36" i="6"/>
  <c r="G60" i="45"/>
  <c r="AC112" i="6"/>
  <c r="Z112" i="6"/>
  <c r="W236" i="6"/>
  <c r="U31" i="6"/>
  <c r="T242" i="6"/>
  <c r="U284" i="6"/>
  <c r="Z226" i="6"/>
  <c r="AB226" i="6"/>
  <c r="Y206" i="6"/>
  <c r="AG57" i="6"/>
  <c r="AB57" i="6"/>
  <c r="AA50" i="6"/>
  <c r="V50" i="6"/>
  <c r="U192" i="6"/>
  <c r="AG258" i="6"/>
  <c r="AB258" i="6"/>
  <c r="AG135" i="6"/>
  <c r="AB135" i="6"/>
  <c r="AG260" i="6"/>
  <c r="AB260" i="6"/>
  <c r="X238" i="6"/>
  <c r="AB238" i="6"/>
  <c r="T282" i="6"/>
  <c r="U47" i="6"/>
  <c r="AB47" i="6"/>
  <c r="AG217" i="6"/>
  <c r="AB217" i="6"/>
  <c r="AG5" i="6"/>
  <c r="AB5" i="6"/>
  <c r="AG55" i="6"/>
  <c r="AB55" i="6"/>
  <c r="AG192" i="6"/>
  <c r="AB192" i="6"/>
  <c r="Y84" i="6"/>
  <c r="AG270" i="6"/>
  <c r="AB270" i="6"/>
  <c r="H112" i="28"/>
  <c r="I112" i="28" s="1"/>
  <c r="J112" i="46" s="1"/>
  <c r="Z206" i="6"/>
  <c r="X236" i="6"/>
  <c r="AC242" i="6"/>
  <c r="Y284" i="6"/>
  <c r="H284" i="28"/>
  <c r="I284" i="28" s="1"/>
  <c r="J284" i="46" s="1"/>
  <c r="AA206" i="6"/>
  <c r="X50" i="6"/>
  <c r="T50" i="6"/>
  <c r="AG97" i="6"/>
  <c r="AB97" i="6"/>
  <c r="AC31" i="6"/>
  <c r="Z192" i="6"/>
  <c r="AG24" i="6"/>
  <c r="AB24" i="6"/>
  <c r="AG144" i="6"/>
  <c r="AB144" i="6"/>
  <c r="V95" i="6"/>
  <c r="AB95" i="6"/>
  <c r="X249" i="6"/>
  <c r="X163" i="6"/>
  <c r="X211" i="6"/>
  <c r="AB211" i="6"/>
  <c r="AG102" i="6"/>
  <c r="AB102" i="6"/>
  <c r="AG115" i="6"/>
  <c r="AB115" i="6"/>
  <c r="AG61" i="6"/>
  <c r="AB61" i="6"/>
  <c r="H282" i="28"/>
  <c r="I282" i="28" s="1"/>
  <c r="J282" i="46" s="1"/>
  <c r="AB282" i="6"/>
  <c r="H84" i="28"/>
  <c r="I84" i="28" s="1"/>
  <c r="J84" i="46" s="1"/>
  <c r="R222" i="6"/>
  <c r="AB222" i="6" s="1"/>
  <c r="T112" i="6"/>
  <c r="V206" i="6"/>
  <c r="H236" i="28"/>
  <c r="I236" i="28" s="1"/>
  <c r="J236" i="46" s="1"/>
  <c r="V242" i="6"/>
  <c r="V284" i="6"/>
  <c r="Z284" i="6"/>
  <c r="AG119" i="6"/>
  <c r="AB119" i="6"/>
  <c r="X159" i="6"/>
  <c r="AB159" i="6"/>
  <c r="X33" i="6"/>
  <c r="AG137" i="6"/>
  <c r="AB137" i="6"/>
  <c r="W192" i="6"/>
  <c r="Z186" i="6"/>
  <c r="AB186" i="6"/>
  <c r="T96" i="6"/>
  <c r="G96" i="45"/>
  <c r="G213" i="45"/>
  <c r="AB213" i="6"/>
  <c r="V253" i="6"/>
  <c r="AB253" i="6"/>
  <c r="V200" i="6"/>
  <c r="AB200" i="6"/>
  <c r="AG271" i="6"/>
  <c r="AB271" i="6"/>
  <c r="AG182" i="6"/>
  <c r="AB182" i="6"/>
  <c r="W282" i="6"/>
  <c r="AG62" i="6"/>
  <c r="AB62" i="6"/>
  <c r="AG145" i="6"/>
  <c r="AB145" i="6"/>
  <c r="AG101" i="6"/>
  <c r="AB101" i="6"/>
  <c r="Z198" i="6"/>
  <c r="AB198" i="6"/>
  <c r="AB40" i="6"/>
  <c r="Z80" i="6"/>
  <c r="AB80" i="6"/>
  <c r="AG50" i="6"/>
  <c r="AB50" i="6"/>
  <c r="U84" i="6"/>
  <c r="AG41" i="6"/>
  <c r="AB41" i="6"/>
  <c r="U112" i="6"/>
  <c r="X206" i="6"/>
  <c r="AA236" i="6"/>
  <c r="U206" i="6"/>
  <c r="Y242" i="6"/>
  <c r="AA242" i="6"/>
  <c r="W284" i="6"/>
  <c r="AC284" i="6"/>
  <c r="AG278" i="6"/>
  <c r="AB278" i="6"/>
  <c r="T98" i="6"/>
  <c r="AB98" i="6"/>
  <c r="Z50" i="6"/>
  <c r="AG109" i="6"/>
  <c r="AB109" i="6"/>
  <c r="Z223" i="6"/>
  <c r="V199" i="6"/>
  <c r="AB199" i="6"/>
  <c r="AG122" i="6"/>
  <c r="AB122" i="6"/>
  <c r="AA96" i="6"/>
  <c r="AA246" i="6"/>
  <c r="AB246" i="6"/>
  <c r="AG273" i="6"/>
  <c r="AB273" i="6"/>
  <c r="X257" i="6"/>
  <c r="AB257" i="6"/>
  <c r="AG63" i="6"/>
  <c r="AB63" i="6"/>
  <c r="Z167" i="6"/>
  <c r="Y211" i="6"/>
  <c r="Z282" i="6"/>
  <c r="Y167" i="6"/>
  <c r="AA282" i="6"/>
  <c r="AG282" i="6"/>
  <c r="Y282" i="6"/>
  <c r="W211" i="6"/>
  <c r="G282" i="45"/>
  <c r="X217" i="6"/>
  <c r="AA217" i="6"/>
  <c r="G199" i="45"/>
  <c r="AA186" i="6"/>
  <c r="Y27" i="6"/>
  <c r="V271" i="6"/>
  <c r="AC253" i="6"/>
  <c r="Z253" i="6"/>
  <c r="Z129" i="6"/>
  <c r="Y257" i="6"/>
  <c r="T211" i="6"/>
  <c r="V257" i="6"/>
  <c r="Y217" i="6"/>
  <c r="W217" i="6"/>
  <c r="AC199" i="6"/>
  <c r="H186" i="28"/>
  <c r="I186" i="28" s="1"/>
  <c r="J186" i="46" s="1"/>
  <c r="G223" i="45"/>
  <c r="AA27" i="6"/>
  <c r="Y271" i="6"/>
  <c r="H253" i="28"/>
  <c r="J253" i="28" s="1"/>
  <c r="M253" i="46" s="1"/>
  <c r="U129" i="6"/>
  <c r="Z170" i="6"/>
  <c r="Z271" i="6"/>
  <c r="X253" i="6"/>
  <c r="H217" i="28"/>
  <c r="T199" i="6"/>
  <c r="AC186" i="6"/>
  <c r="H223" i="28"/>
  <c r="AC27" i="6"/>
  <c r="Z27" i="6"/>
  <c r="X271" i="6"/>
  <c r="Y253" i="6"/>
  <c r="Y129" i="6"/>
  <c r="Z257" i="6"/>
  <c r="H47" i="28"/>
  <c r="AC47" i="6"/>
  <c r="W253" i="6"/>
  <c r="U217" i="6"/>
  <c r="Z199" i="6"/>
  <c r="Y199" i="6"/>
  <c r="W186" i="6"/>
  <c r="Y223" i="6"/>
  <c r="T27" i="6"/>
  <c r="U27" i="6"/>
  <c r="U271" i="6"/>
  <c r="G271" i="45"/>
  <c r="U253" i="6"/>
  <c r="V47" i="6"/>
  <c r="T47" i="6"/>
  <c r="AG211" i="6"/>
  <c r="X186" i="6"/>
  <c r="H27" i="28"/>
  <c r="J27" i="28" s="1"/>
  <c r="M27" i="46" s="1"/>
  <c r="H170" i="28"/>
  <c r="J170" i="28" s="1"/>
  <c r="M170" i="46" s="1"/>
  <c r="V217" i="6"/>
  <c r="X199" i="6"/>
  <c r="H199" i="28"/>
  <c r="T186" i="6"/>
  <c r="Y186" i="6"/>
  <c r="X27" i="6"/>
  <c r="V27" i="6"/>
  <c r="AA271" i="6"/>
  <c r="H271" i="28"/>
  <c r="J271" i="28" s="1"/>
  <c r="M271" i="46" s="1"/>
  <c r="AA253" i="6"/>
  <c r="Z96" i="6"/>
  <c r="G47" i="45"/>
  <c r="AC217" i="6"/>
  <c r="AA199" i="6"/>
  <c r="U186" i="6"/>
  <c r="W223" i="6"/>
  <c r="X200" i="6"/>
  <c r="V283" i="6"/>
  <c r="W27" i="6"/>
  <c r="T271" i="6"/>
  <c r="W271" i="6"/>
  <c r="W47" i="6"/>
  <c r="AA47" i="6"/>
  <c r="Y47" i="6"/>
  <c r="G289" i="45"/>
  <c r="W289" i="6"/>
  <c r="AA289" i="6"/>
  <c r="H289" i="28"/>
  <c r="W166" i="6"/>
  <c r="V166" i="6"/>
  <c r="Z166" i="6"/>
  <c r="Y166" i="6"/>
  <c r="AC166" i="6"/>
  <c r="X166" i="6"/>
  <c r="G166" i="45"/>
  <c r="H166" i="28"/>
  <c r="I166" i="28" s="1"/>
  <c r="J166" i="46" s="1"/>
  <c r="U166" i="6"/>
  <c r="T166" i="6"/>
  <c r="AA166" i="6"/>
  <c r="U119" i="6"/>
  <c r="T119" i="6"/>
  <c r="X62" i="6"/>
  <c r="V60" i="6"/>
  <c r="Y238" i="6"/>
  <c r="Z238" i="6"/>
  <c r="AC260" i="6"/>
  <c r="G260" i="45"/>
  <c r="AC167" i="6"/>
  <c r="H211" i="28"/>
  <c r="G119" i="45"/>
  <c r="V119" i="6"/>
  <c r="Z62" i="6"/>
  <c r="Y60" i="6"/>
  <c r="AC238" i="6"/>
  <c r="AA238" i="6"/>
  <c r="H260" i="28"/>
  <c r="I260" i="28" s="1"/>
  <c r="J260" i="46" s="1"/>
  <c r="AA167" i="6"/>
  <c r="W167" i="6"/>
  <c r="V211" i="6"/>
  <c r="Y119" i="6"/>
  <c r="H119" i="28"/>
  <c r="I119" i="28" s="1"/>
  <c r="J119" i="46" s="1"/>
  <c r="G62" i="45"/>
  <c r="AC60" i="6"/>
  <c r="V80" i="6"/>
  <c r="U238" i="6"/>
  <c r="T238" i="6"/>
  <c r="V260" i="6"/>
  <c r="G167" i="45"/>
  <c r="X167" i="6"/>
  <c r="G211" i="45"/>
  <c r="X119" i="6"/>
  <c r="V62" i="6"/>
  <c r="W62" i="6"/>
  <c r="W60" i="6"/>
  <c r="X272" i="6"/>
  <c r="H238" i="28"/>
  <c r="J238" i="28" s="1"/>
  <c r="M238" i="46" s="1"/>
  <c r="Z260" i="6"/>
  <c r="G198" i="45"/>
  <c r="W119" i="6"/>
  <c r="AA62" i="6"/>
  <c r="AC62" i="6"/>
  <c r="Z60" i="6"/>
  <c r="U60" i="6"/>
  <c r="Z272" i="6"/>
  <c r="V238" i="6"/>
  <c r="R168" i="6"/>
  <c r="W260" i="6"/>
  <c r="U167" i="6"/>
  <c r="AC211" i="6"/>
  <c r="U211" i="6"/>
  <c r="Z119" i="6"/>
  <c r="U62" i="6"/>
  <c r="T62" i="6"/>
  <c r="X60" i="6"/>
  <c r="H60" i="28"/>
  <c r="J60" i="28" s="1"/>
  <c r="M60" i="46" s="1"/>
  <c r="W272" i="6"/>
  <c r="W238" i="6"/>
  <c r="U260" i="6"/>
  <c r="V167" i="6"/>
  <c r="Z211" i="6"/>
  <c r="AA119" i="6"/>
  <c r="H62" i="28"/>
  <c r="I62" i="28" s="1"/>
  <c r="T60" i="6"/>
  <c r="T260" i="6"/>
  <c r="Y260" i="6"/>
  <c r="H198" i="28"/>
  <c r="J198" i="28" s="1"/>
  <c r="M198" i="46" s="1"/>
  <c r="AC200" i="6"/>
  <c r="Y200" i="6"/>
  <c r="W283" i="6"/>
  <c r="AA80" i="6"/>
  <c r="V61" i="6"/>
  <c r="U257" i="6"/>
  <c r="AA257" i="6"/>
  <c r="W55" i="6"/>
  <c r="T198" i="6"/>
  <c r="H200" i="28"/>
  <c r="T200" i="6"/>
  <c r="U283" i="6"/>
  <c r="X80" i="6"/>
  <c r="AA61" i="6"/>
  <c r="Z55" i="6"/>
  <c r="T257" i="6"/>
  <c r="X55" i="6"/>
  <c r="X198" i="6"/>
  <c r="AC198" i="6"/>
  <c r="AA200" i="6"/>
  <c r="Z200" i="6"/>
  <c r="H283" i="28"/>
  <c r="J283" i="28" s="1"/>
  <c r="M283" i="46" s="1"/>
  <c r="W80" i="6"/>
  <c r="Y61" i="6"/>
  <c r="H55" i="28"/>
  <c r="X226" i="6"/>
  <c r="Y198" i="6"/>
  <c r="V198" i="6"/>
  <c r="G200" i="45"/>
  <c r="AA283" i="6"/>
  <c r="U80" i="6"/>
  <c r="H80" i="28"/>
  <c r="I80" i="28" s="1"/>
  <c r="J80" i="46" s="1"/>
  <c r="G61" i="45"/>
  <c r="Z61" i="6"/>
  <c r="Y55" i="6"/>
  <c r="AA198" i="6"/>
  <c r="U198" i="6"/>
  <c r="U200" i="6"/>
  <c r="AC283" i="6"/>
  <c r="Y283" i="6"/>
  <c r="G80" i="45"/>
  <c r="AC80" i="6"/>
  <c r="W61" i="6"/>
  <c r="U61" i="6"/>
  <c r="W257" i="6"/>
  <c r="W198" i="6"/>
  <c r="W200" i="6"/>
  <c r="Z283" i="6"/>
  <c r="T283" i="6"/>
  <c r="T80" i="6"/>
  <c r="Y80" i="6"/>
  <c r="AC61" i="6"/>
  <c r="T61" i="6"/>
  <c r="AC257" i="6"/>
  <c r="T55" i="6"/>
  <c r="G55" i="45"/>
  <c r="G257" i="45"/>
  <c r="AA55" i="6"/>
  <c r="G283" i="45"/>
  <c r="H61" i="28"/>
  <c r="U55" i="6"/>
  <c r="AC55" i="6"/>
  <c r="T117" i="6"/>
  <c r="G117" i="45"/>
  <c r="Z107" i="6"/>
  <c r="AG107" i="6"/>
  <c r="H107" i="28"/>
  <c r="AA107" i="6"/>
  <c r="AC107" i="6"/>
  <c r="W107" i="6"/>
  <c r="V107" i="6"/>
  <c r="G107" i="45"/>
  <c r="Y107" i="6"/>
  <c r="X107" i="6"/>
  <c r="T107" i="6"/>
  <c r="U107" i="6"/>
  <c r="X142" i="6"/>
  <c r="G142" i="45"/>
  <c r="AA142" i="6"/>
  <c r="H142" i="28"/>
  <c r="J142" i="28" s="1"/>
  <c r="M142" i="46" s="1"/>
  <c r="T142" i="6"/>
  <c r="W142" i="6"/>
  <c r="V142" i="6"/>
  <c r="Y142" i="6"/>
  <c r="Z142" i="6"/>
  <c r="U142" i="6"/>
  <c r="AC142" i="6"/>
  <c r="W226" i="6"/>
  <c r="Y226" i="6"/>
  <c r="AA225" i="6"/>
  <c r="Z291" i="6"/>
  <c r="U291" i="6"/>
  <c r="AA82" i="6"/>
  <c r="Y98" i="6"/>
  <c r="H44" i="28"/>
  <c r="I44" i="28" s="1"/>
  <c r="J44" i="46" s="1"/>
  <c r="H95" i="28"/>
  <c r="J95" i="28" s="1"/>
  <c r="M95" i="46" s="1"/>
  <c r="G241" i="45"/>
  <c r="T159" i="6"/>
  <c r="AC115" i="6"/>
  <c r="Z79" i="6"/>
  <c r="AA31" i="6"/>
  <c r="H226" i="28"/>
  <c r="U226" i="6"/>
  <c r="Y225" i="6"/>
  <c r="H291" i="28"/>
  <c r="I291" i="28" s="1"/>
  <c r="J291" i="46" s="1"/>
  <c r="AA291" i="6"/>
  <c r="Y82" i="6"/>
  <c r="G98" i="45"/>
  <c r="G44" i="45"/>
  <c r="W44" i="6"/>
  <c r="AC95" i="6"/>
  <c r="Y95" i="6"/>
  <c r="U115" i="6"/>
  <c r="G115" i="45"/>
  <c r="Y115" i="6"/>
  <c r="Y171" i="6"/>
  <c r="H96" i="28"/>
  <c r="AG96" i="6"/>
  <c r="H257" i="28"/>
  <c r="AG257" i="6"/>
  <c r="G226" i="45"/>
  <c r="W225" i="6"/>
  <c r="AC225" i="6"/>
  <c r="Z203" i="6"/>
  <c r="W291" i="6"/>
  <c r="G82" i="45"/>
  <c r="G209" i="45"/>
  <c r="X98" i="6"/>
  <c r="H98" i="28"/>
  <c r="J98" i="28" s="1"/>
  <c r="M98" i="46" s="1"/>
  <c r="AA44" i="6"/>
  <c r="V44" i="6"/>
  <c r="Y239" i="6"/>
  <c r="W115" i="6"/>
  <c r="X115" i="6"/>
  <c r="Z25" i="6"/>
  <c r="AG25" i="6"/>
  <c r="U213" i="6"/>
  <c r="AA272" i="6"/>
  <c r="AC226" i="6"/>
  <c r="G225" i="45"/>
  <c r="T225" i="6"/>
  <c r="V291" i="6"/>
  <c r="X82" i="6"/>
  <c r="Z82" i="6"/>
  <c r="W98" i="6"/>
  <c r="AC98" i="6"/>
  <c r="AC44" i="6"/>
  <c r="V226" i="6"/>
  <c r="U225" i="6"/>
  <c r="Z225" i="6"/>
  <c r="T291" i="6"/>
  <c r="W82" i="6"/>
  <c r="H82" i="28"/>
  <c r="J82" i="28" s="1"/>
  <c r="M82" i="46" s="1"/>
  <c r="H190" i="28"/>
  <c r="I190" i="28" s="1"/>
  <c r="J190" i="46" s="1"/>
  <c r="V98" i="6"/>
  <c r="U98" i="6"/>
  <c r="X44" i="6"/>
  <c r="X95" i="6"/>
  <c r="W95" i="6"/>
  <c r="U95" i="6"/>
  <c r="AA115" i="6"/>
  <c r="X225" i="6"/>
  <c r="Y291" i="6"/>
  <c r="AC82" i="6"/>
  <c r="V82" i="6"/>
  <c r="Z98" i="6"/>
  <c r="U44" i="6"/>
  <c r="T95" i="6"/>
  <c r="Y162" i="6"/>
  <c r="Y139" i="6"/>
  <c r="AG139" i="6"/>
  <c r="T33" i="6"/>
  <c r="T8" i="6"/>
  <c r="AG8" i="6"/>
  <c r="U8" i="6"/>
  <c r="W8" i="6"/>
  <c r="G8" i="45"/>
  <c r="Z8" i="6"/>
  <c r="Y8" i="6"/>
  <c r="AC8" i="6"/>
  <c r="H8" i="28"/>
  <c r="Z95" i="6"/>
  <c r="AG95" i="6"/>
  <c r="T226" i="6"/>
  <c r="AA226" i="6"/>
  <c r="H225" i="28"/>
  <c r="I225" i="28" s="1"/>
  <c r="J225" i="46" s="1"/>
  <c r="X291" i="6"/>
  <c r="T82" i="6"/>
  <c r="AA98" i="6"/>
  <c r="T44" i="6"/>
  <c r="H261" i="28"/>
  <c r="I261" i="28" s="1"/>
  <c r="J261" i="46" s="1"/>
  <c r="AG261" i="6"/>
  <c r="G95" i="45"/>
  <c r="AA95" i="6"/>
  <c r="V115" i="6"/>
  <c r="T115" i="6"/>
  <c r="Z115" i="6"/>
  <c r="H246" i="28"/>
  <c r="E191" i="28"/>
  <c r="G191" i="28" s="1"/>
  <c r="L191" i="46" s="1"/>
  <c r="E113" i="28"/>
  <c r="F113" i="28" s="1"/>
  <c r="I113" i="46" s="1"/>
  <c r="R111" i="26"/>
  <c r="X111" i="26" s="1"/>
  <c r="R191" i="26"/>
  <c r="X191" i="26" s="1"/>
  <c r="E33" i="28"/>
  <c r="F33" i="28" s="1"/>
  <c r="I33" i="46" s="1"/>
  <c r="E68" i="28"/>
  <c r="G68" i="28" s="1"/>
  <c r="L68" i="46" s="1"/>
  <c r="F33" i="45"/>
  <c r="E111" i="28"/>
  <c r="G111" i="28" s="1"/>
  <c r="L111" i="46" s="1"/>
  <c r="F191" i="45"/>
  <c r="E225" i="28"/>
  <c r="F225" i="45"/>
  <c r="R174" i="26"/>
  <c r="X174" i="26" s="1"/>
  <c r="F32" i="45"/>
  <c r="R32" i="26"/>
  <c r="X32" i="26" s="1"/>
  <c r="E19" i="28"/>
  <c r="G19" i="28" s="1"/>
  <c r="L19" i="46" s="1"/>
  <c r="F19" i="45"/>
  <c r="R164" i="26"/>
  <c r="X164" i="26" s="1"/>
  <c r="E123" i="28"/>
  <c r="F123" i="45"/>
  <c r="E215" i="28"/>
  <c r="F215" i="28" s="1"/>
  <c r="I215" i="46" s="1"/>
  <c r="F137" i="45"/>
  <c r="F244" i="45"/>
  <c r="F108" i="45"/>
  <c r="E244" i="28"/>
  <c r="F50" i="45"/>
  <c r="E23" i="28"/>
  <c r="F23" i="28" s="1"/>
  <c r="I23" i="46" s="1"/>
  <c r="R244" i="26"/>
  <c r="X244" i="26" s="1"/>
  <c r="R108" i="26"/>
  <c r="X108" i="26" s="1"/>
  <c r="F141" i="45"/>
  <c r="F26" i="45"/>
  <c r="R271" i="26"/>
  <c r="X271" i="26" s="1"/>
  <c r="R291" i="26"/>
  <c r="X291" i="26" s="1"/>
  <c r="R209" i="26"/>
  <c r="X209" i="26" s="1"/>
  <c r="F209" i="45"/>
  <c r="E36" i="28"/>
  <c r="G36" i="28" s="1"/>
  <c r="L36" i="46" s="1"/>
  <c r="F36" i="45"/>
  <c r="R272" i="26"/>
  <c r="X272" i="26" s="1"/>
  <c r="E11" i="28"/>
  <c r="F11" i="28" s="1"/>
  <c r="I11" i="46" s="1"/>
  <c r="E180" i="28"/>
  <c r="F180" i="28" s="1"/>
  <c r="I180" i="46" s="1"/>
  <c r="F5" i="45"/>
  <c r="E271" i="28"/>
  <c r="G271" i="28" s="1"/>
  <c r="L271" i="46" s="1"/>
  <c r="F291" i="45"/>
  <c r="R5" i="26"/>
  <c r="X5" i="26" s="1"/>
  <c r="E86" i="28"/>
  <c r="G86" i="28" s="1"/>
  <c r="L86" i="46" s="1"/>
  <c r="F86" i="45"/>
  <c r="F132" i="45"/>
  <c r="E204" i="28"/>
  <c r="F204" i="45"/>
  <c r="F121" i="45"/>
  <c r="E121" i="28"/>
  <c r="E164" i="28"/>
  <c r="F164" i="28" s="1"/>
  <c r="I164" i="46" s="1"/>
  <c r="F113" i="45"/>
  <c r="R121" i="26"/>
  <c r="X121" i="26" s="1"/>
  <c r="F228" i="45"/>
  <c r="E129" i="28"/>
  <c r="G129" i="28" s="1"/>
  <c r="L129" i="46" s="1"/>
  <c r="F81" i="45"/>
  <c r="F87" i="45"/>
  <c r="R228" i="26"/>
  <c r="X228" i="26" s="1"/>
  <c r="F152" i="45"/>
  <c r="R204" i="26"/>
  <c r="X204" i="26" s="1"/>
  <c r="E201" i="28"/>
  <c r="G201" i="28" s="1"/>
  <c r="L201" i="46" s="1"/>
  <c r="R97" i="26"/>
  <c r="X97" i="26" s="1"/>
  <c r="R86" i="26"/>
  <c r="X86" i="26" s="1"/>
  <c r="R113" i="26"/>
  <c r="X113" i="26" s="1"/>
  <c r="F119" i="45"/>
  <c r="E100" i="28"/>
  <c r="G100" i="28" s="1"/>
  <c r="L100" i="46" s="1"/>
  <c r="E147" i="28"/>
  <c r="F147" i="45"/>
  <c r="F68" i="45"/>
  <c r="E85" i="28"/>
  <c r="E256" i="28"/>
  <c r="R216" i="26"/>
  <c r="X216" i="26" s="1"/>
  <c r="F216" i="45"/>
  <c r="F28" i="45"/>
  <c r="E218" i="28"/>
  <c r="R256" i="26"/>
  <c r="X256" i="26" s="1"/>
  <c r="E105" i="28"/>
  <c r="R225" i="26"/>
  <c r="X225" i="26" s="1"/>
  <c r="R130" i="26"/>
  <c r="X130" i="26" s="1"/>
  <c r="F109" i="45"/>
  <c r="E243" i="28"/>
  <c r="R135" i="26"/>
  <c r="X135" i="26" s="1"/>
  <c r="E130" i="28"/>
  <c r="F130" i="28" s="1"/>
  <c r="I130" i="46" s="1"/>
  <c r="E185" i="28"/>
  <c r="G185" i="28" s="1"/>
  <c r="L185" i="46" s="1"/>
  <c r="R159" i="26"/>
  <c r="X159" i="26" s="1"/>
  <c r="E28" i="28"/>
  <c r="G28" i="28" s="1"/>
  <c r="F218" i="45"/>
  <c r="F65" i="45"/>
  <c r="F185" i="45"/>
  <c r="R197" i="26"/>
  <c r="X197" i="26" s="1"/>
  <c r="F159" i="45"/>
  <c r="E62" i="28"/>
  <c r="F62" i="28" s="1"/>
  <c r="E110" i="28"/>
  <c r="G110" i="28" s="1"/>
  <c r="L110" i="46" s="1"/>
  <c r="E132" i="28"/>
  <c r="R181" i="26"/>
  <c r="X181" i="26" s="1"/>
  <c r="R210" i="26"/>
  <c r="X210" i="26" s="1"/>
  <c r="F11" i="45"/>
  <c r="F243" i="45"/>
  <c r="F135" i="45"/>
  <c r="E197" i="28"/>
  <c r="R85" i="26"/>
  <c r="X85" i="26" s="1"/>
  <c r="E186" i="28"/>
  <c r="F186" i="28" s="1"/>
  <c r="I186" i="46" s="1"/>
  <c r="R243" i="26"/>
  <c r="X243" i="26" s="1"/>
  <c r="F162" i="45"/>
  <c r="E162" i="28"/>
  <c r="G162" i="28" s="1"/>
  <c r="L162" i="46" s="1"/>
  <c r="F248" i="45"/>
  <c r="F29" i="45"/>
  <c r="F215" i="45"/>
  <c r="F284" i="45"/>
  <c r="R278" i="26"/>
  <c r="X278" i="26" s="1"/>
  <c r="F90" i="45"/>
  <c r="F140" i="45"/>
  <c r="F201" i="45"/>
  <c r="F42" i="45"/>
  <c r="F174" i="45"/>
  <c r="F220" i="45"/>
  <c r="R284" i="26"/>
  <c r="X284" i="26" s="1"/>
  <c r="E278" i="28"/>
  <c r="F278" i="28" s="1"/>
  <c r="I278" i="46" s="1"/>
  <c r="R220" i="26"/>
  <c r="X220" i="26" s="1"/>
  <c r="R201" i="26"/>
  <c r="X201" i="26" s="1"/>
  <c r="R41" i="26"/>
  <c r="X41" i="26" s="1"/>
  <c r="F278" i="45"/>
  <c r="E112" i="28"/>
  <c r="G112" i="28" s="1"/>
  <c r="L112" i="46" s="1"/>
  <c r="E220" i="28"/>
  <c r="F220" i="28" s="1"/>
  <c r="I220" i="46" s="1"/>
  <c r="F173" i="45"/>
  <c r="R182" i="26"/>
  <c r="X182" i="26" s="1"/>
  <c r="R215" i="26"/>
  <c r="X215" i="26" s="1"/>
  <c r="E182" i="28"/>
  <c r="G182" i="28" s="1"/>
  <c r="L182" i="46" s="1"/>
  <c r="E47" i="28"/>
  <c r="F47" i="28" s="1"/>
  <c r="I47" i="46" s="1"/>
  <c r="E41" i="28"/>
  <c r="F41" i="28" s="1"/>
  <c r="I41" i="46" s="1"/>
  <c r="F66" i="45"/>
  <c r="E66" i="28"/>
  <c r="F4" i="45"/>
  <c r="R66" i="26"/>
  <c r="X66" i="26" s="1"/>
  <c r="R270" i="26"/>
  <c r="S270" i="26" s="1"/>
  <c r="F99" i="45"/>
  <c r="F54" i="45"/>
  <c r="R47" i="26"/>
  <c r="X47" i="26" s="1"/>
  <c r="F18" i="45"/>
  <c r="F20" i="45"/>
  <c r="R100" i="26"/>
  <c r="S100" i="26" s="1"/>
  <c r="F193" i="45"/>
  <c r="R18" i="26"/>
  <c r="X18" i="26" s="1"/>
  <c r="E250" i="28"/>
  <c r="G250" i="28" s="1"/>
  <c r="L250" i="46" s="1"/>
  <c r="F100" i="45"/>
  <c r="F47" i="45"/>
  <c r="E270" i="28"/>
  <c r="F270" i="28" s="1"/>
  <c r="I270" i="46" s="1"/>
  <c r="E20" i="28"/>
  <c r="F20" i="28" s="1"/>
  <c r="I20" i="46" s="1"/>
  <c r="R99" i="26"/>
  <c r="X99" i="26" s="1"/>
  <c r="F40" i="45"/>
  <c r="R38" i="26"/>
  <c r="X38" i="26" s="1"/>
  <c r="F180" i="45"/>
  <c r="F60" i="45"/>
  <c r="E40" i="28"/>
  <c r="E210" i="28"/>
  <c r="R180" i="26"/>
  <c r="X180" i="26" s="1"/>
  <c r="R60" i="26"/>
  <c r="X60" i="26" s="1"/>
  <c r="F210" i="45"/>
  <c r="R70" i="26"/>
  <c r="X70" i="26" s="1"/>
  <c r="F70" i="45"/>
  <c r="E175" i="28"/>
  <c r="G175" i="28" s="1"/>
  <c r="L175" i="46" s="1"/>
  <c r="F38" i="45"/>
  <c r="E70" i="28"/>
  <c r="E145" i="28"/>
  <c r="F145" i="28" s="1"/>
  <c r="I145" i="46" s="1"/>
  <c r="R40" i="26"/>
  <c r="X40" i="26" s="1"/>
  <c r="E118" i="28"/>
  <c r="G118" i="28" s="1"/>
  <c r="L118" i="46" s="1"/>
  <c r="F118" i="45"/>
  <c r="E53" i="28"/>
  <c r="F53" i="45"/>
  <c r="F150" i="45"/>
  <c r="E150" i="28"/>
  <c r="R120" i="26"/>
  <c r="Z120" i="26" s="1"/>
  <c r="F72" i="45"/>
  <c r="E54" i="28"/>
  <c r="F54" i="28" s="1"/>
  <c r="I54" i="46" s="1"/>
  <c r="R192" i="26"/>
  <c r="X192" i="26" s="1"/>
  <c r="E56" i="28"/>
  <c r="F56" i="28" s="1"/>
  <c r="F97" i="45"/>
  <c r="R53" i="26"/>
  <c r="X53" i="26" s="1"/>
  <c r="E98" i="28"/>
  <c r="F98" i="28" s="1"/>
  <c r="I98" i="46" s="1"/>
  <c r="F15" i="45"/>
  <c r="E157" i="28"/>
  <c r="F157" i="28" s="1"/>
  <c r="I157" i="46" s="1"/>
  <c r="F57" i="45"/>
  <c r="E205" i="28"/>
  <c r="E95" i="28"/>
  <c r="F95" i="28" s="1"/>
  <c r="I95" i="46" s="1"/>
  <c r="F127" i="45"/>
  <c r="F157" i="45"/>
  <c r="F163" i="45"/>
  <c r="R125" i="26"/>
  <c r="X125" i="26" s="1"/>
  <c r="F56" i="45"/>
  <c r="F95" i="45"/>
  <c r="R98" i="26"/>
  <c r="T98" i="26" s="1"/>
  <c r="R50" i="26"/>
  <c r="X50" i="26" s="1"/>
  <c r="E148" i="28"/>
  <c r="F148" i="28" s="1"/>
  <c r="I148" i="46" s="1"/>
  <c r="E120" i="28"/>
  <c r="G120" i="28" s="1"/>
  <c r="L120" i="46" s="1"/>
  <c r="F192" i="45"/>
  <c r="R15" i="26"/>
  <c r="X15" i="26" s="1"/>
  <c r="E153" i="28"/>
  <c r="F153" i="28" s="1"/>
  <c r="I153" i="46" s="1"/>
  <c r="F239" i="45"/>
  <c r="R57" i="26"/>
  <c r="X57" i="26" s="1"/>
  <c r="F120" i="45"/>
  <c r="E192" i="28"/>
  <c r="G192" i="28" s="1"/>
  <c r="L192" i="46" s="1"/>
  <c r="F148" i="45"/>
  <c r="R153" i="26"/>
  <c r="X153" i="26" s="1"/>
  <c r="R72" i="26"/>
  <c r="X72" i="26" s="1"/>
  <c r="F71" i="45"/>
  <c r="E71" i="28"/>
  <c r="G71" i="28" s="1"/>
  <c r="L71" i="46" s="1"/>
  <c r="E82" i="28"/>
  <c r="G82" i="28" s="1"/>
  <c r="L82" i="46" s="1"/>
  <c r="F82" i="45"/>
  <c r="F186" i="45"/>
  <c r="E171" i="28"/>
  <c r="F171" i="28" s="1"/>
  <c r="I171" i="46" s="1"/>
  <c r="E253" i="28"/>
  <c r="E236" i="28"/>
  <c r="R171" i="26"/>
  <c r="X171" i="26" s="1"/>
  <c r="E231" i="28"/>
  <c r="E92" i="28"/>
  <c r="F92" i="28" s="1"/>
  <c r="I92" i="46" s="1"/>
  <c r="F254" i="45"/>
  <c r="R104" i="26"/>
  <c r="X104" i="26" s="1"/>
  <c r="F231" i="45"/>
  <c r="F102" i="45"/>
  <c r="E254" i="28"/>
  <c r="E63" i="28"/>
  <c r="F63" i="28" s="1"/>
  <c r="E30" i="28"/>
  <c r="G30" i="28" s="1"/>
  <c r="L30" i="46" s="1"/>
  <c r="R119" i="26"/>
  <c r="X119" i="26" s="1"/>
  <c r="F287" i="45"/>
  <c r="E67" i="28"/>
  <c r="F67" i="28" s="1"/>
  <c r="R92" i="26"/>
  <c r="X92" i="26" s="1"/>
  <c r="F30" i="45"/>
  <c r="F171" i="45"/>
  <c r="R236" i="26"/>
  <c r="X236" i="26" s="1"/>
  <c r="R287" i="26"/>
  <c r="X287" i="26" s="1"/>
  <c r="R102" i="26"/>
  <c r="Z102" i="26" s="1"/>
  <c r="R254" i="26"/>
  <c r="X254" i="26" s="1"/>
  <c r="F136" i="45"/>
  <c r="AC272" i="6"/>
  <c r="O231" i="52"/>
  <c r="R105" i="26"/>
  <c r="X105" i="26" s="1"/>
  <c r="V272" i="6"/>
  <c r="H272" i="28"/>
  <c r="J272" i="28" s="1"/>
  <c r="M272" i="46" s="1"/>
  <c r="R81" i="26"/>
  <c r="T81" i="26" s="1"/>
  <c r="F260" i="45"/>
  <c r="V33" i="6"/>
  <c r="G75" i="45"/>
  <c r="Z75" i="6"/>
  <c r="T273" i="6"/>
  <c r="AA273" i="6"/>
  <c r="X273" i="6"/>
  <c r="G273" i="45"/>
  <c r="AC273" i="6"/>
  <c r="Z273" i="6"/>
  <c r="H273" i="28"/>
  <c r="W273" i="6"/>
  <c r="U273" i="6"/>
  <c r="Y273" i="6"/>
  <c r="V273" i="6"/>
  <c r="X86" i="6"/>
  <c r="T86" i="6"/>
  <c r="W86" i="6"/>
  <c r="H86" i="28"/>
  <c r="J86" i="28" s="1"/>
  <c r="M86" i="46" s="1"/>
  <c r="V86" i="6"/>
  <c r="G86" i="45"/>
  <c r="Z86" i="6"/>
  <c r="Y86" i="6"/>
  <c r="AA86" i="6"/>
  <c r="U86" i="6"/>
  <c r="AC86" i="6"/>
  <c r="E248" i="28"/>
  <c r="F263" i="45"/>
  <c r="E263" i="28"/>
  <c r="R248" i="26"/>
  <c r="R276" i="26"/>
  <c r="X276" i="26" s="1"/>
  <c r="E276" i="28"/>
  <c r="G276" i="28" s="1"/>
  <c r="L276" i="46" s="1"/>
  <c r="R263" i="26"/>
  <c r="X263" i="26" s="1"/>
  <c r="BB47" i="7"/>
  <c r="AY47" i="7"/>
  <c r="AZ47" i="7"/>
  <c r="F47" i="39"/>
  <c r="G47" i="39" s="1"/>
  <c r="U190" i="6"/>
  <c r="E273" i="28"/>
  <c r="V190" i="6"/>
  <c r="AZ48" i="7"/>
  <c r="AV288" i="7"/>
  <c r="AC96" i="6"/>
  <c r="P8" i="28"/>
  <c r="X96" i="6"/>
  <c r="V96" i="6"/>
  <c r="R207" i="6"/>
  <c r="AB207" i="6" s="1"/>
  <c r="W96" i="6"/>
  <c r="F274" i="45"/>
  <c r="V246" i="6"/>
  <c r="X246" i="6"/>
  <c r="Z33" i="6"/>
  <c r="E184" i="28"/>
  <c r="G184" i="28" s="1"/>
  <c r="L184" i="46" s="1"/>
  <c r="F264" i="45"/>
  <c r="E65" i="28"/>
  <c r="G65" i="28" s="1"/>
  <c r="L65" i="46" s="1"/>
  <c r="F104" i="45"/>
  <c r="E29" i="28"/>
  <c r="Y246" i="6"/>
  <c r="Z246" i="6"/>
  <c r="U33" i="6"/>
  <c r="K36" i="28"/>
  <c r="L36" i="28" s="1"/>
  <c r="K36" i="46" s="1"/>
  <c r="F184" i="45"/>
  <c r="E104" i="28"/>
  <c r="R29" i="26"/>
  <c r="X29" i="26" s="1"/>
  <c r="W246" i="6"/>
  <c r="AC246" i="6"/>
  <c r="Y33" i="6"/>
  <c r="E237" i="28"/>
  <c r="E106" i="28"/>
  <c r="F106" i="28" s="1"/>
  <c r="I106" i="46" s="1"/>
  <c r="R136" i="26"/>
  <c r="X136" i="26" s="1"/>
  <c r="F255" i="45"/>
  <c r="T246" i="6"/>
  <c r="AC33" i="6"/>
  <c r="F170" i="45"/>
  <c r="U246" i="6"/>
  <c r="AA33" i="6"/>
  <c r="F237" i="45"/>
  <c r="E58" i="28"/>
  <c r="G58" i="28" s="1"/>
  <c r="G246" i="45"/>
  <c r="R65" i="26"/>
  <c r="X65" i="26" s="1"/>
  <c r="G33" i="45"/>
  <c r="U139" i="6"/>
  <c r="W33" i="6"/>
  <c r="H33" i="28"/>
  <c r="J33" i="28" s="1"/>
  <c r="M33" i="46" s="1"/>
  <c r="F67" i="39"/>
  <c r="R82" i="26"/>
  <c r="X82" i="26" s="1"/>
  <c r="E80" i="28"/>
  <c r="G80" i="28" s="1"/>
  <c r="L80" i="46" s="1"/>
  <c r="F80" i="45"/>
  <c r="AZ75" i="7"/>
  <c r="BB75" i="7"/>
  <c r="F75" i="39"/>
  <c r="G75" i="39" s="1"/>
  <c r="AY75" i="7"/>
  <c r="R273" i="26"/>
  <c r="X273" i="26" s="1"/>
  <c r="E74" i="28"/>
  <c r="F74" i="28" s="1"/>
  <c r="I74" i="46" s="1"/>
  <c r="F273" i="45"/>
  <c r="E79" i="28"/>
  <c r="F79" i="28" s="1"/>
  <c r="I79" i="46" s="1"/>
  <c r="X31" i="6"/>
  <c r="G26" i="52"/>
  <c r="E26" i="54" s="1"/>
  <c r="R54" i="26"/>
  <c r="W54" i="26" s="1"/>
  <c r="G31" i="45"/>
  <c r="Z31" i="6"/>
  <c r="Y31" i="6"/>
  <c r="H31" i="28"/>
  <c r="I31" i="28" s="1"/>
  <c r="J31" i="46" s="1"/>
  <c r="O252" i="28"/>
  <c r="P252" i="28"/>
  <c r="F252" i="28"/>
  <c r="I252" i="46" s="1"/>
  <c r="G252" i="28"/>
  <c r="L252" i="46" s="1"/>
  <c r="P6" i="28"/>
  <c r="O6" i="28"/>
  <c r="P120" i="28"/>
  <c r="O120" i="28"/>
  <c r="P215" i="28"/>
  <c r="O215" i="28"/>
  <c r="P184" i="28"/>
  <c r="O184" i="28"/>
  <c r="P79" i="28"/>
  <c r="O79" i="28"/>
  <c r="AZ90" i="7"/>
  <c r="AY90" i="7"/>
  <c r="F90" i="39"/>
  <c r="G90" i="39" s="1"/>
  <c r="BB90" i="7"/>
  <c r="AY252" i="7"/>
  <c r="AZ252" i="7"/>
  <c r="BB252" i="7"/>
  <c r="F252" i="39"/>
  <c r="G252" i="39" s="1"/>
  <c r="K252" i="39"/>
  <c r="I252" i="39"/>
  <c r="P173" i="28"/>
  <c r="O173" i="28"/>
  <c r="R76" i="26"/>
  <c r="X76" i="26" s="1"/>
  <c r="P189" i="28"/>
  <c r="O189" i="28"/>
  <c r="H249" i="46"/>
  <c r="E249" i="28"/>
  <c r="J167" i="28"/>
  <c r="M167" i="46" s="1"/>
  <c r="F129" i="45"/>
  <c r="R37" i="26"/>
  <c r="X37" i="26" s="1"/>
  <c r="E151" i="28"/>
  <c r="R199" i="26"/>
  <c r="R151" i="26"/>
  <c r="X151" i="26" s="1"/>
  <c r="F45" i="45"/>
  <c r="F207" i="45"/>
  <c r="F89" i="45"/>
  <c r="R207" i="26"/>
  <c r="F258" i="45"/>
  <c r="F76" i="45"/>
  <c r="F289" i="45"/>
  <c r="E76" i="28"/>
  <c r="F76" i="28" s="1"/>
  <c r="I76" i="46" s="1"/>
  <c r="F93" i="45"/>
  <c r="F10" i="45"/>
  <c r="E289" i="28"/>
  <c r="R89" i="26"/>
  <c r="U89" i="26" s="1"/>
  <c r="F212" i="45"/>
  <c r="F199" i="45"/>
  <c r="E37" i="28"/>
  <c r="F37" i="28" s="1"/>
  <c r="I37" i="46" s="1"/>
  <c r="R93" i="26"/>
  <c r="X93" i="26" s="1"/>
  <c r="E10" i="28"/>
  <c r="G10" i="28" s="1"/>
  <c r="L10" i="46" s="1"/>
  <c r="R109" i="26"/>
  <c r="X109" i="26" s="1"/>
  <c r="O147" i="52"/>
  <c r="K221" i="52"/>
  <c r="O113" i="52"/>
  <c r="O285" i="52"/>
  <c r="I245" i="45"/>
  <c r="BB243" i="7"/>
  <c r="X219" i="6"/>
  <c r="AC219" i="6"/>
  <c r="Y219" i="6"/>
  <c r="AA219" i="6"/>
  <c r="G219" i="45"/>
  <c r="V219" i="6"/>
  <c r="U219" i="6"/>
  <c r="Z219" i="6"/>
  <c r="W219" i="6"/>
  <c r="T219" i="6"/>
  <c r="H219" i="28"/>
  <c r="I219" i="28" s="1"/>
  <c r="J219" i="46" s="1"/>
  <c r="Y117" i="6"/>
  <c r="X117" i="6"/>
  <c r="U117" i="6"/>
  <c r="V31" i="6"/>
  <c r="V117" i="6"/>
  <c r="H290" i="28"/>
  <c r="J290" i="28" s="1"/>
  <c r="M290" i="46" s="1"/>
  <c r="W31" i="6"/>
  <c r="AC279" i="6"/>
  <c r="V279" i="6"/>
  <c r="W117" i="6"/>
  <c r="Y272" i="6"/>
  <c r="G272" i="45"/>
  <c r="R187" i="6"/>
  <c r="Z187" i="6" s="1"/>
  <c r="AC117" i="6"/>
  <c r="H117" i="28"/>
  <c r="J117" i="28" s="1"/>
  <c r="M117" i="46" s="1"/>
  <c r="Z290" i="6"/>
  <c r="Z117" i="6"/>
  <c r="H122" i="28"/>
  <c r="V122" i="6"/>
  <c r="G122" i="45"/>
  <c r="AC122" i="6"/>
  <c r="Y122" i="6"/>
  <c r="Z122" i="6"/>
  <c r="T122" i="6"/>
  <c r="W122" i="6"/>
  <c r="X122" i="6"/>
  <c r="AA122" i="6"/>
  <c r="U122" i="6"/>
  <c r="AA117" i="6"/>
  <c r="R55" i="26"/>
  <c r="R155" i="26"/>
  <c r="G154" i="52"/>
  <c r="E154" i="54" s="1"/>
  <c r="BB67" i="7"/>
  <c r="F48" i="39"/>
  <c r="G48" i="39" s="1"/>
  <c r="F104" i="39"/>
  <c r="G104" i="39" s="1"/>
  <c r="AZ283" i="7"/>
  <c r="AZ67" i="7"/>
  <c r="AY67" i="7"/>
  <c r="E96" i="28"/>
  <c r="F96" i="45"/>
  <c r="AC34" i="6"/>
  <c r="Z34" i="6"/>
  <c r="G34" i="45"/>
  <c r="V34" i="6"/>
  <c r="AA34" i="6"/>
  <c r="U34" i="6"/>
  <c r="Y34" i="6"/>
  <c r="W34" i="6"/>
  <c r="T34" i="6"/>
  <c r="X34" i="6"/>
  <c r="H34" i="28"/>
  <c r="F79" i="45"/>
  <c r="E214" i="28"/>
  <c r="T213" i="6"/>
  <c r="Z139" i="6"/>
  <c r="X213" i="6"/>
  <c r="G139" i="45"/>
  <c r="F251" i="45"/>
  <c r="X139" i="6"/>
  <c r="R197" i="6"/>
  <c r="AB197" i="6" s="1"/>
  <c r="E226" i="28"/>
  <c r="T139" i="6"/>
  <c r="F226" i="45"/>
  <c r="E55" i="28"/>
  <c r="G55" i="28" s="1"/>
  <c r="L55" i="46" s="1"/>
  <c r="F187" i="45"/>
  <c r="H139" i="28"/>
  <c r="W139" i="6"/>
  <c r="F55" i="45"/>
  <c r="G190" i="45"/>
  <c r="AA139" i="6"/>
  <c r="T190" i="6"/>
  <c r="R251" i="26"/>
  <c r="AC139" i="6"/>
  <c r="H213" i="28"/>
  <c r="J213" i="28" s="1"/>
  <c r="M213" i="46" s="1"/>
  <c r="V213" i="6"/>
  <c r="Z190" i="6"/>
  <c r="F155" i="45"/>
  <c r="V139" i="6"/>
  <c r="F189" i="45"/>
  <c r="W213" i="6"/>
  <c r="X190" i="6"/>
  <c r="E155" i="28"/>
  <c r="G155" i="28" s="1"/>
  <c r="L155" i="46" s="1"/>
  <c r="E31" i="28"/>
  <c r="G31" i="28" s="1"/>
  <c r="L31" i="46" s="1"/>
  <c r="AC213" i="6"/>
  <c r="AA190" i="6"/>
  <c r="F31" i="45"/>
  <c r="Z213" i="6"/>
  <c r="W190" i="6"/>
  <c r="Y213" i="6"/>
  <c r="AC190" i="6"/>
  <c r="R170" i="26"/>
  <c r="X170" i="26" s="1"/>
  <c r="E39" i="28"/>
  <c r="F39" i="28" s="1"/>
  <c r="I39" i="46" s="1"/>
  <c r="E170" i="28"/>
  <c r="AA213" i="6"/>
  <c r="Y190" i="6"/>
  <c r="R96" i="26"/>
  <c r="T96" i="26" s="1"/>
  <c r="U203" i="6"/>
  <c r="Y254" i="6"/>
  <c r="G254" i="45"/>
  <c r="X254" i="6"/>
  <c r="Z254" i="6"/>
  <c r="H254" i="28"/>
  <c r="I254" i="28" s="1"/>
  <c r="J254" i="46" s="1"/>
  <c r="AA254" i="6"/>
  <c r="T254" i="6"/>
  <c r="W254" i="6"/>
  <c r="U254" i="6"/>
  <c r="V254" i="6"/>
  <c r="AC254" i="6"/>
  <c r="E48" i="28"/>
  <c r="G48" i="28" s="1"/>
  <c r="L48" i="46" s="1"/>
  <c r="R219" i="26"/>
  <c r="E260" i="28"/>
  <c r="F260" i="28" s="1"/>
  <c r="I260" i="46" s="1"/>
  <c r="R48" i="26"/>
  <c r="X79" i="6"/>
  <c r="I155" i="45"/>
  <c r="AC79" i="6"/>
  <c r="O188" i="28"/>
  <c r="P188" i="28"/>
  <c r="W79" i="6"/>
  <c r="E280" i="28"/>
  <c r="F280" i="28" s="1"/>
  <c r="I280" i="46" s="1"/>
  <c r="F149" i="45"/>
  <c r="H79" i="28"/>
  <c r="J79" i="28" s="1"/>
  <c r="M79" i="46" s="1"/>
  <c r="BB148" i="7"/>
  <c r="F280" i="45"/>
  <c r="E149" i="28"/>
  <c r="G149" i="28" s="1"/>
  <c r="L149" i="46" s="1"/>
  <c r="U79" i="6"/>
  <c r="R149" i="26"/>
  <c r="G79" i="45"/>
  <c r="V258" i="6"/>
  <c r="AC258" i="6"/>
  <c r="Y258" i="6"/>
  <c r="W258" i="6"/>
  <c r="G258" i="45"/>
  <c r="X258" i="6"/>
  <c r="T258" i="6"/>
  <c r="Z258" i="6"/>
  <c r="U258" i="6"/>
  <c r="AA258" i="6"/>
  <c r="H258" i="28"/>
  <c r="Y79" i="6"/>
  <c r="V79" i="6"/>
  <c r="P157" i="28"/>
  <c r="O157" i="28"/>
  <c r="AA79" i="6"/>
  <c r="F219" i="45"/>
  <c r="T79" i="6"/>
  <c r="R114" i="26"/>
  <c r="G25" i="45"/>
  <c r="T25" i="6"/>
  <c r="X25" i="6"/>
  <c r="W25" i="6"/>
  <c r="AA25" i="6"/>
  <c r="V25" i="6"/>
  <c r="U25" i="6"/>
  <c r="Y25" i="6"/>
  <c r="AC25" i="6"/>
  <c r="F114" i="45"/>
  <c r="R74" i="26"/>
  <c r="F196" i="45"/>
  <c r="F94" i="45"/>
  <c r="F272" i="45"/>
  <c r="E94" i="28"/>
  <c r="F94" i="28" s="1"/>
  <c r="I94" i="46" s="1"/>
  <c r="D8" i="39"/>
  <c r="AY243" i="7"/>
  <c r="T134" i="6"/>
  <c r="Y134" i="6"/>
  <c r="Z134" i="6"/>
  <c r="W134" i="6"/>
  <c r="X134" i="6"/>
  <c r="H134" i="28"/>
  <c r="J134" i="28" s="1"/>
  <c r="M134" i="46" s="1"/>
  <c r="AC134" i="6"/>
  <c r="AA134" i="6"/>
  <c r="V134" i="6"/>
  <c r="U134" i="6"/>
  <c r="G134" i="45"/>
  <c r="T162" i="6"/>
  <c r="AA277" i="6"/>
  <c r="X277" i="6"/>
  <c r="G277" i="45"/>
  <c r="W277" i="6"/>
  <c r="U277" i="6"/>
  <c r="AC277" i="6"/>
  <c r="V277" i="6"/>
  <c r="H277" i="28"/>
  <c r="Y277" i="6"/>
  <c r="Z277" i="6"/>
  <c r="T277" i="6"/>
  <c r="H162" i="28"/>
  <c r="U261" i="6"/>
  <c r="AA261" i="6"/>
  <c r="T209" i="6"/>
  <c r="V261" i="6"/>
  <c r="AA162" i="6"/>
  <c r="V209" i="6"/>
  <c r="Y261" i="6"/>
  <c r="V109" i="6"/>
  <c r="AA109" i="6"/>
  <c r="U109" i="6"/>
  <c r="Z109" i="6"/>
  <c r="AC109" i="6"/>
  <c r="Y109" i="6"/>
  <c r="T109" i="6"/>
  <c r="X109" i="6"/>
  <c r="W109" i="6"/>
  <c r="G109" i="45"/>
  <c r="H109" i="28"/>
  <c r="AC209" i="6"/>
  <c r="T261" i="6"/>
  <c r="J115" i="28"/>
  <c r="M115" i="46" s="1"/>
  <c r="W209" i="6"/>
  <c r="G261" i="45"/>
  <c r="H209" i="28"/>
  <c r="I209" i="28" s="1"/>
  <c r="J209" i="46" s="1"/>
  <c r="Z261" i="6"/>
  <c r="U209" i="6"/>
  <c r="W261" i="6"/>
  <c r="X261" i="6"/>
  <c r="X209" i="6"/>
  <c r="AC261" i="6"/>
  <c r="Z209" i="6"/>
  <c r="Y209" i="6"/>
  <c r="H172" i="46"/>
  <c r="R64" i="26"/>
  <c r="X64" i="26" s="1"/>
  <c r="I288" i="45"/>
  <c r="R59" i="26"/>
  <c r="Y59" i="26" s="1"/>
  <c r="R282" i="26"/>
  <c r="X282" i="26" s="1"/>
  <c r="R253" i="26"/>
  <c r="Z253" i="26" s="1"/>
  <c r="I253" i="45"/>
  <c r="AZ130" i="7"/>
  <c r="AY130" i="7"/>
  <c r="F130" i="39"/>
  <c r="G130" i="39" s="1"/>
  <c r="BB130" i="7"/>
  <c r="AZ154" i="7"/>
  <c r="BB154" i="7"/>
  <c r="F154" i="39"/>
  <c r="G154" i="39" s="1"/>
  <c r="AY154" i="7"/>
  <c r="AY119" i="7"/>
  <c r="F119" i="39"/>
  <c r="G119" i="39" s="1"/>
  <c r="BB119" i="7"/>
  <c r="AZ119" i="7"/>
  <c r="AC154" i="6"/>
  <c r="G154" i="45"/>
  <c r="X154" i="6"/>
  <c r="H154" i="28"/>
  <c r="J154" i="28" s="1"/>
  <c r="M154" i="46" s="1"/>
  <c r="Y154" i="6"/>
  <c r="V154" i="6"/>
  <c r="AA154" i="6"/>
  <c r="Z154" i="6"/>
  <c r="T154" i="6"/>
  <c r="U154" i="6"/>
  <c r="W154" i="6"/>
  <c r="V288" i="6"/>
  <c r="AC288" i="6"/>
  <c r="H288" i="28"/>
  <c r="I288" i="28" s="1"/>
  <c r="J288" i="46" s="1"/>
  <c r="X288" i="6"/>
  <c r="Y288" i="6"/>
  <c r="AA288" i="6"/>
  <c r="U288" i="6"/>
  <c r="Z288" i="6"/>
  <c r="G288" i="45"/>
  <c r="W288" i="6"/>
  <c r="T288" i="6"/>
  <c r="R107" i="26"/>
  <c r="E217" i="28"/>
  <c r="F165" i="45"/>
  <c r="T239" i="6"/>
  <c r="H97" i="28"/>
  <c r="Y97" i="6"/>
  <c r="Z97" i="6"/>
  <c r="V97" i="6"/>
  <c r="AC97" i="6"/>
  <c r="AA97" i="6"/>
  <c r="U97" i="6"/>
  <c r="X97" i="6"/>
  <c r="T97" i="6"/>
  <c r="G97" i="45"/>
  <c r="W97" i="6"/>
  <c r="F217" i="45"/>
  <c r="E64" i="28"/>
  <c r="G64" i="28" s="1"/>
  <c r="L64" i="46" s="1"/>
  <c r="E154" i="28"/>
  <c r="G154" i="28" s="1"/>
  <c r="L154" i="46" s="1"/>
  <c r="U239" i="6"/>
  <c r="E188" i="28"/>
  <c r="G188" i="28" s="1"/>
  <c r="L188" i="46" s="1"/>
  <c r="AC239" i="6"/>
  <c r="F64" i="45"/>
  <c r="F222" i="45"/>
  <c r="W239" i="6"/>
  <c r="G159" i="45"/>
  <c r="V239" i="6"/>
  <c r="F190" i="45"/>
  <c r="Y159" i="6"/>
  <c r="E222" i="28"/>
  <c r="X239" i="6"/>
  <c r="R165" i="26"/>
  <c r="T165" i="26" s="1"/>
  <c r="E190" i="28"/>
  <c r="F190" i="28" s="1"/>
  <c r="I190" i="46" s="1"/>
  <c r="V159" i="6"/>
  <c r="H239" i="28"/>
  <c r="I239" i="28" s="1"/>
  <c r="J239" i="46" s="1"/>
  <c r="H159" i="28"/>
  <c r="I159" i="28" s="1"/>
  <c r="J159" i="46" s="1"/>
  <c r="AA57" i="6"/>
  <c r="V57" i="6"/>
  <c r="H57" i="28"/>
  <c r="Z57" i="6"/>
  <c r="U57" i="6"/>
  <c r="G57" i="45"/>
  <c r="X57" i="6"/>
  <c r="T57" i="6"/>
  <c r="AC57" i="6"/>
  <c r="W57" i="6"/>
  <c r="Y57" i="6"/>
  <c r="Z159" i="6"/>
  <c r="H137" i="28"/>
  <c r="V137" i="6"/>
  <c r="G137" i="45"/>
  <c r="U137" i="6"/>
  <c r="X137" i="6"/>
  <c r="Y137" i="6"/>
  <c r="AA137" i="6"/>
  <c r="T137" i="6"/>
  <c r="Z137" i="6"/>
  <c r="W137" i="6"/>
  <c r="AC137" i="6"/>
  <c r="F103" i="45"/>
  <c r="W159" i="6"/>
  <c r="E107" i="28"/>
  <c r="U159" i="6"/>
  <c r="R66" i="6"/>
  <c r="AB66" i="6" s="1"/>
  <c r="AC159" i="6"/>
  <c r="F125" i="45"/>
  <c r="F107" i="45"/>
  <c r="AA159" i="6"/>
  <c r="G239" i="45"/>
  <c r="F116" i="45"/>
  <c r="E116" i="28"/>
  <c r="K235" i="39"/>
  <c r="I235" i="39"/>
  <c r="E138" i="28"/>
  <c r="F138" i="28" s="1"/>
  <c r="I138" i="46" s="1"/>
  <c r="E161" i="28"/>
  <c r="G161" i="28" s="1"/>
  <c r="L161" i="46" s="1"/>
  <c r="G106" i="52"/>
  <c r="E106" i="54" s="1"/>
  <c r="K239" i="39"/>
  <c r="I239" i="39"/>
  <c r="E179" i="28"/>
  <c r="F179" i="28" s="1"/>
  <c r="I179" i="46" s="1"/>
  <c r="E255" i="28"/>
  <c r="P180" i="28"/>
  <c r="O180" i="28"/>
  <c r="O235" i="52"/>
  <c r="C154" i="54"/>
  <c r="F282" i="45"/>
  <c r="F249" i="45"/>
  <c r="X241" i="6"/>
  <c r="U241" i="6"/>
  <c r="Z113" i="6"/>
  <c r="AZ235" i="7"/>
  <c r="F235" i="39"/>
  <c r="G235" i="39" s="1"/>
  <c r="AY235" i="7"/>
  <c r="BB235" i="7"/>
  <c r="E282" i="28"/>
  <c r="F282" i="28" s="1"/>
  <c r="I282" i="46" s="1"/>
  <c r="W241" i="6"/>
  <c r="I88" i="45"/>
  <c r="AC241" i="6"/>
  <c r="P114" i="28"/>
  <c r="O114" i="28"/>
  <c r="P133" i="28"/>
  <c r="O133" i="28"/>
  <c r="F59" i="45"/>
  <c r="R20" i="26"/>
  <c r="T241" i="6"/>
  <c r="I111" i="45"/>
  <c r="K42" i="52"/>
  <c r="Z241" i="6"/>
  <c r="O124" i="28"/>
  <c r="P260" i="28"/>
  <c r="O260" i="28"/>
  <c r="V241" i="6"/>
  <c r="K94" i="39"/>
  <c r="I94" i="39"/>
  <c r="H94" i="46"/>
  <c r="E59" i="28"/>
  <c r="G59" i="28" s="1"/>
  <c r="L59" i="46" s="1"/>
  <c r="E124" i="28"/>
  <c r="F74" i="45"/>
  <c r="AA241" i="6"/>
  <c r="E235" i="28"/>
  <c r="F235" i="45"/>
  <c r="O42" i="52"/>
  <c r="I20" i="45"/>
  <c r="H241" i="28"/>
  <c r="H113" i="28"/>
  <c r="I113" i="28" s="1"/>
  <c r="J113" i="46" s="1"/>
  <c r="P195" i="28"/>
  <c r="BB68" i="7"/>
  <c r="F68" i="39"/>
  <c r="G68" i="39" s="1"/>
  <c r="AZ68" i="7"/>
  <c r="AY68" i="7"/>
  <c r="F161" i="45"/>
  <c r="Y241" i="6"/>
  <c r="H120" i="46"/>
  <c r="F138" i="45"/>
  <c r="R161" i="26"/>
  <c r="AC220" i="6"/>
  <c r="H220" i="28"/>
  <c r="T220" i="6"/>
  <c r="U220" i="6"/>
  <c r="G220" i="45"/>
  <c r="V220" i="6"/>
  <c r="AA220" i="6"/>
  <c r="Z220" i="6"/>
  <c r="W220" i="6"/>
  <c r="X220" i="6"/>
  <c r="Y220" i="6"/>
  <c r="AY93" i="7"/>
  <c r="BB93" i="7"/>
  <c r="AZ93" i="7"/>
  <c r="F93" i="39"/>
  <c r="G93" i="39" s="1"/>
  <c r="I200" i="45"/>
  <c r="E190" i="54"/>
  <c r="E191" i="54"/>
  <c r="I60" i="45"/>
  <c r="I99" i="45"/>
  <c r="I191" i="45"/>
  <c r="I279" i="45"/>
  <c r="I114" i="45"/>
  <c r="I84" i="45"/>
  <c r="T203" i="6"/>
  <c r="Z10" i="6"/>
  <c r="X10" i="6"/>
  <c r="V10" i="6"/>
  <c r="U10" i="6"/>
  <c r="G10" i="45"/>
  <c r="T10" i="6"/>
  <c r="AC10" i="6"/>
  <c r="AA10" i="6"/>
  <c r="W203" i="6"/>
  <c r="Y203" i="6"/>
  <c r="AA40" i="6"/>
  <c r="U40" i="6"/>
  <c r="T40" i="6"/>
  <c r="W83" i="6"/>
  <c r="T83" i="6"/>
  <c r="U133" i="6"/>
  <c r="T133" i="6"/>
  <c r="X133" i="6"/>
  <c r="Z133" i="6"/>
  <c r="G133" i="45"/>
  <c r="AA133" i="6"/>
  <c r="W133" i="6"/>
  <c r="AC133" i="6"/>
  <c r="Y133" i="6"/>
  <c r="V133" i="6"/>
  <c r="H133" i="28"/>
  <c r="V203" i="6"/>
  <c r="G203" i="45"/>
  <c r="H203" i="28"/>
  <c r="I203" i="28" s="1"/>
  <c r="J203" i="46" s="1"/>
  <c r="Z270" i="6"/>
  <c r="T270" i="6"/>
  <c r="V270" i="6"/>
  <c r="X270" i="6"/>
  <c r="Y270" i="6"/>
  <c r="H270" i="28"/>
  <c r="AC270" i="6"/>
  <c r="AA270" i="6"/>
  <c r="W270" i="6"/>
  <c r="U270" i="6"/>
  <c r="G270" i="45"/>
  <c r="H19" i="28"/>
  <c r="T19" i="6"/>
  <c r="G19" i="45"/>
  <c r="AA19" i="6"/>
  <c r="W19" i="6"/>
  <c r="V19" i="6"/>
  <c r="X19" i="6"/>
  <c r="U19" i="6"/>
  <c r="Y19" i="6"/>
  <c r="Z19" i="6"/>
  <c r="AC19" i="6"/>
  <c r="AC233" i="6"/>
  <c r="T233" i="6"/>
  <c r="H233" i="28"/>
  <c r="AA233" i="6"/>
  <c r="Z233" i="6"/>
  <c r="Y233" i="6"/>
  <c r="X233" i="6"/>
  <c r="G233" i="45"/>
  <c r="W233" i="6"/>
  <c r="V233" i="6"/>
  <c r="U233" i="6"/>
  <c r="AA203" i="6"/>
  <c r="X203" i="6"/>
  <c r="W111" i="6"/>
  <c r="X111" i="6"/>
  <c r="AC111" i="6"/>
  <c r="U111" i="6"/>
  <c r="T111" i="6"/>
  <c r="AA111" i="6"/>
  <c r="H111" i="28"/>
  <c r="V111" i="6"/>
  <c r="Z111" i="6"/>
  <c r="G111" i="45"/>
  <c r="Y111" i="6"/>
  <c r="AC203" i="6"/>
  <c r="U130" i="6"/>
  <c r="Y130" i="6"/>
  <c r="W130" i="6"/>
  <c r="H130" i="28"/>
  <c r="AC130" i="6"/>
  <c r="X130" i="6"/>
  <c r="V130" i="6"/>
  <c r="T130" i="6"/>
  <c r="Z130" i="6"/>
  <c r="G130" i="45"/>
  <c r="AA130" i="6"/>
  <c r="R43" i="26"/>
  <c r="V43" i="26" s="1"/>
  <c r="I201" i="45"/>
  <c r="I194" i="45"/>
  <c r="I242" i="45"/>
  <c r="R242" i="26"/>
  <c r="X242" i="26" s="1"/>
  <c r="I18" i="45"/>
  <c r="I263" i="45"/>
  <c r="I28" i="45"/>
  <c r="R28" i="26"/>
  <c r="X28" i="26" s="1"/>
  <c r="I65" i="45"/>
  <c r="I141" i="45"/>
  <c r="R141" i="26"/>
  <c r="X141" i="26" s="1"/>
  <c r="I53" i="45"/>
  <c r="I246" i="45"/>
  <c r="I68" i="45"/>
  <c r="I244" i="45"/>
  <c r="I19" i="45"/>
  <c r="I105" i="45"/>
  <c r="I94" i="45"/>
  <c r="I95" i="45"/>
  <c r="I41" i="45"/>
  <c r="I93" i="45"/>
  <c r="I243" i="45"/>
  <c r="I50" i="45"/>
  <c r="I74" i="45"/>
  <c r="I55" i="45"/>
  <c r="I63" i="45"/>
  <c r="R63" i="26"/>
  <c r="X63" i="26" s="1"/>
  <c r="I102" i="45"/>
  <c r="I108" i="45"/>
  <c r="I81" i="45"/>
  <c r="I203" i="45"/>
  <c r="I100" i="45"/>
  <c r="I272" i="45"/>
  <c r="I172" i="45"/>
  <c r="I133" i="45"/>
  <c r="I17" i="45"/>
  <c r="I29" i="45"/>
  <c r="I51" i="45"/>
  <c r="R51" i="26"/>
  <c r="X51" i="26" s="1"/>
  <c r="I112" i="45"/>
  <c r="I72" i="45"/>
  <c r="F245" i="39"/>
  <c r="G245" i="39" s="1"/>
  <c r="AY245" i="7"/>
  <c r="AZ245" i="7"/>
  <c r="BB245" i="7"/>
  <c r="AU193" i="7"/>
  <c r="AY187" i="7"/>
  <c r="BB187" i="7"/>
  <c r="AZ187" i="7"/>
  <c r="F250" i="39"/>
  <c r="G250" i="39" s="1"/>
  <c r="H88" i="28"/>
  <c r="AA88" i="6"/>
  <c r="V88" i="6"/>
  <c r="Z88" i="6"/>
  <c r="G88" i="45"/>
  <c r="U88" i="6"/>
  <c r="AC88" i="6"/>
  <c r="X88" i="6"/>
  <c r="W88" i="6"/>
  <c r="Y88" i="6"/>
  <c r="T88" i="6"/>
  <c r="Z243" i="6"/>
  <c r="W243" i="6"/>
  <c r="AA243" i="6"/>
  <c r="G243" i="45"/>
  <c r="T243" i="6"/>
  <c r="Y243" i="6"/>
  <c r="X243" i="6"/>
  <c r="U243" i="6"/>
  <c r="AC243" i="6"/>
  <c r="H243" i="28"/>
  <c r="V243" i="6"/>
  <c r="H54" i="28"/>
  <c r="G54" i="45"/>
  <c r="T54" i="6"/>
  <c r="X54" i="6"/>
  <c r="W54" i="6"/>
  <c r="AA54" i="6"/>
  <c r="AA41" i="6"/>
  <c r="Y41" i="6"/>
  <c r="Z41" i="6"/>
  <c r="H41" i="28"/>
  <c r="W41" i="6"/>
  <c r="U41" i="6"/>
  <c r="G41" i="45"/>
  <c r="X41" i="6"/>
  <c r="T41" i="6"/>
  <c r="AC41" i="6"/>
  <c r="V41" i="6"/>
  <c r="T93" i="6"/>
  <c r="AA93" i="6"/>
  <c r="AC93" i="6"/>
  <c r="Y93" i="6"/>
  <c r="H93" i="28"/>
  <c r="U93" i="6"/>
  <c r="W93" i="6"/>
  <c r="G93" i="45"/>
  <c r="V93" i="6"/>
  <c r="X93" i="6"/>
  <c r="Z93" i="6"/>
  <c r="X36" i="6"/>
  <c r="G36" i="45"/>
  <c r="Z36" i="6"/>
  <c r="AC36" i="6"/>
  <c r="V36" i="6"/>
  <c r="U36" i="6"/>
  <c r="T36" i="6"/>
  <c r="W36" i="6"/>
  <c r="AA36" i="6"/>
  <c r="H36" i="28"/>
  <c r="Y36" i="6"/>
  <c r="E75" i="28"/>
  <c r="F75" i="45"/>
  <c r="AC5" i="6"/>
  <c r="T5" i="6"/>
  <c r="H5" i="28"/>
  <c r="G5" i="45"/>
  <c r="Z5" i="6"/>
  <c r="Y5" i="6"/>
  <c r="AA5" i="6"/>
  <c r="W5" i="6"/>
  <c r="X5" i="6"/>
  <c r="U5" i="6"/>
  <c r="V5" i="6"/>
  <c r="H274" i="46"/>
  <c r="H189" i="46"/>
  <c r="BB166" i="7"/>
  <c r="AY166" i="7"/>
  <c r="F166" i="39"/>
  <c r="G166" i="39" s="1"/>
  <c r="AZ166" i="7"/>
  <c r="P238" i="28"/>
  <c r="O238" i="28"/>
  <c r="P250" i="28"/>
  <c r="O250" i="28"/>
  <c r="E168" i="28"/>
  <c r="F168" i="45"/>
  <c r="I76" i="45"/>
  <c r="I238" i="45"/>
  <c r="I33" i="45"/>
  <c r="P274" i="28"/>
  <c r="O274" i="28"/>
  <c r="I277" i="45"/>
  <c r="I254" i="45"/>
  <c r="I130" i="45"/>
  <c r="I219" i="45"/>
  <c r="E43" i="28"/>
  <c r="G43" i="28" s="1"/>
  <c r="L43" i="46" s="1"/>
  <c r="P239" i="28"/>
  <c r="O239" i="28"/>
  <c r="P192" i="28"/>
  <c r="O192" i="28"/>
  <c r="F193" i="39"/>
  <c r="G193" i="39" s="1"/>
  <c r="I151" i="45"/>
  <c r="I159" i="45"/>
  <c r="I92" i="45"/>
  <c r="I34" i="45"/>
  <c r="G166" i="28"/>
  <c r="L166" i="46" s="1"/>
  <c r="J250" i="28"/>
  <c r="M250" i="46" s="1"/>
  <c r="I250" i="28"/>
  <c r="J250" i="46" s="1"/>
  <c r="I144" i="45"/>
  <c r="I236" i="45"/>
  <c r="I75" i="45"/>
  <c r="R75" i="26"/>
  <c r="X75" i="26" s="1"/>
  <c r="I116" i="45"/>
  <c r="F43" i="45"/>
  <c r="I286" i="45"/>
  <c r="E134" i="28"/>
  <c r="F134" i="45"/>
  <c r="R134" i="26"/>
  <c r="X134" i="26" s="1"/>
  <c r="I107" i="45"/>
  <c r="I54" i="45"/>
  <c r="I251" i="45"/>
  <c r="I63" i="28"/>
  <c r="J63" i="28"/>
  <c r="I183" i="45"/>
  <c r="I91" i="45"/>
  <c r="I282" i="45"/>
  <c r="I166" i="45"/>
  <c r="I43" i="45"/>
  <c r="I57" i="45"/>
  <c r="I233" i="45"/>
  <c r="I59" i="45"/>
  <c r="I284" i="45"/>
  <c r="I287" i="45"/>
  <c r="I98" i="45"/>
  <c r="AZ28" i="7"/>
  <c r="BB28" i="7"/>
  <c r="E73" i="28"/>
  <c r="G73" i="28" s="1"/>
  <c r="L73" i="46" s="1"/>
  <c r="E178" i="28"/>
  <c r="G178" i="28" s="1"/>
  <c r="L178" i="46" s="1"/>
  <c r="I48" i="45"/>
  <c r="I32" i="45"/>
  <c r="I113" i="45"/>
  <c r="I207" i="45"/>
  <c r="I82" i="45"/>
  <c r="H195" i="46"/>
  <c r="I186" i="45"/>
  <c r="F283" i="45"/>
  <c r="E283" i="28"/>
  <c r="R283" i="26"/>
  <c r="X283" i="26" s="1"/>
  <c r="R116" i="26"/>
  <c r="F73" i="45"/>
  <c r="F178" i="45"/>
  <c r="I66" i="45"/>
  <c r="I64" i="45"/>
  <c r="AY98" i="7"/>
  <c r="AZ98" i="7"/>
  <c r="F98" i="39"/>
  <c r="G98" i="39" s="1"/>
  <c r="BB98" i="7"/>
  <c r="P227" i="28"/>
  <c r="O227" i="28"/>
  <c r="I215" i="45"/>
  <c r="I237" i="45"/>
  <c r="R237" i="26"/>
  <c r="P204" i="28"/>
  <c r="I290" i="45"/>
  <c r="I270" i="45"/>
  <c r="D246" i="39"/>
  <c r="E246" i="39" s="1"/>
  <c r="I171" i="45"/>
  <c r="O202" i="28"/>
  <c r="P202" i="28"/>
  <c r="I96" i="45"/>
  <c r="R208" i="26"/>
  <c r="X208" i="26" s="1"/>
  <c r="E208" i="28"/>
  <c r="F208" i="45"/>
  <c r="O211" i="52"/>
  <c r="O261" i="52"/>
  <c r="R117" i="26"/>
  <c r="X117" i="26" s="1"/>
  <c r="F117" i="45"/>
  <c r="E117" i="28"/>
  <c r="I61" i="45"/>
  <c r="AA147" i="6"/>
  <c r="W147" i="6"/>
  <c r="Z147" i="6"/>
  <c r="T147" i="6"/>
  <c r="G147" i="45"/>
  <c r="H147" i="28"/>
  <c r="U147" i="6"/>
  <c r="V147" i="6"/>
  <c r="X147" i="6"/>
  <c r="Y147" i="6"/>
  <c r="AC147" i="6"/>
  <c r="I214" i="45"/>
  <c r="I30" i="45"/>
  <c r="R211" i="26"/>
  <c r="X211" i="26" s="1"/>
  <c r="E211" i="28"/>
  <c r="F211" i="45"/>
  <c r="I187" i="45"/>
  <c r="R187" i="26"/>
  <c r="X187" i="26" s="1"/>
  <c r="P24" i="26"/>
  <c r="C24" i="54"/>
  <c r="G24" i="52"/>
  <c r="E24" i="54" s="1"/>
  <c r="O137" i="52"/>
  <c r="O195" i="52"/>
  <c r="O218" i="52"/>
  <c r="O118" i="52"/>
  <c r="O163" i="52"/>
  <c r="O249" i="52"/>
  <c r="O248" i="52"/>
  <c r="O217" i="52"/>
  <c r="O193" i="52"/>
  <c r="K284" i="39"/>
  <c r="I284" i="39"/>
  <c r="R223" i="26"/>
  <c r="X223" i="26" s="1"/>
  <c r="E223" i="28"/>
  <c r="F223" i="45"/>
  <c r="I45" i="45"/>
  <c r="I249" i="45"/>
  <c r="E167" i="28"/>
  <c r="F167" i="45"/>
  <c r="I83" i="45"/>
  <c r="I285" i="45"/>
  <c r="I226" i="45"/>
  <c r="E198" i="28"/>
  <c r="F198" i="45"/>
  <c r="I6" i="45"/>
  <c r="R131" i="26"/>
  <c r="X131" i="26" s="1"/>
  <c r="E131" i="28"/>
  <c r="F131" i="45"/>
  <c r="I250" i="45"/>
  <c r="I124" i="45"/>
  <c r="W70" i="33"/>
  <c r="W253" i="33"/>
  <c r="Z253" i="33" s="1"/>
  <c r="S253" i="33"/>
  <c r="V253" i="33" s="1"/>
  <c r="K253" i="7" s="1"/>
  <c r="R177" i="26"/>
  <c r="X177" i="26" s="1"/>
  <c r="F177" i="45"/>
  <c r="E177" i="28"/>
  <c r="I177" i="45"/>
  <c r="I192" i="45"/>
  <c r="P167" i="26"/>
  <c r="C167" i="54"/>
  <c r="G167" i="52"/>
  <c r="E167" i="54" s="1"/>
  <c r="P31" i="26"/>
  <c r="C31" i="54"/>
  <c r="G31" i="52"/>
  <c r="E31" i="54" s="1"/>
  <c r="I138" i="45"/>
  <c r="R138" i="26"/>
  <c r="X138" i="26" s="1"/>
  <c r="I209" i="45"/>
  <c r="I199" i="45"/>
  <c r="E24" i="28"/>
  <c r="F24" i="45"/>
  <c r="I161" i="45"/>
  <c r="R124" i="26"/>
  <c r="X124" i="26" s="1"/>
  <c r="O257" i="52"/>
  <c r="O196" i="52"/>
  <c r="I213" i="45"/>
  <c r="F195" i="45"/>
  <c r="E195" i="28"/>
  <c r="I280" i="45"/>
  <c r="I173" i="45"/>
  <c r="P27" i="26"/>
  <c r="C27" i="54"/>
  <c r="G27" i="52"/>
  <c r="E27" i="54" s="1"/>
  <c r="O188" i="52"/>
  <c r="O210" i="52"/>
  <c r="O173" i="52"/>
  <c r="O258" i="52"/>
  <c r="O250" i="52"/>
  <c r="O135" i="52"/>
  <c r="O136" i="52"/>
  <c r="O260" i="52"/>
  <c r="O103" i="52"/>
  <c r="I143" i="45"/>
  <c r="I23" i="45"/>
  <c r="R23" i="26"/>
  <c r="X23" i="26" s="1"/>
  <c r="R139" i="26"/>
  <c r="X139" i="26" s="1"/>
  <c r="E139" i="28"/>
  <c r="F139" i="45"/>
  <c r="I211" i="45"/>
  <c r="P195" i="26"/>
  <c r="C195" i="54"/>
  <c r="G195" i="52"/>
  <c r="E195" i="54" s="1"/>
  <c r="I129" i="45"/>
  <c r="F262" i="45"/>
  <c r="E262" i="28"/>
  <c r="I35" i="45"/>
  <c r="H155" i="28"/>
  <c r="T155" i="6"/>
  <c r="AA155" i="6"/>
  <c r="G155" i="45"/>
  <c r="Y155" i="6"/>
  <c r="V155" i="6"/>
  <c r="X155" i="6"/>
  <c r="U155" i="6"/>
  <c r="Z155" i="6"/>
  <c r="W155" i="6"/>
  <c r="AC155" i="6"/>
  <c r="I204" i="45"/>
  <c r="I278" i="45"/>
  <c r="W221" i="6"/>
  <c r="V221" i="6"/>
  <c r="U221" i="6"/>
  <c r="Y221" i="6"/>
  <c r="G221" i="45"/>
  <c r="H221" i="28"/>
  <c r="AA221" i="6"/>
  <c r="AC221" i="6"/>
  <c r="T221" i="6"/>
  <c r="Z221" i="6"/>
  <c r="P152" i="26"/>
  <c r="G152" i="52"/>
  <c r="E152" i="54" s="1"/>
  <c r="C152" i="54"/>
  <c r="I142" i="45"/>
  <c r="I239" i="45"/>
  <c r="I139" i="45"/>
  <c r="I62" i="45"/>
  <c r="R239" i="26"/>
  <c r="X239" i="26" s="1"/>
  <c r="I273" i="45"/>
  <c r="P132" i="26"/>
  <c r="G132" i="52"/>
  <c r="E132" i="54" s="1"/>
  <c r="C132" i="54"/>
  <c r="I4" i="51"/>
  <c r="J4" i="51" s="1"/>
  <c r="O4" i="52"/>
  <c r="I22" i="45"/>
  <c r="I264" i="45"/>
  <c r="I80" i="45"/>
  <c r="I162" i="45"/>
  <c r="I127" i="45"/>
  <c r="R213" i="26"/>
  <c r="X213" i="26" s="1"/>
  <c r="O61" i="52"/>
  <c r="O175" i="52"/>
  <c r="O150" i="52"/>
  <c r="O156" i="52"/>
  <c r="O280" i="52"/>
  <c r="O152" i="52"/>
  <c r="O123" i="52"/>
  <c r="O184" i="52"/>
  <c r="O119" i="52"/>
  <c r="R83" i="26"/>
  <c r="X83" i="26" s="1"/>
  <c r="E83" i="28"/>
  <c r="F83" i="45"/>
  <c r="P9" i="26"/>
  <c r="C9" i="54"/>
  <c r="G9" i="52"/>
  <c r="E9" i="54" s="1"/>
  <c r="R200" i="26"/>
  <c r="X200" i="26" s="1"/>
  <c r="E200" i="28"/>
  <c r="F200" i="45"/>
  <c r="P205" i="26"/>
  <c r="C205" i="54"/>
  <c r="G205" i="52"/>
  <c r="E205" i="54" s="1"/>
  <c r="I128" i="45"/>
  <c r="I58" i="45"/>
  <c r="R58" i="26"/>
  <c r="X58" i="26" s="1"/>
  <c r="I122" i="45"/>
  <c r="S254" i="33"/>
  <c r="V254" i="33" s="1"/>
  <c r="K254" i="7" s="1"/>
  <c r="W254" i="33"/>
  <c r="Z254" i="33" s="1"/>
  <c r="I137" i="45"/>
  <c r="I117" i="45"/>
  <c r="K210" i="39"/>
  <c r="I210" i="39"/>
  <c r="R280" i="26"/>
  <c r="X280" i="26" s="1"/>
  <c r="R143" i="26"/>
  <c r="X143" i="26" s="1"/>
  <c r="F232" i="45"/>
  <c r="E232" i="28"/>
  <c r="I36" i="45"/>
  <c r="R36" i="26"/>
  <c r="X36" i="26" s="1"/>
  <c r="P71" i="26"/>
  <c r="C71" i="54"/>
  <c r="G71" i="52"/>
  <c r="E71" i="54" s="1"/>
  <c r="R290" i="26"/>
  <c r="X290" i="26" s="1"/>
  <c r="E290" i="28"/>
  <c r="F290" i="45"/>
  <c r="I276" i="45"/>
  <c r="I5" i="45"/>
  <c r="O71" i="52"/>
  <c r="I87" i="45"/>
  <c r="I136" i="45"/>
  <c r="I197" i="45"/>
  <c r="P169" i="26"/>
  <c r="G169" i="52"/>
  <c r="E169" i="54" s="1"/>
  <c r="C169" i="54"/>
  <c r="I40" i="45"/>
  <c r="R30" i="26"/>
  <c r="X30" i="26" s="1"/>
  <c r="I73" i="45"/>
  <c r="O264" i="52"/>
  <c r="O26" i="52"/>
  <c r="O6" i="52"/>
  <c r="O27" i="52"/>
  <c r="O169" i="52"/>
  <c r="O132" i="52"/>
  <c r="O85" i="52"/>
  <c r="O24" i="52"/>
  <c r="O227" i="52"/>
  <c r="O31" i="52"/>
  <c r="F26" i="28"/>
  <c r="I26" i="46" s="1"/>
  <c r="I275" i="45"/>
  <c r="I119" i="45"/>
  <c r="I131" i="45"/>
  <c r="I175" i="45"/>
  <c r="I258" i="45"/>
  <c r="E169" i="28"/>
  <c r="F169" i="45"/>
  <c r="R264" i="26"/>
  <c r="X264" i="26" s="1"/>
  <c r="I101" i="45"/>
  <c r="S23" i="33"/>
  <c r="I202" i="45"/>
  <c r="E259" i="28"/>
  <c r="F259" i="45"/>
  <c r="I182" i="45"/>
  <c r="I181" i="45"/>
  <c r="P39" i="26"/>
  <c r="C39" i="54"/>
  <c r="G39" i="52"/>
  <c r="E39" i="54" s="1"/>
  <c r="I85" i="45"/>
  <c r="R214" i="26"/>
  <c r="X214" i="26" s="1"/>
  <c r="R69" i="26"/>
  <c r="X69" i="26" s="1"/>
  <c r="E69" i="28"/>
  <c r="F69" i="45"/>
  <c r="R249" i="26"/>
  <c r="X249" i="26" s="1"/>
  <c r="R250" i="26"/>
  <c r="X250" i="26" s="1"/>
  <c r="I206" i="45"/>
  <c r="P103" i="26"/>
  <c r="C103" i="54"/>
  <c r="G103" i="52"/>
  <c r="E103" i="54" s="1"/>
  <c r="O115" i="52"/>
  <c r="I261" i="45"/>
  <c r="I67" i="45"/>
  <c r="P184" i="26"/>
  <c r="G184" i="52"/>
  <c r="E184" i="54" s="1"/>
  <c r="C184" i="54"/>
  <c r="K136" i="39"/>
  <c r="I136" i="39"/>
  <c r="R87" i="26"/>
  <c r="X87" i="26" s="1"/>
  <c r="I221" i="45"/>
  <c r="I156" i="45"/>
  <c r="R156" i="26"/>
  <c r="X156" i="26" s="1"/>
  <c r="E156" i="28"/>
  <c r="F156" i="45"/>
  <c r="I210" i="45"/>
  <c r="I222" i="45"/>
  <c r="I153" i="45"/>
  <c r="O121" i="52"/>
  <c r="O145" i="52"/>
  <c r="O39" i="52"/>
  <c r="O104" i="52"/>
  <c r="O87" i="52"/>
  <c r="O189" i="52"/>
  <c r="O273" i="52"/>
  <c r="O30" i="52"/>
  <c r="O79" i="52"/>
  <c r="O278" i="52"/>
  <c r="I260" i="45"/>
  <c r="R45" i="26"/>
  <c r="X45" i="26" s="1"/>
  <c r="I228" i="45"/>
  <c r="I180" i="45"/>
  <c r="R91" i="26"/>
  <c r="X91" i="26" s="1"/>
  <c r="E91" i="28"/>
  <c r="F91" i="45"/>
  <c r="I165" i="45"/>
  <c r="G183" i="28"/>
  <c r="L183" i="46" s="1"/>
  <c r="F183" i="28"/>
  <c r="I183" i="46" s="1"/>
  <c r="I70" i="45"/>
  <c r="I193" i="45"/>
  <c r="R193" i="26"/>
  <c r="X193" i="26" s="1"/>
  <c r="P8" i="26"/>
  <c r="G8" i="52"/>
  <c r="E8" i="54" s="1"/>
  <c r="C8" i="54"/>
  <c r="S215" i="33"/>
  <c r="W138" i="33"/>
  <c r="S138" i="33"/>
  <c r="V138" i="33" s="1"/>
  <c r="K138" i="7" s="1"/>
  <c r="I44" i="45"/>
  <c r="R61" i="26"/>
  <c r="X61" i="26" s="1"/>
  <c r="I145" i="45"/>
  <c r="AC215" i="6"/>
  <c r="W215" i="6"/>
  <c r="T215" i="6"/>
  <c r="U215" i="6"/>
  <c r="G215" i="45"/>
  <c r="H215" i="28"/>
  <c r="AA215" i="6"/>
  <c r="Z215" i="6"/>
  <c r="V215" i="6"/>
  <c r="Y215" i="6"/>
  <c r="X215" i="6"/>
  <c r="P179" i="26"/>
  <c r="G179" i="52"/>
  <c r="E179" i="54" s="1"/>
  <c r="C179" i="54"/>
  <c r="R67" i="26"/>
  <c r="X67" i="26" s="1"/>
  <c r="R158" i="26"/>
  <c r="X158" i="26" s="1"/>
  <c r="F158" i="45"/>
  <c r="E158" i="28"/>
  <c r="R62" i="26"/>
  <c r="X62" i="26" s="1"/>
  <c r="R80" i="26"/>
  <c r="X80" i="26" s="1"/>
  <c r="O275" i="52"/>
  <c r="O212" i="52"/>
  <c r="I176" i="45"/>
  <c r="I135" i="45"/>
  <c r="I174" i="45"/>
  <c r="I97" i="45"/>
  <c r="U158" i="6"/>
  <c r="Y158" i="6"/>
  <c r="T158" i="6"/>
  <c r="W158" i="6"/>
  <c r="H158" i="28"/>
  <c r="G158" i="45"/>
  <c r="V158" i="6"/>
  <c r="AC158" i="6"/>
  <c r="X158" i="6"/>
  <c r="Z158" i="6"/>
  <c r="AA158" i="6"/>
  <c r="I25" i="45"/>
  <c r="F238" i="28"/>
  <c r="I238" i="46" s="1"/>
  <c r="G238" i="28"/>
  <c r="L238" i="46" s="1"/>
  <c r="P212" i="26"/>
  <c r="G212" i="52"/>
  <c r="E212" i="54" s="1"/>
  <c r="C212" i="54"/>
  <c r="P123" i="26"/>
  <c r="G123" i="52"/>
  <c r="E123" i="54" s="1"/>
  <c r="C123" i="54"/>
  <c r="O86" i="52"/>
  <c r="O274" i="52"/>
  <c r="O120" i="52"/>
  <c r="O262" i="52"/>
  <c r="O176" i="52"/>
  <c r="O8" i="52"/>
  <c r="O206" i="52"/>
  <c r="O178" i="52"/>
  <c r="O259" i="52"/>
  <c r="O179" i="52"/>
  <c r="R206" i="26"/>
  <c r="X206" i="26" s="1"/>
  <c r="I69" i="45"/>
  <c r="I216" i="45"/>
  <c r="P150" i="26"/>
  <c r="C150" i="54"/>
  <c r="G150" i="52"/>
  <c r="E150" i="54" s="1"/>
  <c r="R202" i="26"/>
  <c r="X202" i="26" s="1"/>
  <c r="E202" i="28"/>
  <c r="F202" i="45"/>
  <c r="R84" i="26"/>
  <c r="X84" i="26" s="1"/>
  <c r="F84" i="45"/>
  <c r="E84" i="28"/>
  <c r="I47" i="45"/>
  <c r="R261" i="26"/>
  <c r="X261" i="26" s="1"/>
  <c r="E261" i="28"/>
  <c r="F261" i="45"/>
  <c r="I223" i="45"/>
  <c r="I15" i="45"/>
  <c r="I120" i="45"/>
  <c r="I121" i="45"/>
  <c r="R285" i="26"/>
  <c r="X285" i="26" s="1"/>
  <c r="E285" i="28"/>
  <c r="F285" i="45"/>
  <c r="P255" i="26"/>
  <c r="C255" i="54"/>
  <c r="G255" i="52"/>
  <c r="E255" i="54" s="1"/>
  <c r="I164" i="45"/>
  <c r="I89" i="45"/>
  <c r="E224" i="28"/>
  <c r="F224" i="45"/>
  <c r="R129" i="26"/>
  <c r="X129" i="26" s="1"/>
  <c r="I160" i="45"/>
  <c r="R226" i="26"/>
  <c r="X226" i="26" s="1"/>
  <c r="P217" i="26"/>
  <c r="C217" i="54"/>
  <c r="G217" i="52"/>
  <c r="E217" i="54" s="1"/>
  <c r="I248" i="45"/>
  <c r="I271" i="45"/>
  <c r="I225" i="45"/>
  <c r="R175" i="26"/>
  <c r="X175" i="26" s="1"/>
  <c r="R35" i="26"/>
  <c r="X35" i="26" s="1"/>
  <c r="I257" i="45"/>
  <c r="I168" i="45"/>
  <c r="R168" i="26"/>
  <c r="X168" i="26" s="1"/>
  <c r="R258" i="26"/>
  <c r="X258" i="26" s="1"/>
  <c r="R222" i="26"/>
  <c r="X222" i="26" s="1"/>
  <c r="AA195" i="6"/>
  <c r="W195" i="6"/>
  <c r="Z195" i="6"/>
  <c r="T195" i="6"/>
  <c r="H195" i="28"/>
  <c r="I126" i="45"/>
  <c r="R162" i="26"/>
  <c r="X162" i="26" s="1"/>
  <c r="R22" i="26"/>
  <c r="X22" i="26" s="1"/>
  <c r="R142" i="26"/>
  <c r="X142" i="26" s="1"/>
  <c r="E142" i="28"/>
  <c r="F142" i="45"/>
  <c r="P188" i="26"/>
  <c r="C188" i="54"/>
  <c r="G188" i="52"/>
  <c r="E188" i="54" s="1"/>
  <c r="P118" i="26"/>
  <c r="C118" i="54"/>
  <c r="G118" i="52"/>
  <c r="E118" i="54" s="1"/>
  <c r="O255" i="52"/>
  <c r="O9" i="52"/>
  <c r="O167" i="52"/>
  <c r="O205" i="52"/>
  <c r="O5" i="52"/>
  <c r="O89" i="52"/>
  <c r="O138" i="52"/>
  <c r="O81" i="52"/>
  <c r="O80" i="52"/>
  <c r="R194" i="26"/>
  <c r="X194" i="26" s="1"/>
  <c r="F194" i="45"/>
  <c r="E194" i="28"/>
  <c r="G17" i="28"/>
  <c r="L17" i="46" s="1"/>
  <c r="F17" i="28"/>
  <c r="I17" i="46" s="1"/>
  <c r="R126" i="26"/>
  <c r="X126" i="26" s="1"/>
  <c r="E126" i="28"/>
  <c r="F126" i="45"/>
  <c r="R127" i="26"/>
  <c r="X127" i="26" s="1"/>
  <c r="I208" i="45"/>
  <c r="P163" i="26"/>
  <c r="G163" i="52"/>
  <c r="E163" i="54" s="1"/>
  <c r="C163" i="54"/>
  <c r="P79" i="26"/>
  <c r="G79" i="52"/>
  <c r="E79" i="54" s="1"/>
  <c r="C79" i="54"/>
  <c r="P189" i="26"/>
  <c r="G189" i="52"/>
  <c r="E189" i="54" s="1"/>
  <c r="C189" i="54"/>
  <c r="R275" i="26"/>
  <c r="X275" i="26" s="1"/>
  <c r="I220" i="45"/>
  <c r="Z224" i="6"/>
  <c r="X224" i="6"/>
  <c r="Y224" i="6"/>
  <c r="T224" i="6"/>
  <c r="G224" i="45"/>
  <c r="AC224" i="6"/>
  <c r="AA224" i="6"/>
  <c r="U224" i="6"/>
  <c r="W224" i="6"/>
  <c r="H224" i="28"/>
  <c r="P227" i="26"/>
  <c r="C227" i="54"/>
  <c r="G227" i="52"/>
  <c r="E227" i="54" s="1"/>
  <c r="F176" i="28"/>
  <c r="I176" i="46" s="1"/>
  <c r="I158" i="45"/>
  <c r="F227" i="45"/>
  <c r="E227" i="28"/>
  <c r="I149" i="45"/>
  <c r="I38" i="45"/>
  <c r="I86" i="45"/>
  <c r="R128" i="26"/>
  <c r="X128" i="26" s="1"/>
  <c r="F128" i="45"/>
  <c r="E128" i="28"/>
  <c r="R145" i="26"/>
  <c r="X145" i="26" s="1"/>
  <c r="I104" i="45"/>
  <c r="R73" i="26"/>
  <c r="X73" i="26" s="1"/>
  <c r="R260" i="26"/>
  <c r="X260" i="26" s="1"/>
  <c r="I182" i="28"/>
  <c r="J182" i="46" s="1"/>
  <c r="J182" i="28"/>
  <c r="M182" i="46" s="1"/>
  <c r="K24" i="28"/>
  <c r="H24" i="45"/>
  <c r="AC265" i="46" l="1"/>
  <c r="AA265" i="46"/>
  <c r="AB265" i="46"/>
  <c r="AF265" i="46"/>
  <c r="AD265" i="46"/>
  <c r="AE265" i="46"/>
  <c r="Z265" i="46"/>
  <c r="X265" i="46"/>
  <c r="T265" i="46"/>
  <c r="U265" i="46"/>
  <c r="S265" i="46"/>
  <c r="V265" i="46"/>
  <c r="W265" i="46"/>
  <c r="Y265" i="46"/>
  <c r="F61" i="28"/>
  <c r="I61" i="46" s="1"/>
  <c r="F286" i="28"/>
  <c r="I286" i="46" s="1"/>
  <c r="F288" i="28"/>
  <c r="I288" i="46" s="1"/>
  <c r="G122" i="28"/>
  <c r="L122" i="46" s="1"/>
  <c r="O172" i="28"/>
  <c r="O116" i="28"/>
  <c r="O140" i="28"/>
  <c r="G135" i="28"/>
  <c r="L135" i="46" s="1"/>
  <c r="F243" i="39"/>
  <c r="G243" i="39" s="1"/>
  <c r="AZ193" i="7"/>
  <c r="AY193" i="7"/>
  <c r="F283" i="39"/>
  <c r="G283" i="39" s="1"/>
  <c r="AY283" i="7"/>
  <c r="F28" i="39"/>
  <c r="G28" i="39" s="1"/>
  <c r="AY104" i="7"/>
  <c r="AZ51" i="7"/>
  <c r="F190" i="39"/>
  <c r="G190" i="39" s="1"/>
  <c r="AY57" i="7"/>
  <c r="AZ272" i="7"/>
  <c r="BB272" i="7"/>
  <c r="F272" i="39"/>
  <c r="G272" i="39" s="1"/>
  <c r="BA48" i="7"/>
  <c r="AZ108" i="7"/>
  <c r="BB190" i="7"/>
  <c r="Y194" i="6"/>
  <c r="I149" i="28"/>
  <c r="J149" i="46" s="1"/>
  <c r="I184" i="28"/>
  <c r="J184" i="46" s="1"/>
  <c r="Y114" i="6"/>
  <c r="G113" i="45"/>
  <c r="AG113" i="6"/>
  <c r="AC113" i="6"/>
  <c r="S218" i="26"/>
  <c r="X262" i="6"/>
  <c r="H262" i="28"/>
  <c r="J262" i="28" s="1"/>
  <c r="M262" i="46" s="1"/>
  <c r="W113" i="6"/>
  <c r="T113" i="6"/>
  <c r="X113" i="6"/>
  <c r="V114" i="6"/>
  <c r="AA209" i="6"/>
  <c r="T75" i="6"/>
  <c r="S96" i="33"/>
  <c r="G17" i="45"/>
  <c r="W110" i="33"/>
  <c r="F116" i="28"/>
  <c r="I116" i="46" s="1"/>
  <c r="H183" i="28"/>
  <c r="J183" i="28" s="1"/>
  <c r="M183" i="46" s="1"/>
  <c r="U162" i="6"/>
  <c r="O122" i="28"/>
  <c r="W212" i="6"/>
  <c r="AA141" i="6"/>
  <c r="AU98" i="7"/>
  <c r="O155" i="46"/>
  <c r="G162" i="45"/>
  <c r="V212" i="6"/>
  <c r="Z212" i="6"/>
  <c r="U181" i="6"/>
  <c r="AZ200" i="7"/>
  <c r="AB212" i="6"/>
  <c r="Y212" i="6"/>
  <c r="Z141" i="6"/>
  <c r="O133" i="46"/>
  <c r="F35" i="28"/>
  <c r="I35" i="46" s="1"/>
  <c r="V54" i="6"/>
  <c r="W10" i="6"/>
  <c r="W205" i="6"/>
  <c r="V162" i="6"/>
  <c r="AC162" i="6"/>
  <c r="BB104" i="7"/>
  <c r="X212" i="6"/>
  <c r="G141" i="45"/>
  <c r="G110" i="45"/>
  <c r="AW136" i="7"/>
  <c r="H212" i="28"/>
  <c r="J212" i="28" s="1"/>
  <c r="M212" i="46" s="1"/>
  <c r="AC54" i="6"/>
  <c r="Y205" i="6"/>
  <c r="F203" i="39"/>
  <c r="G203" i="39" s="1"/>
  <c r="V141" i="6"/>
  <c r="AZ246" i="7"/>
  <c r="AY203" i="7"/>
  <c r="W162" i="6"/>
  <c r="Z162" i="6"/>
  <c r="Y141" i="6"/>
  <c r="Y54" i="6"/>
  <c r="T170" i="6"/>
  <c r="AC141" i="6"/>
  <c r="W177" i="6"/>
  <c r="AX133" i="7"/>
  <c r="AV165" i="7"/>
  <c r="Z54" i="6"/>
  <c r="Y10" i="6"/>
  <c r="G124" i="28"/>
  <c r="L124" i="46" s="1"/>
  <c r="G170" i="45"/>
  <c r="V170" i="6"/>
  <c r="AA170" i="6"/>
  <c r="U141" i="6"/>
  <c r="H177" i="28"/>
  <c r="J177" i="28" s="1"/>
  <c r="M177" i="46" s="1"/>
  <c r="AW133" i="7"/>
  <c r="O129" i="28"/>
  <c r="AG212" i="6"/>
  <c r="Y170" i="6"/>
  <c r="AB170" i="6"/>
  <c r="T141" i="6"/>
  <c r="V177" i="6"/>
  <c r="BC133" i="7"/>
  <c r="I107" i="28"/>
  <c r="J107" i="46" s="1"/>
  <c r="U170" i="6"/>
  <c r="AC170" i="6"/>
  <c r="W141" i="6"/>
  <c r="X177" i="6"/>
  <c r="BF133" i="7"/>
  <c r="AU165" i="7"/>
  <c r="H141" i="28"/>
  <c r="J141" i="28" s="1"/>
  <c r="M141" i="46" s="1"/>
  <c r="X162" i="6"/>
  <c r="Y75" i="6"/>
  <c r="V224" i="6"/>
  <c r="X221" i="6"/>
  <c r="U54" i="6"/>
  <c r="H10" i="28"/>
  <c r="AA75" i="6"/>
  <c r="AC212" i="6"/>
  <c r="AB177" i="6"/>
  <c r="BH133" i="7"/>
  <c r="T279" i="6"/>
  <c r="S82" i="33"/>
  <c r="P152" i="28"/>
  <c r="X279" i="6"/>
  <c r="F199" i="28"/>
  <c r="I199" i="46" s="1"/>
  <c r="F115" i="28"/>
  <c r="I115" i="46" s="1"/>
  <c r="I95" i="39"/>
  <c r="O199" i="28"/>
  <c r="V51" i="6"/>
  <c r="AA151" i="6"/>
  <c r="W202" i="33"/>
  <c r="F254" i="28"/>
  <c r="I254" i="46" s="1"/>
  <c r="S249" i="33"/>
  <c r="Y180" i="6"/>
  <c r="AB180" i="6"/>
  <c r="W260" i="33"/>
  <c r="W94" i="33"/>
  <c r="U50" i="33"/>
  <c r="P96" i="28"/>
  <c r="G181" i="45"/>
  <c r="G83" i="45"/>
  <c r="G143" i="28"/>
  <c r="L143" i="46" s="1"/>
  <c r="U83" i="6"/>
  <c r="AV245" i="7"/>
  <c r="AA212" i="6"/>
  <c r="U201" i="6"/>
  <c r="AA201" i="6"/>
  <c r="S111" i="33"/>
  <c r="F163" i="28"/>
  <c r="I163" i="46" s="1"/>
  <c r="AC181" i="6"/>
  <c r="S287" i="33"/>
  <c r="AA181" i="6"/>
  <c r="AA6" i="6"/>
  <c r="G201" i="45"/>
  <c r="W201" i="6"/>
  <c r="R6" i="26"/>
  <c r="X6" i="26" s="1"/>
  <c r="H201" i="28"/>
  <c r="I201" i="28" s="1"/>
  <c r="J201" i="46" s="1"/>
  <c r="S95" i="33"/>
  <c r="O209" i="28"/>
  <c r="P163" i="28"/>
  <c r="V174" i="6"/>
  <c r="AC153" i="6"/>
  <c r="T201" i="6"/>
  <c r="AC201" i="6"/>
  <c r="F246" i="39"/>
  <c r="G246" i="39" s="1"/>
  <c r="W16" i="26"/>
  <c r="X202" i="6"/>
  <c r="J163" i="28"/>
  <c r="M163" i="46" s="1"/>
  <c r="Z16" i="26"/>
  <c r="AA174" i="6"/>
  <c r="BB108" i="7"/>
  <c r="F66" i="28"/>
  <c r="I66" i="46" s="1"/>
  <c r="AB153" i="6"/>
  <c r="O264" i="28"/>
  <c r="AY108" i="7"/>
  <c r="BD245" i="7"/>
  <c r="X201" i="6"/>
  <c r="Z138" i="33"/>
  <c r="L138" i="7" s="1"/>
  <c r="AC83" i="6"/>
  <c r="G174" i="45"/>
  <c r="BJ245" i="7"/>
  <c r="S213" i="33"/>
  <c r="AY246" i="7"/>
  <c r="AB121" i="6"/>
  <c r="BA250" i="7"/>
  <c r="Q16" i="45"/>
  <c r="I62" i="39"/>
  <c r="V181" i="6"/>
  <c r="AC174" i="6"/>
  <c r="Z181" i="6"/>
  <c r="BA51" i="7"/>
  <c r="BB176" i="7"/>
  <c r="F176" i="39"/>
  <c r="G176" i="39" s="1"/>
  <c r="S16" i="26"/>
  <c r="T16" i="26"/>
  <c r="W24" i="33"/>
  <c r="U16" i="26"/>
  <c r="Y16" i="26"/>
  <c r="W287" i="33"/>
  <c r="U127" i="33"/>
  <c r="N16" i="45"/>
  <c r="V16" i="26"/>
  <c r="Y68" i="6"/>
  <c r="AY176" i="7"/>
  <c r="O16" i="45"/>
  <c r="M16" i="45"/>
  <c r="AV58" i="7"/>
  <c r="AZ176" i="7"/>
  <c r="W131" i="33"/>
  <c r="S129" i="33"/>
  <c r="W249" i="33"/>
  <c r="W97" i="33"/>
  <c r="W258" i="33"/>
  <c r="W211" i="33"/>
  <c r="S131" i="33"/>
  <c r="D13" i="45"/>
  <c r="C13" i="45"/>
  <c r="Y13" i="26"/>
  <c r="X13" i="26"/>
  <c r="W13" i="26"/>
  <c r="U13" i="26"/>
  <c r="V13" i="26"/>
  <c r="S13" i="26"/>
  <c r="Z13" i="26"/>
  <c r="T13" i="26"/>
  <c r="AB16" i="46"/>
  <c r="Z16" i="46"/>
  <c r="AE16" i="46"/>
  <c r="AA16" i="46"/>
  <c r="AD16" i="46"/>
  <c r="AC16" i="46"/>
  <c r="AF16" i="46"/>
  <c r="BB279" i="7"/>
  <c r="V16" i="46"/>
  <c r="W16" i="46"/>
  <c r="S16" i="46"/>
  <c r="X16" i="46"/>
  <c r="Y16" i="46"/>
  <c r="T16" i="46"/>
  <c r="U16" i="46"/>
  <c r="W84" i="33"/>
  <c r="F279" i="39"/>
  <c r="G279" i="39" s="1"/>
  <c r="AY279" i="7"/>
  <c r="K185" i="39"/>
  <c r="AZ279" i="7"/>
  <c r="W40" i="33"/>
  <c r="W8" i="33"/>
  <c r="T22" i="33"/>
  <c r="W71" i="33"/>
  <c r="S224" i="33"/>
  <c r="W106" i="33"/>
  <c r="W115" i="33"/>
  <c r="S184" i="33"/>
  <c r="F148" i="39"/>
  <c r="G148" i="39" s="1"/>
  <c r="U290" i="6"/>
  <c r="G40" i="45"/>
  <c r="AZ148" i="7"/>
  <c r="AG40" i="6"/>
  <c r="AG121" i="6"/>
  <c r="BH245" i="7"/>
  <c r="I144" i="28"/>
  <c r="J144" i="46" s="1"/>
  <c r="X40" i="6"/>
  <c r="AA290" i="6"/>
  <c r="BI245" i="7"/>
  <c r="Z180" i="6"/>
  <c r="AC40" i="6"/>
  <c r="AC290" i="6"/>
  <c r="G121" i="45"/>
  <c r="H121" i="28"/>
  <c r="I121" i="28" s="1"/>
  <c r="J121" i="46" s="1"/>
  <c r="V180" i="6"/>
  <c r="P197" i="28"/>
  <c r="AZ250" i="7"/>
  <c r="V40" i="6"/>
  <c r="H205" i="28"/>
  <c r="J205" i="28" s="1"/>
  <c r="M205" i="46" s="1"/>
  <c r="Y121" i="6"/>
  <c r="AA121" i="6"/>
  <c r="AC180" i="6"/>
  <c r="S221" i="33"/>
  <c r="S8" i="33"/>
  <c r="W105" i="33"/>
  <c r="W170" i="33"/>
  <c r="S274" i="33"/>
  <c r="S228" i="33"/>
  <c r="O245" i="46"/>
  <c r="T180" i="6"/>
  <c r="T290" i="6"/>
  <c r="AY250" i="7"/>
  <c r="H40" i="28"/>
  <c r="J40" i="28" s="1"/>
  <c r="M40" i="46" s="1"/>
  <c r="P151" i="28"/>
  <c r="X17" i="6"/>
  <c r="P147" i="28"/>
  <c r="AY241" i="7"/>
  <c r="G290" i="45"/>
  <c r="U121" i="6"/>
  <c r="F245" i="87"/>
  <c r="U245" i="87" s="1"/>
  <c r="H180" i="28"/>
  <c r="I180" i="28" s="1"/>
  <c r="J180" i="46" s="1"/>
  <c r="W40" i="6"/>
  <c r="W17" i="6"/>
  <c r="P148" i="28"/>
  <c r="AY76" i="7"/>
  <c r="AX245" i="7"/>
  <c r="X180" i="6"/>
  <c r="W195" i="33"/>
  <c r="F96" i="28"/>
  <c r="I96" i="46" s="1"/>
  <c r="Y290" i="6"/>
  <c r="AZ57" i="7"/>
  <c r="Y40" i="6"/>
  <c r="H17" i="28"/>
  <c r="J17" i="28" s="1"/>
  <c r="M17" i="46" s="1"/>
  <c r="W290" i="6"/>
  <c r="BB241" i="7"/>
  <c r="G151" i="28"/>
  <c r="L151" i="46" s="1"/>
  <c r="AU245" i="7"/>
  <c r="V121" i="6"/>
  <c r="W180" i="6"/>
  <c r="W82" i="33"/>
  <c r="BB57" i="7"/>
  <c r="AC205" i="6"/>
  <c r="U205" i="6"/>
  <c r="V17" i="6"/>
  <c r="AW245" i="7"/>
  <c r="U180" i="6"/>
  <c r="W204" i="33"/>
  <c r="W226" i="33"/>
  <c r="S278" i="33"/>
  <c r="S212" i="33"/>
  <c r="W255" i="33"/>
  <c r="W29" i="33"/>
  <c r="T17" i="6"/>
  <c r="V290" i="6"/>
  <c r="G147" i="28"/>
  <c r="L147" i="46" s="1"/>
  <c r="I96" i="28"/>
  <c r="J96" i="46" s="1"/>
  <c r="X121" i="6"/>
  <c r="AG180" i="6"/>
  <c r="W15" i="33"/>
  <c r="Y51" i="6"/>
  <c r="H204" i="28"/>
  <c r="I204" i="28" s="1"/>
  <c r="J204" i="46" s="1"/>
  <c r="J199" i="28"/>
  <c r="M199" i="46" s="1"/>
  <c r="I56" i="28"/>
  <c r="W286" i="6"/>
  <c r="Y286" i="6"/>
  <c r="AC195" i="6"/>
  <c r="F34" i="28"/>
  <c r="I34" i="46" s="1"/>
  <c r="M120" i="28"/>
  <c r="N120" i="46" s="1"/>
  <c r="AC114" i="6"/>
  <c r="Y83" i="6"/>
  <c r="Z51" i="6"/>
  <c r="Y17" i="6"/>
  <c r="BB203" i="7"/>
  <c r="X75" i="6"/>
  <c r="Y191" i="6"/>
  <c r="U286" i="6"/>
  <c r="X68" i="6"/>
  <c r="U177" i="6"/>
  <c r="BJ133" i="7"/>
  <c r="U212" i="6"/>
  <c r="V151" i="6"/>
  <c r="BA187" i="7"/>
  <c r="AW58" i="7"/>
  <c r="W51" i="6"/>
  <c r="I180" i="39"/>
  <c r="AB68" i="6"/>
  <c r="AA51" i="6"/>
  <c r="G195" i="45"/>
  <c r="AC32" i="6"/>
  <c r="H83" i="28"/>
  <c r="J83" i="28" s="1"/>
  <c r="M83" i="46" s="1"/>
  <c r="AA194" i="6"/>
  <c r="G87" i="45"/>
  <c r="G51" i="45"/>
  <c r="H75" i="28"/>
  <c r="I75" i="28" s="1"/>
  <c r="J75" i="46" s="1"/>
  <c r="Y153" i="6"/>
  <c r="X153" i="6"/>
  <c r="T68" i="6"/>
  <c r="BD133" i="7"/>
  <c r="G212" i="45"/>
  <c r="S143" i="33"/>
  <c r="U51" i="6"/>
  <c r="BD58" i="7"/>
  <c r="T286" i="6"/>
  <c r="V68" i="6"/>
  <c r="S44" i="33"/>
  <c r="W103" i="33"/>
  <c r="U195" i="6"/>
  <c r="X83" i="6"/>
  <c r="H194" i="28"/>
  <c r="I194" i="28" s="1"/>
  <c r="J194" i="46" s="1"/>
  <c r="Y106" i="6"/>
  <c r="AA205" i="6"/>
  <c r="T51" i="6"/>
  <c r="J162" i="28"/>
  <c r="M162" i="46" s="1"/>
  <c r="U75" i="6"/>
  <c r="I226" i="28"/>
  <c r="J226" i="46" s="1"/>
  <c r="U191" i="6"/>
  <c r="V153" i="6"/>
  <c r="Z153" i="6"/>
  <c r="AC286" i="6"/>
  <c r="W68" i="6"/>
  <c r="BE133" i="7"/>
  <c r="S286" i="33"/>
  <c r="U106" i="6"/>
  <c r="X51" i="6"/>
  <c r="V286" i="6"/>
  <c r="S263" i="33"/>
  <c r="V195" i="6"/>
  <c r="O211" i="28"/>
  <c r="H51" i="28"/>
  <c r="J51" i="28" s="1"/>
  <c r="M51" i="46" s="1"/>
  <c r="AA17" i="6"/>
  <c r="O66" i="28"/>
  <c r="W75" i="6"/>
  <c r="X205" i="6"/>
  <c r="Y161" i="6"/>
  <c r="AA286" i="6"/>
  <c r="G286" i="45"/>
  <c r="AC177" i="6"/>
  <c r="AX58" i="7"/>
  <c r="AU133" i="7"/>
  <c r="AC51" i="6"/>
  <c r="X286" i="6"/>
  <c r="W66" i="33"/>
  <c r="S285" i="33"/>
  <c r="V83" i="6"/>
  <c r="V205" i="6"/>
  <c r="BB63" i="7"/>
  <c r="AC17" i="6"/>
  <c r="P162" i="28"/>
  <c r="Z68" i="6"/>
  <c r="T177" i="6"/>
  <c r="D58" i="39"/>
  <c r="E58" i="39" s="1"/>
  <c r="K58" i="28" s="1"/>
  <c r="AV133" i="7"/>
  <c r="BI58" i="7"/>
  <c r="Y195" i="6"/>
  <c r="F233" i="28"/>
  <c r="I233" i="46" s="1"/>
  <c r="G44" i="28"/>
  <c r="L44" i="46" s="1"/>
  <c r="AY190" i="7"/>
  <c r="AA83" i="6"/>
  <c r="Z205" i="6"/>
  <c r="U17" i="6"/>
  <c r="G67" i="39"/>
  <c r="AC75" i="6"/>
  <c r="G177" i="45"/>
  <c r="AC68" i="6"/>
  <c r="G68" i="45"/>
  <c r="AA68" i="6"/>
  <c r="Y177" i="6"/>
  <c r="AX136" i="7"/>
  <c r="BJ58" i="7"/>
  <c r="Z286" i="6"/>
  <c r="H68" i="28"/>
  <c r="I68" i="28" s="1"/>
  <c r="J68" i="46" s="1"/>
  <c r="AU58" i="7"/>
  <c r="AA156" i="6"/>
  <c r="X195" i="6"/>
  <c r="J274" i="28"/>
  <c r="M274" i="46" s="1"/>
  <c r="Z83" i="6"/>
  <c r="Z17" i="6"/>
  <c r="V75" i="6"/>
  <c r="W153" i="6"/>
  <c r="U153" i="6"/>
  <c r="F58" i="87"/>
  <c r="X58" i="87" s="1"/>
  <c r="BC58" i="7"/>
  <c r="W118" i="33"/>
  <c r="AW165" i="7"/>
  <c r="I103" i="28"/>
  <c r="J103" i="46" s="1"/>
  <c r="W236" i="33"/>
  <c r="I276" i="28"/>
  <c r="J276" i="46" s="1"/>
  <c r="I172" i="39"/>
  <c r="Y151" i="6"/>
  <c r="AC151" i="6"/>
  <c r="S22" i="33"/>
  <c r="W151" i="6"/>
  <c r="AB151" i="6"/>
  <c r="W172" i="33"/>
  <c r="U289" i="33"/>
  <c r="W163" i="33"/>
  <c r="S198" i="33"/>
  <c r="W197" i="33"/>
  <c r="J188" i="28"/>
  <c r="M188" i="46" s="1"/>
  <c r="Z165" i="7"/>
  <c r="BH165" i="7" s="1"/>
  <c r="J223" i="28"/>
  <c r="M223" i="46" s="1"/>
  <c r="W261" i="33"/>
  <c r="T156" i="33"/>
  <c r="W150" i="33"/>
  <c r="T221" i="33"/>
  <c r="W225" i="33"/>
  <c r="P150" i="28"/>
  <c r="Z241" i="26"/>
  <c r="P168" i="28"/>
  <c r="P289" i="28"/>
  <c r="O158" i="28"/>
  <c r="F204" i="28"/>
  <c r="I204" i="46" s="1"/>
  <c r="G42" i="28"/>
  <c r="L42" i="46" s="1"/>
  <c r="AW200" i="7"/>
  <c r="Y174" i="6"/>
  <c r="H153" i="28"/>
  <c r="I153" i="28" s="1"/>
  <c r="J153" i="46" s="1"/>
  <c r="AA153" i="6"/>
  <c r="T72" i="6"/>
  <c r="P235" i="28"/>
  <c r="P273" i="28"/>
  <c r="G273" i="28"/>
  <c r="L273" i="46" s="1"/>
  <c r="I273" i="28"/>
  <c r="J273" i="46" s="1"/>
  <c r="V72" i="6"/>
  <c r="U174" i="6"/>
  <c r="W174" i="6"/>
  <c r="G153" i="45"/>
  <c r="U241" i="26"/>
  <c r="T218" i="26"/>
  <c r="H72" i="28"/>
  <c r="I72" i="28" s="1"/>
  <c r="J72" i="46" s="1"/>
  <c r="H174" i="28"/>
  <c r="J174" i="28" s="1"/>
  <c r="M174" i="46" s="1"/>
  <c r="T174" i="6"/>
  <c r="X174" i="6"/>
  <c r="W241" i="26"/>
  <c r="U72" i="6"/>
  <c r="G70" i="28"/>
  <c r="L70" i="46" s="1"/>
  <c r="AC127" i="6"/>
  <c r="V183" i="6"/>
  <c r="T181" i="6"/>
  <c r="O58" i="46"/>
  <c r="C58" i="46" s="1"/>
  <c r="W58" i="46" s="1"/>
  <c r="BJ155" i="7"/>
  <c r="BE58" i="7"/>
  <c r="Z156" i="6"/>
  <c r="BF58" i="7"/>
  <c r="G156" i="45"/>
  <c r="X290" i="6"/>
  <c r="Z121" i="6"/>
  <c r="BG58" i="7"/>
  <c r="W156" i="6"/>
  <c r="AA176" i="6"/>
  <c r="W181" i="6"/>
  <c r="Y181" i="6"/>
  <c r="T176" i="6"/>
  <c r="U274" i="33"/>
  <c r="S87" i="33"/>
  <c r="S43" i="33"/>
  <c r="W231" i="33"/>
  <c r="S94" i="33"/>
  <c r="S220" i="33"/>
  <c r="U126" i="33"/>
  <c r="W121" i="6"/>
  <c r="W32" i="33"/>
  <c r="AB26" i="6"/>
  <c r="S239" i="33"/>
  <c r="X238" i="33"/>
  <c r="X129" i="6"/>
  <c r="F284" i="28"/>
  <c r="I284" i="46" s="1"/>
  <c r="AY56" i="7"/>
  <c r="I137" i="39"/>
  <c r="I136" i="28"/>
  <c r="J136" i="46" s="1"/>
  <c r="G209" i="28"/>
  <c r="L209" i="46" s="1"/>
  <c r="O70" i="28"/>
  <c r="T129" i="6"/>
  <c r="AB129" i="6"/>
  <c r="I4" i="39"/>
  <c r="I101" i="28"/>
  <c r="J101" i="46" s="1"/>
  <c r="F76" i="39"/>
  <c r="G76" i="39" s="1"/>
  <c r="O194" i="28"/>
  <c r="AA129" i="6"/>
  <c r="E4" i="39"/>
  <c r="H4" i="45" s="1"/>
  <c r="C4" i="45" s="1"/>
  <c r="Q4" i="45" s="1"/>
  <c r="T172" i="33"/>
  <c r="K87" i="39"/>
  <c r="O249" i="28"/>
  <c r="AZ76" i="7"/>
  <c r="H129" i="28"/>
  <c r="I129" i="28" s="1"/>
  <c r="J129" i="46" s="1"/>
  <c r="W256" i="33"/>
  <c r="W284" i="33"/>
  <c r="BB76" i="7"/>
  <c r="V129" i="6"/>
  <c r="AC129" i="6"/>
  <c r="BB56" i="7"/>
  <c r="AZ56" i="7"/>
  <c r="I177" i="39"/>
  <c r="AZ203" i="7"/>
  <c r="W129" i="6"/>
  <c r="H26" i="28"/>
  <c r="I26" i="28" s="1"/>
  <c r="J26" i="46" s="1"/>
  <c r="AB262" i="6"/>
  <c r="U262" i="6"/>
  <c r="Y26" i="6"/>
  <c r="T262" i="6"/>
  <c r="W262" i="6"/>
  <c r="V26" i="6"/>
  <c r="G262" i="45"/>
  <c r="G26" i="45"/>
  <c r="U26" i="6"/>
  <c r="W26" i="6"/>
  <c r="U273" i="33"/>
  <c r="AC26" i="6"/>
  <c r="W157" i="33"/>
  <c r="S208" i="33"/>
  <c r="Z26" i="6"/>
  <c r="S6" i="33"/>
  <c r="Y235" i="33"/>
  <c r="C141" i="87"/>
  <c r="AA26" i="6"/>
  <c r="W224" i="33"/>
  <c r="Y262" i="6"/>
  <c r="X26" i="6"/>
  <c r="U31" i="33"/>
  <c r="S216" i="33"/>
  <c r="W44" i="33"/>
  <c r="W181" i="33"/>
  <c r="AG262" i="6"/>
  <c r="Z262" i="6"/>
  <c r="S109" i="33"/>
  <c r="W216" i="33"/>
  <c r="I167" i="39"/>
  <c r="K264" i="39"/>
  <c r="I223" i="39"/>
  <c r="I8" i="39"/>
  <c r="E8" i="39"/>
  <c r="K8" i="28" s="1"/>
  <c r="I237" i="39"/>
  <c r="S81" i="33"/>
  <c r="S222" i="33"/>
  <c r="Y106" i="33"/>
  <c r="V113" i="6"/>
  <c r="U9" i="33"/>
  <c r="W114" i="33"/>
  <c r="T110" i="33"/>
  <c r="W262" i="33"/>
  <c r="W30" i="33"/>
  <c r="S38" i="33"/>
  <c r="S290" i="33"/>
  <c r="W278" i="33"/>
  <c r="W280" i="33"/>
  <c r="W38" i="33"/>
  <c r="W196" i="33"/>
  <c r="S217" i="33"/>
  <c r="S255" i="33"/>
  <c r="S214" i="33"/>
  <c r="W39" i="33"/>
  <c r="W209" i="33"/>
  <c r="Y9" i="33"/>
  <c r="W140" i="33"/>
  <c r="Y113" i="6"/>
  <c r="U113" i="6"/>
  <c r="O237" i="28"/>
  <c r="Y183" i="6"/>
  <c r="AA113" i="6"/>
  <c r="S39" i="33"/>
  <c r="H127" i="28"/>
  <c r="I127" i="28" s="1"/>
  <c r="J127" i="46" s="1"/>
  <c r="V194" i="6"/>
  <c r="AA223" i="6"/>
  <c r="AC110" i="6"/>
  <c r="Y110" i="6"/>
  <c r="T110" i="6"/>
  <c r="AW187" i="7"/>
  <c r="V127" i="6"/>
  <c r="S53" i="33"/>
  <c r="H110" i="28"/>
  <c r="I110" i="28" s="1"/>
  <c r="J110" i="46" s="1"/>
  <c r="Z127" i="6"/>
  <c r="Y127" i="6"/>
  <c r="U127" i="6"/>
  <c r="X127" i="6"/>
  <c r="Z110" i="6"/>
  <c r="U114" i="6"/>
  <c r="AA127" i="6"/>
  <c r="T127" i="6"/>
  <c r="U279" i="6"/>
  <c r="U110" i="6"/>
  <c r="I122" i="39"/>
  <c r="W153" i="33"/>
  <c r="X134" i="33"/>
  <c r="X156" i="33"/>
  <c r="S140" i="33"/>
  <c r="Y170" i="33"/>
  <c r="I264" i="28"/>
  <c r="J264" i="46" s="1"/>
  <c r="X32" i="6"/>
  <c r="T205" i="6"/>
  <c r="W127" i="6"/>
  <c r="Y279" i="6"/>
  <c r="U223" i="6"/>
  <c r="AA110" i="6"/>
  <c r="BE245" i="7"/>
  <c r="Z151" i="6"/>
  <c r="X110" i="6"/>
  <c r="J264" i="28"/>
  <c r="M264" i="46" s="1"/>
  <c r="O248" i="28"/>
  <c r="Z32" i="6"/>
  <c r="BB200" i="7"/>
  <c r="H279" i="28"/>
  <c r="J279" i="28" s="1"/>
  <c r="M279" i="46" s="1"/>
  <c r="G264" i="28"/>
  <c r="L264" i="46" s="1"/>
  <c r="BC245" i="7"/>
  <c r="G151" i="45"/>
  <c r="AB110" i="6"/>
  <c r="V32" i="6"/>
  <c r="Z194" i="6"/>
  <c r="F200" i="39"/>
  <c r="G200" i="39" s="1"/>
  <c r="AA279" i="6"/>
  <c r="V223" i="6"/>
  <c r="BF245" i="7"/>
  <c r="T151" i="6"/>
  <c r="I188" i="39"/>
  <c r="G194" i="45"/>
  <c r="G205" i="45"/>
  <c r="G279" i="45"/>
  <c r="AB223" i="6"/>
  <c r="T223" i="6"/>
  <c r="AV187" i="7"/>
  <c r="I67" i="39"/>
  <c r="W228" i="33"/>
  <c r="F9" i="28"/>
  <c r="I9" i="46" s="1"/>
  <c r="U242" i="33"/>
  <c r="T153" i="33"/>
  <c r="S195" i="33"/>
  <c r="S73" i="33"/>
  <c r="S260" i="33"/>
  <c r="W286" i="33"/>
  <c r="X239" i="33"/>
  <c r="S45" i="33"/>
  <c r="S35" i="33"/>
  <c r="W239" i="33"/>
  <c r="S236" i="33"/>
  <c r="W178" i="33"/>
  <c r="J152" i="28"/>
  <c r="M152" i="46" s="1"/>
  <c r="W126" i="33"/>
  <c r="U244" i="33"/>
  <c r="T263" i="33"/>
  <c r="W43" i="33"/>
  <c r="X287" i="33"/>
  <c r="S15" i="33"/>
  <c r="I92" i="28"/>
  <c r="J92" i="46" s="1"/>
  <c r="U176" i="6"/>
  <c r="S158" i="33"/>
  <c r="Y248" i="33"/>
  <c r="S199" i="33"/>
  <c r="S120" i="33"/>
  <c r="Y39" i="33"/>
  <c r="R4" i="26"/>
  <c r="X4" i="26" s="1"/>
  <c r="I42" i="28"/>
  <c r="J42" i="46" s="1"/>
  <c r="U106" i="33"/>
  <c r="J89" i="28"/>
  <c r="M89" i="46" s="1"/>
  <c r="W176" i="6"/>
  <c r="T287" i="33"/>
  <c r="Z218" i="26"/>
  <c r="I211" i="28"/>
  <c r="J211" i="46" s="1"/>
  <c r="Z176" i="6"/>
  <c r="W59" i="33"/>
  <c r="S37" i="33"/>
  <c r="O107" i="28"/>
  <c r="F107" i="28"/>
  <c r="I107" i="46" s="1"/>
  <c r="J124" i="28"/>
  <c r="M124" i="46" s="1"/>
  <c r="S70" i="33"/>
  <c r="S209" i="33"/>
  <c r="Y238" i="33"/>
  <c r="W218" i="26"/>
  <c r="I30" i="28"/>
  <c r="J30" i="46" s="1"/>
  <c r="V176" i="6"/>
  <c r="AC176" i="6"/>
  <c r="U145" i="33"/>
  <c r="S115" i="33"/>
  <c r="I227" i="39"/>
  <c r="Y67" i="6"/>
  <c r="X218" i="26"/>
  <c r="G176" i="45"/>
  <c r="Y176" i="6"/>
  <c r="F277" i="28"/>
  <c r="I277" i="46" s="1"/>
  <c r="AC67" i="6"/>
  <c r="V218" i="26"/>
  <c r="U218" i="26"/>
  <c r="X176" i="6"/>
  <c r="I117" i="39"/>
  <c r="S256" i="33"/>
  <c r="W174" i="33"/>
  <c r="W128" i="33"/>
  <c r="W121" i="33"/>
  <c r="H176" i="28"/>
  <c r="J176" i="28" s="1"/>
  <c r="M176" i="46" s="1"/>
  <c r="S66" i="33"/>
  <c r="U209" i="33"/>
  <c r="F101" i="28"/>
  <c r="I101" i="46" s="1"/>
  <c r="I152" i="28"/>
  <c r="J152" i="46" s="1"/>
  <c r="I89" i="28"/>
  <c r="J89" i="46" s="1"/>
  <c r="I163" i="39"/>
  <c r="V110" i="6"/>
  <c r="AA180" i="6"/>
  <c r="R136" i="87"/>
  <c r="S118" i="33"/>
  <c r="T53" i="33"/>
  <c r="T191" i="33"/>
  <c r="K148" i="39"/>
  <c r="O89" i="28"/>
  <c r="W279" i="6"/>
  <c r="Z279" i="6"/>
  <c r="I209" i="39"/>
  <c r="S36" i="33"/>
  <c r="S242" i="33"/>
  <c r="W190" i="33"/>
  <c r="Y53" i="33"/>
  <c r="G89" i="28"/>
  <c r="L89" i="46" s="1"/>
  <c r="W36" i="33"/>
  <c r="S288" i="33"/>
  <c r="W160" i="33"/>
  <c r="S27" i="33"/>
  <c r="U39" i="33"/>
  <c r="U156" i="33"/>
  <c r="S238" i="33"/>
  <c r="W87" i="33"/>
  <c r="S97" i="33"/>
  <c r="T30" i="33"/>
  <c r="W259" i="33"/>
  <c r="S211" i="33"/>
  <c r="Y24" i="33"/>
  <c r="W45" i="33"/>
  <c r="W237" i="33"/>
  <c r="S196" i="33"/>
  <c r="S289" i="33"/>
  <c r="W199" i="33"/>
  <c r="S264" i="33"/>
  <c r="AY63" i="7"/>
  <c r="H230" i="45"/>
  <c r="D230" i="45" s="1"/>
  <c r="F86" i="39"/>
  <c r="G86" i="39" s="1"/>
  <c r="AZ63" i="7"/>
  <c r="F63" i="39"/>
  <c r="G63" i="39" s="1"/>
  <c r="AV200" i="7"/>
  <c r="AX200" i="7"/>
  <c r="Z200" i="7"/>
  <c r="D200" i="39" s="1"/>
  <c r="E200" i="39" s="1"/>
  <c r="H200" i="45" s="1"/>
  <c r="D200" i="45" s="1"/>
  <c r="AV155" i="7"/>
  <c r="Y58" i="33"/>
  <c r="X222" i="33"/>
  <c r="S128" i="33"/>
  <c r="BC155" i="7"/>
  <c r="Y145" i="33"/>
  <c r="U58" i="33"/>
  <c r="H120" i="45"/>
  <c r="D120" i="45" s="1"/>
  <c r="S120" i="45" s="1"/>
  <c r="BD155" i="7"/>
  <c r="T182" i="33"/>
  <c r="T33" i="33"/>
  <c r="BE155" i="7"/>
  <c r="W179" i="33"/>
  <c r="U29" i="33"/>
  <c r="W113" i="33"/>
  <c r="W41" i="33"/>
  <c r="W143" i="33"/>
  <c r="X170" i="33"/>
  <c r="BF155" i="7"/>
  <c r="S99" i="33"/>
  <c r="X30" i="33"/>
  <c r="W212" i="33"/>
  <c r="Y40" i="33"/>
  <c r="W156" i="33"/>
  <c r="T47" i="33"/>
  <c r="S24" i="33"/>
  <c r="S223" i="33"/>
  <c r="S237" i="33"/>
  <c r="W122" i="33"/>
  <c r="S89" i="33"/>
  <c r="S61" i="33"/>
  <c r="S157" i="33"/>
  <c r="T215" i="33"/>
  <c r="S248" i="33"/>
  <c r="W275" i="33"/>
  <c r="S152" i="33"/>
  <c r="X182" i="33"/>
  <c r="W112" i="33"/>
  <c r="W285" i="33"/>
  <c r="S40" i="33"/>
  <c r="S192" i="33"/>
  <c r="AU155" i="7"/>
  <c r="BG155" i="7"/>
  <c r="AW155" i="7"/>
  <c r="F155" i="87"/>
  <c r="V155" i="87" s="1"/>
  <c r="BH155" i="7"/>
  <c r="U195" i="33"/>
  <c r="S93" i="33"/>
  <c r="T35" i="33"/>
  <c r="AX155" i="7"/>
  <c r="BI155" i="7"/>
  <c r="Y158" i="33"/>
  <c r="W288" i="33"/>
  <c r="X40" i="33"/>
  <c r="X215" i="33"/>
  <c r="U158" i="33"/>
  <c r="T6" i="33"/>
  <c r="W248" i="33"/>
  <c r="X274" i="33"/>
  <c r="U40" i="33"/>
  <c r="W145" i="33"/>
  <c r="Y126" i="33"/>
  <c r="W111" i="33"/>
  <c r="X289" i="33"/>
  <c r="S181" i="33"/>
  <c r="S135" i="33"/>
  <c r="T18" i="33"/>
  <c r="Z114" i="6"/>
  <c r="U194" i="6"/>
  <c r="G114" i="45"/>
  <c r="W194" i="6"/>
  <c r="X114" i="6"/>
  <c r="AC194" i="6"/>
  <c r="X160" i="6"/>
  <c r="AA114" i="6"/>
  <c r="T194" i="6"/>
  <c r="Y32" i="6"/>
  <c r="X194" i="6"/>
  <c r="W142" i="33"/>
  <c r="S91" i="33"/>
  <c r="W233" i="33"/>
  <c r="S156" i="33"/>
  <c r="X261" i="33"/>
  <c r="T288" i="33"/>
  <c r="X8" i="33"/>
  <c r="U150" i="33"/>
  <c r="Y261" i="33"/>
  <c r="S232" i="33"/>
  <c r="Y67" i="33"/>
  <c r="Y156" i="33"/>
  <c r="Y43" i="33"/>
  <c r="S275" i="33"/>
  <c r="U43" i="33"/>
  <c r="T134" i="33"/>
  <c r="Y274" i="33"/>
  <c r="X139" i="33"/>
  <c r="S114" i="33"/>
  <c r="Y139" i="33"/>
  <c r="X34" i="33"/>
  <c r="S160" i="33"/>
  <c r="Y246" i="33"/>
  <c r="X164" i="33"/>
  <c r="S173" i="33"/>
  <c r="W185" i="33"/>
  <c r="X115" i="33"/>
  <c r="S155" i="33"/>
  <c r="X4" i="33"/>
  <c r="Y228" i="33"/>
  <c r="X172" i="33"/>
  <c r="T244" i="33"/>
  <c r="U228" i="33"/>
  <c r="Y184" i="33"/>
  <c r="X244" i="33"/>
  <c r="U79" i="33"/>
  <c r="J103" i="28"/>
  <c r="M103" i="46" s="1"/>
  <c r="T186" i="33"/>
  <c r="T264" i="33"/>
  <c r="G41" i="28"/>
  <c r="L41" i="46" s="1"/>
  <c r="W214" i="33"/>
  <c r="X132" i="33"/>
  <c r="S246" i="33"/>
  <c r="Y185" i="33"/>
  <c r="T214" i="33"/>
  <c r="X186" i="33"/>
  <c r="Y194" i="33"/>
  <c r="U115" i="33"/>
  <c r="Y242" i="33"/>
  <c r="X214" i="33"/>
  <c r="T132" i="33"/>
  <c r="U194" i="33"/>
  <c r="T228" i="33"/>
  <c r="W93" i="33"/>
  <c r="X228" i="33"/>
  <c r="I178" i="39"/>
  <c r="I160" i="39"/>
  <c r="T213" i="33"/>
  <c r="X110" i="33"/>
  <c r="U90" i="33"/>
  <c r="T222" i="33"/>
  <c r="Y244" i="33"/>
  <c r="S159" i="33"/>
  <c r="AZ86" i="7"/>
  <c r="Y134" i="33"/>
  <c r="W173" i="33"/>
  <c r="Y273" i="33"/>
  <c r="Y256" i="33"/>
  <c r="T119" i="33"/>
  <c r="W164" i="33"/>
  <c r="U235" i="33"/>
  <c r="U27" i="33"/>
  <c r="X35" i="33"/>
  <c r="F275" i="28"/>
  <c r="I275" i="46" s="1"/>
  <c r="S164" i="33"/>
  <c r="W159" i="33"/>
  <c r="T283" i="33"/>
  <c r="U76" i="6"/>
  <c r="H59" i="28"/>
  <c r="I59" i="28" s="1"/>
  <c r="J59" i="46" s="1"/>
  <c r="W221" i="33"/>
  <c r="U246" i="33"/>
  <c r="AC59" i="6"/>
  <c r="U93" i="33"/>
  <c r="Y79" i="33"/>
  <c r="U59" i="6"/>
  <c r="Y93" i="33"/>
  <c r="U184" i="33"/>
  <c r="U231" i="33"/>
  <c r="G206" i="28"/>
  <c r="L206" i="46" s="1"/>
  <c r="G59" i="45"/>
  <c r="G257" i="28"/>
  <c r="L257" i="46" s="1"/>
  <c r="G237" i="28"/>
  <c r="L237" i="46" s="1"/>
  <c r="T106" i="33"/>
  <c r="W204" i="6"/>
  <c r="W277" i="33"/>
  <c r="S172" i="26"/>
  <c r="AC183" i="6"/>
  <c r="I256" i="39"/>
  <c r="W264" i="33"/>
  <c r="S185" i="33"/>
  <c r="X171" i="33"/>
  <c r="X96" i="33"/>
  <c r="I174" i="39"/>
  <c r="S178" i="33"/>
  <c r="S180" i="33"/>
  <c r="W55" i="33"/>
  <c r="S50" i="33"/>
  <c r="Y289" i="33"/>
  <c r="Y164" i="33"/>
  <c r="Y283" i="33"/>
  <c r="U185" i="33"/>
  <c r="W171" i="33"/>
  <c r="W208" i="33"/>
  <c r="BB86" i="7"/>
  <c r="J218" i="28"/>
  <c r="M218" i="46" s="1"/>
  <c r="O225" i="28"/>
  <c r="O253" i="28"/>
  <c r="F85" i="28"/>
  <c r="I85" i="46" s="1"/>
  <c r="O136" i="28"/>
  <c r="G97" i="28"/>
  <c r="L97" i="46" s="1"/>
  <c r="K214" i="39"/>
  <c r="P165" i="28"/>
  <c r="O231" i="28"/>
  <c r="J136" i="28"/>
  <c r="M136" i="46" s="1"/>
  <c r="P136" i="28"/>
  <c r="G136" i="28"/>
  <c r="L136" i="46" s="1"/>
  <c r="P255" i="28"/>
  <c r="P212" i="28"/>
  <c r="O85" i="28"/>
  <c r="I132" i="39"/>
  <c r="P85" i="28"/>
  <c r="F121" i="28"/>
  <c r="I121" i="46" s="1"/>
  <c r="I55" i="39"/>
  <c r="I212" i="39"/>
  <c r="I275" i="28"/>
  <c r="J275" i="46" s="1"/>
  <c r="O218" i="28"/>
  <c r="P275" i="28"/>
  <c r="O121" i="28"/>
  <c r="G253" i="28"/>
  <c r="L253" i="46" s="1"/>
  <c r="G218" i="28"/>
  <c r="L218" i="46" s="1"/>
  <c r="J85" i="28"/>
  <c r="M85" i="46" s="1"/>
  <c r="F257" i="28"/>
  <c r="I257" i="46" s="1"/>
  <c r="G11" i="39"/>
  <c r="I134" i="39"/>
  <c r="O275" i="28"/>
  <c r="O84" i="28"/>
  <c r="F143" i="28"/>
  <c r="I143" i="46" s="1"/>
  <c r="P256" i="28"/>
  <c r="I214" i="28"/>
  <c r="J214" i="46" s="1"/>
  <c r="K85" i="39"/>
  <c r="F221" i="28"/>
  <c r="I221" i="46" s="1"/>
  <c r="I109" i="39"/>
  <c r="O291" i="28"/>
  <c r="P81" i="28"/>
  <c r="K280" i="39"/>
  <c r="I53" i="28"/>
  <c r="J53" i="46" s="1"/>
  <c r="F236" i="28"/>
  <c r="I236" i="46" s="1"/>
  <c r="F291" i="28"/>
  <c r="I291" i="46" s="1"/>
  <c r="I256" i="28"/>
  <c r="J256" i="46" s="1"/>
  <c r="I143" i="28"/>
  <c r="J143" i="46" s="1"/>
  <c r="I236" i="39"/>
  <c r="J214" i="28"/>
  <c r="M214" i="46" s="1"/>
  <c r="G53" i="28"/>
  <c r="L53" i="46" s="1"/>
  <c r="G221" i="28"/>
  <c r="L221" i="46" s="1"/>
  <c r="F160" i="28"/>
  <c r="I160" i="46" s="1"/>
  <c r="O217" i="28"/>
  <c r="O196" i="28"/>
  <c r="O226" i="28"/>
  <c r="P131" i="28"/>
  <c r="F256" i="28"/>
  <c r="I256" i="46" s="1"/>
  <c r="K96" i="39"/>
  <c r="G214" i="28"/>
  <c r="L214" i="46" s="1"/>
  <c r="G196" i="28"/>
  <c r="L196" i="46" s="1"/>
  <c r="I118" i="39"/>
  <c r="J217" i="28"/>
  <c r="M217" i="46" s="1"/>
  <c r="O214" i="28"/>
  <c r="O160" i="28"/>
  <c r="I226" i="39"/>
  <c r="I115" i="39"/>
  <c r="F150" i="28"/>
  <c r="I150" i="46" s="1"/>
  <c r="O143" i="28"/>
  <c r="K149" i="39"/>
  <c r="I150" i="28"/>
  <c r="J150" i="46" s="1"/>
  <c r="O53" i="28"/>
  <c r="O236" i="28"/>
  <c r="P143" i="28"/>
  <c r="O221" i="28"/>
  <c r="I81" i="28"/>
  <c r="J81" i="46" s="1"/>
  <c r="G217" i="28"/>
  <c r="L217" i="46" s="1"/>
  <c r="F226" i="28"/>
  <c r="I226" i="46" s="1"/>
  <c r="F81" i="28"/>
  <c r="I81" i="46" s="1"/>
  <c r="P181" i="28"/>
  <c r="O69" i="28"/>
  <c r="O61" i="28"/>
  <c r="F174" i="28"/>
  <c r="I174" i="46" s="1"/>
  <c r="K170" i="39"/>
  <c r="I86" i="39"/>
  <c r="I89" i="39"/>
  <c r="K248" i="39"/>
  <c r="K162" i="39"/>
  <c r="I162" i="39"/>
  <c r="K283" i="39"/>
  <c r="I283" i="39"/>
  <c r="K158" i="39"/>
  <c r="I158" i="39"/>
  <c r="O257" i="28"/>
  <c r="O170" i="28"/>
  <c r="P257" i="28"/>
  <c r="O210" i="28"/>
  <c r="O223" i="28"/>
  <c r="P61" i="28"/>
  <c r="J123" i="28"/>
  <c r="M123" i="46" s="1"/>
  <c r="I128" i="39"/>
  <c r="I206" i="28"/>
  <c r="J206" i="46" s="1"/>
  <c r="I5" i="39"/>
  <c r="F206" i="28"/>
  <c r="I206" i="46" s="1"/>
  <c r="K57" i="39"/>
  <c r="I81" i="39"/>
  <c r="I71" i="39"/>
  <c r="I255" i="39"/>
  <c r="K255" i="39"/>
  <c r="O174" i="28"/>
  <c r="G231" i="28"/>
  <c r="L231" i="46" s="1"/>
  <c r="O123" i="28"/>
  <c r="I197" i="39"/>
  <c r="I161" i="39"/>
  <c r="K9" i="39"/>
  <c r="O159" i="28"/>
  <c r="F105" i="28"/>
  <c r="I105" i="46" s="1"/>
  <c r="I169" i="39"/>
  <c r="I232" i="39"/>
  <c r="F170" i="28"/>
  <c r="I170" i="46" s="1"/>
  <c r="J61" i="28"/>
  <c r="M61" i="46" s="1"/>
  <c r="I175" i="39"/>
  <c r="O254" i="28"/>
  <c r="O213" i="28"/>
  <c r="I270" i="39"/>
  <c r="K289" i="39"/>
  <c r="I289" i="39"/>
  <c r="G61" i="28"/>
  <c r="L61" i="46" s="1"/>
  <c r="F210" i="28"/>
  <c r="I210" i="46" s="1"/>
  <c r="G123" i="28"/>
  <c r="L123" i="46" s="1"/>
  <c r="G213" i="28"/>
  <c r="L213" i="46" s="1"/>
  <c r="G160" i="28"/>
  <c r="L160" i="46" s="1"/>
  <c r="P206" i="28"/>
  <c r="O83" i="28"/>
  <c r="O97" i="28"/>
  <c r="G159" i="28"/>
  <c r="L159" i="46" s="1"/>
  <c r="I258" i="39"/>
  <c r="O206" i="28"/>
  <c r="I164" i="39"/>
  <c r="G57" i="39"/>
  <c r="P105" i="28"/>
  <c r="I263" i="39"/>
  <c r="G181" i="28"/>
  <c r="L181" i="46" s="1"/>
  <c r="K249" i="39"/>
  <c r="I107" i="39"/>
  <c r="K107" i="39"/>
  <c r="T64" i="33"/>
  <c r="U167" i="33"/>
  <c r="S69" i="33"/>
  <c r="X101" i="33"/>
  <c r="W31" i="33"/>
  <c r="X64" i="33"/>
  <c r="X283" i="33"/>
  <c r="S103" i="33"/>
  <c r="T101" i="33"/>
  <c r="X221" i="33"/>
  <c r="S167" i="33"/>
  <c r="S149" i="33"/>
  <c r="Y290" i="33"/>
  <c r="W25" i="33"/>
  <c r="U261" i="33"/>
  <c r="W90" i="33"/>
  <c r="T136" i="33"/>
  <c r="T236" i="33"/>
  <c r="U222" i="33"/>
  <c r="W96" i="33"/>
  <c r="X236" i="33"/>
  <c r="S90" i="33"/>
  <c r="S233" i="33"/>
  <c r="Y222" i="33"/>
  <c r="T210" i="33"/>
  <c r="S142" i="33"/>
  <c r="T178" i="33"/>
  <c r="AC156" i="6"/>
  <c r="AG156" i="6"/>
  <c r="T126" i="6"/>
  <c r="H156" i="28"/>
  <c r="J156" i="28" s="1"/>
  <c r="M156" i="46" s="1"/>
  <c r="V156" i="6"/>
  <c r="T156" i="6"/>
  <c r="U156" i="6"/>
  <c r="Y156" i="6"/>
  <c r="Z174" i="6"/>
  <c r="V262" i="6"/>
  <c r="AA262" i="6"/>
  <c r="S132" i="33"/>
  <c r="X120" i="33"/>
  <c r="T42" i="33"/>
  <c r="X131" i="33"/>
  <c r="Y191" i="33"/>
  <c r="S18" i="33"/>
  <c r="Y47" i="33"/>
  <c r="W123" i="33"/>
  <c r="X258" i="33"/>
  <c r="Y29" i="33"/>
  <c r="W22" i="33"/>
  <c r="T120" i="33"/>
  <c r="X231" i="33"/>
  <c r="W167" i="33"/>
  <c r="S172" i="33"/>
  <c r="W152" i="33"/>
  <c r="Y215" i="33"/>
  <c r="S153" i="33"/>
  <c r="Y70" i="33"/>
  <c r="S119" i="33"/>
  <c r="W35" i="33"/>
  <c r="T58" i="33"/>
  <c r="X205" i="33"/>
  <c r="T44" i="33"/>
  <c r="Y73" i="33"/>
  <c r="Y44" i="33"/>
  <c r="W184" i="33"/>
  <c r="X58" i="33"/>
  <c r="F279" i="28"/>
  <c r="I279" i="46" s="1"/>
  <c r="W222" i="33"/>
  <c r="W23" i="33"/>
  <c r="W107" i="33"/>
  <c r="W223" i="33"/>
  <c r="W192" i="33"/>
  <c r="W64" i="33"/>
  <c r="S25" i="33"/>
  <c r="S179" i="33"/>
  <c r="W127" i="33"/>
  <c r="X106" i="33"/>
  <c r="Y102" i="33"/>
  <c r="S33" i="33"/>
  <c r="U245" i="33"/>
  <c r="S197" i="33"/>
  <c r="T135" i="33"/>
  <c r="S202" i="33"/>
  <c r="Z169" i="6"/>
  <c r="W117" i="33"/>
  <c r="S284" i="33"/>
  <c r="W177" i="33"/>
  <c r="S182" i="33"/>
  <c r="W132" i="33"/>
  <c r="W289" i="33"/>
  <c r="W182" i="33"/>
  <c r="Y227" i="33"/>
  <c r="X173" i="33"/>
  <c r="U191" i="33"/>
  <c r="T4" i="33"/>
  <c r="X9" i="33"/>
  <c r="S258" i="33"/>
  <c r="T29" i="33"/>
  <c r="X135" i="33"/>
  <c r="Y272" i="33"/>
  <c r="Y288" i="33"/>
  <c r="T187" i="33"/>
  <c r="U171" i="33"/>
  <c r="V169" i="6"/>
  <c r="T27" i="33"/>
  <c r="G228" i="28"/>
  <c r="L228" i="46" s="1"/>
  <c r="O90" i="46"/>
  <c r="Y132" i="33"/>
  <c r="X246" i="33"/>
  <c r="U73" i="33"/>
  <c r="S134" i="33"/>
  <c r="T50" i="33"/>
  <c r="T207" i="33"/>
  <c r="T227" i="33"/>
  <c r="W191" i="33"/>
  <c r="Y4" i="33"/>
  <c r="X168" i="33"/>
  <c r="Y113" i="33"/>
  <c r="Y172" i="33"/>
  <c r="T93" i="33"/>
  <c r="U35" i="33"/>
  <c r="U53" i="33"/>
  <c r="S276" i="33"/>
  <c r="W27" i="33"/>
  <c r="X262" i="33"/>
  <c r="Y149" i="33"/>
  <c r="S9" i="33"/>
  <c r="Y226" i="33"/>
  <c r="X24" i="33"/>
  <c r="T278" i="33"/>
  <c r="S210" i="33"/>
  <c r="X223" i="33"/>
  <c r="Y168" i="33"/>
  <c r="S125" i="33"/>
  <c r="Y237" i="33"/>
  <c r="W176" i="33"/>
  <c r="T271" i="33"/>
  <c r="S122" i="33"/>
  <c r="U130" i="33"/>
  <c r="U166" i="33"/>
  <c r="U124" i="33"/>
  <c r="Y72" i="33"/>
  <c r="W61" i="33"/>
  <c r="Y50" i="33"/>
  <c r="S163" i="33"/>
  <c r="S105" i="33"/>
  <c r="T170" i="33"/>
  <c r="S121" i="33"/>
  <c r="W274" i="33"/>
  <c r="W37" i="33"/>
  <c r="T177" i="33"/>
  <c r="Z69" i="6"/>
  <c r="U172" i="33"/>
  <c r="X93" i="33"/>
  <c r="T246" i="33"/>
  <c r="X44" i="33"/>
  <c r="X288" i="33"/>
  <c r="U20" i="33"/>
  <c r="W6" i="33"/>
  <c r="T279" i="33"/>
  <c r="U87" i="33"/>
  <c r="U42" i="33"/>
  <c r="T173" i="33"/>
  <c r="W95" i="33"/>
  <c r="Y131" i="33"/>
  <c r="S191" i="33"/>
  <c r="W53" i="33"/>
  <c r="S30" i="33"/>
  <c r="W149" i="33"/>
  <c r="W9" i="33"/>
  <c r="S280" i="33"/>
  <c r="T8" i="33"/>
  <c r="T45" i="33"/>
  <c r="S161" i="33"/>
  <c r="Y258" i="33"/>
  <c r="Y196" i="33"/>
  <c r="W220" i="33"/>
  <c r="W129" i="33"/>
  <c r="W124" i="33"/>
  <c r="X50" i="33"/>
  <c r="S31" i="33"/>
  <c r="S116" i="33"/>
  <c r="S41" i="33"/>
  <c r="W158" i="33"/>
  <c r="W76" i="33"/>
  <c r="I228" i="28"/>
  <c r="J228" i="46" s="1"/>
  <c r="G249" i="28"/>
  <c r="L249" i="46" s="1"/>
  <c r="T155" i="33"/>
  <c r="Y6" i="33"/>
  <c r="W218" i="33"/>
  <c r="U160" i="33"/>
  <c r="W73" i="33"/>
  <c r="S204" i="33"/>
  <c r="X216" i="33"/>
  <c r="X227" i="33"/>
  <c r="J228" i="28"/>
  <c r="M228" i="46" s="1"/>
  <c r="I123" i="28"/>
  <c r="J123" i="46" s="1"/>
  <c r="V69" i="6"/>
  <c r="Y263" i="33"/>
  <c r="T209" i="33"/>
  <c r="S58" i="33"/>
  <c r="O228" i="28"/>
  <c r="AC69" i="6"/>
  <c r="T69" i="6"/>
  <c r="Y69" i="6"/>
  <c r="W244" i="33"/>
  <c r="T216" i="33"/>
  <c r="T43" i="33"/>
  <c r="W58" i="33"/>
  <c r="U239" i="33"/>
  <c r="X128" i="33"/>
  <c r="X45" i="33"/>
  <c r="Y175" i="33"/>
  <c r="T249" i="33"/>
  <c r="S225" i="33"/>
  <c r="S126" i="33"/>
  <c r="S124" i="33"/>
  <c r="U111" i="33"/>
  <c r="S257" i="33"/>
  <c r="U102" i="33"/>
  <c r="T143" i="33"/>
  <c r="W213" i="33"/>
  <c r="X99" i="33"/>
  <c r="AB161" i="6"/>
  <c r="AA69" i="6"/>
  <c r="S261" i="33"/>
  <c r="U213" i="33"/>
  <c r="S144" i="33"/>
  <c r="X263" i="33"/>
  <c r="X70" i="33"/>
  <c r="S145" i="33"/>
  <c r="F172" i="28"/>
  <c r="I172" i="46" s="1"/>
  <c r="W120" i="33"/>
  <c r="Y97" i="33"/>
  <c r="X43" i="33"/>
  <c r="AG67" i="6"/>
  <c r="Y213" i="33"/>
  <c r="Y284" i="33"/>
  <c r="Y182" i="33"/>
  <c r="Y94" i="33"/>
  <c r="Y34" i="33"/>
  <c r="W134" i="33"/>
  <c r="U284" i="33"/>
  <c r="T74" i="33"/>
  <c r="T184" i="33"/>
  <c r="W151" i="33"/>
  <c r="W217" i="33"/>
  <c r="S29" i="33"/>
  <c r="W17" i="33"/>
  <c r="T80" i="33"/>
  <c r="O103" i="28"/>
  <c r="X178" i="6"/>
  <c r="I249" i="28"/>
  <c r="J249" i="46" s="1"/>
  <c r="T139" i="33"/>
  <c r="W68" i="33"/>
  <c r="W144" i="33"/>
  <c r="Y30" i="33"/>
  <c r="W290" i="33"/>
  <c r="T90" i="33"/>
  <c r="W139" i="33"/>
  <c r="W26" i="33"/>
  <c r="W188" i="33"/>
  <c r="W81" i="33"/>
  <c r="W270" i="33"/>
  <c r="S71" i="33"/>
  <c r="T289" i="33"/>
  <c r="S112" i="33"/>
  <c r="W42" i="33"/>
  <c r="S150" i="33"/>
  <c r="S55" i="33"/>
  <c r="S127" i="33"/>
  <c r="W175" i="33"/>
  <c r="U18" i="33"/>
  <c r="W91" i="33"/>
  <c r="W238" i="33"/>
  <c r="S226" i="33"/>
  <c r="U224" i="33"/>
  <c r="Y223" i="33"/>
  <c r="S84" i="33"/>
  <c r="S259" i="33"/>
  <c r="X162" i="33"/>
  <c r="X127" i="33"/>
  <c r="X29" i="33"/>
  <c r="S113" i="33"/>
  <c r="S106" i="33"/>
  <c r="X245" i="33"/>
  <c r="W135" i="33"/>
  <c r="W194" i="33"/>
  <c r="S273" i="33"/>
  <c r="Z72" i="6"/>
  <c r="S68" i="33"/>
  <c r="S26" i="33"/>
  <c r="T270" i="33"/>
  <c r="S188" i="33"/>
  <c r="S218" i="33"/>
  <c r="W18" i="33"/>
  <c r="T259" i="33"/>
  <c r="Y192" i="33"/>
  <c r="X185" i="33"/>
  <c r="W89" i="33"/>
  <c r="Y61" i="33"/>
  <c r="U113" i="33"/>
  <c r="U181" i="33"/>
  <c r="Y245" i="33"/>
  <c r="T103" i="33"/>
  <c r="W147" i="33"/>
  <c r="W276" i="33"/>
  <c r="W109" i="33"/>
  <c r="U30" i="33"/>
  <c r="U220" i="33"/>
  <c r="X155" i="33"/>
  <c r="U270" i="33"/>
  <c r="Y81" i="33"/>
  <c r="S186" i="33"/>
  <c r="Y42" i="33"/>
  <c r="Y35" i="33"/>
  <c r="W60" i="33"/>
  <c r="S47" i="33"/>
  <c r="S123" i="33"/>
  <c r="T262" i="33"/>
  <c r="W4" i="33"/>
  <c r="T223" i="33"/>
  <c r="U168" i="33"/>
  <c r="U258" i="33"/>
  <c r="T237" i="33"/>
  <c r="U122" i="33"/>
  <c r="X61" i="33"/>
  <c r="Y135" i="33"/>
  <c r="X82" i="33"/>
  <c r="S238" i="26"/>
  <c r="I139" i="28"/>
  <c r="J139" i="46" s="1"/>
  <c r="J255" i="28"/>
  <c r="M255" i="46" s="1"/>
  <c r="O205" i="28"/>
  <c r="O139" i="28"/>
  <c r="G205" i="28"/>
  <c r="L205" i="46" s="1"/>
  <c r="P263" i="28"/>
  <c r="I11" i="28"/>
  <c r="J11" i="46" s="1"/>
  <c r="F255" i="28"/>
  <c r="I255" i="46" s="1"/>
  <c r="G275" i="28"/>
  <c r="L275" i="46" s="1"/>
  <c r="J251" i="28"/>
  <c r="M251" i="46" s="1"/>
  <c r="G133" i="28"/>
  <c r="L133" i="46" s="1"/>
  <c r="I94" i="28"/>
  <c r="J94" i="46" s="1"/>
  <c r="F209" i="28"/>
  <c r="I209" i="46" s="1"/>
  <c r="G212" i="28"/>
  <c r="L212" i="46" s="1"/>
  <c r="I168" i="39"/>
  <c r="F8" i="45"/>
  <c r="Y241" i="26"/>
  <c r="G9" i="28"/>
  <c r="L9" i="46" s="1"/>
  <c r="G106" i="28"/>
  <c r="L106" i="46" s="1"/>
  <c r="F181" i="28"/>
  <c r="I181" i="46" s="1"/>
  <c r="I157" i="45"/>
  <c r="Y133" i="26"/>
  <c r="F274" i="28"/>
  <c r="I274" i="46" s="1"/>
  <c r="F22" i="28"/>
  <c r="I22" i="46" s="1"/>
  <c r="S241" i="26"/>
  <c r="R90" i="26"/>
  <c r="X90" i="26" s="1"/>
  <c r="G137" i="28"/>
  <c r="L137" i="46" s="1"/>
  <c r="G27" i="28"/>
  <c r="L27" i="46" s="1"/>
  <c r="F165" i="28"/>
  <c r="I165" i="46" s="1"/>
  <c r="V241" i="26"/>
  <c r="G172" i="28"/>
  <c r="L172" i="46" s="1"/>
  <c r="F6" i="45"/>
  <c r="G189" i="28"/>
  <c r="L189" i="46" s="1"/>
  <c r="T241" i="26"/>
  <c r="Y204" i="6"/>
  <c r="AC204" i="6"/>
  <c r="H191" i="28"/>
  <c r="I191" i="28" s="1"/>
  <c r="J191" i="46" s="1"/>
  <c r="AA191" i="6"/>
  <c r="AB191" i="6"/>
  <c r="U204" i="6"/>
  <c r="AC6" i="6"/>
  <c r="X6" i="6"/>
  <c r="G6" i="45"/>
  <c r="T105" i="6"/>
  <c r="H6" i="28"/>
  <c r="I6" i="28" s="1"/>
  <c r="J6" i="46" s="1"/>
  <c r="W6" i="6"/>
  <c r="Y105" i="6"/>
  <c r="Z191" i="6"/>
  <c r="Z6" i="6"/>
  <c r="AG6" i="6"/>
  <c r="AA105" i="6"/>
  <c r="AC191" i="6"/>
  <c r="Z204" i="6"/>
  <c r="G204" i="45"/>
  <c r="T204" i="6"/>
  <c r="S277" i="33"/>
  <c r="T274" i="33"/>
  <c r="S194" i="33"/>
  <c r="W273" i="33"/>
  <c r="S177" i="33"/>
  <c r="W99" i="33"/>
  <c r="Y68" i="33"/>
  <c r="S65" i="33"/>
  <c r="W65" i="33"/>
  <c r="U221" i="33"/>
  <c r="U170" i="33"/>
  <c r="S107" i="33"/>
  <c r="X100" i="33"/>
  <c r="U136" i="33"/>
  <c r="W189" i="33"/>
  <c r="W33" i="33"/>
  <c r="S262" i="33"/>
  <c r="S175" i="33"/>
  <c r="S200" i="33"/>
  <c r="X73" i="33"/>
  <c r="T199" i="33"/>
  <c r="W227" i="33"/>
  <c r="S206" i="33"/>
  <c r="W206" i="33"/>
  <c r="Y201" i="33"/>
  <c r="X243" i="33"/>
  <c r="W180" i="33"/>
  <c r="S117" i="33"/>
  <c r="S162" i="33"/>
  <c r="W162" i="33"/>
  <c r="W101" i="33"/>
  <c r="S101" i="33"/>
  <c r="T163" i="33"/>
  <c r="W79" i="33"/>
  <c r="S79" i="33"/>
  <c r="T243" i="33"/>
  <c r="Y180" i="33"/>
  <c r="W282" i="33"/>
  <c r="S282" i="33"/>
  <c r="U163" i="33"/>
  <c r="S80" i="33"/>
  <c r="S189" i="33"/>
  <c r="S227" i="33"/>
  <c r="S174" i="33"/>
  <c r="S32" i="33"/>
  <c r="S64" i="33"/>
  <c r="T150" i="33"/>
  <c r="S83" i="33"/>
  <c r="W83" i="33"/>
  <c r="W69" i="33"/>
  <c r="Y82" i="33"/>
  <c r="X76" i="33"/>
  <c r="S151" i="33"/>
  <c r="S17" i="33"/>
  <c r="S139" i="33"/>
  <c r="Y147" i="33"/>
  <c r="U236" i="33"/>
  <c r="T15" i="33"/>
  <c r="Y236" i="33"/>
  <c r="U26" i="33"/>
  <c r="U233" i="33"/>
  <c r="X150" i="33"/>
  <c r="Y264" i="33"/>
  <c r="Y208" i="33"/>
  <c r="X163" i="33"/>
  <c r="U197" i="33"/>
  <c r="X37" i="33"/>
  <c r="S100" i="33"/>
  <c r="Y80" i="33"/>
  <c r="U139" i="33"/>
  <c r="T68" i="33"/>
  <c r="T36" i="33"/>
  <c r="X158" i="33"/>
  <c r="Y155" i="33"/>
  <c r="X190" i="33"/>
  <c r="T248" i="33"/>
  <c r="T26" i="33"/>
  <c r="S270" i="33"/>
  <c r="W200" i="33"/>
  <c r="U288" i="33"/>
  <c r="X194" i="33"/>
  <c r="T189" i="33"/>
  <c r="X279" i="33"/>
  <c r="U178" i="33"/>
  <c r="T31" i="33"/>
  <c r="Y285" i="33"/>
  <c r="S42" i="33"/>
  <c r="X235" i="33"/>
  <c r="U64" i="33"/>
  <c r="Y150" i="33"/>
  <c r="X53" i="33"/>
  <c r="X191" i="33"/>
  <c r="U226" i="33"/>
  <c r="Y154" i="33"/>
  <c r="U219" i="33"/>
  <c r="U176" i="33"/>
  <c r="U243" i="33"/>
  <c r="U148" i="33"/>
  <c r="U180" i="33"/>
  <c r="W232" i="33"/>
  <c r="S166" i="33"/>
  <c r="T72" i="33"/>
  <c r="W5" i="33"/>
  <c r="X69" i="33"/>
  <c r="Y96" i="33"/>
  <c r="S171" i="33"/>
  <c r="T37" i="33"/>
  <c r="Y32" i="33"/>
  <c r="X80" i="33"/>
  <c r="U68" i="33"/>
  <c r="X200" i="33"/>
  <c r="X62" i="33"/>
  <c r="U201" i="33"/>
  <c r="Y162" i="33"/>
  <c r="D90" i="39"/>
  <c r="E90" i="39" s="1"/>
  <c r="K90" i="28" s="1"/>
  <c r="X68" i="33"/>
  <c r="U109" i="33"/>
  <c r="U214" i="33"/>
  <c r="U155" i="33"/>
  <c r="U248" i="33"/>
  <c r="X26" i="33"/>
  <c r="U44" i="33"/>
  <c r="X256" i="33"/>
  <c r="Y200" i="33"/>
  <c r="T73" i="33"/>
  <c r="Y260" i="33"/>
  <c r="T142" i="33"/>
  <c r="U199" i="33"/>
  <c r="X178" i="33"/>
  <c r="U216" i="33"/>
  <c r="S283" i="33"/>
  <c r="U227" i="33"/>
  <c r="Y173" i="33"/>
  <c r="T131" i="33"/>
  <c r="X47" i="33"/>
  <c r="Y115" i="33"/>
  <c r="U123" i="33"/>
  <c r="U262" i="33"/>
  <c r="T9" i="33"/>
  <c r="W161" i="33"/>
  <c r="U223" i="33"/>
  <c r="X201" i="33"/>
  <c r="X237" i="33"/>
  <c r="Y176" i="33"/>
  <c r="W243" i="33"/>
  <c r="T192" i="33"/>
  <c r="Y122" i="33"/>
  <c r="Y130" i="33"/>
  <c r="T166" i="33"/>
  <c r="W72" i="33"/>
  <c r="W116" i="33"/>
  <c r="T171" i="33"/>
  <c r="U208" i="33"/>
  <c r="T96" i="33"/>
  <c r="Y111" i="33"/>
  <c r="T174" i="33"/>
  <c r="W86" i="33"/>
  <c r="Y163" i="33"/>
  <c r="S170" i="33"/>
  <c r="U82" i="33"/>
  <c r="Y177" i="33"/>
  <c r="S76" i="33"/>
  <c r="U80" i="33"/>
  <c r="Y214" i="33"/>
  <c r="T200" i="33"/>
  <c r="U147" i="33"/>
  <c r="Y262" i="33"/>
  <c r="H155" i="45"/>
  <c r="D155" i="45" s="1"/>
  <c r="S141" i="33"/>
  <c r="T158" i="33"/>
  <c r="W246" i="33"/>
  <c r="U118" i="33"/>
  <c r="T194" i="33"/>
  <c r="T145" i="33"/>
  <c r="T204" i="33"/>
  <c r="Y199" i="33"/>
  <c r="X282" i="33"/>
  <c r="X31" i="33"/>
  <c r="Y120" i="33"/>
  <c r="Y216" i="33"/>
  <c r="Y64" i="33"/>
  <c r="U173" i="33"/>
  <c r="U8" i="33"/>
  <c r="W168" i="33"/>
  <c r="X177" i="33"/>
  <c r="U76" i="33"/>
  <c r="T109" i="33"/>
  <c r="U276" i="33"/>
  <c r="U205" i="33"/>
  <c r="S168" i="33"/>
  <c r="X176" i="33"/>
  <c r="Y243" i="33"/>
  <c r="X174" i="33"/>
  <c r="U143" i="33"/>
  <c r="U32" i="33"/>
  <c r="X151" i="33"/>
  <c r="Y221" i="33"/>
  <c r="W141" i="33"/>
  <c r="X109" i="33"/>
  <c r="Y15" i="33"/>
  <c r="W108" i="33"/>
  <c r="X145" i="33"/>
  <c r="X147" i="33"/>
  <c r="X204" i="33"/>
  <c r="Y31" i="33"/>
  <c r="U120" i="33"/>
  <c r="T235" i="33"/>
  <c r="T231" i="33"/>
  <c r="U249" i="33"/>
  <c r="T176" i="33"/>
  <c r="T196" i="33"/>
  <c r="X79" i="33"/>
  <c r="X143" i="33"/>
  <c r="Y57" i="33"/>
  <c r="Y76" i="33"/>
  <c r="T99" i="33"/>
  <c r="Y109" i="33"/>
  <c r="Y204" i="33"/>
  <c r="Y276" i="33"/>
  <c r="W50" i="33"/>
  <c r="Y136" i="33"/>
  <c r="Y151" i="33"/>
  <c r="U101" i="33"/>
  <c r="U141" i="33"/>
  <c r="U15" i="33"/>
  <c r="S108" i="33"/>
  <c r="U287" i="33"/>
  <c r="Y118" i="33"/>
  <c r="U204" i="33"/>
  <c r="U74" i="33"/>
  <c r="U97" i="33"/>
  <c r="S59" i="33"/>
  <c r="T159" i="33"/>
  <c r="X33" i="33"/>
  <c r="X94" i="33"/>
  <c r="X17" i="33"/>
  <c r="U175" i="33"/>
  <c r="X39" i="33"/>
  <c r="X249" i="33"/>
  <c r="Y121" i="33"/>
  <c r="S102" i="33"/>
  <c r="Y143" i="33"/>
  <c r="X117" i="33"/>
  <c r="Y101" i="33"/>
  <c r="X15" i="33"/>
  <c r="W169" i="33"/>
  <c r="Y205" i="33"/>
  <c r="S147" i="33"/>
  <c r="X136" i="33"/>
  <c r="T261" i="33"/>
  <c r="U272" i="33"/>
  <c r="T141" i="33"/>
  <c r="T290" i="33"/>
  <c r="U232" i="33"/>
  <c r="X188" i="33"/>
  <c r="T81" i="33"/>
  <c r="U263" i="33"/>
  <c r="W34" i="33"/>
  <c r="T70" i="33"/>
  <c r="Y209" i="33"/>
  <c r="T147" i="33"/>
  <c r="S74" i="33"/>
  <c r="X67" i="33"/>
  <c r="T212" i="33"/>
  <c r="T133" i="33"/>
  <c r="X187" i="33"/>
  <c r="S169" i="33"/>
  <c r="X264" i="33"/>
  <c r="T59" i="33"/>
  <c r="U159" i="33"/>
  <c r="Y231" i="33"/>
  <c r="Y33" i="33"/>
  <c r="T83" i="33"/>
  <c r="T55" i="33"/>
  <c r="T205" i="33"/>
  <c r="T91" i="33"/>
  <c r="X54" i="33"/>
  <c r="T17" i="33"/>
  <c r="Y8" i="33"/>
  <c r="U196" i="33"/>
  <c r="X179" i="33"/>
  <c r="T102" i="33"/>
  <c r="X277" i="33"/>
  <c r="T245" i="33"/>
  <c r="T57" i="33"/>
  <c r="T117" i="33"/>
  <c r="U151" i="33"/>
  <c r="X199" i="33"/>
  <c r="T282" i="33"/>
  <c r="X196" i="33"/>
  <c r="T76" i="33"/>
  <c r="S136" i="33"/>
  <c r="X195" i="33"/>
  <c r="U210" i="33"/>
  <c r="T151" i="33"/>
  <c r="Y144" i="33"/>
  <c r="X141" i="33"/>
  <c r="X290" i="33"/>
  <c r="X90" i="33"/>
  <c r="T233" i="33"/>
  <c r="X270" i="33"/>
  <c r="X209" i="33"/>
  <c r="X189" i="33"/>
  <c r="X112" i="33"/>
  <c r="S67" i="33"/>
  <c r="X212" i="33"/>
  <c r="W133" i="33"/>
  <c r="U187" i="33"/>
  <c r="Y169" i="33"/>
  <c r="S60" i="33"/>
  <c r="Y206" i="33"/>
  <c r="U264" i="33"/>
  <c r="X59" i="33"/>
  <c r="X159" i="33"/>
  <c r="Y239" i="33"/>
  <c r="X83" i="33"/>
  <c r="Y55" i="33"/>
  <c r="X91" i="33"/>
  <c r="T128" i="33"/>
  <c r="Y224" i="33"/>
  <c r="T54" i="33"/>
  <c r="X175" i="33"/>
  <c r="T39" i="33"/>
  <c r="T79" i="33"/>
  <c r="T162" i="33"/>
  <c r="V191" i="6"/>
  <c r="X72" i="6"/>
  <c r="G191" i="45"/>
  <c r="F102" i="28"/>
  <c r="I102" i="46" s="1"/>
  <c r="Y72" i="6"/>
  <c r="X191" i="6"/>
  <c r="T191" i="6"/>
  <c r="J39" i="28"/>
  <c r="M39" i="46" s="1"/>
  <c r="J138" i="28"/>
  <c r="M138" i="46" s="1"/>
  <c r="U164" i="26"/>
  <c r="G258" i="28"/>
  <c r="L258" i="46" s="1"/>
  <c r="X87" i="6"/>
  <c r="AA72" i="6"/>
  <c r="AB87" i="6"/>
  <c r="AG87" i="6"/>
  <c r="G40" i="28"/>
  <c r="L40" i="46" s="1"/>
  <c r="F40" i="28"/>
  <c r="I40" i="46" s="1"/>
  <c r="AA185" i="6"/>
  <c r="Y185" i="6"/>
  <c r="G185" i="45"/>
  <c r="Z185" i="6"/>
  <c r="V185" i="6"/>
  <c r="U185" i="6"/>
  <c r="AC185" i="6"/>
  <c r="T185" i="6"/>
  <c r="X185" i="6"/>
  <c r="H185" i="28"/>
  <c r="I185" i="28" s="1"/>
  <c r="J185" i="46" s="1"/>
  <c r="V137" i="26"/>
  <c r="F289" i="28"/>
  <c r="I289" i="46" s="1"/>
  <c r="G289" i="28"/>
  <c r="L289" i="46" s="1"/>
  <c r="AB168" i="6"/>
  <c r="AA168" i="6"/>
  <c r="F68" i="28"/>
  <c r="I68" i="46" s="1"/>
  <c r="J257" i="28"/>
  <c r="M257" i="46" s="1"/>
  <c r="I257" i="28"/>
  <c r="J257" i="46" s="1"/>
  <c r="G140" i="28"/>
  <c r="L140" i="46" s="1"/>
  <c r="F140" i="28"/>
  <c r="I140" i="46" s="1"/>
  <c r="G219" i="28"/>
  <c r="L219" i="46" s="1"/>
  <c r="F219" i="28"/>
  <c r="I219" i="46" s="1"/>
  <c r="Y148" i="6"/>
  <c r="P103" i="28"/>
  <c r="R11" i="26"/>
  <c r="Y11" i="26" s="1"/>
  <c r="F103" i="28"/>
  <c r="I103" i="46" s="1"/>
  <c r="X191" i="87"/>
  <c r="V191" i="87"/>
  <c r="U191" i="87"/>
  <c r="W191" i="87"/>
  <c r="T191" i="87"/>
  <c r="S191" i="87"/>
  <c r="R191" i="87"/>
  <c r="C74" i="87"/>
  <c r="R74" i="87"/>
  <c r="X90" i="87"/>
  <c r="V90" i="87"/>
  <c r="U90" i="87"/>
  <c r="T90" i="87"/>
  <c r="R90" i="87"/>
  <c r="S90" i="87"/>
  <c r="W90" i="87"/>
  <c r="I132" i="28"/>
  <c r="J132" i="46" s="1"/>
  <c r="U36" i="33"/>
  <c r="Y190" i="33"/>
  <c r="U256" i="33"/>
  <c r="U71" i="33"/>
  <c r="U142" i="33"/>
  <c r="S279" i="33"/>
  <c r="T164" i="33"/>
  <c r="X207" i="33"/>
  <c r="X27" i="33"/>
  <c r="W283" i="33"/>
  <c r="X95" i="33"/>
  <c r="X273" i="33"/>
  <c r="Y123" i="33"/>
  <c r="T226" i="33"/>
  <c r="T154" i="33"/>
  <c r="T219" i="33"/>
  <c r="X75" i="33"/>
  <c r="U84" i="33"/>
  <c r="S243" i="33"/>
  <c r="W148" i="33"/>
  <c r="X180" i="33"/>
  <c r="Y217" i="33"/>
  <c r="X5" i="33"/>
  <c r="T61" i="33"/>
  <c r="Y171" i="33"/>
  <c r="X208" i="33"/>
  <c r="U98" i="33"/>
  <c r="Y174" i="33"/>
  <c r="Y28" i="33"/>
  <c r="T181" i="33"/>
  <c r="W19" i="33"/>
  <c r="Y197" i="33"/>
  <c r="X103" i="33"/>
  <c r="U37" i="33"/>
  <c r="Y100" i="33"/>
  <c r="T32" i="33"/>
  <c r="X241" i="33"/>
  <c r="U202" i="33"/>
  <c r="T242" i="33"/>
  <c r="T152" i="33"/>
  <c r="Y95" i="33"/>
  <c r="U238" i="33"/>
  <c r="Y278" i="33"/>
  <c r="U75" i="33"/>
  <c r="W201" i="33"/>
  <c r="U129" i="33"/>
  <c r="U89" i="33"/>
  <c r="U69" i="33"/>
  <c r="W98" i="33"/>
  <c r="U19" i="33"/>
  <c r="W241" i="33"/>
  <c r="U246" i="87"/>
  <c r="X246" i="87"/>
  <c r="W246" i="87"/>
  <c r="V246" i="87"/>
  <c r="T246" i="87"/>
  <c r="S246" i="87"/>
  <c r="R246" i="87"/>
  <c r="U279" i="87"/>
  <c r="V279" i="87"/>
  <c r="T279" i="87"/>
  <c r="S279" i="87"/>
  <c r="R279" i="87"/>
  <c r="X279" i="87"/>
  <c r="W279" i="87"/>
  <c r="C75" i="87"/>
  <c r="R75" i="87"/>
  <c r="Y279" i="33"/>
  <c r="T167" i="33"/>
  <c r="S154" i="33"/>
  <c r="S219" i="33"/>
  <c r="W75" i="33"/>
  <c r="X84" i="33"/>
  <c r="Y129" i="33"/>
  <c r="X126" i="33"/>
  <c r="X98" i="33"/>
  <c r="U86" i="33"/>
  <c r="Y105" i="33"/>
  <c r="Y19" i="33"/>
  <c r="U241" i="33"/>
  <c r="J248" i="28"/>
  <c r="M248" i="46" s="1"/>
  <c r="U95" i="33"/>
  <c r="W154" i="33"/>
  <c r="W219" i="33"/>
  <c r="S75" i="33"/>
  <c r="Y84" i="33"/>
  <c r="T129" i="33"/>
  <c r="T126" i="33"/>
  <c r="Y89" i="33"/>
  <c r="Y69" i="33"/>
  <c r="X105" i="33"/>
  <c r="U104" i="33"/>
  <c r="X197" i="33"/>
  <c r="Y241" i="33"/>
  <c r="AG114" i="6"/>
  <c r="G116" i="45"/>
  <c r="U58" i="87"/>
  <c r="X133" i="87"/>
  <c r="V133" i="87"/>
  <c r="U133" i="87"/>
  <c r="W133" i="87"/>
  <c r="T133" i="87"/>
  <c r="S133" i="87"/>
  <c r="R133" i="87"/>
  <c r="U22" i="33"/>
  <c r="X36" i="33"/>
  <c r="X20" i="33"/>
  <c r="X6" i="33"/>
  <c r="Y282" i="33"/>
  <c r="U279" i="33"/>
  <c r="W235" i="33"/>
  <c r="Y140" i="33"/>
  <c r="T211" i="33"/>
  <c r="X226" i="33"/>
  <c r="U278" i="33"/>
  <c r="X154" i="33"/>
  <c r="Y219" i="33"/>
  <c r="T75" i="33"/>
  <c r="T201" i="33"/>
  <c r="T84" i="33"/>
  <c r="U125" i="33"/>
  <c r="U237" i="33"/>
  <c r="X271" i="33"/>
  <c r="T122" i="33"/>
  <c r="W130" i="33"/>
  <c r="Y166" i="33"/>
  <c r="S72" i="33"/>
  <c r="T89" i="33"/>
  <c r="U174" i="33"/>
  <c r="X86" i="33"/>
  <c r="T113" i="33"/>
  <c r="W250" i="33"/>
  <c r="U41" i="33"/>
  <c r="W104" i="33"/>
  <c r="Y65" i="33"/>
  <c r="X32" i="33"/>
  <c r="W15" i="6"/>
  <c r="G263" i="28"/>
  <c r="L263" i="46" s="1"/>
  <c r="AB11" i="6"/>
  <c r="AC116" i="6"/>
  <c r="C72" i="87"/>
  <c r="R72" i="87"/>
  <c r="C62" i="87"/>
  <c r="R62" i="87"/>
  <c r="Y36" i="33"/>
  <c r="W242" i="33"/>
  <c r="Y20" i="33"/>
  <c r="Y119" i="33"/>
  <c r="X87" i="33"/>
  <c r="U164" i="33"/>
  <c r="T97" i="33"/>
  <c r="S235" i="33"/>
  <c r="X140" i="33"/>
  <c r="T95" i="33"/>
  <c r="U131" i="33"/>
  <c r="T251" i="33"/>
  <c r="T276" i="33"/>
  <c r="X167" i="33"/>
  <c r="Y63" i="33"/>
  <c r="X278" i="33"/>
  <c r="T280" i="33"/>
  <c r="T125" i="33"/>
  <c r="S176" i="33"/>
  <c r="Y271" i="33"/>
  <c r="X130" i="33"/>
  <c r="X166" i="33"/>
  <c r="U110" i="33"/>
  <c r="Y124" i="33"/>
  <c r="X72" i="33"/>
  <c r="X89" i="33"/>
  <c r="S193" i="33"/>
  <c r="T208" i="33"/>
  <c r="T111" i="33"/>
  <c r="T86" i="33"/>
  <c r="X113" i="33"/>
  <c r="S250" i="33"/>
  <c r="T105" i="33"/>
  <c r="Y104" i="33"/>
  <c r="T82" i="33"/>
  <c r="Y37" i="33"/>
  <c r="X65" i="33"/>
  <c r="Y114" i="33"/>
  <c r="U11" i="6"/>
  <c r="W116" i="6"/>
  <c r="J4" i="28"/>
  <c r="M4" i="46" s="1"/>
  <c r="J216" i="28"/>
  <c r="M216" i="46" s="1"/>
  <c r="X242" i="33"/>
  <c r="X153" i="33"/>
  <c r="X160" i="33"/>
  <c r="T20" i="33"/>
  <c r="U70" i="33"/>
  <c r="X119" i="33"/>
  <c r="Y87" i="33"/>
  <c r="W88" i="33"/>
  <c r="T239" i="33"/>
  <c r="S251" i="33"/>
  <c r="Y167" i="33"/>
  <c r="X149" i="33"/>
  <c r="S205" i="33"/>
  <c r="Y128" i="33"/>
  <c r="X211" i="33"/>
  <c r="S63" i="33"/>
  <c r="X51" i="33"/>
  <c r="U45" i="33"/>
  <c r="T168" i="33"/>
  <c r="W125" i="33"/>
  <c r="Y161" i="33"/>
  <c r="S271" i="33"/>
  <c r="S130" i="33"/>
  <c r="W166" i="33"/>
  <c r="X124" i="33"/>
  <c r="U72" i="33"/>
  <c r="Y255" i="33"/>
  <c r="T193" i="33"/>
  <c r="T69" i="33"/>
  <c r="U286" i="33"/>
  <c r="W85" i="33"/>
  <c r="X111" i="33"/>
  <c r="Y86" i="33"/>
  <c r="U250" i="33"/>
  <c r="U105" i="33"/>
  <c r="U277" i="33"/>
  <c r="S104" i="33"/>
  <c r="T65" i="33"/>
  <c r="X114" i="33"/>
  <c r="F248" i="28"/>
  <c r="I248" i="46" s="1"/>
  <c r="AB67" i="6"/>
  <c r="X22" i="33"/>
  <c r="Y141" i="33"/>
  <c r="Y153" i="33"/>
  <c r="Y92" i="33"/>
  <c r="T108" i="33"/>
  <c r="Y160" i="33"/>
  <c r="X118" i="33"/>
  <c r="W20" i="33"/>
  <c r="U119" i="33"/>
  <c r="T87" i="33"/>
  <c r="X133" i="33"/>
  <c r="Y59" i="33"/>
  <c r="X88" i="33"/>
  <c r="U251" i="33"/>
  <c r="T149" i="33"/>
  <c r="U211" i="33"/>
  <c r="T63" i="33"/>
  <c r="W51" i="33"/>
  <c r="U56" i="33"/>
  <c r="U280" i="33"/>
  <c r="T38" i="33"/>
  <c r="X125" i="33"/>
  <c r="X161" i="33"/>
  <c r="U271" i="33"/>
  <c r="T130" i="33"/>
  <c r="T255" i="33"/>
  <c r="X275" i="33"/>
  <c r="U193" i="33"/>
  <c r="X286" i="33"/>
  <c r="T85" i="33"/>
  <c r="T198" i="33"/>
  <c r="S86" i="33"/>
  <c r="X116" i="33"/>
  <c r="T250" i="33"/>
  <c r="T41" i="33"/>
  <c r="X104" i="33"/>
  <c r="U65" i="33"/>
  <c r="U117" i="33"/>
  <c r="T137" i="33"/>
  <c r="U177" i="33"/>
  <c r="Y22" i="33"/>
  <c r="T144" i="33"/>
  <c r="U153" i="33"/>
  <c r="T232" i="33"/>
  <c r="W92" i="33"/>
  <c r="S48" i="33"/>
  <c r="Y188" i="33"/>
  <c r="S20" i="33"/>
  <c r="Y165" i="33"/>
  <c r="U6" i="33"/>
  <c r="W119" i="33"/>
  <c r="U282" i="33"/>
  <c r="Y133" i="33"/>
  <c r="X169" i="33"/>
  <c r="T140" i="33"/>
  <c r="X206" i="33"/>
  <c r="Y88" i="33"/>
  <c r="W203" i="33"/>
  <c r="Y83" i="33"/>
  <c r="W251" i="33"/>
  <c r="X276" i="33"/>
  <c r="Z252" i="33"/>
  <c r="BA252" i="7" s="1"/>
  <c r="U149" i="33"/>
  <c r="W205" i="33"/>
  <c r="Y211" i="33"/>
  <c r="W63" i="33"/>
  <c r="U107" i="33"/>
  <c r="T51" i="33"/>
  <c r="S56" i="33"/>
  <c r="U54" i="33"/>
  <c r="Y280" i="33"/>
  <c r="Y45" i="33"/>
  <c r="Y125" i="33"/>
  <c r="T161" i="33"/>
  <c r="Y183" i="33"/>
  <c r="W271" i="33"/>
  <c r="Y110" i="33"/>
  <c r="T124" i="33"/>
  <c r="X255" i="33"/>
  <c r="Y193" i="33"/>
  <c r="T286" i="33"/>
  <c r="S85" i="33"/>
  <c r="X198" i="33"/>
  <c r="Y116" i="33"/>
  <c r="Y250" i="33"/>
  <c r="Y277" i="33"/>
  <c r="X41" i="33"/>
  <c r="T104" i="33"/>
  <c r="W57" i="33"/>
  <c r="U157" i="33"/>
  <c r="S137" i="33"/>
  <c r="U114" i="33"/>
  <c r="G203" i="28"/>
  <c r="L203" i="46" s="1"/>
  <c r="P258" i="28"/>
  <c r="T237" i="6"/>
  <c r="C56" i="87"/>
  <c r="R56" i="87"/>
  <c r="AB126" i="6"/>
  <c r="X144" i="33"/>
  <c r="X92" i="33"/>
  <c r="Y108" i="33"/>
  <c r="T160" i="33"/>
  <c r="Y48" i="33"/>
  <c r="Y66" i="33"/>
  <c r="X165" i="33"/>
  <c r="Y112" i="33"/>
  <c r="X218" i="33"/>
  <c r="X97" i="33"/>
  <c r="U140" i="33"/>
  <c r="Y60" i="33"/>
  <c r="S88" i="33"/>
  <c r="T203" i="33"/>
  <c r="X251" i="33"/>
  <c r="S62" i="33"/>
  <c r="X63" i="33"/>
  <c r="T107" i="33"/>
  <c r="T224" i="33"/>
  <c r="U51" i="33"/>
  <c r="T56" i="33"/>
  <c r="X280" i="33"/>
  <c r="X38" i="33"/>
  <c r="U259" i="33"/>
  <c r="U161" i="33"/>
  <c r="X183" i="33"/>
  <c r="Y225" i="33"/>
  <c r="X121" i="33"/>
  <c r="W193" i="33"/>
  <c r="Y127" i="33"/>
  <c r="Y286" i="33"/>
  <c r="U85" i="33"/>
  <c r="Y198" i="33"/>
  <c r="X28" i="33"/>
  <c r="Y257" i="33"/>
  <c r="T116" i="33"/>
  <c r="X250" i="33"/>
  <c r="Y41" i="33"/>
  <c r="S57" i="33"/>
  <c r="U137" i="33"/>
  <c r="Y99" i="33"/>
  <c r="AA70" i="6"/>
  <c r="X11" i="6"/>
  <c r="V116" i="6"/>
  <c r="V237" i="6"/>
  <c r="C67" i="87"/>
  <c r="R67" i="87"/>
  <c r="T10" i="87"/>
  <c r="R10" i="87"/>
  <c r="X10" i="87"/>
  <c r="W10" i="87"/>
  <c r="V10" i="87"/>
  <c r="U10" i="87"/>
  <c r="S10" i="87"/>
  <c r="W272" i="33"/>
  <c r="X232" i="33"/>
  <c r="T92" i="33"/>
  <c r="X108" i="33"/>
  <c r="T48" i="33"/>
  <c r="U66" i="33"/>
  <c r="T118" i="33"/>
  <c r="X71" i="33"/>
  <c r="U165" i="33"/>
  <c r="U218" i="33"/>
  <c r="S207" i="33"/>
  <c r="T88" i="33"/>
  <c r="U203" i="33"/>
  <c r="Y251" i="33"/>
  <c r="Y62" i="33"/>
  <c r="U63" i="33"/>
  <c r="X107" i="33"/>
  <c r="Y51" i="33"/>
  <c r="W56" i="33"/>
  <c r="U17" i="33"/>
  <c r="Y38" i="33"/>
  <c r="W183" i="33"/>
  <c r="T225" i="33"/>
  <c r="S148" i="33"/>
  <c r="U217" i="33"/>
  <c r="U5" i="33"/>
  <c r="U179" i="33"/>
  <c r="U255" i="33"/>
  <c r="Y275" i="33"/>
  <c r="X193" i="33"/>
  <c r="X85" i="33"/>
  <c r="U198" i="33"/>
  <c r="T28" i="33"/>
  <c r="U257" i="33"/>
  <c r="U116" i="33"/>
  <c r="X157" i="33"/>
  <c r="U100" i="33"/>
  <c r="W137" i="33"/>
  <c r="T114" i="33"/>
  <c r="X202" i="33"/>
  <c r="U99" i="33"/>
  <c r="G132" i="28"/>
  <c r="L132" i="46" s="1"/>
  <c r="W210" i="33"/>
  <c r="Y160" i="6"/>
  <c r="O176" i="28"/>
  <c r="X67" i="6"/>
  <c r="U32" i="6"/>
  <c r="J256" i="28"/>
  <c r="M256" i="46" s="1"/>
  <c r="G225" i="28"/>
  <c r="L225" i="46" s="1"/>
  <c r="AB127" i="6"/>
  <c r="AA237" i="6"/>
  <c r="C28" i="87"/>
  <c r="R28" i="87"/>
  <c r="AB156" i="6"/>
  <c r="W136" i="33"/>
  <c r="Y210" i="33"/>
  <c r="X213" i="33"/>
  <c r="X272" i="33"/>
  <c r="U144" i="33"/>
  <c r="U290" i="33"/>
  <c r="T220" i="33"/>
  <c r="Y90" i="33"/>
  <c r="Y232" i="33"/>
  <c r="T190" i="33"/>
  <c r="U92" i="33"/>
  <c r="Y26" i="33"/>
  <c r="U108" i="33"/>
  <c r="Y233" i="33"/>
  <c r="U48" i="33"/>
  <c r="S244" i="33"/>
  <c r="T188" i="33"/>
  <c r="U81" i="33"/>
  <c r="U152" i="33"/>
  <c r="X260" i="33"/>
  <c r="S34" i="33"/>
  <c r="X284" i="33"/>
  <c r="Y71" i="33"/>
  <c r="W165" i="33"/>
  <c r="W186" i="33"/>
  <c r="Y189" i="33"/>
  <c r="W74" i="33"/>
  <c r="U182" i="33"/>
  <c r="T112" i="33"/>
  <c r="T285" i="33"/>
  <c r="Y218" i="33"/>
  <c r="Y207" i="33"/>
  <c r="T67" i="33"/>
  <c r="Y212" i="33"/>
  <c r="X184" i="33"/>
  <c r="U133" i="33"/>
  <c r="W187" i="33"/>
  <c r="T169" i="33"/>
  <c r="T60" i="33"/>
  <c r="U59" i="33"/>
  <c r="U88" i="33"/>
  <c r="Y159" i="33"/>
  <c r="X203" i="33"/>
  <c r="X55" i="33"/>
  <c r="T62" i="33"/>
  <c r="Y18" i="33"/>
  <c r="Y91" i="33"/>
  <c r="U128" i="33"/>
  <c r="Y107" i="33"/>
  <c r="S51" i="33"/>
  <c r="X56" i="33"/>
  <c r="S54" i="33"/>
  <c r="Y17" i="33"/>
  <c r="U38" i="33"/>
  <c r="Y259" i="33"/>
  <c r="U183" i="33"/>
  <c r="Y249" i="33"/>
  <c r="U225" i="33"/>
  <c r="U192" i="33"/>
  <c r="T148" i="33"/>
  <c r="T121" i="33"/>
  <c r="T217" i="33"/>
  <c r="Y5" i="33"/>
  <c r="Y179" i="33"/>
  <c r="T275" i="33"/>
  <c r="T127" i="33"/>
  <c r="Y85" i="33"/>
  <c r="S98" i="33"/>
  <c r="U28" i="33"/>
  <c r="W102" i="33"/>
  <c r="T277" i="33"/>
  <c r="W245" i="33"/>
  <c r="T19" i="33"/>
  <c r="Y103" i="33"/>
  <c r="U57" i="33"/>
  <c r="Y157" i="33"/>
  <c r="T100" i="33"/>
  <c r="Y117" i="33"/>
  <c r="X137" i="33"/>
  <c r="T202" i="33"/>
  <c r="W67" i="6"/>
  <c r="G119" i="28"/>
  <c r="L119" i="46" s="1"/>
  <c r="J62" i="28"/>
  <c r="Z160" i="6"/>
  <c r="U67" i="6"/>
  <c r="AA32" i="6"/>
  <c r="H178" i="28"/>
  <c r="J178" i="28" s="1"/>
  <c r="M178" i="46" s="1"/>
  <c r="Z11" i="6"/>
  <c r="U161" i="6"/>
  <c r="Z116" i="6"/>
  <c r="F258" i="28"/>
  <c r="I258" i="46" s="1"/>
  <c r="U237" i="6"/>
  <c r="I263" i="28"/>
  <c r="J263" i="46" s="1"/>
  <c r="T195" i="33"/>
  <c r="S272" i="33"/>
  <c r="X220" i="33"/>
  <c r="S190" i="33"/>
  <c r="S92" i="33"/>
  <c r="U132" i="33"/>
  <c r="X233" i="33"/>
  <c r="Y270" i="33"/>
  <c r="W48" i="33"/>
  <c r="T256" i="33"/>
  <c r="Y287" i="33"/>
  <c r="X152" i="33"/>
  <c r="X66" i="33"/>
  <c r="U260" i="33"/>
  <c r="U34" i="33"/>
  <c r="U134" i="33"/>
  <c r="S165" i="33"/>
  <c r="Y186" i="33"/>
  <c r="X142" i="33"/>
  <c r="U189" i="33"/>
  <c r="X74" i="33"/>
  <c r="Y178" i="33"/>
  <c r="U285" i="33"/>
  <c r="T218" i="33"/>
  <c r="U207" i="33"/>
  <c r="U67" i="33"/>
  <c r="U212" i="33"/>
  <c r="S133" i="33"/>
  <c r="Y187" i="33"/>
  <c r="U169" i="33"/>
  <c r="U60" i="33"/>
  <c r="U206" i="33"/>
  <c r="S203" i="33"/>
  <c r="U33" i="33"/>
  <c r="U47" i="33"/>
  <c r="U83" i="33"/>
  <c r="X123" i="33"/>
  <c r="U55" i="33"/>
  <c r="W62" i="33"/>
  <c r="X18" i="33"/>
  <c r="S4" i="33"/>
  <c r="U91" i="33"/>
  <c r="T238" i="33"/>
  <c r="X224" i="33"/>
  <c r="Y56" i="33"/>
  <c r="W54" i="33"/>
  <c r="T94" i="33"/>
  <c r="T175" i="33"/>
  <c r="X259" i="33"/>
  <c r="S183" i="33"/>
  <c r="X225" i="33"/>
  <c r="T185" i="33"/>
  <c r="X148" i="33"/>
  <c r="T180" i="33"/>
  <c r="U162" i="33"/>
  <c r="U121" i="33"/>
  <c r="T5" i="33"/>
  <c r="U275" i="33"/>
  <c r="Y98" i="33"/>
  <c r="S28" i="33"/>
  <c r="X257" i="33"/>
  <c r="Y181" i="33"/>
  <c r="X102" i="33"/>
  <c r="S245" i="33"/>
  <c r="X19" i="33"/>
  <c r="T197" i="33"/>
  <c r="U135" i="33"/>
  <c r="X57" i="33"/>
  <c r="W100" i="33"/>
  <c r="S241" i="33"/>
  <c r="Y137" i="33"/>
  <c r="Y202" i="33"/>
  <c r="W80" i="33"/>
  <c r="AA116" i="6"/>
  <c r="AC11" i="6"/>
  <c r="H237" i="28"/>
  <c r="J237" i="28" s="1"/>
  <c r="M237" i="46" s="1"/>
  <c r="C59" i="87"/>
  <c r="R59" i="87"/>
  <c r="I11" i="39"/>
  <c r="Y195" i="33"/>
  <c r="X210" i="33"/>
  <c r="T272" i="33"/>
  <c r="U215" i="33"/>
  <c r="Y220" i="33"/>
  <c r="W155" i="33"/>
  <c r="U190" i="33"/>
  <c r="X248" i="33"/>
  <c r="X48" i="33"/>
  <c r="U200" i="33"/>
  <c r="U188" i="33"/>
  <c r="X81" i="33"/>
  <c r="Y152" i="33"/>
  <c r="T66" i="33"/>
  <c r="T260" i="33"/>
  <c r="T34" i="33"/>
  <c r="T284" i="33"/>
  <c r="T71" i="33"/>
  <c r="T165" i="33"/>
  <c r="U186" i="33"/>
  <c r="Y142" i="33"/>
  <c r="Y74" i="33"/>
  <c r="W279" i="33"/>
  <c r="U112" i="33"/>
  <c r="X285" i="33"/>
  <c r="X42" i="33"/>
  <c r="W207" i="33"/>
  <c r="W67" i="33"/>
  <c r="V252" i="33"/>
  <c r="S187" i="33"/>
  <c r="Y27" i="33"/>
  <c r="U283" i="33"/>
  <c r="X60" i="33"/>
  <c r="T206" i="33"/>
  <c r="T40" i="33"/>
  <c r="Y203" i="33"/>
  <c r="T273" i="33"/>
  <c r="W47" i="33"/>
  <c r="T115" i="33"/>
  <c r="T123" i="33"/>
  <c r="U62" i="33"/>
  <c r="U4" i="33"/>
  <c r="U154" i="33"/>
  <c r="Y54" i="33"/>
  <c r="X219" i="33"/>
  <c r="U94" i="33"/>
  <c r="Y75" i="33"/>
  <c r="S201" i="33"/>
  <c r="T258" i="33"/>
  <c r="T183" i="33"/>
  <c r="X192" i="33"/>
  <c r="X122" i="33"/>
  <c r="Y148" i="33"/>
  <c r="X129" i="33"/>
  <c r="X217" i="33"/>
  <c r="S5" i="33"/>
  <c r="T179" i="33"/>
  <c r="U61" i="33"/>
  <c r="U96" i="33"/>
  <c r="T98" i="33"/>
  <c r="W28" i="33"/>
  <c r="T257" i="33"/>
  <c r="X181" i="33"/>
  <c r="S19" i="33"/>
  <c r="U103" i="33"/>
  <c r="T157" i="33"/>
  <c r="T241" i="33"/>
  <c r="Y87" i="6"/>
  <c r="X161" i="6"/>
  <c r="H161" i="28"/>
  <c r="I161" i="28" s="1"/>
  <c r="J161" i="46" s="1"/>
  <c r="Y70" i="6"/>
  <c r="U70" i="6"/>
  <c r="V118" i="6"/>
  <c r="AB70" i="6"/>
  <c r="H67" i="28"/>
  <c r="J67" i="28" s="1"/>
  <c r="AA87" i="6"/>
  <c r="X193" i="6"/>
  <c r="Z118" i="6"/>
  <c r="AC237" i="6"/>
  <c r="X69" i="6"/>
  <c r="J287" i="28"/>
  <c r="M287" i="46" s="1"/>
  <c r="G237" i="45"/>
  <c r="V67" i="6"/>
  <c r="H114" i="28"/>
  <c r="I114" i="28" s="1"/>
  <c r="J114" i="46" s="1"/>
  <c r="W32" i="6"/>
  <c r="I142" i="28"/>
  <c r="J142" i="46" s="1"/>
  <c r="Z87" i="6"/>
  <c r="Y6" i="6"/>
  <c r="U6" i="6"/>
  <c r="Z237" i="6"/>
  <c r="I216" i="28"/>
  <c r="J216" i="46" s="1"/>
  <c r="H69" i="28"/>
  <c r="J69" i="28" s="1"/>
  <c r="M69" i="46" s="1"/>
  <c r="AA67" i="6"/>
  <c r="W114" i="6"/>
  <c r="H32" i="28"/>
  <c r="J32" i="28" s="1"/>
  <c r="M32" i="46" s="1"/>
  <c r="V204" i="6"/>
  <c r="AA204" i="6"/>
  <c r="G131" i="45"/>
  <c r="X204" i="6"/>
  <c r="W87" i="6"/>
  <c r="U126" i="6"/>
  <c r="X181" i="6"/>
  <c r="G72" i="45"/>
  <c r="W11" i="6"/>
  <c r="G11" i="45"/>
  <c r="X118" i="6"/>
  <c r="X116" i="6"/>
  <c r="W69" i="6"/>
  <c r="J227" i="28"/>
  <c r="M227" i="46" s="1"/>
  <c r="AA131" i="6"/>
  <c r="I35" i="28"/>
  <c r="J35" i="46" s="1"/>
  <c r="AA100" i="6"/>
  <c r="Y23" i="6"/>
  <c r="V161" i="6"/>
  <c r="Y237" i="6"/>
  <c r="I248" i="28"/>
  <c r="J248" i="46" s="1"/>
  <c r="H160" i="28"/>
  <c r="J160" i="28" s="1"/>
  <c r="M160" i="46" s="1"/>
  <c r="T67" i="6"/>
  <c r="X23" i="6"/>
  <c r="G32" i="45"/>
  <c r="W72" i="6"/>
  <c r="AA11" i="6"/>
  <c r="Y11" i="6"/>
  <c r="W161" i="6"/>
  <c r="H116" i="28"/>
  <c r="J116" i="28" s="1"/>
  <c r="M116" i="46" s="1"/>
  <c r="X237" i="6"/>
  <c r="T161" i="6"/>
  <c r="G161" i="45"/>
  <c r="G202" i="45"/>
  <c r="AB32" i="6"/>
  <c r="Y172" i="6"/>
  <c r="G118" i="45"/>
  <c r="Z67" i="6"/>
  <c r="T6" i="6"/>
  <c r="AG32" i="6"/>
  <c r="V11" i="6"/>
  <c r="AC160" i="6"/>
  <c r="T114" i="6"/>
  <c r="H181" i="28"/>
  <c r="I181" i="28" s="1"/>
  <c r="J181" i="46" s="1"/>
  <c r="AC161" i="6"/>
  <c r="AC72" i="6"/>
  <c r="V6" i="6"/>
  <c r="T11" i="6"/>
  <c r="U116" i="6"/>
  <c r="W237" i="6"/>
  <c r="Z161" i="6"/>
  <c r="H100" i="28"/>
  <c r="I100" i="28" s="1"/>
  <c r="J100" i="46" s="1"/>
  <c r="W105" i="6"/>
  <c r="J53" i="28"/>
  <c r="M53" i="46" s="1"/>
  <c r="W168" i="6"/>
  <c r="I259" i="28"/>
  <c r="J259" i="46" s="1"/>
  <c r="W172" i="6"/>
  <c r="H70" i="28"/>
  <c r="I70" i="28" s="1"/>
  <c r="J70" i="46" s="1"/>
  <c r="W100" i="6"/>
  <c r="H193" i="28"/>
  <c r="I193" i="28" s="1"/>
  <c r="J193" i="46" s="1"/>
  <c r="X105" i="6"/>
  <c r="H168" i="28"/>
  <c r="I168" i="28" s="1"/>
  <c r="J168" i="46" s="1"/>
  <c r="AA172" i="6"/>
  <c r="U172" i="6"/>
  <c r="T70" i="6"/>
  <c r="W70" i="6"/>
  <c r="X70" i="6"/>
  <c r="I164" i="28"/>
  <c r="J164" i="46" s="1"/>
  <c r="W23" i="6"/>
  <c r="U193" i="6"/>
  <c r="G105" i="45"/>
  <c r="Z70" i="6"/>
  <c r="Z23" i="6"/>
  <c r="Y173" i="6"/>
  <c r="Y100" i="6"/>
  <c r="G23" i="45"/>
  <c r="AC193" i="6"/>
  <c r="AC105" i="6"/>
  <c r="G168" i="45"/>
  <c r="J280" i="28"/>
  <c r="M280" i="46" s="1"/>
  <c r="W118" i="6"/>
  <c r="AG23" i="6"/>
  <c r="H173" i="28"/>
  <c r="J173" i="28" s="1"/>
  <c r="M173" i="46" s="1"/>
  <c r="G104" i="45"/>
  <c r="AC100" i="6"/>
  <c r="AC23" i="6"/>
  <c r="Z193" i="6"/>
  <c r="V87" i="6"/>
  <c r="Y168" i="6"/>
  <c r="AA18" i="6"/>
  <c r="X183" i="6"/>
  <c r="G193" i="45"/>
  <c r="V70" i="6"/>
  <c r="AB193" i="6"/>
  <c r="X172" i="6"/>
  <c r="Y118" i="6"/>
  <c r="G100" i="45"/>
  <c r="T23" i="6"/>
  <c r="J43" i="28"/>
  <c r="M43" i="46" s="1"/>
  <c r="T87" i="6"/>
  <c r="Z168" i="6"/>
  <c r="U18" i="6"/>
  <c r="T172" i="6"/>
  <c r="AG104" i="6"/>
  <c r="AB105" i="6"/>
  <c r="W193" i="6"/>
  <c r="X38" i="6"/>
  <c r="T104" i="6"/>
  <c r="Z100" i="6"/>
  <c r="V23" i="6"/>
  <c r="AC87" i="6"/>
  <c r="T168" i="6"/>
  <c r="V210" i="6"/>
  <c r="U222" i="6"/>
  <c r="AA183" i="6"/>
  <c r="Z172" i="6"/>
  <c r="AG105" i="6"/>
  <c r="AB172" i="6"/>
  <c r="T118" i="6"/>
  <c r="AA193" i="6"/>
  <c r="U168" i="6"/>
  <c r="G70" i="45"/>
  <c r="Z173" i="6"/>
  <c r="U100" i="6"/>
  <c r="AA23" i="6"/>
  <c r="J81" i="28"/>
  <c r="M81" i="46" s="1"/>
  <c r="H87" i="28"/>
  <c r="J87" i="28" s="1"/>
  <c r="M87" i="46" s="1"/>
  <c r="U105" i="6"/>
  <c r="AC168" i="6"/>
  <c r="X210" i="6"/>
  <c r="G183" i="45"/>
  <c r="V172" i="6"/>
  <c r="H118" i="28"/>
  <c r="AG172" i="6"/>
  <c r="W64" i="6"/>
  <c r="V193" i="6"/>
  <c r="V100" i="6"/>
  <c r="H23" i="28"/>
  <c r="J23" i="28" s="1"/>
  <c r="M23" i="46" s="1"/>
  <c r="Y193" i="6"/>
  <c r="H105" i="28"/>
  <c r="J105" i="28" s="1"/>
  <c r="M105" i="46" s="1"/>
  <c r="V168" i="6"/>
  <c r="T73" i="6"/>
  <c r="U183" i="6"/>
  <c r="W183" i="6"/>
  <c r="T183" i="6"/>
  <c r="H172" i="28"/>
  <c r="J172" i="28" s="1"/>
  <c r="M172" i="46" s="1"/>
  <c r="AA118" i="6"/>
  <c r="AA64" i="6"/>
  <c r="X100" i="6"/>
  <c r="Z105" i="6"/>
  <c r="W222" i="6"/>
  <c r="AB23" i="6"/>
  <c r="T100" i="6"/>
  <c r="I60" i="28"/>
  <c r="J60" i="46" s="1"/>
  <c r="X168" i="6"/>
  <c r="Z183" i="6"/>
  <c r="AC172" i="6"/>
  <c r="AC118" i="6"/>
  <c r="U118" i="6"/>
  <c r="I45" i="28"/>
  <c r="J45" i="46" s="1"/>
  <c r="H9" i="28"/>
  <c r="J9" i="28" s="1"/>
  <c r="M9" i="46" s="1"/>
  <c r="AC202" i="6"/>
  <c r="G18" i="45"/>
  <c r="AA173" i="6"/>
  <c r="Y202" i="6"/>
  <c r="U160" i="6"/>
  <c r="AA160" i="6"/>
  <c r="X106" i="6"/>
  <c r="V126" i="6"/>
  <c r="X18" i="6"/>
  <c r="X64" i="6"/>
  <c r="AC64" i="6"/>
  <c r="T173" i="6"/>
  <c r="W202" i="6"/>
  <c r="V106" i="6"/>
  <c r="Y235" i="6"/>
  <c r="AC126" i="6"/>
  <c r="T18" i="6"/>
  <c r="Y126" i="6"/>
  <c r="X173" i="6"/>
  <c r="J179" i="28"/>
  <c r="M179" i="46" s="1"/>
  <c r="X235" i="6"/>
  <c r="Z126" i="6"/>
  <c r="H210" i="28"/>
  <c r="I210" i="28" s="1"/>
  <c r="J210" i="46" s="1"/>
  <c r="G160" i="45"/>
  <c r="AA126" i="6"/>
  <c r="T64" i="6"/>
  <c r="W173" i="6"/>
  <c r="Z232" i="6"/>
  <c r="X126" i="6"/>
  <c r="Y210" i="6"/>
  <c r="H126" i="28"/>
  <c r="H202" i="28"/>
  <c r="J202" i="28" s="1"/>
  <c r="M202" i="46" s="1"/>
  <c r="V18" i="6"/>
  <c r="U210" i="6"/>
  <c r="V202" i="6"/>
  <c r="AC18" i="6"/>
  <c r="G210" i="45"/>
  <c r="AC173" i="6"/>
  <c r="Z210" i="6"/>
  <c r="AC222" i="6"/>
  <c r="AA222" i="6"/>
  <c r="AA202" i="6"/>
  <c r="T160" i="6"/>
  <c r="Y232" i="6"/>
  <c r="G126" i="45"/>
  <c r="W18" i="6"/>
  <c r="T210" i="6"/>
  <c r="Y64" i="6"/>
  <c r="G64" i="45"/>
  <c r="I151" i="28"/>
  <c r="J151" i="46" s="1"/>
  <c r="T202" i="6"/>
  <c r="H18" i="28"/>
  <c r="I18" i="28" s="1"/>
  <c r="J18" i="46" s="1"/>
  <c r="AA210" i="6"/>
  <c r="Z222" i="6"/>
  <c r="H64" i="28"/>
  <c r="J64" i="28" s="1"/>
  <c r="M64" i="46" s="1"/>
  <c r="V173" i="6"/>
  <c r="Z202" i="6"/>
  <c r="Y18" i="6"/>
  <c r="W210" i="6"/>
  <c r="W160" i="6"/>
  <c r="V64" i="6"/>
  <c r="H235" i="28"/>
  <c r="J235" i="28" s="1"/>
  <c r="M235" i="46" s="1"/>
  <c r="J189" i="28"/>
  <c r="M189" i="46" s="1"/>
  <c r="G173" i="45"/>
  <c r="Z64" i="6"/>
  <c r="U64" i="6"/>
  <c r="U173" i="6"/>
  <c r="U202" i="6"/>
  <c r="V160" i="6"/>
  <c r="Z18" i="6"/>
  <c r="AC210" i="6"/>
  <c r="T222" i="6"/>
  <c r="H222" i="28"/>
  <c r="J222" i="28" s="1"/>
  <c r="M222" i="46" s="1"/>
  <c r="I218" i="28"/>
  <c r="J218" i="46" s="1"/>
  <c r="Z59" i="6"/>
  <c r="W106" i="6"/>
  <c r="X59" i="6"/>
  <c r="T48" i="6"/>
  <c r="J143" i="28"/>
  <c r="M143" i="46" s="1"/>
  <c r="J65" i="28"/>
  <c r="M65" i="46" s="1"/>
  <c r="AC106" i="6"/>
  <c r="AA59" i="6"/>
  <c r="G106" i="45"/>
  <c r="V59" i="6"/>
  <c r="AA106" i="6"/>
  <c r="I271" i="28"/>
  <c r="J271" i="46" s="1"/>
  <c r="T106" i="6"/>
  <c r="Z106" i="6"/>
  <c r="I99" i="28"/>
  <c r="J99" i="46" s="1"/>
  <c r="Y59" i="6"/>
  <c r="J58" i="28"/>
  <c r="H106" i="28"/>
  <c r="J106" i="28" s="1"/>
  <c r="M106" i="46" s="1"/>
  <c r="W59" i="6"/>
  <c r="T59" i="6"/>
  <c r="O283" i="28"/>
  <c r="K234" i="28"/>
  <c r="H234" i="45"/>
  <c r="H49" i="45"/>
  <c r="K49" i="28"/>
  <c r="I20" i="28"/>
  <c r="J20" i="46" s="1"/>
  <c r="AB69" i="6"/>
  <c r="G69" i="45"/>
  <c r="Y116" i="6"/>
  <c r="AB128" i="6"/>
  <c r="Z128" i="6"/>
  <c r="H128" i="28"/>
  <c r="AA128" i="6"/>
  <c r="W128" i="6"/>
  <c r="T128" i="6"/>
  <c r="Y128" i="6"/>
  <c r="AC128" i="6"/>
  <c r="X128" i="6"/>
  <c r="U128" i="6"/>
  <c r="G128" i="45"/>
  <c r="V128" i="6"/>
  <c r="T116" i="6"/>
  <c r="T252" i="6"/>
  <c r="M230" i="28"/>
  <c r="N230" i="46" s="1"/>
  <c r="L230" i="28"/>
  <c r="K230" i="46" s="1"/>
  <c r="G51" i="28"/>
  <c r="L51" i="46" s="1"/>
  <c r="O222" i="28"/>
  <c r="I28" i="28"/>
  <c r="J28" i="46" s="1"/>
  <c r="G93" i="28"/>
  <c r="L93" i="46" s="1"/>
  <c r="G222" i="28"/>
  <c r="L222" i="46" s="1"/>
  <c r="F159" i="28"/>
  <c r="I159" i="46" s="1"/>
  <c r="I145" i="28"/>
  <c r="J145" i="46" s="1"/>
  <c r="F109" i="28"/>
  <c r="I109" i="46" s="1"/>
  <c r="J263" i="28"/>
  <c r="M263" i="46" s="1"/>
  <c r="G56" i="28"/>
  <c r="G144" i="28"/>
  <c r="L144" i="46" s="1"/>
  <c r="U110" i="26"/>
  <c r="V110" i="26"/>
  <c r="S110" i="26"/>
  <c r="T110" i="26"/>
  <c r="W110" i="26"/>
  <c r="Y110" i="26"/>
  <c r="Z110" i="26"/>
  <c r="I178" i="45"/>
  <c r="S122" i="26"/>
  <c r="R178" i="26"/>
  <c r="U178" i="26" s="1"/>
  <c r="I42" i="45"/>
  <c r="R42" i="26"/>
  <c r="X42" i="26" s="1"/>
  <c r="Y9" i="6"/>
  <c r="I183" i="28"/>
  <c r="J183" i="46" s="1"/>
  <c r="V104" i="6"/>
  <c r="AC232" i="6"/>
  <c r="AA232" i="6"/>
  <c r="W73" i="6"/>
  <c r="V232" i="6"/>
  <c r="V48" i="6"/>
  <c r="X48" i="6"/>
  <c r="G48" i="45"/>
  <c r="U104" i="6"/>
  <c r="U232" i="6"/>
  <c r="V73" i="6"/>
  <c r="X104" i="6"/>
  <c r="G232" i="45"/>
  <c r="Y73" i="6"/>
  <c r="AG73" i="6"/>
  <c r="Z48" i="6"/>
  <c r="AC48" i="6"/>
  <c r="AB48" i="6"/>
  <c r="T232" i="6"/>
  <c r="W232" i="6"/>
  <c r="I22" i="28"/>
  <c r="J22" i="46" s="1"/>
  <c r="U73" i="6"/>
  <c r="Z73" i="6"/>
  <c r="W48" i="6"/>
  <c r="H73" i="28"/>
  <c r="J73" i="28" s="1"/>
  <c r="M73" i="46" s="1"/>
  <c r="U48" i="6"/>
  <c r="AC104" i="6"/>
  <c r="G73" i="45"/>
  <c r="AC73" i="6"/>
  <c r="H104" i="28"/>
  <c r="I104" i="28" s="1"/>
  <c r="J104" i="46" s="1"/>
  <c r="AA104" i="6"/>
  <c r="Y104" i="6"/>
  <c r="X232" i="6"/>
  <c r="H232" i="28"/>
  <c r="J232" i="28" s="1"/>
  <c r="M232" i="46" s="1"/>
  <c r="X73" i="6"/>
  <c r="AA48" i="6"/>
  <c r="Y48" i="6"/>
  <c r="W104" i="6"/>
  <c r="Z104" i="6"/>
  <c r="AA73" i="6"/>
  <c r="U238" i="26"/>
  <c r="V238" i="26"/>
  <c r="Z56" i="26"/>
  <c r="T238" i="26"/>
  <c r="W238" i="26"/>
  <c r="Y238" i="26"/>
  <c r="Z238" i="26"/>
  <c r="BD241" i="7"/>
  <c r="O241" i="46"/>
  <c r="BJ241" i="7"/>
  <c r="F241" i="87"/>
  <c r="BC241" i="7"/>
  <c r="BE241" i="7"/>
  <c r="BF241" i="7"/>
  <c r="BG241" i="7"/>
  <c r="BH241" i="7"/>
  <c r="I61" i="28"/>
  <c r="J61" i="46" s="1"/>
  <c r="J119" i="28"/>
  <c r="M119" i="46" s="1"/>
  <c r="Y25" i="33"/>
  <c r="U25" i="33"/>
  <c r="X25" i="33"/>
  <c r="T25" i="33"/>
  <c r="F48" i="28"/>
  <c r="I48" i="46" s="1"/>
  <c r="Z130" i="26"/>
  <c r="I90" i="45"/>
  <c r="O232" i="28"/>
  <c r="P232" i="28"/>
  <c r="I135" i="28"/>
  <c r="J135" i="46" s="1"/>
  <c r="J132" i="28"/>
  <c r="M132" i="46" s="1"/>
  <c r="J139" i="28"/>
  <c r="M139" i="46" s="1"/>
  <c r="V101" i="26"/>
  <c r="R140" i="26"/>
  <c r="X140" i="26" s="1"/>
  <c r="I140" i="45"/>
  <c r="Y222" i="6"/>
  <c r="J48" i="28"/>
  <c r="M48" i="46" s="1"/>
  <c r="V222" i="6"/>
  <c r="R274" i="26"/>
  <c r="X274" i="26" s="1"/>
  <c r="I274" i="45"/>
  <c r="I115" i="45"/>
  <c r="R115" i="26"/>
  <c r="U115" i="26" s="1"/>
  <c r="R262" i="26"/>
  <c r="X262" i="26" s="1"/>
  <c r="I262" i="45"/>
  <c r="W137" i="26"/>
  <c r="U44" i="26"/>
  <c r="I199" i="28"/>
  <c r="J199" i="46" s="1"/>
  <c r="Z137" i="26"/>
  <c r="W76" i="6"/>
  <c r="X131" i="6"/>
  <c r="W235" i="6"/>
  <c r="X252" i="6"/>
  <c r="AA178" i="6"/>
  <c r="J150" i="28"/>
  <c r="M150" i="46" s="1"/>
  <c r="AC148" i="6"/>
  <c r="AA252" i="6"/>
  <c r="I4" i="28"/>
  <c r="J4" i="46" s="1"/>
  <c r="V44" i="26"/>
  <c r="G204" i="28"/>
  <c r="L204" i="46" s="1"/>
  <c r="F72" i="28"/>
  <c r="I72" i="46" s="1"/>
  <c r="R198" i="26"/>
  <c r="X198" i="26" s="1"/>
  <c r="V181" i="26"/>
  <c r="Y137" i="26"/>
  <c r="I283" i="28"/>
  <c r="J283" i="46" s="1"/>
  <c r="Z76" i="6"/>
  <c r="W131" i="6"/>
  <c r="H131" i="28"/>
  <c r="J131" i="28" s="1"/>
  <c r="M131" i="46" s="1"/>
  <c r="R235" i="26"/>
  <c r="X235" i="26" s="1"/>
  <c r="I235" i="45"/>
  <c r="V235" i="6"/>
  <c r="W148" i="6"/>
  <c r="AA148" i="6"/>
  <c r="T148" i="6"/>
  <c r="G148" i="45"/>
  <c r="W178" i="6"/>
  <c r="AC178" i="6"/>
  <c r="F197" i="28"/>
  <c r="I197" i="46" s="1"/>
  <c r="J278" i="28"/>
  <c r="M278" i="46" s="1"/>
  <c r="T137" i="26"/>
  <c r="V76" i="6"/>
  <c r="G76" i="45"/>
  <c r="J273" i="28"/>
  <c r="M273" i="46" s="1"/>
  <c r="Y131" i="6"/>
  <c r="T131" i="6"/>
  <c r="AC235" i="6"/>
  <c r="U235" i="6"/>
  <c r="V178" i="6"/>
  <c r="Y178" i="6"/>
  <c r="I71" i="28"/>
  <c r="J71" i="46" s="1"/>
  <c r="X148" i="6"/>
  <c r="I198" i="45"/>
  <c r="F19" i="28"/>
  <c r="I19" i="46" s="1"/>
  <c r="U137" i="26"/>
  <c r="O290" i="28"/>
  <c r="X76" i="6"/>
  <c r="T76" i="6"/>
  <c r="V131" i="6"/>
  <c r="Z131" i="6"/>
  <c r="I25" i="28"/>
  <c r="J25" i="46" s="1"/>
  <c r="T235" i="6"/>
  <c r="I148" i="45"/>
  <c r="T178" i="6"/>
  <c r="G178" i="45"/>
  <c r="H148" i="28"/>
  <c r="I148" i="28" s="1"/>
  <c r="J148" i="46" s="1"/>
  <c r="Y76" i="6"/>
  <c r="W160" i="26"/>
  <c r="AC76" i="6"/>
  <c r="AA76" i="6"/>
  <c r="U131" i="6"/>
  <c r="AA235" i="6"/>
  <c r="J108" i="28"/>
  <c r="M108" i="46" s="1"/>
  <c r="W252" i="6"/>
  <c r="Z178" i="6"/>
  <c r="R148" i="26"/>
  <c r="U148" i="26" s="1"/>
  <c r="F104" i="28"/>
  <c r="I104" i="46" s="1"/>
  <c r="G4" i="28"/>
  <c r="L4" i="46" s="1"/>
  <c r="S137" i="26"/>
  <c r="F28" i="28"/>
  <c r="I28" i="46" s="1"/>
  <c r="H76" i="28"/>
  <c r="I76" i="28" s="1"/>
  <c r="J76" i="46" s="1"/>
  <c r="J120" i="28"/>
  <c r="M120" i="46" s="1"/>
  <c r="AC131" i="6"/>
  <c r="G235" i="45"/>
  <c r="Z235" i="6"/>
  <c r="U148" i="6"/>
  <c r="Z148" i="6"/>
  <c r="V148" i="6"/>
  <c r="AC252" i="6"/>
  <c r="U178" i="6"/>
  <c r="F4" i="28"/>
  <c r="I4" i="46" s="1"/>
  <c r="I29" i="28"/>
  <c r="J29" i="46" s="1"/>
  <c r="J29" i="28"/>
  <c r="M29" i="46" s="1"/>
  <c r="R231" i="26"/>
  <c r="X231" i="26" s="1"/>
  <c r="I231" i="45"/>
  <c r="I154" i="45"/>
  <c r="R154" i="26"/>
  <c r="X154" i="26" s="1"/>
  <c r="R259" i="26"/>
  <c r="X259" i="26" s="1"/>
  <c r="I259" i="45"/>
  <c r="I147" i="45"/>
  <c r="R147" i="26"/>
  <c r="X147" i="26" s="1"/>
  <c r="AC169" i="6"/>
  <c r="H169" i="28"/>
  <c r="T9" i="6"/>
  <c r="X9" i="6"/>
  <c r="G216" i="28"/>
  <c r="L216" i="46" s="1"/>
  <c r="I190" i="45"/>
  <c r="S186" i="26"/>
  <c r="T252" i="26"/>
  <c r="T169" i="6"/>
  <c r="G169" i="45"/>
  <c r="W9" i="6"/>
  <c r="U125" i="6"/>
  <c r="T186" i="26"/>
  <c r="U60" i="26"/>
  <c r="W169" i="6"/>
  <c r="V9" i="6"/>
  <c r="U169" i="6"/>
  <c r="AB9" i="6"/>
  <c r="X169" i="6"/>
  <c r="AG9" i="6"/>
  <c r="U9" i="6"/>
  <c r="Z9" i="6"/>
  <c r="G15" i="28"/>
  <c r="L15" i="46" s="1"/>
  <c r="Y169" i="6"/>
  <c r="R157" i="26"/>
  <c r="X157" i="26" s="1"/>
  <c r="AA169" i="6"/>
  <c r="Y33" i="26"/>
  <c r="T33" i="26"/>
  <c r="Z263" i="26"/>
  <c r="G45" i="28"/>
  <c r="L45" i="46" s="1"/>
  <c r="W101" i="26"/>
  <c r="F216" i="28"/>
  <c r="I216" i="46" s="1"/>
  <c r="Y101" i="26"/>
  <c r="Z101" i="26"/>
  <c r="W41" i="26"/>
  <c r="S101" i="26"/>
  <c r="F287" i="28"/>
  <c r="I287" i="46" s="1"/>
  <c r="Z246" i="26"/>
  <c r="T101" i="26"/>
  <c r="U101" i="26"/>
  <c r="T263" i="26"/>
  <c r="U33" i="26"/>
  <c r="V68" i="26"/>
  <c r="W186" i="26"/>
  <c r="U186" i="26"/>
  <c r="U263" i="26"/>
  <c r="Y44" i="26"/>
  <c r="V33" i="26"/>
  <c r="S246" i="26"/>
  <c r="S263" i="26"/>
  <c r="V186" i="26"/>
  <c r="V263" i="26"/>
  <c r="S44" i="26"/>
  <c r="W33" i="26"/>
  <c r="F89" i="28"/>
  <c r="I89" i="46" s="1"/>
  <c r="G163" i="28"/>
  <c r="L163" i="46" s="1"/>
  <c r="T246" i="26"/>
  <c r="G88" i="28"/>
  <c r="L88" i="46" s="1"/>
  <c r="W246" i="26"/>
  <c r="Y186" i="26"/>
  <c r="W263" i="26"/>
  <c r="T44" i="26"/>
  <c r="Z33" i="26"/>
  <c r="G291" i="28"/>
  <c r="L291" i="46" s="1"/>
  <c r="F239" i="28"/>
  <c r="I239" i="46" s="1"/>
  <c r="U246" i="26"/>
  <c r="Z186" i="26"/>
  <c r="F90" i="28"/>
  <c r="I90" i="46" s="1"/>
  <c r="Y263" i="26"/>
  <c r="W44" i="26"/>
  <c r="S33" i="26"/>
  <c r="T190" i="26"/>
  <c r="G141" i="28"/>
  <c r="L141" i="46" s="1"/>
  <c r="Y246" i="26"/>
  <c r="F272" i="28"/>
  <c r="I272" i="46" s="1"/>
  <c r="Z44" i="26"/>
  <c r="G207" i="28"/>
  <c r="L207" i="46" s="1"/>
  <c r="G38" i="28"/>
  <c r="L38" i="46" s="1"/>
  <c r="V257" i="26"/>
  <c r="V246" i="26"/>
  <c r="T203" i="26"/>
  <c r="G174" i="28"/>
  <c r="L174" i="46" s="1"/>
  <c r="G37" i="28"/>
  <c r="L37" i="46" s="1"/>
  <c r="F25" i="28"/>
  <c r="I25" i="46" s="1"/>
  <c r="G50" i="28"/>
  <c r="L50" i="46" s="1"/>
  <c r="W65" i="26"/>
  <c r="F228" i="28"/>
  <c r="I228" i="46" s="1"/>
  <c r="F214" i="28"/>
  <c r="I214" i="46" s="1"/>
  <c r="S10" i="26"/>
  <c r="G180" i="28"/>
  <c r="L180" i="46" s="1"/>
  <c r="G95" i="28"/>
  <c r="L95" i="46" s="1"/>
  <c r="Z76" i="26"/>
  <c r="F129" i="28"/>
  <c r="I129" i="46" s="1"/>
  <c r="G85" i="28"/>
  <c r="L85" i="46" s="1"/>
  <c r="Z185" i="26"/>
  <c r="V34" i="26"/>
  <c r="W94" i="26"/>
  <c r="I224" i="45"/>
  <c r="S17" i="26"/>
  <c r="V112" i="26"/>
  <c r="V209" i="26"/>
  <c r="R224" i="26"/>
  <c r="X224" i="26" s="1"/>
  <c r="S113" i="26"/>
  <c r="Z180" i="26"/>
  <c r="AA208" i="6"/>
  <c r="G199" i="28"/>
  <c r="L199" i="46" s="1"/>
  <c r="W99" i="26"/>
  <c r="Y233" i="26"/>
  <c r="F127" i="28"/>
  <c r="I127" i="46" s="1"/>
  <c r="W208" i="6"/>
  <c r="AC208" i="6"/>
  <c r="Y208" i="6"/>
  <c r="U208" i="6"/>
  <c r="T208" i="6"/>
  <c r="G208" i="45"/>
  <c r="V208" i="6"/>
  <c r="H208" i="28"/>
  <c r="I208" i="28" s="1"/>
  <c r="J208" i="46" s="1"/>
  <c r="Z208" i="6"/>
  <c r="X208" i="6"/>
  <c r="I285" i="28"/>
  <c r="J285" i="46" s="1"/>
  <c r="H125" i="28"/>
  <c r="Y125" i="6"/>
  <c r="T125" i="6"/>
  <c r="X125" i="6"/>
  <c r="Z125" i="6"/>
  <c r="V125" i="6"/>
  <c r="G125" i="45"/>
  <c r="AC125" i="6"/>
  <c r="G9" i="45"/>
  <c r="V15" i="6"/>
  <c r="AA15" i="6"/>
  <c r="H15" i="28"/>
  <c r="I15" i="28" s="1"/>
  <c r="J15" i="46" s="1"/>
  <c r="AC15" i="6"/>
  <c r="Y15" i="6"/>
  <c r="U15" i="6"/>
  <c r="G15" i="45"/>
  <c r="X15" i="6"/>
  <c r="Z15" i="6"/>
  <c r="T15" i="6"/>
  <c r="T95" i="26"/>
  <c r="U95" i="26"/>
  <c r="Z277" i="26"/>
  <c r="V95" i="26"/>
  <c r="Y288" i="26"/>
  <c r="W95" i="26"/>
  <c r="Y95" i="26"/>
  <c r="Z95" i="26"/>
  <c r="S95" i="26"/>
  <c r="S209" i="26"/>
  <c r="U289" i="26"/>
  <c r="V210" i="26"/>
  <c r="W209" i="26"/>
  <c r="Y209" i="26"/>
  <c r="Z209" i="26"/>
  <c r="Y284" i="26"/>
  <c r="V279" i="26"/>
  <c r="T209" i="26"/>
  <c r="Y19" i="26"/>
  <c r="G33" i="28"/>
  <c r="L33" i="46" s="1"/>
  <c r="L28" i="46"/>
  <c r="G29" i="28"/>
  <c r="L29" i="46" s="1"/>
  <c r="I262" i="28"/>
  <c r="J262" i="46" s="1"/>
  <c r="I140" i="28"/>
  <c r="J140" i="46" s="1"/>
  <c r="I196" i="28"/>
  <c r="J196" i="46" s="1"/>
  <c r="J231" i="28"/>
  <c r="M231" i="46" s="1"/>
  <c r="I255" i="28"/>
  <c r="J255" i="46" s="1"/>
  <c r="I198" i="28"/>
  <c r="J198" i="46" s="1"/>
  <c r="I124" i="28"/>
  <c r="J124" i="46" s="1"/>
  <c r="AA125" i="6"/>
  <c r="AB125" i="6"/>
  <c r="Z74" i="6"/>
  <c r="X74" i="6"/>
  <c r="D36" i="45"/>
  <c r="T36" i="45" s="1"/>
  <c r="AA9" i="6"/>
  <c r="T291" i="26"/>
  <c r="S94" i="26"/>
  <c r="Y112" i="26"/>
  <c r="Z112" i="26"/>
  <c r="U94" i="26"/>
  <c r="S112" i="26"/>
  <c r="Y94" i="26"/>
  <c r="T112" i="26"/>
  <c r="T94" i="26"/>
  <c r="Z94" i="26"/>
  <c r="U112" i="26"/>
  <c r="W112" i="26"/>
  <c r="V94" i="26"/>
  <c r="V32" i="26"/>
  <c r="W25" i="26"/>
  <c r="Y271" i="26"/>
  <c r="R196" i="26"/>
  <c r="X196" i="26" s="1"/>
  <c r="Z233" i="26"/>
  <c r="S56" i="26"/>
  <c r="S236" i="26"/>
  <c r="Z133" i="26"/>
  <c r="S233" i="26"/>
  <c r="Y56" i="26"/>
  <c r="S133" i="26"/>
  <c r="I196" i="45"/>
  <c r="T233" i="26"/>
  <c r="T56" i="26"/>
  <c r="T133" i="26"/>
  <c r="W233" i="26"/>
  <c r="U56" i="26"/>
  <c r="W133" i="26"/>
  <c r="U183" i="26"/>
  <c r="U233" i="26"/>
  <c r="V56" i="26"/>
  <c r="U133" i="26"/>
  <c r="V233" i="26"/>
  <c r="W56" i="26"/>
  <c r="V133" i="26"/>
  <c r="Z286" i="26"/>
  <c r="P4" i="28"/>
  <c r="U209" i="26"/>
  <c r="Z284" i="26"/>
  <c r="T113" i="26"/>
  <c r="Y164" i="26"/>
  <c r="W68" i="26"/>
  <c r="S216" i="26"/>
  <c r="S284" i="26"/>
  <c r="Y113" i="26"/>
  <c r="Z164" i="26"/>
  <c r="Y68" i="26"/>
  <c r="T216" i="26"/>
  <c r="P224" i="28"/>
  <c r="O224" i="28"/>
  <c r="P104" i="28"/>
  <c r="O104" i="28"/>
  <c r="T284" i="26"/>
  <c r="F191" i="28"/>
  <c r="I191" i="46" s="1"/>
  <c r="S164" i="26"/>
  <c r="Z68" i="26"/>
  <c r="U216" i="26"/>
  <c r="Z252" i="6"/>
  <c r="P9" i="28"/>
  <c r="O9" i="28"/>
  <c r="O216" i="28"/>
  <c r="P216" i="28"/>
  <c r="U284" i="26"/>
  <c r="U113" i="26"/>
  <c r="V164" i="26"/>
  <c r="T68" i="26"/>
  <c r="W216" i="26"/>
  <c r="I212" i="28"/>
  <c r="J212" i="46" s="1"/>
  <c r="Y252" i="6"/>
  <c r="V284" i="26"/>
  <c r="V113" i="26"/>
  <c r="W164" i="26"/>
  <c r="U68" i="26"/>
  <c r="G150" i="28"/>
  <c r="L150" i="46" s="1"/>
  <c r="Y216" i="26"/>
  <c r="W113" i="26"/>
  <c r="G66" i="28"/>
  <c r="L66" i="46" s="1"/>
  <c r="Z216" i="26"/>
  <c r="V252" i="6"/>
  <c r="H252" i="28"/>
  <c r="J252" i="28" s="1"/>
  <c r="M252" i="46" s="1"/>
  <c r="W284" i="26"/>
  <c r="Z113" i="26"/>
  <c r="T164" i="26"/>
  <c r="T104" i="26"/>
  <c r="S68" i="26"/>
  <c r="V216" i="26"/>
  <c r="U252" i="6"/>
  <c r="G252" i="45"/>
  <c r="T85" i="26"/>
  <c r="W236" i="26"/>
  <c r="G11" i="28"/>
  <c r="L11" i="46" s="1"/>
  <c r="F110" i="28"/>
  <c r="I110" i="46" s="1"/>
  <c r="S41" i="26"/>
  <c r="T32" i="26"/>
  <c r="AB15" i="6"/>
  <c r="Y38" i="6"/>
  <c r="U85" i="26"/>
  <c r="F231" i="28"/>
  <c r="I231" i="46" s="1"/>
  <c r="W159" i="26"/>
  <c r="Y236" i="26"/>
  <c r="U32" i="26"/>
  <c r="H38" i="28"/>
  <c r="T41" i="26"/>
  <c r="W32" i="26"/>
  <c r="J72" i="28"/>
  <c r="M72" i="46" s="1"/>
  <c r="Z38" i="6"/>
  <c r="Y85" i="26"/>
  <c r="Y81" i="26"/>
  <c r="G255" i="28"/>
  <c r="L255" i="46" s="1"/>
  <c r="U236" i="26"/>
  <c r="W192" i="26"/>
  <c r="U41" i="26"/>
  <c r="Y32" i="26"/>
  <c r="I177" i="28"/>
  <c r="J177" i="46" s="1"/>
  <c r="J254" i="28"/>
  <c r="M254" i="46" s="1"/>
  <c r="AA38" i="6"/>
  <c r="T38" i="6"/>
  <c r="S85" i="26"/>
  <c r="V81" i="26"/>
  <c r="V41" i="26"/>
  <c r="F57" i="28"/>
  <c r="Z32" i="26"/>
  <c r="J121" i="28"/>
  <c r="M121" i="46" s="1"/>
  <c r="V38" i="6"/>
  <c r="AC38" i="6"/>
  <c r="T236" i="26"/>
  <c r="V85" i="26"/>
  <c r="W81" i="26"/>
  <c r="Z236" i="26"/>
  <c r="Y41" i="26"/>
  <c r="I24" i="28"/>
  <c r="W38" i="6"/>
  <c r="U38" i="6"/>
  <c r="Z85" i="26"/>
  <c r="F71" i="28"/>
  <c r="I71" i="46" s="1"/>
  <c r="W85" i="26"/>
  <c r="V236" i="26"/>
  <c r="Z41" i="26"/>
  <c r="S32" i="26"/>
  <c r="G38" i="45"/>
  <c r="P132" i="28"/>
  <c r="O132" i="28"/>
  <c r="L253" i="7"/>
  <c r="L254" i="7"/>
  <c r="O4" i="28"/>
  <c r="H138" i="87"/>
  <c r="H253" i="87"/>
  <c r="H254" i="87"/>
  <c r="AV169" i="7"/>
  <c r="AX169" i="7"/>
  <c r="AW169" i="7"/>
  <c r="AW288" i="7"/>
  <c r="AZ62" i="7"/>
  <c r="BB62" i="7"/>
  <c r="AU288" i="7"/>
  <c r="H288" i="45"/>
  <c r="D288" i="45" s="1"/>
  <c r="AY62" i="7"/>
  <c r="AU169" i="7"/>
  <c r="AX242" i="7"/>
  <c r="AX288" i="7"/>
  <c r="AU141" i="7"/>
  <c r="AZ20" i="7"/>
  <c r="F20" i="39"/>
  <c r="G20" i="39" s="1"/>
  <c r="AW130" i="7"/>
  <c r="BJ203" i="7"/>
  <c r="BI203" i="7"/>
  <c r="BH203" i="7"/>
  <c r="BG203" i="7"/>
  <c r="BF203" i="7"/>
  <c r="BE203" i="7"/>
  <c r="BD203" i="7"/>
  <c r="BC203" i="7"/>
  <c r="F130" i="87"/>
  <c r="BJ272" i="7"/>
  <c r="BI272" i="7"/>
  <c r="BH272" i="7"/>
  <c r="BG272" i="7"/>
  <c r="BF272" i="7"/>
  <c r="BC272" i="7"/>
  <c r="BE272" i="7"/>
  <c r="BD272" i="7"/>
  <c r="BG11" i="7"/>
  <c r="BF11" i="7"/>
  <c r="BJ11" i="7"/>
  <c r="BE11" i="7"/>
  <c r="BD11" i="7"/>
  <c r="BC11" i="7"/>
  <c r="BI11" i="7"/>
  <c r="BH11" i="7"/>
  <c r="BI76" i="7"/>
  <c r="BH76" i="7"/>
  <c r="BG76" i="7"/>
  <c r="BF76" i="7"/>
  <c r="BE76" i="7"/>
  <c r="BD76" i="7"/>
  <c r="BC76" i="7"/>
  <c r="BJ76" i="7"/>
  <c r="BI93" i="7"/>
  <c r="BH93" i="7"/>
  <c r="BG93" i="7"/>
  <c r="BF93" i="7"/>
  <c r="BE93" i="7"/>
  <c r="BD93" i="7"/>
  <c r="BC93" i="7"/>
  <c r="BJ93" i="7"/>
  <c r="BI98" i="7"/>
  <c r="BH98" i="7"/>
  <c r="BG98" i="7"/>
  <c r="BF98" i="7"/>
  <c r="BE98" i="7"/>
  <c r="BJ98" i="7"/>
  <c r="BD98" i="7"/>
  <c r="BC98" i="7"/>
  <c r="BI102" i="7"/>
  <c r="BH102" i="7"/>
  <c r="BG102" i="7"/>
  <c r="BF102" i="7"/>
  <c r="BE102" i="7"/>
  <c r="BD102" i="7"/>
  <c r="BJ102" i="7"/>
  <c r="BC102" i="7"/>
  <c r="BG48" i="7"/>
  <c r="BF48" i="7"/>
  <c r="BE48" i="7"/>
  <c r="BD48" i="7"/>
  <c r="BJ48" i="7"/>
  <c r="BC48" i="7"/>
  <c r="BI48" i="7"/>
  <c r="BH48" i="7"/>
  <c r="BI193" i="7"/>
  <c r="BH193" i="7"/>
  <c r="BG193" i="7"/>
  <c r="BF193" i="7"/>
  <c r="BE193" i="7"/>
  <c r="BC193" i="7"/>
  <c r="BJ193" i="7"/>
  <c r="BD193" i="7"/>
  <c r="BJ207" i="7"/>
  <c r="BI207" i="7"/>
  <c r="BH207" i="7"/>
  <c r="BG207" i="7"/>
  <c r="BF207" i="7"/>
  <c r="BE207" i="7"/>
  <c r="BC207" i="7"/>
  <c r="BD207" i="7"/>
  <c r="BI104" i="7"/>
  <c r="BH104" i="7"/>
  <c r="BG104" i="7"/>
  <c r="BF104" i="7"/>
  <c r="BE104" i="7"/>
  <c r="BC104" i="7"/>
  <c r="BJ104" i="7"/>
  <c r="BD104" i="7"/>
  <c r="BI141" i="7"/>
  <c r="BH141" i="7"/>
  <c r="BG141" i="7"/>
  <c r="BF141" i="7"/>
  <c r="BE141" i="7"/>
  <c r="BD141" i="7"/>
  <c r="BC141" i="7"/>
  <c r="BJ141" i="7"/>
  <c r="BJ250" i="7"/>
  <c r="BI250" i="7"/>
  <c r="BH250" i="7"/>
  <c r="BG250" i="7"/>
  <c r="BF250" i="7"/>
  <c r="BE250" i="7"/>
  <c r="BD250" i="7"/>
  <c r="BC250" i="7"/>
  <c r="BI137" i="7"/>
  <c r="BH137" i="7"/>
  <c r="BG137" i="7"/>
  <c r="BF137" i="7"/>
  <c r="BE137" i="7"/>
  <c r="BC137" i="7"/>
  <c r="BJ137" i="7"/>
  <c r="BD137" i="7"/>
  <c r="BG57" i="7"/>
  <c r="BJ57" i="7"/>
  <c r="BF57" i="7"/>
  <c r="BE57" i="7"/>
  <c r="BD57" i="7"/>
  <c r="BC57" i="7"/>
  <c r="BI57" i="7"/>
  <c r="BH57" i="7"/>
  <c r="BG47" i="7"/>
  <c r="BF47" i="7"/>
  <c r="BE47" i="7"/>
  <c r="BD47" i="7"/>
  <c r="BC47" i="7"/>
  <c r="BJ47" i="7"/>
  <c r="BI47" i="7"/>
  <c r="BH47" i="7"/>
  <c r="BI86" i="7"/>
  <c r="BH86" i="7"/>
  <c r="BG86" i="7"/>
  <c r="BF86" i="7"/>
  <c r="BE86" i="7"/>
  <c r="BD86" i="7"/>
  <c r="BJ86" i="7"/>
  <c r="BC86" i="7"/>
  <c r="BJ219" i="7"/>
  <c r="BI219" i="7"/>
  <c r="BH219" i="7"/>
  <c r="BG219" i="7"/>
  <c r="BF219" i="7"/>
  <c r="BE219" i="7"/>
  <c r="BD219" i="7"/>
  <c r="BC219" i="7"/>
  <c r="BG20" i="7"/>
  <c r="BF20" i="7"/>
  <c r="BE20" i="7"/>
  <c r="BD20" i="7"/>
  <c r="BJ20" i="7"/>
  <c r="BC20" i="7"/>
  <c r="BI20" i="7"/>
  <c r="BH20" i="7"/>
  <c r="BI169" i="7"/>
  <c r="BH169" i="7"/>
  <c r="BG169" i="7"/>
  <c r="BF169" i="7"/>
  <c r="BE169" i="7"/>
  <c r="BC169" i="7"/>
  <c r="BJ169" i="7"/>
  <c r="BD169" i="7"/>
  <c r="BJ288" i="7"/>
  <c r="BI288" i="7"/>
  <c r="BH288" i="7"/>
  <c r="BG288" i="7"/>
  <c r="BF288" i="7"/>
  <c r="BE288" i="7"/>
  <c r="BD288" i="7"/>
  <c r="BC288" i="7"/>
  <c r="BI190" i="7"/>
  <c r="BH190" i="7"/>
  <c r="BG190" i="7"/>
  <c r="BF190" i="7"/>
  <c r="BE190" i="7"/>
  <c r="BD190" i="7"/>
  <c r="BC190" i="7"/>
  <c r="BJ190" i="7"/>
  <c r="BJ243" i="7"/>
  <c r="BI243" i="7"/>
  <c r="BH243" i="7"/>
  <c r="BG243" i="7"/>
  <c r="BF243" i="7"/>
  <c r="BE243" i="7"/>
  <c r="BD243" i="7"/>
  <c r="BC243" i="7"/>
  <c r="BI90" i="7"/>
  <c r="BH90" i="7"/>
  <c r="BG90" i="7"/>
  <c r="BF90" i="7"/>
  <c r="BE90" i="7"/>
  <c r="BJ90" i="7"/>
  <c r="BD90" i="7"/>
  <c r="BC90" i="7"/>
  <c r="O119" i="46"/>
  <c r="BI119" i="7"/>
  <c r="BH119" i="7"/>
  <c r="BG119" i="7"/>
  <c r="BF119" i="7"/>
  <c r="BE119" i="7"/>
  <c r="BJ119" i="7"/>
  <c r="BD119" i="7"/>
  <c r="BC119" i="7"/>
  <c r="BI186" i="7"/>
  <c r="BH186" i="7"/>
  <c r="BG186" i="7"/>
  <c r="BF186" i="7"/>
  <c r="BE186" i="7"/>
  <c r="BJ186" i="7"/>
  <c r="BD186" i="7"/>
  <c r="BC186" i="7"/>
  <c r="AV250" i="7"/>
  <c r="AX130" i="7"/>
  <c r="BI92" i="7"/>
  <c r="BH92" i="7"/>
  <c r="BG92" i="7"/>
  <c r="BF92" i="7"/>
  <c r="BE92" i="7"/>
  <c r="BJ92" i="7"/>
  <c r="BD92" i="7"/>
  <c r="BC92" i="7"/>
  <c r="BJ244" i="7"/>
  <c r="BI244" i="7"/>
  <c r="BH244" i="7"/>
  <c r="BG244" i="7"/>
  <c r="BF244" i="7"/>
  <c r="BE244" i="7"/>
  <c r="BD244" i="7"/>
  <c r="BC244" i="7"/>
  <c r="BI176" i="7"/>
  <c r="BH176" i="7"/>
  <c r="BG176" i="7"/>
  <c r="BF176" i="7"/>
  <c r="BE176" i="7"/>
  <c r="BJ176" i="7"/>
  <c r="BD176" i="7"/>
  <c r="BC176" i="7"/>
  <c r="BI166" i="7"/>
  <c r="BH166" i="7"/>
  <c r="BG166" i="7"/>
  <c r="BF166" i="7"/>
  <c r="BE166" i="7"/>
  <c r="BD166" i="7"/>
  <c r="BC166" i="7"/>
  <c r="BJ166" i="7"/>
  <c r="AX186" i="7"/>
  <c r="AU130" i="7"/>
  <c r="BJ205" i="7"/>
  <c r="BI205" i="7"/>
  <c r="BH205" i="7"/>
  <c r="BG205" i="7"/>
  <c r="BF205" i="7"/>
  <c r="BE205" i="7"/>
  <c r="BD205" i="7"/>
  <c r="BC205" i="7"/>
  <c r="BG54" i="7"/>
  <c r="BF54" i="7"/>
  <c r="BE54" i="7"/>
  <c r="BD54" i="7"/>
  <c r="BJ54" i="7"/>
  <c r="BI54" i="7"/>
  <c r="BH54" i="7"/>
  <c r="BG19" i="7"/>
  <c r="BF19" i="7"/>
  <c r="BE19" i="7"/>
  <c r="BJ19" i="7"/>
  <c r="BD19" i="7"/>
  <c r="BC19" i="7"/>
  <c r="BH19" i="7"/>
  <c r="BI19" i="7"/>
  <c r="BJ242" i="7"/>
  <c r="BI242" i="7"/>
  <c r="BH242" i="7"/>
  <c r="BG242" i="7"/>
  <c r="BF242" i="7"/>
  <c r="BD242" i="7"/>
  <c r="BC242" i="7"/>
  <c r="BE242" i="7"/>
  <c r="BI148" i="7"/>
  <c r="BH148" i="7"/>
  <c r="BG148" i="7"/>
  <c r="BF148" i="7"/>
  <c r="BE148" i="7"/>
  <c r="BJ148" i="7"/>
  <c r="BD148" i="7"/>
  <c r="BC148" i="7"/>
  <c r="BI130" i="7"/>
  <c r="BH130" i="7"/>
  <c r="BG130" i="7"/>
  <c r="BF130" i="7"/>
  <c r="BE130" i="7"/>
  <c r="BJ130" i="7"/>
  <c r="BD130" i="7"/>
  <c r="BC130" i="7"/>
  <c r="AV130" i="7"/>
  <c r="BJ252" i="7"/>
  <c r="BI252" i="7"/>
  <c r="BH252" i="7"/>
  <c r="BG252" i="7"/>
  <c r="BF252" i="7"/>
  <c r="BE252" i="7"/>
  <c r="BC252" i="7"/>
  <c r="BD252" i="7"/>
  <c r="BG51" i="7"/>
  <c r="BF51" i="7"/>
  <c r="BJ51" i="7"/>
  <c r="BE51" i="7"/>
  <c r="BD51" i="7"/>
  <c r="BC51" i="7"/>
  <c r="BI51" i="7"/>
  <c r="BH51" i="7"/>
  <c r="BI68" i="7"/>
  <c r="BH68" i="7"/>
  <c r="BG68" i="7"/>
  <c r="BF68" i="7"/>
  <c r="BE68" i="7"/>
  <c r="BD68" i="7"/>
  <c r="BC68" i="7"/>
  <c r="BJ68" i="7"/>
  <c r="D125" i="39"/>
  <c r="E125" i="39" s="1"/>
  <c r="K125" i="28" s="1"/>
  <c r="L125" i="28" s="1"/>
  <c r="K125" i="46" s="1"/>
  <c r="BI125" i="7"/>
  <c r="BH125" i="7"/>
  <c r="BG125" i="7"/>
  <c r="BF125" i="7"/>
  <c r="BE125" i="7"/>
  <c r="BD125" i="7"/>
  <c r="BC125" i="7"/>
  <c r="BJ125" i="7"/>
  <c r="BI88" i="7"/>
  <c r="BH88" i="7"/>
  <c r="BG88" i="7"/>
  <c r="BF88" i="7"/>
  <c r="BE88" i="7"/>
  <c r="BC88" i="7"/>
  <c r="BJ88" i="7"/>
  <c r="BD88" i="7"/>
  <c r="F72" i="39"/>
  <c r="G72" i="39" s="1"/>
  <c r="F92" i="39"/>
  <c r="G92" i="39" s="1"/>
  <c r="AZ288" i="7"/>
  <c r="BB92" i="7"/>
  <c r="BB288" i="7"/>
  <c r="AU125" i="7"/>
  <c r="AZ92" i="7"/>
  <c r="AY191" i="7"/>
  <c r="F191" i="39"/>
  <c r="G191" i="39" s="1"/>
  <c r="BB207" i="7"/>
  <c r="W191" i="26"/>
  <c r="U172" i="26"/>
  <c r="Y38" i="26"/>
  <c r="G251" i="28"/>
  <c r="L251" i="46" s="1"/>
  <c r="U204" i="26"/>
  <c r="V172" i="26"/>
  <c r="Y276" i="26"/>
  <c r="F213" i="28"/>
  <c r="I213" i="46" s="1"/>
  <c r="T160" i="26"/>
  <c r="W174" i="26"/>
  <c r="W88" i="26"/>
  <c r="Y172" i="26"/>
  <c r="Y72" i="26"/>
  <c r="U160" i="26"/>
  <c r="Y176" i="26"/>
  <c r="F147" i="28"/>
  <c r="I147" i="46" s="1"/>
  <c r="Z172" i="26"/>
  <c r="F264" i="28"/>
  <c r="I264" i="46" s="1"/>
  <c r="Y160" i="26"/>
  <c r="V160" i="26"/>
  <c r="T172" i="26"/>
  <c r="Z160" i="26"/>
  <c r="W245" i="26"/>
  <c r="W172" i="26"/>
  <c r="Z108" i="26"/>
  <c r="S160" i="26"/>
  <c r="G81" i="28"/>
  <c r="L81" i="46" s="1"/>
  <c r="T185" i="26"/>
  <c r="W279" i="26"/>
  <c r="F32" i="28"/>
  <c r="I32" i="46" s="1"/>
  <c r="U252" i="26"/>
  <c r="U185" i="26"/>
  <c r="U121" i="26"/>
  <c r="V252" i="26"/>
  <c r="Y185" i="26"/>
  <c r="Y279" i="26"/>
  <c r="F97" i="28"/>
  <c r="I97" i="46" s="1"/>
  <c r="F250" i="28"/>
  <c r="I250" i="46" s="1"/>
  <c r="G103" i="28"/>
  <c r="L103" i="46" s="1"/>
  <c r="F201" i="28"/>
  <c r="I201" i="46" s="1"/>
  <c r="W252" i="26"/>
  <c r="R232" i="26"/>
  <c r="X232" i="26" s="1"/>
  <c r="Z279" i="26"/>
  <c r="F114" i="28"/>
  <c r="I114" i="46" s="1"/>
  <c r="F185" i="28"/>
  <c r="I185" i="46" s="1"/>
  <c r="F212" i="28"/>
  <c r="I212" i="46" s="1"/>
  <c r="Y256" i="26"/>
  <c r="F182" i="28"/>
  <c r="I182" i="46" s="1"/>
  <c r="G187" i="28"/>
  <c r="L187" i="46" s="1"/>
  <c r="S252" i="26"/>
  <c r="S185" i="26"/>
  <c r="G197" i="28"/>
  <c r="L197" i="46" s="1"/>
  <c r="S279" i="26"/>
  <c r="G153" i="28"/>
  <c r="L153" i="46" s="1"/>
  <c r="V185" i="26"/>
  <c r="F99" i="28"/>
  <c r="I99" i="46" s="1"/>
  <c r="T279" i="26"/>
  <c r="I232" i="45"/>
  <c r="Y252" i="26"/>
  <c r="W185" i="26"/>
  <c r="U279" i="26"/>
  <c r="Z252" i="26"/>
  <c r="Z288" i="26"/>
  <c r="T17" i="26"/>
  <c r="Z256" i="26"/>
  <c r="V121" i="26"/>
  <c r="U203" i="26"/>
  <c r="S166" i="26"/>
  <c r="T277" i="26"/>
  <c r="W17" i="26"/>
  <c r="Y121" i="26"/>
  <c r="W166" i="26"/>
  <c r="S277" i="26"/>
  <c r="U277" i="26"/>
  <c r="S288" i="26"/>
  <c r="Y17" i="26"/>
  <c r="W256" i="26"/>
  <c r="W121" i="26"/>
  <c r="Z203" i="26"/>
  <c r="Z166" i="26"/>
  <c r="V277" i="26"/>
  <c r="T288" i="26"/>
  <c r="U17" i="26"/>
  <c r="S256" i="26"/>
  <c r="S121" i="26"/>
  <c r="S203" i="26"/>
  <c r="U166" i="26"/>
  <c r="U288" i="26"/>
  <c r="V17" i="26"/>
  <c r="T256" i="26"/>
  <c r="T121" i="26"/>
  <c r="W203" i="26"/>
  <c r="T166" i="26"/>
  <c r="Z272" i="26"/>
  <c r="W277" i="26"/>
  <c r="V288" i="26"/>
  <c r="U256" i="26"/>
  <c r="V203" i="26"/>
  <c r="V166" i="26"/>
  <c r="Y277" i="26"/>
  <c r="W288" i="26"/>
  <c r="Z17" i="26"/>
  <c r="V256" i="26"/>
  <c r="Z121" i="26"/>
  <c r="Y203" i="26"/>
  <c r="Y166" i="26"/>
  <c r="W190" i="26"/>
  <c r="V289" i="26"/>
  <c r="W257" i="26"/>
  <c r="U5" i="26"/>
  <c r="W34" i="26"/>
  <c r="U221" i="26"/>
  <c r="S144" i="26"/>
  <c r="W289" i="26"/>
  <c r="Y257" i="26"/>
  <c r="Y34" i="26"/>
  <c r="V221" i="26"/>
  <c r="Z135" i="26"/>
  <c r="Z111" i="26"/>
  <c r="V190" i="26"/>
  <c r="Z144" i="26"/>
  <c r="Y289" i="26"/>
  <c r="Z257" i="26"/>
  <c r="S34" i="26"/>
  <c r="Y221" i="26"/>
  <c r="Y197" i="26"/>
  <c r="S111" i="26"/>
  <c r="U190" i="26"/>
  <c r="U144" i="26"/>
  <c r="Z289" i="26"/>
  <c r="S257" i="26"/>
  <c r="T34" i="26"/>
  <c r="Z221" i="26"/>
  <c r="S244" i="26"/>
  <c r="Y190" i="26"/>
  <c r="S289" i="26"/>
  <c r="U34" i="26"/>
  <c r="S221" i="26"/>
  <c r="Z190" i="26"/>
  <c r="T289" i="26"/>
  <c r="T257" i="26"/>
  <c r="T221" i="26"/>
  <c r="S190" i="26"/>
  <c r="U257" i="26"/>
  <c r="Z34" i="26"/>
  <c r="W221" i="26"/>
  <c r="F119" i="87"/>
  <c r="AY20" i="7"/>
  <c r="AU186" i="7"/>
  <c r="AZ244" i="7"/>
  <c r="AY10" i="7"/>
  <c r="AY244" i="7"/>
  <c r="F10" i="39"/>
  <c r="G10" i="39" s="1"/>
  <c r="BB244" i="7"/>
  <c r="AZ10" i="7"/>
  <c r="AV186" i="7"/>
  <c r="AW186" i="7"/>
  <c r="AZ219" i="7"/>
  <c r="BB219" i="7"/>
  <c r="AW98" i="7"/>
  <c r="AY219" i="7"/>
  <c r="F169" i="39"/>
  <c r="G169" i="39" s="1"/>
  <c r="BB72" i="7"/>
  <c r="AZ169" i="7"/>
  <c r="AY72" i="7"/>
  <c r="AY169" i="7"/>
  <c r="AX98" i="7"/>
  <c r="AV98" i="7"/>
  <c r="Z187" i="7"/>
  <c r="D187" i="39" s="1"/>
  <c r="E187" i="39" s="1"/>
  <c r="AU187" i="7"/>
  <c r="J91" i="28"/>
  <c r="M91" i="46" s="1"/>
  <c r="I91" i="28"/>
  <c r="J91" i="46" s="1"/>
  <c r="X222" i="6"/>
  <c r="G222" i="45"/>
  <c r="G152" i="28"/>
  <c r="L152" i="46" s="1"/>
  <c r="U19" i="26"/>
  <c r="U191" i="26"/>
  <c r="G60" i="28"/>
  <c r="L60" i="46" s="1"/>
  <c r="V72" i="26"/>
  <c r="W108" i="26"/>
  <c r="F18" i="28"/>
  <c r="I18" i="46" s="1"/>
  <c r="Y183" i="26"/>
  <c r="U38" i="26"/>
  <c r="S174" i="26"/>
  <c r="AW193" i="7"/>
  <c r="Y88" i="26"/>
  <c r="Z207" i="6"/>
  <c r="Y122" i="26"/>
  <c r="W37" i="26"/>
  <c r="T204" i="26"/>
  <c r="V19" i="26"/>
  <c r="V191" i="26"/>
  <c r="V15" i="26"/>
  <c r="W72" i="26"/>
  <c r="Y108" i="26"/>
  <c r="Z183" i="26"/>
  <c r="V38" i="26"/>
  <c r="V174" i="26"/>
  <c r="AX193" i="7"/>
  <c r="U88" i="26"/>
  <c r="AZ58" i="7"/>
  <c r="V204" i="26"/>
  <c r="V122" i="26"/>
  <c r="G215" i="28"/>
  <c r="L215" i="46" s="1"/>
  <c r="Z19" i="26"/>
  <c r="Z191" i="26"/>
  <c r="Z72" i="26"/>
  <c r="F196" i="28"/>
  <c r="I196" i="46" s="1"/>
  <c r="S108" i="26"/>
  <c r="F86" i="28"/>
  <c r="I86" i="46" s="1"/>
  <c r="V183" i="26"/>
  <c r="Z38" i="26"/>
  <c r="T174" i="26"/>
  <c r="AV193" i="7"/>
  <c r="AY88" i="7"/>
  <c r="W204" i="26"/>
  <c r="W122" i="26"/>
  <c r="W19" i="26"/>
  <c r="S191" i="26"/>
  <c r="S72" i="26"/>
  <c r="S38" i="26"/>
  <c r="U174" i="26"/>
  <c r="AX243" i="7"/>
  <c r="I286" i="28"/>
  <c r="J286" i="46" s="1"/>
  <c r="V88" i="26"/>
  <c r="S88" i="26"/>
  <c r="AV102" i="7"/>
  <c r="Y204" i="26"/>
  <c r="G125" i="28"/>
  <c r="L125" i="46" s="1"/>
  <c r="U72" i="26"/>
  <c r="T108" i="26"/>
  <c r="W183" i="26"/>
  <c r="T38" i="26"/>
  <c r="Y174" i="26"/>
  <c r="AU243" i="7"/>
  <c r="J260" i="28"/>
  <c r="M260" i="46" s="1"/>
  <c r="Z88" i="26"/>
  <c r="G87" i="28"/>
  <c r="L87" i="46" s="1"/>
  <c r="Z204" i="26"/>
  <c r="U122" i="26"/>
  <c r="S19" i="26"/>
  <c r="T191" i="26"/>
  <c r="S70" i="26"/>
  <c r="U108" i="26"/>
  <c r="S183" i="26"/>
  <c r="W38" i="26"/>
  <c r="I82" i="28"/>
  <c r="J82" i="46" s="1"/>
  <c r="AV243" i="7"/>
  <c r="AZ88" i="7"/>
  <c r="F88" i="39"/>
  <c r="G88" i="39" s="1"/>
  <c r="G108" i="28"/>
  <c r="L108" i="46" s="1"/>
  <c r="S204" i="26"/>
  <c r="V105" i="26"/>
  <c r="T19" i="26"/>
  <c r="Y191" i="26"/>
  <c r="T72" i="26"/>
  <c r="Z18" i="26"/>
  <c r="V108" i="26"/>
  <c r="T183" i="26"/>
  <c r="Z174" i="26"/>
  <c r="AW243" i="7"/>
  <c r="T88" i="26"/>
  <c r="T207" i="6"/>
  <c r="T111" i="26"/>
  <c r="G74" i="28"/>
  <c r="L74" i="46" s="1"/>
  <c r="V5" i="26"/>
  <c r="W76" i="26"/>
  <c r="T244" i="26"/>
  <c r="V207" i="6"/>
  <c r="S125" i="26"/>
  <c r="U111" i="26"/>
  <c r="W5" i="26"/>
  <c r="U76" i="26"/>
  <c r="Y244" i="26"/>
  <c r="U207" i="6"/>
  <c r="Y111" i="26"/>
  <c r="Y5" i="26"/>
  <c r="G164" i="28"/>
  <c r="L164" i="46" s="1"/>
  <c r="V76" i="26"/>
  <c r="W207" i="6"/>
  <c r="V111" i="26"/>
  <c r="G278" i="28"/>
  <c r="L278" i="46" s="1"/>
  <c r="Z5" i="26"/>
  <c r="Y76" i="26"/>
  <c r="W244" i="26"/>
  <c r="X207" i="6"/>
  <c r="W111" i="26"/>
  <c r="S5" i="26"/>
  <c r="U153" i="26"/>
  <c r="S76" i="26"/>
  <c r="U244" i="26"/>
  <c r="AA207" i="6"/>
  <c r="AC207" i="6"/>
  <c r="F162" i="28"/>
  <c r="I162" i="46" s="1"/>
  <c r="W182" i="26"/>
  <c r="T76" i="26"/>
  <c r="V244" i="26"/>
  <c r="G207" i="45"/>
  <c r="T5" i="26"/>
  <c r="Z244" i="26"/>
  <c r="BB191" i="7"/>
  <c r="I217" i="28"/>
  <c r="J217" i="46" s="1"/>
  <c r="W291" i="26"/>
  <c r="V286" i="26"/>
  <c r="U25" i="26"/>
  <c r="W181" i="26"/>
  <c r="T10" i="26"/>
  <c r="W74" i="6"/>
  <c r="Y245" i="26"/>
  <c r="AY92" i="7"/>
  <c r="W50" i="26"/>
  <c r="Y291" i="26"/>
  <c r="W286" i="26"/>
  <c r="F111" i="28"/>
  <c r="I111" i="46" s="1"/>
  <c r="S181" i="26"/>
  <c r="W10" i="26"/>
  <c r="T245" i="26"/>
  <c r="AA74" i="6"/>
  <c r="J37" i="28"/>
  <c r="M37" i="46" s="1"/>
  <c r="I290" i="28"/>
  <c r="J290" i="46" s="1"/>
  <c r="AY58" i="7"/>
  <c r="Y102" i="26"/>
  <c r="Z151" i="26"/>
  <c r="Z291" i="26"/>
  <c r="S25" i="26"/>
  <c r="G210" i="28"/>
  <c r="L210" i="46" s="1"/>
  <c r="T181" i="26"/>
  <c r="Y10" i="26"/>
  <c r="S245" i="26"/>
  <c r="U74" i="6"/>
  <c r="G74" i="45"/>
  <c r="S291" i="26"/>
  <c r="Y286" i="26"/>
  <c r="V25" i="26"/>
  <c r="AC74" i="6"/>
  <c r="T74" i="6"/>
  <c r="I272" i="28"/>
  <c r="J272" i="46" s="1"/>
  <c r="F112" i="28"/>
  <c r="I112" i="46" s="1"/>
  <c r="W93" i="26"/>
  <c r="U291" i="26"/>
  <c r="S286" i="26"/>
  <c r="Y25" i="26"/>
  <c r="F5" i="28"/>
  <c r="I5" i="46" s="1"/>
  <c r="Y181" i="26"/>
  <c r="Z245" i="26"/>
  <c r="V245" i="26"/>
  <c r="U10" i="26"/>
  <c r="V74" i="6"/>
  <c r="F288" i="39"/>
  <c r="G288" i="39" s="1"/>
  <c r="BB58" i="7"/>
  <c r="V291" i="26"/>
  <c r="T286" i="26"/>
  <c r="F173" i="28"/>
  <c r="I173" i="46" s="1"/>
  <c r="Z25" i="26"/>
  <c r="Z181" i="26"/>
  <c r="T119" i="26"/>
  <c r="U245" i="26"/>
  <c r="Z10" i="26"/>
  <c r="Y74" i="6"/>
  <c r="U286" i="26"/>
  <c r="T25" i="26"/>
  <c r="U181" i="26"/>
  <c r="Y173" i="26"/>
  <c r="V10" i="26"/>
  <c r="H74" i="28"/>
  <c r="I74" i="28" s="1"/>
  <c r="J74" i="46" s="1"/>
  <c r="I95" i="28"/>
  <c r="J95" i="46" s="1"/>
  <c r="BB20" i="7"/>
  <c r="Y207" i="6"/>
  <c r="H207" i="28"/>
  <c r="I207" i="28" s="1"/>
  <c r="J207" i="46" s="1"/>
  <c r="BB48" i="7"/>
  <c r="F58" i="39"/>
  <c r="G58" i="39" s="1"/>
  <c r="A154" i="50"/>
  <c r="A154" i="52"/>
  <c r="A154" i="51"/>
  <c r="A154" i="33"/>
  <c r="A154" i="39"/>
  <c r="A154" i="6"/>
  <c r="A154" i="23"/>
  <c r="A154" i="26"/>
  <c r="A154" i="25"/>
  <c r="A154" i="54"/>
  <c r="A154" i="28"/>
  <c r="A154" i="21"/>
  <c r="A154" i="7"/>
  <c r="A154" i="15"/>
  <c r="H44" i="87"/>
  <c r="C44" i="87" s="1"/>
  <c r="Z44" i="7"/>
  <c r="H218" i="87"/>
  <c r="C218" i="87" s="1"/>
  <c r="Z218" i="7"/>
  <c r="H286" i="87"/>
  <c r="C286" i="87" s="1"/>
  <c r="Z286" i="7"/>
  <c r="H157" i="87"/>
  <c r="C157" i="87" s="1"/>
  <c r="Z157" i="7"/>
  <c r="H45" i="87"/>
  <c r="H210" i="87"/>
  <c r="C210" i="87" s="1"/>
  <c r="Z210" i="7"/>
  <c r="H189" i="87"/>
  <c r="C189" i="87" s="1"/>
  <c r="Z189" i="7"/>
  <c r="O11" i="46"/>
  <c r="F11" i="87"/>
  <c r="H132" i="87"/>
  <c r="C132" i="87" s="1"/>
  <c r="Z132" i="7"/>
  <c r="H177" i="87"/>
  <c r="C177" i="87" s="1"/>
  <c r="Z177" i="7"/>
  <c r="H115" i="87"/>
  <c r="C115" i="87" s="1"/>
  <c r="Z115" i="7"/>
  <c r="H197" i="87"/>
  <c r="C197" i="87" s="1"/>
  <c r="Z197" i="7"/>
  <c r="H32" i="87"/>
  <c r="H95" i="87"/>
  <c r="C95" i="87" s="1"/>
  <c r="Z95" i="7"/>
  <c r="H160" i="87"/>
  <c r="C160" i="87" s="1"/>
  <c r="Z160" i="7"/>
  <c r="H118" i="87"/>
  <c r="C118" i="87" s="1"/>
  <c r="Z118" i="7"/>
  <c r="H139" i="87"/>
  <c r="H79" i="87"/>
  <c r="C79" i="87" s="1"/>
  <c r="Z79" i="7"/>
  <c r="H182" i="87"/>
  <c r="C182" i="87" s="1"/>
  <c r="Z182" i="7"/>
  <c r="H121" i="87"/>
  <c r="C121" i="87" s="1"/>
  <c r="Z121" i="7"/>
  <c r="H161" i="87"/>
  <c r="C161" i="87" s="1"/>
  <c r="Z161" i="7"/>
  <c r="H153" i="87"/>
  <c r="C153" i="87" s="1"/>
  <c r="Z153" i="7"/>
  <c r="H53" i="87"/>
  <c r="H29" i="87"/>
  <c r="C29" i="87" s="1"/>
  <c r="Z29" i="7"/>
  <c r="H188" i="87"/>
  <c r="C188" i="87" s="1"/>
  <c r="Z188" i="7"/>
  <c r="H89" i="87"/>
  <c r="H113" i="87"/>
  <c r="C113" i="87" s="1"/>
  <c r="Z113" i="7"/>
  <c r="H116" i="87"/>
  <c r="C116" i="87" s="1"/>
  <c r="Z116" i="7"/>
  <c r="H142" i="87"/>
  <c r="C142" i="87" s="1"/>
  <c r="Z142" i="7"/>
  <c r="H192" i="87"/>
  <c r="C192" i="87" s="1"/>
  <c r="Z192" i="7"/>
  <c r="H129" i="87"/>
  <c r="C129" i="87" s="1"/>
  <c r="Z129" i="7"/>
  <c r="H209" i="87"/>
  <c r="C209" i="87" s="1"/>
  <c r="Z209" i="7"/>
  <c r="H110" i="87"/>
  <c r="C110" i="87" s="1"/>
  <c r="Z110" i="7"/>
  <c r="H222" i="87"/>
  <c r="C222" i="87" s="1"/>
  <c r="Z222" i="7"/>
  <c r="H216" i="87"/>
  <c r="C216" i="87" s="1"/>
  <c r="Z216" i="7"/>
  <c r="H224" i="87"/>
  <c r="C224" i="87" s="1"/>
  <c r="Z224" i="7"/>
  <c r="H84" i="87"/>
  <c r="C84" i="87" s="1"/>
  <c r="Z84" i="7"/>
  <c r="H126" i="87"/>
  <c r="C126" i="87" s="1"/>
  <c r="Z126" i="7"/>
  <c r="H271" i="87"/>
  <c r="C271" i="87" s="1"/>
  <c r="Z271" i="7"/>
  <c r="BB54" i="7"/>
  <c r="BA251" i="7"/>
  <c r="F62" i="39"/>
  <c r="G62" i="39" s="1"/>
  <c r="F250" i="87"/>
  <c r="O250" i="46"/>
  <c r="F137" i="87"/>
  <c r="O137" i="46"/>
  <c r="F104" i="87"/>
  <c r="O104" i="46"/>
  <c r="F272" i="87"/>
  <c r="O272" i="46"/>
  <c r="O148" i="46"/>
  <c r="F148" i="87"/>
  <c r="AZ191" i="7"/>
  <c r="O86" i="46"/>
  <c r="F86" i="87"/>
  <c r="H235" i="87"/>
  <c r="C235" i="87" s="1"/>
  <c r="Z235" i="7"/>
  <c r="H71" i="87"/>
  <c r="H69" i="87"/>
  <c r="C69" i="87" s="1"/>
  <c r="Z69" i="7"/>
  <c r="H284" i="87"/>
  <c r="C284" i="87" s="1"/>
  <c r="Z284" i="7"/>
  <c r="H38" i="87"/>
  <c r="C38" i="87" s="1"/>
  <c r="Z38" i="7"/>
  <c r="H40" i="87"/>
  <c r="C40" i="87" s="1"/>
  <c r="Z40" i="7"/>
  <c r="H101" i="87"/>
  <c r="H223" i="87"/>
  <c r="C223" i="87" s="1"/>
  <c r="Z223" i="7"/>
  <c r="H214" i="87"/>
  <c r="C214" i="87" s="1"/>
  <c r="Z214" i="7"/>
  <c r="H128" i="87"/>
  <c r="H277" i="87"/>
  <c r="C277" i="87" s="1"/>
  <c r="Z277" i="7"/>
  <c r="H144" i="87"/>
  <c r="C144" i="87" s="1"/>
  <c r="Z144" i="7"/>
  <c r="H85" i="87"/>
  <c r="C85" i="87" s="1"/>
  <c r="Z85" i="7"/>
  <c r="BA183" i="7"/>
  <c r="AU242" i="7"/>
  <c r="AY54" i="7"/>
  <c r="AZ207" i="7"/>
  <c r="AY207" i="7"/>
  <c r="F219" i="87"/>
  <c r="O219" i="46"/>
  <c r="O252" i="46"/>
  <c r="F252" i="87"/>
  <c r="O54" i="46"/>
  <c r="F54" i="87"/>
  <c r="AZ72" i="7"/>
  <c r="AY288" i="7"/>
  <c r="H151" i="87"/>
  <c r="C151" i="87" s="1"/>
  <c r="Z151" i="7"/>
  <c r="H171" i="87"/>
  <c r="C171" i="87" s="1"/>
  <c r="Z171" i="7"/>
  <c r="H261" i="87"/>
  <c r="C261" i="87" s="1"/>
  <c r="Z261" i="7"/>
  <c r="H179" i="87"/>
  <c r="C179" i="87" s="1"/>
  <c r="Z179" i="7"/>
  <c r="H35" i="87"/>
  <c r="C35" i="87" s="1"/>
  <c r="Z35" i="7"/>
  <c r="H167" i="87"/>
  <c r="C167" i="87" s="1"/>
  <c r="Z167" i="7"/>
  <c r="BA136" i="7"/>
  <c r="AZ136" i="7"/>
  <c r="BB136" i="7"/>
  <c r="F136" i="39"/>
  <c r="G136" i="39" s="1"/>
  <c r="H150" i="87"/>
  <c r="C150" i="87" s="1"/>
  <c r="Z150" i="7"/>
  <c r="H180" i="87"/>
  <c r="C180" i="87" s="1"/>
  <c r="Z180" i="7"/>
  <c r="H91" i="87"/>
  <c r="H39" i="87"/>
  <c r="C39" i="87" s="1"/>
  <c r="Z39" i="7"/>
  <c r="H103" i="87"/>
  <c r="H249" i="87"/>
  <c r="C249" i="87" s="1"/>
  <c r="Z249" i="7"/>
  <c r="H127" i="87"/>
  <c r="C127" i="87" s="1"/>
  <c r="Z127" i="7"/>
  <c r="H184" i="87"/>
  <c r="C184" i="87" s="1"/>
  <c r="Z184" i="7"/>
  <c r="H175" i="87"/>
  <c r="C175" i="87" s="1"/>
  <c r="Z175" i="7"/>
  <c r="H228" i="87"/>
  <c r="C228" i="87" s="1"/>
  <c r="Z228" i="7"/>
  <c r="H123" i="87"/>
  <c r="C123" i="87" s="1"/>
  <c r="Z123" i="7"/>
  <c r="H217" i="87"/>
  <c r="C217" i="87" s="1"/>
  <c r="Z217" i="7"/>
  <c r="H206" i="87"/>
  <c r="C206" i="87" s="1"/>
  <c r="Z206" i="7"/>
  <c r="H201" i="87"/>
  <c r="C201" i="87" s="1"/>
  <c r="Z201" i="7"/>
  <c r="AW242" i="7"/>
  <c r="H63" i="87"/>
  <c r="O102" i="46"/>
  <c r="F102" i="87"/>
  <c r="BA165" i="7"/>
  <c r="F165" i="39"/>
  <c r="G165" i="39" s="1"/>
  <c r="F186" i="87"/>
  <c r="O186" i="46"/>
  <c r="AZ54" i="7"/>
  <c r="AY136" i="7"/>
  <c r="H17" i="87"/>
  <c r="C17" i="87" s="1"/>
  <c r="Z17" i="7"/>
  <c r="H26" i="87"/>
  <c r="C26" i="87" s="1"/>
  <c r="Z26" i="7"/>
  <c r="H107" i="87"/>
  <c r="C107" i="87" s="1"/>
  <c r="Z107" i="7"/>
  <c r="H42" i="87"/>
  <c r="C42" i="87" s="1"/>
  <c r="Z42" i="7"/>
  <c r="H134" i="87"/>
  <c r="C134" i="87" s="1"/>
  <c r="Z134" i="7"/>
  <c r="O166" i="46"/>
  <c r="F166" i="87"/>
  <c r="H147" i="87"/>
  <c r="C147" i="87" s="1"/>
  <c r="Z147" i="7"/>
  <c r="H112" i="87"/>
  <c r="C112" i="87" s="1"/>
  <c r="Z112" i="7"/>
  <c r="H285" i="87"/>
  <c r="C285" i="87" s="1"/>
  <c r="Z285" i="7"/>
  <c r="H97" i="87"/>
  <c r="C97" i="87" s="1"/>
  <c r="Z97" i="7"/>
  <c r="H73" i="87"/>
  <c r="H212" i="87"/>
  <c r="C212" i="87" s="1"/>
  <c r="Z212" i="7"/>
  <c r="H178" i="87"/>
  <c r="C178" i="87" s="1"/>
  <c r="Z178" i="7"/>
  <c r="H280" i="87"/>
  <c r="C280" i="87" s="1"/>
  <c r="Z280" i="7"/>
  <c r="H213" i="87"/>
  <c r="C213" i="87" s="1"/>
  <c r="Z213" i="7"/>
  <c r="H117" i="87"/>
  <c r="C117" i="87" s="1"/>
  <c r="Z117" i="7"/>
  <c r="H114" i="87"/>
  <c r="C114" i="87" s="1"/>
  <c r="Z114" i="7"/>
  <c r="H195" i="87"/>
  <c r="C195" i="87" s="1"/>
  <c r="Z195" i="7"/>
  <c r="H111" i="87"/>
  <c r="C111" i="87" s="1"/>
  <c r="Z111" i="7"/>
  <c r="H109" i="87"/>
  <c r="H236" i="87"/>
  <c r="C236" i="87" s="1"/>
  <c r="Z236" i="7"/>
  <c r="H256" i="87"/>
  <c r="C256" i="87" s="1"/>
  <c r="Z256" i="7"/>
  <c r="H145" i="87"/>
  <c r="C145" i="87" s="1"/>
  <c r="Z145" i="7"/>
  <c r="H257" i="87"/>
  <c r="C257" i="87" s="1"/>
  <c r="Z257" i="7"/>
  <c r="H287" i="87"/>
  <c r="C287" i="87" s="1"/>
  <c r="Z287" i="7"/>
  <c r="H199" i="87"/>
  <c r="C199" i="87" s="1"/>
  <c r="Z199" i="7"/>
  <c r="H70" i="87"/>
  <c r="H131" i="87"/>
  <c r="C131" i="87" s="1"/>
  <c r="Z131" i="7"/>
  <c r="H87" i="87"/>
  <c r="C87" i="87" s="1"/>
  <c r="Z87" i="7"/>
  <c r="H168" i="87"/>
  <c r="C168" i="87" s="1"/>
  <c r="Z168" i="7"/>
  <c r="BA80" i="7"/>
  <c r="AV242" i="7"/>
  <c r="H251" i="87"/>
  <c r="C251" i="87" s="1"/>
  <c r="Z251" i="7"/>
  <c r="BB88" i="7"/>
  <c r="AZ165" i="7"/>
  <c r="O51" i="46"/>
  <c r="F51" i="87"/>
  <c r="BB10" i="7"/>
  <c r="F207" i="39"/>
  <c r="G207" i="39" s="1"/>
  <c r="F219" i="39"/>
  <c r="G219" i="39" s="1"/>
  <c r="O68" i="46"/>
  <c r="F68" i="87"/>
  <c r="O176" i="46"/>
  <c r="F176" i="87"/>
  <c r="O76" i="46"/>
  <c r="F76" i="87"/>
  <c r="F20" i="87"/>
  <c r="O20" i="46"/>
  <c r="O125" i="46"/>
  <c r="F125" i="87"/>
  <c r="F88" i="87"/>
  <c r="O88" i="46"/>
  <c r="O242" i="46"/>
  <c r="F242" i="87"/>
  <c r="H43" i="87"/>
  <c r="C43" i="87" s="1"/>
  <c r="Z43" i="7"/>
  <c r="H27" i="87"/>
  <c r="H124" i="87"/>
  <c r="C124" i="87" s="1"/>
  <c r="Z124" i="7"/>
  <c r="H258" i="87"/>
  <c r="C258" i="87" s="1"/>
  <c r="Z258" i="7"/>
  <c r="H99" i="87"/>
  <c r="C99" i="87" s="1"/>
  <c r="Z99" i="7"/>
  <c r="H194" i="87"/>
  <c r="C194" i="87" s="1"/>
  <c r="Z194" i="7"/>
  <c r="H185" i="87"/>
  <c r="C185" i="87" s="1"/>
  <c r="Z185" i="7"/>
  <c r="H31" i="87"/>
  <c r="C31" i="87" s="1"/>
  <c r="Z31" i="7"/>
  <c r="H174" i="87"/>
  <c r="C174" i="87" s="1"/>
  <c r="Z174" i="7"/>
  <c r="H149" i="87"/>
  <c r="C149" i="87" s="1"/>
  <c r="Z149" i="7"/>
  <c r="H55" i="87"/>
  <c r="H66" i="87"/>
  <c r="H163" i="87"/>
  <c r="C163" i="87" s="1"/>
  <c r="Z163" i="7"/>
  <c r="H60" i="87"/>
  <c r="F54" i="39"/>
  <c r="G54" i="39" s="1"/>
  <c r="Z283" i="7"/>
  <c r="AU283" i="7"/>
  <c r="AX283" i="7"/>
  <c r="AW283" i="7"/>
  <c r="AV283" i="7"/>
  <c r="O92" i="46"/>
  <c r="F92" i="87"/>
  <c r="F169" i="87"/>
  <c r="O169" i="46"/>
  <c r="O48" i="46"/>
  <c r="F48" i="87"/>
  <c r="F193" i="87"/>
  <c r="O193" i="46"/>
  <c r="F244" i="39"/>
  <c r="G244" i="39" s="1"/>
  <c r="BB169" i="7"/>
  <c r="O190" i="46"/>
  <c r="F190" i="87"/>
  <c r="O243" i="46"/>
  <c r="F243" i="87"/>
  <c r="H275" i="87"/>
  <c r="C275" i="87" s="1"/>
  <c r="Z275" i="7"/>
  <c r="H290" i="87"/>
  <c r="C290" i="87" s="1"/>
  <c r="Z290" i="7"/>
  <c r="H94" i="87"/>
  <c r="C94" i="87" s="1"/>
  <c r="Z94" i="7"/>
  <c r="H162" i="87"/>
  <c r="C162" i="87" s="1"/>
  <c r="Z162" i="7"/>
  <c r="H202" i="87"/>
  <c r="C202" i="87" s="1"/>
  <c r="Z202" i="7"/>
  <c r="H82" i="87"/>
  <c r="H282" i="87"/>
  <c r="C282" i="87" s="1"/>
  <c r="Z282" i="7"/>
  <c r="H159" i="87"/>
  <c r="C159" i="87" s="1"/>
  <c r="Z159" i="7"/>
  <c r="H198" i="87"/>
  <c r="C198" i="87" s="1"/>
  <c r="Z198" i="7"/>
  <c r="H33" i="87"/>
  <c r="C33" i="87" s="1"/>
  <c r="Z33" i="7"/>
  <c r="H61" i="87"/>
  <c r="H215" i="87"/>
  <c r="C215" i="87" s="1"/>
  <c r="Z215" i="7"/>
  <c r="H233" i="87"/>
  <c r="C233" i="87" s="1"/>
  <c r="Z233" i="7"/>
  <c r="H237" i="87"/>
  <c r="C237" i="87" s="1"/>
  <c r="Z237" i="7"/>
  <c r="H25" i="87"/>
  <c r="C25" i="87" s="1"/>
  <c r="Z25" i="7"/>
  <c r="H211" i="87"/>
  <c r="C211" i="87" s="1"/>
  <c r="Z211" i="7"/>
  <c r="H232" i="87"/>
  <c r="C232" i="87" s="1"/>
  <c r="Z232" i="7"/>
  <c r="H164" i="87"/>
  <c r="C164" i="87" s="1"/>
  <c r="Z164" i="7"/>
  <c r="H276" i="87"/>
  <c r="C276" i="87" s="1"/>
  <c r="Z276" i="7"/>
  <c r="H140" i="87"/>
  <c r="C140" i="87" s="1"/>
  <c r="Z140" i="7"/>
  <c r="H239" i="87"/>
  <c r="C239" i="87" s="1"/>
  <c r="Z239" i="7"/>
  <c r="H22" i="87"/>
  <c r="C22" i="87" s="1"/>
  <c r="Z22" i="7"/>
  <c r="H220" i="87"/>
  <c r="C220" i="87" s="1"/>
  <c r="Z220" i="7"/>
  <c r="H196" i="87"/>
  <c r="C196" i="87" s="1"/>
  <c r="Z196" i="7"/>
  <c r="H135" i="87"/>
  <c r="C135" i="87" s="1"/>
  <c r="Z135" i="7"/>
  <c r="H41" i="87"/>
  <c r="H105" i="87"/>
  <c r="C105" i="87" s="1"/>
  <c r="Z105" i="7"/>
  <c r="H122" i="87"/>
  <c r="C122" i="87" s="1"/>
  <c r="Z122" i="7"/>
  <c r="H158" i="87"/>
  <c r="C158" i="87" s="1"/>
  <c r="Z158" i="7"/>
  <c r="H238" i="87"/>
  <c r="C238" i="87" s="1"/>
  <c r="Z238" i="7"/>
  <c r="H81" i="87"/>
  <c r="C81" i="87" s="1"/>
  <c r="Z81" i="7"/>
  <c r="H100" i="87"/>
  <c r="C100" i="87" s="1"/>
  <c r="Z100" i="7"/>
  <c r="H108" i="87"/>
  <c r="H154" i="87"/>
  <c r="C154" i="87" s="1"/>
  <c r="Z154" i="7"/>
  <c r="O244" i="46"/>
  <c r="F244" i="87"/>
  <c r="BA19" i="7"/>
  <c r="AZ19" i="7"/>
  <c r="BB19" i="7"/>
  <c r="AY19" i="7"/>
  <c r="BA242" i="7"/>
  <c r="F242" i="39"/>
  <c r="G242" i="39" s="1"/>
  <c r="BB242" i="7"/>
  <c r="AY242" i="7"/>
  <c r="O47" i="46"/>
  <c r="F47" i="87"/>
  <c r="O141" i="46"/>
  <c r="F141" i="87"/>
  <c r="O93" i="46"/>
  <c r="F93" i="87"/>
  <c r="O98" i="46"/>
  <c r="F98" i="87"/>
  <c r="H181" i="87"/>
  <c r="C181" i="87" s="1"/>
  <c r="Z181" i="7"/>
  <c r="H172" i="87"/>
  <c r="C172" i="87" s="1"/>
  <c r="Z172" i="7"/>
  <c r="H270" i="87"/>
  <c r="C270" i="87" s="1"/>
  <c r="Z270" i="7"/>
  <c r="H260" i="87"/>
  <c r="C260" i="87" s="1"/>
  <c r="Z260" i="7"/>
  <c r="H106" i="87"/>
  <c r="C106" i="87" s="1"/>
  <c r="Z106" i="7"/>
  <c r="H227" i="87"/>
  <c r="C227" i="87" s="1"/>
  <c r="Z227" i="7"/>
  <c r="O207" i="46"/>
  <c r="F207" i="87"/>
  <c r="O57" i="46"/>
  <c r="D57" i="46" s="1"/>
  <c r="F57" i="87"/>
  <c r="H173" i="87"/>
  <c r="C173" i="87" s="1"/>
  <c r="Z173" i="7"/>
  <c r="H64" i="87"/>
  <c r="H96" i="87"/>
  <c r="C96" i="87" s="1"/>
  <c r="Z96" i="7"/>
  <c r="H204" i="87"/>
  <c r="C204" i="87" s="1"/>
  <c r="Z204" i="7"/>
  <c r="H231" i="87"/>
  <c r="C231" i="87" s="1"/>
  <c r="Z231" i="7"/>
  <c r="H289" i="87"/>
  <c r="C289" i="87" s="1"/>
  <c r="Z289" i="7"/>
  <c r="H225" i="87"/>
  <c r="C225" i="87" s="1"/>
  <c r="Z225" i="7"/>
  <c r="H83" i="87"/>
  <c r="H208" i="87"/>
  <c r="C208" i="87" s="1"/>
  <c r="Z208" i="7"/>
  <c r="H226" i="87"/>
  <c r="C226" i="87" s="1"/>
  <c r="Z226" i="7"/>
  <c r="H15" i="87"/>
  <c r="C15" i="87" s="1"/>
  <c r="Z15" i="7"/>
  <c r="H143" i="87"/>
  <c r="H152" i="87"/>
  <c r="C152" i="87" s="1"/>
  <c r="Z152" i="7"/>
  <c r="H80" i="87"/>
  <c r="C80" i="87" s="1"/>
  <c r="Z80" i="7"/>
  <c r="BA134" i="7"/>
  <c r="H183" i="87"/>
  <c r="C183" i="87" s="1"/>
  <c r="Z183" i="7"/>
  <c r="F203" i="87"/>
  <c r="O203" i="46"/>
  <c r="BA241" i="7"/>
  <c r="F241" i="39"/>
  <c r="G241" i="39" s="1"/>
  <c r="F205" i="87"/>
  <c r="O205" i="46"/>
  <c r="O288" i="46"/>
  <c r="F288" i="87"/>
  <c r="BA102" i="7"/>
  <c r="BB102" i="7"/>
  <c r="F102" i="39"/>
  <c r="G102" i="39" s="1"/>
  <c r="AZ102" i="7"/>
  <c r="F19" i="87"/>
  <c r="O19" i="46"/>
  <c r="AW166" i="7"/>
  <c r="AX102" i="7"/>
  <c r="AW19" i="7"/>
  <c r="AU102" i="7"/>
  <c r="AX19" i="7"/>
  <c r="AW102" i="7"/>
  <c r="M36" i="28"/>
  <c r="N36" i="46" s="1"/>
  <c r="AV166" i="7"/>
  <c r="AU166" i="7"/>
  <c r="AV19" i="7"/>
  <c r="AX207" i="7"/>
  <c r="AX166" i="7"/>
  <c r="AU19" i="7"/>
  <c r="AV104" i="7"/>
  <c r="AW104" i="7"/>
  <c r="AU104" i="7"/>
  <c r="AX104" i="7"/>
  <c r="AW272" i="7"/>
  <c r="AW125" i="7"/>
  <c r="AX272" i="7"/>
  <c r="AV125" i="7"/>
  <c r="AV272" i="7"/>
  <c r="AX125" i="7"/>
  <c r="AU272" i="7"/>
  <c r="D10" i="39"/>
  <c r="E10" i="39" s="1"/>
  <c r="AV10" i="7"/>
  <c r="AX10" i="7"/>
  <c r="AW10" i="7"/>
  <c r="AW250" i="7"/>
  <c r="D67" i="39"/>
  <c r="E67" i="39" s="1"/>
  <c r="AV54" i="7"/>
  <c r="AX250" i="7"/>
  <c r="AW54" i="7"/>
  <c r="AU250" i="7"/>
  <c r="AU205" i="7"/>
  <c r="D57" i="39"/>
  <c r="E57" i="39" s="1"/>
  <c r="D56" i="39"/>
  <c r="E56" i="39" s="1"/>
  <c r="K56" i="28" s="1"/>
  <c r="D74" i="39"/>
  <c r="E74" i="39" s="1"/>
  <c r="D72" i="39"/>
  <c r="E72" i="39" s="1"/>
  <c r="H72" i="45" s="1"/>
  <c r="AX54" i="7"/>
  <c r="D190" i="39"/>
  <c r="E190" i="39" s="1"/>
  <c r="D59" i="39"/>
  <c r="E59" i="39" s="1"/>
  <c r="H59" i="45" s="1"/>
  <c r="AW59" i="7"/>
  <c r="D34" i="39"/>
  <c r="E34" i="39" s="1"/>
  <c r="AF62" i="46"/>
  <c r="AX141" i="7"/>
  <c r="AW92" i="7"/>
  <c r="AW176" i="7"/>
  <c r="D241" i="39"/>
  <c r="E241" i="39" s="1"/>
  <c r="AW241" i="7"/>
  <c r="AX241" i="7"/>
  <c r="AU241" i="7"/>
  <c r="AV141" i="7"/>
  <c r="AX20" i="7"/>
  <c r="AW137" i="7"/>
  <c r="AU76" i="7"/>
  <c r="AV76" i="7"/>
  <c r="D76" i="39"/>
  <c r="E76" i="39" s="1"/>
  <c r="AW76" i="7"/>
  <c r="AW141" i="7"/>
  <c r="AU20" i="7"/>
  <c r="D75" i="39"/>
  <c r="E75" i="39" s="1"/>
  <c r="D88" i="39"/>
  <c r="E88" i="39" s="1"/>
  <c r="D93" i="39"/>
  <c r="E93" i="39" s="1"/>
  <c r="AX76" i="7"/>
  <c r="AV20" i="7"/>
  <c r="AW20" i="7"/>
  <c r="AW48" i="7"/>
  <c r="AX51" i="7"/>
  <c r="AX244" i="7"/>
  <c r="AX279" i="7"/>
  <c r="AU279" i="7"/>
  <c r="AV279" i="7"/>
  <c r="AW279" i="7"/>
  <c r="D279" i="39"/>
  <c r="E279" i="39" s="1"/>
  <c r="D119" i="39"/>
  <c r="E119" i="39" s="1"/>
  <c r="AX119" i="7"/>
  <c r="AW119" i="7"/>
  <c r="AV119" i="7"/>
  <c r="D62" i="39"/>
  <c r="E62" i="39" s="1"/>
  <c r="H62" i="45" s="1"/>
  <c r="D245" i="39"/>
  <c r="E245" i="39" s="1"/>
  <c r="H245" i="45" s="1"/>
  <c r="AU119" i="7"/>
  <c r="AD62" i="46"/>
  <c r="S105" i="26"/>
  <c r="Y99" i="26"/>
  <c r="Z122" i="26"/>
  <c r="T105" i="26"/>
  <c r="Z99" i="26"/>
  <c r="Y60" i="26"/>
  <c r="R8" i="26"/>
  <c r="X8" i="26" s="1"/>
  <c r="V144" i="26"/>
  <c r="S173" i="26"/>
  <c r="S176" i="26"/>
  <c r="W89" i="26"/>
  <c r="J284" i="28"/>
  <c r="M284" i="46" s="1"/>
  <c r="Y165" i="6"/>
  <c r="H165" i="28"/>
  <c r="J165" i="28" s="1"/>
  <c r="M165" i="46" s="1"/>
  <c r="AO63" i="46"/>
  <c r="AB62" i="46"/>
  <c r="W60" i="26"/>
  <c r="U105" i="26"/>
  <c r="S99" i="26"/>
  <c r="T60" i="26"/>
  <c r="G171" i="28"/>
  <c r="L171" i="46" s="1"/>
  <c r="T176" i="26"/>
  <c r="J239" i="28"/>
  <c r="M239" i="46" s="1"/>
  <c r="AU219" i="7"/>
  <c r="G165" i="45"/>
  <c r="AV92" i="7"/>
  <c r="W175" i="6"/>
  <c r="U175" i="6"/>
  <c r="AC175" i="6"/>
  <c r="Y175" i="6"/>
  <c r="X175" i="6"/>
  <c r="AA175" i="6"/>
  <c r="G175" i="45"/>
  <c r="Z175" i="6"/>
  <c r="V175" i="6"/>
  <c r="T175" i="6"/>
  <c r="H175" i="28"/>
  <c r="AG175" i="6"/>
  <c r="AB175" i="6"/>
  <c r="Y105" i="26"/>
  <c r="V60" i="26"/>
  <c r="T144" i="26"/>
  <c r="F136" i="28"/>
  <c r="I136" i="46" s="1"/>
  <c r="F225" i="28"/>
  <c r="I225" i="46" s="1"/>
  <c r="T173" i="26"/>
  <c r="Z176" i="26"/>
  <c r="AW219" i="7"/>
  <c r="V165" i="6"/>
  <c r="AC165" i="6"/>
  <c r="AU244" i="7"/>
  <c r="R227" i="26"/>
  <c r="X227" i="26" s="1"/>
  <c r="Z105" i="26"/>
  <c r="T99" i="26"/>
  <c r="F123" i="28"/>
  <c r="I123" i="46" s="1"/>
  <c r="Z60" i="26"/>
  <c r="W144" i="26"/>
  <c r="R167" i="26"/>
  <c r="X167" i="26" s="1"/>
  <c r="U173" i="26"/>
  <c r="U176" i="26"/>
  <c r="AU28" i="7"/>
  <c r="J112" i="28"/>
  <c r="M112" i="46" s="1"/>
  <c r="AX219" i="7"/>
  <c r="AW51" i="7"/>
  <c r="AB157" i="6"/>
  <c r="V157" i="6"/>
  <c r="AA157" i="6"/>
  <c r="T157" i="6"/>
  <c r="AC157" i="6"/>
  <c r="X157" i="6"/>
  <c r="Y157" i="6"/>
  <c r="U157" i="6"/>
  <c r="G157" i="45"/>
  <c r="W157" i="6"/>
  <c r="Z157" i="6"/>
  <c r="H157" i="28"/>
  <c r="G113" i="28"/>
  <c r="L113" i="46" s="1"/>
  <c r="T122" i="26"/>
  <c r="W105" i="26"/>
  <c r="U99" i="26"/>
  <c r="S60" i="26"/>
  <c r="Y144" i="26"/>
  <c r="V173" i="26"/>
  <c r="V176" i="26"/>
  <c r="J90" i="28"/>
  <c r="M90" i="46" s="1"/>
  <c r="U165" i="6"/>
  <c r="AA165" i="6"/>
  <c r="AU51" i="7"/>
  <c r="R26" i="26"/>
  <c r="W26" i="26" s="1"/>
  <c r="D48" i="39"/>
  <c r="E48" i="39" s="1"/>
  <c r="AU92" i="7"/>
  <c r="AV51" i="7"/>
  <c r="AA62" i="46"/>
  <c r="R169" i="26"/>
  <c r="X169" i="26" s="1"/>
  <c r="V99" i="26"/>
  <c r="G121" i="28"/>
  <c r="L121" i="46" s="1"/>
  <c r="R24" i="26"/>
  <c r="X24" i="26" s="1"/>
  <c r="W173" i="26"/>
  <c r="G193" i="28"/>
  <c r="L193" i="46" s="1"/>
  <c r="R106" i="26"/>
  <c r="T106" i="26" s="1"/>
  <c r="X165" i="6"/>
  <c r="I50" i="28"/>
  <c r="J50" i="46" s="1"/>
  <c r="J171" i="28"/>
  <c r="M171" i="46" s="1"/>
  <c r="AU48" i="7"/>
  <c r="R195" i="26"/>
  <c r="X195" i="26" s="1"/>
  <c r="Z173" i="26"/>
  <c r="W176" i="26"/>
  <c r="T165" i="6"/>
  <c r="AC62" i="46"/>
  <c r="Z62" i="46"/>
  <c r="AR63" i="46"/>
  <c r="AM63" i="46"/>
  <c r="AN63" i="46"/>
  <c r="AQ63" i="46"/>
  <c r="T63" i="46"/>
  <c r="X63" i="46"/>
  <c r="W63" i="46"/>
  <c r="U63" i="46"/>
  <c r="Y63" i="46"/>
  <c r="V63" i="46"/>
  <c r="AM67" i="46"/>
  <c r="AR67" i="46"/>
  <c r="AP67" i="46"/>
  <c r="AN67" i="46"/>
  <c r="AQ67" i="46"/>
  <c r="AO67" i="46"/>
  <c r="AM62" i="46"/>
  <c r="AN62" i="46"/>
  <c r="AR62" i="46"/>
  <c r="AQ62" i="46"/>
  <c r="AP62" i="46"/>
  <c r="AO62" i="46"/>
  <c r="AN56" i="46"/>
  <c r="AR56" i="46"/>
  <c r="AP56" i="46"/>
  <c r="AO56" i="46"/>
  <c r="AQ56" i="46"/>
  <c r="AM56" i="46"/>
  <c r="AJ56" i="46"/>
  <c r="AL56" i="46"/>
  <c r="AK56" i="46"/>
  <c r="AG56" i="46"/>
  <c r="AI56" i="46"/>
  <c r="AH56" i="46"/>
  <c r="AH67" i="46"/>
  <c r="AL67" i="46"/>
  <c r="AK67" i="46"/>
  <c r="AJ67" i="46"/>
  <c r="AI67" i="46"/>
  <c r="AG67" i="46"/>
  <c r="W56" i="46"/>
  <c r="S56" i="46"/>
  <c r="Y56" i="46"/>
  <c r="U56" i="46"/>
  <c r="X56" i="46"/>
  <c r="V56" i="46"/>
  <c r="T56" i="46"/>
  <c r="V67" i="46"/>
  <c r="X67" i="46"/>
  <c r="S67" i="46"/>
  <c r="T67" i="46"/>
  <c r="W67" i="46"/>
  <c r="Y67" i="46"/>
  <c r="U67" i="46"/>
  <c r="AE56" i="46"/>
  <c r="AD56" i="46"/>
  <c r="AC56" i="46"/>
  <c r="AF56" i="46"/>
  <c r="AB56" i="46"/>
  <c r="AA56" i="46"/>
  <c r="Z56" i="46"/>
  <c r="AC67" i="46"/>
  <c r="AF67" i="46"/>
  <c r="AB67" i="46"/>
  <c r="Z67" i="46"/>
  <c r="AA67" i="46"/>
  <c r="AE67" i="46"/>
  <c r="AD67" i="46"/>
  <c r="V62" i="46"/>
  <c r="T62" i="46"/>
  <c r="X62" i="46"/>
  <c r="U62" i="46"/>
  <c r="W62" i="46"/>
  <c r="S62" i="46"/>
  <c r="Y62" i="46"/>
  <c r="J206" i="28"/>
  <c r="M206" i="46" s="1"/>
  <c r="J249" i="28"/>
  <c r="M249" i="46" s="1"/>
  <c r="AX92" i="7"/>
  <c r="AX28" i="7"/>
  <c r="AU137" i="7"/>
  <c r="AW28" i="7"/>
  <c r="AV62" i="7"/>
  <c r="D137" i="39"/>
  <c r="E137" i="39" s="1"/>
  <c r="AU93" i="7"/>
  <c r="AX176" i="7"/>
  <c r="AW62" i="7"/>
  <c r="AX137" i="7"/>
  <c r="AV93" i="7"/>
  <c r="AV137" i="7"/>
  <c r="AX93" i="7"/>
  <c r="AX148" i="7"/>
  <c r="AU148" i="7"/>
  <c r="AW93" i="7"/>
  <c r="W165" i="6"/>
  <c r="AW11" i="7"/>
  <c r="AU11" i="7"/>
  <c r="AX11" i="7"/>
  <c r="AV11" i="7"/>
  <c r="D130" i="39"/>
  <c r="E130" i="39" s="1"/>
  <c r="AU252" i="7"/>
  <c r="D133" i="39"/>
  <c r="E133" i="39" s="1"/>
  <c r="AX88" i="7"/>
  <c r="AW88" i="7"/>
  <c r="AU88" i="7"/>
  <c r="AV88" i="7"/>
  <c r="AV176" i="7"/>
  <c r="AU176" i="7"/>
  <c r="AV47" i="7"/>
  <c r="AU47" i="7"/>
  <c r="AX47" i="7"/>
  <c r="AW47" i="7"/>
  <c r="D191" i="39"/>
  <c r="E191" i="39" s="1"/>
  <c r="T24" i="33"/>
  <c r="AB165" i="6"/>
  <c r="AW68" i="7"/>
  <c r="AV68" i="7"/>
  <c r="AU68" i="7"/>
  <c r="AX68" i="7"/>
  <c r="AV56" i="7"/>
  <c r="AW56" i="7"/>
  <c r="AX56" i="7"/>
  <c r="AX203" i="7"/>
  <c r="AW203" i="7"/>
  <c r="AV203" i="7"/>
  <c r="AU203" i="7"/>
  <c r="AU207" i="7"/>
  <c r="AW207" i="7"/>
  <c r="AV207" i="7"/>
  <c r="I102" i="28"/>
  <c r="J102" i="46" s="1"/>
  <c r="J211" i="28"/>
  <c r="M211" i="46" s="1"/>
  <c r="J107" i="28"/>
  <c r="M107" i="46" s="1"/>
  <c r="I27" i="28"/>
  <c r="J27" i="46" s="1"/>
  <c r="J84" i="28"/>
  <c r="M84" i="46" s="1"/>
  <c r="J291" i="28"/>
  <c r="M291" i="46" s="1"/>
  <c r="J236" i="28"/>
  <c r="M236" i="46" s="1"/>
  <c r="J80" i="28"/>
  <c r="M80" i="46" s="1"/>
  <c r="J186" i="28"/>
  <c r="M186" i="46" s="1"/>
  <c r="J192" i="28"/>
  <c r="M192" i="46" s="1"/>
  <c r="I170" i="28"/>
  <c r="J170" i="46" s="1"/>
  <c r="J261" i="28"/>
  <c r="M261" i="46" s="1"/>
  <c r="I223" i="28"/>
  <c r="J223" i="46" s="1"/>
  <c r="J282" i="28"/>
  <c r="M282" i="46" s="1"/>
  <c r="I163" i="28"/>
  <c r="J163" i="46" s="1"/>
  <c r="U187" i="6"/>
  <c r="AB187" i="6"/>
  <c r="J31" i="28"/>
  <c r="M31" i="46" s="1"/>
  <c r="Y187" i="6"/>
  <c r="I238" i="28"/>
  <c r="J238" i="46" s="1"/>
  <c r="W187" i="6"/>
  <c r="H187" i="28"/>
  <c r="I187" i="28" s="1"/>
  <c r="J187" i="46" s="1"/>
  <c r="T187" i="6"/>
  <c r="J289" i="28"/>
  <c r="M289" i="46" s="1"/>
  <c r="I289" i="28"/>
  <c r="J289" i="46" s="1"/>
  <c r="AC187" i="6"/>
  <c r="AA187" i="6"/>
  <c r="G187" i="45"/>
  <c r="V187" i="6"/>
  <c r="J190" i="28"/>
  <c r="M190" i="46" s="1"/>
  <c r="J47" i="28"/>
  <c r="M47" i="46" s="1"/>
  <c r="I47" i="28"/>
  <c r="J47" i="46" s="1"/>
  <c r="I253" i="28"/>
  <c r="J253" i="46" s="1"/>
  <c r="X187" i="6"/>
  <c r="I98" i="28"/>
  <c r="J98" i="46" s="1"/>
  <c r="I86" i="28"/>
  <c r="J86" i="46" s="1"/>
  <c r="J44" i="28"/>
  <c r="M44" i="46" s="1"/>
  <c r="I117" i="28"/>
  <c r="J117" i="46" s="1"/>
  <c r="J166" i="28"/>
  <c r="M166" i="46" s="1"/>
  <c r="I200" i="28"/>
  <c r="J200" i="46" s="1"/>
  <c r="J200" i="28"/>
  <c r="M200" i="46" s="1"/>
  <c r="J55" i="28"/>
  <c r="M55" i="46" s="1"/>
  <c r="I55" i="28"/>
  <c r="J55" i="46" s="1"/>
  <c r="I33" i="28"/>
  <c r="J33" i="46" s="1"/>
  <c r="J225" i="28"/>
  <c r="M225" i="46" s="1"/>
  <c r="H66" i="28"/>
  <c r="J66" i="28" s="1"/>
  <c r="M66" i="46" s="1"/>
  <c r="AG66" i="6"/>
  <c r="I162" i="28"/>
  <c r="J162" i="46" s="1"/>
  <c r="J96" i="28"/>
  <c r="M96" i="46" s="1"/>
  <c r="J8" i="28"/>
  <c r="M8" i="46" s="1"/>
  <c r="I8" i="28"/>
  <c r="J8" i="46" s="1"/>
  <c r="J226" i="28"/>
  <c r="M226" i="46" s="1"/>
  <c r="I213" i="28"/>
  <c r="J213" i="46" s="1"/>
  <c r="F154" i="28"/>
  <c r="I154" i="46" s="1"/>
  <c r="U57" i="26"/>
  <c r="Z86" i="26"/>
  <c r="T86" i="26"/>
  <c r="Z228" i="26"/>
  <c r="Z47" i="26"/>
  <c r="S287" i="26"/>
  <c r="Z171" i="26"/>
  <c r="U287" i="26"/>
  <c r="T66" i="26"/>
  <c r="W278" i="26"/>
  <c r="Z37" i="26"/>
  <c r="V220" i="26"/>
  <c r="Z197" i="26"/>
  <c r="F253" i="28"/>
  <c r="I253" i="46" s="1"/>
  <c r="T15" i="26"/>
  <c r="Z182" i="26"/>
  <c r="U254" i="26"/>
  <c r="Y92" i="26"/>
  <c r="S197" i="26"/>
  <c r="U15" i="26"/>
  <c r="Y182" i="26"/>
  <c r="Z254" i="26"/>
  <c r="V92" i="26"/>
  <c r="U40" i="26"/>
  <c r="F184" i="28"/>
  <c r="I184" i="46" s="1"/>
  <c r="W15" i="26"/>
  <c r="U182" i="26"/>
  <c r="G105" i="28"/>
  <c r="L105" i="46" s="1"/>
  <c r="W197" i="26"/>
  <c r="Y15" i="26"/>
  <c r="G179" i="28"/>
  <c r="L179" i="46" s="1"/>
  <c r="F80" i="28"/>
  <c r="I80" i="46" s="1"/>
  <c r="F161" i="28"/>
  <c r="I161" i="46" s="1"/>
  <c r="U197" i="26"/>
  <c r="W59" i="26"/>
  <c r="Z15" i="26"/>
  <c r="S182" i="26"/>
  <c r="T197" i="26"/>
  <c r="T182" i="26"/>
  <c r="V197" i="26"/>
  <c r="S15" i="26"/>
  <c r="V182" i="26"/>
  <c r="S201" i="26"/>
  <c r="S151" i="26"/>
  <c r="W215" i="26"/>
  <c r="S272" i="26"/>
  <c r="Y50" i="26"/>
  <c r="U159" i="26"/>
  <c r="Z53" i="26"/>
  <c r="Z276" i="26"/>
  <c r="F82" i="28"/>
  <c r="I82" i="46" s="1"/>
  <c r="U243" i="26"/>
  <c r="G39" i="28"/>
  <c r="L39" i="46" s="1"/>
  <c r="Y215" i="26"/>
  <c r="Z50" i="26"/>
  <c r="Y93" i="26"/>
  <c r="Z271" i="26"/>
  <c r="V159" i="26"/>
  <c r="S53" i="26"/>
  <c r="Z243" i="26"/>
  <c r="G23" i="28"/>
  <c r="L23" i="46" s="1"/>
  <c r="T151" i="26"/>
  <c r="T272" i="26"/>
  <c r="U50" i="26"/>
  <c r="Z93" i="26"/>
  <c r="S271" i="26"/>
  <c r="Y159" i="26"/>
  <c r="S243" i="26"/>
  <c r="Z215" i="26"/>
  <c r="U151" i="26"/>
  <c r="G96" i="28"/>
  <c r="L96" i="46" s="1"/>
  <c r="S215" i="26"/>
  <c r="U272" i="26"/>
  <c r="V50" i="26"/>
  <c r="S93" i="26"/>
  <c r="T271" i="26"/>
  <c r="Z159" i="26"/>
  <c r="T243" i="26"/>
  <c r="V151" i="26"/>
  <c r="T215" i="26"/>
  <c r="V272" i="26"/>
  <c r="S50" i="26"/>
  <c r="T93" i="26"/>
  <c r="F70" i="28"/>
  <c r="I70" i="46" s="1"/>
  <c r="U271" i="26"/>
  <c r="G62" i="28"/>
  <c r="V243" i="26"/>
  <c r="W151" i="26"/>
  <c r="F205" i="28"/>
  <c r="I205" i="46" s="1"/>
  <c r="U215" i="26"/>
  <c r="W272" i="26"/>
  <c r="T50" i="26"/>
  <c r="U93" i="26"/>
  <c r="V271" i="26"/>
  <c r="S159" i="26"/>
  <c r="S82" i="26"/>
  <c r="F271" i="28"/>
  <c r="I271" i="46" s="1"/>
  <c r="W243" i="26"/>
  <c r="F100" i="28"/>
  <c r="I100" i="46" s="1"/>
  <c r="Y151" i="26"/>
  <c r="V215" i="26"/>
  <c r="Y272" i="26"/>
  <c r="V93" i="26"/>
  <c r="W271" i="26"/>
  <c r="T159" i="26"/>
  <c r="G92" i="28"/>
  <c r="L92" i="46" s="1"/>
  <c r="Y243" i="26"/>
  <c r="U37" i="26"/>
  <c r="G130" i="28"/>
  <c r="L130" i="46" s="1"/>
  <c r="W86" i="26"/>
  <c r="F175" i="28"/>
  <c r="I175" i="46" s="1"/>
  <c r="G47" i="28"/>
  <c r="L47" i="46" s="1"/>
  <c r="W66" i="26"/>
  <c r="Z220" i="26"/>
  <c r="F53" i="28"/>
  <c r="I53" i="46" s="1"/>
  <c r="U225" i="26"/>
  <c r="Y57" i="26"/>
  <c r="U278" i="26"/>
  <c r="S210" i="26"/>
  <c r="V228" i="26"/>
  <c r="V47" i="26"/>
  <c r="V37" i="26"/>
  <c r="Y86" i="26"/>
  <c r="Z287" i="26"/>
  <c r="S66" i="26"/>
  <c r="S220" i="26"/>
  <c r="V225" i="26"/>
  <c r="T57" i="26"/>
  <c r="W171" i="26"/>
  <c r="V278" i="26"/>
  <c r="U210" i="26"/>
  <c r="W228" i="26"/>
  <c r="Y47" i="26"/>
  <c r="Y37" i="26"/>
  <c r="S86" i="26"/>
  <c r="T287" i="26"/>
  <c r="F273" i="28"/>
  <c r="I273" i="46" s="1"/>
  <c r="Y66" i="26"/>
  <c r="W220" i="26"/>
  <c r="S225" i="26"/>
  <c r="S171" i="26"/>
  <c r="G186" i="28"/>
  <c r="L186" i="46" s="1"/>
  <c r="W210" i="26"/>
  <c r="T228" i="26"/>
  <c r="W47" i="26"/>
  <c r="Z66" i="26"/>
  <c r="T225" i="26"/>
  <c r="Z57" i="26"/>
  <c r="V171" i="26"/>
  <c r="Y278" i="26"/>
  <c r="G280" i="28"/>
  <c r="L280" i="46" s="1"/>
  <c r="G76" i="28"/>
  <c r="L76" i="46" s="1"/>
  <c r="U228" i="26"/>
  <c r="S37" i="26"/>
  <c r="F31" i="28"/>
  <c r="I31" i="46" s="1"/>
  <c r="U86" i="26"/>
  <c r="V287" i="26"/>
  <c r="Y220" i="26"/>
  <c r="W225" i="26"/>
  <c r="S57" i="26"/>
  <c r="T171" i="26"/>
  <c r="Z278" i="26"/>
  <c r="T210" i="26"/>
  <c r="Y228" i="26"/>
  <c r="S47" i="26"/>
  <c r="F36" i="28"/>
  <c r="I36" i="46" s="1"/>
  <c r="G157" i="28"/>
  <c r="L157" i="46" s="1"/>
  <c r="V86" i="26"/>
  <c r="W287" i="26"/>
  <c r="G67" i="28"/>
  <c r="G270" i="28"/>
  <c r="L270" i="46" s="1"/>
  <c r="U66" i="26"/>
  <c r="T220" i="26"/>
  <c r="Y225" i="26"/>
  <c r="V57" i="26"/>
  <c r="U171" i="26"/>
  <c r="S278" i="26"/>
  <c r="Y210" i="26"/>
  <c r="T47" i="26"/>
  <c r="F10" i="28"/>
  <c r="I10" i="46" s="1"/>
  <c r="T37" i="26"/>
  <c r="Y287" i="26"/>
  <c r="V66" i="26"/>
  <c r="U220" i="26"/>
  <c r="Z225" i="26"/>
  <c r="W57" i="26"/>
  <c r="Y171" i="26"/>
  <c r="T278" i="26"/>
  <c r="Z210" i="26"/>
  <c r="S228" i="26"/>
  <c r="U47" i="26"/>
  <c r="G220" i="28"/>
  <c r="L220" i="46" s="1"/>
  <c r="T125" i="26"/>
  <c r="Z65" i="26"/>
  <c r="S273" i="26"/>
  <c r="F65" i="28"/>
  <c r="I65" i="46" s="1"/>
  <c r="Z192" i="26"/>
  <c r="W153" i="26"/>
  <c r="S29" i="26"/>
  <c r="V18" i="26"/>
  <c r="U104" i="26"/>
  <c r="S109" i="26"/>
  <c r="U135" i="26"/>
  <c r="S180" i="26"/>
  <c r="S97" i="26"/>
  <c r="U119" i="26"/>
  <c r="Y65" i="26"/>
  <c r="Y192" i="26"/>
  <c r="T29" i="26"/>
  <c r="W18" i="26"/>
  <c r="Y104" i="26"/>
  <c r="V109" i="26"/>
  <c r="V135" i="26"/>
  <c r="V97" i="26"/>
  <c r="V119" i="26"/>
  <c r="G98" i="28"/>
  <c r="L98" i="46" s="1"/>
  <c r="U273" i="26"/>
  <c r="T192" i="26"/>
  <c r="V153" i="26"/>
  <c r="U29" i="26"/>
  <c r="Z104" i="26"/>
  <c r="W109" i="26"/>
  <c r="T180" i="26"/>
  <c r="W97" i="26"/>
  <c r="Y119" i="26"/>
  <c r="T273" i="26"/>
  <c r="Y125" i="26"/>
  <c r="S65" i="26"/>
  <c r="V273" i="26"/>
  <c r="U192" i="26"/>
  <c r="Z153" i="26"/>
  <c r="V29" i="26"/>
  <c r="F249" i="28"/>
  <c r="I249" i="46" s="1"/>
  <c r="F132" i="28"/>
  <c r="I132" i="46" s="1"/>
  <c r="S18" i="26"/>
  <c r="S104" i="26"/>
  <c r="Y109" i="26"/>
  <c r="S135" i="26"/>
  <c r="Y180" i="26"/>
  <c r="Y97" i="26"/>
  <c r="Z119" i="26"/>
  <c r="F218" i="28"/>
  <c r="I218" i="46" s="1"/>
  <c r="G79" i="28"/>
  <c r="L79" i="46" s="1"/>
  <c r="Z125" i="26"/>
  <c r="T65" i="26"/>
  <c r="W273" i="26"/>
  <c r="Y153" i="26"/>
  <c r="W29" i="26"/>
  <c r="T18" i="26"/>
  <c r="V104" i="26"/>
  <c r="Z109" i="26"/>
  <c r="G256" i="28"/>
  <c r="L256" i="46" s="1"/>
  <c r="T135" i="26"/>
  <c r="U180" i="26"/>
  <c r="Z97" i="26"/>
  <c r="W125" i="26"/>
  <c r="F120" i="28"/>
  <c r="I120" i="46" s="1"/>
  <c r="C120" i="46" s="1"/>
  <c r="Y120" i="46" s="1"/>
  <c r="U125" i="26"/>
  <c r="U65" i="26"/>
  <c r="Y273" i="26"/>
  <c r="V192" i="26"/>
  <c r="S153" i="26"/>
  <c r="Y29" i="26"/>
  <c r="U18" i="26"/>
  <c r="W104" i="26"/>
  <c r="T109" i="26"/>
  <c r="F237" i="28"/>
  <c r="I237" i="46" s="1"/>
  <c r="W135" i="26"/>
  <c r="V180" i="26"/>
  <c r="T97" i="26"/>
  <c r="W119" i="26"/>
  <c r="V125" i="26"/>
  <c r="V65" i="26"/>
  <c r="Z273" i="26"/>
  <c r="S192" i="26"/>
  <c r="T153" i="26"/>
  <c r="Z29" i="26"/>
  <c r="Y18" i="26"/>
  <c r="U109" i="26"/>
  <c r="Y135" i="26"/>
  <c r="W180" i="26"/>
  <c r="U97" i="26"/>
  <c r="S119" i="26"/>
  <c r="Y254" i="26"/>
  <c r="U130" i="26"/>
  <c r="Y40" i="26"/>
  <c r="U136" i="26"/>
  <c r="W201" i="26"/>
  <c r="V130" i="26"/>
  <c r="Z40" i="26"/>
  <c r="V136" i="26"/>
  <c r="Y201" i="26"/>
  <c r="S254" i="26"/>
  <c r="Z92" i="26"/>
  <c r="Y136" i="26"/>
  <c r="Z201" i="26"/>
  <c r="F58" i="28"/>
  <c r="F263" i="28"/>
  <c r="I263" i="46" s="1"/>
  <c r="T254" i="26"/>
  <c r="S92" i="26"/>
  <c r="S130" i="26"/>
  <c r="G248" i="28"/>
  <c r="L248" i="46" s="1"/>
  <c r="S40" i="26"/>
  <c r="Z136" i="26"/>
  <c r="T201" i="26"/>
  <c r="V254" i="26"/>
  <c r="T92" i="26"/>
  <c r="T130" i="26"/>
  <c r="V40" i="26"/>
  <c r="W136" i="26"/>
  <c r="U201" i="26"/>
  <c r="W254" i="26"/>
  <c r="W92" i="26"/>
  <c r="W130" i="26"/>
  <c r="W40" i="26"/>
  <c r="S136" i="26"/>
  <c r="U92" i="26"/>
  <c r="Y130" i="26"/>
  <c r="T40" i="26"/>
  <c r="T136" i="26"/>
  <c r="V201" i="26"/>
  <c r="T161" i="26"/>
  <c r="X161" i="26"/>
  <c r="U251" i="26"/>
  <c r="X251" i="26"/>
  <c r="T55" i="26"/>
  <c r="X55" i="26"/>
  <c r="S199" i="26"/>
  <c r="X199" i="26"/>
  <c r="Y100" i="26"/>
  <c r="X100" i="26"/>
  <c r="Y253" i="26"/>
  <c r="X253" i="26"/>
  <c r="S96" i="26"/>
  <c r="X96" i="26"/>
  <c r="S207" i="26"/>
  <c r="X207" i="26"/>
  <c r="W248" i="26"/>
  <c r="X248" i="26"/>
  <c r="S81" i="26"/>
  <c r="X81" i="26"/>
  <c r="V98" i="26"/>
  <c r="X98" i="26"/>
  <c r="W120" i="26"/>
  <c r="X120" i="26"/>
  <c r="T53" i="26"/>
  <c r="S276" i="26"/>
  <c r="T82" i="26"/>
  <c r="G63" i="28"/>
  <c r="U107" i="26"/>
  <c r="X107" i="26"/>
  <c r="U149" i="26"/>
  <c r="X149" i="26"/>
  <c r="U53" i="26"/>
  <c r="T276" i="26"/>
  <c r="U82" i="26"/>
  <c r="V116" i="26"/>
  <c r="X116" i="26"/>
  <c r="T102" i="26"/>
  <c r="X102" i="26"/>
  <c r="Z270" i="26"/>
  <c r="X270" i="26"/>
  <c r="V53" i="26"/>
  <c r="U276" i="26"/>
  <c r="V82" i="26"/>
  <c r="Z100" i="26"/>
  <c r="T100" i="26"/>
  <c r="V59" i="26"/>
  <c r="X59" i="26"/>
  <c r="Y74" i="26"/>
  <c r="X74" i="26"/>
  <c r="U219" i="26"/>
  <c r="X219" i="26"/>
  <c r="F178" i="28"/>
  <c r="I178" i="46" s="1"/>
  <c r="W53" i="26"/>
  <c r="W82" i="26"/>
  <c r="S43" i="26"/>
  <c r="X43" i="26"/>
  <c r="Z165" i="26"/>
  <c r="X165" i="26"/>
  <c r="G54" i="28"/>
  <c r="L54" i="46" s="1"/>
  <c r="V276" i="26"/>
  <c r="Y82" i="26"/>
  <c r="F118" i="28"/>
  <c r="I118" i="46" s="1"/>
  <c r="F149" i="28"/>
  <c r="I149" i="46" s="1"/>
  <c r="V100" i="26"/>
  <c r="Z20" i="26"/>
  <c r="X20" i="26"/>
  <c r="W114" i="26"/>
  <c r="X114" i="26"/>
  <c r="V48" i="26"/>
  <c r="X48" i="26"/>
  <c r="T89" i="26"/>
  <c r="X89" i="26"/>
  <c r="Y53" i="26"/>
  <c r="W276" i="26"/>
  <c r="Z82" i="26"/>
  <c r="V237" i="26"/>
  <c r="X237" i="26"/>
  <c r="W100" i="26"/>
  <c r="U100" i="26"/>
  <c r="Z155" i="26"/>
  <c r="X155" i="26"/>
  <c r="T54" i="26"/>
  <c r="X54" i="26"/>
  <c r="U102" i="26"/>
  <c r="T270" i="26"/>
  <c r="G170" i="28"/>
  <c r="L170" i="46" s="1"/>
  <c r="G145" i="28"/>
  <c r="L145" i="46" s="1"/>
  <c r="U270" i="26"/>
  <c r="W102" i="26"/>
  <c r="V270" i="26"/>
  <c r="F155" i="28"/>
  <c r="I155" i="46" s="1"/>
  <c r="V102" i="26"/>
  <c r="W270" i="26"/>
  <c r="G226" i="28"/>
  <c r="L226" i="46" s="1"/>
  <c r="S102" i="26"/>
  <c r="Y270" i="26"/>
  <c r="G20" i="28"/>
  <c r="L20" i="46" s="1"/>
  <c r="U199" i="26"/>
  <c r="T70" i="26"/>
  <c r="T199" i="26"/>
  <c r="U54" i="26"/>
  <c r="S20" i="26"/>
  <c r="U70" i="26"/>
  <c r="V199" i="26"/>
  <c r="V54" i="26"/>
  <c r="T20" i="26"/>
  <c r="V70" i="26"/>
  <c r="G104" i="28"/>
  <c r="L104" i="46" s="1"/>
  <c r="Y54" i="26"/>
  <c r="U20" i="26"/>
  <c r="Y70" i="26"/>
  <c r="T114" i="26"/>
  <c r="Z54" i="26"/>
  <c r="Z70" i="26"/>
  <c r="G148" i="28"/>
  <c r="L148" i="46" s="1"/>
  <c r="Y199" i="26"/>
  <c r="Z199" i="26"/>
  <c r="S54" i="26"/>
  <c r="W70" i="26"/>
  <c r="F276" i="28"/>
  <c r="I276" i="46" s="1"/>
  <c r="F30" i="28"/>
  <c r="I30" i="46" s="1"/>
  <c r="W199" i="26"/>
  <c r="Z81" i="26"/>
  <c r="U248" i="26"/>
  <c r="S120" i="26"/>
  <c r="W98" i="26"/>
  <c r="U81" i="26"/>
  <c r="Y248" i="26"/>
  <c r="T120" i="26"/>
  <c r="G254" i="28"/>
  <c r="L254" i="46" s="1"/>
  <c r="G236" i="28"/>
  <c r="L236" i="46" s="1"/>
  <c r="F192" i="28"/>
  <c r="I192" i="46" s="1"/>
  <c r="G107" i="28"/>
  <c r="L107" i="46" s="1"/>
  <c r="Z248" i="26"/>
  <c r="U120" i="26"/>
  <c r="Y98" i="26"/>
  <c r="S248" i="26"/>
  <c r="Z98" i="26"/>
  <c r="T248" i="26"/>
  <c r="Y120" i="26"/>
  <c r="S98" i="26"/>
  <c r="V248" i="26"/>
  <c r="V120" i="26"/>
  <c r="W48" i="26"/>
  <c r="U98" i="26"/>
  <c r="Z48" i="26"/>
  <c r="D250" i="39"/>
  <c r="E250" i="39" s="1"/>
  <c r="T23" i="33"/>
  <c r="X23" i="33"/>
  <c r="U23" i="33"/>
  <c r="Y23" i="33"/>
  <c r="U24" i="33"/>
  <c r="J219" i="28"/>
  <c r="M219" i="46" s="1"/>
  <c r="F151" i="28"/>
  <c r="I151" i="46" s="1"/>
  <c r="T207" i="26"/>
  <c r="Y107" i="26"/>
  <c r="F55" i="28"/>
  <c r="I55" i="46" s="1"/>
  <c r="Y165" i="26"/>
  <c r="U207" i="26"/>
  <c r="S165" i="26"/>
  <c r="V207" i="26"/>
  <c r="Y282" i="26"/>
  <c r="W165" i="26"/>
  <c r="I154" i="28"/>
  <c r="J154" i="46" s="1"/>
  <c r="W207" i="26"/>
  <c r="Z282" i="26"/>
  <c r="Y207" i="26"/>
  <c r="D98" i="39"/>
  <c r="E98" i="39" s="1"/>
  <c r="H98" i="45" s="1"/>
  <c r="Z207" i="26"/>
  <c r="G116" i="28"/>
  <c r="L116" i="46" s="1"/>
  <c r="U165" i="26"/>
  <c r="J159" i="28"/>
  <c r="M159" i="46" s="1"/>
  <c r="F64" i="28"/>
  <c r="I64" i="46" s="1"/>
  <c r="Z114" i="26"/>
  <c r="Y48" i="26"/>
  <c r="V89" i="26"/>
  <c r="V114" i="26"/>
  <c r="Y114" i="26"/>
  <c r="Y89" i="26"/>
  <c r="Z89" i="26"/>
  <c r="G94" i="28"/>
  <c r="L94" i="46" s="1"/>
  <c r="S48" i="26"/>
  <c r="S114" i="26"/>
  <c r="T48" i="26"/>
  <c r="U114" i="26"/>
  <c r="U48" i="26"/>
  <c r="S89" i="26"/>
  <c r="S219" i="26"/>
  <c r="V219" i="26"/>
  <c r="S282" i="26"/>
  <c r="W253" i="26"/>
  <c r="W219" i="26"/>
  <c r="U155" i="26"/>
  <c r="S253" i="26"/>
  <c r="S155" i="26"/>
  <c r="U55" i="26"/>
  <c r="Z219" i="26"/>
  <c r="T155" i="26"/>
  <c r="W55" i="26"/>
  <c r="V253" i="26"/>
  <c r="Y219" i="26"/>
  <c r="T219" i="26"/>
  <c r="S149" i="26"/>
  <c r="V155" i="26"/>
  <c r="Y155" i="26"/>
  <c r="T282" i="26"/>
  <c r="V149" i="26"/>
  <c r="T253" i="26"/>
  <c r="U282" i="26"/>
  <c r="W149" i="26"/>
  <c r="W155" i="26"/>
  <c r="U253" i="26"/>
  <c r="V282" i="26"/>
  <c r="T149" i="26"/>
  <c r="W282" i="26"/>
  <c r="Y149" i="26"/>
  <c r="V55" i="26"/>
  <c r="S55" i="26"/>
  <c r="Y55" i="26"/>
  <c r="Z55" i="26"/>
  <c r="U96" i="26"/>
  <c r="V96" i="26"/>
  <c r="W96" i="26"/>
  <c r="S59" i="26"/>
  <c r="Z59" i="26"/>
  <c r="T59" i="26"/>
  <c r="Y96" i="26"/>
  <c r="Z96" i="26"/>
  <c r="U59" i="26"/>
  <c r="AY251" i="7"/>
  <c r="AZ251" i="7"/>
  <c r="I79" i="28"/>
  <c r="J79" i="46" s="1"/>
  <c r="I134" i="28"/>
  <c r="J134" i="46" s="1"/>
  <c r="J209" i="28"/>
  <c r="M209" i="46" s="1"/>
  <c r="I122" i="28"/>
  <c r="J122" i="46" s="1"/>
  <c r="J122" i="28"/>
  <c r="M122" i="46" s="1"/>
  <c r="Z107" i="26"/>
  <c r="Z251" i="26"/>
  <c r="S251" i="26"/>
  <c r="V251" i="26"/>
  <c r="W251" i="26"/>
  <c r="V107" i="26"/>
  <c r="Y251" i="26"/>
  <c r="W107" i="26"/>
  <c r="T251" i="26"/>
  <c r="S107" i="26"/>
  <c r="T107" i="26"/>
  <c r="D104" i="39"/>
  <c r="E104" i="39" s="1"/>
  <c r="D51" i="39"/>
  <c r="E51" i="39" s="1"/>
  <c r="F251" i="39"/>
  <c r="G251" i="39" s="1"/>
  <c r="D19" i="39"/>
  <c r="E19" i="39" s="1"/>
  <c r="Y170" i="26"/>
  <c r="Z170" i="26"/>
  <c r="I34" i="28"/>
  <c r="J34" i="46" s="1"/>
  <c r="J34" i="28"/>
  <c r="M34" i="46" s="1"/>
  <c r="U170" i="26"/>
  <c r="F222" i="28"/>
  <c r="I222" i="46" s="1"/>
  <c r="V170" i="26"/>
  <c r="S170" i="26"/>
  <c r="T170" i="26"/>
  <c r="W170" i="26"/>
  <c r="U197" i="6"/>
  <c r="Y197" i="6"/>
  <c r="T197" i="6"/>
  <c r="G197" i="45"/>
  <c r="H197" i="28"/>
  <c r="Z197" i="6"/>
  <c r="X197" i="6"/>
  <c r="V197" i="6"/>
  <c r="W197" i="6"/>
  <c r="AA197" i="6"/>
  <c r="AC197" i="6"/>
  <c r="Z149" i="26"/>
  <c r="D219" i="39"/>
  <c r="E219" i="39" s="1"/>
  <c r="J258" i="28"/>
  <c r="M258" i="46" s="1"/>
  <c r="I258" i="28"/>
  <c r="J258" i="46" s="1"/>
  <c r="S74" i="26"/>
  <c r="W74" i="26"/>
  <c r="F217" i="28"/>
  <c r="I217" i="46" s="1"/>
  <c r="G138" i="28"/>
  <c r="L138" i="46" s="1"/>
  <c r="D141" i="39"/>
  <c r="E141" i="39" s="1"/>
  <c r="D20" i="39"/>
  <c r="E20" i="39" s="1"/>
  <c r="Z74" i="26"/>
  <c r="T74" i="26"/>
  <c r="G260" i="28"/>
  <c r="L260" i="46" s="1"/>
  <c r="I106" i="45"/>
  <c r="D242" i="39"/>
  <c r="E242" i="39" s="1"/>
  <c r="U74" i="26"/>
  <c r="V74" i="26"/>
  <c r="V165" i="26"/>
  <c r="G190" i="28"/>
  <c r="L190" i="46" s="1"/>
  <c r="G282" i="28"/>
  <c r="L282" i="46" s="1"/>
  <c r="C36" i="45"/>
  <c r="N36" i="45" s="1"/>
  <c r="J288" i="28"/>
  <c r="M288" i="46" s="1"/>
  <c r="W43" i="26"/>
  <c r="T43" i="26"/>
  <c r="U43" i="26"/>
  <c r="T64" i="26"/>
  <c r="U64" i="26"/>
  <c r="V64" i="26"/>
  <c r="Y64" i="26"/>
  <c r="Z64" i="26"/>
  <c r="S64" i="26"/>
  <c r="W64" i="26"/>
  <c r="Y43" i="26"/>
  <c r="Z43" i="26"/>
  <c r="W20" i="26"/>
  <c r="V20" i="26"/>
  <c r="Y20" i="26"/>
  <c r="W116" i="26"/>
  <c r="F134" i="39"/>
  <c r="G134" i="39" s="1"/>
  <c r="G66" i="45"/>
  <c r="J127" i="28"/>
  <c r="M127" i="46" s="1"/>
  <c r="I277" i="28"/>
  <c r="J277" i="46" s="1"/>
  <c r="J277" i="28"/>
  <c r="M277" i="46" s="1"/>
  <c r="I109" i="28"/>
  <c r="J109" i="46" s="1"/>
  <c r="J109" i="28"/>
  <c r="M109" i="46" s="1"/>
  <c r="D186" i="39"/>
  <c r="E186" i="39" s="1"/>
  <c r="AZ134" i="7"/>
  <c r="D102" i="39"/>
  <c r="E102" i="39" s="1"/>
  <c r="AY125" i="7"/>
  <c r="F125" i="39"/>
  <c r="G125" i="39" s="1"/>
  <c r="BB125" i="7"/>
  <c r="AZ125" i="7"/>
  <c r="F271" i="39"/>
  <c r="G271" i="39" s="1"/>
  <c r="BB271" i="7"/>
  <c r="AY271" i="7"/>
  <c r="AZ271" i="7"/>
  <c r="D54" i="39"/>
  <c r="E54" i="39" s="1"/>
  <c r="Y66" i="6"/>
  <c r="AA66" i="6"/>
  <c r="U161" i="26"/>
  <c r="V161" i="26"/>
  <c r="F59" i="28"/>
  <c r="I59" i="46" s="1"/>
  <c r="Y161" i="26"/>
  <c r="Z161" i="26"/>
  <c r="J57" i="28"/>
  <c r="I57" i="28"/>
  <c r="W161" i="26"/>
  <c r="F188" i="28"/>
  <c r="I188" i="46" s="1"/>
  <c r="I205" i="28"/>
  <c r="J205" i="46" s="1"/>
  <c r="U66" i="6"/>
  <c r="S161" i="26"/>
  <c r="AC66" i="6"/>
  <c r="T66" i="6"/>
  <c r="F124" i="28"/>
  <c r="I124" i="46" s="1"/>
  <c r="X66" i="6"/>
  <c r="I97" i="28"/>
  <c r="J97" i="46" s="1"/>
  <c r="J97" i="28"/>
  <c r="M97" i="46" s="1"/>
  <c r="V66" i="6"/>
  <c r="W66" i="6"/>
  <c r="Z66" i="6"/>
  <c r="I137" i="28"/>
  <c r="J137" i="46" s="1"/>
  <c r="J137" i="28"/>
  <c r="M137" i="46" s="1"/>
  <c r="I220" i="28"/>
  <c r="J220" i="46" s="1"/>
  <c r="J220" i="28"/>
  <c r="M220" i="46" s="1"/>
  <c r="F43" i="28"/>
  <c r="I43" i="46" s="1"/>
  <c r="D169" i="39"/>
  <c r="E169" i="39" s="1"/>
  <c r="J113" i="28"/>
  <c r="M113" i="46" s="1"/>
  <c r="F235" i="28"/>
  <c r="I235" i="46" s="1"/>
  <c r="G235" i="28"/>
  <c r="L235" i="46" s="1"/>
  <c r="F73" i="28"/>
  <c r="I73" i="46" s="1"/>
  <c r="I233" i="28"/>
  <c r="J233" i="46" s="1"/>
  <c r="J233" i="28"/>
  <c r="M233" i="46" s="1"/>
  <c r="I83" i="28"/>
  <c r="J83" i="46" s="1"/>
  <c r="E120" i="46"/>
  <c r="I130" i="28"/>
  <c r="J130" i="46" s="1"/>
  <c r="J130" i="28"/>
  <c r="M130" i="46" s="1"/>
  <c r="J111" i="28"/>
  <c r="M111" i="46" s="1"/>
  <c r="I111" i="28"/>
  <c r="J111" i="46" s="1"/>
  <c r="J203" i="28"/>
  <c r="M203" i="46" s="1"/>
  <c r="I133" i="28"/>
  <c r="J133" i="46" s="1"/>
  <c r="J133" i="28"/>
  <c r="M133" i="46" s="1"/>
  <c r="I10" i="28"/>
  <c r="J10" i="46" s="1"/>
  <c r="J10" i="28"/>
  <c r="M10" i="46" s="1"/>
  <c r="J19" i="28"/>
  <c r="M19" i="46" s="1"/>
  <c r="I19" i="28"/>
  <c r="J19" i="46" s="1"/>
  <c r="I270" i="28"/>
  <c r="J270" i="46" s="1"/>
  <c r="J270" i="28"/>
  <c r="M270" i="46" s="1"/>
  <c r="W28" i="26"/>
  <c r="Z28" i="26"/>
  <c r="Y28" i="26"/>
  <c r="V28" i="26"/>
  <c r="U28" i="26"/>
  <c r="T28" i="26"/>
  <c r="S28" i="26"/>
  <c r="Y51" i="26"/>
  <c r="U51" i="26"/>
  <c r="T51" i="26"/>
  <c r="W51" i="26"/>
  <c r="V51" i="26"/>
  <c r="S51" i="26"/>
  <c r="Z51" i="26"/>
  <c r="W141" i="26"/>
  <c r="T141" i="26"/>
  <c r="Z141" i="26"/>
  <c r="Y141" i="26"/>
  <c r="V141" i="26"/>
  <c r="U141" i="26"/>
  <c r="S141" i="26"/>
  <c r="V242" i="26"/>
  <c r="T242" i="26"/>
  <c r="S242" i="26"/>
  <c r="Z242" i="26"/>
  <c r="U242" i="26"/>
  <c r="Y242" i="26"/>
  <c r="W242" i="26"/>
  <c r="Z63" i="26"/>
  <c r="Y63" i="26"/>
  <c r="W63" i="26"/>
  <c r="T63" i="26"/>
  <c r="V63" i="26"/>
  <c r="U63" i="26"/>
  <c r="S63" i="26"/>
  <c r="BB137" i="7"/>
  <c r="F137" i="39"/>
  <c r="G137" i="39" s="1"/>
  <c r="AZ137" i="7"/>
  <c r="AY137" i="7"/>
  <c r="D272" i="39"/>
  <c r="E272" i="39" s="1"/>
  <c r="AY60" i="7"/>
  <c r="AZ60" i="7"/>
  <c r="F60" i="39"/>
  <c r="G60" i="39" s="1"/>
  <c r="BB60" i="7"/>
  <c r="D243" i="39"/>
  <c r="E243" i="39" s="1"/>
  <c r="D193" i="39"/>
  <c r="E193" i="39" s="1"/>
  <c r="BB100" i="7"/>
  <c r="AZ100" i="7"/>
  <c r="AY100" i="7"/>
  <c r="F100" i="39"/>
  <c r="G100" i="39" s="1"/>
  <c r="BB168" i="7"/>
  <c r="AZ168" i="7"/>
  <c r="F168" i="39"/>
  <c r="G168" i="39" s="1"/>
  <c r="AY168" i="7"/>
  <c r="BB201" i="7"/>
  <c r="AY201" i="7"/>
  <c r="AZ201" i="7"/>
  <c r="F201" i="39"/>
  <c r="G201" i="39" s="1"/>
  <c r="AU168" i="7"/>
  <c r="J5" i="28"/>
  <c r="M5" i="46" s="1"/>
  <c r="I5" i="28"/>
  <c r="J5" i="46" s="1"/>
  <c r="I36" i="28"/>
  <c r="J36" i="46" s="1"/>
  <c r="E36" i="46" s="1"/>
  <c r="J36" i="28"/>
  <c r="M36" i="46" s="1"/>
  <c r="I93" i="28"/>
  <c r="J93" i="46" s="1"/>
  <c r="J93" i="28"/>
  <c r="M93" i="46" s="1"/>
  <c r="I88" i="28"/>
  <c r="J88" i="46" s="1"/>
  <c r="J88" i="28"/>
  <c r="M88" i="46" s="1"/>
  <c r="F75" i="28"/>
  <c r="I75" i="46" s="1"/>
  <c r="G75" i="28"/>
  <c r="L75" i="46" s="1"/>
  <c r="I54" i="28"/>
  <c r="J54" i="46" s="1"/>
  <c r="J54" i="28"/>
  <c r="M54" i="46" s="1"/>
  <c r="J41" i="28"/>
  <c r="M41" i="46" s="1"/>
  <c r="I41" i="28"/>
  <c r="J41" i="46" s="1"/>
  <c r="U237" i="26"/>
  <c r="W237" i="26"/>
  <c r="Y237" i="26"/>
  <c r="Z237" i="26"/>
  <c r="S237" i="26"/>
  <c r="T237" i="26"/>
  <c r="T116" i="26"/>
  <c r="Y134" i="26"/>
  <c r="V134" i="26"/>
  <c r="Z134" i="26"/>
  <c r="U134" i="26"/>
  <c r="T134" i="26"/>
  <c r="S134" i="26"/>
  <c r="W134" i="26"/>
  <c r="AZ85" i="7"/>
  <c r="BB85" i="7"/>
  <c r="F85" i="39"/>
  <c r="G85" i="39" s="1"/>
  <c r="AY85" i="7"/>
  <c r="D166" i="39"/>
  <c r="E166" i="39" s="1"/>
  <c r="H246" i="45"/>
  <c r="K246" i="28"/>
  <c r="U116" i="26"/>
  <c r="Y116" i="26"/>
  <c r="F168" i="28"/>
  <c r="I168" i="46" s="1"/>
  <c r="G168" i="28"/>
  <c r="L168" i="46" s="1"/>
  <c r="G283" i="28"/>
  <c r="L283" i="46" s="1"/>
  <c r="F283" i="28"/>
  <c r="I283" i="46" s="1"/>
  <c r="Z116" i="26"/>
  <c r="S75" i="26"/>
  <c r="Z75" i="26"/>
  <c r="W75" i="26"/>
  <c r="V75" i="26"/>
  <c r="Y75" i="26"/>
  <c r="U75" i="26"/>
  <c r="T75" i="26"/>
  <c r="S116" i="26"/>
  <c r="U283" i="26"/>
  <c r="T283" i="26"/>
  <c r="S283" i="26"/>
  <c r="Z283" i="26"/>
  <c r="V283" i="26"/>
  <c r="Y283" i="26"/>
  <c r="W283" i="26"/>
  <c r="F134" i="28"/>
  <c r="I134" i="46" s="1"/>
  <c r="G134" i="28"/>
  <c r="L134" i="46" s="1"/>
  <c r="AW151" i="7"/>
  <c r="BB103" i="7"/>
  <c r="F103" i="39"/>
  <c r="G103" i="39" s="1"/>
  <c r="AZ103" i="7"/>
  <c r="AY103" i="7"/>
  <c r="AY143" i="7"/>
  <c r="F143" i="39"/>
  <c r="G143" i="39" s="1"/>
  <c r="BB143" i="7"/>
  <c r="AZ143" i="7"/>
  <c r="J147" i="28"/>
  <c r="M147" i="46" s="1"/>
  <c r="I147" i="28"/>
  <c r="J147" i="46" s="1"/>
  <c r="F128" i="28"/>
  <c r="I128" i="46" s="1"/>
  <c r="G128" i="28"/>
  <c r="L128" i="46" s="1"/>
  <c r="F151" i="39"/>
  <c r="G151" i="39" s="1"/>
  <c r="AZ151" i="7"/>
  <c r="AY151" i="7"/>
  <c r="BB151" i="7"/>
  <c r="BB181" i="7"/>
  <c r="AY181" i="7"/>
  <c r="F181" i="39"/>
  <c r="G181" i="39" s="1"/>
  <c r="AZ181" i="7"/>
  <c r="AY26" i="7"/>
  <c r="AZ26" i="7"/>
  <c r="BB26" i="7"/>
  <c r="F26" i="39"/>
  <c r="G26" i="39" s="1"/>
  <c r="BB218" i="7"/>
  <c r="AZ218" i="7"/>
  <c r="F218" i="39"/>
  <c r="G218" i="39" s="1"/>
  <c r="AY218" i="7"/>
  <c r="G126" i="28"/>
  <c r="L126" i="46" s="1"/>
  <c r="F126" i="28"/>
  <c r="I126" i="46" s="1"/>
  <c r="F194" i="28"/>
  <c r="I194" i="46" s="1"/>
  <c r="G194" i="28"/>
  <c r="L194" i="46" s="1"/>
  <c r="T22" i="26"/>
  <c r="S22" i="26"/>
  <c r="U22" i="26"/>
  <c r="Z22" i="26"/>
  <c r="Y22" i="26"/>
  <c r="W22" i="26"/>
  <c r="V22" i="26"/>
  <c r="F224" i="28"/>
  <c r="I224" i="46" s="1"/>
  <c r="G224" i="28"/>
  <c r="L224" i="46" s="1"/>
  <c r="AZ82" i="7"/>
  <c r="BB82" i="7"/>
  <c r="AY82" i="7"/>
  <c r="F82" i="39"/>
  <c r="G82" i="39" s="1"/>
  <c r="F282" i="39"/>
  <c r="G282" i="39" s="1"/>
  <c r="BB282" i="7"/>
  <c r="AY282" i="7"/>
  <c r="AZ282" i="7"/>
  <c r="AY212" i="7"/>
  <c r="AZ212" i="7"/>
  <c r="BB212" i="7"/>
  <c r="F212" i="39"/>
  <c r="G212" i="39" s="1"/>
  <c r="F178" i="39"/>
  <c r="G178" i="39" s="1"/>
  <c r="BB178" i="7"/>
  <c r="AY178" i="7"/>
  <c r="AZ178" i="7"/>
  <c r="BB171" i="7"/>
  <c r="AY171" i="7"/>
  <c r="AZ171" i="7"/>
  <c r="F171" i="39"/>
  <c r="G171" i="39" s="1"/>
  <c r="AY64" i="7"/>
  <c r="BB64" i="7"/>
  <c r="F64" i="39"/>
  <c r="G64" i="39" s="1"/>
  <c r="AZ64" i="7"/>
  <c r="J215" i="28"/>
  <c r="M215" i="46" s="1"/>
  <c r="I215" i="28"/>
  <c r="J215" i="46" s="1"/>
  <c r="AY213" i="7"/>
  <c r="F213" i="39"/>
  <c r="G213" i="39" s="1"/>
  <c r="BB213" i="7"/>
  <c r="AZ213" i="7"/>
  <c r="BB117" i="7"/>
  <c r="AZ117" i="7"/>
  <c r="F117" i="39"/>
  <c r="G117" i="39" s="1"/>
  <c r="AY117" i="7"/>
  <c r="AZ114" i="7"/>
  <c r="F114" i="39"/>
  <c r="G114" i="39" s="1"/>
  <c r="BB114" i="7"/>
  <c r="AY114" i="7"/>
  <c r="U91" i="26"/>
  <c r="T91" i="26"/>
  <c r="W91" i="26"/>
  <c r="V91" i="26"/>
  <c r="S91" i="26"/>
  <c r="Z91" i="26"/>
  <c r="Y91" i="26"/>
  <c r="W45" i="26"/>
  <c r="V45" i="26"/>
  <c r="Z45" i="26"/>
  <c r="Y45" i="26"/>
  <c r="U45" i="26"/>
  <c r="T45" i="26"/>
  <c r="S45" i="26"/>
  <c r="G259" i="28"/>
  <c r="L259" i="46" s="1"/>
  <c r="F259" i="28"/>
  <c r="I259" i="46" s="1"/>
  <c r="AZ232" i="7"/>
  <c r="AY232" i="7"/>
  <c r="F232" i="39"/>
  <c r="G232" i="39" s="1"/>
  <c r="BB232" i="7"/>
  <c r="AW31" i="7"/>
  <c r="AU31" i="7"/>
  <c r="AV31" i="7"/>
  <c r="AX31" i="7"/>
  <c r="AY111" i="7"/>
  <c r="F111" i="39"/>
  <c r="G111" i="39" s="1"/>
  <c r="BB111" i="7"/>
  <c r="AZ111" i="7"/>
  <c r="G290" i="28"/>
  <c r="L290" i="46" s="1"/>
  <c r="F290" i="28"/>
  <c r="I290" i="46" s="1"/>
  <c r="AX116" i="7"/>
  <c r="AV116" i="7"/>
  <c r="AU116" i="7"/>
  <c r="AW116" i="7"/>
  <c r="AW140" i="7"/>
  <c r="AV140" i="7"/>
  <c r="AU140" i="7"/>
  <c r="AX140" i="7"/>
  <c r="W58" i="26"/>
  <c r="V58" i="26"/>
  <c r="Z58" i="26"/>
  <c r="Y58" i="26"/>
  <c r="U58" i="26"/>
  <c r="T58" i="26"/>
  <c r="S58" i="26"/>
  <c r="Z213" i="26"/>
  <c r="Y213" i="26"/>
  <c r="W213" i="26"/>
  <c r="V213" i="26"/>
  <c r="U213" i="26"/>
  <c r="T213" i="26"/>
  <c r="S213" i="26"/>
  <c r="BB189" i="7"/>
  <c r="F189" i="39"/>
  <c r="G189" i="39" s="1"/>
  <c r="AY189" i="7"/>
  <c r="AZ189" i="7"/>
  <c r="AY222" i="7"/>
  <c r="F222" i="39"/>
  <c r="G222" i="39" s="1"/>
  <c r="BB222" i="7"/>
  <c r="AZ222" i="7"/>
  <c r="AY216" i="7"/>
  <c r="BB216" i="7"/>
  <c r="AZ216" i="7"/>
  <c r="F216" i="39"/>
  <c r="G216" i="39" s="1"/>
  <c r="W139" i="26"/>
  <c r="T139" i="26"/>
  <c r="S139" i="26"/>
  <c r="Z139" i="26"/>
  <c r="Y139" i="26"/>
  <c r="V139" i="26"/>
  <c r="U139" i="26"/>
  <c r="F105" i="39"/>
  <c r="G105" i="39" s="1"/>
  <c r="BB105" i="7"/>
  <c r="AZ105" i="7"/>
  <c r="AY105" i="7"/>
  <c r="F122" i="39"/>
  <c r="G122" i="39" s="1"/>
  <c r="AZ122" i="7"/>
  <c r="BB122" i="7"/>
  <c r="AY122" i="7"/>
  <c r="BB158" i="7"/>
  <c r="F158" i="39"/>
  <c r="G158" i="39" s="1"/>
  <c r="AZ158" i="7"/>
  <c r="AY158" i="7"/>
  <c r="AY238" i="7"/>
  <c r="F238" i="39"/>
  <c r="G238" i="39" s="1"/>
  <c r="BB238" i="7"/>
  <c r="AZ238" i="7"/>
  <c r="AZ152" i="7"/>
  <c r="AY152" i="7"/>
  <c r="BB152" i="7"/>
  <c r="F152" i="39"/>
  <c r="G152" i="39" s="1"/>
  <c r="W145" i="26"/>
  <c r="V145" i="26"/>
  <c r="S145" i="26"/>
  <c r="Z145" i="26"/>
  <c r="U145" i="26"/>
  <c r="T145" i="26"/>
  <c r="Y145" i="26"/>
  <c r="U168" i="26"/>
  <c r="T168" i="26"/>
  <c r="Y168" i="26"/>
  <c r="Z168" i="26"/>
  <c r="W168" i="26"/>
  <c r="V168" i="26"/>
  <c r="S168" i="26"/>
  <c r="AY184" i="7"/>
  <c r="AZ184" i="7"/>
  <c r="BB184" i="7"/>
  <c r="F184" i="39"/>
  <c r="G184" i="39" s="1"/>
  <c r="W239" i="26"/>
  <c r="V239" i="26"/>
  <c r="U239" i="26"/>
  <c r="T239" i="26"/>
  <c r="Z239" i="26"/>
  <c r="Y239" i="26"/>
  <c r="S239" i="26"/>
  <c r="G139" i="28"/>
  <c r="L139" i="46" s="1"/>
  <c r="F139" i="28"/>
  <c r="I139" i="46" s="1"/>
  <c r="AZ43" i="7"/>
  <c r="AY43" i="7"/>
  <c r="F43" i="39"/>
  <c r="G43" i="39" s="1"/>
  <c r="BB43" i="7"/>
  <c r="Z126" i="26"/>
  <c r="Y126" i="26"/>
  <c r="V126" i="26"/>
  <c r="U126" i="26"/>
  <c r="S126" i="26"/>
  <c r="W126" i="26"/>
  <c r="T126" i="26"/>
  <c r="AY202" i="7"/>
  <c r="F202" i="39"/>
  <c r="G202" i="39" s="1"/>
  <c r="BB202" i="7"/>
  <c r="AZ202" i="7"/>
  <c r="BB124" i="7"/>
  <c r="F124" i="39"/>
  <c r="G124" i="39" s="1"/>
  <c r="AY124" i="7"/>
  <c r="AZ124" i="7"/>
  <c r="I255" i="45"/>
  <c r="R255" i="26"/>
  <c r="X255" i="26" s="1"/>
  <c r="G84" i="28"/>
  <c r="L84" i="46" s="1"/>
  <c r="F84" i="28"/>
  <c r="I84" i="46" s="1"/>
  <c r="F202" i="28"/>
  <c r="I202" i="46" s="1"/>
  <c r="G202" i="28"/>
  <c r="L202" i="46" s="1"/>
  <c r="K136" i="28"/>
  <c r="H136" i="45"/>
  <c r="U206" i="26"/>
  <c r="T206" i="26"/>
  <c r="S206" i="26"/>
  <c r="Y206" i="26"/>
  <c r="V206" i="26"/>
  <c r="Z206" i="26"/>
  <c r="W206" i="26"/>
  <c r="AX284" i="7"/>
  <c r="S67" i="26"/>
  <c r="Z67" i="26"/>
  <c r="Y67" i="26"/>
  <c r="W67" i="26"/>
  <c r="V67" i="26"/>
  <c r="U67" i="26"/>
  <c r="T67" i="26"/>
  <c r="I179" i="45"/>
  <c r="R179" i="26"/>
  <c r="X179" i="26" s="1"/>
  <c r="AV233" i="7"/>
  <c r="AZ96" i="7"/>
  <c r="BB96" i="7"/>
  <c r="F96" i="39"/>
  <c r="G96" i="39" s="1"/>
  <c r="AY96" i="7"/>
  <c r="F156" i="28"/>
  <c r="I156" i="46" s="1"/>
  <c r="G156" i="28"/>
  <c r="L156" i="46" s="1"/>
  <c r="I103" i="45"/>
  <c r="R103" i="26"/>
  <c r="X103" i="26" s="1"/>
  <c r="S249" i="26"/>
  <c r="Z249" i="26"/>
  <c r="W249" i="26"/>
  <c r="V249" i="26"/>
  <c r="Y249" i="26"/>
  <c r="U249" i="26"/>
  <c r="T249" i="26"/>
  <c r="BB185" i="7"/>
  <c r="AZ185" i="7"/>
  <c r="F185" i="39"/>
  <c r="G185" i="39" s="1"/>
  <c r="AY185" i="7"/>
  <c r="F31" i="39"/>
  <c r="G31" i="39" s="1"/>
  <c r="BB31" i="7"/>
  <c r="AZ31" i="7"/>
  <c r="AY31" i="7"/>
  <c r="BB174" i="7"/>
  <c r="AY174" i="7"/>
  <c r="AZ174" i="7"/>
  <c r="F174" i="39"/>
  <c r="G174" i="39" s="1"/>
  <c r="AZ149" i="7"/>
  <c r="BB149" i="7"/>
  <c r="F149" i="39"/>
  <c r="G149" i="39" s="1"/>
  <c r="AY149" i="7"/>
  <c r="F83" i="39"/>
  <c r="G83" i="39" s="1"/>
  <c r="AZ83" i="7"/>
  <c r="AY83" i="7"/>
  <c r="BB83" i="7"/>
  <c r="U290" i="26"/>
  <c r="T290" i="26"/>
  <c r="S290" i="26"/>
  <c r="Z290" i="26"/>
  <c r="Y290" i="26"/>
  <c r="W290" i="26"/>
  <c r="V290" i="26"/>
  <c r="AY89" i="7"/>
  <c r="AZ89" i="7"/>
  <c r="F89" i="39"/>
  <c r="G89" i="39" s="1"/>
  <c r="BB89" i="7"/>
  <c r="AY113" i="7"/>
  <c r="BB113" i="7"/>
  <c r="F113" i="39"/>
  <c r="G113" i="39" s="1"/>
  <c r="AZ113" i="7"/>
  <c r="BB116" i="7"/>
  <c r="AY116" i="7"/>
  <c r="AZ116" i="7"/>
  <c r="F116" i="39"/>
  <c r="G116" i="39" s="1"/>
  <c r="BB140" i="7"/>
  <c r="AZ140" i="7"/>
  <c r="AY140" i="7"/>
  <c r="F140" i="39"/>
  <c r="G140" i="39" s="1"/>
  <c r="AY239" i="7"/>
  <c r="AZ239" i="7"/>
  <c r="F239" i="39"/>
  <c r="G239" i="39" s="1"/>
  <c r="BB239" i="7"/>
  <c r="BB55" i="7"/>
  <c r="F55" i="39"/>
  <c r="G55" i="39" s="1"/>
  <c r="AY55" i="7"/>
  <c r="AZ55" i="7"/>
  <c r="AW35" i="7"/>
  <c r="AX35" i="7"/>
  <c r="AU35" i="7"/>
  <c r="AV35" i="7"/>
  <c r="AU84" i="7"/>
  <c r="BB277" i="7"/>
  <c r="AY277" i="7"/>
  <c r="F277" i="39"/>
  <c r="G277" i="39" s="1"/>
  <c r="AZ277" i="7"/>
  <c r="F223" i="28"/>
  <c r="I223" i="46" s="1"/>
  <c r="G223" i="28"/>
  <c r="L223" i="46" s="1"/>
  <c r="F91" i="28"/>
  <c r="I91" i="46" s="1"/>
  <c r="G91" i="28"/>
  <c r="L91" i="46" s="1"/>
  <c r="F127" i="39"/>
  <c r="G127" i="39" s="1"/>
  <c r="AZ127" i="7"/>
  <c r="AY127" i="7"/>
  <c r="BB127" i="7"/>
  <c r="AU222" i="7"/>
  <c r="F262" i="28"/>
  <c r="I262" i="46" s="1"/>
  <c r="G262" i="28"/>
  <c r="L262" i="46" s="1"/>
  <c r="F177" i="28"/>
  <c r="I177" i="46" s="1"/>
  <c r="G177" i="28"/>
  <c r="L177" i="46" s="1"/>
  <c r="AX238" i="7"/>
  <c r="W131" i="26"/>
  <c r="T131" i="26"/>
  <c r="S131" i="26"/>
  <c r="Z131" i="26"/>
  <c r="Y131" i="26"/>
  <c r="V131" i="26"/>
  <c r="U131" i="26"/>
  <c r="G8" i="28"/>
  <c r="L8" i="46" s="1"/>
  <c r="F8" i="28"/>
  <c r="I8" i="46" s="1"/>
  <c r="AZ275" i="7"/>
  <c r="BB275" i="7"/>
  <c r="AY275" i="7"/>
  <c r="F147" i="39"/>
  <c r="G147" i="39" s="1"/>
  <c r="AZ147" i="7"/>
  <c r="BB147" i="7"/>
  <c r="AY147" i="7"/>
  <c r="AY112" i="7"/>
  <c r="AZ112" i="7"/>
  <c r="F112" i="39"/>
  <c r="G112" i="39" s="1"/>
  <c r="BB112" i="7"/>
  <c r="AY285" i="7"/>
  <c r="BB285" i="7"/>
  <c r="F285" i="39"/>
  <c r="G285" i="39" s="1"/>
  <c r="AZ285" i="7"/>
  <c r="I163" i="45"/>
  <c r="R163" i="26"/>
  <c r="X163" i="26" s="1"/>
  <c r="F142" i="28"/>
  <c r="I142" i="46" s="1"/>
  <c r="G142" i="28"/>
  <c r="L142" i="46" s="1"/>
  <c r="U162" i="26"/>
  <c r="T162" i="26"/>
  <c r="Y162" i="26"/>
  <c r="Z162" i="26"/>
  <c r="W162" i="26"/>
  <c r="V162" i="26"/>
  <c r="S162" i="26"/>
  <c r="W35" i="26"/>
  <c r="V35" i="26"/>
  <c r="U35" i="26"/>
  <c r="Y35" i="26"/>
  <c r="T35" i="26"/>
  <c r="S35" i="26"/>
  <c r="Z35" i="26"/>
  <c r="U129" i="26"/>
  <c r="T129" i="26"/>
  <c r="Y129" i="26"/>
  <c r="Z129" i="26"/>
  <c r="W129" i="26"/>
  <c r="V129" i="26"/>
  <c r="S129" i="26"/>
  <c r="BB32" i="7"/>
  <c r="AZ32" i="7"/>
  <c r="AY32" i="7"/>
  <c r="F32" i="39"/>
  <c r="G32" i="39" s="1"/>
  <c r="BB95" i="7"/>
  <c r="AZ95" i="7"/>
  <c r="F95" i="39"/>
  <c r="G95" i="39" s="1"/>
  <c r="AY95" i="7"/>
  <c r="BB159" i="7"/>
  <c r="AY159" i="7"/>
  <c r="F159" i="39"/>
  <c r="G159" i="39" s="1"/>
  <c r="AZ159" i="7"/>
  <c r="F221" i="39"/>
  <c r="G221" i="39" s="1"/>
  <c r="BB221" i="7"/>
  <c r="AY221" i="7"/>
  <c r="AZ221" i="7"/>
  <c r="AU124" i="7"/>
  <c r="AY280" i="7"/>
  <c r="AZ280" i="7"/>
  <c r="BB280" i="7"/>
  <c r="F280" i="39"/>
  <c r="G280" i="39" s="1"/>
  <c r="W202" i="26"/>
  <c r="V202" i="26"/>
  <c r="T202" i="26"/>
  <c r="S202" i="26"/>
  <c r="Z202" i="26"/>
  <c r="U202" i="26"/>
  <c r="Y202" i="26"/>
  <c r="J158" i="28"/>
  <c r="M158" i="46" s="1"/>
  <c r="I158" i="28"/>
  <c r="J158" i="46" s="1"/>
  <c r="G6" i="28"/>
  <c r="L6" i="46" s="1"/>
  <c r="F6" i="28"/>
  <c r="I6" i="46" s="1"/>
  <c r="BB284" i="7"/>
  <c r="AZ284" i="7"/>
  <c r="AY284" i="7"/>
  <c r="F284" i="39"/>
  <c r="G284" i="39" s="1"/>
  <c r="S80" i="26"/>
  <c r="Z80" i="26"/>
  <c r="Y80" i="26"/>
  <c r="W80" i="26"/>
  <c r="V80" i="26"/>
  <c r="U80" i="26"/>
  <c r="T80" i="26"/>
  <c r="AY61" i="7"/>
  <c r="BB61" i="7"/>
  <c r="F61" i="39"/>
  <c r="G61" i="39" s="1"/>
  <c r="AZ61" i="7"/>
  <c r="BB215" i="7"/>
  <c r="AZ215" i="7"/>
  <c r="F215" i="39"/>
  <c r="G215" i="39" s="1"/>
  <c r="AY215" i="7"/>
  <c r="F233" i="39"/>
  <c r="G233" i="39" s="1"/>
  <c r="BB233" i="7"/>
  <c r="AY233" i="7"/>
  <c r="AZ233" i="7"/>
  <c r="F237" i="39"/>
  <c r="G237" i="39" s="1"/>
  <c r="AY237" i="7"/>
  <c r="AZ237" i="7"/>
  <c r="BB237" i="7"/>
  <c r="BB25" i="7"/>
  <c r="F25" i="39"/>
  <c r="G25" i="39" s="1"/>
  <c r="AZ25" i="7"/>
  <c r="AY25" i="7"/>
  <c r="T156" i="26"/>
  <c r="Z156" i="26"/>
  <c r="Y156" i="26"/>
  <c r="V156" i="26"/>
  <c r="U156" i="26"/>
  <c r="W156" i="26"/>
  <c r="S156" i="26"/>
  <c r="W87" i="26"/>
  <c r="V87" i="26"/>
  <c r="S87" i="26"/>
  <c r="Z87" i="26"/>
  <c r="Y87" i="26"/>
  <c r="U87" i="26"/>
  <c r="T87" i="26"/>
  <c r="F69" i="28"/>
  <c r="I69" i="46" s="1"/>
  <c r="G69" i="28"/>
  <c r="L69" i="46" s="1"/>
  <c r="BB53" i="7"/>
  <c r="AY53" i="7"/>
  <c r="AZ53" i="7"/>
  <c r="F53" i="39"/>
  <c r="G53" i="39" s="1"/>
  <c r="S30" i="26"/>
  <c r="Z30" i="26"/>
  <c r="T30" i="26"/>
  <c r="Y30" i="26"/>
  <c r="W30" i="26"/>
  <c r="V30" i="26"/>
  <c r="U30" i="26"/>
  <c r="AY164" i="7"/>
  <c r="BB164" i="7"/>
  <c r="F164" i="39"/>
  <c r="G164" i="39" s="1"/>
  <c r="AZ164" i="7"/>
  <c r="I71" i="45"/>
  <c r="R71" i="26"/>
  <c r="X71" i="26" s="1"/>
  <c r="G232" i="28"/>
  <c r="L232" i="46" s="1"/>
  <c r="F232" i="28"/>
  <c r="I232" i="46" s="1"/>
  <c r="AW179" i="7"/>
  <c r="AU179" i="7"/>
  <c r="AV179" i="7"/>
  <c r="AX179" i="7"/>
  <c r="F214" i="39"/>
  <c r="G214" i="39" s="1"/>
  <c r="AZ214" i="7"/>
  <c r="BB214" i="7"/>
  <c r="AY214" i="7"/>
  <c r="I132" i="45"/>
  <c r="R132" i="26"/>
  <c r="X132" i="26" s="1"/>
  <c r="I152" i="45"/>
  <c r="R152" i="26"/>
  <c r="X152" i="26" s="1"/>
  <c r="F257" i="39"/>
  <c r="G257" i="39" s="1"/>
  <c r="BB257" i="7"/>
  <c r="AZ257" i="7"/>
  <c r="AY257" i="7"/>
  <c r="AZ287" i="7"/>
  <c r="BB287" i="7"/>
  <c r="F287" i="39"/>
  <c r="G287" i="39" s="1"/>
  <c r="AY287" i="7"/>
  <c r="F106" i="39"/>
  <c r="G106" i="39" s="1"/>
  <c r="BB106" i="7"/>
  <c r="AY106" i="7"/>
  <c r="AZ106" i="7"/>
  <c r="AY35" i="7"/>
  <c r="BB35" i="7"/>
  <c r="AZ35" i="7"/>
  <c r="F35" i="39"/>
  <c r="G35" i="39" s="1"/>
  <c r="AW217" i="7"/>
  <c r="AV217" i="7"/>
  <c r="AU217" i="7"/>
  <c r="AX217" i="7"/>
  <c r="I31" i="45"/>
  <c r="R31" i="26"/>
  <c r="X31" i="26" s="1"/>
  <c r="W177" i="26"/>
  <c r="T177" i="26"/>
  <c r="S177" i="26"/>
  <c r="U177" i="26"/>
  <c r="Z177" i="26"/>
  <c r="Y177" i="26"/>
  <c r="V177" i="26"/>
  <c r="F224" i="39"/>
  <c r="G224" i="39" s="1"/>
  <c r="BB224" i="7"/>
  <c r="AZ224" i="7"/>
  <c r="AY224" i="7"/>
  <c r="AY84" i="7"/>
  <c r="BB84" i="7"/>
  <c r="AZ84" i="7"/>
  <c r="F84" i="39"/>
  <c r="G84" i="39" s="1"/>
  <c r="F126" i="39"/>
  <c r="G126" i="39" s="1"/>
  <c r="AZ126" i="7"/>
  <c r="AY126" i="7"/>
  <c r="BB126" i="7"/>
  <c r="T223" i="26"/>
  <c r="S223" i="26"/>
  <c r="W223" i="26"/>
  <c r="U223" i="26"/>
  <c r="Z223" i="26"/>
  <c r="Y223" i="26"/>
  <c r="V223" i="26"/>
  <c r="G211" i="28"/>
  <c r="L211" i="46" s="1"/>
  <c r="F211" i="28"/>
  <c r="I211" i="46" s="1"/>
  <c r="AZ144" i="7"/>
  <c r="BB144" i="7"/>
  <c r="F144" i="39"/>
  <c r="G144" i="39" s="1"/>
  <c r="AY144" i="7"/>
  <c r="G117" i="28"/>
  <c r="L117" i="46" s="1"/>
  <c r="F117" i="28"/>
  <c r="I117" i="46" s="1"/>
  <c r="G208" i="28"/>
  <c r="L208" i="46" s="1"/>
  <c r="F208" i="28"/>
  <c r="I208" i="46" s="1"/>
  <c r="BB97" i="7"/>
  <c r="AY97" i="7"/>
  <c r="AZ97" i="7"/>
  <c r="F97" i="39"/>
  <c r="G97" i="39" s="1"/>
  <c r="U61" i="26"/>
  <c r="T61" i="26"/>
  <c r="W61" i="26"/>
  <c r="V61" i="26"/>
  <c r="S61" i="26"/>
  <c r="Z61" i="26"/>
  <c r="Y61" i="26"/>
  <c r="AY194" i="7"/>
  <c r="AZ194" i="7"/>
  <c r="F194" i="39"/>
  <c r="G194" i="39" s="1"/>
  <c r="BB194" i="7"/>
  <c r="AZ249" i="7"/>
  <c r="AY249" i="7"/>
  <c r="BB249" i="7"/>
  <c r="F249" i="39"/>
  <c r="G249" i="39" s="1"/>
  <c r="AW111" i="7"/>
  <c r="AX111" i="7"/>
  <c r="AU111" i="7"/>
  <c r="AV111" i="7"/>
  <c r="W73" i="26"/>
  <c r="U73" i="26"/>
  <c r="T73" i="26"/>
  <c r="S73" i="26"/>
  <c r="Z73" i="26"/>
  <c r="Y73" i="26"/>
  <c r="V73" i="26"/>
  <c r="AZ71" i="7"/>
  <c r="AY71" i="7"/>
  <c r="BB71" i="7"/>
  <c r="F71" i="39"/>
  <c r="G71" i="39" s="1"/>
  <c r="F173" i="39"/>
  <c r="G173" i="39" s="1"/>
  <c r="AZ173" i="7"/>
  <c r="AY173" i="7"/>
  <c r="BB173" i="7"/>
  <c r="I118" i="45"/>
  <c r="R118" i="26"/>
  <c r="X118" i="26" s="1"/>
  <c r="T142" i="26"/>
  <c r="S142" i="26"/>
  <c r="W142" i="26"/>
  <c r="Z142" i="26"/>
  <c r="Y142" i="26"/>
  <c r="V142" i="26"/>
  <c r="U142" i="26"/>
  <c r="I217" i="45"/>
  <c r="R217" i="26"/>
  <c r="X217" i="26" s="1"/>
  <c r="AY69" i="7"/>
  <c r="BB69" i="7"/>
  <c r="AZ69" i="7"/>
  <c r="F69" i="39"/>
  <c r="G69" i="39" s="1"/>
  <c r="T84" i="26"/>
  <c r="S84" i="26"/>
  <c r="U84" i="26"/>
  <c r="Z84" i="26"/>
  <c r="Y84" i="26"/>
  <c r="W84" i="26"/>
  <c r="V84" i="26"/>
  <c r="I150" i="45"/>
  <c r="R150" i="26"/>
  <c r="X150" i="26" s="1"/>
  <c r="I123" i="45"/>
  <c r="R123" i="26"/>
  <c r="X123" i="26" s="1"/>
  <c r="T62" i="26"/>
  <c r="S62" i="26"/>
  <c r="Z62" i="26"/>
  <c r="Y62" i="26"/>
  <c r="W62" i="26"/>
  <c r="V62" i="26"/>
  <c r="U62" i="26"/>
  <c r="W69" i="26"/>
  <c r="V69" i="26"/>
  <c r="Z69" i="26"/>
  <c r="Y69" i="26"/>
  <c r="U69" i="26"/>
  <c r="T69" i="26"/>
  <c r="S69" i="26"/>
  <c r="AY204" i="7"/>
  <c r="BB204" i="7"/>
  <c r="AZ204" i="7"/>
  <c r="F204" i="39"/>
  <c r="G204" i="39" s="1"/>
  <c r="BB231" i="7"/>
  <c r="AY231" i="7"/>
  <c r="F231" i="39"/>
  <c r="G231" i="39" s="1"/>
  <c r="AZ231" i="7"/>
  <c r="AY225" i="7"/>
  <c r="AZ225" i="7"/>
  <c r="F225" i="39"/>
  <c r="G225" i="39" s="1"/>
  <c r="BB225" i="7"/>
  <c r="AZ179" i="7"/>
  <c r="AY179" i="7"/>
  <c r="F179" i="39"/>
  <c r="G179" i="39" s="1"/>
  <c r="BB179" i="7"/>
  <c r="BB270" i="7"/>
  <c r="F270" i="39"/>
  <c r="G270" i="39" s="1"/>
  <c r="AZ270" i="7"/>
  <c r="AY270" i="7"/>
  <c r="BB142" i="7"/>
  <c r="F142" i="39"/>
  <c r="G142" i="39" s="1"/>
  <c r="AZ142" i="7"/>
  <c r="AY142" i="7"/>
  <c r="BB192" i="7"/>
  <c r="F192" i="39"/>
  <c r="G192" i="39" s="1"/>
  <c r="AZ192" i="7"/>
  <c r="AY192" i="7"/>
  <c r="I205" i="45"/>
  <c r="R205" i="26"/>
  <c r="X205" i="26" s="1"/>
  <c r="F226" i="39"/>
  <c r="G226" i="39" s="1"/>
  <c r="AZ226" i="7"/>
  <c r="AY226" i="7"/>
  <c r="BB226" i="7"/>
  <c r="AY66" i="7"/>
  <c r="BB66" i="7"/>
  <c r="AZ66" i="7"/>
  <c r="F66" i="39"/>
  <c r="G66" i="39" s="1"/>
  <c r="AZ217" i="7"/>
  <c r="F217" i="39"/>
  <c r="G217" i="39" s="1"/>
  <c r="BB217" i="7"/>
  <c r="AY217" i="7"/>
  <c r="W124" i="26"/>
  <c r="V124" i="26"/>
  <c r="S124" i="26"/>
  <c r="Z124" i="26"/>
  <c r="Y124" i="26"/>
  <c r="U124" i="26"/>
  <c r="T124" i="26"/>
  <c r="AY70" i="7"/>
  <c r="F70" i="39"/>
  <c r="G70" i="39" s="1"/>
  <c r="AZ70" i="7"/>
  <c r="BB70" i="7"/>
  <c r="BB206" i="7"/>
  <c r="AY206" i="7"/>
  <c r="F206" i="39"/>
  <c r="G206" i="39" s="1"/>
  <c r="AZ206" i="7"/>
  <c r="F167" i="28"/>
  <c r="I167" i="46" s="1"/>
  <c r="G167" i="28"/>
  <c r="L167" i="46" s="1"/>
  <c r="I24" i="45"/>
  <c r="C24" i="45" s="1"/>
  <c r="W211" i="26"/>
  <c r="V211" i="26"/>
  <c r="T211" i="26"/>
  <c r="S211" i="26"/>
  <c r="Z211" i="26"/>
  <c r="Y211" i="26"/>
  <c r="U211" i="26"/>
  <c r="U208" i="26"/>
  <c r="T208" i="26"/>
  <c r="S208" i="26"/>
  <c r="Y208" i="26"/>
  <c r="W208" i="26"/>
  <c r="V208" i="26"/>
  <c r="Z208" i="26"/>
  <c r="F99" i="39"/>
  <c r="G99" i="39" s="1"/>
  <c r="AY99" i="7"/>
  <c r="AZ99" i="7"/>
  <c r="BB99" i="7"/>
  <c r="AW195" i="7"/>
  <c r="AV195" i="7"/>
  <c r="AX195" i="7"/>
  <c r="AU195" i="7"/>
  <c r="U143" i="26"/>
  <c r="T143" i="26"/>
  <c r="Y143" i="26"/>
  <c r="Z143" i="26"/>
  <c r="W143" i="26"/>
  <c r="V143" i="26"/>
  <c r="S143" i="26"/>
  <c r="AZ276" i="7"/>
  <c r="AY276" i="7"/>
  <c r="F275" i="39"/>
  <c r="G275" i="39" s="1"/>
  <c r="BB276" i="7"/>
  <c r="F276" i="39"/>
  <c r="G276" i="39" s="1"/>
  <c r="F123" i="39"/>
  <c r="G123" i="39" s="1"/>
  <c r="AY123" i="7"/>
  <c r="BB123" i="7"/>
  <c r="AZ123" i="7"/>
  <c r="I27" i="45"/>
  <c r="R27" i="26"/>
  <c r="X27" i="26" s="1"/>
  <c r="V138" i="26"/>
  <c r="U138" i="26"/>
  <c r="Z138" i="26"/>
  <c r="Y138" i="26"/>
  <c r="S138" i="26"/>
  <c r="W138" i="26"/>
  <c r="T138" i="26"/>
  <c r="T128" i="26"/>
  <c r="S128" i="26"/>
  <c r="W128" i="26"/>
  <c r="Z128" i="26"/>
  <c r="Y128" i="26"/>
  <c r="U128" i="26"/>
  <c r="V128" i="26"/>
  <c r="AZ290" i="7"/>
  <c r="BB290" i="7"/>
  <c r="F290" i="39"/>
  <c r="G290" i="39" s="1"/>
  <c r="AY290" i="7"/>
  <c r="AY94" i="7"/>
  <c r="BB94" i="7"/>
  <c r="AZ94" i="7"/>
  <c r="F94" i="39"/>
  <c r="G94" i="39" s="1"/>
  <c r="F162" i="39"/>
  <c r="G162" i="39" s="1"/>
  <c r="AZ162" i="7"/>
  <c r="BB162" i="7"/>
  <c r="AY162" i="7"/>
  <c r="S127" i="26"/>
  <c r="Z127" i="26"/>
  <c r="W127" i="26"/>
  <c r="V127" i="26"/>
  <c r="U127" i="26"/>
  <c r="T127" i="26"/>
  <c r="Y127" i="26"/>
  <c r="U194" i="26"/>
  <c r="T194" i="26"/>
  <c r="Y194" i="26"/>
  <c r="Z194" i="26"/>
  <c r="W194" i="26"/>
  <c r="S194" i="26"/>
  <c r="V194" i="26"/>
  <c r="I195" i="28"/>
  <c r="J195" i="46" s="1"/>
  <c r="J195" i="28"/>
  <c r="M195" i="46" s="1"/>
  <c r="S222" i="26"/>
  <c r="Z222" i="26"/>
  <c r="W222" i="26"/>
  <c r="V222" i="26"/>
  <c r="Y222" i="26"/>
  <c r="U222" i="26"/>
  <c r="T222" i="26"/>
  <c r="T258" i="26"/>
  <c r="S258" i="26"/>
  <c r="Z258" i="26"/>
  <c r="W258" i="26"/>
  <c r="V258" i="26"/>
  <c r="U258" i="26"/>
  <c r="Y258" i="26"/>
  <c r="AZ160" i="7"/>
  <c r="F160" i="39"/>
  <c r="G160" i="39" s="1"/>
  <c r="BB160" i="7"/>
  <c r="AY160" i="7"/>
  <c r="BB198" i="7"/>
  <c r="AZ198" i="7"/>
  <c r="AY198" i="7"/>
  <c r="F198" i="39"/>
  <c r="G198" i="39" s="1"/>
  <c r="AY33" i="7"/>
  <c r="BB33" i="7"/>
  <c r="AZ33" i="7"/>
  <c r="F33" i="39"/>
  <c r="G33" i="39" s="1"/>
  <c r="F285" i="28"/>
  <c r="I285" i="46" s="1"/>
  <c r="G285" i="28"/>
  <c r="L285" i="46" s="1"/>
  <c r="BB150" i="7"/>
  <c r="F150" i="39"/>
  <c r="G150" i="39" s="1"/>
  <c r="AZ150" i="7"/>
  <c r="AY150" i="7"/>
  <c r="G158" i="28"/>
  <c r="L158" i="46" s="1"/>
  <c r="F158" i="28"/>
  <c r="I158" i="46" s="1"/>
  <c r="AY79" i="7"/>
  <c r="BB79" i="7"/>
  <c r="AZ79" i="7"/>
  <c r="F79" i="39"/>
  <c r="G79" i="39" s="1"/>
  <c r="AZ182" i="7"/>
  <c r="AY182" i="7"/>
  <c r="BB182" i="7"/>
  <c r="F182" i="39"/>
  <c r="G182" i="39" s="1"/>
  <c r="AZ121" i="7"/>
  <c r="F121" i="39"/>
  <c r="G121" i="39" s="1"/>
  <c r="AY121" i="7"/>
  <c r="BB121" i="7"/>
  <c r="BB161" i="7"/>
  <c r="AZ161" i="7"/>
  <c r="AY161" i="7"/>
  <c r="F161" i="39"/>
  <c r="G161" i="39" s="1"/>
  <c r="AZ153" i="7"/>
  <c r="BB153" i="7"/>
  <c r="AY153" i="7"/>
  <c r="F153" i="39"/>
  <c r="G153" i="39" s="1"/>
  <c r="AU39" i="7"/>
  <c r="U214" i="26"/>
  <c r="T214" i="26"/>
  <c r="S214" i="26"/>
  <c r="Z214" i="26"/>
  <c r="Y214" i="26"/>
  <c r="W214" i="26"/>
  <c r="V214" i="26"/>
  <c r="AZ45" i="7"/>
  <c r="BB45" i="7"/>
  <c r="F45" i="39"/>
  <c r="G45" i="39" s="1"/>
  <c r="AY45" i="7"/>
  <c r="AZ210" i="7"/>
  <c r="F210" i="39"/>
  <c r="G210" i="39" s="1"/>
  <c r="AY210" i="7"/>
  <c r="BB210" i="7"/>
  <c r="AY188" i="7"/>
  <c r="BB188" i="7"/>
  <c r="F188" i="39"/>
  <c r="G188" i="39" s="1"/>
  <c r="AZ188" i="7"/>
  <c r="AW256" i="7"/>
  <c r="AZ228" i="7"/>
  <c r="F228" i="39"/>
  <c r="G228" i="39" s="1"/>
  <c r="AY228" i="7"/>
  <c r="BB228" i="7"/>
  <c r="G200" i="28"/>
  <c r="L200" i="46" s="1"/>
  <c r="F200" i="28"/>
  <c r="I200" i="46" s="1"/>
  <c r="G83" i="28"/>
  <c r="L83" i="46" s="1"/>
  <c r="F83" i="28"/>
  <c r="I83" i="46" s="1"/>
  <c r="F22" i="39"/>
  <c r="G22" i="39" s="1"/>
  <c r="BB22" i="7"/>
  <c r="AZ22" i="7"/>
  <c r="AY22" i="7"/>
  <c r="F220" i="39"/>
  <c r="G220" i="39" s="1"/>
  <c r="AZ220" i="7"/>
  <c r="AY220" i="7"/>
  <c r="BB220" i="7"/>
  <c r="AW226" i="7"/>
  <c r="BB199" i="7"/>
  <c r="F199" i="39"/>
  <c r="G199" i="39" s="1"/>
  <c r="AZ199" i="7"/>
  <c r="AY199" i="7"/>
  <c r="U23" i="26"/>
  <c r="T23" i="26"/>
  <c r="W23" i="26"/>
  <c r="V23" i="26"/>
  <c r="S23" i="26"/>
  <c r="Z23" i="26"/>
  <c r="Y23" i="26"/>
  <c r="BB135" i="7"/>
  <c r="AZ135" i="7"/>
  <c r="AY135" i="7"/>
  <c r="F135" i="39"/>
  <c r="G135" i="39" s="1"/>
  <c r="AY167" i="7"/>
  <c r="BB167" i="7"/>
  <c r="F167" i="39"/>
  <c r="G167" i="39" s="1"/>
  <c r="AZ167" i="7"/>
  <c r="AY42" i="7"/>
  <c r="BB42" i="7"/>
  <c r="AZ42" i="7"/>
  <c r="F42" i="39"/>
  <c r="G42" i="39" s="1"/>
  <c r="AY227" i="7"/>
  <c r="F227" i="39"/>
  <c r="G227" i="39" s="1"/>
  <c r="AZ227" i="7"/>
  <c r="BB227" i="7"/>
  <c r="F18" i="39"/>
  <c r="G18" i="39" s="1"/>
  <c r="BB18" i="7"/>
  <c r="AZ18" i="7"/>
  <c r="AY18" i="7"/>
  <c r="M155" i="28"/>
  <c r="N155" i="46" s="1"/>
  <c r="L155" i="28"/>
  <c r="K155" i="46" s="1"/>
  <c r="T187" i="26"/>
  <c r="S187" i="26"/>
  <c r="W187" i="26"/>
  <c r="V187" i="26"/>
  <c r="U187" i="26"/>
  <c r="Y187" i="26"/>
  <c r="Z187" i="26"/>
  <c r="AW212" i="7"/>
  <c r="AU212" i="7"/>
  <c r="AX212" i="7"/>
  <c r="AV212" i="7"/>
  <c r="Z280" i="26"/>
  <c r="Y280" i="26"/>
  <c r="W280" i="26"/>
  <c r="V280" i="26"/>
  <c r="U280" i="26"/>
  <c r="T280" i="26"/>
  <c r="S280" i="26"/>
  <c r="BB145" i="7"/>
  <c r="F145" i="39"/>
  <c r="G145" i="39" s="1"/>
  <c r="AZ145" i="7"/>
  <c r="AY145" i="7"/>
  <c r="I221" i="28"/>
  <c r="J221" i="46" s="1"/>
  <c r="J221" i="28"/>
  <c r="M221" i="46" s="1"/>
  <c r="G195" i="28"/>
  <c r="L195" i="46" s="1"/>
  <c r="F195" i="28"/>
  <c r="I195" i="46" s="1"/>
  <c r="V260" i="26"/>
  <c r="U260" i="26"/>
  <c r="T260" i="26"/>
  <c r="S260" i="26"/>
  <c r="Z260" i="26"/>
  <c r="Y260" i="26"/>
  <c r="W260" i="26"/>
  <c r="AU17" i="7"/>
  <c r="AV197" i="7"/>
  <c r="I227" i="45"/>
  <c r="I189" i="45"/>
  <c r="R189" i="26"/>
  <c r="X189" i="26" s="1"/>
  <c r="BB286" i="7"/>
  <c r="AY286" i="7"/>
  <c r="F286" i="39"/>
  <c r="G286" i="39" s="1"/>
  <c r="AZ286" i="7"/>
  <c r="Z175" i="26"/>
  <c r="Y175" i="26"/>
  <c r="V175" i="26"/>
  <c r="U175" i="26"/>
  <c r="S175" i="26"/>
  <c r="W175" i="26"/>
  <c r="T175" i="26"/>
  <c r="F27" i="39"/>
  <c r="G27" i="39" s="1"/>
  <c r="AY27" i="7"/>
  <c r="AZ27" i="7"/>
  <c r="BB27" i="7"/>
  <c r="AX118" i="7"/>
  <c r="AU118" i="7"/>
  <c r="AW118" i="7"/>
  <c r="AV118" i="7"/>
  <c r="G261" i="28"/>
  <c r="L261" i="46" s="1"/>
  <c r="F261" i="28"/>
  <c r="I261" i="46" s="1"/>
  <c r="AW258" i="7"/>
  <c r="AU258" i="7"/>
  <c r="AV258" i="7"/>
  <c r="AX258" i="7"/>
  <c r="AY180" i="7"/>
  <c r="F180" i="39"/>
  <c r="G180" i="39" s="1"/>
  <c r="AZ180" i="7"/>
  <c r="BB180" i="7"/>
  <c r="AZ91" i="7"/>
  <c r="BB91" i="7"/>
  <c r="AY91" i="7"/>
  <c r="F91" i="39"/>
  <c r="G91" i="39" s="1"/>
  <c r="AV172" i="7"/>
  <c r="I8" i="45"/>
  <c r="AY39" i="7"/>
  <c r="BB39" i="7"/>
  <c r="F39" i="39"/>
  <c r="G39" i="39" s="1"/>
  <c r="AZ39" i="7"/>
  <c r="T250" i="26"/>
  <c r="S250" i="26"/>
  <c r="W250" i="26"/>
  <c r="Z250" i="26"/>
  <c r="Y250" i="26"/>
  <c r="V250" i="26"/>
  <c r="U250" i="26"/>
  <c r="BB38" i="7"/>
  <c r="F38" i="39"/>
  <c r="G38" i="39" s="1"/>
  <c r="AY38" i="7"/>
  <c r="AZ38" i="7"/>
  <c r="AY40" i="7"/>
  <c r="AZ40" i="7"/>
  <c r="F40" i="39"/>
  <c r="G40" i="39" s="1"/>
  <c r="BB40" i="7"/>
  <c r="AY101" i="7"/>
  <c r="AZ101" i="7"/>
  <c r="BB101" i="7"/>
  <c r="F101" i="39"/>
  <c r="G101" i="39" s="1"/>
  <c r="BB223" i="7"/>
  <c r="AY223" i="7"/>
  <c r="AZ223" i="7"/>
  <c r="F223" i="39"/>
  <c r="G223" i="39" s="1"/>
  <c r="AZ175" i="7"/>
  <c r="AY175" i="7"/>
  <c r="F175" i="39"/>
  <c r="G175" i="39" s="1"/>
  <c r="BB175" i="7"/>
  <c r="Y36" i="26"/>
  <c r="W36" i="26"/>
  <c r="V36" i="26"/>
  <c r="T36" i="26"/>
  <c r="S36" i="26"/>
  <c r="Z36" i="26"/>
  <c r="U36" i="26"/>
  <c r="AY109" i="7"/>
  <c r="AZ109" i="7"/>
  <c r="F109" i="39"/>
  <c r="G109" i="39" s="1"/>
  <c r="BB109" i="7"/>
  <c r="F236" i="39"/>
  <c r="G236" i="39" s="1"/>
  <c r="BB236" i="7"/>
  <c r="AZ236" i="7"/>
  <c r="AY236" i="7"/>
  <c r="F256" i="39"/>
  <c r="G256" i="39" s="1"/>
  <c r="BB256" i="7"/>
  <c r="AY256" i="7"/>
  <c r="AZ256" i="7"/>
  <c r="AW228" i="7"/>
  <c r="AX228" i="7"/>
  <c r="AU228" i="7"/>
  <c r="AV228" i="7"/>
  <c r="AY260" i="7"/>
  <c r="BB260" i="7"/>
  <c r="F260" i="39"/>
  <c r="G260" i="39" s="1"/>
  <c r="AZ260" i="7"/>
  <c r="I9" i="45"/>
  <c r="R9" i="26"/>
  <c r="X9" i="26" s="1"/>
  <c r="S83" i="26"/>
  <c r="Z83" i="26"/>
  <c r="U83" i="26"/>
  <c r="T83" i="26"/>
  <c r="Y83" i="26"/>
  <c r="W83" i="26"/>
  <c r="V83" i="26"/>
  <c r="BB128" i="7"/>
  <c r="F128" i="39"/>
  <c r="G128" i="39" s="1"/>
  <c r="AY128" i="7"/>
  <c r="AZ128" i="7"/>
  <c r="AX209" i="7"/>
  <c r="AW209" i="7"/>
  <c r="AV209" i="7"/>
  <c r="AU209" i="7"/>
  <c r="AZ15" i="7"/>
  <c r="AY15" i="7"/>
  <c r="BB15" i="7"/>
  <c r="F15" i="39"/>
  <c r="G15" i="39" s="1"/>
  <c r="J155" i="28"/>
  <c r="M155" i="46" s="1"/>
  <c r="I155" i="28"/>
  <c r="J155" i="46" s="1"/>
  <c r="G24" i="28"/>
  <c r="F24" i="28"/>
  <c r="I167" i="45"/>
  <c r="F41" i="39"/>
  <c r="G41" i="39" s="1"/>
  <c r="AY41" i="7"/>
  <c r="BB41" i="7"/>
  <c r="AZ41" i="7"/>
  <c r="AZ30" i="7"/>
  <c r="AY30" i="7"/>
  <c r="F30" i="39"/>
  <c r="G30" i="39" s="1"/>
  <c r="BB30" i="7"/>
  <c r="AY163" i="7"/>
  <c r="BB163" i="7"/>
  <c r="F163" i="39"/>
  <c r="G163" i="39" s="1"/>
  <c r="AZ163" i="7"/>
  <c r="AW131" i="7"/>
  <c r="AV131" i="7"/>
  <c r="AU131" i="7"/>
  <c r="AX131" i="7"/>
  <c r="G198" i="28"/>
  <c r="L198" i="46" s="1"/>
  <c r="F198" i="28"/>
  <c r="I198" i="46" s="1"/>
  <c r="AZ81" i="7"/>
  <c r="AY81" i="7"/>
  <c r="BB81" i="7"/>
  <c r="F81" i="39"/>
  <c r="G81" i="39" s="1"/>
  <c r="I79" i="45"/>
  <c r="R79" i="26"/>
  <c r="X79" i="26" s="1"/>
  <c r="F227" i="28"/>
  <c r="I227" i="46" s="1"/>
  <c r="G227" i="28"/>
  <c r="L227" i="46" s="1"/>
  <c r="AZ17" i="7"/>
  <c r="BB17" i="7"/>
  <c r="F17" i="39"/>
  <c r="G17" i="39" s="1"/>
  <c r="AY17" i="7"/>
  <c r="F44" i="39"/>
  <c r="G44" i="39" s="1"/>
  <c r="AY44" i="7"/>
  <c r="AZ44" i="7"/>
  <c r="BB44" i="7"/>
  <c r="F132" i="39"/>
  <c r="G132" i="39" s="1"/>
  <c r="AY132" i="7"/>
  <c r="BB132" i="7"/>
  <c r="AZ132" i="7"/>
  <c r="AY177" i="7"/>
  <c r="BB177" i="7"/>
  <c r="F177" i="39"/>
  <c r="G177" i="39" s="1"/>
  <c r="AZ177" i="7"/>
  <c r="BB115" i="7"/>
  <c r="AZ115" i="7"/>
  <c r="F115" i="39"/>
  <c r="G115" i="39" s="1"/>
  <c r="AY115" i="7"/>
  <c r="BB197" i="7"/>
  <c r="AZ197" i="7"/>
  <c r="AY197" i="7"/>
  <c r="F197" i="39"/>
  <c r="G197" i="39" s="1"/>
  <c r="J224" i="28"/>
  <c r="M224" i="46" s="1"/>
  <c r="I224" i="28"/>
  <c r="J224" i="46" s="1"/>
  <c r="T275" i="26"/>
  <c r="S275" i="26"/>
  <c r="Z275" i="26"/>
  <c r="Y275" i="26"/>
  <c r="W275" i="26"/>
  <c r="V275" i="26"/>
  <c r="U275" i="26"/>
  <c r="I188" i="45"/>
  <c r="R188" i="26"/>
  <c r="X188" i="26" s="1"/>
  <c r="AV97" i="7"/>
  <c r="W226" i="26"/>
  <c r="V226" i="26"/>
  <c r="S226" i="26"/>
  <c r="Z226" i="26"/>
  <c r="Y226" i="26"/>
  <c r="U226" i="26"/>
  <c r="T226" i="26"/>
  <c r="BB73" i="7"/>
  <c r="F73" i="39"/>
  <c r="G73" i="39" s="1"/>
  <c r="AY73" i="7"/>
  <c r="AZ73" i="7"/>
  <c r="F157" i="39"/>
  <c r="G157" i="39" s="1"/>
  <c r="AZ157" i="7"/>
  <c r="BB157" i="7"/>
  <c r="AY157" i="7"/>
  <c r="AZ118" i="7"/>
  <c r="BB118" i="7"/>
  <c r="AY118" i="7"/>
  <c r="F118" i="39"/>
  <c r="G118" i="39" s="1"/>
  <c r="W285" i="26"/>
  <c r="V285" i="26"/>
  <c r="U285" i="26"/>
  <c r="T285" i="26"/>
  <c r="S285" i="26"/>
  <c r="Z285" i="26"/>
  <c r="Y285" i="26"/>
  <c r="W261" i="26"/>
  <c r="V261" i="26"/>
  <c r="U261" i="26"/>
  <c r="T261" i="26"/>
  <c r="S261" i="26"/>
  <c r="Z261" i="26"/>
  <c r="Y261" i="26"/>
  <c r="I212" i="45"/>
  <c r="R212" i="26"/>
  <c r="X212" i="26" s="1"/>
  <c r="BB258" i="7"/>
  <c r="F258" i="39"/>
  <c r="G258" i="39" s="1"/>
  <c r="AY258" i="7"/>
  <c r="AZ258" i="7"/>
  <c r="T158" i="26"/>
  <c r="W158" i="26"/>
  <c r="V158" i="26"/>
  <c r="U158" i="26"/>
  <c r="S158" i="26"/>
  <c r="Z158" i="26"/>
  <c r="Y158" i="26"/>
  <c r="BB107" i="7"/>
  <c r="AZ107" i="7"/>
  <c r="F107" i="39"/>
  <c r="G107" i="39" s="1"/>
  <c r="AY107" i="7"/>
  <c r="F261" i="39"/>
  <c r="G261" i="39" s="1"/>
  <c r="BB261" i="7"/>
  <c r="AZ261" i="7"/>
  <c r="AY261" i="7"/>
  <c r="AU180" i="7"/>
  <c r="AW180" i="7"/>
  <c r="AV180" i="7"/>
  <c r="AX180" i="7"/>
  <c r="F172" i="39"/>
  <c r="G172" i="39" s="1"/>
  <c r="BB172" i="7"/>
  <c r="AY172" i="7"/>
  <c r="AZ172" i="7"/>
  <c r="V193" i="26"/>
  <c r="U193" i="26"/>
  <c r="Z193" i="26"/>
  <c r="Y193" i="26"/>
  <c r="W193" i="26"/>
  <c r="T193" i="26"/>
  <c r="S193" i="26"/>
  <c r="I184" i="45"/>
  <c r="R184" i="26"/>
  <c r="X184" i="26" s="1"/>
  <c r="AY211" i="7"/>
  <c r="F211" i="39"/>
  <c r="G211" i="39" s="1"/>
  <c r="BB211" i="7"/>
  <c r="AZ211" i="7"/>
  <c r="I39" i="45"/>
  <c r="R39" i="26"/>
  <c r="X39" i="26" s="1"/>
  <c r="F195" i="39"/>
  <c r="G195" i="39" s="1"/>
  <c r="BB195" i="7"/>
  <c r="AZ195" i="7"/>
  <c r="AY195" i="7"/>
  <c r="Z264" i="26"/>
  <c r="Y264" i="26"/>
  <c r="W264" i="26"/>
  <c r="V264" i="26"/>
  <c r="U264" i="26"/>
  <c r="T264" i="26"/>
  <c r="S264" i="26"/>
  <c r="G169" i="28"/>
  <c r="L169" i="46" s="1"/>
  <c r="F169" i="28"/>
  <c r="I169" i="46" s="1"/>
  <c r="I169" i="45"/>
  <c r="F208" i="39"/>
  <c r="G208" i="39" s="1"/>
  <c r="AZ208" i="7"/>
  <c r="AY208" i="7"/>
  <c r="BB208" i="7"/>
  <c r="AU145" i="7"/>
  <c r="AW145" i="7"/>
  <c r="AX145" i="7"/>
  <c r="AV145" i="7"/>
  <c r="T200" i="26"/>
  <c r="S200" i="26"/>
  <c r="Z200" i="26"/>
  <c r="W200" i="26"/>
  <c r="V200" i="26"/>
  <c r="U200" i="26"/>
  <c r="Y200" i="26"/>
  <c r="AY129" i="7"/>
  <c r="F129" i="39"/>
  <c r="G129" i="39" s="1"/>
  <c r="AZ129" i="7"/>
  <c r="BB129" i="7"/>
  <c r="AY209" i="7"/>
  <c r="F209" i="39"/>
  <c r="G209" i="39" s="1"/>
  <c r="BB209" i="7"/>
  <c r="AZ209" i="7"/>
  <c r="AY110" i="7"/>
  <c r="F110" i="39"/>
  <c r="G110" i="39" s="1"/>
  <c r="BB110" i="7"/>
  <c r="AZ110" i="7"/>
  <c r="AZ196" i="7"/>
  <c r="BB196" i="7"/>
  <c r="F196" i="39"/>
  <c r="G196" i="39" s="1"/>
  <c r="AY196" i="7"/>
  <c r="I195" i="45"/>
  <c r="AZ131" i="7"/>
  <c r="F131" i="39"/>
  <c r="G131" i="39" s="1"/>
  <c r="AY131" i="7"/>
  <c r="BB131" i="7"/>
  <c r="BB87" i="7"/>
  <c r="AY87" i="7"/>
  <c r="F87" i="39"/>
  <c r="G87" i="39" s="1"/>
  <c r="AZ87" i="7"/>
  <c r="G131" i="28"/>
  <c r="L131" i="46" s="1"/>
  <c r="F131" i="28"/>
  <c r="I131" i="46" s="1"/>
  <c r="AW81" i="7"/>
  <c r="AX81" i="7"/>
  <c r="AU81" i="7"/>
  <c r="AV81" i="7"/>
  <c r="W117" i="26"/>
  <c r="T117" i="26"/>
  <c r="S117" i="26"/>
  <c r="Z117" i="26"/>
  <c r="Y117" i="26"/>
  <c r="V117" i="26"/>
  <c r="U117" i="26"/>
  <c r="L24" i="28"/>
  <c r="K24" i="46" s="1"/>
  <c r="M24" i="28"/>
  <c r="N24" i="46" s="1"/>
  <c r="M288" i="28"/>
  <c r="N288" i="46" s="1"/>
  <c r="L288" i="28"/>
  <c r="K288" i="46" s="1"/>
  <c r="X58" i="46" l="1"/>
  <c r="F58" i="46"/>
  <c r="AO58" i="46" s="1"/>
  <c r="T178" i="26"/>
  <c r="T4" i="26"/>
  <c r="S4" i="26"/>
  <c r="I51" i="28"/>
  <c r="J51" i="46" s="1"/>
  <c r="I40" i="28"/>
  <c r="J40" i="46" s="1"/>
  <c r="I174" i="28"/>
  <c r="J174" i="46" s="1"/>
  <c r="F120" i="46"/>
  <c r="AR120" i="46" s="1"/>
  <c r="W245" i="87"/>
  <c r="BG165" i="7"/>
  <c r="V6" i="26"/>
  <c r="U6" i="26"/>
  <c r="W6" i="26"/>
  <c r="Y6" i="26"/>
  <c r="Z6" i="26"/>
  <c r="T6" i="26"/>
  <c r="S6" i="26"/>
  <c r="S245" i="87"/>
  <c r="V245" i="87"/>
  <c r="O200" i="46"/>
  <c r="I141" i="28"/>
  <c r="J141" i="46" s="1"/>
  <c r="J68" i="28"/>
  <c r="M68" i="46" s="1"/>
  <c r="Y4" i="26"/>
  <c r="Z4" i="26"/>
  <c r="W58" i="87"/>
  <c r="S58" i="87"/>
  <c r="T58" i="87"/>
  <c r="X245" i="87"/>
  <c r="V58" i="87"/>
  <c r="R58" i="87"/>
  <c r="BE200" i="7"/>
  <c r="J180" i="28"/>
  <c r="M180" i="46" s="1"/>
  <c r="BF200" i="7"/>
  <c r="J201" i="28"/>
  <c r="M201" i="46" s="1"/>
  <c r="E58" i="46"/>
  <c r="AL58" i="46" s="1"/>
  <c r="T245" i="87"/>
  <c r="R245" i="87"/>
  <c r="V18" i="33"/>
  <c r="Y58" i="46"/>
  <c r="I17" i="28"/>
  <c r="J17" i="46" s="1"/>
  <c r="J129" i="28"/>
  <c r="M129" i="46" s="1"/>
  <c r="J204" i="28"/>
  <c r="M204" i="46" s="1"/>
  <c r="J59" i="28"/>
  <c r="M59" i="46" s="1"/>
  <c r="I178" i="28"/>
  <c r="J178" i="46" s="1"/>
  <c r="U259" i="26"/>
  <c r="K200" i="28"/>
  <c r="M200" i="28" s="1"/>
  <c r="N200" i="46" s="1"/>
  <c r="Z287" i="33"/>
  <c r="BA287" i="7" s="1"/>
  <c r="BF165" i="7"/>
  <c r="Z24" i="33"/>
  <c r="F165" i="87"/>
  <c r="U165" i="87" s="1"/>
  <c r="BJ165" i="7"/>
  <c r="BD165" i="7"/>
  <c r="M13" i="45"/>
  <c r="N13" i="45"/>
  <c r="Q13" i="45"/>
  <c r="O13" i="45"/>
  <c r="P13" i="45"/>
  <c r="T13" i="45"/>
  <c r="U13" i="45"/>
  <c r="R13" i="45"/>
  <c r="S13" i="45"/>
  <c r="V289" i="33"/>
  <c r="Z170" i="33"/>
  <c r="BA170" i="7" s="1"/>
  <c r="J194" i="28"/>
  <c r="M194" i="46" s="1"/>
  <c r="V4" i="26"/>
  <c r="BD200" i="7"/>
  <c r="BE165" i="7"/>
  <c r="D4" i="45"/>
  <c r="S4" i="45" s="1"/>
  <c r="S148" i="26"/>
  <c r="D59" i="45"/>
  <c r="U59" i="45" s="1"/>
  <c r="BI200" i="7"/>
  <c r="V22" i="33"/>
  <c r="BC165" i="7"/>
  <c r="H58" i="45"/>
  <c r="C58" i="45" s="1"/>
  <c r="P58" i="45" s="1"/>
  <c r="U4" i="26"/>
  <c r="V221" i="33"/>
  <c r="D165" i="39"/>
  <c r="E165" i="39" s="1"/>
  <c r="H165" i="45" s="1"/>
  <c r="D165" i="45" s="1"/>
  <c r="J70" i="28"/>
  <c r="M70" i="46" s="1"/>
  <c r="I116" i="28"/>
  <c r="J116" i="46" s="1"/>
  <c r="J153" i="28"/>
  <c r="M153" i="46" s="1"/>
  <c r="O165" i="46"/>
  <c r="J114" i="28"/>
  <c r="M114" i="46" s="1"/>
  <c r="J75" i="28"/>
  <c r="M75" i="46" s="1"/>
  <c r="H8" i="45"/>
  <c r="C8" i="45" s="1"/>
  <c r="W4" i="26"/>
  <c r="BI165" i="7"/>
  <c r="Y140" i="26"/>
  <c r="V263" i="33"/>
  <c r="J104" i="28"/>
  <c r="M104" i="46" s="1"/>
  <c r="V216" i="33"/>
  <c r="Z140" i="26"/>
  <c r="V58" i="46"/>
  <c r="D58" i="46"/>
  <c r="AE58" i="46" s="1"/>
  <c r="Z106" i="33"/>
  <c r="BA106" i="7" s="1"/>
  <c r="J26" i="28"/>
  <c r="M26" i="46" s="1"/>
  <c r="Z274" i="33"/>
  <c r="L274" i="7" s="1"/>
  <c r="V53" i="33"/>
  <c r="BF53" i="7" s="1"/>
  <c r="K4" i="28"/>
  <c r="L4" i="28" s="1"/>
  <c r="K4" i="46" s="1"/>
  <c r="J15" i="28"/>
  <c r="M15" i="46" s="1"/>
  <c r="V274" i="33"/>
  <c r="K274" i="7" s="1"/>
  <c r="H274" i="87" s="1"/>
  <c r="U58" i="46"/>
  <c r="T58" i="46"/>
  <c r="V195" i="33"/>
  <c r="S58" i="46"/>
  <c r="I279" i="28"/>
  <c r="J279" i="46" s="1"/>
  <c r="V39" i="33"/>
  <c r="Z263" i="33"/>
  <c r="Z198" i="26"/>
  <c r="V58" i="33"/>
  <c r="I222" i="28"/>
  <c r="J222" i="46" s="1"/>
  <c r="Z29" i="33"/>
  <c r="V135" i="33"/>
  <c r="C230" i="45"/>
  <c r="C120" i="45"/>
  <c r="M120" i="45" s="1"/>
  <c r="Y90" i="26"/>
  <c r="V209" i="33"/>
  <c r="V287" i="33"/>
  <c r="Z237" i="33"/>
  <c r="BA237" i="7" s="1"/>
  <c r="V50" i="33"/>
  <c r="K50" i="7" s="1"/>
  <c r="H50" i="87" s="1"/>
  <c r="V110" i="33"/>
  <c r="J6" i="28"/>
  <c r="M6" i="46" s="1"/>
  <c r="BC200" i="7"/>
  <c r="V178" i="26"/>
  <c r="BG200" i="7"/>
  <c r="V156" i="33"/>
  <c r="I160" i="28"/>
  <c r="J160" i="46" s="1"/>
  <c r="BH200" i="7"/>
  <c r="X178" i="26"/>
  <c r="Y178" i="26"/>
  <c r="BJ200" i="7"/>
  <c r="F200" i="87"/>
  <c r="U200" i="87" s="1"/>
  <c r="J110" i="28"/>
  <c r="M110" i="46" s="1"/>
  <c r="V170" i="33"/>
  <c r="I176" i="28"/>
  <c r="J176" i="46" s="1"/>
  <c r="V87" i="33"/>
  <c r="Z43" i="33"/>
  <c r="BA43" i="7" s="1"/>
  <c r="V33" i="33"/>
  <c r="V6" i="33"/>
  <c r="K6" i="7" s="1"/>
  <c r="O6" i="7" s="1"/>
  <c r="AW6" i="7" s="1"/>
  <c r="Z97" i="33"/>
  <c r="BA97" i="7" s="1"/>
  <c r="Z248" i="33"/>
  <c r="L248" i="7" s="1"/>
  <c r="Z244" i="33"/>
  <c r="V106" i="33"/>
  <c r="V215" i="33"/>
  <c r="Z55" i="33"/>
  <c r="BA55" i="7" s="1"/>
  <c r="Z239" i="33"/>
  <c r="BA239" i="7" s="1"/>
  <c r="Z50" i="33"/>
  <c r="L50" i="7" s="1"/>
  <c r="Z139" i="33"/>
  <c r="V27" i="33"/>
  <c r="BF27" i="7" s="1"/>
  <c r="Z156" i="33"/>
  <c r="BA156" i="7" s="1"/>
  <c r="Z195" i="33"/>
  <c r="BA195" i="7" s="1"/>
  <c r="Z40" i="33"/>
  <c r="BA40" i="7" s="1"/>
  <c r="V30" i="33"/>
  <c r="Z289" i="33"/>
  <c r="S11" i="26"/>
  <c r="V244" i="33"/>
  <c r="Z128" i="33"/>
  <c r="BA128" i="7" s="1"/>
  <c r="Z172" i="33"/>
  <c r="BA172" i="7" s="1"/>
  <c r="Z132" i="33"/>
  <c r="BA132" i="7" s="1"/>
  <c r="X11" i="26"/>
  <c r="V11" i="26"/>
  <c r="T11" i="26"/>
  <c r="J185" i="28"/>
  <c r="M185" i="46" s="1"/>
  <c r="W11" i="26"/>
  <c r="V242" i="33"/>
  <c r="V222" i="33"/>
  <c r="U11" i="26"/>
  <c r="Z110" i="33"/>
  <c r="BA110" i="7" s="1"/>
  <c r="Z226" i="33"/>
  <c r="BA226" i="7" s="1"/>
  <c r="V158" i="33"/>
  <c r="Z175" i="33"/>
  <c r="BA175" i="7" s="1"/>
  <c r="Z39" i="33"/>
  <c r="BA39" i="7" s="1"/>
  <c r="Z238" i="33"/>
  <c r="BA238" i="7" s="1"/>
  <c r="V45" i="33"/>
  <c r="BF45" i="7" s="1"/>
  <c r="V29" i="33"/>
  <c r="V134" i="33"/>
  <c r="Z215" i="33"/>
  <c r="BA215" i="7" s="1"/>
  <c r="W196" i="26"/>
  <c r="Z11" i="26"/>
  <c r="J191" i="28"/>
  <c r="M191" i="46" s="1"/>
  <c r="V192" i="33"/>
  <c r="V143" i="33"/>
  <c r="BF143" i="7" s="1"/>
  <c r="V246" i="33"/>
  <c r="V288" i="33"/>
  <c r="Z126" i="33"/>
  <c r="BA126" i="7" s="1"/>
  <c r="Z9" i="33"/>
  <c r="L9" i="7" s="1"/>
  <c r="Z30" i="33"/>
  <c r="BA30" i="7" s="1"/>
  <c r="X155" i="87"/>
  <c r="S155" i="87"/>
  <c r="T155" i="87"/>
  <c r="R155" i="87"/>
  <c r="U155" i="87"/>
  <c r="W155" i="87"/>
  <c r="V239" i="33"/>
  <c r="V43" i="33"/>
  <c r="Z90" i="26"/>
  <c r="W90" i="26"/>
  <c r="V231" i="33"/>
  <c r="Z185" i="33"/>
  <c r="BA185" i="7" s="1"/>
  <c r="S90" i="26"/>
  <c r="Z42" i="33"/>
  <c r="BA42" i="7" s="1"/>
  <c r="Z81" i="33"/>
  <c r="BA81" i="7" s="1"/>
  <c r="V90" i="26"/>
  <c r="V103" i="33"/>
  <c r="BF103" i="7" s="1"/>
  <c r="Y274" i="26"/>
  <c r="V274" i="26"/>
  <c r="U274" i="26"/>
  <c r="U90" i="26"/>
  <c r="V119" i="33"/>
  <c r="H119" i="87" s="1"/>
  <c r="C119" i="87" s="1"/>
  <c r="Z115" i="33"/>
  <c r="BA115" i="7" s="1"/>
  <c r="V40" i="33"/>
  <c r="Z145" i="33"/>
  <c r="BA145" i="7" s="1"/>
  <c r="V44" i="33"/>
  <c r="V35" i="33"/>
  <c r="V186" i="33"/>
  <c r="V182" i="33"/>
  <c r="Z228" i="33"/>
  <c r="BA228" i="7" s="1"/>
  <c r="T90" i="26"/>
  <c r="V264" i="33"/>
  <c r="K264" i="7" s="1"/>
  <c r="Z35" i="33"/>
  <c r="BA35" i="7" s="1"/>
  <c r="V175" i="33"/>
  <c r="Z179" i="33"/>
  <c r="BA179" i="7" s="1"/>
  <c r="Z140" i="33"/>
  <c r="BA140" i="7" s="1"/>
  <c r="Z221" i="33"/>
  <c r="BA221" i="7" s="1"/>
  <c r="Z8" i="33"/>
  <c r="L8" i="7" s="1"/>
  <c r="P8" i="7" s="1"/>
  <c r="BA8" i="7" s="1"/>
  <c r="V181" i="33"/>
  <c r="V8" i="33"/>
  <c r="K8" i="7" s="1"/>
  <c r="O8" i="7" s="1"/>
  <c r="AV8" i="7" s="1"/>
  <c r="V290" i="33"/>
  <c r="V127" i="33"/>
  <c r="Z246" i="33"/>
  <c r="BA246" i="7" s="1"/>
  <c r="Z171" i="33"/>
  <c r="BA171" i="7" s="1"/>
  <c r="Z120" i="33"/>
  <c r="L120" i="7" s="1"/>
  <c r="V191" i="33"/>
  <c r="V197" i="33"/>
  <c r="Z70" i="33"/>
  <c r="BA70" i="7" s="1"/>
  <c r="Z123" i="33"/>
  <c r="BA123" i="7" s="1"/>
  <c r="Z214" i="33"/>
  <c r="BA214" i="7" s="1"/>
  <c r="V228" i="33"/>
  <c r="V213" i="33"/>
  <c r="Z261" i="33"/>
  <c r="BA261" i="7" s="1"/>
  <c r="V245" i="33"/>
  <c r="Z259" i="33"/>
  <c r="L259" i="7" s="1"/>
  <c r="Z231" i="33"/>
  <c r="BA231" i="7" s="1"/>
  <c r="V178" i="33"/>
  <c r="V132" i="33"/>
  <c r="V20" i="33"/>
  <c r="Z134" i="33"/>
  <c r="V66" i="33"/>
  <c r="BF66" i="7" s="1"/>
  <c r="V109" i="33"/>
  <c r="BF109" i="7" s="1"/>
  <c r="Z173" i="33"/>
  <c r="BA173" i="7" s="1"/>
  <c r="V123" i="33"/>
  <c r="Z184" i="33"/>
  <c r="BA184" i="7" s="1"/>
  <c r="V214" i="33"/>
  <c r="V115" i="33"/>
  <c r="Z41" i="33"/>
  <c r="BA41" i="7" s="1"/>
  <c r="V259" i="33"/>
  <c r="K259" i="7" s="1"/>
  <c r="Z96" i="33"/>
  <c r="BA96" i="7" s="1"/>
  <c r="V111" i="33"/>
  <c r="Z58" i="33"/>
  <c r="Z164" i="33"/>
  <c r="BA164" i="7" s="1"/>
  <c r="V90" i="33"/>
  <c r="H90" i="87" s="1"/>
  <c r="C90" i="87" s="1"/>
  <c r="Z222" i="33"/>
  <c r="BA222" i="7" s="1"/>
  <c r="Z112" i="33"/>
  <c r="BA112" i="7" s="1"/>
  <c r="Z83" i="33"/>
  <c r="BA83" i="7" s="1"/>
  <c r="V199" i="33"/>
  <c r="V223" i="33"/>
  <c r="Z93" i="33"/>
  <c r="Z208" i="33"/>
  <c r="BA208" i="7" s="1"/>
  <c r="V262" i="33"/>
  <c r="K262" i="7" s="1"/>
  <c r="V172" i="33"/>
  <c r="S178" i="26"/>
  <c r="V184" i="33"/>
  <c r="Z117" i="33"/>
  <c r="BA117" i="7" s="1"/>
  <c r="V149" i="33"/>
  <c r="V93" i="33"/>
  <c r="J148" i="28"/>
  <c r="M148" i="46" s="1"/>
  <c r="Z99" i="33"/>
  <c r="BA99" i="7" s="1"/>
  <c r="Z91" i="33"/>
  <c r="BA91" i="7" s="1"/>
  <c r="V153" i="33"/>
  <c r="Z113" i="33"/>
  <c r="BA113" i="7" s="1"/>
  <c r="Z82" i="33"/>
  <c r="BA82" i="7" s="1"/>
  <c r="Z107" i="33"/>
  <c r="BA107" i="7" s="1"/>
  <c r="T274" i="26"/>
  <c r="V224" i="26"/>
  <c r="S224" i="26"/>
  <c r="Z274" i="26"/>
  <c r="Z224" i="26"/>
  <c r="Z127" i="33"/>
  <c r="BA127" i="7" s="1"/>
  <c r="Z286" i="33"/>
  <c r="BA286" i="7" s="1"/>
  <c r="V236" i="33"/>
  <c r="Z157" i="33"/>
  <c r="BA157" i="7" s="1"/>
  <c r="Z188" i="33"/>
  <c r="BA188" i="7" s="1"/>
  <c r="Z283" i="33"/>
  <c r="BA283" i="7" s="1"/>
  <c r="T224" i="26"/>
  <c r="Z122" i="33"/>
  <c r="BA122" i="7" s="1"/>
  <c r="V238" i="33"/>
  <c r="U224" i="26"/>
  <c r="I156" i="28"/>
  <c r="J156" i="46" s="1"/>
  <c r="Z260" i="33"/>
  <c r="BA260" i="7" s="1"/>
  <c r="Z256" i="33"/>
  <c r="BA256" i="7" s="1"/>
  <c r="Y224" i="26"/>
  <c r="V212" i="33"/>
  <c r="V161" i="33"/>
  <c r="Z277" i="33"/>
  <c r="BA277" i="7" s="1"/>
  <c r="Z44" i="33"/>
  <c r="BA44" i="7" s="1"/>
  <c r="V188" i="33"/>
  <c r="V185" i="33"/>
  <c r="V256" i="33"/>
  <c r="Z213" i="33"/>
  <c r="BA213" i="7" s="1"/>
  <c r="V210" i="33"/>
  <c r="V155" i="33"/>
  <c r="V196" i="33"/>
  <c r="Z243" i="33"/>
  <c r="BA243" i="7" s="1"/>
  <c r="V284" i="33"/>
  <c r="Z258" i="33"/>
  <c r="BA258" i="7" s="1"/>
  <c r="V280" i="33"/>
  <c r="W224" i="26"/>
  <c r="V124" i="33"/>
  <c r="Z196" i="33"/>
  <c r="BA196" i="7" s="1"/>
  <c r="Z129" i="33"/>
  <c r="BA129" i="7" s="1"/>
  <c r="V131" i="33"/>
  <c r="Z227" i="33"/>
  <c r="BA227" i="7" s="1"/>
  <c r="Z38" i="33"/>
  <c r="BA38" i="7" s="1"/>
  <c r="V126" i="33"/>
  <c r="W259" i="26"/>
  <c r="Z279" i="33"/>
  <c r="V91" i="33"/>
  <c r="BF91" i="7" s="1"/>
  <c r="Z209" i="33"/>
  <c r="BA209" i="7" s="1"/>
  <c r="V120" i="33"/>
  <c r="K120" i="7" s="1"/>
  <c r="Y259" i="26"/>
  <c r="Z100" i="33"/>
  <c r="BA100" i="7" s="1"/>
  <c r="Z245" i="33"/>
  <c r="BA245" i="7" s="1"/>
  <c r="Z235" i="33"/>
  <c r="BA235" i="7" s="1"/>
  <c r="Z216" i="33"/>
  <c r="BA216" i="7" s="1"/>
  <c r="V9" i="33"/>
  <c r="K9" i="7" s="1"/>
  <c r="V42" i="33"/>
  <c r="Z158" i="33"/>
  <c r="BA158" i="7" s="1"/>
  <c r="Z259" i="26"/>
  <c r="V232" i="33"/>
  <c r="Z290" i="33"/>
  <c r="BA290" i="7" s="1"/>
  <c r="Z34" i="33"/>
  <c r="L34" i="7" s="1"/>
  <c r="P34" i="7" s="1"/>
  <c r="V31" i="33"/>
  <c r="Z236" i="33"/>
  <c r="BA236" i="7" s="1"/>
  <c r="V68" i="33"/>
  <c r="V71" i="33"/>
  <c r="BF71" i="7" s="1"/>
  <c r="V243" i="33"/>
  <c r="Z264" i="33"/>
  <c r="L264" i="7" s="1"/>
  <c r="V187" i="33"/>
  <c r="H187" i="87" s="1"/>
  <c r="C187" i="87" s="1"/>
  <c r="V47" i="33"/>
  <c r="Z233" i="33"/>
  <c r="BA233" i="7" s="1"/>
  <c r="V113" i="33"/>
  <c r="V167" i="33"/>
  <c r="V174" i="33"/>
  <c r="Z217" i="33"/>
  <c r="BA217" i="7" s="1"/>
  <c r="Z72" i="33"/>
  <c r="V278" i="33"/>
  <c r="K278" i="7" s="1"/>
  <c r="Z105" i="33"/>
  <c r="BA105" i="7" s="1"/>
  <c r="V152" i="33"/>
  <c r="Z53" i="33"/>
  <c r="BA53" i="7" s="1"/>
  <c r="Z223" i="33"/>
  <c r="BA223" i="7" s="1"/>
  <c r="Z182" i="33"/>
  <c r="BA182" i="7" s="1"/>
  <c r="I105" i="28"/>
  <c r="J105" i="46" s="1"/>
  <c r="Z211" i="33"/>
  <c r="BA211" i="7" s="1"/>
  <c r="V136" i="33"/>
  <c r="BF136" i="7" s="1"/>
  <c r="Z135" i="33"/>
  <c r="BA135" i="7" s="1"/>
  <c r="Z181" i="33"/>
  <c r="BA181" i="7" s="1"/>
  <c r="V128" i="33"/>
  <c r="BF128" i="7" s="1"/>
  <c r="Z212" i="33"/>
  <c r="BA212" i="7" s="1"/>
  <c r="Z151" i="33"/>
  <c r="BA151" i="7" s="1"/>
  <c r="Z168" i="33"/>
  <c r="BA168" i="7" s="1"/>
  <c r="W140" i="26"/>
  <c r="Z94" i="33"/>
  <c r="BA94" i="7" s="1"/>
  <c r="Z194" i="33"/>
  <c r="BA194" i="7" s="1"/>
  <c r="V81" i="33"/>
  <c r="V82" i="33"/>
  <c r="BF82" i="7" s="1"/>
  <c r="V173" i="33"/>
  <c r="V159" i="33"/>
  <c r="Z64" i="33"/>
  <c r="BA64" i="7" s="1"/>
  <c r="V233" i="33"/>
  <c r="Z15" i="33"/>
  <c r="BA15" i="7" s="1"/>
  <c r="Z180" i="33"/>
  <c r="BA180" i="7" s="1"/>
  <c r="V164" i="33"/>
  <c r="V73" i="33"/>
  <c r="BF73" i="7" s="1"/>
  <c r="V248" i="33"/>
  <c r="K248" i="7" s="1"/>
  <c r="Z131" i="33"/>
  <c r="BA131" i="7" s="1"/>
  <c r="V99" i="33"/>
  <c r="V84" i="33"/>
  <c r="Z84" i="33"/>
  <c r="BA84" i="7" s="1"/>
  <c r="V129" i="33"/>
  <c r="Z176" i="33"/>
  <c r="Z150" i="33"/>
  <c r="BA150" i="7" s="1"/>
  <c r="Z73" i="33"/>
  <c r="BA73" i="7" s="1"/>
  <c r="J181" i="28"/>
  <c r="M181" i="46" s="1"/>
  <c r="J161" i="28"/>
  <c r="M161" i="46" s="1"/>
  <c r="I235" i="28"/>
  <c r="J235" i="46" s="1"/>
  <c r="Z232" i="33"/>
  <c r="BA232" i="7" s="1"/>
  <c r="V202" i="33"/>
  <c r="V61" i="33"/>
  <c r="BF61" i="7" s="1"/>
  <c r="V139" i="33"/>
  <c r="BF139" i="7" s="1"/>
  <c r="Z26" i="33"/>
  <c r="BA26" i="7" s="1"/>
  <c r="Z87" i="33"/>
  <c r="BA87" i="7" s="1"/>
  <c r="V69" i="33"/>
  <c r="V55" i="33"/>
  <c r="BF55" i="7" s="1"/>
  <c r="V59" i="33"/>
  <c r="BF59" i="7" s="1"/>
  <c r="Z200" i="33"/>
  <c r="BA200" i="7" s="1"/>
  <c r="V70" i="33"/>
  <c r="BF70" i="7" s="1"/>
  <c r="V114" i="33"/>
  <c r="Z288" i="33"/>
  <c r="V38" i="33"/>
  <c r="V219" i="33"/>
  <c r="Z31" i="33"/>
  <c r="BA31" i="7" s="1"/>
  <c r="V150" i="33"/>
  <c r="V163" i="33"/>
  <c r="V133" i="33"/>
  <c r="H133" i="87" s="1"/>
  <c r="C133" i="87" s="1"/>
  <c r="V116" i="33"/>
  <c r="Z271" i="33"/>
  <c r="BA271" i="7" s="1"/>
  <c r="V205" i="33"/>
  <c r="Z190" i="33"/>
  <c r="BA190" i="7" s="1"/>
  <c r="Z4" i="33"/>
  <c r="L4" i="7" s="1"/>
  <c r="P4" i="7" s="1"/>
  <c r="BB4" i="7" s="1"/>
  <c r="V4" i="33"/>
  <c r="K4" i="7" s="1"/>
  <c r="O4" i="7" s="1"/>
  <c r="Z69" i="33"/>
  <c r="BA69" i="7" s="1"/>
  <c r="V145" i="33"/>
  <c r="V101" i="33"/>
  <c r="BF101" i="7" s="1"/>
  <c r="Z262" i="33"/>
  <c r="L262" i="7" s="1"/>
  <c r="Z191" i="33"/>
  <c r="V257" i="33"/>
  <c r="V88" i="33"/>
  <c r="Z218" i="33"/>
  <c r="BA218" i="7" s="1"/>
  <c r="Z177" i="33"/>
  <c r="BA177" i="7" s="1"/>
  <c r="V227" i="33"/>
  <c r="Z163" i="33"/>
  <c r="BA163" i="7" s="1"/>
  <c r="V94" i="33"/>
  <c r="Z142" i="33"/>
  <c r="BA142" i="7" s="1"/>
  <c r="V121" i="33"/>
  <c r="Z199" i="33"/>
  <c r="BA199" i="7" s="1"/>
  <c r="V249" i="33"/>
  <c r="V98" i="33"/>
  <c r="V112" i="33"/>
  <c r="Z272" i="33"/>
  <c r="BA272" i="7" s="1"/>
  <c r="V57" i="33"/>
  <c r="V140" i="33"/>
  <c r="V65" i="33"/>
  <c r="V270" i="33"/>
  <c r="V151" i="33"/>
  <c r="V189" i="33"/>
  <c r="Z101" i="33"/>
  <c r="BA101" i="7" s="1"/>
  <c r="V277" i="33"/>
  <c r="Z192" i="33"/>
  <c r="BA192" i="7" s="1"/>
  <c r="V273" i="33"/>
  <c r="K273" i="7" s="1"/>
  <c r="V241" i="33"/>
  <c r="V177" i="33"/>
  <c r="Z149" i="33"/>
  <c r="BA149" i="7" s="1"/>
  <c r="V95" i="33"/>
  <c r="Z204" i="33"/>
  <c r="BA204" i="7" s="1"/>
  <c r="V26" i="33"/>
  <c r="Z65" i="33"/>
  <c r="Z45" i="33"/>
  <c r="BA45" i="7" s="1"/>
  <c r="Z201" i="33"/>
  <c r="BA201" i="7" s="1"/>
  <c r="Z147" i="33"/>
  <c r="BA147" i="7" s="1"/>
  <c r="V80" i="33"/>
  <c r="V258" i="33"/>
  <c r="Z152" i="33"/>
  <c r="BA152" i="7" s="1"/>
  <c r="V275" i="33"/>
  <c r="Z280" i="33"/>
  <c r="BA280" i="7" s="1"/>
  <c r="V117" i="33"/>
  <c r="V72" i="33"/>
  <c r="BF72" i="7" s="1"/>
  <c r="V211" i="33"/>
  <c r="V37" i="33"/>
  <c r="K37" i="7" s="1"/>
  <c r="Z133" i="33"/>
  <c r="V102" i="33"/>
  <c r="Z155" i="33"/>
  <c r="Z17" i="33"/>
  <c r="BA17" i="7" s="1"/>
  <c r="V235" i="33"/>
  <c r="Z103" i="33"/>
  <c r="BA103" i="7" s="1"/>
  <c r="V282" i="33"/>
  <c r="Z68" i="33"/>
  <c r="BA68" i="7" s="1"/>
  <c r="V169" i="33"/>
  <c r="Z66" i="33"/>
  <c r="BA66" i="7" s="1"/>
  <c r="Z59" i="33"/>
  <c r="V271" i="33"/>
  <c r="V105" i="33"/>
  <c r="V204" i="33"/>
  <c r="V180" i="33"/>
  <c r="Z282" i="33"/>
  <c r="BA282" i="7" s="1"/>
  <c r="Z225" i="33"/>
  <c r="BA225" i="7" s="1"/>
  <c r="V217" i="33"/>
  <c r="V225" i="33"/>
  <c r="V224" i="33"/>
  <c r="V41" i="33"/>
  <c r="BF41" i="7" s="1"/>
  <c r="V122" i="33"/>
  <c r="Z143" i="33"/>
  <c r="BA143" i="7" s="1"/>
  <c r="Z109" i="33"/>
  <c r="BA109" i="7" s="1"/>
  <c r="Z285" i="33"/>
  <c r="BA285" i="7" s="1"/>
  <c r="Z61" i="33"/>
  <c r="BA61" i="7" s="1"/>
  <c r="V96" i="33"/>
  <c r="Z178" i="33"/>
  <c r="BA178" i="7" s="1"/>
  <c r="Z284" i="33"/>
  <c r="BA284" i="7" s="1"/>
  <c r="V160" i="33"/>
  <c r="V286" i="33"/>
  <c r="Z169" i="33"/>
  <c r="V261" i="33"/>
  <c r="V141" i="33"/>
  <c r="V64" i="33"/>
  <c r="BF64" i="7" s="1"/>
  <c r="V237" i="33"/>
  <c r="V15" i="33"/>
  <c r="Z189" i="33"/>
  <c r="BA189" i="7" s="1"/>
  <c r="V220" i="33"/>
  <c r="V17" i="33"/>
  <c r="Z278" i="33"/>
  <c r="Z6" i="33"/>
  <c r="L6" i="7" s="1"/>
  <c r="P6" i="7" s="1"/>
  <c r="BA6" i="7" s="1"/>
  <c r="Z174" i="33"/>
  <c r="BA174" i="7" s="1"/>
  <c r="V226" i="33"/>
  <c r="C72" i="45"/>
  <c r="P72" i="45" s="1"/>
  <c r="I32" i="28"/>
  <c r="J32" i="46" s="1"/>
  <c r="I23" i="28"/>
  <c r="J23" i="46" s="1"/>
  <c r="I202" i="28"/>
  <c r="J202" i="46" s="1"/>
  <c r="I173" i="28"/>
  <c r="J173" i="46" s="1"/>
  <c r="U147" i="26"/>
  <c r="Z115" i="26"/>
  <c r="S147" i="26"/>
  <c r="V147" i="26"/>
  <c r="T147" i="26"/>
  <c r="S42" i="26"/>
  <c r="W147" i="26"/>
  <c r="Z147" i="26"/>
  <c r="Y42" i="26"/>
  <c r="H90" i="45"/>
  <c r="C90" i="45" s="1"/>
  <c r="X148" i="26"/>
  <c r="S154" i="26"/>
  <c r="Z148" i="26"/>
  <c r="W154" i="26"/>
  <c r="V140" i="26"/>
  <c r="Z154" i="26"/>
  <c r="S140" i="26"/>
  <c r="V148" i="26"/>
  <c r="T198" i="26"/>
  <c r="T154" i="26"/>
  <c r="Y154" i="26"/>
  <c r="W198" i="26"/>
  <c r="U154" i="26"/>
  <c r="U198" i="26"/>
  <c r="V259" i="26"/>
  <c r="V154" i="26"/>
  <c r="T148" i="26"/>
  <c r="S259" i="26"/>
  <c r="U140" i="26"/>
  <c r="Z178" i="26"/>
  <c r="W148" i="26"/>
  <c r="T259" i="26"/>
  <c r="V235" i="26"/>
  <c r="T140" i="26"/>
  <c r="W178" i="26"/>
  <c r="I67" i="28"/>
  <c r="J193" i="28"/>
  <c r="M193" i="46" s="1"/>
  <c r="D120" i="46"/>
  <c r="AA120" i="46" s="1"/>
  <c r="W157" i="26"/>
  <c r="S274" i="26"/>
  <c r="V42" i="26"/>
  <c r="Y157" i="26"/>
  <c r="U42" i="26"/>
  <c r="W274" i="26"/>
  <c r="W42" i="26"/>
  <c r="V168" i="33"/>
  <c r="V162" i="33"/>
  <c r="V206" i="33"/>
  <c r="Z18" i="33"/>
  <c r="BA18" i="7" s="1"/>
  <c r="V67" i="33"/>
  <c r="BF67" i="7" s="1"/>
  <c r="Z187" i="33"/>
  <c r="Z71" i="33"/>
  <c r="BA71" i="7" s="1"/>
  <c r="Z275" i="33"/>
  <c r="BA275" i="7" s="1"/>
  <c r="V193" i="33"/>
  <c r="Z167" i="33"/>
  <c r="BA167" i="7" s="1"/>
  <c r="V36" i="33"/>
  <c r="K36" i="7" s="1"/>
  <c r="V79" i="33"/>
  <c r="V100" i="33"/>
  <c r="V54" i="33"/>
  <c r="Z276" i="33"/>
  <c r="BA276" i="7" s="1"/>
  <c r="V208" i="33"/>
  <c r="Z63" i="33"/>
  <c r="V89" i="33"/>
  <c r="BF89" i="7" s="1"/>
  <c r="V118" i="33"/>
  <c r="V255" i="33"/>
  <c r="K255" i="7" s="1"/>
  <c r="H255" i="87" s="1"/>
  <c r="Z141" i="33"/>
  <c r="Z160" i="33"/>
  <c r="BA160" i="7" s="1"/>
  <c r="Z89" i="33"/>
  <c r="BA89" i="7" s="1"/>
  <c r="V276" i="33"/>
  <c r="Z273" i="33"/>
  <c r="L273" i="7" s="1"/>
  <c r="Z79" i="33"/>
  <c r="BA79" i="7" s="1"/>
  <c r="Z57" i="33"/>
  <c r="BA57" i="7" s="1"/>
  <c r="V283" i="33"/>
  <c r="V218" i="33"/>
  <c r="Z90" i="33"/>
  <c r="Z92" i="33"/>
  <c r="Z22" i="33"/>
  <c r="BA22" i="7" s="1"/>
  <c r="Z114" i="33"/>
  <c r="BA114" i="7" s="1"/>
  <c r="Z124" i="33"/>
  <c r="BA124" i="7" s="1"/>
  <c r="Z153" i="33"/>
  <c r="BA153" i="7" s="1"/>
  <c r="Z32" i="33"/>
  <c r="BA32" i="7" s="1"/>
  <c r="Z95" i="33"/>
  <c r="BA95" i="7" s="1"/>
  <c r="Z76" i="33"/>
  <c r="V194" i="33"/>
  <c r="V183" i="33"/>
  <c r="V83" i="33"/>
  <c r="BF83" i="7" s="1"/>
  <c r="Z270" i="33"/>
  <c r="BA270" i="7" s="1"/>
  <c r="Z108" i="33"/>
  <c r="BA108" i="7" s="1"/>
  <c r="V74" i="33"/>
  <c r="BF74" i="7" s="1"/>
  <c r="C155" i="45"/>
  <c r="P155" i="45" s="1"/>
  <c r="V179" i="33"/>
  <c r="V260" i="33"/>
  <c r="V148" i="33"/>
  <c r="Z198" i="33"/>
  <c r="BA198" i="7" s="1"/>
  <c r="Z206" i="33"/>
  <c r="BA206" i="7" s="1"/>
  <c r="V144" i="33"/>
  <c r="Z37" i="33"/>
  <c r="V32" i="33"/>
  <c r="BF32" i="7" s="1"/>
  <c r="V147" i="33"/>
  <c r="V171" i="33"/>
  <c r="Z33" i="33"/>
  <c r="BA33" i="7" s="1"/>
  <c r="Z27" i="33"/>
  <c r="BA27" i="7" s="1"/>
  <c r="Z67" i="33"/>
  <c r="BA67" i="7" s="1"/>
  <c r="V107" i="33"/>
  <c r="Z257" i="33"/>
  <c r="BA257" i="7" s="1"/>
  <c r="V285" i="33"/>
  <c r="Z116" i="33"/>
  <c r="BA116" i="7" s="1"/>
  <c r="Z88" i="33"/>
  <c r="V142" i="33"/>
  <c r="V76" i="33"/>
  <c r="Z162" i="33"/>
  <c r="BA162" i="7" s="1"/>
  <c r="V157" i="33"/>
  <c r="Z80" i="33"/>
  <c r="V165" i="33"/>
  <c r="Z220" i="33"/>
  <c r="BA220" i="7" s="1"/>
  <c r="Z159" i="33"/>
  <c r="BA159" i="7" s="1"/>
  <c r="Z136" i="33"/>
  <c r="Z202" i="33"/>
  <c r="BA202" i="7" s="1"/>
  <c r="Z144" i="33"/>
  <c r="BA144" i="7" s="1"/>
  <c r="Z255" i="33"/>
  <c r="L255" i="7" s="1"/>
  <c r="V86" i="33"/>
  <c r="Z111" i="33"/>
  <c r="BA111" i="7" s="1"/>
  <c r="Z161" i="33"/>
  <c r="BA161" i="7" s="1"/>
  <c r="V176" i="33"/>
  <c r="V97" i="33"/>
  <c r="Z197" i="33"/>
  <c r="BA197" i="7" s="1"/>
  <c r="Z249" i="33"/>
  <c r="BA249" i="7" s="1"/>
  <c r="Z47" i="33"/>
  <c r="BA47" i="7" s="1"/>
  <c r="V200" i="33"/>
  <c r="Z224" i="33"/>
  <c r="BA224" i="7" s="1"/>
  <c r="V272" i="33"/>
  <c r="Z121" i="33"/>
  <c r="BA121" i="7" s="1"/>
  <c r="Z205" i="33"/>
  <c r="BA205" i="7" s="1"/>
  <c r="Z119" i="33"/>
  <c r="BA119" i="7" s="1"/>
  <c r="V198" i="33"/>
  <c r="Z118" i="33"/>
  <c r="BA118" i="7" s="1"/>
  <c r="V125" i="33"/>
  <c r="Z86" i="33"/>
  <c r="BA86" i="7" s="1"/>
  <c r="V166" i="33"/>
  <c r="Y148" i="26"/>
  <c r="C41" i="87"/>
  <c r="R41" i="87"/>
  <c r="I237" i="28"/>
  <c r="J237" i="46" s="1"/>
  <c r="X241" i="87"/>
  <c r="V241" i="87"/>
  <c r="U241" i="87"/>
  <c r="W241" i="87"/>
  <c r="T241" i="87"/>
  <c r="S241" i="87"/>
  <c r="R241" i="87"/>
  <c r="V190" i="33"/>
  <c r="V60" i="33"/>
  <c r="BF60" i="7" s="1"/>
  <c r="Z186" i="33"/>
  <c r="Z166" i="33"/>
  <c r="V75" i="33"/>
  <c r="BF75" i="7" s="1"/>
  <c r="X186" i="87"/>
  <c r="V186" i="87"/>
  <c r="U186" i="87"/>
  <c r="S186" i="87"/>
  <c r="R186" i="87"/>
  <c r="W186" i="87"/>
  <c r="T186" i="87"/>
  <c r="I252" i="28"/>
  <c r="J252" i="46" s="1"/>
  <c r="X47" i="87"/>
  <c r="W47" i="87"/>
  <c r="V47" i="87"/>
  <c r="U47" i="87"/>
  <c r="T47" i="87"/>
  <c r="S47" i="87"/>
  <c r="R47" i="87"/>
  <c r="C108" i="87"/>
  <c r="R108" i="87"/>
  <c r="X88" i="87"/>
  <c r="R88" i="87"/>
  <c r="V88" i="87"/>
  <c r="U88" i="87"/>
  <c r="W88" i="87"/>
  <c r="S88" i="87"/>
  <c r="T88" i="87"/>
  <c r="C101" i="87"/>
  <c r="R101" i="87"/>
  <c r="C89" i="87"/>
  <c r="R89" i="87"/>
  <c r="Z5" i="33"/>
  <c r="L5" i="7" s="1"/>
  <c r="P5" i="7" s="1"/>
  <c r="Z165" i="33"/>
  <c r="Z219" i="33"/>
  <c r="V198" i="26"/>
  <c r="C64" i="87"/>
  <c r="R64" i="87"/>
  <c r="X193" i="87"/>
  <c r="V193" i="87"/>
  <c r="U193" i="87"/>
  <c r="S193" i="87"/>
  <c r="R193" i="87"/>
  <c r="W193" i="87"/>
  <c r="T193" i="87"/>
  <c r="C60" i="87"/>
  <c r="R60" i="87"/>
  <c r="X125" i="87"/>
  <c r="V125" i="87"/>
  <c r="U125" i="87"/>
  <c r="W125" i="87"/>
  <c r="S125" i="87"/>
  <c r="R125" i="87"/>
  <c r="T125" i="87"/>
  <c r="Z19" i="33"/>
  <c r="Y198" i="26"/>
  <c r="X203" i="87"/>
  <c r="V203" i="87"/>
  <c r="U203" i="87"/>
  <c r="S203" i="87"/>
  <c r="R203" i="87"/>
  <c r="W203" i="87"/>
  <c r="T203" i="87"/>
  <c r="C61" i="87"/>
  <c r="R61" i="87"/>
  <c r="T48" i="87"/>
  <c r="R48" i="87"/>
  <c r="X48" i="87"/>
  <c r="V48" i="87"/>
  <c r="U48" i="87"/>
  <c r="S48" i="87"/>
  <c r="W48" i="87"/>
  <c r="C63" i="87"/>
  <c r="R63" i="87"/>
  <c r="C139" i="87"/>
  <c r="R139" i="87"/>
  <c r="Y231" i="26"/>
  <c r="V231" i="26"/>
  <c r="U231" i="26"/>
  <c r="V51" i="33"/>
  <c r="V85" i="33"/>
  <c r="Z85" i="33"/>
  <c r="BA85" i="7" s="1"/>
  <c r="Z125" i="33"/>
  <c r="BA125" i="7" s="1"/>
  <c r="Z130" i="33"/>
  <c r="Z241" i="33"/>
  <c r="X51" i="87"/>
  <c r="T51" i="87"/>
  <c r="S51" i="87"/>
  <c r="R51" i="87"/>
  <c r="W51" i="87"/>
  <c r="V51" i="87"/>
  <c r="U51" i="87"/>
  <c r="X148" i="87"/>
  <c r="V148" i="87"/>
  <c r="U148" i="87"/>
  <c r="W148" i="87"/>
  <c r="T148" i="87"/>
  <c r="S148" i="87"/>
  <c r="R148" i="87"/>
  <c r="V34" i="33"/>
  <c r="V250" i="33"/>
  <c r="I87" i="28"/>
  <c r="J87" i="46" s="1"/>
  <c r="T19" i="87"/>
  <c r="R19" i="87"/>
  <c r="X19" i="87"/>
  <c r="W19" i="87"/>
  <c r="V19" i="87"/>
  <c r="S19" i="87"/>
  <c r="U19" i="87"/>
  <c r="C83" i="87"/>
  <c r="R83" i="87"/>
  <c r="T57" i="87"/>
  <c r="R57" i="87"/>
  <c r="X57" i="87"/>
  <c r="W57" i="87"/>
  <c r="V57" i="87"/>
  <c r="S57" i="87"/>
  <c r="U57" i="87"/>
  <c r="C66" i="87"/>
  <c r="R66" i="87"/>
  <c r="X20" i="87"/>
  <c r="T20" i="87"/>
  <c r="S20" i="87"/>
  <c r="R20" i="87"/>
  <c r="U20" i="87"/>
  <c r="W20" i="87"/>
  <c r="V20" i="87"/>
  <c r="X11" i="87"/>
  <c r="R11" i="87"/>
  <c r="V11" i="87"/>
  <c r="W11" i="87"/>
  <c r="U11" i="87"/>
  <c r="T11" i="87"/>
  <c r="S11" i="87"/>
  <c r="X119" i="87"/>
  <c r="V119" i="87"/>
  <c r="U119" i="87"/>
  <c r="W119" i="87"/>
  <c r="T119" i="87"/>
  <c r="R119" i="87"/>
  <c r="S119" i="87"/>
  <c r="Z28" i="33"/>
  <c r="BA28" i="7" s="1"/>
  <c r="V201" i="33"/>
  <c r="V19" i="33"/>
  <c r="Z104" i="33"/>
  <c r="BA104" i="7" s="1"/>
  <c r="X92" i="87"/>
  <c r="W92" i="87"/>
  <c r="V92" i="87"/>
  <c r="S92" i="87"/>
  <c r="U92" i="87"/>
  <c r="R92" i="87"/>
  <c r="T92" i="87"/>
  <c r="U169" i="87"/>
  <c r="V169" i="87"/>
  <c r="T169" i="87"/>
  <c r="X169" i="87"/>
  <c r="W169" i="87"/>
  <c r="S169" i="87"/>
  <c r="R169" i="87"/>
  <c r="C55" i="87"/>
  <c r="R55" i="87"/>
  <c r="X76" i="87"/>
  <c r="V76" i="87"/>
  <c r="W76" i="87"/>
  <c r="U76" i="87"/>
  <c r="R76" i="87"/>
  <c r="T76" i="87"/>
  <c r="S76" i="87"/>
  <c r="X166" i="87"/>
  <c r="V166" i="87"/>
  <c r="U166" i="87"/>
  <c r="W166" i="87"/>
  <c r="T166" i="87"/>
  <c r="S166" i="87"/>
  <c r="R166" i="87"/>
  <c r="C53" i="87"/>
  <c r="R53" i="87"/>
  <c r="Z231" i="26"/>
  <c r="Z60" i="33"/>
  <c r="BA60" i="7" s="1"/>
  <c r="Z148" i="33"/>
  <c r="BA148" i="7" s="1"/>
  <c r="Z62" i="33"/>
  <c r="Z137" i="33"/>
  <c r="BA137" i="7" s="1"/>
  <c r="V207" i="33"/>
  <c r="V63" i="33"/>
  <c r="BF63" i="7" s="1"/>
  <c r="Z250" i="33"/>
  <c r="Z75" i="33"/>
  <c r="Z98" i="33"/>
  <c r="BA98" i="7" s="1"/>
  <c r="Z102" i="33"/>
  <c r="Z183" i="33"/>
  <c r="V137" i="33"/>
  <c r="Z20" i="33"/>
  <c r="C109" i="87"/>
  <c r="R109" i="87"/>
  <c r="X98" i="87"/>
  <c r="W98" i="87"/>
  <c r="T98" i="87"/>
  <c r="V98" i="87"/>
  <c r="U98" i="87"/>
  <c r="R98" i="87"/>
  <c r="S98" i="87"/>
  <c r="X243" i="87"/>
  <c r="V243" i="87"/>
  <c r="U243" i="87"/>
  <c r="W243" i="87"/>
  <c r="S243" i="87"/>
  <c r="R243" i="87"/>
  <c r="T243" i="87"/>
  <c r="C27" i="87"/>
  <c r="R27" i="87"/>
  <c r="C70" i="87"/>
  <c r="R70" i="87"/>
  <c r="C103" i="87"/>
  <c r="R103" i="87"/>
  <c r="X252" i="87"/>
  <c r="V252" i="87"/>
  <c r="U252" i="87"/>
  <c r="R252" i="87"/>
  <c r="T252" i="87"/>
  <c r="S252" i="87"/>
  <c r="W252" i="87"/>
  <c r="X104" i="87"/>
  <c r="V104" i="87"/>
  <c r="U104" i="87"/>
  <c r="T104" i="87"/>
  <c r="R104" i="87"/>
  <c r="S104" i="87"/>
  <c r="W104" i="87"/>
  <c r="T231" i="26"/>
  <c r="Z48" i="33"/>
  <c r="V154" i="33"/>
  <c r="U288" i="87"/>
  <c r="X288" i="87"/>
  <c r="W288" i="87"/>
  <c r="V288" i="87"/>
  <c r="S288" i="87"/>
  <c r="T288" i="87"/>
  <c r="R288" i="87"/>
  <c r="C128" i="87"/>
  <c r="R128" i="87"/>
  <c r="C71" i="87"/>
  <c r="R71" i="87"/>
  <c r="C32" i="87"/>
  <c r="R32" i="87"/>
  <c r="I165" i="28"/>
  <c r="J165" i="46" s="1"/>
  <c r="T93" i="87"/>
  <c r="R93" i="87"/>
  <c r="X93" i="87"/>
  <c r="V93" i="87"/>
  <c r="U93" i="87"/>
  <c r="S93" i="87"/>
  <c r="W93" i="87"/>
  <c r="U244" i="87"/>
  <c r="V244" i="87"/>
  <c r="T244" i="87"/>
  <c r="S244" i="87"/>
  <c r="R244" i="87"/>
  <c r="X244" i="87"/>
  <c r="W244" i="87"/>
  <c r="U190" i="87"/>
  <c r="S190" i="87"/>
  <c r="R190" i="87"/>
  <c r="X190" i="87"/>
  <c r="W190" i="87"/>
  <c r="V190" i="87"/>
  <c r="T190" i="87"/>
  <c r="X176" i="87"/>
  <c r="V176" i="87"/>
  <c r="U176" i="87"/>
  <c r="W176" i="87"/>
  <c r="T176" i="87"/>
  <c r="S176" i="87"/>
  <c r="R176" i="87"/>
  <c r="C73" i="87"/>
  <c r="R73" i="87"/>
  <c r="X137" i="87"/>
  <c r="V137" i="87"/>
  <c r="U137" i="87"/>
  <c r="W137" i="87"/>
  <c r="T137" i="87"/>
  <c r="S137" i="87"/>
  <c r="R137" i="87"/>
  <c r="C45" i="87"/>
  <c r="R45" i="87"/>
  <c r="S231" i="26"/>
  <c r="V5" i="33"/>
  <c r="K5" i="7" s="1"/>
  <c r="Z251" i="33"/>
  <c r="V56" i="33"/>
  <c r="BF56" i="7" s="1"/>
  <c r="V104" i="33"/>
  <c r="V130" i="33"/>
  <c r="H130" i="87" s="1"/>
  <c r="C130" i="87" s="1"/>
  <c r="X207" i="87"/>
  <c r="V207" i="87"/>
  <c r="U207" i="87"/>
  <c r="W207" i="87"/>
  <c r="T207" i="87"/>
  <c r="S207" i="87"/>
  <c r="R207" i="87"/>
  <c r="X54" i="87"/>
  <c r="V54" i="87"/>
  <c r="U54" i="87"/>
  <c r="T54" i="87"/>
  <c r="S54" i="87"/>
  <c r="R54" i="87"/>
  <c r="X272" i="87"/>
  <c r="V272" i="87"/>
  <c r="U272" i="87"/>
  <c r="W272" i="87"/>
  <c r="T272" i="87"/>
  <c r="S272" i="87"/>
  <c r="R272" i="87"/>
  <c r="U130" i="87"/>
  <c r="X130" i="87"/>
  <c r="W130" i="87"/>
  <c r="R130" i="87"/>
  <c r="V130" i="87"/>
  <c r="T130" i="87"/>
  <c r="S130" i="87"/>
  <c r="S198" i="26"/>
  <c r="C143" i="87"/>
  <c r="R143" i="87"/>
  <c r="C82" i="87"/>
  <c r="R82" i="87"/>
  <c r="U242" i="87"/>
  <c r="V242" i="87"/>
  <c r="T242" i="87"/>
  <c r="X242" i="87"/>
  <c r="W242" i="87"/>
  <c r="S242" i="87"/>
  <c r="R242" i="87"/>
  <c r="C91" i="87"/>
  <c r="R91" i="87"/>
  <c r="X219" i="87"/>
  <c r="V219" i="87"/>
  <c r="U219" i="87"/>
  <c r="W219" i="87"/>
  <c r="T219" i="87"/>
  <c r="S219" i="87"/>
  <c r="R219" i="87"/>
  <c r="W231" i="26"/>
  <c r="I73" i="28"/>
  <c r="J73" i="46" s="1"/>
  <c r="Z207" i="33"/>
  <c r="V203" i="33"/>
  <c r="Z74" i="33"/>
  <c r="BA74" i="7" s="1"/>
  <c r="Z56" i="33"/>
  <c r="BA56" i="7" s="1"/>
  <c r="V62" i="33"/>
  <c r="BF62" i="7" s="1"/>
  <c r="Z51" i="33"/>
  <c r="V108" i="33"/>
  <c r="BF108" i="7" s="1"/>
  <c r="Z154" i="33"/>
  <c r="Z36" i="33"/>
  <c r="L36" i="7" s="1"/>
  <c r="P36" i="7" s="1"/>
  <c r="BA36" i="7" s="1"/>
  <c r="X205" i="87"/>
  <c r="V205" i="87"/>
  <c r="U205" i="87"/>
  <c r="W205" i="87"/>
  <c r="T205" i="87"/>
  <c r="S205" i="87"/>
  <c r="R205" i="87"/>
  <c r="X141" i="87"/>
  <c r="V141" i="87"/>
  <c r="U141" i="87"/>
  <c r="T141" i="87"/>
  <c r="S141" i="87"/>
  <c r="R141" i="87"/>
  <c r="W141" i="87"/>
  <c r="X68" i="87"/>
  <c r="W68" i="87"/>
  <c r="V68" i="87"/>
  <c r="T68" i="87"/>
  <c r="U68" i="87"/>
  <c r="R68" i="87"/>
  <c r="S68" i="87"/>
  <c r="X102" i="87"/>
  <c r="R102" i="87"/>
  <c r="V102" i="87"/>
  <c r="U102" i="87"/>
  <c r="S102" i="87"/>
  <c r="W102" i="87"/>
  <c r="T102" i="87"/>
  <c r="X86" i="87"/>
  <c r="R86" i="87"/>
  <c r="V86" i="87"/>
  <c r="W86" i="87"/>
  <c r="U86" i="87"/>
  <c r="T86" i="87"/>
  <c r="S86" i="87"/>
  <c r="X250" i="87"/>
  <c r="V250" i="87"/>
  <c r="U250" i="87"/>
  <c r="W250" i="87"/>
  <c r="T250" i="87"/>
  <c r="S250" i="87"/>
  <c r="R250" i="87"/>
  <c r="V28" i="33"/>
  <c r="BF28" i="7" s="1"/>
  <c r="Z54" i="33"/>
  <c r="V92" i="33"/>
  <c r="Z210" i="33"/>
  <c r="BA210" i="7" s="1"/>
  <c r="Z193" i="33"/>
  <c r="BA193" i="7" s="1"/>
  <c r="Z203" i="33"/>
  <c r="V48" i="33"/>
  <c r="V251" i="33"/>
  <c r="Z242" i="33"/>
  <c r="V279" i="33"/>
  <c r="I172" i="28"/>
  <c r="J172" i="46" s="1"/>
  <c r="J100" i="28"/>
  <c r="M100" i="46" s="1"/>
  <c r="J210" i="28"/>
  <c r="M210" i="46" s="1"/>
  <c r="I69" i="28"/>
  <c r="J69" i="46" s="1"/>
  <c r="J118" i="28"/>
  <c r="M118" i="46" s="1"/>
  <c r="I118" i="28"/>
  <c r="J118" i="46" s="1"/>
  <c r="J168" i="28"/>
  <c r="M168" i="46" s="1"/>
  <c r="I9" i="28"/>
  <c r="J9" i="46" s="1"/>
  <c r="J76" i="28"/>
  <c r="M76" i="46" s="1"/>
  <c r="I131" i="28"/>
  <c r="J131" i="46" s="1"/>
  <c r="J207" i="28"/>
  <c r="M207" i="46" s="1"/>
  <c r="I106" i="28"/>
  <c r="J106" i="46" s="1"/>
  <c r="J126" i="28"/>
  <c r="M126" i="46" s="1"/>
  <c r="I126" i="28"/>
  <c r="J126" i="46" s="1"/>
  <c r="J74" i="28"/>
  <c r="M74" i="46" s="1"/>
  <c r="J18" i="28"/>
  <c r="M18" i="46" s="1"/>
  <c r="I64" i="28"/>
  <c r="J64" i="46" s="1"/>
  <c r="Z262" i="26"/>
  <c r="S262" i="26"/>
  <c r="T262" i="26"/>
  <c r="U262" i="26"/>
  <c r="V262" i="26"/>
  <c r="W262" i="26"/>
  <c r="Y262" i="26"/>
  <c r="L49" i="28"/>
  <c r="K49" i="46" s="1"/>
  <c r="M49" i="28"/>
  <c r="N49" i="46" s="1"/>
  <c r="D234" i="45"/>
  <c r="C234" i="45"/>
  <c r="D49" i="45"/>
  <c r="C49" i="45"/>
  <c r="L234" i="28"/>
  <c r="K234" i="46" s="1"/>
  <c r="M234" i="28"/>
  <c r="N234" i="46" s="1"/>
  <c r="J128" i="28"/>
  <c r="M128" i="46" s="1"/>
  <c r="I128" i="28"/>
  <c r="J128" i="46" s="1"/>
  <c r="E230" i="46"/>
  <c r="C230" i="46"/>
  <c r="F230" i="46"/>
  <c r="D230" i="46"/>
  <c r="I232" i="28"/>
  <c r="J232" i="46" s="1"/>
  <c r="Z42" i="26"/>
  <c r="T42" i="26"/>
  <c r="Y235" i="26"/>
  <c r="W235" i="26"/>
  <c r="Y169" i="26"/>
  <c r="T235" i="26"/>
  <c r="Z157" i="26"/>
  <c r="V157" i="26"/>
  <c r="S235" i="26"/>
  <c r="Z235" i="26"/>
  <c r="U235" i="26"/>
  <c r="T157" i="26"/>
  <c r="U157" i="26"/>
  <c r="S157" i="26"/>
  <c r="W115" i="26"/>
  <c r="C59" i="45"/>
  <c r="M59" i="45" s="1"/>
  <c r="V25" i="33"/>
  <c r="Z25" i="33"/>
  <c r="BA25" i="7" s="1"/>
  <c r="S115" i="26"/>
  <c r="V115" i="26"/>
  <c r="T115" i="26"/>
  <c r="F29" i="28"/>
  <c r="I29" i="46" s="1"/>
  <c r="V195" i="26"/>
  <c r="X115" i="26"/>
  <c r="Y115" i="26"/>
  <c r="Y147" i="26"/>
  <c r="J208" i="28"/>
  <c r="M208" i="46" s="1"/>
  <c r="U120" i="45"/>
  <c r="J169" i="28"/>
  <c r="M169" i="46" s="1"/>
  <c r="I169" i="28"/>
  <c r="J169" i="46" s="1"/>
  <c r="U36" i="45"/>
  <c r="M4" i="45"/>
  <c r="R36" i="45"/>
  <c r="S36" i="45"/>
  <c r="Y196" i="26"/>
  <c r="U196" i="26"/>
  <c r="V196" i="26"/>
  <c r="S196" i="26"/>
  <c r="Z196" i="26"/>
  <c r="T196" i="26"/>
  <c r="Z169" i="26"/>
  <c r="S169" i="26"/>
  <c r="V169" i="26"/>
  <c r="W169" i="26"/>
  <c r="T169" i="26"/>
  <c r="U169" i="26"/>
  <c r="I125" i="28"/>
  <c r="J125" i="46" s="1"/>
  <c r="E125" i="46" s="1"/>
  <c r="J125" i="28"/>
  <c r="M125" i="46" s="1"/>
  <c r="U232" i="26"/>
  <c r="V232" i="26"/>
  <c r="W232" i="26"/>
  <c r="Y232" i="26"/>
  <c r="Z232" i="26"/>
  <c r="S232" i="26"/>
  <c r="T232" i="26"/>
  <c r="V24" i="33"/>
  <c r="K24" i="7" s="1"/>
  <c r="O24" i="7" s="1"/>
  <c r="AV24" i="7" s="1"/>
  <c r="I38" i="28"/>
  <c r="J38" i="46" s="1"/>
  <c r="J38" i="28"/>
  <c r="M38" i="46" s="1"/>
  <c r="R120" i="45"/>
  <c r="T120" i="45"/>
  <c r="L24" i="7"/>
  <c r="P24" i="7" s="1"/>
  <c r="H125" i="45"/>
  <c r="D125" i="45" s="1"/>
  <c r="T125" i="45" s="1"/>
  <c r="M125" i="28"/>
  <c r="N125" i="46" s="1"/>
  <c r="AU26" i="7"/>
  <c r="C288" i="45"/>
  <c r="Q288" i="45" s="1"/>
  <c r="AV194" i="7"/>
  <c r="AU181" i="7"/>
  <c r="AX126" i="7"/>
  <c r="AV95" i="7"/>
  <c r="AV275" i="7"/>
  <c r="AV181" i="7"/>
  <c r="AW79" i="7"/>
  <c r="AV222" i="7"/>
  <c r="AX233" i="7"/>
  <c r="AU95" i="7"/>
  <c r="AX177" i="7"/>
  <c r="AW222" i="7"/>
  <c r="AU233" i="7"/>
  <c r="AU177" i="7"/>
  <c r="AX222" i="7"/>
  <c r="AW233" i="7"/>
  <c r="AV177" i="7"/>
  <c r="AW126" i="7"/>
  <c r="AX181" i="7"/>
  <c r="AW177" i="7"/>
  <c r="AW95" i="7"/>
  <c r="AW181" i="7"/>
  <c r="AV126" i="7"/>
  <c r="AX95" i="7"/>
  <c r="AU69" i="7"/>
  <c r="AW277" i="7"/>
  <c r="BJ208" i="7"/>
  <c r="BI208" i="7"/>
  <c r="BH208" i="7"/>
  <c r="BG208" i="7"/>
  <c r="BF208" i="7"/>
  <c r="BE208" i="7"/>
  <c r="BD208" i="7"/>
  <c r="BC208" i="7"/>
  <c r="BJ216" i="7"/>
  <c r="BI216" i="7"/>
  <c r="BH216" i="7"/>
  <c r="BG216" i="7"/>
  <c r="BF216" i="7"/>
  <c r="BE216" i="7"/>
  <c r="BD216" i="7"/>
  <c r="BC216" i="7"/>
  <c r="BI189" i="7"/>
  <c r="BH189" i="7"/>
  <c r="BG189" i="7"/>
  <c r="BF189" i="7"/>
  <c r="BE189" i="7"/>
  <c r="BJ189" i="7"/>
  <c r="BD189" i="7"/>
  <c r="BC189" i="7"/>
  <c r="AV69" i="7"/>
  <c r="BI149" i="7"/>
  <c r="BH149" i="7"/>
  <c r="BG149" i="7"/>
  <c r="BF149" i="7"/>
  <c r="BE149" i="7"/>
  <c r="BJ149" i="7"/>
  <c r="BD149" i="7"/>
  <c r="BC149" i="7"/>
  <c r="BI194" i="7"/>
  <c r="BH194" i="7"/>
  <c r="BG194" i="7"/>
  <c r="BF194" i="7"/>
  <c r="BE194" i="7"/>
  <c r="BC194" i="7"/>
  <c r="BJ194" i="7"/>
  <c r="BD194" i="7"/>
  <c r="BI87" i="7"/>
  <c r="BH87" i="7"/>
  <c r="BG87" i="7"/>
  <c r="BF87" i="7"/>
  <c r="BE87" i="7"/>
  <c r="BJ87" i="7"/>
  <c r="BD87" i="7"/>
  <c r="BC87" i="7"/>
  <c r="BJ287" i="7"/>
  <c r="BI287" i="7"/>
  <c r="BH287" i="7"/>
  <c r="BG287" i="7"/>
  <c r="BF287" i="7"/>
  <c r="BE287" i="7"/>
  <c r="BD287" i="7"/>
  <c r="BC287" i="7"/>
  <c r="BJ236" i="7"/>
  <c r="BI236" i="7"/>
  <c r="BH236" i="7"/>
  <c r="BG236" i="7"/>
  <c r="BF236" i="7"/>
  <c r="BC236" i="7"/>
  <c r="BD236" i="7"/>
  <c r="BE236" i="7"/>
  <c r="BI114" i="7"/>
  <c r="BH114" i="7"/>
  <c r="BG114" i="7"/>
  <c r="BF114" i="7"/>
  <c r="BE114" i="7"/>
  <c r="BJ114" i="7"/>
  <c r="BD114" i="7"/>
  <c r="BC114" i="7"/>
  <c r="BI178" i="7"/>
  <c r="BH178" i="7"/>
  <c r="BG178" i="7"/>
  <c r="BF178" i="7"/>
  <c r="BE178" i="7"/>
  <c r="BJ178" i="7"/>
  <c r="BC178" i="7"/>
  <c r="BD178" i="7"/>
  <c r="BJ285" i="7"/>
  <c r="BI285" i="7"/>
  <c r="BH285" i="7"/>
  <c r="BG285" i="7"/>
  <c r="BF285" i="7"/>
  <c r="BE285" i="7"/>
  <c r="BD285" i="7"/>
  <c r="BC285" i="7"/>
  <c r="BI134" i="7"/>
  <c r="BH134" i="7"/>
  <c r="BG134" i="7"/>
  <c r="BF134" i="7"/>
  <c r="BE134" i="7"/>
  <c r="BD134" i="7"/>
  <c r="BJ134" i="7"/>
  <c r="BC134" i="7"/>
  <c r="BG26" i="7"/>
  <c r="BJ26" i="7"/>
  <c r="BF26" i="7"/>
  <c r="BE26" i="7"/>
  <c r="BD26" i="7"/>
  <c r="BC26" i="7"/>
  <c r="BI26" i="7"/>
  <c r="BH26" i="7"/>
  <c r="BI123" i="7"/>
  <c r="BH123" i="7"/>
  <c r="BG123" i="7"/>
  <c r="BF123" i="7"/>
  <c r="BE123" i="7"/>
  <c r="BJ123" i="7"/>
  <c r="BD123" i="7"/>
  <c r="BC123" i="7"/>
  <c r="BI127" i="7"/>
  <c r="BH127" i="7"/>
  <c r="BG127" i="7"/>
  <c r="BF127" i="7"/>
  <c r="BE127" i="7"/>
  <c r="BJ127" i="7"/>
  <c r="BD127" i="7"/>
  <c r="BC127" i="7"/>
  <c r="BJ261" i="7"/>
  <c r="BI261" i="7"/>
  <c r="BH261" i="7"/>
  <c r="BG261" i="7"/>
  <c r="BF261" i="7"/>
  <c r="BE261" i="7"/>
  <c r="BD261" i="7"/>
  <c r="BC261" i="7"/>
  <c r="BI106" i="7"/>
  <c r="BH106" i="7"/>
  <c r="BG106" i="7"/>
  <c r="BF106" i="7"/>
  <c r="BE106" i="7"/>
  <c r="BJ106" i="7"/>
  <c r="BD106" i="7"/>
  <c r="BC106" i="7"/>
  <c r="BI158" i="7"/>
  <c r="BH158" i="7"/>
  <c r="BG158" i="7"/>
  <c r="BF158" i="7"/>
  <c r="BE158" i="7"/>
  <c r="BD158" i="7"/>
  <c r="BC158" i="7"/>
  <c r="BJ158" i="7"/>
  <c r="BJ277" i="7"/>
  <c r="BI277" i="7"/>
  <c r="BH277" i="7"/>
  <c r="BG277" i="7"/>
  <c r="BF277" i="7"/>
  <c r="BD277" i="7"/>
  <c r="BC277" i="7"/>
  <c r="BE277" i="7"/>
  <c r="BI129" i="7"/>
  <c r="BH129" i="7"/>
  <c r="BG129" i="7"/>
  <c r="BF129" i="7"/>
  <c r="BE129" i="7"/>
  <c r="BC129" i="7"/>
  <c r="BJ129" i="7"/>
  <c r="BD129" i="7"/>
  <c r="BJ286" i="7"/>
  <c r="BI286" i="7"/>
  <c r="BH286" i="7"/>
  <c r="BG286" i="7"/>
  <c r="BF286" i="7"/>
  <c r="BD286" i="7"/>
  <c r="BC286" i="7"/>
  <c r="BE286" i="7"/>
  <c r="AX69" i="7"/>
  <c r="BI183" i="7"/>
  <c r="BH183" i="7"/>
  <c r="BG183" i="7"/>
  <c r="BF183" i="7"/>
  <c r="BE183" i="7"/>
  <c r="BD183" i="7"/>
  <c r="BJ183" i="7"/>
  <c r="BC183" i="7"/>
  <c r="BJ204" i="7"/>
  <c r="BI204" i="7"/>
  <c r="BH204" i="7"/>
  <c r="BG204" i="7"/>
  <c r="BF204" i="7"/>
  <c r="BD204" i="7"/>
  <c r="BC204" i="7"/>
  <c r="BE204" i="7"/>
  <c r="BJ260" i="7"/>
  <c r="BI260" i="7"/>
  <c r="BH260" i="7"/>
  <c r="BG260" i="7"/>
  <c r="BF260" i="7"/>
  <c r="BE260" i="7"/>
  <c r="BD260" i="7"/>
  <c r="BC260" i="7"/>
  <c r="BI181" i="7"/>
  <c r="BH181" i="7"/>
  <c r="BG181" i="7"/>
  <c r="BF181" i="7"/>
  <c r="BE181" i="7"/>
  <c r="BJ181" i="7"/>
  <c r="BD181" i="7"/>
  <c r="BC181" i="7"/>
  <c r="BI100" i="7"/>
  <c r="BH100" i="7"/>
  <c r="BG100" i="7"/>
  <c r="BF100" i="7"/>
  <c r="BE100" i="7"/>
  <c r="BJ100" i="7"/>
  <c r="BD100" i="7"/>
  <c r="BC100" i="7"/>
  <c r="BI122" i="7"/>
  <c r="BH122" i="7"/>
  <c r="BG122" i="7"/>
  <c r="BF122" i="7"/>
  <c r="BE122" i="7"/>
  <c r="BJ122" i="7"/>
  <c r="BD122" i="7"/>
  <c r="BC122" i="7"/>
  <c r="BI196" i="7"/>
  <c r="BH196" i="7"/>
  <c r="BG196" i="7"/>
  <c r="BF196" i="7"/>
  <c r="BE196" i="7"/>
  <c r="BJ196" i="7"/>
  <c r="BD196" i="7"/>
  <c r="BC196" i="7"/>
  <c r="BJ239" i="7"/>
  <c r="BI239" i="7"/>
  <c r="BH239" i="7"/>
  <c r="BG239" i="7"/>
  <c r="BF239" i="7"/>
  <c r="BE239" i="7"/>
  <c r="BC239" i="7"/>
  <c r="BD239" i="7"/>
  <c r="BJ232" i="7"/>
  <c r="BI232" i="7"/>
  <c r="BH232" i="7"/>
  <c r="BG232" i="7"/>
  <c r="BF232" i="7"/>
  <c r="BD232" i="7"/>
  <c r="BC232" i="7"/>
  <c r="BE232" i="7"/>
  <c r="BJ233" i="7"/>
  <c r="BI233" i="7"/>
  <c r="BH233" i="7"/>
  <c r="BG233" i="7"/>
  <c r="BF233" i="7"/>
  <c r="BE233" i="7"/>
  <c r="BD233" i="7"/>
  <c r="BC233" i="7"/>
  <c r="BI198" i="7"/>
  <c r="BH198" i="7"/>
  <c r="BG198" i="7"/>
  <c r="BF198" i="7"/>
  <c r="BE198" i="7"/>
  <c r="BD198" i="7"/>
  <c r="BC198" i="7"/>
  <c r="BJ198" i="7"/>
  <c r="BJ202" i="7"/>
  <c r="BI202" i="7"/>
  <c r="BH202" i="7"/>
  <c r="BG202" i="7"/>
  <c r="BF202" i="7"/>
  <c r="BE202" i="7"/>
  <c r="BD202" i="7"/>
  <c r="BC202" i="7"/>
  <c r="BJ275" i="7"/>
  <c r="BI275" i="7"/>
  <c r="BH275" i="7"/>
  <c r="BG275" i="7"/>
  <c r="BF275" i="7"/>
  <c r="BD275" i="7"/>
  <c r="BC275" i="7"/>
  <c r="BE275" i="7"/>
  <c r="BG40" i="7"/>
  <c r="BJ40" i="7"/>
  <c r="BF40" i="7"/>
  <c r="BE40" i="7"/>
  <c r="BD40" i="7"/>
  <c r="BC40" i="7"/>
  <c r="BI40" i="7"/>
  <c r="BH40" i="7"/>
  <c r="BI126" i="7"/>
  <c r="BH126" i="7"/>
  <c r="BG126" i="7"/>
  <c r="BF126" i="7"/>
  <c r="BE126" i="7"/>
  <c r="BD126" i="7"/>
  <c r="BJ126" i="7"/>
  <c r="BJ222" i="7"/>
  <c r="BI222" i="7"/>
  <c r="BH222" i="7"/>
  <c r="BG222" i="7"/>
  <c r="BF222" i="7"/>
  <c r="BD222" i="7"/>
  <c r="BC222" i="7"/>
  <c r="BE222" i="7"/>
  <c r="BI192" i="7"/>
  <c r="BH192" i="7"/>
  <c r="BG192" i="7"/>
  <c r="BF192" i="7"/>
  <c r="BE192" i="7"/>
  <c r="BJ192" i="7"/>
  <c r="BD192" i="7"/>
  <c r="BC192" i="7"/>
  <c r="BI153" i="7"/>
  <c r="BH153" i="7"/>
  <c r="BG153" i="7"/>
  <c r="BF153" i="7"/>
  <c r="BE153" i="7"/>
  <c r="BC153" i="7"/>
  <c r="BJ153" i="7"/>
  <c r="BD153" i="7"/>
  <c r="BI79" i="7"/>
  <c r="BH79" i="7"/>
  <c r="BG79" i="7"/>
  <c r="BF79" i="7"/>
  <c r="BE79" i="7"/>
  <c r="BJ79" i="7"/>
  <c r="BD79" i="7"/>
  <c r="BC79" i="7"/>
  <c r="BI95" i="7"/>
  <c r="BH95" i="7"/>
  <c r="BG95" i="7"/>
  <c r="BF95" i="7"/>
  <c r="BE95" i="7"/>
  <c r="BJ95" i="7"/>
  <c r="BD95" i="7"/>
  <c r="BC95" i="7"/>
  <c r="BI177" i="7"/>
  <c r="BH177" i="7"/>
  <c r="BG177" i="7"/>
  <c r="BF177" i="7"/>
  <c r="BE177" i="7"/>
  <c r="BC177" i="7"/>
  <c r="BJ177" i="7"/>
  <c r="BD177" i="7"/>
  <c r="BJ210" i="7"/>
  <c r="BI210" i="7"/>
  <c r="BH210" i="7"/>
  <c r="BG210" i="7"/>
  <c r="BF210" i="7"/>
  <c r="BE210" i="7"/>
  <c r="BD210" i="7"/>
  <c r="BC210" i="7"/>
  <c r="BJ218" i="7"/>
  <c r="BI218" i="7"/>
  <c r="BH218" i="7"/>
  <c r="BG218" i="7"/>
  <c r="BF218" i="7"/>
  <c r="BE218" i="7"/>
  <c r="BD218" i="7"/>
  <c r="BC218" i="7"/>
  <c r="BI187" i="7"/>
  <c r="BH187" i="7"/>
  <c r="BG187" i="7"/>
  <c r="BF187" i="7"/>
  <c r="BE187" i="7"/>
  <c r="BJ187" i="7"/>
  <c r="BD187" i="7"/>
  <c r="BC187" i="7"/>
  <c r="BI173" i="7"/>
  <c r="BH173" i="7"/>
  <c r="BG173" i="7"/>
  <c r="BF173" i="7"/>
  <c r="BE173" i="7"/>
  <c r="BJ173" i="7"/>
  <c r="BD173" i="7"/>
  <c r="BC173" i="7"/>
  <c r="BJ237" i="7"/>
  <c r="BI237" i="7"/>
  <c r="BH237" i="7"/>
  <c r="BG237" i="7"/>
  <c r="BF237" i="7"/>
  <c r="BE237" i="7"/>
  <c r="BD237" i="7"/>
  <c r="BC237" i="7"/>
  <c r="AW69" i="7"/>
  <c r="AY156" i="7"/>
  <c r="AV237" i="7"/>
  <c r="BI163" i="7"/>
  <c r="BH163" i="7"/>
  <c r="BG163" i="7"/>
  <c r="BF163" i="7"/>
  <c r="BE163" i="7"/>
  <c r="BJ163" i="7"/>
  <c r="BD163" i="7"/>
  <c r="BC163" i="7"/>
  <c r="BI174" i="7"/>
  <c r="BH174" i="7"/>
  <c r="BG174" i="7"/>
  <c r="BF174" i="7"/>
  <c r="BE174" i="7"/>
  <c r="BD174" i="7"/>
  <c r="BC174" i="7"/>
  <c r="BJ174" i="7"/>
  <c r="BI99" i="7"/>
  <c r="BH99" i="7"/>
  <c r="BG99" i="7"/>
  <c r="BF99" i="7"/>
  <c r="BE99" i="7"/>
  <c r="BJ99" i="7"/>
  <c r="BD99" i="7"/>
  <c r="BG43" i="7"/>
  <c r="BF43" i="7"/>
  <c r="BE43" i="7"/>
  <c r="BD43" i="7"/>
  <c r="BJ43" i="7"/>
  <c r="BC43" i="7"/>
  <c r="BI43" i="7"/>
  <c r="BH43" i="7"/>
  <c r="BI168" i="7"/>
  <c r="BH168" i="7"/>
  <c r="BG168" i="7"/>
  <c r="BF168" i="7"/>
  <c r="BE168" i="7"/>
  <c r="BJ168" i="7"/>
  <c r="BD168" i="7"/>
  <c r="BC168" i="7"/>
  <c r="BI131" i="7"/>
  <c r="BH131" i="7"/>
  <c r="BG131" i="7"/>
  <c r="BF131" i="7"/>
  <c r="BE131" i="7"/>
  <c r="BJ131" i="7"/>
  <c r="BD131" i="7"/>
  <c r="BC131" i="7"/>
  <c r="BJ257" i="7"/>
  <c r="BI257" i="7"/>
  <c r="BH257" i="7"/>
  <c r="BG257" i="7"/>
  <c r="BF257" i="7"/>
  <c r="BE257" i="7"/>
  <c r="BD257" i="7"/>
  <c r="BC257" i="7"/>
  <c r="BI117" i="7"/>
  <c r="BH117" i="7"/>
  <c r="BG117" i="7"/>
  <c r="BF117" i="7"/>
  <c r="BE117" i="7"/>
  <c r="BD117" i="7"/>
  <c r="BJ117" i="7"/>
  <c r="BJ212" i="7"/>
  <c r="BI212" i="7"/>
  <c r="BH212" i="7"/>
  <c r="BG212" i="7"/>
  <c r="BF212" i="7"/>
  <c r="BC212" i="7"/>
  <c r="BE212" i="7"/>
  <c r="BD212" i="7"/>
  <c r="BI112" i="7"/>
  <c r="BH112" i="7"/>
  <c r="BG112" i="7"/>
  <c r="BF112" i="7"/>
  <c r="BE112" i="7"/>
  <c r="BC112" i="7"/>
  <c r="BJ112" i="7"/>
  <c r="BD112" i="7"/>
  <c r="BG42" i="7"/>
  <c r="BF42" i="7"/>
  <c r="BJ42" i="7"/>
  <c r="BE42" i="7"/>
  <c r="BD42" i="7"/>
  <c r="BC42" i="7"/>
  <c r="BI42" i="7"/>
  <c r="BH42" i="7"/>
  <c r="BG17" i="7"/>
  <c r="BF17" i="7"/>
  <c r="BJ17" i="7"/>
  <c r="BE17" i="7"/>
  <c r="BD17" i="7"/>
  <c r="BC17" i="7"/>
  <c r="BI17" i="7"/>
  <c r="BH17" i="7"/>
  <c r="BJ201" i="7"/>
  <c r="BI201" i="7"/>
  <c r="BH201" i="7"/>
  <c r="BG201" i="7"/>
  <c r="BF201" i="7"/>
  <c r="BC201" i="7"/>
  <c r="BE201" i="7"/>
  <c r="BD201" i="7"/>
  <c r="BJ228" i="7"/>
  <c r="BI228" i="7"/>
  <c r="BH228" i="7"/>
  <c r="BG228" i="7"/>
  <c r="BF228" i="7"/>
  <c r="BD228" i="7"/>
  <c r="BE228" i="7"/>
  <c r="BC228" i="7"/>
  <c r="BJ249" i="7"/>
  <c r="BI249" i="7"/>
  <c r="BH249" i="7"/>
  <c r="BG249" i="7"/>
  <c r="BF249" i="7"/>
  <c r="BE249" i="7"/>
  <c r="BD249" i="7"/>
  <c r="BC249" i="7"/>
  <c r="BI180" i="7"/>
  <c r="BH180" i="7"/>
  <c r="BG180" i="7"/>
  <c r="BF180" i="7"/>
  <c r="BE180" i="7"/>
  <c r="BJ180" i="7"/>
  <c r="BD180" i="7"/>
  <c r="BC180" i="7"/>
  <c r="BI167" i="7"/>
  <c r="BH167" i="7"/>
  <c r="BG167" i="7"/>
  <c r="BF167" i="7"/>
  <c r="BE167" i="7"/>
  <c r="BD167" i="7"/>
  <c r="BJ167" i="7"/>
  <c r="BC167" i="7"/>
  <c r="BI171" i="7"/>
  <c r="BH171" i="7"/>
  <c r="BG171" i="7"/>
  <c r="BF171" i="7"/>
  <c r="BE171" i="7"/>
  <c r="BJ171" i="7"/>
  <c r="BD171" i="7"/>
  <c r="BC171" i="7"/>
  <c r="BJ231" i="7"/>
  <c r="BI231" i="7"/>
  <c r="BH231" i="7"/>
  <c r="BG231" i="7"/>
  <c r="BF231" i="7"/>
  <c r="BE231" i="7"/>
  <c r="BD231" i="7"/>
  <c r="BC231" i="7"/>
  <c r="BJ290" i="7"/>
  <c r="BI290" i="7"/>
  <c r="BH290" i="7"/>
  <c r="BG290" i="7"/>
  <c r="BF290" i="7"/>
  <c r="BE290" i="7"/>
  <c r="BD290" i="7"/>
  <c r="BC290" i="7"/>
  <c r="BI113" i="7"/>
  <c r="BH113" i="7"/>
  <c r="BG113" i="7"/>
  <c r="BF113" i="7"/>
  <c r="BE113" i="7"/>
  <c r="BJ113" i="7"/>
  <c r="BD113" i="7"/>
  <c r="BC113" i="7"/>
  <c r="AU286" i="7"/>
  <c r="BB156" i="7"/>
  <c r="AU237" i="7"/>
  <c r="AW271" i="7"/>
  <c r="BG15" i="7"/>
  <c r="BF15" i="7"/>
  <c r="BE15" i="7"/>
  <c r="BD15" i="7"/>
  <c r="BJ15" i="7"/>
  <c r="BC15" i="7"/>
  <c r="BH15" i="7"/>
  <c r="BI15" i="7"/>
  <c r="BJ225" i="7"/>
  <c r="BI225" i="7"/>
  <c r="BH225" i="7"/>
  <c r="BG225" i="7"/>
  <c r="BF225" i="7"/>
  <c r="BC225" i="7"/>
  <c r="BE225" i="7"/>
  <c r="BD225" i="7"/>
  <c r="BI96" i="7"/>
  <c r="BH96" i="7"/>
  <c r="BG96" i="7"/>
  <c r="BF96" i="7"/>
  <c r="BE96" i="7"/>
  <c r="BC96" i="7"/>
  <c r="BJ96" i="7"/>
  <c r="BD96" i="7"/>
  <c r="BJ270" i="7"/>
  <c r="BI270" i="7"/>
  <c r="BH270" i="7"/>
  <c r="BG270" i="7"/>
  <c r="BF270" i="7"/>
  <c r="BE270" i="7"/>
  <c r="BD270" i="7"/>
  <c r="BC270" i="7"/>
  <c r="BI81" i="7"/>
  <c r="BH81" i="7"/>
  <c r="BG81" i="7"/>
  <c r="BF81" i="7"/>
  <c r="BE81" i="7"/>
  <c r="BC81" i="7"/>
  <c r="BJ81" i="7"/>
  <c r="BD81" i="7"/>
  <c r="BI105" i="7"/>
  <c r="BH105" i="7"/>
  <c r="BG105" i="7"/>
  <c r="BF105" i="7"/>
  <c r="BE105" i="7"/>
  <c r="BC105" i="7"/>
  <c r="BJ105" i="7"/>
  <c r="BD105" i="7"/>
  <c r="BJ220" i="7"/>
  <c r="BI220" i="7"/>
  <c r="BH220" i="7"/>
  <c r="BG220" i="7"/>
  <c r="BF220" i="7"/>
  <c r="BE220" i="7"/>
  <c r="BD220" i="7"/>
  <c r="BC220" i="7"/>
  <c r="BI140" i="7"/>
  <c r="BH140" i="7"/>
  <c r="BG140" i="7"/>
  <c r="BF140" i="7"/>
  <c r="BE140" i="7"/>
  <c r="BJ140" i="7"/>
  <c r="BD140" i="7"/>
  <c r="BC140" i="7"/>
  <c r="BJ211" i="7"/>
  <c r="BI211" i="7"/>
  <c r="BH211" i="7"/>
  <c r="BG211" i="7"/>
  <c r="BF211" i="7"/>
  <c r="BE211" i="7"/>
  <c r="BD211" i="7"/>
  <c r="BC211" i="7"/>
  <c r="BJ215" i="7"/>
  <c r="BI215" i="7"/>
  <c r="BH215" i="7"/>
  <c r="BG215" i="7"/>
  <c r="BF215" i="7"/>
  <c r="BE215" i="7"/>
  <c r="BD215" i="7"/>
  <c r="BC215" i="7"/>
  <c r="BI159" i="7"/>
  <c r="BH159" i="7"/>
  <c r="BG159" i="7"/>
  <c r="BF159" i="7"/>
  <c r="BE159" i="7"/>
  <c r="BD159" i="7"/>
  <c r="BJ159" i="7"/>
  <c r="BC159" i="7"/>
  <c r="BI162" i="7"/>
  <c r="BH162" i="7"/>
  <c r="BG162" i="7"/>
  <c r="BF162" i="7"/>
  <c r="BE162" i="7"/>
  <c r="BJ162" i="7"/>
  <c r="BC162" i="7"/>
  <c r="BD162" i="7"/>
  <c r="BI85" i="7"/>
  <c r="BH85" i="7"/>
  <c r="BG85" i="7"/>
  <c r="BF85" i="7"/>
  <c r="BE85" i="7"/>
  <c r="BD85" i="7"/>
  <c r="BC85" i="7"/>
  <c r="BJ85" i="7"/>
  <c r="BJ214" i="7"/>
  <c r="BI214" i="7"/>
  <c r="BH214" i="7"/>
  <c r="BG214" i="7"/>
  <c r="BF214" i="7"/>
  <c r="BD214" i="7"/>
  <c r="BC214" i="7"/>
  <c r="BE214" i="7"/>
  <c r="BG38" i="7"/>
  <c r="BF38" i="7"/>
  <c r="BE38" i="7"/>
  <c r="BJ38" i="7"/>
  <c r="BD38" i="7"/>
  <c r="BC38" i="7"/>
  <c r="BI38" i="7"/>
  <c r="BH38" i="7"/>
  <c r="BJ235" i="7"/>
  <c r="BI235" i="7"/>
  <c r="BH235" i="7"/>
  <c r="BG235" i="7"/>
  <c r="BF235" i="7"/>
  <c r="BE235" i="7"/>
  <c r="BD235" i="7"/>
  <c r="BC235" i="7"/>
  <c r="BI84" i="7"/>
  <c r="BH84" i="7"/>
  <c r="BG84" i="7"/>
  <c r="BF84" i="7"/>
  <c r="BE84" i="7"/>
  <c r="BJ84" i="7"/>
  <c r="BD84" i="7"/>
  <c r="BC84" i="7"/>
  <c r="BI110" i="7"/>
  <c r="BH110" i="7"/>
  <c r="BG110" i="7"/>
  <c r="BF110" i="7"/>
  <c r="BE110" i="7"/>
  <c r="BD110" i="7"/>
  <c r="BJ110" i="7"/>
  <c r="BC110" i="7"/>
  <c r="BI142" i="7"/>
  <c r="BH142" i="7"/>
  <c r="BG142" i="7"/>
  <c r="BF142" i="7"/>
  <c r="BE142" i="7"/>
  <c r="BD142" i="7"/>
  <c r="BJ142" i="7"/>
  <c r="BC142" i="7"/>
  <c r="BI188" i="7"/>
  <c r="BH188" i="7"/>
  <c r="BG188" i="7"/>
  <c r="BF188" i="7"/>
  <c r="BE188" i="7"/>
  <c r="BJ188" i="7"/>
  <c r="BD188" i="7"/>
  <c r="BC188" i="7"/>
  <c r="BI161" i="7"/>
  <c r="BH161" i="7"/>
  <c r="BG161" i="7"/>
  <c r="BF161" i="7"/>
  <c r="BE161" i="7"/>
  <c r="BC161" i="7"/>
  <c r="BJ161" i="7"/>
  <c r="BD161" i="7"/>
  <c r="BI132" i="7"/>
  <c r="BH132" i="7"/>
  <c r="BG132" i="7"/>
  <c r="BF132" i="7"/>
  <c r="BE132" i="7"/>
  <c r="BJ132" i="7"/>
  <c r="BD132" i="7"/>
  <c r="BC132" i="7"/>
  <c r="BG44" i="7"/>
  <c r="BF44" i="7"/>
  <c r="BE44" i="7"/>
  <c r="BJ44" i="7"/>
  <c r="BD44" i="7"/>
  <c r="BC44" i="7"/>
  <c r="BI44" i="7"/>
  <c r="BH44" i="7"/>
  <c r="BG33" i="7"/>
  <c r="BF33" i="7"/>
  <c r="BE33" i="7"/>
  <c r="BJ33" i="7"/>
  <c r="BD33" i="7"/>
  <c r="BC33" i="7"/>
  <c r="BI33" i="7"/>
  <c r="BH33" i="7"/>
  <c r="BJ271" i="7"/>
  <c r="BI271" i="7"/>
  <c r="BH271" i="7"/>
  <c r="BG271" i="7"/>
  <c r="BF271" i="7"/>
  <c r="BE271" i="7"/>
  <c r="BD271" i="7"/>
  <c r="BC271" i="7"/>
  <c r="BI182" i="7"/>
  <c r="BH182" i="7"/>
  <c r="BG182" i="7"/>
  <c r="BF182" i="7"/>
  <c r="BE182" i="7"/>
  <c r="BD182" i="7"/>
  <c r="BC182" i="7"/>
  <c r="BJ182" i="7"/>
  <c r="F156" i="39"/>
  <c r="G156" i="39" s="1"/>
  <c r="AX277" i="7"/>
  <c r="AX237" i="7"/>
  <c r="BI80" i="7"/>
  <c r="BH80" i="7"/>
  <c r="BG80" i="7"/>
  <c r="BF80" i="7"/>
  <c r="BE80" i="7"/>
  <c r="BC80" i="7"/>
  <c r="BJ80" i="7"/>
  <c r="BD80" i="7"/>
  <c r="BG31" i="7"/>
  <c r="BJ31" i="7"/>
  <c r="BF31" i="7"/>
  <c r="BE31" i="7"/>
  <c r="BD31" i="7"/>
  <c r="BC31" i="7"/>
  <c r="BI31" i="7"/>
  <c r="BH31" i="7"/>
  <c r="BJ258" i="7"/>
  <c r="BI258" i="7"/>
  <c r="BH258" i="7"/>
  <c r="BG258" i="7"/>
  <c r="BF258" i="7"/>
  <c r="BE258" i="7"/>
  <c r="BD258" i="7"/>
  <c r="BC258" i="7"/>
  <c r="BI145" i="7"/>
  <c r="BH145" i="7"/>
  <c r="BG145" i="7"/>
  <c r="BF145" i="7"/>
  <c r="BE145" i="7"/>
  <c r="BJ145" i="7"/>
  <c r="BC145" i="7"/>
  <c r="BD145" i="7"/>
  <c r="BI111" i="7"/>
  <c r="BH111" i="7"/>
  <c r="BG111" i="7"/>
  <c r="BF111" i="7"/>
  <c r="BE111" i="7"/>
  <c r="BJ111" i="7"/>
  <c r="BD111" i="7"/>
  <c r="BC111" i="7"/>
  <c r="BJ213" i="7"/>
  <c r="BI213" i="7"/>
  <c r="BH213" i="7"/>
  <c r="BG213" i="7"/>
  <c r="BF213" i="7"/>
  <c r="BE213" i="7"/>
  <c r="BD213" i="7"/>
  <c r="BC213" i="7"/>
  <c r="BI147" i="7"/>
  <c r="BH147" i="7"/>
  <c r="BG147" i="7"/>
  <c r="BF147" i="7"/>
  <c r="BE147" i="7"/>
  <c r="BJ147" i="7"/>
  <c r="BD147" i="7"/>
  <c r="BC147" i="7"/>
  <c r="BI107" i="7"/>
  <c r="BH107" i="7"/>
  <c r="BG107" i="7"/>
  <c r="BF107" i="7"/>
  <c r="BE107" i="7"/>
  <c r="BJ107" i="7"/>
  <c r="BD107" i="7"/>
  <c r="BJ206" i="7"/>
  <c r="BI206" i="7"/>
  <c r="BH206" i="7"/>
  <c r="BG206" i="7"/>
  <c r="BF206" i="7"/>
  <c r="BD206" i="7"/>
  <c r="BC206" i="7"/>
  <c r="BE206" i="7"/>
  <c r="BI175" i="7"/>
  <c r="BH175" i="7"/>
  <c r="BG175" i="7"/>
  <c r="BF175" i="7"/>
  <c r="BE175" i="7"/>
  <c r="BD175" i="7"/>
  <c r="BJ175" i="7"/>
  <c r="BC175" i="7"/>
  <c r="BI150" i="7"/>
  <c r="BH150" i="7"/>
  <c r="BG150" i="7"/>
  <c r="BF150" i="7"/>
  <c r="BE150" i="7"/>
  <c r="BD150" i="7"/>
  <c r="BC150" i="7"/>
  <c r="BJ150" i="7"/>
  <c r="BG35" i="7"/>
  <c r="BJ35" i="7"/>
  <c r="BF35" i="7"/>
  <c r="BE35" i="7"/>
  <c r="BD35" i="7"/>
  <c r="BC35" i="7"/>
  <c r="BI35" i="7"/>
  <c r="BH35" i="7"/>
  <c r="BI151" i="7"/>
  <c r="BH151" i="7"/>
  <c r="BG151" i="7"/>
  <c r="BF151" i="7"/>
  <c r="BE151" i="7"/>
  <c r="BD151" i="7"/>
  <c r="BJ151" i="7"/>
  <c r="BC151" i="7"/>
  <c r="BI164" i="7"/>
  <c r="BH164" i="7"/>
  <c r="BG164" i="7"/>
  <c r="BF164" i="7"/>
  <c r="BE164" i="7"/>
  <c r="BJ164" i="7"/>
  <c r="BD164" i="7"/>
  <c r="BC164" i="7"/>
  <c r="BI115" i="7"/>
  <c r="BH115" i="7"/>
  <c r="BG115" i="7"/>
  <c r="BF115" i="7"/>
  <c r="BE115" i="7"/>
  <c r="BJ115" i="7"/>
  <c r="BD115" i="7"/>
  <c r="BC115" i="7"/>
  <c r="AZ156" i="7"/>
  <c r="AV277" i="7"/>
  <c r="AW237" i="7"/>
  <c r="BJ226" i="7"/>
  <c r="BI226" i="7"/>
  <c r="BH226" i="7"/>
  <c r="BG226" i="7"/>
  <c r="BF226" i="7"/>
  <c r="BE226" i="7"/>
  <c r="BD226" i="7"/>
  <c r="BC226" i="7"/>
  <c r="BJ289" i="7"/>
  <c r="BI289" i="7"/>
  <c r="BH289" i="7"/>
  <c r="BG289" i="7"/>
  <c r="BF289" i="7"/>
  <c r="BC289" i="7"/>
  <c r="BE289" i="7"/>
  <c r="BD289" i="7"/>
  <c r="BJ227" i="7"/>
  <c r="BI227" i="7"/>
  <c r="BH227" i="7"/>
  <c r="BG227" i="7"/>
  <c r="BF227" i="7"/>
  <c r="BE227" i="7"/>
  <c r="BD227" i="7"/>
  <c r="BC227" i="7"/>
  <c r="BI172" i="7"/>
  <c r="BH172" i="7"/>
  <c r="BG172" i="7"/>
  <c r="BF172" i="7"/>
  <c r="BE172" i="7"/>
  <c r="BJ172" i="7"/>
  <c r="BD172" i="7"/>
  <c r="BC172" i="7"/>
  <c r="BI154" i="7"/>
  <c r="BH154" i="7"/>
  <c r="BG154" i="7"/>
  <c r="BF154" i="7"/>
  <c r="BE154" i="7"/>
  <c r="BJ154" i="7"/>
  <c r="BD154" i="7"/>
  <c r="BC154" i="7"/>
  <c r="BJ238" i="7"/>
  <c r="BI238" i="7"/>
  <c r="BH238" i="7"/>
  <c r="BG238" i="7"/>
  <c r="BF238" i="7"/>
  <c r="BE238" i="7"/>
  <c r="BD238" i="7"/>
  <c r="BC238" i="7"/>
  <c r="BG22" i="7"/>
  <c r="BF22" i="7"/>
  <c r="BE22" i="7"/>
  <c r="BD22" i="7"/>
  <c r="BC22" i="7"/>
  <c r="BJ22" i="7"/>
  <c r="BI22" i="7"/>
  <c r="BH22" i="7"/>
  <c r="BJ276" i="7"/>
  <c r="BI276" i="7"/>
  <c r="BH276" i="7"/>
  <c r="BG276" i="7"/>
  <c r="BF276" i="7"/>
  <c r="BE276" i="7"/>
  <c r="BD276" i="7"/>
  <c r="BC276" i="7"/>
  <c r="BG25" i="7"/>
  <c r="BF25" i="7"/>
  <c r="BE25" i="7"/>
  <c r="BD25" i="7"/>
  <c r="BJ25" i="7"/>
  <c r="BC25" i="7"/>
  <c r="BI25" i="7"/>
  <c r="BH25" i="7"/>
  <c r="BJ282" i="7"/>
  <c r="BI282" i="7"/>
  <c r="BH282" i="7"/>
  <c r="BG282" i="7"/>
  <c r="BF282" i="7"/>
  <c r="BE282" i="7"/>
  <c r="BD282" i="7"/>
  <c r="BC282" i="7"/>
  <c r="BI94" i="7"/>
  <c r="BH94" i="7"/>
  <c r="BG94" i="7"/>
  <c r="BF94" i="7"/>
  <c r="BE94" i="7"/>
  <c r="BD94" i="7"/>
  <c r="BJ94" i="7"/>
  <c r="BC94" i="7"/>
  <c r="BJ283" i="7"/>
  <c r="BI283" i="7"/>
  <c r="BH283" i="7"/>
  <c r="BG283" i="7"/>
  <c r="BF283" i="7"/>
  <c r="BE283" i="7"/>
  <c r="BD283" i="7"/>
  <c r="BC283" i="7"/>
  <c r="BI144" i="7"/>
  <c r="BH144" i="7"/>
  <c r="BG144" i="7"/>
  <c r="BF144" i="7"/>
  <c r="BE144" i="7"/>
  <c r="BC144" i="7"/>
  <c r="BJ144" i="7"/>
  <c r="BD144" i="7"/>
  <c r="BJ223" i="7"/>
  <c r="BI223" i="7"/>
  <c r="BH223" i="7"/>
  <c r="BG223" i="7"/>
  <c r="BF223" i="7"/>
  <c r="BE223" i="7"/>
  <c r="BD223" i="7"/>
  <c r="BC223" i="7"/>
  <c r="BJ284" i="7"/>
  <c r="BI284" i="7"/>
  <c r="BH284" i="7"/>
  <c r="BG284" i="7"/>
  <c r="BF284" i="7"/>
  <c r="BC284" i="7"/>
  <c r="BE284" i="7"/>
  <c r="BD284" i="7"/>
  <c r="BJ224" i="7"/>
  <c r="BI224" i="7"/>
  <c r="BH224" i="7"/>
  <c r="BG224" i="7"/>
  <c r="BF224" i="7"/>
  <c r="BE224" i="7"/>
  <c r="BD224" i="7"/>
  <c r="BC224" i="7"/>
  <c r="BJ209" i="7"/>
  <c r="BI209" i="7"/>
  <c r="BH209" i="7"/>
  <c r="BG209" i="7"/>
  <c r="BF209" i="7"/>
  <c r="BC209" i="7"/>
  <c r="BE209" i="7"/>
  <c r="BD209" i="7"/>
  <c r="BI116" i="7"/>
  <c r="BH116" i="7"/>
  <c r="BG116" i="7"/>
  <c r="BF116" i="7"/>
  <c r="BE116" i="7"/>
  <c r="BJ116" i="7"/>
  <c r="BD116" i="7"/>
  <c r="BC116" i="7"/>
  <c r="BG29" i="7"/>
  <c r="BF29" i="7"/>
  <c r="BE29" i="7"/>
  <c r="BD29" i="7"/>
  <c r="BJ29" i="7"/>
  <c r="BC29" i="7"/>
  <c r="BI29" i="7"/>
  <c r="BH29" i="7"/>
  <c r="BI121" i="7"/>
  <c r="BH121" i="7"/>
  <c r="BG121" i="7"/>
  <c r="BF121" i="7"/>
  <c r="BE121" i="7"/>
  <c r="BJ121" i="7"/>
  <c r="BD121" i="7"/>
  <c r="BI118" i="7"/>
  <c r="BH118" i="7"/>
  <c r="BG118" i="7"/>
  <c r="BF118" i="7"/>
  <c r="BE118" i="7"/>
  <c r="BD118" i="7"/>
  <c r="BJ118" i="7"/>
  <c r="BC118" i="7"/>
  <c r="BI197" i="7"/>
  <c r="BH197" i="7"/>
  <c r="BG197" i="7"/>
  <c r="BF197" i="7"/>
  <c r="BE197" i="7"/>
  <c r="BJ197" i="7"/>
  <c r="BD197" i="7"/>
  <c r="BC197" i="7"/>
  <c r="BI157" i="7"/>
  <c r="BH157" i="7"/>
  <c r="BG157" i="7"/>
  <c r="BF157" i="7"/>
  <c r="BE157" i="7"/>
  <c r="BJ157" i="7"/>
  <c r="BD157" i="7"/>
  <c r="BC157" i="7"/>
  <c r="BI135" i="7"/>
  <c r="BH135" i="7"/>
  <c r="BG135" i="7"/>
  <c r="BF135" i="7"/>
  <c r="BE135" i="7"/>
  <c r="BJ135" i="7"/>
  <c r="BD135" i="7"/>
  <c r="BC135" i="7"/>
  <c r="BI69" i="7"/>
  <c r="BH69" i="7"/>
  <c r="BG69" i="7"/>
  <c r="BF69" i="7"/>
  <c r="BE69" i="7"/>
  <c r="BJ69" i="7"/>
  <c r="BD69" i="7"/>
  <c r="BC69" i="7"/>
  <c r="BI160" i="7"/>
  <c r="BH160" i="7"/>
  <c r="BG160" i="7"/>
  <c r="BF160" i="7"/>
  <c r="BE160" i="7"/>
  <c r="BJ160" i="7"/>
  <c r="BD160" i="7"/>
  <c r="BC160" i="7"/>
  <c r="AU277" i="7"/>
  <c r="BI152" i="7"/>
  <c r="BH152" i="7"/>
  <c r="BG152" i="7"/>
  <c r="BF152" i="7"/>
  <c r="BE152" i="7"/>
  <c r="BJ152" i="7"/>
  <c r="BD152" i="7"/>
  <c r="BC152" i="7"/>
  <c r="BI185" i="7"/>
  <c r="BH185" i="7"/>
  <c r="BG185" i="7"/>
  <c r="BF185" i="7"/>
  <c r="BE185" i="7"/>
  <c r="BC185" i="7"/>
  <c r="BJ185" i="7"/>
  <c r="BD185" i="7"/>
  <c r="BI124" i="7"/>
  <c r="BH124" i="7"/>
  <c r="BG124" i="7"/>
  <c r="BF124" i="7"/>
  <c r="BE124" i="7"/>
  <c r="BJ124" i="7"/>
  <c r="BD124" i="7"/>
  <c r="BC124" i="7"/>
  <c r="BJ251" i="7"/>
  <c r="BI251" i="7"/>
  <c r="BH251" i="7"/>
  <c r="BG251" i="7"/>
  <c r="BF251" i="7"/>
  <c r="BD251" i="7"/>
  <c r="BC251" i="7"/>
  <c r="BE251" i="7"/>
  <c r="BJ199" i="7"/>
  <c r="BI199" i="7"/>
  <c r="BH199" i="7"/>
  <c r="BG199" i="7"/>
  <c r="BF199" i="7"/>
  <c r="BE199" i="7"/>
  <c r="BD199" i="7"/>
  <c r="BC199" i="7"/>
  <c r="BJ256" i="7"/>
  <c r="BI256" i="7"/>
  <c r="BH256" i="7"/>
  <c r="BG256" i="7"/>
  <c r="BF256" i="7"/>
  <c r="BE256" i="7"/>
  <c r="BD256" i="7"/>
  <c r="BC256" i="7"/>
  <c r="BI195" i="7"/>
  <c r="BH195" i="7"/>
  <c r="BG195" i="7"/>
  <c r="BF195" i="7"/>
  <c r="BE195" i="7"/>
  <c r="BJ195" i="7"/>
  <c r="BD195" i="7"/>
  <c r="BC195" i="7"/>
  <c r="BJ280" i="7"/>
  <c r="BI280" i="7"/>
  <c r="BH280" i="7"/>
  <c r="BG280" i="7"/>
  <c r="BF280" i="7"/>
  <c r="BC280" i="7"/>
  <c r="BE280" i="7"/>
  <c r="BD280" i="7"/>
  <c r="BI97" i="7"/>
  <c r="BH97" i="7"/>
  <c r="BG97" i="7"/>
  <c r="BF97" i="7"/>
  <c r="BE97" i="7"/>
  <c r="BC97" i="7"/>
  <c r="BJ97" i="7"/>
  <c r="BD97" i="7"/>
  <c r="BJ217" i="7"/>
  <c r="BI217" i="7"/>
  <c r="BH217" i="7"/>
  <c r="BG217" i="7"/>
  <c r="BF217" i="7"/>
  <c r="BC217" i="7"/>
  <c r="BE217" i="7"/>
  <c r="BD217" i="7"/>
  <c r="BI184" i="7"/>
  <c r="BH184" i="7"/>
  <c r="BG184" i="7"/>
  <c r="BF184" i="7"/>
  <c r="BE184" i="7"/>
  <c r="BJ184" i="7"/>
  <c r="BD184" i="7"/>
  <c r="BC184" i="7"/>
  <c r="BG39" i="7"/>
  <c r="BF39" i="7"/>
  <c r="BE39" i="7"/>
  <c r="BD39" i="7"/>
  <c r="BJ39" i="7"/>
  <c r="BC39" i="7"/>
  <c r="BI39" i="7"/>
  <c r="BH39" i="7"/>
  <c r="BI179" i="7"/>
  <c r="BH179" i="7"/>
  <c r="BG179" i="7"/>
  <c r="BF179" i="7"/>
  <c r="BE179" i="7"/>
  <c r="BJ179" i="7"/>
  <c r="BD179" i="7"/>
  <c r="BC179" i="7"/>
  <c r="AW162" i="7"/>
  <c r="AV178" i="7"/>
  <c r="AX38" i="7"/>
  <c r="T195" i="26"/>
  <c r="Y195" i="26"/>
  <c r="W8" i="26"/>
  <c r="S195" i="26"/>
  <c r="W195" i="26"/>
  <c r="Z195" i="26"/>
  <c r="U195" i="26"/>
  <c r="F36" i="46"/>
  <c r="AO36" i="46" s="1"/>
  <c r="T227" i="26"/>
  <c r="W227" i="26"/>
  <c r="S24" i="26"/>
  <c r="U167" i="26"/>
  <c r="V167" i="26"/>
  <c r="AV188" i="7"/>
  <c r="AX142" i="7"/>
  <c r="AW188" i="7"/>
  <c r="AV142" i="7"/>
  <c r="AW99" i="7"/>
  <c r="AU161" i="7"/>
  <c r="AW163" i="7"/>
  <c r="AV161" i="7"/>
  <c r="AU231" i="7"/>
  <c r="AW174" i="7"/>
  <c r="AU188" i="7"/>
  <c r="AX161" i="7"/>
  <c r="AW142" i="7"/>
  <c r="AX157" i="7"/>
  <c r="AX188" i="7"/>
  <c r="AW161" i="7"/>
  <c r="AU142" i="7"/>
  <c r="AU122" i="7"/>
  <c r="AX178" i="7"/>
  <c r="AV85" i="7"/>
  <c r="AW196" i="7"/>
  <c r="AX196" i="7"/>
  <c r="AX199" i="7"/>
  <c r="AW199" i="7"/>
  <c r="AV107" i="7"/>
  <c r="AW38" i="7"/>
  <c r="F187" i="87"/>
  <c r="O187" i="46"/>
  <c r="V106" i="26"/>
  <c r="Y26" i="26"/>
  <c r="S106" i="26"/>
  <c r="T26" i="26"/>
  <c r="W106" i="26"/>
  <c r="X106" i="26"/>
  <c r="Y106" i="26"/>
  <c r="Z106" i="26"/>
  <c r="U106" i="26"/>
  <c r="I66" i="28"/>
  <c r="J66" i="46" s="1"/>
  <c r="P4" i="45"/>
  <c r="N4" i="45"/>
  <c r="O4" i="45"/>
  <c r="Y8" i="26"/>
  <c r="AW107" i="7"/>
  <c r="AV38" i="7"/>
  <c r="AU199" i="7"/>
  <c r="AU216" i="7"/>
  <c r="AW178" i="7"/>
  <c r="AX218" i="7"/>
  <c r="Y167" i="26"/>
  <c r="S26" i="26"/>
  <c r="AW129" i="7"/>
  <c r="Y24" i="26"/>
  <c r="AU15" i="7"/>
  <c r="AU129" i="7"/>
  <c r="T8" i="26"/>
  <c r="AV182" i="7"/>
  <c r="AV216" i="7"/>
  <c r="AU96" i="7"/>
  <c r="U227" i="26"/>
  <c r="AU211" i="7"/>
  <c r="AV218" i="7"/>
  <c r="Z167" i="26"/>
  <c r="BB134" i="7"/>
  <c r="AZ183" i="7"/>
  <c r="F183" i="39"/>
  <c r="G183" i="39" s="1"/>
  <c r="AX251" i="7"/>
  <c r="BB183" i="7"/>
  <c r="AW124" i="7"/>
  <c r="W24" i="26"/>
  <c r="Z8" i="26"/>
  <c r="T24" i="26"/>
  <c r="AV15" i="7"/>
  <c r="AX129" i="7"/>
  <c r="U8" i="26"/>
  <c r="AW216" i="7"/>
  <c r="V227" i="26"/>
  <c r="AX211" i="7"/>
  <c r="AU218" i="7"/>
  <c r="AX114" i="7"/>
  <c r="W167" i="26"/>
  <c r="AU251" i="7"/>
  <c r="U26" i="26"/>
  <c r="AW122" i="7"/>
  <c r="AV129" i="7"/>
  <c r="AV162" i="7"/>
  <c r="Y227" i="26"/>
  <c r="AV211" i="7"/>
  <c r="AW218" i="7"/>
  <c r="AW114" i="7"/>
  <c r="S167" i="26"/>
  <c r="AU271" i="7"/>
  <c r="AV251" i="7"/>
  <c r="X26" i="26"/>
  <c r="AX216" i="7"/>
  <c r="U24" i="26"/>
  <c r="AX15" i="7"/>
  <c r="AW15" i="7"/>
  <c r="AX122" i="7"/>
  <c r="AU196" i="7"/>
  <c r="S8" i="26"/>
  <c r="AX162" i="7"/>
  <c r="AV124" i="7"/>
  <c r="Z227" i="26"/>
  <c r="AW211" i="7"/>
  <c r="AU114" i="7"/>
  <c r="T167" i="26"/>
  <c r="AV271" i="7"/>
  <c r="AW251" i="7"/>
  <c r="Z26" i="26"/>
  <c r="V26" i="26"/>
  <c r="V24" i="26"/>
  <c r="AW225" i="7"/>
  <c r="Z24" i="26"/>
  <c r="AV122" i="7"/>
  <c r="AV196" i="7"/>
  <c r="AX107" i="7"/>
  <c r="V8" i="26"/>
  <c r="AU38" i="7"/>
  <c r="AV199" i="7"/>
  <c r="AU162" i="7"/>
  <c r="AX124" i="7"/>
  <c r="S227" i="26"/>
  <c r="AU178" i="7"/>
  <c r="AV114" i="7"/>
  <c r="AX271" i="7"/>
  <c r="AV231" i="7"/>
  <c r="AV174" i="7"/>
  <c r="F80" i="39"/>
  <c r="G80" i="39" s="1"/>
  <c r="AU175" i="7"/>
  <c r="AX231" i="7"/>
  <c r="AX174" i="7"/>
  <c r="AX99" i="7"/>
  <c r="AZ80" i="7"/>
  <c r="AV175" i="7"/>
  <c r="AW231" i="7"/>
  <c r="AX43" i="7"/>
  <c r="AV99" i="7"/>
  <c r="BB251" i="7"/>
  <c r="AX175" i="7"/>
  <c r="AV43" i="7"/>
  <c r="AX163" i="7"/>
  <c r="AW175" i="7"/>
  <c r="AU43" i="7"/>
  <c r="AV163" i="7"/>
  <c r="AW43" i="7"/>
  <c r="AU163" i="7"/>
  <c r="AU174" i="7"/>
  <c r="AY80" i="7"/>
  <c r="BB80" i="7"/>
  <c r="A155" i="33"/>
  <c r="A155" i="39"/>
  <c r="A155" i="50"/>
  <c r="A155" i="52"/>
  <c r="A155" i="51"/>
  <c r="A155" i="6"/>
  <c r="A155" i="28"/>
  <c r="A155" i="23"/>
  <c r="A155" i="26"/>
  <c r="A155" i="25"/>
  <c r="A155" i="54"/>
  <c r="A155" i="21"/>
  <c r="A155" i="7"/>
  <c r="A155" i="15"/>
  <c r="H30" i="87"/>
  <c r="C30" i="87" s="1"/>
  <c r="Z30" i="7"/>
  <c r="H156" i="87"/>
  <c r="C156" i="87" s="1"/>
  <c r="Z156" i="7"/>
  <c r="O158" i="46"/>
  <c r="F158" i="87"/>
  <c r="O135" i="46"/>
  <c r="F135" i="87"/>
  <c r="O164" i="46"/>
  <c r="F164" i="87"/>
  <c r="O232" i="46"/>
  <c r="F232" i="87"/>
  <c r="O233" i="46"/>
  <c r="F233" i="87"/>
  <c r="O198" i="46"/>
  <c r="F198" i="87"/>
  <c r="F202" i="87"/>
  <c r="O202" i="46"/>
  <c r="F275" i="87"/>
  <c r="O275" i="46"/>
  <c r="F217" i="87"/>
  <c r="O217" i="46"/>
  <c r="O184" i="46"/>
  <c r="F184" i="87"/>
  <c r="O39" i="46"/>
  <c r="F39" i="87"/>
  <c r="O277" i="46"/>
  <c r="F277" i="87"/>
  <c r="O69" i="46"/>
  <c r="F69" i="87"/>
  <c r="O84" i="46"/>
  <c r="F84" i="87"/>
  <c r="O110" i="46"/>
  <c r="F110" i="87"/>
  <c r="O142" i="46"/>
  <c r="F142" i="87"/>
  <c r="F188" i="87"/>
  <c r="O188" i="46"/>
  <c r="F161" i="87"/>
  <c r="O161" i="46"/>
  <c r="O132" i="46"/>
  <c r="F132" i="87"/>
  <c r="F157" i="87"/>
  <c r="O157" i="46"/>
  <c r="H221" i="87"/>
  <c r="C221" i="87" s="1"/>
  <c r="Z221" i="7"/>
  <c r="AY139" i="7"/>
  <c r="AY134" i="7"/>
  <c r="O15" i="46"/>
  <c r="F15" i="87"/>
  <c r="F225" i="87"/>
  <c r="O225" i="46"/>
  <c r="O96" i="46"/>
  <c r="F96" i="87"/>
  <c r="O270" i="46"/>
  <c r="F270" i="87"/>
  <c r="F185" i="87"/>
  <c r="O185" i="46"/>
  <c r="O124" i="46"/>
  <c r="F124" i="87"/>
  <c r="F256" i="87"/>
  <c r="O256" i="46"/>
  <c r="F195" i="87"/>
  <c r="O195" i="46"/>
  <c r="F280" i="87"/>
  <c r="O280" i="46"/>
  <c r="O97" i="46"/>
  <c r="F97" i="87"/>
  <c r="O134" i="46"/>
  <c r="F134" i="87"/>
  <c r="O17" i="46"/>
  <c r="F17" i="87"/>
  <c r="O261" i="46"/>
  <c r="F261" i="87"/>
  <c r="BA263" i="7"/>
  <c r="H18" i="87"/>
  <c r="C18" i="87" s="1"/>
  <c r="Z18" i="7"/>
  <c r="F80" i="87"/>
  <c r="O80" i="46"/>
  <c r="O100" i="46"/>
  <c r="F100" i="87"/>
  <c r="O122" i="46"/>
  <c r="F122" i="87"/>
  <c r="F196" i="87"/>
  <c r="O196" i="46"/>
  <c r="F239" i="87"/>
  <c r="O239" i="46"/>
  <c r="F211" i="87"/>
  <c r="O211" i="46"/>
  <c r="O215" i="46"/>
  <c r="F215" i="87"/>
  <c r="O159" i="46"/>
  <c r="F159" i="87"/>
  <c r="O162" i="46"/>
  <c r="F162" i="87"/>
  <c r="O251" i="46"/>
  <c r="F251" i="87"/>
  <c r="O123" i="46"/>
  <c r="F123" i="87"/>
  <c r="O127" i="46"/>
  <c r="F127" i="87"/>
  <c r="O40" i="46"/>
  <c r="F40" i="87"/>
  <c r="O235" i="46"/>
  <c r="F235" i="87"/>
  <c r="O224" i="46"/>
  <c r="F224" i="87"/>
  <c r="F209" i="87"/>
  <c r="O209" i="46"/>
  <c r="O116" i="46"/>
  <c r="F116" i="87"/>
  <c r="O29" i="46"/>
  <c r="F29" i="87"/>
  <c r="F121" i="87"/>
  <c r="O121" i="46"/>
  <c r="O118" i="46"/>
  <c r="F118" i="87"/>
  <c r="F197" i="87"/>
  <c r="O197" i="46"/>
  <c r="F189" i="87"/>
  <c r="O189" i="46"/>
  <c r="O286" i="46"/>
  <c r="F286" i="87"/>
  <c r="H263" i="87"/>
  <c r="C263" i="87" s="1"/>
  <c r="Z263" i="7"/>
  <c r="F226" i="87"/>
  <c r="O226" i="46"/>
  <c r="F289" i="87"/>
  <c r="O289" i="46"/>
  <c r="F227" i="87"/>
  <c r="O227" i="46"/>
  <c r="O172" i="46"/>
  <c r="F172" i="87"/>
  <c r="F283" i="87"/>
  <c r="O283" i="46"/>
  <c r="D283" i="39"/>
  <c r="E283" i="39" s="1"/>
  <c r="F149" i="87"/>
  <c r="O149" i="46"/>
  <c r="F194" i="87"/>
  <c r="O194" i="46"/>
  <c r="O199" i="46"/>
  <c r="F199" i="87"/>
  <c r="F236" i="87"/>
  <c r="O236" i="46"/>
  <c r="O114" i="46"/>
  <c r="F114" i="87"/>
  <c r="F178" i="87"/>
  <c r="O178" i="46"/>
  <c r="F285" i="87"/>
  <c r="O285" i="46"/>
  <c r="O42" i="46"/>
  <c r="F42" i="87"/>
  <c r="O107" i="46"/>
  <c r="F107" i="87"/>
  <c r="O167" i="46"/>
  <c r="F167" i="87"/>
  <c r="F171" i="87"/>
  <c r="O171" i="46"/>
  <c r="AY183" i="7"/>
  <c r="H170" i="87"/>
  <c r="C170" i="87" s="1"/>
  <c r="Z170" i="7"/>
  <c r="F289" i="39"/>
  <c r="G289" i="39" s="1"/>
  <c r="O152" i="46"/>
  <c r="F152" i="87"/>
  <c r="F81" i="87"/>
  <c r="O81" i="46"/>
  <c r="F105" i="87"/>
  <c r="O105" i="46"/>
  <c r="F220" i="87"/>
  <c r="O220" i="46"/>
  <c r="O140" i="46"/>
  <c r="F140" i="87"/>
  <c r="O25" i="46"/>
  <c r="F25" i="87"/>
  <c r="F282" i="87"/>
  <c r="O282" i="46"/>
  <c r="O94" i="46"/>
  <c r="F94" i="87"/>
  <c r="F201" i="87"/>
  <c r="O201" i="46"/>
  <c r="F228" i="87"/>
  <c r="O228" i="46"/>
  <c r="F249" i="87"/>
  <c r="O249" i="46"/>
  <c r="F180" i="87"/>
  <c r="O180" i="46"/>
  <c r="O85" i="46"/>
  <c r="F85" i="87"/>
  <c r="O214" i="46"/>
  <c r="F214" i="87"/>
  <c r="O38" i="46"/>
  <c r="F38" i="87"/>
  <c r="O271" i="46"/>
  <c r="F271" i="87"/>
  <c r="O216" i="46"/>
  <c r="F216" i="87"/>
  <c r="O129" i="46"/>
  <c r="F129" i="87"/>
  <c r="F113" i="87"/>
  <c r="O113" i="46"/>
  <c r="O182" i="46"/>
  <c r="F182" i="87"/>
  <c r="O160" i="46"/>
  <c r="F160" i="87"/>
  <c r="O115" i="46"/>
  <c r="F115" i="87"/>
  <c r="F210" i="87"/>
  <c r="O210" i="46"/>
  <c r="F218" i="87"/>
  <c r="O218" i="46"/>
  <c r="O208" i="46"/>
  <c r="F208" i="87"/>
  <c r="F231" i="87"/>
  <c r="O231" i="46"/>
  <c r="F173" i="87"/>
  <c r="O173" i="46"/>
  <c r="O106" i="46"/>
  <c r="F106" i="87"/>
  <c r="F163" i="87"/>
  <c r="O163" i="46"/>
  <c r="O174" i="46"/>
  <c r="F174" i="87"/>
  <c r="O99" i="46"/>
  <c r="F99" i="87"/>
  <c r="O43" i="46"/>
  <c r="F43" i="87"/>
  <c r="O87" i="46"/>
  <c r="F87" i="87"/>
  <c r="O287" i="46"/>
  <c r="F287" i="87"/>
  <c r="O117" i="46"/>
  <c r="F117" i="87"/>
  <c r="F212" i="87"/>
  <c r="O212" i="46"/>
  <c r="F112" i="87"/>
  <c r="O112" i="46"/>
  <c r="O35" i="46"/>
  <c r="F35" i="87"/>
  <c r="O151" i="46"/>
  <c r="F151" i="87"/>
  <c r="O183" i="46"/>
  <c r="F183" i="87"/>
  <c r="O154" i="46"/>
  <c r="F154" i="87"/>
  <c r="F238" i="87"/>
  <c r="O238" i="46"/>
  <c r="O22" i="46"/>
  <c r="F22" i="87"/>
  <c r="F276" i="87"/>
  <c r="O276" i="46"/>
  <c r="F237" i="87"/>
  <c r="O237" i="46"/>
  <c r="O33" i="46"/>
  <c r="F33" i="87"/>
  <c r="F290" i="87"/>
  <c r="O290" i="46"/>
  <c r="O206" i="46"/>
  <c r="F206" i="87"/>
  <c r="O175" i="46"/>
  <c r="F175" i="87"/>
  <c r="O150" i="46"/>
  <c r="F150" i="87"/>
  <c r="F144" i="87"/>
  <c r="O144" i="46"/>
  <c r="O223" i="46"/>
  <c r="F223" i="87"/>
  <c r="F284" i="87"/>
  <c r="O284" i="46"/>
  <c r="O126" i="46"/>
  <c r="F126" i="87"/>
  <c r="O222" i="46"/>
  <c r="F222" i="87"/>
  <c r="O192" i="46"/>
  <c r="F192" i="87"/>
  <c r="F153" i="87"/>
  <c r="O153" i="46"/>
  <c r="O79" i="46"/>
  <c r="F79" i="87"/>
  <c r="O95" i="46"/>
  <c r="F95" i="87"/>
  <c r="F177" i="87"/>
  <c r="O177" i="46"/>
  <c r="F44" i="87"/>
  <c r="O44" i="46"/>
  <c r="F204" i="87"/>
  <c r="O204" i="46"/>
  <c r="O260" i="46"/>
  <c r="F260" i="87"/>
  <c r="F181" i="87"/>
  <c r="O181" i="46"/>
  <c r="O31" i="46"/>
  <c r="F31" i="87"/>
  <c r="F258" i="87"/>
  <c r="O258" i="46"/>
  <c r="O168" i="46"/>
  <c r="F168" i="87"/>
  <c r="O131" i="46"/>
  <c r="F131" i="87"/>
  <c r="F257" i="87"/>
  <c r="O257" i="46"/>
  <c r="F145" i="87"/>
  <c r="O145" i="46"/>
  <c r="O111" i="46"/>
  <c r="F111" i="87"/>
  <c r="F213" i="87"/>
  <c r="O213" i="46"/>
  <c r="F147" i="87"/>
  <c r="O147" i="46"/>
  <c r="O26" i="46"/>
  <c r="F26" i="87"/>
  <c r="F179" i="87"/>
  <c r="O179" i="46"/>
  <c r="AU147" i="7"/>
  <c r="AU33" i="7"/>
  <c r="AV261" i="7"/>
  <c r="AX261" i="7"/>
  <c r="AX227" i="7"/>
  <c r="AW182" i="7"/>
  <c r="AW96" i="7"/>
  <c r="AX147" i="7"/>
  <c r="AV210" i="7"/>
  <c r="AW261" i="7"/>
  <c r="AW206" i="7"/>
  <c r="AV227" i="7"/>
  <c r="AU182" i="7"/>
  <c r="AU290" i="7"/>
  <c r="AW147" i="7"/>
  <c r="AX210" i="7"/>
  <c r="AU261" i="7"/>
  <c r="AU206" i="7"/>
  <c r="AV40" i="7"/>
  <c r="AU227" i="7"/>
  <c r="AV152" i="7"/>
  <c r="AU159" i="7"/>
  <c r="AU210" i="7"/>
  <c r="AU44" i="7"/>
  <c r="AX206" i="7"/>
  <c r="AX40" i="7"/>
  <c r="AW227" i="7"/>
  <c r="AU152" i="7"/>
  <c r="AW210" i="7"/>
  <c r="AX44" i="7"/>
  <c r="AV206" i="7"/>
  <c r="AU40" i="7"/>
  <c r="AV33" i="7"/>
  <c r="AX152" i="7"/>
  <c r="AV44" i="7"/>
  <c r="AW40" i="7"/>
  <c r="AX33" i="7"/>
  <c r="AX96" i="7"/>
  <c r="AW152" i="7"/>
  <c r="AW44" i="7"/>
  <c r="AX182" i="7"/>
  <c r="AW33" i="7"/>
  <c r="AV96" i="7"/>
  <c r="AW159" i="7"/>
  <c r="AU202" i="7"/>
  <c r="AV159" i="7"/>
  <c r="AV147" i="7"/>
  <c r="AV202" i="7"/>
  <c r="AX159" i="7"/>
  <c r="AX202" i="7"/>
  <c r="AW202" i="7"/>
  <c r="AV87" i="7"/>
  <c r="AU197" i="7"/>
  <c r="AW286" i="7"/>
  <c r="AV289" i="7"/>
  <c r="AU194" i="7"/>
  <c r="AX87" i="7"/>
  <c r="AV110" i="7"/>
  <c r="AW197" i="7"/>
  <c r="AV286" i="7"/>
  <c r="AX289" i="7"/>
  <c r="AU149" i="7"/>
  <c r="AW194" i="7"/>
  <c r="AU87" i="7"/>
  <c r="AU135" i="7"/>
  <c r="AX110" i="7"/>
  <c r="AW171" i="7"/>
  <c r="AU289" i="7"/>
  <c r="AX149" i="7"/>
  <c r="AX194" i="7"/>
  <c r="H56" i="45"/>
  <c r="D56" i="45" s="1"/>
  <c r="S56" i="45" s="1"/>
  <c r="AW87" i="7"/>
  <c r="AX135" i="7"/>
  <c r="AU110" i="7"/>
  <c r="AV171" i="7"/>
  <c r="AV214" i="7"/>
  <c r="AX160" i="7"/>
  <c r="AW289" i="7"/>
  <c r="AV149" i="7"/>
  <c r="K245" i="28"/>
  <c r="L245" i="28" s="1"/>
  <c r="K245" i="46" s="1"/>
  <c r="AV135" i="7"/>
  <c r="AW110" i="7"/>
  <c r="AU171" i="7"/>
  <c r="AU214" i="7"/>
  <c r="AU160" i="7"/>
  <c r="AX275" i="7"/>
  <c r="AW149" i="7"/>
  <c r="AW135" i="7"/>
  <c r="AX171" i="7"/>
  <c r="AX214" i="7"/>
  <c r="AV160" i="7"/>
  <c r="AU275" i="7"/>
  <c r="AX197" i="7"/>
  <c r="AX286" i="7"/>
  <c r="AW214" i="7"/>
  <c r="AW160" i="7"/>
  <c r="AW275" i="7"/>
  <c r="AU172" i="7"/>
  <c r="AU157" i="7"/>
  <c r="AV223" i="7"/>
  <c r="AU238" i="7"/>
  <c r="AW213" i="7"/>
  <c r="AW172" i="7"/>
  <c r="AW157" i="7"/>
  <c r="AV236" i="7"/>
  <c r="AX223" i="7"/>
  <c r="AV121" i="7"/>
  <c r="AV238" i="7"/>
  <c r="AU213" i="7"/>
  <c r="AU276" i="7"/>
  <c r="AU115" i="7"/>
  <c r="AX236" i="7"/>
  <c r="AU223" i="7"/>
  <c r="AX121" i="7"/>
  <c r="AW238" i="7"/>
  <c r="AU144" i="7"/>
  <c r="AV280" i="7"/>
  <c r="AV213" i="7"/>
  <c r="AV100" i="7"/>
  <c r="AX276" i="7"/>
  <c r="AX249" i="7"/>
  <c r="AV115" i="7"/>
  <c r="AU236" i="7"/>
  <c r="AW223" i="7"/>
  <c r="AW121" i="7"/>
  <c r="AU94" i="7"/>
  <c r="AV144" i="7"/>
  <c r="AU257" i="7"/>
  <c r="AX280" i="7"/>
  <c r="AX213" i="7"/>
  <c r="AU100" i="7"/>
  <c r="AV276" i="7"/>
  <c r="AV249" i="7"/>
  <c r="AW115" i="7"/>
  <c r="AW236" i="7"/>
  <c r="AX94" i="7"/>
  <c r="AX144" i="7"/>
  <c r="AX257" i="7"/>
  <c r="AU280" i="7"/>
  <c r="AX100" i="7"/>
  <c r="AW276" i="7"/>
  <c r="AU249" i="7"/>
  <c r="AX115" i="7"/>
  <c r="AV94" i="7"/>
  <c r="AW144" i="7"/>
  <c r="AW257" i="7"/>
  <c r="AW280" i="7"/>
  <c r="AW100" i="7"/>
  <c r="AW249" i="7"/>
  <c r="AX172" i="7"/>
  <c r="AV157" i="7"/>
  <c r="AW94" i="7"/>
  <c r="AV257" i="7"/>
  <c r="AV26" i="7"/>
  <c r="AW84" i="7"/>
  <c r="AV215" i="7"/>
  <c r="AW284" i="7"/>
  <c r="AW168" i="7"/>
  <c r="AW26" i="7"/>
  <c r="AV42" i="7"/>
  <c r="AX198" i="7"/>
  <c r="AU215" i="7"/>
  <c r="D72" i="45"/>
  <c r="AX59" i="7"/>
  <c r="AV184" i="7"/>
  <c r="AX42" i="7"/>
  <c r="AU198" i="7"/>
  <c r="AX106" i="7"/>
  <c r="AX215" i="7"/>
  <c r="AX184" i="7"/>
  <c r="AV260" i="7"/>
  <c r="AU42" i="7"/>
  <c r="AV220" i="7"/>
  <c r="AU153" i="7"/>
  <c r="AV198" i="7"/>
  <c r="AU106" i="7"/>
  <c r="AW215" i="7"/>
  <c r="AU113" i="7"/>
  <c r="AW85" i="7"/>
  <c r="AV59" i="7"/>
  <c r="AU184" i="7"/>
  <c r="AX260" i="7"/>
  <c r="AW42" i="7"/>
  <c r="AX220" i="7"/>
  <c r="AV153" i="7"/>
  <c r="AW198" i="7"/>
  <c r="AU225" i="7"/>
  <c r="AV106" i="7"/>
  <c r="AV113" i="7"/>
  <c r="AU85" i="7"/>
  <c r="AW184" i="7"/>
  <c r="AU260" i="7"/>
  <c r="AU220" i="7"/>
  <c r="AX153" i="7"/>
  <c r="AV225" i="7"/>
  <c r="AV84" i="7"/>
  <c r="AW106" i="7"/>
  <c r="AU284" i="7"/>
  <c r="AX113" i="7"/>
  <c r="AX168" i="7"/>
  <c r="AX85" i="7"/>
  <c r="AX205" i="7"/>
  <c r="AW205" i="7"/>
  <c r="AW260" i="7"/>
  <c r="AX26" i="7"/>
  <c r="AW220" i="7"/>
  <c r="AW153" i="7"/>
  <c r="AX225" i="7"/>
  <c r="AX84" i="7"/>
  <c r="AV284" i="7"/>
  <c r="AW113" i="7"/>
  <c r="AV168" i="7"/>
  <c r="AX190" i="7"/>
  <c r="AW57" i="7"/>
  <c r="K57" i="28"/>
  <c r="M57" i="28" s="1"/>
  <c r="H57" i="45"/>
  <c r="C57" i="45" s="1"/>
  <c r="AU57" i="7"/>
  <c r="AX57" i="7"/>
  <c r="AV57" i="7"/>
  <c r="AV190" i="7"/>
  <c r="AU190" i="7"/>
  <c r="K72" i="28"/>
  <c r="M72" i="28" s="1"/>
  <c r="N72" i="46" s="1"/>
  <c r="H190" i="45"/>
  <c r="D190" i="45" s="1"/>
  <c r="S190" i="45" s="1"/>
  <c r="K190" i="28"/>
  <c r="M190" i="28" s="1"/>
  <c r="N190" i="46" s="1"/>
  <c r="F190" i="46" s="1"/>
  <c r="AM190" i="46" s="1"/>
  <c r="AV67" i="7"/>
  <c r="AX67" i="7"/>
  <c r="AW67" i="7"/>
  <c r="AU97" i="7"/>
  <c r="AW17" i="7"/>
  <c r="AX256" i="7"/>
  <c r="AX39" i="7"/>
  <c r="AX290" i="7"/>
  <c r="AU25" i="7"/>
  <c r="K98" i="28"/>
  <c r="M98" i="28" s="1"/>
  <c r="N98" i="46" s="1"/>
  <c r="D91" i="39"/>
  <c r="E91" i="39" s="1"/>
  <c r="K91" i="28" s="1"/>
  <c r="D71" i="39"/>
  <c r="E71" i="39" s="1"/>
  <c r="K71" i="28" s="1"/>
  <c r="D53" i="39"/>
  <c r="E53" i="39" s="1"/>
  <c r="K53" i="28" s="1"/>
  <c r="AW190" i="7"/>
  <c r="K59" i="28"/>
  <c r="M59" i="28" s="1"/>
  <c r="N59" i="46" s="1"/>
  <c r="AW74" i="7"/>
  <c r="AX74" i="7"/>
  <c r="AV74" i="7"/>
  <c r="K67" i="28"/>
  <c r="H67" i="45"/>
  <c r="D103" i="39"/>
  <c r="E103" i="39" s="1"/>
  <c r="H103" i="45" s="1"/>
  <c r="AW97" i="7"/>
  <c r="AX17" i="7"/>
  <c r="AV256" i="7"/>
  <c r="AV39" i="7"/>
  <c r="AW290" i="7"/>
  <c r="AW232" i="7"/>
  <c r="AX25" i="7"/>
  <c r="K74" i="28"/>
  <c r="H74" i="45"/>
  <c r="AX97" i="7"/>
  <c r="AU208" i="7"/>
  <c r="AV17" i="7"/>
  <c r="AV117" i="7"/>
  <c r="AU256" i="7"/>
  <c r="AW39" i="7"/>
  <c r="AW173" i="7"/>
  <c r="AU192" i="7"/>
  <c r="AU224" i="7"/>
  <c r="AV232" i="7"/>
  <c r="AV25" i="7"/>
  <c r="D101" i="39"/>
  <c r="E101" i="39" s="1"/>
  <c r="K101" i="28" s="1"/>
  <c r="AX208" i="7"/>
  <c r="AX117" i="7"/>
  <c r="AU173" i="7"/>
  <c r="AX158" i="7"/>
  <c r="AX192" i="7"/>
  <c r="AV224" i="7"/>
  <c r="AV287" i="7"/>
  <c r="AU232" i="7"/>
  <c r="AW25" i="7"/>
  <c r="AV185" i="7"/>
  <c r="D55" i="39"/>
  <c r="E55" i="39" s="1"/>
  <c r="D61" i="39"/>
  <c r="E61" i="39" s="1"/>
  <c r="K61" i="28" s="1"/>
  <c r="D108" i="39"/>
  <c r="E108" i="39" s="1"/>
  <c r="K108" i="28" s="1"/>
  <c r="AV208" i="7"/>
  <c r="AU226" i="7"/>
  <c r="AV173" i="7"/>
  <c r="AV158" i="7"/>
  <c r="AU79" i="7"/>
  <c r="AV192" i="7"/>
  <c r="AX224" i="7"/>
  <c r="AX287" i="7"/>
  <c r="AX232" i="7"/>
  <c r="AX185" i="7"/>
  <c r="AU151" i="7"/>
  <c r="D70" i="39"/>
  <c r="E70" i="39" s="1"/>
  <c r="H70" i="45" s="1"/>
  <c r="D73" i="39"/>
  <c r="E73" i="39" s="1"/>
  <c r="K73" i="28" s="1"/>
  <c r="AX72" i="7"/>
  <c r="AV72" i="7"/>
  <c r="AW72" i="7"/>
  <c r="AW208" i="7"/>
  <c r="AW117" i="7"/>
  <c r="AX226" i="7"/>
  <c r="AX173" i="7"/>
  <c r="AW158" i="7"/>
  <c r="AV79" i="7"/>
  <c r="AW192" i="7"/>
  <c r="K62" i="28"/>
  <c r="L62" i="28" s="1"/>
  <c r="AW224" i="7"/>
  <c r="AU287" i="7"/>
  <c r="AW185" i="7"/>
  <c r="AX151" i="7"/>
  <c r="AX154" i="7"/>
  <c r="D143" i="39"/>
  <c r="E143" i="39" s="1"/>
  <c r="H143" i="45" s="1"/>
  <c r="K10" i="28"/>
  <c r="H10" i="45"/>
  <c r="D60" i="39"/>
  <c r="E60" i="39" s="1"/>
  <c r="K60" i="28" s="1"/>
  <c r="D89" i="39"/>
  <c r="E89" i="39" s="1"/>
  <c r="K89" i="28" s="1"/>
  <c r="AV226" i="7"/>
  <c r="AU158" i="7"/>
  <c r="AX79" i="7"/>
  <c r="AV290" i="7"/>
  <c r="AW287" i="7"/>
  <c r="AU185" i="7"/>
  <c r="AV151" i="7"/>
  <c r="D66" i="39"/>
  <c r="E66" i="39" s="1"/>
  <c r="K66" i="28" s="1"/>
  <c r="D205" i="39"/>
  <c r="E205" i="39" s="1"/>
  <c r="K205" i="28" s="1"/>
  <c r="AV205" i="7"/>
  <c r="AV28" i="7"/>
  <c r="D28" i="39"/>
  <c r="E28" i="39" s="1"/>
  <c r="H75" i="45"/>
  <c r="K75" i="28"/>
  <c r="AX62" i="7"/>
  <c r="L56" i="28"/>
  <c r="M56" i="28"/>
  <c r="H34" i="45"/>
  <c r="K34" i="28"/>
  <c r="AV219" i="7"/>
  <c r="D86" i="39"/>
  <c r="E86" i="39" s="1"/>
  <c r="K86" i="28" s="1"/>
  <c r="AU86" i="7"/>
  <c r="AV86" i="7"/>
  <c r="AW86" i="7"/>
  <c r="AV75" i="7"/>
  <c r="AX75" i="7"/>
  <c r="D183" i="39"/>
  <c r="E183" i="39" s="1"/>
  <c r="AX86" i="7"/>
  <c r="AW75" i="7"/>
  <c r="AV134" i="7"/>
  <c r="AX201" i="7"/>
  <c r="D244" i="39"/>
  <c r="E244" i="39" s="1"/>
  <c r="H244" i="45" s="1"/>
  <c r="D252" i="39"/>
  <c r="E252" i="39" s="1"/>
  <c r="K252" i="28" s="1"/>
  <c r="AV252" i="7"/>
  <c r="AW252" i="7"/>
  <c r="H76" i="45"/>
  <c r="K76" i="28"/>
  <c r="AV164" i="7"/>
  <c r="AW204" i="7"/>
  <c r="AW132" i="7"/>
  <c r="AW105" i="7"/>
  <c r="AX22" i="7"/>
  <c r="AU270" i="7"/>
  <c r="AX127" i="7"/>
  <c r="AV150" i="7"/>
  <c r="AW282" i="7"/>
  <c r="AV285" i="7"/>
  <c r="D123" i="39"/>
  <c r="E123" i="39" s="1"/>
  <c r="AW112" i="7"/>
  <c r="AV244" i="7"/>
  <c r="AX252" i="7"/>
  <c r="D92" i="39"/>
  <c r="E92" i="39" s="1"/>
  <c r="AW244" i="7"/>
  <c r="K119" i="28"/>
  <c r="H119" i="45"/>
  <c r="AW148" i="7"/>
  <c r="AV148" i="7"/>
  <c r="D63" i="39"/>
  <c r="E63" i="39" s="1"/>
  <c r="AU167" i="7"/>
  <c r="AV189" i="7"/>
  <c r="AU29" i="7"/>
  <c r="AW80" i="7"/>
  <c r="K279" i="28"/>
  <c r="H279" i="45"/>
  <c r="D148" i="39"/>
  <c r="E148" i="39" s="1"/>
  <c r="AU239" i="7"/>
  <c r="AX48" i="7"/>
  <c r="AV48" i="7"/>
  <c r="K241" i="28"/>
  <c r="H241" i="45"/>
  <c r="AW134" i="7"/>
  <c r="K48" i="28"/>
  <c r="H48" i="45"/>
  <c r="D134" i="39"/>
  <c r="E134" i="39" s="1"/>
  <c r="H134" i="45" s="1"/>
  <c r="I175" i="28"/>
  <c r="J175" i="46" s="1"/>
  <c r="J175" i="28"/>
  <c r="M175" i="46" s="1"/>
  <c r="AV201" i="7"/>
  <c r="AR58" i="46"/>
  <c r="AY29" i="7"/>
  <c r="AW201" i="7"/>
  <c r="AU134" i="7"/>
  <c r="I157" i="28"/>
  <c r="J157" i="46" s="1"/>
  <c r="J157" i="28"/>
  <c r="M157" i="46" s="1"/>
  <c r="E57" i="46"/>
  <c r="AJ57" i="46" s="1"/>
  <c r="F57" i="46"/>
  <c r="AM57" i="46" s="1"/>
  <c r="C57" i="46"/>
  <c r="S57" i="46" s="1"/>
  <c r="AQ58" i="46"/>
  <c r="AP58" i="46"/>
  <c r="AM58" i="46"/>
  <c r="AN58" i="46"/>
  <c r="AF57" i="46"/>
  <c r="Z57" i="46"/>
  <c r="AE57" i="46"/>
  <c r="AB57" i="46"/>
  <c r="AD57" i="46"/>
  <c r="AA57" i="46"/>
  <c r="AC57" i="46"/>
  <c r="AV127" i="7"/>
  <c r="D167" i="39"/>
  <c r="E167" i="39" s="1"/>
  <c r="AU22" i="7"/>
  <c r="AV29" i="7"/>
  <c r="AX150" i="7"/>
  <c r="AU105" i="7"/>
  <c r="AV270" i="7"/>
  <c r="AV64" i="7"/>
  <c r="AU164" i="7"/>
  <c r="AX112" i="7"/>
  <c r="AX189" i="7"/>
  <c r="AU127" i="7"/>
  <c r="AX132" i="7"/>
  <c r="AV167" i="7"/>
  <c r="AV22" i="7"/>
  <c r="D29" i="39"/>
  <c r="E29" i="39" s="1"/>
  <c r="D150" i="39"/>
  <c r="E150" i="39" s="1"/>
  <c r="D282" i="39"/>
  <c r="E282" i="39" s="1"/>
  <c r="AX270" i="7"/>
  <c r="AX164" i="7"/>
  <c r="AU112" i="7"/>
  <c r="AU189" i="7"/>
  <c r="AU80" i="7"/>
  <c r="D127" i="39"/>
  <c r="E127" i="39" s="1"/>
  <c r="AV132" i="7"/>
  <c r="AX167" i="7"/>
  <c r="D22" i="39"/>
  <c r="E22" i="39" s="1"/>
  <c r="AW29" i="7"/>
  <c r="AW150" i="7"/>
  <c r="AV282" i="7"/>
  <c r="AU204" i="7"/>
  <c r="AX64" i="7"/>
  <c r="D164" i="39"/>
  <c r="E164" i="39" s="1"/>
  <c r="AV112" i="7"/>
  <c r="AU123" i="7"/>
  <c r="D80" i="39"/>
  <c r="E80" i="39" s="1"/>
  <c r="AU282" i="7"/>
  <c r="AW270" i="7"/>
  <c r="AV204" i="7"/>
  <c r="AU285" i="7"/>
  <c r="AV123" i="7"/>
  <c r="AV80" i="7"/>
  <c r="AU132" i="7"/>
  <c r="AX282" i="7"/>
  <c r="AX204" i="7"/>
  <c r="AW285" i="7"/>
  <c r="AX123" i="7"/>
  <c r="AX80" i="7"/>
  <c r="AX105" i="7"/>
  <c r="AX83" i="7"/>
  <c r="AW123" i="7"/>
  <c r="AZ29" i="7"/>
  <c r="Z23" i="33"/>
  <c r="AW154" i="7"/>
  <c r="AU154" i="7"/>
  <c r="AV154" i="7"/>
  <c r="D176" i="39"/>
  <c r="E176" i="39" s="1"/>
  <c r="D11" i="39"/>
  <c r="E11" i="39" s="1"/>
  <c r="D203" i="39"/>
  <c r="E203" i="39" s="1"/>
  <c r="D68" i="39"/>
  <c r="E68" i="39" s="1"/>
  <c r="K191" i="28"/>
  <c r="H191" i="45"/>
  <c r="K133" i="28"/>
  <c r="H133" i="45"/>
  <c r="K130" i="28"/>
  <c r="H130" i="45"/>
  <c r="K187" i="28"/>
  <c r="H187" i="45"/>
  <c r="D47" i="39"/>
  <c r="E47" i="39" s="1"/>
  <c r="D207" i="39"/>
  <c r="E207" i="39" s="1"/>
  <c r="L58" i="28"/>
  <c r="M58" i="28"/>
  <c r="H88" i="45"/>
  <c r="K88" i="28"/>
  <c r="J187" i="28"/>
  <c r="M187" i="46" s="1"/>
  <c r="Q36" i="45"/>
  <c r="P36" i="45"/>
  <c r="M36" i="45"/>
  <c r="O36" i="45"/>
  <c r="V23" i="33"/>
  <c r="K250" i="28"/>
  <c r="H250" i="45"/>
  <c r="D24" i="45"/>
  <c r="S24" i="45" s="1"/>
  <c r="K19" i="28"/>
  <c r="H19" i="45"/>
  <c r="K51" i="28"/>
  <c r="H51" i="45"/>
  <c r="K104" i="28"/>
  <c r="H104" i="45"/>
  <c r="J197" i="28"/>
  <c r="M197" i="46" s="1"/>
  <c r="I197" i="28"/>
  <c r="J197" i="46" s="1"/>
  <c r="V120" i="46"/>
  <c r="S120" i="46"/>
  <c r="X120" i="46"/>
  <c r="W120" i="46"/>
  <c r="U120" i="46"/>
  <c r="T120" i="46"/>
  <c r="D251" i="39"/>
  <c r="E251" i="39" s="1"/>
  <c r="H242" i="45"/>
  <c r="K242" i="28"/>
  <c r="K20" i="28"/>
  <c r="H20" i="45"/>
  <c r="H141" i="45"/>
  <c r="K141" i="28"/>
  <c r="H219" i="45"/>
  <c r="K219" i="28"/>
  <c r="M8" i="28"/>
  <c r="N8" i="46" s="1"/>
  <c r="L8" i="28"/>
  <c r="K8" i="46" s="1"/>
  <c r="AY170" i="7"/>
  <c r="BB170" i="7"/>
  <c r="F170" i="39"/>
  <c r="G170" i="39" s="1"/>
  <c r="AZ170" i="7"/>
  <c r="S200" i="45"/>
  <c r="U200" i="45"/>
  <c r="T200" i="45"/>
  <c r="R200" i="45"/>
  <c r="D271" i="39"/>
  <c r="E271" i="39" s="1"/>
  <c r="C200" i="45"/>
  <c r="L90" i="28"/>
  <c r="K90" i="46" s="1"/>
  <c r="M90" i="28"/>
  <c r="N90" i="46" s="1"/>
  <c r="H102" i="45"/>
  <c r="K102" i="28"/>
  <c r="D85" i="39"/>
  <c r="E85" i="39" s="1"/>
  <c r="H85" i="45" s="1"/>
  <c r="K54" i="28"/>
  <c r="H54" i="45"/>
  <c r="K186" i="28"/>
  <c r="H186" i="45"/>
  <c r="K169" i="28"/>
  <c r="H169" i="45"/>
  <c r="D169" i="45" s="1"/>
  <c r="K93" i="28"/>
  <c r="H93" i="45"/>
  <c r="C36" i="46"/>
  <c r="V36" i="46" s="1"/>
  <c r="AI120" i="46"/>
  <c r="AL120" i="46"/>
  <c r="AK120" i="46"/>
  <c r="AH120" i="46"/>
  <c r="AG120" i="46"/>
  <c r="AJ120" i="46"/>
  <c r="D36" i="46"/>
  <c r="AB36" i="46" s="1"/>
  <c r="D100" i="39"/>
  <c r="E100" i="39" s="1"/>
  <c r="K193" i="28"/>
  <c r="H193" i="45"/>
  <c r="D201" i="39"/>
  <c r="E201" i="39" s="1"/>
  <c r="D168" i="39"/>
  <c r="E168" i="39" s="1"/>
  <c r="K243" i="28"/>
  <c r="H243" i="45"/>
  <c r="H137" i="45"/>
  <c r="K137" i="28"/>
  <c r="K272" i="28"/>
  <c r="H272" i="45"/>
  <c r="D245" i="45"/>
  <c r="C245" i="45"/>
  <c r="D98" i="45"/>
  <c r="C98" i="45"/>
  <c r="L246" i="28"/>
  <c r="K246" i="46" s="1"/>
  <c r="M246" i="28"/>
  <c r="N246" i="46" s="1"/>
  <c r="C246" i="45"/>
  <c r="D246" i="45"/>
  <c r="K166" i="28"/>
  <c r="H166" i="45"/>
  <c r="D228" i="39"/>
  <c r="E228" i="39" s="1"/>
  <c r="D94" i="39"/>
  <c r="E94" i="39" s="1"/>
  <c r="Y31" i="26"/>
  <c r="U31" i="26"/>
  <c r="T31" i="26"/>
  <c r="S31" i="26"/>
  <c r="Z31" i="26"/>
  <c r="W31" i="26"/>
  <c r="V31" i="26"/>
  <c r="C136" i="45"/>
  <c r="D136" i="45"/>
  <c r="D107" i="39"/>
  <c r="E107" i="39" s="1"/>
  <c r="D177" i="39"/>
  <c r="E177" i="39" s="1"/>
  <c r="D69" i="39"/>
  <c r="E69" i="39" s="1"/>
  <c r="D227" i="39"/>
  <c r="E227" i="39" s="1"/>
  <c r="D182" i="39"/>
  <c r="E182" i="39" s="1"/>
  <c r="W217" i="26"/>
  <c r="S217" i="26"/>
  <c r="Z217" i="26"/>
  <c r="Y217" i="26"/>
  <c r="V217" i="26"/>
  <c r="U217" i="26"/>
  <c r="T217" i="26"/>
  <c r="Y118" i="26"/>
  <c r="U118" i="26"/>
  <c r="T118" i="26"/>
  <c r="Z118" i="26"/>
  <c r="W118" i="26"/>
  <c r="V118" i="26"/>
  <c r="S118" i="26"/>
  <c r="D277" i="39"/>
  <c r="E277" i="39" s="1"/>
  <c r="D217" i="39"/>
  <c r="E217" i="39" s="1"/>
  <c r="D231" i="39"/>
  <c r="E231" i="39" s="1"/>
  <c r="D96" i="39"/>
  <c r="E96" i="39" s="1"/>
  <c r="D238" i="39"/>
  <c r="E238" i="39" s="1"/>
  <c r="D144" i="39"/>
  <c r="E144" i="39" s="1"/>
  <c r="D287" i="39"/>
  <c r="E287" i="39" s="1"/>
  <c r="D215" i="39"/>
  <c r="E215" i="39" s="1"/>
  <c r="L136" i="28"/>
  <c r="K136" i="46" s="1"/>
  <c r="M136" i="28"/>
  <c r="N136" i="46" s="1"/>
  <c r="D218" i="39"/>
  <c r="E218" i="39" s="1"/>
  <c r="D140" i="39"/>
  <c r="E140" i="39" s="1"/>
  <c r="D113" i="39"/>
  <c r="E113" i="39" s="1"/>
  <c r="D202" i="39"/>
  <c r="E202" i="39" s="1"/>
  <c r="D151" i="39"/>
  <c r="E151" i="39" s="1"/>
  <c r="W184" i="26"/>
  <c r="T184" i="26"/>
  <c r="S184" i="26"/>
  <c r="Z184" i="26"/>
  <c r="Y184" i="26"/>
  <c r="V184" i="26"/>
  <c r="U184" i="26"/>
  <c r="W189" i="26"/>
  <c r="V189" i="26"/>
  <c r="S189" i="26"/>
  <c r="Z189" i="26"/>
  <c r="U189" i="26"/>
  <c r="Y189" i="26"/>
  <c r="T189" i="26"/>
  <c r="D17" i="39"/>
  <c r="E17" i="39" s="1"/>
  <c r="D126" i="39"/>
  <c r="E126" i="39" s="1"/>
  <c r="D249" i="39"/>
  <c r="E249" i="39" s="1"/>
  <c r="D145" i="39"/>
  <c r="E145" i="39" s="1"/>
  <c r="D97" i="39"/>
  <c r="E97" i="39" s="1"/>
  <c r="D129" i="39"/>
  <c r="E129" i="39" s="1"/>
  <c r="D212" i="39"/>
  <c r="E212" i="39" s="1"/>
  <c r="D173" i="39"/>
  <c r="E173" i="39" s="1"/>
  <c r="D214" i="39"/>
  <c r="E214" i="39" s="1"/>
  <c r="V123" i="26"/>
  <c r="U123" i="26"/>
  <c r="Z123" i="26"/>
  <c r="Y123" i="26"/>
  <c r="S123" i="26"/>
  <c r="W123" i="26"/>
  <c r="T123" i="26"/>
  <c r="D160" i="39"/>
  <c r="E160" i="39" s="1"/>
  <c r="D142" i="39"/>
  <c r="E142" i="39" s="1"/>
  <c r="D225" i="39"/>
  <c r="E225" i="39" s="1"/>
  <c r="D62" i="45"/>
  <c r="C62" i="45"/>
  <c r="D84" i="39"/>
  <c r="E84" i="39" s="1"/>
  <c r="D224" i="39"/>
  <c r="E224" i="39" s="1"/>
  <c r="D116" i="39"/>
  <c r="E116" i="39" s="1"/>
  <c r="D31" i="39"/>
  <c r="E31" i="39" s="1"/>
  <c r="D149" i="39"/>
  <c r="E149" i="39" s="1"/>
  <c r="Y39" i="26"/>
  <c r="Z39" i="26"/>
  <c r="U39" i="26"/>
  <c r="T39" i="26"/>
  <c r="S39" i="26"/>
  <c r="W39" i="26"/>
  <c r="V39" i="26"/>
  <c r="D175" i="39"/>
  <c r="E175" i="39" s="1"/>
  <c r="D184" i="39"/>
  <c r="E184" i="39" s="1"/>
  <c r="D115" i="39"/>
  <c r="E115" i="39" s="1"/>
  <c r="D44" i="39"/>
  <c r="E44" i="39" s="1"/>
  <c r="D206" i="39"/>
  <c r="E206" i="39" s="1"/>
  <c r="D236" i="39"/>
  <c r="E236" i="39" s="1"/>
  <c r="V27" i="26"/>
  <c r="U27" i="26"/>
  <c r="W27" i="26"/>
  <c r="T27" i="26"/>
  <c r="S27" i="26"/>
  <c r="Z27" i="26"/>
  <c r="Y27" i="26"/>
  <c r="D26" i="39"/>
  <c r="E26" i="39" s="1"/>
  <c r="T205" i="26"/>
  <c r="S205" i="26"/>
  <c r="Z205" i="26"/>
  <c r="W205" i="26"/>
  <c r="Y205" i="26"/>
  <c r="V205" i="26"/>
  <c r="U205" i="26"/>
  <c r="D188" i="39"/>
  <c r="E188" i="39" s="1"/>
  <c r="D153" i="39"/>
  <c r="E153" i="39" s="1"/>
  <c r="T152" i="26"/>
  <c r="S152" i="26"/>
  <c r="Z152" i="26"/>
  <c r="W152" i="26"/>
  <c r="Y152" i="26"/>
  <c r="V152" i="26"/>
  <c r="U152" i="26"/>
  <c r="D179" i="39"/>
  <c r="E179" i="39" s="1"/>
  <c r="Y71" i="26"/>
  <c r="W71" i="26"/>
  <c r="V71" i="26"/>
  <c r="U71" i="26"/>
  <c r="T71" i="26"/>
  <c r="S71" i="26"/>
  <c r="Z71" i="26"/>
  <c r="D204" i="39"/>
  <c r="E204" i="39" s="1"/>
  <c r="D222" i="39"/>
  <c r="E222" i="39" s="1"/>
  <c r="V103" i="26"/>
  <c r="U103" i="26"/>
  <c r="Z103" i="26"/>
  <c r="Y103" i="26"/>
  <c r="W103" i="26"/>
  <c r="T103" i="26"/>
  <c r="S103" i="26"/>
  <c r="Z179" i="26"/>
  <c r="Y179" i="26"/>
  <c r="V179" i="26"/>
  <c r="U179" i="26"/>
  <c r="S179" i="26"/>
  <c r="W179" i="26"/>
  <c r="T179" i="26"/>
  <c r="D131" i="39"/>
  <c r="E131" i="39" s="1"/>
  <c r="E155" i="46"/>
  <c r="C155" i="46"/>
  <c r="D258" i="39"/>
  <c r="E258" i="39" s="1"/>
  <c r="D118" i="39"/>
  <c r="E118" i="39" s="1"/>
  <c r="D260" i="39"/>
  <c r="E260" i="39" s="1"/>
  <c r="D39" i="39"/>
  <c r="E39" i="39" s="1"/>
  <c r="Z150" i="26"/>
  <c r="Y150" i="26"/>
  <c r="V150" i="26"/>
  <c r="U150" i="26"/>
  <c r="W150" i="26"/>
  <c r="T150" i="26"/>
  <c r="S150" i="26"/>
  <c r="D290" i="39"/>
  <c r="E290" i="39" s="1"/>
  <c r="D105" i="39"/>
  <c r="E105" i="39" s="1"/>
  <c r="D216" i="39"/>
  <c r="E216" i="39" s="1"/>
  <c r="D25" i="39"/>
  <c r="E25" i="39" s="1"/>
  <c r="D280" i="39"/>
  <c r="E280" i="39" s="1"/>
  <c r="D211" i="39"/>
  <c r="E211" i="39" s="1"/>
  <c r="Y255" i="26"/>
  <c r="W255" i="26"/>
  <c r="U255" i="26"/>
  <c r="T255" i="26"/>
  <c r="S255" i="26"/>
  <c r="Z255" i="26"/>
  <c r="V255" i="26"/>
  <c r="D15" i="39"/>
  <c r="E15" i="39" s="1"/>
  <c r="D276" i="39"/>
  <c r="E276" i="39" s="1"/>
  <c r="D275" i="39"/>
  <c r="E275" i="39" s="1"/>
  <c r="Y212" i="26"/>
  <c r="W212" i="26"/>
  <c r="U212" i="26"/>
  <c r="T212" i="26"/>
  <c r="S212" i="26"/>
  <c r="Z212" i="26"/>
  <c r="V212" i="26"/>
  <c r="F155" i="46"/>
  <c r="D155" i="46"/>
  <c r="D210" i="39"/>
  <c r="E210" i="39" s="1"/>
  <c r="D261" i="39"/>
  <c r="E261" i="39" s="1"/>
  <c r="D132" i="39"/>
  <c r="E132" i="39" s="1"/>
  <c r="D226" i="39"/>
  <c r="E226" i="39" s="1"/>
  <c r="D38" i="39"/>
  <c r="E38" i="39" s="1"/>
  <c r="D286" i="39"/>
  <c r="E286" i="39" s="1"/>
  <c r="D195" i="39"/>
  <c r="E195" i="39" s="1"/>
  <c r="D171" i="39"/>
  <c r="E171" i="39" s="1"/>
  <c r="D42" i="39"/>
  <c r="E42" i="39" s="1"/>
  <c r="D121" i="39"/>
  <c r="E121" i="39" s="1"/>
  <c r="D33" i="39"/>
  <c r="E33" i="39" s="1"/>
  <c r="U155" i="45"/>
  <c r="R155" i="45"/>
  <c r="S155" i="45"/>
  <c r="T155" i="45"/>
  <c r="Y132" i="26"/>
  <c r="U132" i="26"/>
  <c r="T132" i="26"/>
  <c r="Z132" i="26"/>
  <c r="W132" i="26"/>
  <c r="V132" i="26"/>
  <c r="S132" i="26"/>
  <c r="D124" i="39"/>
  <c r="E124" i="39" s="1"/>
  <c r="D43" i="39"/>
  <c r="E43" i="39" s="1"/>
  <c r="D106" i="39"/>
  <c r="E106" i="39" s="1"/>
  <c r="D257" i="39"/>
  <c r="E257" i="39" s="1"/>
  <c r="D233" i="39"/>
  <c r="E233" i="39" s="1"/>
  <c r="D112" i="39"/>
  <c r="E112" i="39" s="1"/>
  <c r="D147" i="39"/>
  <c r="E147" i="39" s="1"/>
  <c r="D135" i="39"/>
  <c r="E135" i="39" s="1"/>
  <c r="D223" i="39"/>
  <c r="E223" i="39" s="1"/>
  <c r="D198" i="39"/>
  <c r="E198" i="39" s="1"/>
  <c r="D270" i="39"/>
  <c r="E270" i="39" s="1"/>
  <c r="D284" i="39"/>
  <c r="E284" i="39" s="1"/>
  <c r="D181" i="39"/>
  <c r="E181" i="39" s="1"/>
  <c r="D180" i="39"/>
  <c r="E180" i="39" s="1"/>
  <c r="D208" i="39"/>
  <c r="E208" i="39" s="1"/>
  <c r="Z79" i="26"/>
  <c r="Y79" i="26"/>
  <c r="W79" i="26"/>
  <c r="V79" i="26"/>
  <c r="U79" i="26"/>
  <c r="T79" i="26"/>
  <c r="S79" i="26"/>
  <c r="D87" i="39"/>
  <c r="E87" i="39" s="1"/>
  <c r="V9" i="26"/>
  <c r="U9" i="26"/>
  <c r="T9" i="26"/>
  <c r="S9" i="26"/>
  <c r="Z9" i="26"/>
  <c r="Y9" i="26"/>
  <c r="W9" i="26"/>
  <c r="D117" i="39"/>
  <c r="E117" i="39" s="1"/>
  <c r="D256" i="39"/>
  <c r="E256" i="39" s="1"/>
  <c r="D40" i="39"/>
  <c r="E40" i="39" s="1"/>
  <c r="D158" i="39"/>
  <c r="E158" i="39" s="1"/>
  <c r="D79" i="39"/>
  <c r="E79" i="39" s="1"/>
  <c r="D111" i="39"/>
  <c r="E111" i="39" s="1"/>
  <c r="D152" i="39"/>
  <c r="E152" i="39" s="1"/>
  <c r="D237" i="39"/>
  <c r="E237" i="39" s="1"/>
  <c r="D159" i="39"/>
  <c r="E159" i="39" s="1"/>
  <c r="D178" i="39"/>
  <c r="E178" i="39" s="1"/>
  <c r="D174" i="39"/>
  <c r="E174" i="39" s="1"/>
  <c r="D185" i="39"/>
  <c r="E185" i="39" s="1"/>
  <c r="D194" i="39"/>
  <c r="E194" i="39" s="1"/>
  <c r="D196" i="39"/>
  <c r="E196" i="39" s="1"/>
  <c r="D220" i="39"/>
  <c r="E220" i="39" s="1"/>
  <c r="D213" i="39"/>
  <c r="E213" i="39" s="1"/>
  <c r="D163" i="39"/>
  <c r="E163" i="39" s="1"/>
  <c r="D122" i="39"/>
  <c r="E122" i="39" s="1"/>
  <c r="D110" i="39"/>
  <c r="E110" i="39" s="1"/>
  <c r="D81" i="39"/>
  <c r="E81" i="39" s="1"/>
  <c r="V188" i="26"/>
  <c r="U188" i="26"/>
  <c r="Z188" i="26"/>
  <c r="Y188" i="26"/>
  <c r="W188" i="26"/>
  <c r="T188" i="26"/>
  <c r="S188" i="26"/>
  <c r="D209" i="39"/>
  <c r="E209" i="39" s="1"/>
  <c r="D172" i="39"/>
  <c r="E172" i="39" s="1"/>
  <c r="D157" i="39"/>
  <c r="E157" i="39" s="1"/>
  <c r="D197" i="39"/>
  <c r="E197" i="39" s="1"/>
  <c r="D199" i="39"/>
  <c r="E199" i="39" s="1"/>
  <c r="D161" i="39"/>
  <c r="E161" i="39" s="1"/>
  <c r="D162" i="39"/>
  <c r="E162" i="39" s="1"/>
  <c r="D192" i="39"/>
  <c r="E192" i="39" s="1"/>
  <c r="D289" i="39"/>
  <c r="E289" i="39" s="1"/>
  <c r="V163" i="26"/>
  <c r="U163" i="26"/>
  <c r="Z163" i="26"/>
  <c r="Y163" i="26"/>
  <c r="T163" i="26"/>
  <c r="S163" i="26"/>
  <c r="W163" i="26"/>
  <c r="D35" i="39"/>
  <c r="E35" i="39" s="1"/>
  <c r="D232" i="39"/>
  <c r="E232" i="39" s="1"/>
  <c r="D95" i="39"/>
  <c r="E95" i="39" s="1"/>
  <c r="D285" i="39"/>
  <c r="E285" i="39" s="1"/>
  <c r="D99" i="39"/>
  <c r="E99" i="39" s="1"/>
  <c r="D114" i="39"/>
  <c r="E114" i="39" s="1"/>
  <c r="AJ36" i="46"/>
  <c r="AI36" i="46"/>
  <c r="AG36" i="46"/>
  <c r="AH36" i="46"/>
  <c r="AL36" i="46"/>
  <c r="AK36" i="46"/>
  <c r="O24" i="45"/>
  <c r="M24" i="45"/>
  <c r="N24" i="45"/>
  <c r="P24" i="45"/>
  <c r="Q24" i="45"/>
  <c r="S288" i="45"/>
  <c r="U288" i="45"/>
  <c r="T288" i="45"/>
  <c r="R288" i="45"/>
  <c r="C288" i="46"/>
  <c r="E288" i="46"/>
  <c r="D288" i="46"/>
  <c r="F288" i="46"/>
  <c r="AM120" i="46" l="1"/>
  <c r="AQ120" i="46"/>
  <c r="AP120" i="46"/>
  <c r="AN120" i="46"/>
  <c r="AO120" i="46"/>
  <c r="R4" i="45"/>
  <c r="AG58" i="46"/>
  <c r="R165" i="87"/>
  <c r="S165" i="87"/>
  <c r="W165" i="87"/>
  <c r="T165" i="87"/>
  <c r="V165" i="87"/>
  <c r="X165" i="87"/>
  <c r="AK58" i="46"/>
  <c r="AH58" i="46"/>
  <c r="AI58" i="46"/>
  <c r="AJ58" i="46"/>
  <c r="F200" i="46"/>
  <c r="AQ200" i="46" s="1"/>
  <c r="L200" i="28"/>
  <c r="K200" i="46" s="1"/>
  <c r="E200" i="46" s="1"/>
  <c r="AL200" i="46" s="1"/>
  <c r="T4" i="45"/>
  <c r="R59" i="45"/>
  <c r="O120" i="45"/>
  <c r="Q120" i="45"/>
  <c r="P120" i="45"/>
  <c r="N120" i="45"/>
  <c r="AC58" i="46"/>
  <c r="Z58" i="46"/>
  <c r="AB58" i="46"/>
  <c r="AF58" i="46"/>
  <c r="AA58" i="46"/>
  <c r="AD58" i="46"/>
  <c r="AW8" i="7"/>
  <c r="M58" i="45"/>
  <c r="D58" i="45"/>
  <c r="R58" i="45" s="1"/>
  <c r="O58" i="45"/>
  <c r="N58" i="45"/>
  <c r="Q58" i="45"/>
  <c r="C165" i="45"/>
  <c r="M165" i="45" s="1"/>
  <c r="F8" i="39"/>
  <c r="G8" i="39" s="1"/>
  <c r="BB8" i="7"/>
  <c r="D8" i="45"/>
  <c r="S8" i="45" s="1"/>
  <c r="K165" i="28"/>
  <c r="M165" i="28" s="1"/>
  <c r="N165" i="46" s="1"/>
  <c r="D165" i="46" s="1"/>
  <c r="S59" i="45"/>
  <c r="T59" i="45"/>
  <c r="U4" i="45"/>
  <c r="L65" i="7"/>
  <c r="K65" i="7"/>
  <c r="O37" i="7"/>
  <c r="H37" i="87"/>
  <c r="C37" i="87" s="1"/>
  <c r="L278" i="7"/>
  <c r="H278" i="87"/>
  <c r="K34" i="7"/>
  <c r="BA34" i="7"/>
  <c r="AY34" i="7"/>
  <c r="BB34" i="7"/>
  <c r="AZ34" i="7"/>
  <c r="F34" i="39"/>
  <c r="G34" i="39" s="1"/>
  <c r="L37" i="7"/>
  <c r="P37" i="7" s="1"/>
  <c r="AX6" i="7"/>
  <c r="BB6" i="7"/>
  <c r="M4" i="28"/>
  <c r="N4" i="46" s="1"/>
  <c r="F4" i="46" s="1"/>
  <c r="H262" i="87"/>
  <c r="H8" i="87"/>
  <c r="R8" i="87" s="1"/>
  <c r="H264" i="87"/>
  <c r="H259" i="87"/>
  <c r="AY6" i="7"/>
  <c r="AZ8" i="7"/>
  <c r="AY8" i="7"/>
  <c r="W200" i="87"/>
  <c r="AU6" i="7"/>
  <c r="X200" i="87"/>
  <c r="H6" i="87"/>
  <c r="C6" i="87" s="1"/>
  <c r="R200" i="87"/>
  <c r="Z6" i="7"/>
  <c r="BF6" i="7" s="1"/>
  <c r="S200" i="87"/>
  <c r="AV6" i="7"/>
  <c r="T200" i="87"/>
  <c r="V200" i="87"/>
  <c r="AU8" i="7"/>
  <c r="AX8" i="7"/>
  <c r="BF8" i="7"/>
  <c r="AZ6" i="7"/>
  <c r="F6" i="39"/>
  <c r="G6" i="39" s="1"/>
  <c r="H9" i="87"/>
  <c r="P59" i="45"/>
  <c r="H248" i="87"/>
  <c r="H120" i="87"/>
  <c r="R120" i="87" s="1"/>
  <c r="M72" i="45"/>
  <c r="BF120" i="7"/>
  <c r="Q72" i="45"/>
  <c r="N72" i="45"/>
  <c r="O72" i="45"/>
  <c r="F4" i="39"/>
  <c r="G4" i="39" s="1"/>
  <c r="BF4" i="7"/>
  <c r="AZ4" i="7"/>
  <c r="H4" i="87"/>
  <c r="R4" i="87" s="1"/>
  <c r="H273" i="87"/>
  <c r="AZ36" i="7"/>
  <c r="F36" i="39"/>
  <c r="G36" i="39" s="1"/>
  <c r="BB36" i="7"/>
  <c r="AY36" i="7"/>
  <c r="AY4" i="7"/>
  <c r="BA4" i="7"/>
  <c r="AE120" i="46"/>
  <c r="AB120" i="46"/>
  <c r="D90" i="45"/>
  <c r="S90" i="45" s="1"/>
  <c r="C125" i="45"/>
  <c r="Q125" i="45" s="1"/>
  <c r="Q155" i="45"/>
  <c r="AC120" i="46"/>
  <c r="Q59" i="45"/>
  <c r="AF120" i="46"/>
  <c r="AD120" i="46"/>
  <c r="Z120" i="46"/>
  <c r="O59" i="45"/>
  <c r="N59" i="45"/>
  <c r="O36" i="7"/>
  <c r="BF36" i="7"/>
  <c r="H36" i="87"/>
  <c r="M155" i="45"/>
  <c r="U125" i="45"/>
  <c r="N155" i="45"/>
  <c r="O155" i="45"/>
  <c r="R125" i="45"/>
  <c r="AX24" i="7"/>
  <c r="X111" i="87"/>
  <c r="V111" i="87"/>
  <c r="U111" i="87"/>
  <c r="W111" i="87"/>
  <c r="S111" i="87"/>
  <c r="R111" i="87"/>
  <c r="T111" i="87"/>
  <c r="X150" i="87"/>
  <c r="V150" i="87"/>
  <c r="U150" i="87"/>
  <c r="T150" i="87"/>
  <c r="S150" i="87"/>
  <c r="R150" i="87"/>
  <c r="W150" i="87"/>
  <c r="T22" i="87"/>
  <c r="R22" i="87"/>
  <c r="X22" i="87"/>
  <c r="S22" i="87"/>
  <c r="W22" i="87"/>
  <c r="V22" i="87"/>
  <c r="U22" i="87"/>
  <c r="X174" i="87"/>
  <c r="V174" i="87"/>
  <c r="U174" i="87"/>
  <c r="S174" i="87"/>
  <c r="W174" i="87"/>
  <c r="T174" i="87"/>
  <c r="R174" i="87"/>
  <c r="U216" i="87"/>
  <c r="X216" i="87"/>
  <c r="W216" i="87"/>
  <c r="V216" i="87"/>
  <c r="S216" i="87"/>
  <c r="T216" i="87"/>
  <c r="R216" i="87"/>
  <c r="T107" i="87"/>
  <c r="R107" i="87"/>
  <c r="X107" i="87"/>
  <c r="V107" i="87"/>
  <c r="U107" i="87"/>
  <c r="S107" i="87"/>
  <c r="X289" i="87"/>
  <c r="V289" i="87"/>
  <c r="U289" i="87"/>
  <c r="W289" i="87"/>
  <c r="T289" i="87"/>
  <c r="S289" i="87"/>
  <c r="R289" i="87"/>
  <c r="X121" i="87"/>
  <c r="V121" i="87"/>
  <c r="U121" i="87"/>
  <c r="T121" i="87"/>
  <c r="S121" i="87"/>
  <c r="R121" i="87"/>
  <c r="U239" i="87"/>
  <c r="X239" i="87"/>
  <c r="R239" i="87"/>
  <c r="V239" i="87"/>
  <c r="S239" i="87"/>
  <c r="T239" i="87"/>
  <c r="W239" i="87"/>
  <c r="T17" i="87"/>
  <c r="R17" i="87"/>
  <c r="X17" i="87"/>
  <c r="V17" i="87"/>
  <c r="U17" i="87"/>
  <c r="S17" i="87"/>
  <c r="W17" i="87"/>
  <c r="T69" i="87"/>
  <c r="R69" i="87"/>
  <c r="X69" i="87"/>
  <c r="S69" i="87"/>
  <c r="W69" i="87"/>
  <c r="V69" i="87"/>
  <c r="U69" i="87"/>
  <c r="U198" i="87"/>
  <c r="V198" i="87"/>
  <c r="T198" i="87"/>
  <c r="X198" i="87"/>
  <c r="W198" i="87"/>
  <c r="R198" i="87"/>
  <c r="S198" i="87"/>
  <c r="U183" i="87"/>
  <c r="V183" i="87"/>
  <c r="T183" i="87"/>
  <c r="X183" i="87"/>
  <c r="S183" i="87"/>
  <c r="W183" i="87"/>
  <c r="R183" i="87"/>
  <c r="U181" i="87"/>
  <c r="X181" i="87"/>
  <c r="R181" i="87"/>
  <c r="W181" i="87"/>
  <c r="V181" i="87"/>
  <c r="T181" i="87"/>
  <c r="S181" i="87"/>
  <c r="U153" i="87"/>
  <c r="X153" i="87"/>
  <c r="W153" i="87"/>
  <c r="V153" i="87"/>
  <c r="T153" i="87"/>
  <c r="S153" i="87"/>
  <c r="R153" i="87"/>
  <c r="U112" i="87"/>
  <c r="V112" i="87"/>
  <c r="X112" i="87"/>
  <c r="W112" i="87"/>
  <c r="T112" i="87"/>
  <c r="S112" i="87"/>
  <c r="R112" i="87"/>
  <c r="U218" i="87"/>
  <c r="S218" i="87"/>
  <c r="R218" i="87"/>
  <c r="X218" i="87"/>
  <c r="W218" i="87"/>
  <c r="V218" i="87"/>
  <c r="T218" i="87"/>
  <c r="U228" i="87"/>
  <c r="V228" i="87"/>
  <c r="T228" i="87"/>
  <c r="S228" i="87"/>
  <c r="R228" i="87"/>
  <c r="X228" i="87"/>
  <c r="W228" i="87"/>
  <c r="T105" i="87"/>
  <c r="R105" i="87"/>
  <c r="X105" i="87"/>
  <c r="V105" i="87"/>
  <c r="U105" i="87"/>
  <c r="W105" i="87"/>
  <c r="S105" i="87"/>
  <c r="X29" i="87"/>
  <c r="V29" i="87"/>
  <c r="U29" i="87"/>
  <c r="T29" i="87"/>
  <c r="S29" i="87"/>
  <c r="W29" i="87"/>
  <c r="R29" i="87"/>
  <c r="X123" i="87"/>
  <c r="V123" i="87"/>
  <c r="U123" i="87"/>
  <c r="W123" i="87"/>
  <c r="S123" i="87"/>
  <c r="R123" i="87"/>
  <c r="T123" i="87"/>
  <c r="U185" i="87"/>
  <c r="V185" i="87"/>
  <c r="S185" i="87"/>
  <c r="R185" i="87"/>
  <c r="W185" i="87"/>
  <c r="T185" i="87"/>
  <c r="X185" i="87"/>
  <c r="U157" i="87"/>
  <c r="V157" i="87"/>
  <c r="S157" i="87"/>
  <c r="R157" i="87"/>
  <c r="X157" i="87"/>
  <c r="T157" i="87"/>
  <c r="W157" i="87"/>
  <c r="U192" i="87"/>
  <c r="S192" i="87"/>
  <c r="R192" i="87"/>
  <c r="X192" i="87"/>
  <c r="W192" i="87"/>
  <c r="V192" i="87"/>
  <c r="T192" i="87"/>
  <c r="U175" i="87"/>
  <c r="S175" i="87"/>
  <c r="R175" i="87"/>
  <c r="W175" i="87"/>
  <c r="V175" i="87"/>
  <c r="T175" i="87"/>
  <c r="X175" i="87"/>
  <c r="U271" i="87"/>
  <c r="S271" i="87"/>
  <c r="R271" i="87"/>
  <c r="X271" i="87"/>
  <c r="W271" i="87"/>
  <c r="V271" i="87"/>
  <c r="T271" i="87"/>
  <c r="X42" i="87"/>
  <c r="R42" i="87"/>
  <c r="V42" i="87"/>
  <c r="T42" i="87"/>
  <c r="S42" i="87"/>
  <c r="W42" i="87"/>
  <c r="U42" i="87"/>
  <c r="U226" i="87"/>
  <c r="V226" i="87"/>
  <c r="T226" i="87"/>
  <c r="W226" i="87"/>
  <c r="S226" i="87"/>
  <c r="X226" i="87"/>
  <c r="R226" i="87"/>
  <c r="U196" i="87"/>
  <c r="X196" i="87"/>
  <c r="W196" i="87"/>
  <c r="V196" i="87"/>
  <c r="T196" i="87"/>
  <c r="S196" i="87"/>
  <c r="R196" i="87"/>
  <c r="U134" i="87"/>
  <c r="S134" i="87"/>
  <c r="X134" i="87"/>
  <c r="R134" i="87"/>
  <c r="W134" i="87"/>
  <c r="T134" i="87"/>
  <c r="V134" i="87"/>
  <c r="X270" i="87"/>
  <c r="V270" i="87"/>
  <c r="U270" i="87"/>
  <c r="W270" i="87"/>
  <c r="T270" i="87"/>
  <c r="S270" i="87"/>
  <c r="R270" i="87"/>
  <c r="U132" i="87"/>
  <c r="S132" i="87"/>
  <c r="X132" i="87"/>
  <c r="W132" i="87"/>
  <c r="T132" i="87"/>
  <c r="V132" i="87"/>
  <c r="R132" i="87"/>
  <c r="U277" i="87"/>
  <c r="V277" i="87"/>
  <c r="T277" i="87"/>
  <c r="S277" i="87"/>
  <c r="X277" i="87"/>
  <c r="W277" i="87"/>
  <c r="R277" i="87"/>
  <c r="U233" i="87"/>
  <c r="S233" i="87"/>
  <c r="R233" i="87"/>
  <c r="T233" i="87"/>
  <c r="X233" i="87"/>
  <c r="W233" i="87"/>
  <c r="V233" i="87"/>
  <c r="X145" i="87"/>
  <c r="V145" i="87"/>
  <c r="U145" i="87"/>
  <c r="S145" i="87"/>
  <c r="W145" i="87"/>
  <c r="T145" i="87"/>
  <c r="R145" i="87"/>
  <c r="X238" i="87"/>
  <c r="V238" i="87"/>
  <c r="U238" i="87"/>
  <c r="W238" i="87"/>
  <c r="T238" i="87"/>
  <c r="S238" i="87"/>
  <c r="R238" i="87"/>
  <c r="U212" i="87"/>
  <c r="V212" i="87"/>
  <c r="T212" i="87"/>
  <c r="X212" i="87"/>
  <c r="W212" i="87"/>
  <c r="S212" i="87"/>
  <c r="R212" i="87"/>
  <c r="U163" i="87"/>
  <c r="S163" i="87"/>
  <c r="X163" i="87"/>
  <c r="W163" i="87"/>
  <c r="V163" i="87"/>
  <c r="T163" i="87"/>
  <c r="R163" i="87"/>
  <c r="U210" i="87"/>
  <c r="X210" i="87"/>
  <c r="R210" i="87"/>
  <c r="W210" i="87"/>
  <c r="V210" i="87"/>
  <c r="T210" i="87"/>
  <c r="S210" i="87"/>
  <c r="X201" i="87"/>
  <c r="V201" i="87"/>
  <c r="U201" i="87"/>
  <c r="S201" i="87"/>
  <c r="R201" i="87"/>
  <c r="W201" i="87"/>
  <c r="T201" i="87"/>
  <c r="T81" i="87"/>
  <c r="R81" i="87"/>
  <c r="X81" i="87"/>
  <c r="W81" i="87"/>
  <c r="V81" i="87"/>
  <c r="U81" i="87"/>
  <c r="S81" i="87"/>
  <c r="U194" i="87"/>
  <c r="X194" i="87"/>
  <c r="W194" i="87"/>
  <c r="V194" i="87"/>
  <c r="T194" i="87"/>
  <c r="S194" i="87"/>
  <c r="R194" i="87"/>
  <c r="U116" i="87"/>
  <c r="X116" i="87"/>
  <c r="W116" i="87"/>
  <c r="V116" i="87"/>
  <c r="T116" i="87"/>
  <c r="S116" i="87"/>
  <c r="R116" i="87"/>
  <c r="U251" i="87"/>
  <c r="S251" i="87"/>
  <c r="R251" i="87"/>
  <c r="X251" i="87"/>
  <c r="W251" i="87"/>
  <c r="V251" i="87"/>
  <c r="T251" i="87"/>
  <c r="U122" i="87"/>
  <c r="X122" i="87"/>
  <c r="V122" i="87"/>
  <c r="T122" i="87"/>
  <c r="R122" i="87"/>
  <c r="W122" i="87"/>
  <c r="S122" i="87"/>
  <c r="U214" i="87"/>
  <c r="V214" i="87"/>
  <c r="T214" i="87"/>
  <c r="S214" i="87"/>
  <c r="R214" i="87"/>
  <c r="X214" i="87"/>
  <c r="W214" i="87"/>
  <c r="U222" i="87"/>
  <c r="X222" i="87"/>
  <c r="W222" i="87"/>
  <c r="V222" i="87"/>
  <c r="T222" i="87"/>
  <c r="S222" i="87"/>
  <c r="R222" i="87"/>
  <c r="U206" i="87"/>
  <c r="S206" i="87"/>
  <c r="R206" i="87"/>
  <c r="X206" i="87"/>
  <c r="W206" i="87"/>
  <c r="V206" i="87"/>
  <c r="T206" i="87"/>
  <c r="X154" i="87"/>
  <c r="V154" i="87"/>
  <c r="U154" i="87"/>
  <c r="W154" i="87"/>
  <c r="S154" i="87"/>
  <c r="R154" i="87"/>
  <c r="T154" i="87"/>
  <c r="X117" i="87"/>
  <c r="V117" i="87"/>
  <c r="U117" i="87"/>
  <c r="S117" i="87"/>
  <c r="R117" i="87"/>
  <c r="T117" i="87"/>
  <c r="X115" i="87"/>
  <c r="V115" i="87"/>
  <c r="U115" i="87"/>
  <c r="S115" i="87"/>
  <c r="T115" i="87"/>
  <c r="R115" i="87"/>
  <c r="W115" i="87"/>
  <c r="X38" i="87"/>
  <c r="W38" i="87"/>
  <c r="V38" i="87"/>
  <c r="T38" i="87"/>
  <c r="U38" i="87"/>
  <c r="S38" i="87"/>
  <c r="R38" i="87"/>
  <c r="X94" i="87"/>
  <c r="T94" i="87"/>
  <c r="S94" i="87"/>
  <c r="W94" i="87"/>
  <c r="V94" i="87"/>
  <c r="U94" i="87"/>
  <c r="R94" i="87"/>
  <c r="X152" i="87"/>
  <c r="V152" i="87"/>
  <c r="U152" i="87"/>
  <c r="W152" i="87"/>
  <c r="T152" i="87"/>
  <c r="S152" i="87"/>
  <c r="R152" i="87"/>
  <c r="T97" i="87"/>
  <c r="R97" i="87"/>
  <c r="X97" i="87"/>
  <c r="S97" i="87"/>
  <c r="W97" i="87"/>
  <c r="V97" i="87"/>
  <c r="U97" i="87"/>
  <c r="X96" i="87"/>
  <c r="T96" i="87"/>
  <c r="S96" i="87"/>
  <c r="R96" i="87"/>
  <c r="W96" i="87"/>
  <c r="V96" i="87"/>
  <c r="U96" i="87"/>
  <c r="T39" i="87"/>
  <c r="R39" i="87"/>
  <c r="X39" i="87"/>
  <c r="S39" i="87"/>
  <c r="W39" i="87"/>
  <c r="U39" i="87"/>
  <c r="V39" i="87"/>
  <c r="X232" i="87"/>
  <c r="V232" i="87"/>
  <c r="U232" i="87"/>
  <c r="S232" i="87"/>
  <c r="R232" i="87"/>
  <c r="W232" i="87"/>
  <c r="T232" i="87"/>
  <c r="U257" i="87"/>
  <c r="V257" i="87"/>
  <c r="T257" i="87"/>
  <c r="W257" i="87"/>
  <c r="S257" i="87"/>
  <c r="X257" i="87"/>
  <c r="R257" i="87"/>
  <c r="U204" i="87"/>
  <c r="S204" i="87"/>
  <c r="R204" i="87"/>
  <c r="T204" i="87"/>
  <c r="X204" i="87"/>
  <c r="V204" i="87"/>
  <c r="W204" i="87"/>
  <c r="X285" i="87"/>
  <c r="V285" i="87"/>
  <c r="U285" i="87"/>
  <c r="W285" i="87"/>
  <c r="T285" i="87"/>
  <c r="S285" i="87"/>
  <c r="R285" i="87"/>
  <c r="U149" i="87"/>
  <c r="S149" i="87"/>
  <c r="X149" i="87"/>
  <c r="W149" i="87"/>
  <c r="V149" i="87"/>
  <c r="T149" i="87"/>
  <c r="R149" i="87"/>
  <c r="U286" i="87"/>
  <c r="S286" i="87"/>
  <c r="R286" i="87"/>
  <c r="X286" i="87"/>
  <c r="W286" i="87"/>
  <c r="V286" i="87"/>
  <c r="T286" i="87"/>
  <c r="X162" i="87"/>
  <c r="V162" i="87"/>
  <c r="U162" i="87"/>
  <c r="W162" i="87"/>
  <c r="T162" i="87"/>
  <c r="R162" i="87"/>
  <c r="S162" i="87"/>
  <c r="X100" i="87"/>
  <c r="R100" i="87"/>
  <c r="W100" i="87"/>
  <c r="V100" i="87"/>
  <c r="U100" i="87"/>
  <c r="T100" i="87"/>
  <c r="S100" i="87"/>
  <c r="U161" i="87"/>
  <c r="S161" i="87"/>
  <c r="X161" i="87"/>
  <c r="W161" i="87"/>
  <c r="V161" i="87"/>
  <c r="T161" i="87"/>
  <c r="R161" i="87"/>
  <c r="U126" i="87"/>
  <c r="V126" i="87"/>
  <c r="S126" i="87"/>
  <c r="R126" i="87"/>
  <c r="X126" i="87"/>
  <c r="T126" i="87"/>
  <c r="X160" i="87"/>
  <c r="V160" i="87"/>
  <c r="U160" i="87"/>
  <c r="S160" i="87"/>
  <c r="W160" i="87"/>
  <c r="T160" i="87"/>
  <c r="R160" i="87"/>
  <c r="X184" i="87"/>
  <c r="V184" i="87"/>
  <c r="U184" i="87"/>
  <c r="W184" i="87"/>
  <c r="T184" i="87"/>
  <c r="S184" i="87"/>
  <c r="R184" i="87"/>
  <c r="U179" i="87"/>
  <c r="X179" i="87"/>
  <c r="V179" i="87"/>
  <c r="T179" i="87"/>
  <c r="S179" i="87"/>
  <c r="R179" i="87"/>
  <c r="W179" i="87"/>
  <c r="X44" i="87"/>
  <c r="V44" i="87"/>
  <c r="U44" i="87"/>
  <c r="T44" i="87"/>
  <c r="R44" i="87"/>
  <c r="S44" i="87"/>
  <c r="W44" i="87"/>
  <c r="U290" i="87"/>
  <c r="X290" i="87"/>
  <c r="W290" i="87"/>
  <c r="V290" i="87"/>
  <c r="T290" i="87"/>
  <c r="S290" i="87"/>
  <c r="R290" i="87"/>
  <c r="U282" i="87"/>
  <c r="X282" i="87"/>
  <c r="W282" i="87"/>
  <c r="V282" i="87"/>
  <c r="T282" i="87"/>
  <c r="R282" i="87"/>
  <c r="S282" i="87"/>
  <c r="X178" i="87"/>
  <c r="V178" i="87"/>
  <c r="U178" i="87"/>
  <c r="W178" i="87"/>
  <c r="T178" i="87"/>
  <c r="S178" i="87"/>
  <c r="R178" i="87"/>
  <c r="U224" i="87"/>
  <c r="X224" i="87"/>
  <c r="V224" i="87"/>
  <c r="T224" i="87"/>
  <c r="S224" i="87"/>
  <c r="R224" i="87"/>
  <c r="W224" i="87"/>
  <c r="U159" i="87"/>
  <c r="X159" i="87"/>
  <c r="W159" i="87"/>
  <c r="T159" i="87"/>
  <c r="S159" i="87"/>
  <c r="V159" i="87"/>
  <c r="R159" i="87"/>
  <c r="X280" i="87"/>
  <c r="V280" i="87"/>
  <c r="U280" i="87"/>
  <c r="S280" i="87"/>
  <c r="R280" i="87"/>
  <c r="T280" i="87"/>
  <c r="W280" i="87"/>
  <c r="X225" i="87"/>
  <c r="V225" i="87"/>
  <c r="U225" i="87"/>
  <c r="W225" i="87"/>
  <c r="T225" i="87"/>
  <c r="S225" i="87"/>
  <c r="R225" i="87"/>
  <c r="X188" i="87"/>
  <c r="V188" i="87"/>
  <c r="U188" i="87"/>
  <c r="S188" i="87"/>
  <c r="W188" i="87"/>
  <c r="T188" i="87"/>
  <c r="R188" i="87"/>
  <c r="X131" i="87"/>
  <c r="V131" i="87"/>
  <c r="U131" i="87"/>
  <c r="S131" i="87"/>
  <c r="R131" i="87"/>
  <c r="T131" i="87"/>
  <c r="W131" i="87"/>
  <c r="X287" i="87"/>
  <c r="V287" i="87"/>
  <c r="U287" i="87"/>
  <c r="R287" i="87"/>
  <c r="W287" i="87"/>
  <c r="T287" i="87"/>
  <c r="S287" i="87"/>
  <c r="X209" i="87"/>
  <c r="V209" i="87"/>
  <c r="U209" i="87"/>
  <c r="W209" i="87"/>
  <c r="T209" i="87"/>
  <c r="S209" i="87"/>
  <c r="R209" i="87"/>
  <c r="T26" i="87"/>
  <c r="R26" i="87"/>
  <c r="X26" i="87"/>
  <c r="W26" i="87"/>
  <c r="V26" i="87"/>
  <c r="U26" i="87"/>
  <c r="S26" i="87"/>
  <c r="X168" i="87"/>
  <c r="V168" i="87"/>
  <c r="U168" i="87"/>
  <c r="W168" i="87"/>
  <c r="S168" i="87"/>
  <c r="R168" i="87"/>
  <c r="T168" i="87"/>
  <c r="X33" i="87"/>
  <c r="T33" i="87"/>
  <c r="V33" i="87"/>
  <c r="W33" i="87"/>
  <c r="S33" i="87"/>
  <c r="U33" i="87"/>
  <c r="R33" i="87"/>
  <c r="U151" i="87"/>
  <c r="X151" i="87"/>
  <c r="V151" i="87"/>
  <c r="T151" i="87"/>
  <c r="W151" i="87"/>
  <c r="S151" i="87"/>
  <c r="R151" i="87"/>
  <c r="T87" i="87"/>
  <c r="R87" i="87"/>
  <c r="X87" i="87"/>
  <c r="W87" i="87"/>
  <c r="V87" i="87"/>
  <c r="U87" i="87"/>
  <c r="S87" i="87"/>
  <c r="X182" i="87"/>
  <c r="V182" i="87"/>
  <c r="U182" i="87"/>
  <c r="W182" i="87"/>
  <c r="S182" i="87"/>
  <c r="R182" i="87"/>
  <c r="T182" i="87"/>
  <c r="T85" i="87"/>
  <c r="R85" i="87"/>
  <c r="X85" i="87"/>
  <c r="S85" i="87"/>
  <c r="U85" i="87"/>
  <c r="W85" i="87"/>
  <c r="V85" i="87"/>
  <c r="X25" i="87"/>
  <c r="R25" i="87"/>
  <c r="T25" i="87"/>
  <c r="U25" i="87"/>
  <c r="S25" i="87"/>
  <c r="W25" i="87"/>
  <c r="V25" i="87"/>
  <c r="U114" i="87"/>
  <c r="V114" i="87"/>
  <c r="S114" i="87"/>
  <c r="R114" i="87"/>
  <c r="T114" i="87"/>
  <c r="X114" i="87"/>
  <c r="W114" i="87"/>
  <c r="X283" i="87"/>
  <c r="V283" i="87"/>
  <c r="U283" i="87"/>
  <c r="S283" i="87"/>
  <c r="R283" i="87"/>
  <c r="W283" i="87"/>
  <c r="T283" i="87"/>
  <c r="X80" i="87"/>
  <c r="T80" i="87"/>
  <c r="S80" i="87"/>
  <c r="R80" i="87"/>
  <c r="V80" i="87"/>
  <c r="U80" i="87"/>
  <c r="W80" i="87"/>
  <c r="T15" i="87"/>
  <c r="R15" i="87"/>
  <c r="X15" i="87"/>
  <c r="V15" i="87"/>
  <c r="U15" i="87"/>
  <c r="S15" i="87"/>
  <c r="W15" i="87"/>
  <c r="U142" i="87"/>
  <c r="V142" i="87"/>
  <c r="S142" i="87"/>
  <c r="R142" i="87"/>
  <c r="X142" i="87"/>
  <c r="W142" i="87"/>
  <c r="T142" i="87"/>
  <c r="U177" i="87"/>
  <c r="S177" i="87"/>
  <c r="X177" i="87"/>
  <c r="W177" i="87"/>
  <c r="T177" i="87"/>
  <c r="R177" i="87"/>
  <c r="V177" i="87"/>
  <c r="U284" i="87"/>
  <c r="S284" i="87"/>
  <c r="R284" i="87"/>
  <c r="X284" i="87"/>
  <c r="W284" i="87"/>
  <c r="V284" i="87"/>
  <c r="T284" i="87"/>
  <c r="U173" i="87"/>
  <c r="X173" i="87"/>
  <c r="W173" i="87"/>
  <c r="V173" i="87"/>
  <c r="T173" i="87"/>
  <c r="S173" i="87"/>
  <c r="R173" i="87"/>
  <c r="X172" i="87"/>
  <c r="V172" i="87"/>
  <c r="U172" i="87"/>
  <c r="S172" i="87"/>
  <c r="R172" i="87"/>
  <c r="T172" i="87"/>
  <c r="W172" i="87"/>
  <c r="U235" i="87"/>
  <c r="S235" i="87"/>
  <c r="R235" i="87"/>
  <c r="X235" i="87"/>
  <c r="W235" i="87"/>
  <c r="V235" i="87"/>
  <c r="T235" i="87"/>
  <c r="X215" i="87"/>
  <c r="V215" i="87"/>
  <c r="U215" i="87"/>
  <c r="S215" i="87"/>
  <c r="R215" i="87"/>
  <c r="T215" i="87"/>
  <c r="W215" i="87"/>
  <c r="X195" i="87"/>
  <c r="V195" i="87"/>
  <c r="U195" i="87"/>
  <c r="W195" i="87"/>
  <c r="T195" i="87"/>
  <c r="S195" i="87"/>
  <c r="R195" i="87"/>
  <c r="X217" i="87"/>
  <c r="V217" i="87"/>
  <c r="U217" i="87"/>
  <c r="S217" i="87"/>
  <c r="R217" i="87"/>
  <c r="W217" i="87"/>
  <c r="T217" i="87"/>
  <c r="T95" i="87"/>
  <c r="R95" i="87"/>
  <c r="X95" i="87"/>
  <c r="V95" i="87"/>
  <c r="W95" i="87"/>
  <c r="U95" i="87"/>
  <c r="S95" i="87"/>
  <c r="X223" i="87"/>
  <c r="V223" i="87"/>
  <c r="U223" i="87"/>
  <c r="W223" i="87"/>
  <c r="T223" i="87"/>
  <c r="S223" i="87"/>
  <c r="R223" i="87"/>
  <c r="X35" i="87"/>
  <c r="T35" i="87"/>
  <c r="S35" i="87"/>
  <c r="R35" i="87"/>
  <c r="W35" i="87"/>
  <c r="V35" i="87"/>
  <c r="U35" i="87"/>
  <c r="T43" i="87"/>
  <c r="R43" i="87"/>
  <c r="X43" i="87"/>
  <c r="W43" i="87"/>
  <c r="U43" i="87"/>
  <c r="V43" i="87"/>
  <c r="S43" i="87"/>
  <c r="U140" i="87"/>
  <c r="V140" i="87"/>
  <c r="W140" i="87"/>
  <c r="X140" i="87"/>
  <c r="T140" i="87"/>
  <c r="R140" i="87"/>
  <c r="S140" i="87"/>
  <c r="X197" i="87"/>
  <c r="V197" i="87"/>
  <c r="U197" i="87"/>
  <c r="W197" i="87"/>
  <c r="T197" i="87"/>
  <c r="S197" i="87"/>
  <c r="R197" i="87"/>
  <c r="U110" i="87"/>
  <c r="T110" i="87"/>
  <c r="S110" i="87"/>
  <c r="R110" i="87"/>
  <c r="X110" i="87"/>
  <c r="W110" i="87"/>
  <c r="V110" i="87"/>
  <c r="X135" i="87"/>
  <c r="V135" i="87"/>
  <c r="U135" i="87"/>
  <c r="R135" i="87"/>
  <c r="W135" i="87"/>
  <c r="T135" i="87"/>
  <c r="S135" i="87"/>
  <c r="O5" i="7"/>
  <c r="H5" i="87"/>
  <c r="C5" i="87" s="1"/>
  <c r="AU4" i="7"/>
  <c r="AW4" i="7"/>
  <c r="AV4" i="7"/>
  <c r="AX4" i="7"/>
  <c r="F5" i="39"/>
  <c r="G5" i="39" s="1"/>
  <c r="BB5" i="7"/>
  <c r="BA5" i="7"/>
  <c r="AY5" i="7"/>
  <c r="AZ5" i="7"/>
  <c r="X106" i="87"/>
  <c r="W106" i="87"/>
  <c r="V106" i="87"/>
  <c r="U106" i="87"/>
  <c r="T106" i="87"/>
  <c r="S106" i="87"/>
  <c r="R106" i="87"/>
  <c r="U147" i="87"/>
  <c r="S147" i="87"/>
  <c r="W147" i="87"/>
  <c r="V147" i="87"/>
  <c r="X147" i="87"/>
  <c r="T147" i="87"/>
  <c r="R147" i="87"/>
  <c r="X258" i="87"/>
  <c r="V258" i="87"/>
  <c r="U258" i="87"/>
  <c r="W258" i="87"/>
  <c r="T258" i="87"/>
  <c r="S258" i="87"/>
  <c r="R258" i="87"/>
  <c r="U237" i="87"/>
  <c r="X237" i="87"/>
  <c r="W237" i="87"/>
  <c r="V237" i="87"/>
  <c r="T237" i="87"/>
  <c r="S237" i="87"/>
  <c r="R237" i="87"/>
  <c r="U231" i="87"/>
  <c r="X231" i="87"/>
  <c r="W231" i="87"/>
  <c r="V231" i="87"/>
  <c r="S231" i="87"/>
  <c r="R231" i="87"/>
  <c r="T231" i="87"/>
  <c r="X113" i="87"/>
  <c r="V113" i="87"/>
  <c r="U113" i="87"/>
  <c r="W113" i="87"/>
  <c r="T113" i="87"/>
  <c r="S113" i="87"/>
  <c r="R113" i="87"/>
  <c r="X180" i="87"/>
  <c r="V180" i="87"/>
  <c r="U180" i="87"/>
  <c r="W180" i="87"/>
  <c r="T180" i="87"/>
  <c r="S180" i="87"/>
  <c r="R180" i="87"/>
  <c r="U171" i="87"/>
  <c r="V171" i="87"/>
  <c r="S171" i="87"/>
  <c r="R171" i="87"/>
  <c r="X171" i="87"/>
  <c r="W171" i="87"/>
  <c r="T171" i="87"/>
  <c r="X236" i="87"/>
  <c r="V236" i="87"/>
  <c r="U236" i="87"/>
  <c r="W236" i="87"/>
  <c r="T236" i="87"/>
  <c r="S236" i="87"/>
  <c r="R236" i="87"/>
  <c r="U118" i="87"/>
  <c r="S118" i="87"/>
  <c r="T118" i="87"/>
  <c r="R118" i="87"/>
  <c r="X118" i="87"/>
  <c r="V118" i="87"/>
  <c r="W118" i="87"/>
  <c r="X40" i="87"/>
  <c r="R40" i="87"/>
  <c r="W40" i="87"/>
  <c r="V40" i="87"/>
  <c r="U40" i="87"/>
  <c r="S40" i="87"/>
  <c r="T40" i="87"/>
  <c r="X256" i="87"/>
  <c r="V256" i="87"/>
  <c r="U256" i="87"/>
  <c r="W256" i="87"/>
  <c r="T256" i="87"/>
  <c r="S256" i="87"/>
  <c r="R256" i="87"/>
  <c r="U275" i="87"/>
  <c r="X275" i="87"/>
  <c r="R275" i="87"/>
  <c r="W275" i="87"/>
  <c r="V275" i="87"/>
  <c r="T275" i="87"/>
  <c r="S275" i="87"/>
  <c r="X31" i="87"/>
  <c r="W31" i="87"/>
  <c r="U31" i="87"/>
  <c r="T31" i="87"/>
  <c r="S31" i="87"/>
  <c r="R31" i="87"/>
  <c r="V31" i="87"/>
  <c r="T79" i="87"/>
  <c r="R79" i="87"/>
  <c r="X79" i="87"/>
  <c r="V79" i="87"/>
  <c r="U79" i="87"/>
  <c r="S79" i="87"/>
  <c r="W79" i="87"/>
  <c r="T99" i="87"/>
  <c r="R99" i="87"/>
  <c r="X99" i="87"/>
  <c r="S99" i="87"/>
  <c r="U99" i="87"/>
  <c r="V99" i="87"/>
  <c r="U208" i="87"/>
  <c r="X208" i="87"/>
  <c r="W208" i="87"/>
  <c r="V208" i="87"/>
  <c r="T208" i="87"/>
  <c r="S208" i="87"/>
  <c r="R208" i="87"/>
  <c r="X129" i="87"/>
  <c r="V129" i="87"/>
  <c r="U129" i="87"/>
  <c r="S129" i="87"/>
  <c r="W129" i="87"/>
  <c r="T129" i="87"/>
  <c r="R129" i="87"/>
  <c r="U167" i="87"/>
  <c r="R167" i="87"/>
  <c r="W167" i="87"/>
  <c r="V167" i="87"/>
  <c r="S167" i="87"/>
  <c r="X167" i="87"/>
  <c r="T167" i="87"/>
  <c r="X199" i="87"/>
  <c r="V199" i="87"/>
  <c r="U199" i="87"/>
  <c r="W199" i="87"/>
  <c r="T199" i="87"/>
  <c r="S199" i="87"/>
  <c r="R199" i="87"/>
  <c r="X227" i="87"/>
  <c r="V227" i="87"/>
  <c r="U227" i="87"/>
  <c r="W227" i="87"/>
  <c r="S227" i="87"/>
  <c r="T227" i="87"/>
  <c r="R227" i="87"/>
  <c r="X211" i="87"/>
  <c r="V211" i="87"/>
  <c r="U211" i="87"/>
  <c r="W211" i="87"/>
  <c r="T211" i="87"/>
  <c r="S211" i="87"/>
  <c r="R211" i="87"/>
  <c r="U124" i="87"/>
  <c r="X124" i="87"/>
  <c r="W124" i="87"/>
  <c r="S124" i="87"/>
  <c r="R124" i="87"/>
  <c r="T124" i="87"/>
  <c r="V124" i="87"/>
  <c r="X84" i="87"/>
  <c r="W84" i="87"/>
  <c r="V84" i="87"/>
  <c r="T84" i="87"/>
  <c r="U84" i="87"/>
  <c r="S84" i="87"/>
  <c r="R84" i="87"/>
  <c r="X158" i="87"/>
  <c r="V158" i="87"/>
  <c r="U158" i="87"/>
  <c r="S158" i="87"/>
  <c r="T158" i="87"/>
  <c r="R158" i="87"/>
  <c r="W158" i="87"/>
  <c r="X164" i="87"/>
  <c r="V164" i="87"/>
  <c r="U164" i="87"/>
  <c r="S164" i="87"/>
  <c r="T164" i="87"/>
  <c r="R164" i="87"/>
  <c r="W164" i="87"/>
  <c r="X213" i="87"/>
  <c r="V213" i="87"/>
  <c r="U213" i="87"/>
  <c r="W213" i="87"/>
  <c r="S213" i="87"/>
  <c r="R213" i="87"/>
  <c r="T213" i="87"/>
  <c r="U144" i="87"/>
  <c r="X144" i="87"/>
  <c r="W144" i="87"/>
  <c r="V144" i="87"/>
  <c r="T144" i="87"/>
  <c r="S144" i="87"/>
  <c r="R144" i="87"/>
  <c r="X276" i="87"/>
  <c r="V276" i="87"/>
  <c r="U276" i="87"/>
  <c r="W276" i="87"/>
  <c r="T276" i="87"/>
  <c r="S276" i="87"/>
  <c r="R276" i="87"/>
  <c r="U249" i="87"/>
  <c r="S249" i="87"/>
  <c r="R249" i="87"/>
  <c r="X249" i="87"/>
  <c r="W249" i="87"/>
  <c r="V249" i="87"/>
  <c r="T249" i="87"/>
  <c r="U220" i="87"/>
  <c r="S220" i="87"/>
  <c r="R220" i="87"/>
  <c r="X220" i="87"/>
  <c r="W220" i="87"/>
  <c r="V220" i="87"/>
  <c r="T220" i="87"/>
  <c r="X127" i="87"/>
  <c r="V127" i="87"/>
  <c r="U127" i="87"/>
  <c r="R127" i="87"/>
  <c r="W127" i="87"/>
  <c r="T127" i="87"/>
  <c r="S127" i="87"/>
  <c r="U202" i="87"/>
  <c r="X202" i="87"/>
  <c r="W202" i="87"/>
  <c r="T202" i="87"/>
  <c r="S202" i="87"/>
  <c r="R202" i="87"/>
  <c r="V202" i="87"/>
  <c r="U187" i="87"/>
  <c r="X187" i="87"/>
  <c r="W187" i="87"/>
  <c r="V187" i="87"/>
  <c r="R187" i="87"/>
  <c r="T187" i="87"/>
  <c r="S187" i="87"/>
  <c r="S125" i="45"/>
  <c r="W260" i="87"/>
  <c r="V260" i="87"/>
  <c r="U260" i="87"/>
  <c r="T260" i="87"/>
  <c r="S260" i="87"/>
  <c r="R260" i="87"/>
  <c r="X260" i="87"/>
  <c r="X261" i="87"/>
  <c r="W261" i="87"/>
  <c r="V261" i="87"/>
  <c r="S261" i="87"/>
  <c r="U261" i="87"/>
  <c r="T261" i="87"/>
  <c r="R261" i="87"/>
  <c r="S189" i="87"/>
  <c r="R189" i="87"/>
  <c r="U189" i="87"/>
  <c r="T189" i="87"/>
  <c r="X189" i="87"/>
  <c r="W189" i="87"/>
  <c r="V189" i="87"/>
  <c r="M234" i="45"/>
  <c r="N234" i="45"/>
  <c r="P234" i="45"/>
  <c r="O234" i="45"/>
  <c r="Q234" i="45"/>
  <c r="T234" i="45"/>
  <c r="R234" i="45"/>
  <c r="S234" i="45"/>
  <c r="U234" i="45"/>
  <c r="F234" i="46"/>
  <c r="D234" i="46"/>
  <c r="F49" i="46"/>
  <c r="D49" i="46"/>
  <c r="C234" i="46"/>
  <c r="E234" i="46"/>
  <c r="E49" i="46"/>
  <c r="C49" i="46"/>
  <c r="N49" i="45"/>
  <c r="M49" i="45"/>
  <c r="P49" i="45"/>
  <c r="Q49" i="45"/>
  <c r="O49" i="45"/>
  <c r="S49" i="45"/>
  <c r="T49" i="45"/>
  <c r="U49" i="45"/>
  <c r="R49" i="45"/>
  <c r="AR230" i="46"/>
  <c r="AQ230" i="46"/>
  <c r="AP230" i="46"/>
  <c r="AN230" i="46"/>
  <c r="AM230" i="46"/>
  <c r="AO230" i="46"/>
  <c r="T230" i="46"/>
  <c r="S230" i="46"/>
  <c r="Y230" i="46"/>
  <c r="X230" i="46"/>
  <c r="W230" i="46"/>
  <c r="U230" i="46"/>
  <c r="V230" i="46"/>
  <c r="AG230" i="46"/>
  <c r="AL230" i="46"/>
  <c r="AH230" i="46"/>
  <c r="AK230" i="46"/>
  <c r="AJ230" i="46"/>
  <c r="AI230" i="46"/>
  <c r="Z230" i="46"/>
  <c r="AA230" i="46"/>
  <c r="AF230" i="46"/>
  <c r="AE230" i="46"/>
  <c r="AD230" i="46"/>
  <c r="AC230" i="46"/>
  <c r="AB230" i="46"/>
  <c r="F125" i="46"/>
  <c r="AR125" i="46" s="1"/>
  <c r="AN36" i="46"/>
  <c r="C125" i="46"/>
  <c r="T125" i="46" s="1"/>
  <c r="D125" i="46"/>
  <c r="Z125" i="46" s="1"/>
  <c r="AQ36" i="46"/>
  <c r="AR36" i="46"/>
  <c r="AM36" i="46"/>
  <c r="AP36" i="46"/>
  <c r="H205" i="45"/>
  <c r="D205" i="45" s="1"/>
  <c r="T205" i="45" s="1"/>
  <c r="AU24" i="7"/>
  <c r="BF24" i="7"/>
  <c r="H24" i="87"/>
  <c r="R24" i="87" s="1"/>
  <c r="AW24" i="7"/>
  <c r="P288" i="45"/>
  <c r="M288" i="45"/>
  <c r="O288" i="45"/>
  <c r="N288" i="45"/>
  <c r="L98" i="28"/>
  <c r="K98" i="46" s="1"/>
  <c r="C98" i="46" s="1"/>
  <c r="BA24" i="7"/>
  <c r="AZ24" i="7"/>
  <c r="AY24" i="7"/>
  <c r="F24" i="39"/>
  <c r="G24" i="39" s="1"/>
  <c r="BB24" i="7"/>
  <c r="M245" i="28"/>
  <c r="N245" i="46" s="1"/>
  <c r="F245" i="46" s="1"/>
  <c r="AY289" i="7"/>
  <c r="BB139" i="7"/>
  <c r="F139" i="39"/>
  <c r="G139" i="39" s="1"/>
  <c r="H86" i="45"/>
  <c r="C86" i="45" s="1"/>
  <c r="BI156" i="7"/>
  <c r="BH156" i="7"/>
  <c r="BG156" i="7"/>
  <c r="BF156" i="7"/>
  <c r="BE156" i="7"/>
  <c r="BJ156" i="7"/>
  <c r="BD156" i="7"/>
  <c r="BC156" i="7"/>
  <c r="BG30" i="7"/>
  <c r="BF30" i="7"/>
  <c r="BJ30" i="7"/>
  <c r="BE30" i="7"/>
  <c r="BD30" i="7"/>
  <c r="BC30" i="7"/>
  <c r="BI30" i="7"/>
  <c r="BH30" i="7"/>
  <c r="BJ263" i="7"/>
  <c r="BI263" i="7"/>
  <c r="BH263" i="7"/>
  <c r="BG263" i="7"/>
  <c r="BF263" i="7"/>
  <c r="BE263" i="7"/>
  <c r="BD263" i="7"/>
  <c r="BC263" i="7"/>
  <c r="BG18" i="7"/>
  <c r="BJ18" i="7"/>
  <c r="BF18" i="7"/>
  <c r="BE18" i="7"/>
  <c r="BD18" i="7"/>
  <c r="BC18" i="7"/>
  <c r="BI18" i="7"/>
  <c r="BH18" i="7"/>
  <c r="BJ221" i="7"/>
  <c r="BI221" i="7"/>
  <c r="BH221" i="7"/>
  <c r="BG221" i="7"/>
  <c r="BF221" i="7"/>
  <c r="BE221" i="7"/>
  <c r="BD221" i="7"/>
  <c r="BC221" i="7"/>
  <c r="BI170" i="7"/>
  <c r="BH170" i="7"/>
  <c r="BG170" i="7"/>
  <c r="BF170" i="7"/>
  <c r="BE170" i="7"/>
  <c r="BJ170" i="7"/>
  <c r="BD170" i="7"/>
  <c r="BC170" i="7"/>
  <c r="K244" i="28"/>
  <c r="L244" i="28" s="1"/>
  <c r="K244" i="46" s="1"/>
  <c r="AZ263" i="7"/>
  <c r="F263" i="39"/>
  <c r="G263" i="39" s="1"/>
  <c r="AY263" i="7"/>
  <c r="D57" i="45"/>
  <c r="R57" i="45" s="1"/>
  <c r="L57" i="28"/>
  <c r="T190" i="45"/>
  <c r="AI57" i="46"/>
  <c r="AL57" i="46"/>
  <c r="K134" i="28"/>
  <c r="L134" i="28" s="1"/>
  <c r="K134" i="46" s="1"/>
  <c r="AO57" i="46"/>
  <c r="AG57" i="46"/>
  <c r="BB263" i="7"/>
  <c r="AK57" i="46"/>
  <c r="AH57" i="46"/>
  <c r="A156" i="33"/>
  <c r="A156" i="39"/>
  <c r="A156" i="50"/>
  <c r="A156" i="52"/>
  <c r="A156" i="51"/>
  <c r="A156" i="23"/>
  <c r="A156" i="26"/>
  <c r="A156" i="6"/>
  <c r="A156" i="28"/>
  <c r="A156" i="25"/>
  <c r="A156" i="21"/>
  <c r="A156" i="7"/>
  <c r="A156" i="15"/>
  <c r="A156" i="54"/>
  <c r="K283" i="28"/>
  <c r="H283" i="45"/>
  <c r="F263" i="87"/>
  <c r="O263" i="46"/>
  <c r="F221" i="87"/>
  <c r="O221" i="46"/>
  <c r="BA23" i="7"/>
  <c r="BA29" i="7"/>
  <c r="F29" i="39"/>
  <c r="G29" i="39" s="1"/>
  <c r="O156" i="46"/>
  <c r="F156" i="87"/>
  <c r="L190" i="28"/>
  <c r="K190" i="46" s="1"/>
  <c r="E190" i="46" s="1"/>
  <c r="BB29" i="7"/>
  <c r="H23" i="87"/>
  <c r="C23" i="87" s="1"/>
  <c r="Z23" i="7"/>
  <c r="BA289" i="7"/>
  <c r="BB289" i="7"/>
  <c r="O30" i="46"/>
  <c r="F30" i="87"/>
  <c r="AZ289" i="7"/>
  <c r="F170" i="87"/>
  <c r="O170" i="46"/>
  <c r="O18" i="46"/>
  <c r="F18" i="87"/>
  <c r="BA139" i="7"/>
  <c r="AZ139" i="7"/>
  <c r="U190" i="45"/>
  <c r="R190" i="45"/>
  <c r="C190" i="45"/>
  <c r="N190" i="45" s="1"/>
  <c r="U56" i="45"/>
  <c r="T56" i="45"/>
  <c r="C56" i="45"/>
  <c r="N56" i="45" s="1"/>
  <c r="M62" i="28"/>
  <c r="R56" i="45"/>
  <c r="H61" i="45"/>
  <c r="D61" i="45" s="1"/>
  <c r="K103" i="28"/>
  <c r="M103" i="28" s="1"/>
  <c r="N103" i="46" s="1"/>
  <c r="L59" i="28"/>
  <c r="K59" i="46" s="1"/>
  <c r="E59" i="46" s="1"/>
  <c r="H91" i="45"/>
  <c r="C91" i="45" s="1"/>
  <c r="R72" i="45"/>
  <c r="U72" i="45"/>
  <c r="T72" i="45"/>
  <c r="S72" i="45"/>
  <c r="H53" i="45"/>
  <c r="D53" i="45" s="1"/>
  <c r="H108" i="45"/>
  <c r="C108" i="45" s="1"/>
  <c r="D59" i="46"/>
  <c r="AC59" i="46" s="1"/>
  <c r="F59" i="46"/>
  <c r="L72" i="28"/>
  <c r="K72" i="46" s="1"/>
  <c r="E72" i="46" s="1"/>
  <c r="D103" i="45"/>
  <c r="S103" i="45" s="1"/>
  <c r="C103" i="45"/>
  <c r="N103" i="45" s="1"/>
  <c r="H73" i="45"/>
  <c r="D73" i="45" s="1"/>
  <c r="K70" i="28"/>
  <c r="M70" i="28" s="1"/>
  <c r="N70" i="46" s="1"/>
  <c r="H60" i="45"/>
  <c r="C60" i="45" s="1"/>
  <c r="H66" i="45"/>
  <c r="H71" i="45"/>
  <c r="H101" i="45"/>
  <c r="C101" i="45" s="1"/>
  <c r="H89" i="45"/>
  <c r="D89" i="45" s="1"/>
  <c r="K143" i="28"/>
  <c r="M143" i="28" s="1"/>
  <c r="N143" i="46" s="1"/>
  <c r="AX60" i="7"/>
  <c r="AV60" i="7"/>
  <c r="AW60" i="7"/>
  <c r="AW55" i="7"/>
  <c r="AV55" i="7"/>
  <c r="AX55" i="7"/>
  <c r="AW103" i="7"/>
  <c r="AV103" i="7"/>
  <c r="AX103" i="7"/>
  <c r="AW91" i="7"/>
  <c r="AV91" i="7"/>
  <c r="AX91" i="7"/>
  <c r="D32" i="39"/>
  <c r="E32" i="39" s="1"/>
  <c r="AW32" i="7"/>
  <c r="AX32" i="7"/>
  <c r="AU32" i="7"/>
  <c r="AV32" i="7"/>
  <c r="K55" i="28"/>
  <c r="H55" i="45"/>
  <c r="D109" i="39"/>
  <c r="E109" i="39" s="1"/>
  <c r="AV109" i="7"/>
  <c r="AW109" i="7"/>
  <c r="AX109" i="7"/>
  <c r="D10" i="45"/>
  <c r="C10" i="45"/>
  <c r="D235" i="39"/>
  <c r="E235" i="39" s="1"/>
  <c r="AV235" i="7"/>
  <c r="AW235" i="7"/>
  <c r="AX235" i="7"/>
  <c r="C67" i="45"/>
  <c r="D67" i="45"/>
  <c r="AW53" i="7"/>
  <c r="AX53" i="7"/>
  <c r="AV53" i="7"/>
  <c r="D82" i="39"/>
  <c r="E82" i="39" s="1"/>
  <c r="AX82" i="7"/>
  <c r="AW82" i="7"/>
  <c r="AV82" i="7"/>
  <c r="L10" i="28"/>
  <c r="K10" i="46" s="1"/>
  <c r="M10" i="28"/>
  <c r="N10" i="46" s="1"/>
  <c r="AX73" i="7"/>
  <c r="AW73" i="7"/>
  <c r="AV73" i="7"/>
  <c r="D128" i="39"/>
  <c r="E128" i="39" s="1"/>
  <c r="AV128" i="7"/>
  <c r="AW128" i="7"/>
  <c r="AX128" i="7"/>
  <c r="AU235" i="7"/>
  <c r="M67" i="28"/>
  <c r="L67" i="28"/>
  <c r="D45" i="39"/>
  <c r="E45" i="39" s="1"/>
  <c r="AW45" i="7"/>
  <c r="AX45" i="7"/>
  <c r="AV45" i="7"/>
  <c r="AU45" i="7"/>
  <c r="AV108" i="7"/>
  <c r="AW108" i="7"/>
  <c r="AX108" i="7"/>
  <c r="AW71" i="7"/>
  <c r="AV71" i="7"/>
  <c r="AX71" i="7"/>
  <c r="AW66" i="7"/>
  <c r="AX66" i="7"/>
  <c r="AV66" i="7"/>
  <c r="D41" i="39"/>
  <c r="E41" i="39" s="1"/>
  <c r="AX41" i="7"/>
  <c r="AU41" i="7"/>
  <c r="AW41" i="7"/>
  <c r="AV41" i="7"/>
  <c r="AV70" i="7"/>
  <c r="AX70" i="7"/>
  <c r="AW70" i="7"/>
  <c r="AV89" i="7"/>
  <c r="AX89" i="7"/>
  <c r="AW89" i="7"/>
  <c r="AW143" i="7"/>
  <c r="AX143" i="7"/>
  <c r="AV143" i="7"/>
  <c r="AV61" i="7"/>
  <c r="AX61" i="7"/>
  <c r="AW61" i="7"/>
  <c r="D74" i="45"/>
  <c r="C74" i="45"/>
  <c r="D139" i="39"/>
  <c r="E139" i="39" s="1"/>
  <c r="AW139" i="7"/>
  <c r="AV139" i="7"/>
  <c r="AX139" i="7"/>
  <c r="D27" i="39"/>
  <c r="E27" i="39" s="1"/>
  <c r="AX27" i="7"/>
  <c r="AU27" i="7"/>
  <c r="AV27" i="7"/>
  <c r="AW27" i="7"/>
  <c r="AW101" i="7"/>
  <c r="AV101" i="7"/>
  <c r="AX101" i="7"/>
  <c r="L74" i="28"/>
  <c r="K74" i="46" s="1"/>
  <c r="M74" i="28"/>
  <c r="N74" i="46" s="1"/>
  <c r="H252" i="45"/>
  <c r="D252" i="45" s="1"/>
  <c r="M71" i="28"/>
  <c r="N71" i="46" s="1"/>
  <c r="L71" i="28"/>
  <c r="K71" i="46" s="1"/>
  <c r="L101" i="28"/>
  <c r="K101" i="46" s="1"/>
  <c r="M101" i="28"/>
  <c r="N101" i="46" s="1"/>
  <c r="AW64" i="7"/>
  <c r="D64" i="39"/>
  <c r="E64" i="39" s="1"/>
  <c r="M53" i="28"/>
  <c r="N53" i="46" s="1"/>
  <c r="L53" i="28"/>
  <c r="K53" i="46" s="1"/>
  <c r="D70" i="45"/>
  <c r="C70" i="45"/>
  <c r="L61" i="28"/>
  <c r="K61" i="46" s="1"/>
  <c r="M61" i="28"/>
  <c r="N61" i="46" s="1"/>
  <c r="L60" i="28"/>
  <c r="K60" i="46" s="1"/>
  <c r="M60" i="28"/>
  <c r="N60" i="46" s="1"/>
  <c r="K63" i="28"/>
  <c r="H63" i="45"/>
  <c r="M73" i="28"/>
  <c r="N73" i="46" s="1"/>
  <c r="L73" i="28"/>
  <c r="K73" i="46" s="1"/>
  <c r="K28" i="28"/>
  <c r="H28" i="45"/>
  <c r="L34" i="28"/>
  <c r="K34" i="46" s="1"/>
  <c r="M34" i="28"/>
  <c r="N34" i="46" s="1"/>
  <c r="L108" i="28"/>
  <c r="K108" i="46" s="1"/>
  <c r="M108" i="28"/>
  <c r="N108" i="46" s="1"/>
  <c r="M75" i="28"/>
  <c r="N75" i="46" s="1"/>
  <c r="L75" i="28"/>
  <c r="K75" i="46" s="1"/>
  <c r="E4" i="46"/>
  <c r="C4" i="46"/>
  <c r="AU201" i="7"/>
  <c r="AW83" i="7"/>
  <c r="D83" i="39"/>
  <c r="E83" i="39" s="1"/>
  <c r="F8" i="46"/>
  <c r="D34" i="45"/>
  <c r="C34" i="45"/>
  <c r="C75" i="45"/>
  <c r="D75" i="45"/>
  <c r="D65" i="39"/>
  <c r="E65" i="39" s="1"/>
  <c r="L89" i="28"/>
  <c r="K89" i="46" s="1"/>
  <c r="M89" i="28"/>
  <c r="N89" i="46" s="1"/>
  <c r="D143" i="45"/>
  <c r="C143" i="45"/>
  <c r="F72" i="46"/>
  <c r="D72" i="46"/>
  <c r="M91" i="28"/>
  <c r="N91" i="46" s="1"/>
  <c r="L91" i="28"/>
  <c r="K91" i="46" s="1"/>
  <c r="M66" i="28"/>
  <c r="N66" i="46" s="1"/>
  <c r="L66" i="28"/>
  <c r="K66" i="46" s="1"/>
  <c r="AX134" i="7"/>
  <c r="AV105" i="7"/>
  <c r="AU150" i="7"/>
  <c r="K183" i="28"/>
  <c r="L183" i="28" s="1"/>
  <c r="K183" i="46" s="1"/>
  <c r="H183" i="45"/>
  <c r="C183" i="45" s="1"/>
  <c r="AX239" i="7"/>
  <c r="M241" i="28"/>
  <c r="N241" i="46" s="1"/>
  <c r="L241" i="28"/>
  <c r="K241" i="46" s="1"/>
  <c r="L279" i="28"/>
  <c r="K279" i="46" s="1"/>
  <c r="M279" i="28"/>
  <c r="N279" i="46" s="1"/>
  <c r="AW167" i="7"/>
  <c r="H92" i="45"/>
  <c r="K92" i="28"/>
  <c r="AW127" i="7"/>
  <c r="AW239" i="7"/>
  <c r="AW63" i="7"/>
  <c r="AV63" i="7"/>
  <c r="D239" i="39"/>
  <c r="E239" i="39" s="1"/>
  <c r="H239" i="45" s="1"/>
  <c r="AX63" i="7"/>
  <c r="AX285" i="7"/>
  <c r="AW164" i="7"/>
  <c r="D221" i="39"/>
  <c r="E221" i="39" s="1"/>
  <c r="L76" i="28"/>
  <c r="K76" i="46" s="1"/>
  <c r="M76" i="28"/>
  <c r="N76" i="46" s="1"/>
  <c r="AW156" i="7"/>
  <c r="AX29" i="7"/>
  <c r="AW22" i="7"/>
  <c r="AW37" i="7"/>
  <c r="D76" i="45"/>
  <c r="C76" i="45"/>
  <c r="C119" i="45"/>
  <c r="D119" i="45"/>
  <c r="AV239" i="7"/>
  <c r="K148" i="28"/>
  <c r="H148" i="45"/>
  <c r="AW189" i="7"/>
  <c r="M119" i="28"/>
  <c r="N119" i="46" s="1"/>
  <c r="L119" i="28"/>
  <c r="K119" i="46" s="1"/>
  <c r="AV83" i="7"/>
  <c r="D241" i="45"/>
  <c r="C241" i="45"/>
  <c r="C279" i="45"/>
  <c r="D279" i="45"/>
  <c r="AU183" i="7"/>
  <c r="AW183" i="7"/>
  <c r="AX183" i="7"/>
  <c r="AV183" i="7"/>
  <c r="AU156" i="7"/>
  <c r="D48" i="45"/>
  <c r="C48" i="45"/>
  <c r="AV156" i="7"/>
  <c r="M48" i="28"/>
  <c r="N48" i="46" s="1"/>
  <c r="L48" i="28"/>
  <c r="K48" i="46" s="1"/>
  <c r="AP57" i="46"/>
  <c r="Y57" i="46"/>
  <c r="AN57" i="46"/>
  <c r="AQ57" i="46"/>
  <c r="AR57" i="46"/>
  <c r="X57" i="46"/>
  <c r="V57" i="46"/>
  <c r="U57" i="46"/>
  <c r="T57" i="46"/>
  <c r="W57" i="46"/>
  <c r="D189" i="39"/>
  <c r="E189" i="39" s="1"/>
  <c r="K189" i="28" s="1"/>
  <c r="AX156" i="7"/>
  <c r="AZ23" i="7"/>
  <c r="BB23" i="7"/>
  <c r="AW221" i="7"/>
  <c r="L130" i="28"/>
  <c r="K130" i="46" s="1"/>
  <c r="M130" i="28"/>
  <c r="N130" i="46" s="1"/>
  <c r="M191" i="28"/>
  <c r="N191" i="46" s="1"/>
  <c r="L191" i="28"/>
  <c r="K191" i="46" s="1"/>
  <c r="K68" i="28"/>
  <c r="H68" i="45"/>
  <c r="K11" i="28"/>
  <c r="H11" i="45"/>
  <c r="K207" i="28"/>
  <c r="H207" i="45"/>
  <c r="AX30" i="7"/>
  <c r="AW30" i="7"/>
  <c r="AU30" i="7"/>
  <c r="AV30" i="7"/>
  <c r="D154" i="39"/>
  <c r="E154" i="39" s="1"/>
  <c r="K47" i="28"/>
  <c r="H47" i="45"/>
  <c r="D133" i="45"/>
  <c r="C133" i="45"/>
  <c r="AU170" i="7"/>
  <c r="AV170" i="7"/>
  <c r="AW170" i="7"/>
  <c r="AX170" i="7"/>
  <c r="H203" i="45"/>
  <c r="K203" i="28"/>
  <c r="M133" i="28"/>
  <c r="N133" i="46" s="1"/>
  <c r="L133" i="28"/>
  <c r="K133" i="46" s="1"/>
  <c r="D187" i="45"/>
  <c r="C187" i="45"/>
  <c r="AW263" i="7"/>
  <c r="AV263" i="7"/>
  <c r="AX263" i="7"/>
  <c r="AU263" i="7"/>
  <c r="M187" i="28"/>
  <c r="N187" i="46" s="1"/>
  <c r="L187" i="28"/>
  <c r="K187" i="46" s="1"/>
  <c r="C130" i="45"/>
  <c r="D130" i="45"/>
  <c r="D191" i="45"/>
  <c r="C191" i="45"/>
  <c r="AX18" i="7"/>
  <c r="AU18" i="7"/>
  <c r="AV18" i="7"/>
  <c r="AW18" i="7"/>
  <c r="K176" i="28"/>
  <c r="H176" i="45"/>
  <c r="M88" i="28"/>
  <c r="N88" i="46" s="1"/>
  <c r="L88" i="28"/>
  <c r="K88" i="46" s="1"/>
  <c r="D88" i="45"/>
  <c r="C88" i="45"/>
  <c r="T24" i="45"/>
  <c r="U24" i="45"/>
  <c r="R24" i="45"/>
  <c r="L252" i="28"/>
  <c r="K252" i="46" s="1"/>
  <c r="M252" i="28"/>
  <c r="N252" i="46" s="1"/>
  <c r="D250" i="45"/>
  <c r="C250" i="45"/>
  <c r="L250" i="28"/>
  <c r="K250" i="46" s="1"/>
  <c r="M250" i="28"/>
  <c r="N250" i="46" s="1"/>
  <c r="K85" i="28"/>
  <c r="M85" i="28" s="1"/>
  <c r="N85" i="46" s="1"/>
  <c r="D190" i="46"/>
  <c r="AA190" i="46" s="1"/>
  <c r="AQ190" i="46"/>
  <c r="AP190" i="46"/>
  <c r="AR190" i="46"/>
  <c r="AN190" i="46"/>
  <c r="AO190" i="46"/>
  <c r="C104" i="45"/>
  <c r="D104" i="45"/>
  <c r="L104" i="28"/>
  <c r="K104" i="46" s="1"/>
  <c r="M104" i="28"/>
  <c r="N104" i="46" s="1"/>
  <c r="D51" i="45"/>
  <c r="C51" i="45"/>
  <c r="L51" i="28"/>
  <c r="K51" i="46" s="1"/>
  <c r="M51" i="28"/>
  <c r="N51" i="46" s="1"/>
  <c r="D244" i="45"/>
  <c r="C244" i="45"/>
  <c r="C19" i="45"/>
  <c r="D19" i="45"/>
  <c r="L19" i="28"/>
  <c r="K19" i="46" s="1"/>
  <c r="M19" i="28"/>
  <c r="N19" i="46" s="1"/>
  <c r="X36" i="46"/>
  <c r="S36" i="46"/>
  <c r="U36" i="46"/>
  <c r="T36" i="46"/>
  <c r="W36" i="46"/>
  <c r="Y36" i="46"/>
  <c r="H251" i="45"/>
  <c r="K251" i="28"/>
  <c r="C141" i="45"/>
  <c r="D141" i="45"/>
  <c r="M141" i="28"/>
  <c r="N141" i="46" s="1"/>
  <c r="L141" i="28"/>
  <c r="K141" i="46" s="1"/>
  <c r="M219" i="28"/>
  <c r="N219" i="46" s="1"/>
  <c r="L219" i="28"/>
  <c r="K219" i="46" s="1"/>
  <c r="D219" i="45"/>
  <c r="C219" i="45"/>
  <c r="M242" i="28"/>
  <c r="N242" i="46" s="1"/>
  <c r="L242" i="28"/>
  <c r="K242" i="46" s="1"/>
  <c r="C242" i="45"/>
  <c r="D242" i="45"/>
  <c r="D20" i="45"/>
  <c r="C20" i="45"/>
  <c r="L20" i="28"/>
  <c r="K20" i="46" s="1"/>
  <c r="M20" i="28"/>
  <c r="N20" i="46" s="1"/>
  <c r="D8" i="46"/>
  <c r="C169" i="45"/>
  <c r="P169" i="45" s="1"/>
  <c r="C8" i="46"/>
  <c r="C54" i="45"/>
  <c r="D54" i="45"/>
  <c r="L54" i="28"/>
  <c r="K54" i="46" s="1"/>
  <c r="M54" i="28"/>
  <c r="N54" i="46" s="1"/>
  <c r="D90" i="46"/>
  <c r="F90" i="46"/>
  <c r="K271" i="28"/>
  <c r="H271" i="45"/>
  <c r="L102" i="28"/>
  <c r="K102" i="46" s="1"/>
  <c r="M102" i="28"/>
  <c r="N102" i="46" s="1"/>
  <c r="E90" i="46"/>
  <c r="C90" i="46"/>
  <c r="C102" i="45"/>
  <c r="D102" i="45"/>
  <c r="C186" i="45"/>
  <c r="D186" i="45"/>
  <c r="L186" i="28"/>
  <c r="K186" i="46" s="1"/>
  <c r="M186" i="28"/>
  <c r="N186" i="46" s="1"/>
  <c r="O90" i="45"/>
  <c r="P90" i="45"/>
  <c r="M90" i="45"/>
  <c r="N90" i="45"/>
  <c r="Q90" i="45"/>
  <c r="O200" i="45"/>
  <c r="P200" i="45"/>
  <c r="Q200" i="45"/>
  <c r="N200" i="45"/>
  <c r="M200" i="45"/>
  <c r="S165" i="45"/>
  <c r="T165" i="45"/>
  <c r="R165" i="45"/>
  <c r="U165" i="45"/>
  <c r="D200" i="46"/>
  <c r="U169" i="45"/>
  <c r="T169" i="45"/>
  <c r="R169" i="45"/>
  <c r="S169" i="45"/>
  <c r="M169" i="28"/>
  <c r="N169" i="46" s="1"/>
  <c r="L169" i="28"/>
  <c r="K169" i="46" s="1"/>
  <c r="D93" i="45"/>
  <c r="C93" i="45"/>
  <c r="L93" i="28"/>
  <c r="K93" i="46" s="1"/>
  <c r="M93" i="28"/>
  <c r="N93" i="46" s="1"/>
  <c r="AE36" i="46"/>
  <c r="AC36" i="46"/>
  <c r="Z36" i="46"/>
  <c r="AF36" i="46"/>
  <c r="AD36" i="46"/>
  <c r="AA36" i="46"/>
  <c r="D272" i="45"/>
  <c r="C272" i="45"/>
  <c r="D243" i="45"/>
  <c r="C243" i="45"/>
  <c r="K168" i="28"/>
  <c r="H168" i="45"/>
  <c r="K100" i="28"/>
  <c r="H100" i="45"/>
  <c r="L272" i="28"/>
  <c r="K272" i="46" s="1"/>
  <c r="M272" i="28"/>
  <c r="N272" i="46" s="1"/>
  <c r="L243" i="28"/>
  <c r="K243" i="46" s="1"/>
  <c r="M243" i="28"/>
  <c r="N243" i="46" s="1"/>
  <c r="L205" i="28"/>
  <c r="K205" i="46" s="1"/>
  <c r="M205" i="28"/>
  <c r="N205" i="46" s="1"/>
  <c r="K80" i="28"/>
  <c r="H80" i="45"/>
  <c r="L137" i="28"/>
  <c r="K137" i="46" s="1"/>
  <c r="M137" i="28"/>
  <c r="N137" i="46" s="1"/>
  <c r="K201" i="28"/>
  <c r="H201" i="45"/>
  <c r="C137" i="45"/>
  <c r="D137" i="45"/>
  <c r="D193" i="45"/>
  <c r="C193" i="45"/>
  <c r="D134" i="45"/>
  <c r="C134" i="45"/>
  <c r="L86" i="28"/>
  <c r="K86" i="46" s="1"/>
  <c r="M86" i="28"/>
  <c r="N86" i="46" s="1"/>
  <c r="M193" i="28"/>
  <c r="N193" i="46" s="1"/>
  <c r="L193" i="28"/>
  <c r="K193" i="46" s="1"/>
  <c r="L166" i="28"/>
  <c r="K166" i="46" s="1"/>
  <c r="M166" i="28"/>
  <c r="N166" i="46" s="1"/>
  <c r="D85" i="45"/>
  <c r="C85" i="45"/>
  <c r="N245" i="45"/>
  <c r="Q245" i="45"/>
  <c r="M245" i="45"/>
  <c r="O245" i="45"/>
  <c r="P245" i="45"/>
  <c r="T246" i="45"/>
  <c r="R246" i="45"/>
  <c r="S246" i="45"/>
  <c r="U246" i="45"/>
  <c r="S245" i="45"/>
  <c r="U245" i="45"/>
  <c r="T245" i="45"/>
  <c r="R245" i="45"/>
  <c r="U98" i="45"/>
  <c r="R98" i="45"/>
  <c r="S98" i="45"/>
  <c r="T98" i="45"/>
  <c r="Q246" i="45"/>
  <c r="O246" i="45"/>
  <c r="N246" i="45"/>
  <c r="P246" i="45"/>
  <c r="M246" i="45"/>
  <c r="D246" i="46"/>
  <c r="F246" i="46"/>
  <c r="E246" i="46"/>
  <c r="C246" i="46"/>
  <c r="C245" i="46"/>
  <c r="E245" i="46"/>
  <c r="F98" i="46"/>
  <c r="D98" i="46"/>
  <c r="D166" i="45"/>
  <c r="C166" i="45"/>
  <c r="O57" i="45"/>
  <c r="P57" i="45"/>
  <c r="Q57" i="45"/>
  <c r="M57" i="45"/>
  <c r="N57" i="45"/>
  <c r="Q98" i="45"/>
  <c r="O98" i="45"/>
  <c r="N98" i="45"/>
  <c r="M98" i="45"/>
  <c r="P98" i="45"/>
  <c r="K286" i="28"/>
  <c r="H286" i="45"/>
  <c r="K216" i="28"/>
  <c r="H216" i="45"/>
  <c r="K39" i="28"/>
  <c r="H39" i="45"/>
  <c r="AL155" i="46"/>
  <c r="AH155" i="46"/>
  <c r="AK155" i="46"/>
  <c r="AI155" i="46"/>
  <c r="AJ155" i="46"/>
  <c r="AG155" i="46"/>
  <c r="K225" i="28"/>
  <c r="H225" i="45"/>
  <c r="H126" i="45"/>
  <c r="K126" i="28"/>
  <c r="P136" i="45"/>
  <c r="M136" i="45"/>
  <c r="O136" i="45"/>
  <c r="N136" i="45"/>
  <c r="Q136" i="45"/>
  <c r="K135" i="28"/>
  <c r="H135" i="45"/>
  <c r="K123" i="28"/>
  <c r="H123" i="45"/>
  <c r="K35" i="28"/>
  <c r="H35" i="45"/>
  <c r="K194" i="28"/>
  <c r="H194" i="45"/>
  <c r="H174" i="45"/>
  <c r="K174" i="28"/>
  <c r="K178" i="28"/>
  <c r="H178" i="45"/>
  <c r="K237" i="28"/>
  <c r="H237" i="45"/>
  <c r="H233" i="45"/>
  <c r="K233" i="28"/>
  <c r="H43" i="45"/>
  <c r="K43" i="28"/>
  <c r="K171" i="28"/>
  <c r="H171" i="45"/>
  <c r="H132" i="45"/>
  <c r="K132" i="28"/>
  <c r="K25" i="28"/>
  <c r="H25" i="45"/>
  <c r="K105" i="28"/>
  <c r="H105" i="45"/>
  <c r="H118" i="45"/>
  <c r="K118" i="28"/>
  <c r="K127" i="28"/>
  <c r="H127" i="45"/>
  <c r="K150" i="28"/>
  <c r="H150" i="45"/>
  <c r="K236" i="28"/>
  <c r="H236" i="45"/>
  <c r="H149" i="45"/>
  <c r="K149" i="28"/>
  <c r="K17" i="28"/>
  <c r="H17" i="45"/>
  <c r="K151" i="28"/>
  <c r="H151" i="45"/>
  <c r="K202" i="28"/>
  <c r="H202" i="45"/>
  <c r="K287" i="28"/>
  <c r="H287" i="45"/>
  <c r="K177" i="28"/>
  <c r="H177" i="45"/>
  <c r="H199" i="45"/>
  <c r="K199" i="28"/>
  <c r="K110" i="28"/>
  <c r="H110" i="45"/>
  <c r="K162" i="28"/>
  <c r="H162" i="45"/>
  <c r="K209" i="28"/>
  <c r="H209" i="45"/>
  <c r="K122" i="28"/>
  <c r="H122" i="45"/>
  <c r="K111" i="28"/>
  <c r="H111" i="45"/>
  <c r="H79" i="45"/>
  <c r="K79" i="28"/>
  <c r="K87" i="28"/>
  <c r="H87" i="45"/>
  <c r="K284" i="28"/>
  <c r="H284" i="45"/>
  <c r="K147" i="28"/>
  <c r="H147" i="45"/>
  <c r="H257" i="45"/>
  <c r="K257" i="28"/>
  <c r="H275" i="45"/>
  <c r="K275" i="28"/>
  <c r="H29" i="45"/>
  <c r="K29" i="28"/>
  <c r="K131" i="28"/>
  <c r="H131" i="45"/>
  <c r="H44" i="45"/>
  <c r="K44" i="28"/>
  <c r="K142" i="28"/>
  <c r="H142" i="45"/>
  <c r="K167" i="28"/>
  <c r="H167" i="45"/>
  <c r="K145" i="28"/>
  <c r="H145" i="45"/>
  <c r="H238" i="45"/>
  <c r="K238" i="28"/>
  <c r="H182" i="45"/>
  <c r="K182" i="28"/>
  <c r="H161" i="45"/>
  <c r="K161" i="28"/>
  <c r="K95" i="28"/>
  <c r="H95" i="45"/>
  <c r="K152" i="28"/>
  <c r="H152" i="45"/>
  <c r="K106" i="28"/>
  <c r="H106" i="45"/>
  <c r="K124" i="28"/>
  <c r="H124" i="45"/>
  <c r="H42" i="45"/>
  <c r="K42" i="28"/>
  <c r="H195" i="45"/>
  <c r="K195" i="28"/>
  <c r="K210" i="28"/>
  <c r="H210" i="45"/>
  <c r="K276" i="28"/>
  <c r="H276" i="45"/>
  <c r="M8" i="45"/>
  <c r="P8" i="45"/>
  <c r="O8" i="45"/>
  <c r="N8" i="45"/>
  <c r="Q8" i="45"/>
  <c r="K258" i="28"/>
  <c r="H258" i="45"/>
  <c r="K204" i="28"/>
  <c r="H204" i="45"/>
  <c r="K153" i="28"/>
  <c r="H153" i="45"/>
  <c r="K224" i="28"/>
  <c r="H224" i="45"/>
  <c r="H129" i="45"/>
  <c r="K129" i="28"/>
  <c r="K113" i="28"/>
  <c r="H113" i="45"/>
  <c r="K107" i="28"/>
  <c r="H107" i="45"/>
  <c r="H99" i="45"/>
  <c r="K99" i="28"/>
  <c r="H38" i="45"/>
  <c r="K38" i="28"/>
  <c r="H114" i="45"/>
  <c r="K114" i="28"/>
  <c r="H285" i="45"/>
  <c r="K285" i="28"/>
  <c r="K232" i="28"/>
  <c r="H232" i="45"/>
  <c r="H163" i="45"/>
  <c r="K163" i="28"/>
  <c r="H112" i="45"/>
  <c r="K112" i="28"/>
  <c r="K226" i="28"/>
  <c r="H226" i="45"/>
  <c r="K261" i="28"/>
  <c r="H261" i="45"/>
  <c r="K290" i="28"/>
  <c r="H290" i="45"/>
  <c r="K222" i="28"/>
  <c r="H222" i="45"/>
  <c r="K179" i="28"/>
  <c r="H179" i="45"/>
  <c r="H206" i="45"/>
  <c r="K206" i="28"/>
  <c r="H115" i="45"/>
  <c r="K115" i="28"/>
  <c r="K184" i="28"/>
  <c r="H184" i="45"/>
  <c r="K84" i="28"/>
  <c r="H84" i="45"/>
  <c r="K212" i="28"/>
  <c r="H212" i="45"/>
  <c r="H97" i="45"/>
  <c r="K97" i="28"/>
  <c r="K249" i="28"/>
  <c r="H249" i="45"/>
  <c r="F136" i="46"/>
  <c r="D136" i="46"/>
  <c r="H215" i="45"/>
  <c r="K215" i="28"/>
  <c r="K217" i="28"/>
  <c r="H217" i="45"/>
  <c r="K227" i="28"/>
  <c r="H227" i="45"/>
  <c r="H172" i="45"/>
  <c r="K172" i="28"/>
  <c r="K289" i="28"/>
  <c r="H289" i="45"/>
  <c r="K81" i="28"/>
  <c r="H81" i="45"/>
  <c r="K196" i="28"/>
  <c r="H196" i="45"/>
  <c r="K159" i="28"/>
  <c r="H159" i="45"/>
  <c r="AB155" i="46"/>
  <c r="AD155" i="46"/>
  <c r="AA155" i="46"/>
  <c r="AF155" i="46"/>
  <c r="AE155" i="46"/>
  <c r="Z155" i="46"/>
  <c r="AC155" i="46"/>
  <c r="H15" i="45"/>
  <c r="K15" i="28"/>
  <c r="K188" i="28"/>
  <c r="H188" i="45"/>
  <c r="K31" i="28"/>
  <c r="H31" i="45"/>
  <c r="K214" i="28"/>
  <c r="H214" i="45"/>
  <c r="K140" i="28"/>
  <c r="H140" i="45"/>
  <c r="H218" i="45"/>
  <c r="K218" i="28"/>
  <c r="E136" i="46"/>
  <c r="C136" i="46"/>
  <c r="K144" i="28"/>
  <c r="H144" i="45"/>
  <c r="K121" i="28"/>
  <c r="H121" i="45"/>
  <c r="K197" i="28"/>
  <c r="H197" i="45"/>
  <c r="K213" i="28"/>
  <c r="H213" i="45"/>
  <c r="K220" i="28"/>
  <c r="H220" i="45"/>
  <c r="K185" i="28"/>
  <c r="H185" i="45"/>
  <c r="K158" i="28"/>
  <c r="H158" i="45"/>
  <c r="K256" i="28"/>
  <c r="H256" i="45"/>
  <c r="K181" i="28"/>
  <c r="H181" i="45"/>
  <c r="K198" i="28"/>
  <c r="H198" i="45"/>
  <c r="AN155" i="46"/>
  <c r="AR155" i="46"/>
  <c r="AO155" i="46"/>
  <c r="AP155" i="46"/>
  <c r="AM155" i="46"/>
  <c r="AQ155" i="46"/>
  <c r="K280" i="28"/>
  <c r="H280" i="45"/>
  <c r="K26" i="28"/>
  <c r="H26" i="45"/>
  <c r="K175" i="28"/>
  <c r="H175" i="45"/>
  <c r="P62" i="45"/>
  <c r="N62" i="45"/>
  <c r="O62" i="45"/>
  <c r="M62" i="45"/>
  <c r="Q62" i="45"/>
  <c r="K160" i="28"/>
  <c r="H160" i="45"/>
  <c r="K231" i="28"/>
  <c r="H231" i="45"/>
  <c r="K277" i="28"/>
  <c r="H277" i="45"/>
  <c r="K69" i="28"/>
  <c r="H69" i="45"/>
  <c r="K94" i="28"/>
  <c r="H94" i="45"/>
  <c r="K228" i="28"/>
  <c r="H228" i="45"/>
  <c r="K192" i="28"/>
  <c r="H192" i="45"/>
  <c r="K157" i="28"/>
  <c r="H157" i="45"/>
  <c r="K40" i="28"/>
  <c r="H40" i="45"/>
  <c r="K117" i="28"/>
  <c r="H117" i="45"/>
  <c r="H208" i="45"/>
  <c r="K208" i="28"/>
  <c r="H180" i="45"/>
  <c r="K180" i="28"/>
  <c r="H270" i="45"/>
  <c r="K270" i="28"/>
  <c r="K223" i="28"/>
  <c r="H223" i="45"/>
  <c r="K33" i="28"/>
  <c r="H33" i="45"/>
  <c r="K211" i="28"/>
  <c r="H211" i="45"/>
  <c r="K260" i="28"/>
  <c r="H260" i="45"/>
  <c r="T155" i="46"/>
  <c r="W155" i="46"/>
  <c r="U155" i="46"/>
  <c r="V155" i="46"/>
  <c r="Y155" i="46"/>
  <c r="S155" i="46"/>
  <c r="X155" i="46"/>
  <c r="H116" i="45"/>
  <c r="K116" i="28"/>
  <c r="K164" i="28"/>
  <c r="H164" i="45"/>
  <c r="U62" i="45"/>
  <c r="T62" i="45"/>
  <c r="S62" i="45"/>
  <c r="R62" i="45"/>
  <c r="K173" i="28"/>
  <c r="H173" i="45"/>
  <c r="K96" i="28"/>
  <c r="H96" i="45"/>
  <c r="H282" i="45"/>
  <c r="K282" i="28"/>
  <c r="R136" i="45"/>
  <c r="U136" i="45"/>
  <c r="T136" i="45"/>
  <c r="S136" i="45"/>
  <c r="H22" i="45"/>
  <c r="K22" i="28"/>
  <c r="AG125" i="46"/>
  <c r="AK125" i="46"/>
  <c r="AH125" i="46"/>
  <c r="AJ125" i="46"/>
  <c r="AI125" i="46"/>
  <c r="AL125" i="46"/>
  <c r="AF288" i="46"/>
  <c r="AE288" i="46"/>
  <c r="AD288" i="46"/>
  <c r="AB288" i="46"/>
  <c r="AA288" i="46"/>
  <c r="AC288" i="46"/>
  <c r="Z288" i="46"/>
  <c r="AK288" i="46"/>
  <c r="AH288" i="46"/>
  <c r="AI288" i="46"/>
  <c r="AL288" i="46"/>
  <c r="AG288" i="46"/>
  <c r="AJ288" i="46"/>
  <c r="AO288" i="46"/>
  <c r="AM288" i="46"/>
  <c r="AR288" i="46"/>
  <c r="AP288" i="46"/>
  <c r="AQ288" i="46"/>
  <c r="AN288" i="46"/>
  <c r="T288" i="46"/>
  <c r="S288" i="46"/>
  <c r="Y288" i="46"/>
  <c r="W288" i="46"/>
  <c r="X288" i="46"/>
  <c r="U288" i="46"/>
  <c r="V288" i="46"/>
  <c r="AO200" i="46" l="1"/>
  <c r="AM200" i="46"/>
  <c r="AR200" i="46"/>
  <c r="AK200" i="46"/>
  <c r="AJ200" i="46"/>
  <c r="AI200" i="46"/>
  <c r="AH200" i="46"/>
  <c r="S58" i="45"/>
  <c r="AG200" i="46"/>
  <c r="AN200" i="46"/>
  <c r="AP200" i="46"/>
  <c r="C200" i="46"/>
  <c r="Y200" i="46" s="1"/>
  <c r="R8" i="45"/>
  <c r="U58" i="45"/>
  <c r="T58" i="45"/>
  <c r="T8" i="45"/>
  <c r="F165" i="46"/>
  <c r="AM165" i="46" s="1"/>
  <c r="U8" i="45"/>
  <c r="N165" i="45"/>
  <c r="P165" i="45"/>
  <c r="Q165" i="45"/>
  <c r="O165" i="45"/>
  <c r="D4" i="46"/>
  <c r="AD4" i="46" s="1"/>
  <c r="L165" i="28"/>
  <c r="K165" i="46" s="1"/>
  <c r="C165" i="46" s="1"/>
  <c r="W165" i="46" s="1"/>
  <c r="BH6" i="7"/>
  <c r="O34" i="7"/>
  <c r="H34" i="87"/>
  <c r="BF34" i="7"/>
  <c r="F37" i="39"/>
  <c r="G37" i="39" s="1"/>
  <c r="BB37" i="7"/>
  <c r="AY37" i="7"/>
  <c r="AZ37" i="7"/>
  <c r="Z37" i="7"/>
  <c r="AU37" i="7"/>
  <c r="AV37" i="7"/>
  <c r="AX37" i="7"/>
  <c r="BA37" i="7"/>
  <c r="H65" i="87"/>
  <c r="BF65" i="7"/>
  <c r="D6" i="39"/>
  <c r="E6" i="39" s="1"/>
  <c r="K6" i="28" s="1"/>
  <c r="L6" i="28" s="1"/>
  <c r="K6" i="46" s="1"/>
  <c r="BJ6" i="7"/>
  <c r="R90" i="45"/>
  <c r="BC6" i="7"/>
  <c r="F6" i="87"/>
  <c r="T6" i="87" s="1"/>
  <c r="O6" i="46"/>
  <c r="BD6" i="7"/>
  <c r="BE6" i="7"/>
  <c r="BG6" i="7"/>
  <c r="BI6" i="7"/>
  <c r="U90" i="45"/>
  <c r="T90" i="45"/>
  <c r="N125" i="45"/>
  <c r="M125" i="45"/>
  <c r="P125" i="45"/>
  <c r="O125" i="45"/>
  <c r="M244" i="28"/>
  <c r="N244" i="46" s="1"/>
  <c r="D244" i="46" s="1"/>
  <c r="R36" i="87"/>
  <c r="C36" i="87"/>
  <c r="AB125" i="46"/>
  <c r="AV36" i="7"/>
  <c r="AX36" i="7"/>
  <c r="AU36" i="7"/>
  <c r="AW36" i="7"/>
  <c r="AE125" i="46"/>
  <c r="AO125" i="46"/>
  <c r="AM125" i="46"/>
  <c r="AP125" i="46"/>
  <c r="AQ125" i="46"/>
  <c r="X263" i="87"/>
  <c r="V263" i="87"/>
  <c r="U263" i="87"/>
  <c r="S263" i="87"/>
  <c r="R263" i="87"/>
  <c r="W263" i="87"/>
  <c r="T263" i="87"/>
  <c r="X18" i="87"/>
  <c r="T18" i="87"/>
  <c r="R18" i="87"/>
  <c r="W18" i="87"/>
  <c r="V18" i="87"/>
  <c r="U18" i="87"/>
  <c r="S18" i="87"/>
  <c r="X156" i="87"/>
  <c r="V156" i="87"/>
  <c r="U156" i="87"/>
  <c r="W156" i="87"/>
  <c r="S156" i="87"/>
  <c r="T156" i="87"/>
  <c r="R156" i="87"/>
  <c r="X170" i="87"/>
  <c r="V170" i="87"/>
  <c r="U170" i="87"/>
  <c r="W170" i="87"/>
  <c r="T170" i="87"/>
  <c r="S170" i="87"/>
  <c r="R170" i="87"/>
  <c r="T30" i="87"/>
  <c r="R30" i="87"/>
  <c r="X30" i="87"/>
  <c r="V30" i="87"/>
  <c r="W30" i="87"/>
  <c r="U30" i="87"/>
  <c r="S30" i="87"/>
  <c r="X221" i="87"/>
  <c r="V221" i="87"/>
  <c r="U221" i="87"/>
  <c r="R221" i="87"/>
  <c r="W221" i="87"/>
  <c r="T221" i="87"/>
  <c r="S221" i="87"/>
  <c r="Z5" i="7"/>
  <c r="AX5" i="7"/>
  <c r="AV5" i="7"/>
  <c r="AU5" i="7"/>
  <c r="AW5" i="7"/>
  <c r="AD125" i="46"/>
  <c r="AN125" i="46"/>
  <c r="AA125" i="46"/>
  <c r="AF125" i="46"/>
  <c r="AC125" i="46"/>
  <c r="AI234" i="46"/>
  <c r="AK234" i="46"/>
  <c r="AJ234" i="46"/>
  <c r="AL234" i="46"/>
  <c r="AG234" i="46"/>
  <c r="AH234" i="46"/>
  <c r="W234" i="46"/>
  <c r="V234" i="46"/>
  <c r="X234" i="46"/>
  <c r="Y234" i="46"/>
  <c r="U234" i="46"/>
  <c r="S234" i="46"/>
  <c r="T234" i="46"/>
  <c r="Z49" i="46"/>
  <c r="AF49" i="46"/>
  <c r="AB49" i="46"/>
  <c r="AE49" i="46"/>
  <c r="AD49" i="46"/>
  <c r="AC49" i="46"/>
  <c r="AA49" i="46"/>
  <c r="AN49" i="46"/>
  <c r="AQ49" i="46"/>
  <c r="AM49" i="46"/>
  <c r="AO49" i="46"/>
  <c r="AP49" i="46"/>
  <c r="AR49" i="46"/>
  <c r="AF234" i="46"/>
  <c r="Z234" i="46"/>
  <c r="AC234" i="46"/>
  <c r="AB234" i="46"/>
  <c r="AA234" i="46"/>
  <c r="AD234" i="46"/>
  <c r="AE234" i="46"/>
  <c r="AP234" i="46"/>
  <c r="AR234" i="46"/>
  <c r="AM234" i="46"/>
  <c r="AN234" i="46"/>
  <c r="AQ234" i="46"/>
  <c r="AO234" i="46"/>
  <c r="X49" i="46"/>
  <c r="Y49" i="46"/>
  <c r="S49" i="46"/>
  <c r="V49" i="46"/>
  <c r="W49" i="46"/>
  <c r="U49" i="46"/>
  <c r="T49" i="46"/>
  <c r="AL49" i="46"/>
  <c r="AI49" i="46"/>
  <c r="AG49" i="46"/>
  <c r="AJ49" i="46"/>
  <c r="AH49" i="46"/>
  <c r="AK49" i="46"/>
  <c r="X125" i="46"/>
  <c r="S125" i="46"/>
  <c r="U125" i="46"/>
  <c r="Y125" i="46"/>
  <c r="W125" i="46"/>
  <c r="V125" i="46"/>
  <c r="D86" i="45"/>
  <c r="S86" i="45" s="1"/>
  <c r="O103" i="45"/>
  <c r="R205" i="45"/>
  <c r="U205" i="45"/>
  <c r="S205" i="45"/>
  <c r="C205" i="45"/>
  <c r="P205" i="45" s="1"/>
  <c r="E98" i="46"/>
  <c r="AG98" i="46" s="1"/>
  <c r="D245" i="46"/>
  <c r="AF245" i="46" s="1"/>
  <c r="M183" i="28"/>
  <c r="N183" i="46" s="1"/>
  <c r="D183" i="46" s="1"/>
  <c r="C252" i="45"/>
  <c r="M252" i="45" s="1"/>
  <c r="H189" i="45"/>
  <c r="D189" i="45" s="1"/>
  <c r="D183" i="45"/>
  <c r="T183" i="45" s="1"/>
  <c r="M134" i="28"/>
  <c r="N134" i="46" s="1"/>
  <c r="D134" i="46" s="1"/>
  <c r="S57" i="45"/>
  <c r="U57" i="45"/>
  <c r="T57" i="45"/>
  <c r="BG23" i="7"/>
  <c r="BF23" i="7"/>
  <c r="BE23" i="7"/>
  <c r="BJ23" i="7"/>
  <c r="BD23" i="7"/>
  <c r="BC23" i="7"/>
  <c r="BI23" i="7"/>
  <c r="BH23" i="7"/>
  <c r="L103" i="28"/>
  <c r="K103" i="46" s="1"/>
  <c r="E103" i="46" s="1"/>
  <c r="D108" i="45"/>
  <c r="R108" i="45" s="1"/>
  <c r="P56" i="45"/>
  <c r="O190" i="45"/>
  <c r="K239" i="28"/>
  <c r="L239" i="28" s="1"/>
  <c r="K239" i="46" s="1"/>
  <c r="U103" i="45"/>
  <c r="T103" i="45"/>
  <c r="P190" i="45"/>
  <c r="R103" i="45"/>
  <c r="M190" i="45"/>
  <c r="Q190" i="45"/>
  <c r="L143" i="28"/>
  <c r="K143" i="46" s="1"/>
  <c r="E143" i="46" s="1"/>
  <c r="C190" i="46"/>
  <c r="U190" i="46" s="1"/>
  <c r="C59" i="46"/>
  <c r="Y59" i="46" s="1"/>
  <c r="D91" i="45"/>
  <c r="R91" i="45" s="1"/>
  <c r="AY23" i="7"/>
  <c r="F23" i="39"/>
  <c r="G23" i="39" s="1"/>
  <c r="C61" i="45"/>
  <c r="Q61" i="45" s="1"/>
  <c r="L85" i="28"/>
  <c r="K85" i="46" s="1"/>
  <c r="E85" i="46" s="1"/>
  <c r="A157" i="50"/>
  <c r="A157" i="52"/>
  <c r="A157" i="23"/>
  <c r="A157" i="26"/>
  <c r="A157" i="33"/>
  <c r="A157" i="39"/>
  <c r="A157" i="6"/>
  <c r="A157" i="28"/>
  <c r="A157" i="51"/>
  <c r="A157" i="25"/>
  <c r="A157" i="54"/>
  <c r="A157" i="21"/>
  <c r="A157" i="7"/>
  <c r="A157" i="15"/>
  <c r="O23" i="46"/>
  <c r="F23" i="87"/>
  <c r="C283" i="45"/>
  <c r="D283" i="45"/>
  <c r="L283" i="28"/>
  <c r="K283" i="46" s="1"/>
  <c r="M283" i="28"/>
  <c r="N283" i="46" s="1"/>
  <c r="M56" i="45"/>
  <c r="Q56" i="45"/>
  <c r="C72" i="46"/>
  <c r="U72" i="46" s="1"/>
  <c r="O56" i="45"/>
  <c r="D60" i="45"/>
  <c r="S60" i="45" s="1"/>
  <c r="L70" i="28"/>
  <c r="K70" i="46" s="1"/>
  <c r="E70" i="46" s="1"/>
  <c r="Q103" i="45"/>
  <c r="AE59" i="46"/>
  <c r="M103" i="45"/>
  <c r="C89" i="45"/>
  <c r="N89" i="45" s="1"/>
  <c r="P103" i="45"/>
  <c r="C53" i="45"/>
  <c r="M53" i="45" s="1"/>
  <c r="D101" i="45"/>
  <c r="S101" i="45" s="1"/>
  <c r="C73" i="45"/>
  <c r="M73" i="45" s="1"/>
  <c r="AD59" i="46"/>
  <c r="AF59" i="46"/>
  <c r="AA59" i="46"/>
  <c r="AB59" i="46"/>
  <c r="Z59" i="46"/>
  <c r="AN59" i="46"/>
  <c r="AO59" i="46"/>
  <c r="AM59" i="46"/>
  <c r="AQ59" i="46"/>
  <c r="AR59" i="46"/>
  <c r="AP59" i="46"/>
  <c r="C66" i="45"/>
  <c r="D66" i="45"/>
  <c r="C71" i="45"/>
  <c r="D71" i="45"/>
  <c r="K109" i="28"/>
  <c r="H109" i="45"/>
  <c r="F10" i="46"/>
  <c r="D10" i="46"/>
  <c r="K235" i="28"/>
  <c r="H235" i="45"/>
  <c r="C55" i="45"/>
  <c r="D55" i="45"/>
  <c r="C10" i="46"/>
  <c r="E10" i="46"/>
  <c r="O10" i="45"/>
  <c r="Q10" i="45"/>
  <c r="M10" i="45"/>
  <c r="N10" i="45"/>
  <c r="P10" i="45"/>
  <c r="L55" i="28"/>
  <c r="K55" i="46" s="1"/>
  <c r="M55" i="28"/>
  <c r="N55" i="46" s="1"/>
  <c r="K41" i="28"/>
  <c r="H41" i="45"/>
  <c r="R10" i="45"/>
  <c r="S10" i="45"/>
  <c r="T10" i="45"/>
  <c r="U10" i="45"/>
  <c r="K139" i="28"/>
  <c r="H139" i="45"/>
  <c r="K45" i="28"/>
  <c r="H45" i="45"/>
  <c r="H128" i="45"/>
  <c r="K128" i="28"/>
  <c r="S67" i="45"/>
  <c r="T67" i="45"/>
  <c r="R67" i="45"/>
  <c r="U67" i="45"/>
  <c r="D74" i="46"/>
  <c r="F74" i="46"/>
  <c r="Q74" i="45"/>
  <c r="O74" i="45"/>
  <c r="M74" i="45"/>
  <c r="N74" i="45"/>
  <c r="P74" i="45"/>
  <c r="P67" i="45"/>
  <c r="O67" i="45"/>
  <c r="M67" i="45"/>
  <c r="N67" i="45"/>
  <c r="Q67" i="45"/>
  <c r="E74" i="46"/>
  <c r="C74" i="46"/>
  <c r="R74" i="45"/>
  <c r="T74" i="45"/>
  <c r="U74" i="45"/>
  <c r="S74" i="45"/>
  <c r="K27" i="28"/>
  <c r="H27" i="45"/>
  <c r="H82" i="45"/>
  <c r="K82" i="28"/>
  <c r="K32" i="28"/>
  <c r="H32" i="45"/>
  <c r="AM8" i="46"/>
  <c r="AR8" i="46"/>
  <c r="AQ8" i="46"/>
  <c r="AP8" i="46"/>
  <c r="AN8" i="46"/>
  <c r="AO8" i="46"/>
  <c r="AU221" i="7"/>
  <c r="E66" i="46"/>
  <c r="C66" i="46"/>
  <c r="U34" i="45"/>
  <c r="T34" i="45"/>
  <c r="R34" i="45"/>
  <c r="S34" i="45"/>
  <c r="AH4" i="46"/>
  <c r="AK4" i="46"/>
  <c r="AL4" i="46"/>
  <c r="AI4" i="46"/>
  <c r="AJ4" i="46"/>
  <c r="AG4" i="46"/>
  <c r="AI59" i="46"/>
  <c r="AJ59" i="46"/>
  <c r="AK59" i="46"/>
  <c r="AH59" i="46"/>
  <c r="AG59" i="46"/>
  <c r="AL59" i="46"/>
  <c r="L63" i="28"/>
  <c r="M63" i="28"/>
  <c r="S70" i="45"/>
  <c r="U70" i="45"/>
  <c r="R70" i="45"/>
  <c r="T70" i="45"/>
  <c r="O60" i="45"/>
  <c r="M60" i="45"/>
  <c r="N60" i="45"/>
  <c r="P60" i="45"/>
  <c r="Q60" i="45"/>
  <c r="R53" i="45"/>
  <c r="S53" i="45"/>
  <c r="U53" i="45"/>
  <c r="T53" i="45"/>
  <c r="D66" i="46"/>
  <c r="F66" i="46"/>
  <c r="Q91" i="45"/>
  <c r="P91" i="45"/>
  <c r="M91" i="45"/>
  <c r="N91" i="45"/>
  <c r="O91" i="45"/>
  <c r="D103" i="46"/>
  <c r="F103" i="46"/>
  <c r="D60" i="46"/>
  <c r="F60" i="46"/>
  <c r="E53" i="46"/>
  <c r="C53" i="46"/>
  <c r="AH72" i="46"/>
  <c r="AG72" i="46"/>
  <c r="AI72" i="46"/>
  <c r="AK72" i="46"/>
  <c r="AL72" i="46"/>
  <c r="AJ72" i="46"/>
  <c r="E91" i="46"/>
  <c r="C91" i="46"/>
  <c r="H83" i="45"/>
  <c r="K83" i="28"/>
  <c r="E75" i="46"/>
  <c r="C75" i="46"/>
  <c r="E8" i="46"/>
  <c r="R61" i="45"/>
  <c r="T61" i="45"/>
  <c r="S61" i="45"/>
  <c r="U61" i="45"/>
  <c r="E60" i="46"/>
  <c r="C60" i="46"/>
  <c r="F53" i="46"/>
  <c r="D53" i="46"/>
  <c r="D101" i="46"/>
  <c r="F101" i="46"/>
  <c r="C71" i="46"/>
  <c r="E71" i="46"/>
  <c r="F91" i="46"/>
  <c r="D91" i="46"/>
  <c r="AE72" i="46"/>
  <c r="AD72" i="46"/>
  <c r="AB72" i="46"/>
  <c r="AF72" i="46"/>
  <c r="Z72" i="46"/>
  <c r="AA72" i="46"/>
  <c r="AC72" i="46"/>
  <c r="D89" i="46"/>
  <c r="F89" i="46"/>
  <c r="T75" i="45"/>
  <c r="R75" i="45"/>
  <c r="S75" i="45"/>
  <c r="U75" i="45"/>
  <c r="F75" i="46"/>
  <c r="D75" i="46"/>
  <c r="D28" i="45"/>
  <c r="C28" i="45"/>
  <c r="D61" i="46"/>
  <c r="F61" i="46"/>
  <c r="K64" i="28"/>
  <c r="H64" i="45"/>
  <c r="C101" i="46"/>
  <c r="E101" i="46"/>
  <c r="F71" i="46"/>
  <c r="D71" i="46"/>
  <c r="D143" i="46"/>
  <c r="F143" i="46"/>
  <c r="AN72" i="46"/>
  <c r="AM72" i="46"/>
  <c r="AQ72" i="46"/>
  <c r="AP72" i="46"/>
  <c r="AO72" i="46"/>
  <c r="AR72" i="46"/>
  <c r="C89" i="46"/>
  <c r="E89" i="46"/>
  <c r="N75" i="45"/>
  <c r="O75" i="45"/>
  <c r="M75" i="45"/>
  <c r="P75" i="45"/>
  <c r="Q75" i="45"/>
  <c r="F108" i="46"/>
  <c r="D108" i="46"/>
  <c r="M28" i="28"/>
  <c r="N28" i="46" s="1"/>
  <c r="L28" i="28"/>
  <c r="K28" i="46" s="1"/>
  <c r="E61" i="46"/>
  <c r="C61" i="46"/>
  <c r="U89" i="45"/>
  <c r="R89" i="45"/>
  <c r="S89" i="45"/>
  <c r="T89" i="45"/>
  <c r="P143" i="45"/>
  <c r="N143" i="45"/>
  <c r="M143" i="45"/>
  <c r="O143" i="45"/>
  <c r="Q143" i="45"/>
  <c r="C108" i="46"/>
  <c r="E108" i="46"/>
  <c r="E73" i="46"/>
  <c r="C73" i="46"/>
  <c r="U73" i="45"/>
  <c r="S73" i="45"/>
  <c r="R73" i="45"/>
  <c r="T73" i="45"/>
  <c r="AX221" i="7"/>
  <c r="AV221" i="7"/>
  <c r="M101" i="45"/>
  <c r="O101" i="45"/>
  <c r="N101" i="45"/>
  <c r="P101" i="45"/>
  <c r="Q101" i="45"/>
  <c r="U143" i="45"/>
  <c r="R143" i="45"/>
  <c r="S143" i="45"/>
  <c r="T143" i="45"/>
  <c r="T4" i="46"/>
  <c r="Y4" i="46"/>
  <c r="W4" i="46"/>
  <c r="X4" i="46"/>
  <c r="S4" i="46"/>
  <c r="V4" i="46"/>
  <c r="U4" i="46"/>
  <c r="F34" i="46"/>
  <c r="D34" i="46"/>
  <c r="Q108" i="45"/>
  <c r="M108" i="45"/>
  <c r="P108" i="45"/>
  <c r="N108" i="45"/>
  <c r="O108" i="45"/>
  <c r="F73" i="46"/>
  <c r="D73" i="46"/>
  <c r="K65" i="28"/>
  <c r="H65" i="45"/>
  <c r="M34" i="45"/>
  <c r="Q34" i="45"/>
  <c r="O34" i="45"/>
  <c r="P34" i="45"/>
  <c r="N34" i="45"/>
  <c r="AP4" i="46"/>
  <c r="AQ4" i="46"/>
  <c r="AN4" i="46"/>
  <c r="AR4" i="46"/>
  <c r="AM4" i="46"/>
  <c r="AO4" i="46"/>
  <c r="E34" i="46"/>
  <c r="C34" i="46"/>
  <c r="C63" i="45"/>
  <c r="D63" i="45"/>
  <c r="M70" i="45"/>
  <c r="P70" i="45"/>
  <c r="O70" i="45"/>
  <c r="N70" i="45"/>
  <c r="Q70" i="45"/>
  <c r="F70" i="46"/>
  <c r="D70" i="46"/>
  <c r="D156" i="39"/>
  <c r="E156" i="39" s="1"/>
  <c r="H221" i="45"/>
  <c r="D221" i="45" s="1"/>
  <c r="K221" i="28"/>
  <c r="L221" i="28" s="1"/>
  <c r="K221" i="46" s="1"/>
  <c r="Q119" i="45"/>
  <c r="O119" i="45"/>
  <c r="P119" i="45"/>
  <c r="N119" i="45"/>
  <c r="M119" i="45"/>
  <c r="AV23" i="7"/>
  <c r="C119" i="46"/>
  <c r="E119" i="46"/>
  <c r="Q76" i="45"/>
  <c r="M76" i="45"/>
  <c r="P76" i="45"/>
  <c r="N76" i="45"/>
  <c r="O76" i="45"/>
  <c r="D76" i="46"/>
  <c r="F76" i="46"/>
  <c r="D279" i="46"/>
  <c r="F279" i="46"/>
  <c r="D119" i="46"/>
  <c r="F119" i="46"/>
  <c r="S76" i="45"/>
  <c r="U76" i="45"/>
  <c r="R76" i="45"/>
  <c r="T76" i="45"/>
  <c r="C76" i="46"/>
  <c r="E76" i="46"/>
  <c r="C279" i="46"/>
  <c r="E279" i="46"/>
  <c r="C241" i="46"/>
  <c r="E241" i="46"/>
  <c r="U279" i="45"/>
  <c r="S279" i="45"/>
  <c r="T279" i="45"/>
  <c r="R279" i="45"/>
  <c r="C148" i="45"/>
  <c r="D148" i="45"/>
  <c r="F241" i="46"/>
  <c r="D241" i="46"/>
  <c r="N279" i="45"/>
  <c r="O279" i="45"/>
  <c r="M279" i="45"/>
  <c r="Q279" i="45"/>
  <c r="P279" i="45"/>
  <c r="L148" i="28"/>
  <c r="K148" i="46" s="1"/>
  <c r="M148" i="28"/>
  <c r="N148" i="46" s="1"/>
  <c r="M241" i="45"/>
  <c r="N241" i="45"/>
  <c r="P241" i="45"/>
  <c r="O241" i="45"/>
  <c r="Q241" i="45"/>
  <c r="L92" i="28"/>
  <c r="K92" i="46" s="1"/>
  <c r="M92" i="28"/>
  <c r="N92" i="46" s="1"/>
  <c r="U241" i="45"/>
  <c r="R241" i="45"/>
  <c r="T241" i="45"/>
  <c r="S241" i="45"/>
  <c r="R119" i="45"/>
  <c r="U119" i="45"/>
  <c r="T119" i="45"/>
  <c r="S119" i="45"/>
  <c r="D92" i="45"/>
  <c r="C92" i="45"/>
  <c r="T48" i="45"/>
  <c r="U48" i="45"/>
  <c r="S48" i="45"/>
  <c r="R48" i="45"/>
  <c r="E48" i="46"/>
  <c r="C48" i="46"/>
  <c r="D48" i="46"/>
  <c r="F48" i="46"/>
  <c r="P48" i="45"/>
  <c r="N48" i="45"/>
  <c r="O48" i="45"/>
  <c r="Q48" i="45"/>
  <c r="M48" i="45"/>
  <c r="D18" i="39"/>
  <c r="E18" i="39" s="1"/>
  <c r="U187" i="45"/>
  <c r="S187" i="45"/>
  <c r="R187" i="45"/>
  <c r="T187" i="45"/>
  <c r="F133" i="46"/>
  <c r="D133" i="46"/>
  <c r="D203" i="45"/>
  <c r="C203" i="45"/>
  <c r="M68" i="28"/>
  <c r="N68" i="46" s="1"/>
  <c r="L68" i="28"/>
  <c r="K68" i="46" s="1"/>
  <c r="F191" i="46"/>
  <c r="D191" i="46"/>
  <c r="O191" i="45"/>
  <c r="M191" i="45"/>
  <c r="Q191" i="45"/>
  <c r="N191" i="45"/>
  <c r="P191" i="45"/>
  <c r="D130" i="46"/>
  <c r="F130" i="46"/>
  <c r="R191" i="45"/>
  <c r="S191" i="45"/>
  <c r="U191" i="45"/>
  <c r="T191" i="45"/>
  <c r="C187" i="46"/>
  <c r="E187" i="46"/>
  <c r="C47" i="45"/>
  <c r="D47" i="45"/>
  <c r="K154" i="28"/>
  <c r="H154" i="45"/>
  <c r="C207" i="45"/>
  <c r="D207" i="45"/>
  <c r="C130" i="46"/>
  <c r="E130" i="46"/>
  <c r="U130" i="45"/>
  <c r="R130" i="45"/>
  <c r="T130" i="45"/>
  <c r="S130" i="45"/>
  <c r="F187" i="46"/>
  <c r="D187" i="46"/>
  <c r="L47" i="28"/>
  <c r="K47" i="46" s="1"/>
  <c r="M47" i="28"/>
  <c r="N47" i="46" s="1"/>
  <c r="L207" i="28"/>
  <c r="K207" i="46" s="1"/>
  <c r="M207" i="28"/>
  <c r="N207" i="46" s="1"/>
  <c r="D176" i="45"/>
  <c r="C176" i="45"/>
  <c r="P130" i="45"/>
  <c r="M130" i="45"/>
  <c r="N130" i="45"/>
  <c r="Q130" i="45"/>
  <c r="O130" i="45"/>
  <c r="D263" i="39"/>
  <c r="E263" i="39" s="1"/>
  <c r="O133" i="45"/>
  <c r="Q133" i="45"/>
  <c r="N133" i="45"/>
  <c r="P133" i="45"/>
  <c r="M133" i="45"/>
  <c r="L176" i="28"/>
  <c r="K176" i="46" s="1"/>
  <c r="M176" i="28"/>
  <c r="N176" i="46" s="1"/>
  <c r="S133" i="45"/>
  <c r="T133" i="45"/>
  <c r="U133" i="45"/>
  <c r="R133" i="45"/>
  <c r="D30" i="39"/>
  <c r="E30" i="39" s="1"/>
  <c r="D11" i="45"/>
  <c r="C11" i="45"/>
  <c r="D170" i="39"/>
  <c r="E170" i="39" s="1"/>
  <c r="L11" i="28"/>
  <c r="K11" i="46" s="1"/>
  <c r="M11" i="28"/>
  <c r="N11" i="46" s="1"/>
  <c r="N187" i="45"/>
  <c r="M187" i="45"/>
  <c r="O187" i="45"/>
  <c r="P187" i="45"/>
  <c r="Q187" i="45"/>
  <c r="C133" i="46"/>
  <c r="E133" i="46"/>
  <c r="L203" i="28"/>
  <c r="K203" i="46" s="1"/>
  <c r="M203" i="28"/>
  <c r="N203" i="46" s="1"/>
  <c r="C68" i="45"/>
  <c r="D68" i="45"/>
  <c r="E191" i="46"/>
  <c r="C191" i="46"/>
  <c r="O88" i="45"/>
  <c r="N88" i="45"/>
  <c r="M88" i="45"/>
  <c r="Q88" i="45"/>
  <c r="P88" i="45"/>
  <c r="T88" i="45"/>
  <c r="R88" i="45"/>
  <c r="U88" i="45"/>
  <c r="S88" i="45"/>
  <c r="C88" i="46"/>
  <c r="E88" i="46"/>
  <c r="D88" i="46"/>
  <c r="F88" i="46"/>
  <c r="F252" i="46"/>
  <c r="D252" i="46"/>
  <c r="C252" i="46"/>
  <c r="E252" i="46"/>
  <c r="R252" i="45"/>
  <c r="T252" i="45"/>
  <c r="U252" i="45"/>
  <c r="S252" i="45"/>
  <c r="F250" i="46"/>
  <c r="D250" i="46"/>
  <c r="E250" i="46"/>
  <c r="C250" i="46"/>
  <c r="N250" i="45"/>
  <c r="Q250" i="45"/>
  <c r="O250" i="45"/>
  <c r="M250" i="45"/>
  <c r="P250" i="45"/>
  <c r="T250" i="45"/>
  <c r="R250" i="45"/>
  <c r="S250" i="45"/>
  <c r="U250" i="45"/>
  <c r="AF190" i="46"/>
  <c r="AD190" i="46"/>
  <c r="AE190" i="46"/>
  <c r="Z190" i="46"/>
  <c r="AC190" i="46"/>
  <c r="AB190" i="46"/>
  <c r="C244" i="46"/>
  <c r="E244" i="46"/>
  <c r="R19" i="45"/>
  <c r="S19" i="45"/>
  <c r="U19" i="45"/>
  <c r="T19" i="45"/>
  <c r="P19" i="45"/>
  <c r="O19" i="45"/>
  <c r="N19" i="45"/>
  <c r="Q19" i="45"/>
  <c r="M19" i="45"/>
  <c r="P244" i="45"/>
  <c r="O244" i="45"/>
  <c r="M244" i="45"/>
  <c r="N244" i="45"/>
  <c r="Q244" i="45"/>
  <c r="R244" i="45"/>
  <c r="U244" i="45"/>
  <c r="S244" i="45"/>
  <c r="T244" i="45"/>
  <c r="F51" i="46"/>
  <c r="D51" i="46"/>
  <c r="C51" i="46"/>
  <c r="E51" i="46"/>
  <c r="P51" i="45"/>
  <c r="M51" i="45"/>
  <c r="N51" i="45"/>
  <c r="O51" i="45"/>
  <c r="Q51" i="45"/>
  <c r="T51" i="45"/>
  <c r="S51" i="45"/>
  <c r="R51" i="45"/>
  <c r="U51" i="45"/>
  <c r="AG190" i="46"/>
  <c r="AI190" i="46"/>
  <c r="AL190" i="46"/>
  <c r="AJ190" i="46"/>
  <c r="AK190" i="46"/>
  <c r="AH190" i="46"/>
  <c r="F104" i="46"/>
  <c r="D104" i="46"/>
  <c r="F19" i="46"/>
  <c r="D19" i="46"/>
  <c r="C104" i="46"/>
  <c r="E104" i="46"/>
  <c r="C19" i="46"/>
  <c r="E19" i="46"/>
  <c r="R104" i="45"/>
  <c r="U104" i="45"/>
  <c r="T104" i="45"/>
  <c r="S104" i="45"/>
  <c r="N104" i="45"/>
  <c r="M104" i="45"/>
  <c r="P104" i="45"/>
  <c r="O104" i="45"/>
  <c r="Q104" i="45"/>
  <c r="L251" i="28"/>
  <c r="K251" i="46" s="1"/>
  <c r="M251" i="28"/>
  <c r="N251" i="46" s="1"/>
  <c r="C251" i="45"/>
  <c r="D251" i="45"/>
  <c r="T219" i="45"/>
  <c r="U219" i="45"/>
  <c r="R219" i="45"/>
  <c r="S219" i="45"/>
  <c r="M219" i="45"/>
  <c r="O219" i="45"/>
  <c r="P219" i="45"/>
  <c r="N219" i="45"/>
  <c r="Q219" i="45"/>
  <c r="O141" i="45"/>
  <c r="M141" i="45"/>
  <c r="N141" i="45"/>
  <c r="Q141" i="45"/>
  <c r="P141" i="45"/>
  <c r="C219" i="46"/>
  <c r="E219" i="46"/>
  <c r="F219" i="46"/>
  <c r="D219" i="46"/>
  <c r="Q20" i="45"/>
  <c r="P20" i="45"/>
  <c r="M20" i="45"/>
  <c r="N20" i="45"/>
  <c r="O20" i="45"/>
  <c r="R242" i="45"/>
  <c r="U242" i="45"/>
  <c r="S242" i="45"/>
  <c r="T242" i="45"/>
  <c r="E141" i="46"/>
  <c r="C141" i="46"/>
  <c r="T20" i="45"/>
  <c r="U20" i="45"/>
  <c r="R20" i="45"/>
  <c r="S20" i="45"/>
  <c r="O242" i="45"/>
  <c r="M242" i="45"/>
  <c r="P242" i="45"/>
  <c r="N242" i="45"/>
  <c r="Q242" i="45"/>
  <c r="D141" i="46"/>
  <c r="F141" i="46"/>
  <c r="F20" i="46"/>
  <c r="D20" i="46"/>
  <c r="C242" i="46"/>
  <c r="E242" i="46"/>
  <c r="E20" i="46"/>
  <c r="C20" i="46"/>
  <c r="F242" i="46"/>
  <c r="D242" i="46"/>
  <c r="U141" i="45"/>
  <c r="T141" i="45"/>
  <c r="R141" i="45"/>
  <c r="S141" i="45"/>
  <c r="Q169" i="45"/>
  <c r="O169" i="45"/>
  <c r="N169" i="45"/>
  <c r="M169" i="45"/>
  <c r="AA8" i="46"/>
  <c r="AE8" i="46"/>
  <c r="AF8" i="46"/>
  <c r="AD8" i="46"/>
  <c r="AC8" i="46"/>
  <c r="Z8" i="46"/>
  <c r="AB8" i="46"/>
  <c r="V8" i="46"/>
  <c r="S8" i="46"/>
  <c r="Y8" i="46"/>
  <c r="T8" i="46"/>
  <c r="X8" i="46"/>
  <c r="W8" i="46"/>
  <c r="U8" i="46"/>
  <c r="AB90" i="46"/>
  <c r="AF90" i="46"/>
  <c r="AD90" i="46"/>
  <c r="Z90" i="46"/>
  <c r="AA90" i="46"/>
  <c r="AE90" i="46"/>
  <c r="AC90" i="46"/>
  <c r="S186" i="45"/>
  <c r="U186" i="45"/>
  <c r="R186" i="45"/>
  <c r="T186" i="45"/>
  <c r="AQ90" i="46"/>
  <c r="AO90" i="46"/>
  <c r="AP90" i="46"/>
  <c r="AR90" i="46"/>
  <c r="AM90" i="46"/>
  <c r="AN90" i="46"/>
  <c r="N186" i="45"/>
  <c r="Q186" i="45"/>
  <c r="P186" i="45"/>
  <c r="O186" i="45"/>
  <c r="M186" i="45"/>
  <c r="E186" i="46"/>
  <c r="C186" i="46"/>
  <c r="S102" i="45"/>
  <c r="U102" i="45"/>
  <c r="T102" i="45"/>
  <c r="R102" i="45"/>
  <c r="D186" i="46"/>
  <c r="F186" i="46"/>
  <c r="O102" i="45"/>
  <c r="Q102" i="45"/>
  <c r="M102" i="45"/>
  <c r="P102" i="45"/>
  <c r="N102" i="45"/>
  <c r="U90" i="46"/>
  <c r="S90" i="46"/>
  <c r="T90" i="46"/>
  <c r="W90" i="46"/>
  <c r="X90" i="46"/>
  <c r="V90" i="46"/>
  <c r="Y90" i="46"/>
  <c r="AI90" i="46"/>
  <c r="AK90" i="46"/>
  <c r="AH90" i="46"/>
  <c r="AJ90" i="46"/>
  <c r="AL90" i="46"/>
  <c r="AG90" i="46"/>
  <c r="D54" i="46"/>
  <c r="F54" i="46"/>
  <c r="C54" i="46"/>
  <c r="E54" i="46"/>
  <c r="AC200" i="46"/>
  <c r="AF200" i="46"/>
  <c r="Z200" i="46"/>
  <c r="AD200" i="46"/>
  <c r="AB200" i="46"/>
  <c r="AA200" i="46"/>
  <c r="AE200" i="46"/>
  <c r="D102" i="46"/>
  <c r="F102" i="46"/>
  <c r="AC165" i="46"/>
  <c r="AA165" i="46"/>
  <c r="AE165" i="46"/>
  <c r="AB165" i="46"/>
  <c r="Z165" i="46"/>
  <c r="AF165" i="46"/>
  <c r="AD165" i="46"/>
  <c r="E102" i="46"/>
  <c r="C102" i="46"/>
  <c r="AO165" i="46"/>
  <c r="C271" i="45"/>
  <c r="D271" i="45"/>
  <c r="U54" i="45"/>
  <c r="T54" i="45"/>
  <c r="S54" i="45"/>
  <c r="R54" i="45"/>
  <c r="M271" i="28"/>
  <c r="N271" i="46" s="1"/>
  <c r="L271" i="28"/>
  <c r="K271" i="46" s="1"/>
  <c r="N54" i="45"/>
  <c r="O54" i="45"/>
  <c r="Q54" i="45"/>
  <c r="M54" i="45"/>
  <c r="P54" i="45"/>
  <c r="E183" i="46"/>
  <c r="C183" i="46"/>
  <c r="O93" i="45"/>
  <c r="M93" i="45"/>
  <c r="P93" i="45"/>
  <c r="N93" i="45"/>
  <c r="Q93" i="45"/>
  <c r="E169" i="46"/>
  <c r="C169" i="46"/>
  <c r="S93" i="45"/>
  <c r="T93" i="45"/>
  <c r="R93" i="45"/>
  <c r="U93" i="45"/>
  <c r="F169" i="46"/>
  <c r="D169" i="46"/>
  <c r="M183" i="45"/>
  <c r="O183" i="45"/>
  <c r="N183" i="45"/>
  <c r="P183" i="45"/>
  <c r="Q183" i="45"/>
  <c r="F93" i="46"/>
  <c r="D93" i="46"/>
  <c r="E93" i="46"/>
  <c r="C93" i="46"/>
  <c r="L80" i="28"/>
  <c r="K80" i="46" s="1"/>
  <c r="M80" i="28"/>
  <c r="N80" i="46" s="1"/>
  <c r="D205" i="46"/>
  <c r="F205" i="46"/>
  <c r="M100" i="28"/>
  <c r="N100" i="46" s="1"/>
  <c r="L100" i="28"/>
  <c r="K100" i="46" s="1"/>
  <c r="C193" i="46"/>
  <c r="E193" i="46"/>
  <c r="M86" i="45"/>
  <c r="Q86" i="45"/>
  <c r="P86" i="45"/>
  <c r="O86" i="45"/>
  <c r="N86" i="45"/>
  <c r="E205" i="46"/>
  <c r="C205" i="46"/>
  <c r="D168" i="45"/>
  <c r="C168" i="45"/>
  <c r="F193" i="46"/>
  <c r="D193" i="46"/>
  <c r="R137" i="45"/>
  <c r="S137" i="45"/>
  <c r="T137" i="45"/>
  <c r="U137" i="45"/>
  <c r="L168" i="28"/>
  <c r="K168" i="46" s="1"/>
  <c r="M168" i="28"/>
  <c r="N168" i="46" s="1"/>
  <c r="D86" i="46"/>
  <c r="F86" i="46"/>
  <c r="O137" i="45"/>
  <c r="P137" i="45"/>
  <c r="Q137" i="45"/>
  <c r="N137" i="45"/>
  <c r="M137" i="45"/>
  <c r="D243" i="46"/>
  <c r="F243" i="46"/>
  <c r="M243" i="45"/>
  <c r="P243" i="45"/>
  <c r="N243" i="45"/>
  <c r="Q243" i="45"/>
  <c r="O243" i="45"/>
  <c r="E86" i="46"/>
  <c r="C86" i="46"/>
  <c r="M134" i="45"/>
  <c r="N134" i="45"/>
  <c r="O134" i="45"/>
  <c r="P134" i="45"/>
  <c r="Q134" i="45"/>
  <c r="D201" i="45"/>
  <c r="C201" i="45"/>
  <c r="C243" i="46"/>
  <c r="E243" i="46"/>
  <c r="S243" i="45"/>
  <c r="U243" i="45"/>
  <c r="T243" i="45"/>
  <c r="R243" i="45"/>
  <c r="U134" i="45"/>
  <c r="S134" i="45"/>
  <c r="R134" i="45"/>
  <c r="T134" i="45"/>
  <c r="L201" i="28"/>
  <c r="K201" i="46" s="1"/>
  <c r="M201" i="28"/>
  <c r="N201" i="46" s="1"/>
  <c r="D137" i="46"/>
  <c r="F137" i="46"/>
  <c r="F272" i="46"/>
  <c r="D272" i="46"/>
  <c r="O272" i="45"/>
  <c r="M272" i="45"/>
  <c r="Q272" i="45"/>
  <c r="P272" i="45"/>
  <c r="N272" i="45"/>
  <c r="O193" i="45"/>
  <c r="N193" i="45"/>
  <c r="M193" i="45"/>
  <c r="P193" i="45"/>
  <c r="Q193" i="45"/>
  <c r="C137" i="46"/>
  <c r="E137" i="46"/>
  <c r="E272" i="46"/>
  <c r="C272" i="46"/>
  <c r="S272" i="45"/>
  <c r="R272" i="45"/>
  <c r="T272" i="45"/>
  <c r="U272" i="45"/>
  <c r="T193" i="45"/>
  <c r="U193" i="45"/>
  <c r="S193" i="45"/>
  <c r="R193" i="45"/>
  <c r="D80" i="45"/>
  <c r="C80" i="45"/>
  <c r="D100" i="45"/>
  <c r="C100" i="45"/>
  <c r="E134" i="46"/>
  <c r="C134" i="46"/>
  <c r="T98" i="46"/>
  <c r="Y98" i="46"/>
  <c r="U98" i="46"/>
  <c r="V98" i="46"/>
  <c r="X98" i="46"/>
  <c r="W98" i="46"/>
  <c r="S98" i="46"/>
  <c r="AC98" i="46"/>
  <c r="AE98" i="46"/>
  <c r="AD98" i="46"/>
  <c r="AB98" i="46"/>
  <c r="AA98" i="46"/>
  <c r="AF98" i="46"/>
  <c r="Z98" i="46"/>
  <c r="AK245" i="46"/>
  <c r="AG245" i="46"/>
  <c r="AI245" i="46"/>
  <c r="AL245" i="46"/>
  <c r="AH245" i="46"/>
  <c r="AJ245" i="46"/>
  <c r="AN245" i="46"/>
  <c r="AR245" i="46"/>
  <c r="AO245" i="46"/>
  <c r="AP245" i="46"/>
  <c r="AQ245" i="46"/>
  <c r="AM245" i="46"/>
  <c r="P166" i="45"/>
  <c r="M166" i="45"/>
  <c r="N166" i="45"/>
  <c r="O166" i="45"/>
  <c r="Q166" i="45"/>
  <c r="AR98" i="46"/>
  <c r="AQ98" i="46"/>
  <c r="AO98" i="46"/>
  <c r="AN98" i="46"/>
  <c r="AP98" i="46"/>
  <c r="AM98" i="46"/>
  <c r="X245" i="46"/>
  <c r="Y245" i="46"/>
  <c r="T245" i="46"/>
  <c r="U245" i="46"/>
  <c r="W245" i="46"/>
  <c r="V245" i="46"/>
  <c r="S245" i="46"/>
  <c r="S166" i="45"/>
  <c r="R166" i="45"/>
  <c r="T166" i="45"/>
  <c r="U166" i="45"/>
  <c r="S246" i="46"/>
  <c r="U246" i="46"/>
  <c r="V246" i="46"/>
  <c r="T246" i="46"/>
  <c r="W246" i="46"/>
  <c r="Y246" i="46"/>
  <c r="X246" i="46"/>
  <c r="AH246" i="46"/>
  <c r="AJ246" i="46"/>
  <c r="AI246" i="46"/>
  <c r="AK246" i="46"/>
  <c r="AL246" i="46"/>
  <c r="AG246" i="46"/>
  <c r="AM246" i="46"/>
  <c r="AN246" i="46"/>
  <c r="AO246" i="46"/>
  <c r="AQ246" i="46"/>
  <c r="AP246" i="46"/>
  <c r="AR246" i="46"/>
  <c r="U85" i="45"/>
  <c r="S85" i="45"/>
  <c r="T85" i="45"/>
  <c r="R85" i="45"/>
  <c r="AF246" i="46"/>
  <c r="AB246" i="46"/>
  <c r="AC246" i="46"/>
  <c r="Z246" i="46"/>
  <c r="AE246" i="46"/>
  <c r="AA246" i="46"/>
  <c r="AD246" i="46"/>
  <c r="D85" i="46"/>
  <c r="F85" i="46"/>
  <c r="D166" i="46"/>
  <c r="F166" i="46"/>
  <c r="N85" i="45"/>
  <c r="Q85" i="45"/>
  <c r="O85" i="45"/>
  <c r="M85" i="45"/>
  <c r="P85" i="45"/>
  <c r="C166" i="46"/>
  <c r="E166" i="46"/>
  <c r="L270" i="28"/>
  <c r="K270" i="46" s="1"/>
  <c r="M270" i="28"/>
  <c r="N270" i="46" s="1"/>
  <c r="L277" i="28"/>
  <c r="K277" i="46" s="1"/>
  <c r="M277" i="28"/>
  <c r="N277" i="46" s="1"/>
  <c r="L232" i="28"/>
  <c r="K232" i="46" s="1"/>
  <c r="M232" i="28"/>
  <c r="N232" i="46" s="1"/>
  <c r="M99" i="28"/>
  <c r="N99" i="46" s="1"/>
  <c r="L99" i="28"/>
  <c r="K99" i="46" s="1"/>
  <c r="L113" i="28"/>
  <c r="K113" i="46" s="1"/>
  <c r="M113" i="28"/>
  <c r="N113" i="46" s="1"/>
  <c r="D204" i="45"/>
  <c r="C204" i="45"/>
  <c r="M210" i="28"/>
  <c r="N210" i="46" s="1"/>
  <c r="L210" i="28"/>
  <c r="K210" i="46" s="1"/>
  <c r="M147" i="28"/>
  <c r="N147" i="46" s="1"/>
  <c r="L147" i="28"/>
  <c r="K147" i="46" s="1"/>
  <c r="L171" i="28"/>
  <c r="K171" i="46" s="1"/>
  <c r="M171" i="28"/>
  <c r="N171" i="46" s="1"/>
  <c r="C233" i="45"/>
  <c r="D233" i="45"/>
  <c r="D178" i="45"/>
  <c r="C178" i="45"/>
  <c r="L123" i="28"/>
  <c r="K123" i="46" s="1"/>
  <c r="M123" i="28"/>
  <c r="N123" i="46" s="1"/>
  <c r="D211" i="45"/>
  <c r="C211" i="45"/>
  <c r="D270" i="45"/>
  <c r="C270" i="45"/>
  <c r="D228" i="45"/>
  <c r="C228" i="45"/>
  <c r="C231" i="45"/>
  <c r="D231" i="45"/>
  <c r="D160" i="45"/>
  <c r="C160" i="45"/>
  <c r="L175" i="28"/>
  <c r="K175" i="46" s="1"/>
  <c r="M175" i="28"/>
  <c r="N175" i="46" s="1"/>
  <c r="D181" i="45"/>
  <c r="C181" i="45"/>
  <c r="L197" i="28"/>
  <c r="K197" i="46" s="1"/>
  <c r="M197" i="28"/>
  <c r="N197" i="46" s="1"/>
  <c r="M140" i="28"/>
  <c r="N140" i="46" s="1"/>
  <c r="L140" i="28"/>
  <c r="K140" i="46" s="1"/>
  <c r="D227" i="45"/>
  <c r="C227" i="45"/>
  <c r="C97" i="45"/>
  <c r="D97" i="45"/>
  <c r="M206" i="28"/>
  <c r="N206" i="46" s="1"/>
  <c r="L206" i="28"/>
  <c r="K206" i="46" s="1"/>
  <c r="C261" i="45"/>
  <c r="D261" i="45"/>
  <c r="L285" i="28"/>
  <c r="K285" i="46" s="1"/>
  <c r="M285" i="28"/>
  <c r="N285" i="46" s="1"/>
  <c r="L38" i="28"/>
  <c r="K38" i="46" s="1"/>
  <c r="M38" i="28"/>
  <c r="N38" i="46" s="1"/>
  <c r="D99" i="45"/>
  <c r="C99" i="45"/>
  <c r="L129" i="28"/>
  <c r="K129" i="46" s="1"/>
  <c r="M129" i="28"/>
  <c r="N129" i="46" s="1"/>
  <c r="L204" i="28"/>
  <c r="K204" i="46" s="1"/>
  <c r="M204" i="28"/>
  <c r="N204" i="46" s="1"/>
  <c r="L195" i="28"/>
  <c r="K195" i="46" s="1"/>
  <c r="M195" i="28"/>
  <c r="N195" i="46" s="1"/>
  <c r="M238" i="28"/>
  <c r="N238" i="46" s="1"/>
  <c r="L238" i="28"/>
  <c r="K238" i="46" s="1"/>
  <c r="C167" i="45"/>
  <c r="D167" i="45"/>
  <c r="M275" i="28"/>
  <c r="N275" i="46" s="1"/>
  <c r="L275" i="28"/>
  <c r="K275" i="46" s="1"/>
  <c r="D257" i="45"/>
  <c r="C257" i="45"/>
  <c r="D284" i="45"/>
  <c r="C284" i="45"/>
  <c r="D111" i="45"/>
  <c r="C111" i="45"/>
  <c r="C199" i="45"/>
  <c r="D199" i="45"/>
  <c r="L202" i="28"/>
  <c r="K202" i="46" s="1"/>
  <c r="M202" i="28"/>
  <c r="N202" i="46" s="1"/>
  <c r="D17" i="45"/>
  <c r="C17" i="45"/>
  <c r="D149" i="45"/>
  <c r="C149" i="45"/>
  <c r="L178" i="28"/>
  <c r="K178" i="46" s="1"/>
  <c r="M178" i="28"/>
  <c r="N178" i="46" s="1"/>
  <c r="C135" i="45"/>
  <c r="D135" i="45"/>
  <c r="M126" i="28"/>
  <c r="N126" i="46" s="1"/>
  <c r="L126" i="28"/>
  <c r="K126" i="46" s="1"/>
  <c r="L198" i="28"/>
  <c r="K198" i="46" s="1"/>
  <c r="M198" i="28"/>
  <c r="N198" i="46" s="1"/>
  <c r="M106" i="28"/>
  <c r="N106" i="46" s="1"/>
  <c r="L106" i="28"/>
  <c r="K106" i="46" s="1"/>
  <c r="C182" i="45"/>
  <c r="D182" i="45"/>
  <c r="D260" i="45"/>
  <c r="C260" i="45"/>
  <c r="L211" i="28"/>
  <c r="K211" i="46" s="1"/>
  <c r="M211" i="28"/>
  <c r="N211" i="46" s="1"/>
  <c r="L180" i="28"/>
  <c r="K180" i="46" s="1"/>
  <c r="M180" i="28"/>
  <c r="N180" i="46" s="1"/>
  <c r="L228" i="28"/>
  <c r="K228" i="46" s="1"/>
  <c r="M228" i="28"/>
  <c r="N228" i="46" s="1"/>
  <c r="M231" i="28"/>
  <c r="N231" i="46" s="1"/>
  <c r="L231" i="28"/>
  <c r="K231" i="46" s="1"/>
  <c r="L160" i="28"/>
  <c r="K160" i="46" s="1"/>
  <c r="M160" i="28"/>
  <c r="N160" i="46" s="1"/>
  <c r="M181" i="28"/>
  <c r="N181" i="46" s="1"/>
  <c r="L181" i="28"/>
  <c r="K181" i="46" s="1"/>
  <c r="C256" i="45"/>
  <c r="D256" i="45"/>
  <c r="D185" i="45"/>
  <c r="C185" i="45"/>
  <c r="D144" i="45"/>
  <c r="C144" i="45"/>
  <c r="D188" i="45"/>
  <c r="C188" i="45"/>
  <c r="L15" i="28"/>
  <c r="K15" i="46" s="1"/>
  <c r="M15" i="28"/>
  <c r="N15" i="46" s="1"/>
  <c r="C159" i="45"/>
  <c r="D159" i="45"/>
  <c r="C289" i="45"/>
  <c r="D289" i="45"/>
  <c r="M227" i="28"/>
  <c r="N227" i="46" s="1"/>
  <c r="L227" i="28"/>
  <c r="K227" i="46" s="1"/>
  <c r="M215" i="28"/>
  <c r="N215" i="46" s="1"/>
  <c r="L215" i="28"/>
  <c r="K215" i="46" s="1"/>
  <c r="C206" i="45"/>
  <c r="D206" i="45"/>
  <c r="D179" i="45"/>
  <c r="C179" i="45"/>
  <c r="L261" i="28"/>
  <c r="K261" i="46" s="1"/>
  <c r="M261" i="28"/>
  <c r="N261" i="46" s="1"/>
  <c r="D285" i="45"/>
  <c r="C285" i="45"/>
  <c r="C38" i="45"/>
  <c r="D38" i="45"/>
  <c r="D107" i="45"/>
  <c r="C107" i="45"/>
  <c r="D129" i="45"/>
  <c r="C129" i="45"/>
  <c r="D258" i="45"/>
  <c r="C258" i="45"/>
  <c r="C195" i="45"/>
  <c r="D195" i="45"/>
  <c r="D238" i="45"/>
  <c r="C238" i="45"/>
  <c r="M167" i="28"/>
  <c r="N167" i="46" s="1"/>
  <c r="L167" i="28"/>
  <c r="K167" i="46" s="1"/>
  <c r="D275" i="45"/>
  <c r="C275" i="45"/>
  <c r="L284" i="28"/>
  <c r="K284" i="46" s="1"/>
  <c r="M284" i="28"/>
  <c r="N284" i="46" s="1"/>
  <c r="L111" i="28"/>
  <c r="K111" i="46" s="1"/>
  <c r="M111" i="28"/>
  <c r="N111" i="46" s="1"/>
  <c r="D177" i="45"/>
  <c r="C177" i="45"/>
  <c r="C151" i="45"/>
  <c r="D151" i="45"/>
  <c r="L17" i="28"/>
  <c r="K17" i="46" s="1"/>
  <c r="M17" i="28"/>
  <c r="N17" i="46" s="1"/>
  <c r="D236" i="45"/>
  <c r="C236" i="45"/>
  <c r="M118" i="28"/>
  <c r="N118" i="46" s="1"/>
  <c r="L118" i="28"/>
  <c r="K118" i="46" s="1"/>
  <c r="D25" i="45"/>
  <c r="C25" i="45"/>
  <c r="L174" i="28"/>
  <c r="K174" i="46" s="1"/>
  <c r="M174" i="28"/>
  <c r="N174" i="46" s="1"/>
  <c r="M135" i="28"/>
  <c r="N135" i="46" s="1"/>
  <c r="L135" i="28"/>
  <c r="K135" i="46" s="1"/>
  <c r="C126" i="45"/>
  <c r="D126" i="45"/>
  <c r="L96" i="28"/>
  <c r="K96" i="46" s="1"/>
  <c r="M96" i="28"/>
  <c r="N96" i="46" s="1"/>
  <c r="D175" i="45"/>
  <c r="C175" i="45"/>
  <c r="L280" i="28"/>
  <c r="K280" i="46" s="1"/>
  <c r="M280" i="28"/>
  <c r="N280" i="46" s="1"/>
  <c r="C197" i="45"/>
  <c r="D197" i="45"/>
  <c r="L31" i="28"/>
  <c r="K31" i="46" s="1"/>
  <c r="M31" i="28"/>
  <c r="N31" i="46" s="1"/>
  <c r="L212" i="28"/>
  <c r="K212" i="46" s="1"/>
  <c r="M212" i="28"/>
  <c r="N212" i="46" s="1"/>
  <c r="D115" i="45"/>
  <c r="C115" i="45"/>
  <c r="M199" i="28"/>
  <c r="N199" i="46" s="1"/>
  <c r="L199" i="28"/>
  <c r="K199" i="46" s="1"/>
  <c r="L149" i="28"/>
  <c r="K149" i="46" s="1"/>
  <c r="M149" i="28"/>
  <c r="N149" i="46" s="1"/>
  <c r="L260" i="28"/>
  <c r="K260" i="46" s="1"/>
  <c r="M260" i="28"/>
  <c r="N260" i="46" s="1"/>
  <c r="D33" i="45"/>
  <c r="C33" i="45"/>
  <c r="D180" i="45"/>
  <c r="C180" i="45"/>
  <c r="D94" i="45"/>
  <c r="C94" i="45"/>
  <c r="D239" i="45"/>
  <c r="C239" i="45"/>
  <c r="M256" i="28"/>
  <c r="N256" i="46" s="1"/>
  <c r="L256" i="28"/>
  <c r="K256" i="46" s="1"/>
  <c r="L185" i="28"/>
  <c r="K185" i="46" s="1"/>
  <c r="M185" i="28"/>
  <c r="N185" i="46" s="1"/>
  <c r="L144" i="28"/>
  <c r="K144" i="46" s="1"/>
  <c r="M144" i="28"/>
  <c r="N144" i="46" s="1"/>
  <c r="D214" i="45"/>
  <c r="C214" i="45"/>
  <c r="M188" i="28"/>
  <c r="N188" i="46" s="1"/>
  <c r="L188" i="28"/>
  <c r="K188" i="46" s="1"/>
  <c r="D15" i="45"/>
  <c r="C15" i="45"/>
  <c r="M159" i="28"/>
  <c r="N159" i="46" s="1"/>
  <c r="L159" i="28"/>
  <c r="K159" i="46" s="1"/>
  <c r="L289" i="28"/>
  <c r="K289" i="46" s="1"/>
  <c r="M289" i="28"/>
  <c r="N289" i="46" s="1"/>
  <c r="C217" i="45"/>
  <c r="D217" i="45"/>
  <c r="D215" i="45"/>
  <c r="C215" i="45"/>
  <c r="L179" i="28"/>
  <c r="K179" i="46" s="1"/>
  <c r="M179" i="28"/>
  <c r="N179" i="46" s="1"/>
  <c r="D290" i="45"/>
  <c r="C290" i="45"/>
  <c r="C226" i="45"/>
  <c r="D226" i="45"/>
  <c r="M163" i="28"/>
  <c r="N163" i="46" s="1"/>
  <c r="L163" i="28"/>
  <c r="K163" i="46" s="1"/>
  <c r="L107" i="28"/>
  <c r="K107" i="46" s="1"/>
  <c r="M107" i="28"/>
  <c r="N107" i="46" s="1"/>
  <c r="M258" i="28"/>
  <c r="N258" i="46" s="1"/>
  <c r="L258" i="28"/>
  <c r="K258" i="46" s="1"/>
  <c r="L42" i="28"/>
  <c r="K42" i="46" s="1"/>
  <c r="M42" i="28"/>
  <c r="N42" i="46" s="1"/>
  <c r="D142" i="45"/>
  <c r="C142" i="45"/>
  <c r="C87" i="45"/>
  <c r="D87" i="45"/>
  <c r="C122" i="45"/>
  <c r="D122" i="45"/>
  <c r="L177" i="28"/>
  <c r="K177" i="46" s="1"/>
  <c r="M177" i="28"/>
  <c r="N177" i="46" s="1"/>
  <c r="L151" i="28"/>
  <c r="K151" i="46" s="1"/>
  <c r="M151" i="28"/>
  <c r="N151" i="46" s="1"/>
  <c r="M236" i="28"/>
  <c r="N236" i="46" s="1"/>
  <c r="L236" i="28"/>
  <c r="K236" i="46" s="1"/>
  <c r="C118" i="45"/>
  <c r="D118" i="45"/>
  <c r="L25" i="28"/>
  <c r="K25" i="46" s="1"/>
  <c r="M25" i="28"/>
  <c r="N25" i="46" s="1"/>
  <c r="D174" i="45"/>
  <c r="C174" i="45"/>
  <c r="D216" i="45"/>
  <c r="C216" i="45"/>
  <c r="M40" i="28"/>
  <c r="N40" i="46" s="1"/>
  <c r="L40" i="28"/>
  <c r="K40" i="46" s="1"/>
  <c r="C114" i="45"/>
  <c r="D114" i="45"/>
  <c r="L145" i="28"/>
  <c r="K145" i="46" s="1"/>
  <c r="M145" i="28"/>
  <c r="N145" i="46" s="1"/>
  <c r="M257" i="28"/>
  <c r="N257" i="46" s="1"/>
  <c r="L257" i="28"/>
  <c r="K257" i="46" s="1"/>
  <c r="D79" i="45"/>
  <c r="C79" i="45"/>
  <c r="M162" i="28"/>
  <c r="N162" i="46" s="1"/>
  <c r="L162" i="28"/>
  <c r="K162" i="46" s="1"/>
  <c r="C202" i="45"/>
  <c r="D202" i="45"/>
  <c r="L127" i="28"/>
  <c r="K127" i="46" s="1"/>
  <c r="M127" i="28"/>
  <c r="N127" i="46" s="1"/>
  <c r="M286" i="28"/>
  <c r="N286" i="46" s="1"/>
  <c r="L286" i="28"/>
  <c r="K286" i="46" s="1"/>
  <c r="L22" i="28"/>
  <c r="K22" i="46" s="1"/>
  <c r="M22" i="28"/>
  <c r="N22" i="46" s="1"/>
  <c r="D164" i="45"/>
  <c r="C164" i="45"/>
  <c r="L33" i="28"/>
  <c r="K33" i="46" s="1"/>
  <c r="M33" i="28"/>
  <c r="N33" i="46" s="1"/>
  <c r="M208" i="28"/>
  <c r="N208" i="46" s="1"/>
  <c r="L208" i="28"/>
  <c r="K208" i="46" s="1"/>
  <c r="C157" i="45"/>
  <c r="D157" i="45"/>
  <c r="L94" i="28"/>
  <c r="K94" i="46" s="1"/>
  <c r="M94" i="28"/>
  <c r="N94" i="46" s="1"/>
  <c r="C158" i="45"/>
  <c r="D158" i="45"/>
  <c r="D220" i="45"/>
  <c r="C220" i="45"/>
  <c r="D121" i="45"/>
  <c r="C121" i="45"/>
  <c r="X136" i="46"/>
  <c r="W136" i="46"/>
  <c r="U136" i="46"/>
  <c r="V136" i="46"/>
  <c r="S136" i="46"/>
  <c r="Y136" i="46"/>
  <c r="T136" i="46"/>
  <c r="L214" i="28"/>
  <c r="K214" i="46" s="1"/>
  <c r="M214" i="28"/>
  <c r="N214" i="46" s="1"/>
  <c r="D196" i="45"/>
  <c r="C196" i="45"/>
  <c r="L217" i="28"/>
  <c r="K217" i="46" s="1"/>
  <c r="M217" i="28"/>
  <c r="N217" i="46" s="1"/>
  <c r="AF136" i="46"/>
  <c r="AE136" i="46"/>
  <c r="AB136" i="46"/>
  <c r="AA136" i="46"/>
  <c r="Z136" i="46"/>
  <c r="AD136" i="46"/>
  <c r="AC136" i="46"/>
  <c r="D84" i="45"/>
  <c r="C84" i="45"/>
  <c r="D222" i="45"/>
  <c r="C222" i="45"/>
  <c r="L290" i="28"/>
  <c r="K290" i="46" s="1"/>
  <c r="M290" i="28"/>
  <c r="N290" i="46" s="1"/>
  <c r="M226" i="28"/>
  <c r="N226" i="46" s="1"/>
  <c r="L226" i="28"/>
  <c r="K226" i="46" s="1"/>
  <c r="D163" i="45"/>
  <c r="C163" i="45"/>
  <c r="D42" i="45"/>
  <c r="C42" i="45"/>
  <c r="D95" i="45"/>
  <c r="C95" i="45"/>
  <c r="L142" i="28"/>
  <c r="K142" i="46" s="1"/>
  <c r="M142" i="28"/>
  <c r="N142" i="46" s="1"/>
  <c r="L87" i="28"/>
  <c r="K87" i="46" s="1"/>
  <c r="M87" i="28"/>
  <c r="N87" i="46" s="1"/>
  <c r="M122" i="28"/>
  <c r="N122" i="46" s="1"/>
  <c r="L122" i="28"/>
  <c r="K122" i="46" s="1"/>
  <c r="D150" i="45"/>
  <c r="C150" i="45"/>
  <c r="C105" i="45"/>
  <c r="D105" i="45"/>
  <c r="C194" i="45"/>
  <c r="D194" i="45"/>
  <c r="C225" i="45"/>
  <c r="D225" i="45"/>
  <c r="L216" i="28"/>
  <c r="K216" i="46" s="1"/>
  <c r="M216" i="28"/>
  <c r="N216" i="46" s="1"/>
  <c r="D22" i="45"/>
  <c r="C22" i="45"/>
  <c r="L164" i="28"/>
  <c r="K164" i="46" s="1"/>
  <c r="M164" i="28"/>
  <c r="N164" i="46" s="1"/>
  <c r="C208" i="45"/>
  <c r="D208" i="45"/>
  <c r="L157" i="28"/>
  <c r="K157" i="46" s="1"/>
  <c r="M157" i="28"/>
  <c r="N157" i="46" s="1"/>
  <c r="C192" i="45"/>
  <c r="D192" i="45"/>
  <c r="D69" i="45"/>
  <c r="C69" i="45"/>
  <c r="L158" i="28"/>
  <c r="K158" i="46" s="1"/>
  <c r="M158" i="28"/>
  <c r="N158" i="46" s="1"/>
  <c r="L220" i="28"/>
  <c r="K220" i="46" s="1"/>
  <c r="M220" i="28"/>
  <c r="N220" i="46" s="1"/>
  <c r="M121" i="28"/>
  <c r="N121" i="46" s="1"/>
  <c r="L121" i="28"/>
  <c r="K121" i="46" s="1"/>
  <c r="AK136" i="46"/>
  <c r="AJ136" i="46"/>
  <c r="AG136" i="46"/>
  <c r="AI136" i="46"/>
  <c r="AL136" i="46"/>
  <c r="AH136" i="46"/>
  <c r="L196" i="28"/>
  <c r="K196" i="46" s="1"/>
  <c r="M196" i="28"/>
  <c r="N196" i="46" s="1"/>
  <c r="L172" i="28"/>
  <c r="K172" i="46" s="1"/>
  <c r="M172" i="28"/>
  <c r="N172" i="46" s="1"/>
  <c r="AN136" i="46"/>
  <c r="AR136" i="46"/>
  <c r="AO136" i="46"/>
  <c r="AQ136" i="46"/>
  <c r="AM136" i="46"/>
  <c r="AP136" i="46"/>
  <c r="L84" i="28"/>
  <c r="K84" i="46" s="1"/>
  <c r="M84" i="28"/>
  <c r="N84" i="46" s="1"/>
  <c r="C184" i="45"/>
  <c r="D184" i="45"/>
  <c r="M222" i="28"/>
  <c r="N222" i="46" s="1"/>
  <c r="L222" i="28"/>
  <c r="K222" i="46" s="1"/>
  <c r="M112" i="28"/>
  <c r="N112" i="46" s="1"/>
  <c r="L112" i="28"/>
  <c r="K112" i="46" s="1"/>
  <c r="D276" i="45"/>
  <c r="C276" i="45"/>
  <c r="C124" i="45"/>
  <c r="D124" i="45"/>
  <c r="D152" i="45"/>
  <c r="C152" i="45"/>
  <c r="M95" i="28"/>
  <c r="N95" i="46" s="1"/>
  <c r="L95" i="28"/>
  <c r="K95" i="46" s="1"/>
  <c r="L44" i="28"/>
  <c r="K44" i="46" s="1"/>
  <c r="M44" i="28"/>
  <c r="N44" i="46" s="1"/>
  <c r="D131" i="45"/>
  <c r="C131" i="45"/>
  <c r="M150" i="28"/>
  <c r="N150" i="46" s="1"/>
  <c r="L150" i="28"/>
  <c r="K150" i="46" s="1"/>
  <c r="M105" i="28"/>
  <c r="N105" i="46" s="1"/>
  <c r="L105" i="28"/>
  <c r="K105" i="46" s="1"/>
  <c r="L189" i="28"/>
  <c r="K189" i="46" s="1"/>
  <c r="M189" i="28"/>
  <c r="N189" i="46" s="1"/>
  <c r="M132" i="28"/>
  <c r="N132" i="46" s="1"/>
  <c r="L132" i="28"/>
  <c r="K132" i="46" s="1"/>
  <c r="M43" i="28"/>
  <c r="N43" i="46" s="1"/>
  <c r="L43" i="28"/>
  <c r="K43" i="46" s="1"/>
  <c r="M194" i="28"/>
  <c r="N194" i="46" s="1"/>
  <c r="L194" i="28"/>
  <c r="K194" i="46" s="1"/>
  <c r="C35" i="45"/>
  <c r="D35" i="45"/>
  <c r="L225" i="28"/>
  <c r="K225" i="46" s="1"/>
  <c r="M225" i="28"/>
  <c r="N225" i="46" s="1"/>
  <c r="D39" i="45"/>
  <c r="C39" i="45"/>
  <c r="D140" i="45"/>
  <c r="C140" i="45"/>
  <c r="M97" i="28"/>
  <c r="N97" i="46" s="1"/>
  <c r="L97" i="28"/>
  <c r="K97" i="46" s="1"/>
  <c r="L282" i="28"/>
  <c r="K282" i="46" s="1"/>
  <c r="M282" i="28"/>
  <c r="N282" i="46" s="1"/>
  <c r="C173" i="45"/>
  <c r="D173" i="45"/>
  <c r="M116" i="28"/>
  <c r="N116" i="46" s="1"/>
  <c r="L116" i="28"/>
  <c r="K116" i="46" s="1"/>
  <c r="D223" i="45"/>
  <c r="C223" i="45"/>
  <c r="D117" i="45"/>
  <c r="C117" i="45"/>
  <c r="L192" i="28"/>
  <c r="K192" i="46" s="1"/>
  <c r="M192" i="28"/>
  <c r="N192" i="46" s="1"/>
  <c r="M69" i="28"/>
  <c r="N69" i="46" s="1"/>
  <c r="L69" i="28"/>
  <c r="K69" i="46" s="1"/>
  <c r="D213" i="45"/>
  <c r="C213" i="45"/>
  <c r="L218" i="28"/>
  <c r="K218" i="46" s="1"/>
  <c r="M218" i="28"/>
  <c r="N218" i="46" s="1"/>
  <c r="C81" i="45"/>
  <c r="D81" i="45"/>
  <c r="D172" i="45"/>
  <c r="C172" i="45"/>
  <c r="D249" i="45"/>
  <c r="C249" i="45"/>
  <c r="L184" i="28"/>
  <c r="K184" i="46" s="1"/>
  <c r="M184" i="28"/>
  <c r="N184" i="46" s="1"/>
  <c r="C112" i="45"/>
  <c r="D112" i="45"/>
  <c r="C224" i="45"/>
  <c r="D224" i="45"/>
  <c r="D153" i="45"/>
  <c r="C153" i="45"/>
  <c r="M276" i="28"/>
  <c r="N276" i="46" s="1"/>
  <c r="L276" i="28"/>
  <c r="K276" i="46" s="1"/>
  <c r="L124" i="28"/>
  <c r="K124" i="46" s="1"/>
  <c r="M124" i="28"/>
  <c r="N124" i="46" s="1"/>
  <c r="M152" i="28"/>
  <c r="N152" i="46" s="1"/>
  <c r="L152" i="28"/>
  <c r="K152" i="46" s="1"/>
  <c r="L161" i="28"/>
  <c r="K161" i="46" s="1"/>
  <c r="M161" i="28"/>
  <c r="N161" i="46" s="1"/>
  <c r="D44" i="45"/>
  <c r="C44" i="45"/>
  <c r="L131" i="28"/>
  <c r="K131" i="46" s="1"/>
  <c r="M131" i="28"/>
  <c r="N131" i="46" s="1"/>
  <c r="L29" i="28"/>
  <c r="K29" i="46" s="1"/>
  <c r="M29" i="28"/>
  <c r="N29" i="46" s="1"/>
  <c r="C209" i="45"/>
  <c r="D209" i="45"/>
  <c r="D110" i="45"/>
  <c r="C110" i="45"/>
  <c r="D287" i="45"/>
  <c r="C287" i="45"/>
  <c r="D132" i="45"/>
  <c r="C132" i="45"/>
  <c r="D43" i="45"/>
  <c r="C43" i="45"/>
  <c r="D237" i="45"/>
  <c r="C237" i="45"/>
  <c r="L35" i="28"/>
  <c r="K35" i="46" s="1"/>
  <c r="M35" i="28"/>
  <c r="N35" i="46" s="1"/>
  <c r="L39" i="28"/>
  <c r="K39" i="46" s="1"/>
  <c r="M39" i="28"/>
  <c r="N39" i="46" s="1"/>
  <c r="M26" i="28"/>
  <c r="N26" i="46" s="1"/>
  <c r="L26" i="28"/>
  <c r="K26" i="46" s="1"/>
  <c r="D282" i="45"/>
  <c r="C282" i="45"/>
  <c r="C96" i="45"/>
  <c r="D96" i="45"/>
  <c r="M173" i="28"/>
  <c r="N173" i="46" s="1"/>
  <c r="L173" i="28"/>
  <c r="K173" i="46" s="1"/>
  <c r="C116" i="45"/>
  <c r="D116" i="45"/>
  <c r="L223" i="28"/>
  <c r="K223" i="46" s="1"/>
  <c r="M223" i="28"/>
  <c r="N223" i="46" s="1"/>
  <c r="L117" i="28"/>
  <c r="K117" i="46" s="1"/>
  <c r="M117" i="28"/>
  <c r="N117" i="46" s="1"/>
  <c r="C40" i="45"/>
  <c r="D40" i="45"/>
  <c r="D277" i="45"/>
  <c r="C277" i="45"/>
  <c r="D26" i="45"/>
  <c r="C26" i="45"/>
  <c r="D280" i="45"/>
  <c r="C280" i="45"/>
  <c r="D198" i="45"/>
  <c r="C198" i="45"/>
  <c r="L213" i="28"/>
  <c r="K213" i="46" s="1"/>
  <c r="M213" i="28"/>
  <c r="N213" i="46" s="1"/>
  <c r="D218" i="45"/>
  <c r="C218" i="45"/>
  <c r="D31" i="45"/>
  <c r="C31" i="45"/>
  <c r="L81" i="28"/>
  <c r="K81" i="46" s="1"/>
  <c r="M81" i="28"/>
  <c r="N81" i="46" s="1"/>
  <c r="L249" i="28"/>
  <c r="K249" i="46" s="1"/>
  <c r="M249" i="28"/>
  <c r="N249" i="46" s="1"/>
  <c r="D212" i="45"/>
  <c r="C212" i="45"/>
  <c r="M115" i="28"/>
  <c r="N115" i="46" s="1"/>
  <c r="L115" i="28"/>
  <c r="K115" i="46" s="1"/>
  <c r="D232" i="45"/>
  <c r="C232" i="45"/>
  <c r="L114" i="28"/>
  <c r="K114" i="46" s="1"/>
  <c r="M114" i="28"/>
  <c r="N114" i="46" s="1"/>
  <c r="C113" i="45"/>
  <c r="D113" i="45"/>
  <c r="L224" i="28"/>
  <c r="K224" i="46" s="1"/>
  <c r="M224" i="28"/>
  <c r="N224" i="46" s="1"/>
  <c r="L153" i="28"/>
  <c r="K153" i="46" s="1"/>
  <c r="M153" i="28"/>
  <c r="N153" i="46" s="1"/>
  <c r="D210" i="45"/>
  <c r="C210" i="45"/>
  <c r="D106" i="45"/>
  <c r="C106" i="45"/>
  <c r="C161" i="45"/>
  <c r="D161" i="45"/>
  <c r="L182" i="28"/>
  <c r="K182" i="46" s="1"/>
  <c r="M182" i="28"/>
  <c r="N182" i="46" s="1"/>
  <c r="D145" i="45"/>
  <c r="C145" i="45"/>
  <c r="C29" i="45"/>
  <c r="D29" i="45"/>
  <c r="D147" i="45"/>
  <c r="C147" i="45"/>
  <c r="M79" i="28"/>
  <c r="N79" i="46" s="1"/>
  <c r="L79" i="28"/>
  <c r="K79" i="46" s="1"/>
  <c r="M209" i="28"/>
  <c r="N209" i="46" s="1"/>
  <c r="L209" i="28"/>
  <c r="K209" i="46" s="1"/>
  <c r="C162" i="45"/>
  <c r="D162" i="45"/>
  <c r="L110" i="28"/>
  <c r="K110" i="46" s="1"/>
  <c r="M110" i="28"/>
  <c r="N110" i="46" s="1"/>
  <c r="L287" i="28"/>
  <c r="K287" i="46" s="1"/>
  <c r="M287" i="28"/>
  <c r="N287" i="46" s="1"/>
  <c r="D127" i="45"/>
  <c r="C127" i="45"/>
  <c r="C171" i="45"/>
  <c r="D171" i="45"/>
  <c r="L233" i="28"/>
  <c r="K233" i="46" s="1"/>
  <c r="M233" i="28"/>
  <c r="N233" i="46" s="1"/>
  <c r="M237" i="28"/>
  <c r="N237" i="46" s="1"/>
  <c r="L237" i="28"/>
  <c r="K237" i="46" s="1"/>
  <c r="D123" i="45"/>
  <c r="C123" i="45"/>
  <c r="C286" i="45"/>
  <c r="D286" i="45"/>
  <c r="X200" i="46" l="1"/>
  <c r="V200" i="46"/>
  <c r="T200" i="46"/>
  <c r="S200" i="46"/>
  <c r="U200" i="46"/>
  <c r="W200" i="46"/>
  <c r="AR165" i="46"/>
  <c r="AP165" i="46"/>
  <c r="AQ165" i="46"/>
  <c r="V165" i="46"/>
  <c r="U165" i="46"/>
  <c r="AA4" i="46"/>
  <c r="T165" i="46"/>
  <c r="E165" i="46"/>
  <c r="AI165" i="46" s="1"/>
  <c r="AB4" i="46"/>
  <c r="AF4" i="46"/>
  <c r="Y165" i="46"/>
  <c r="AE4" i="46"/>
  <c r="S165" i="46"/>
  <c r="AC4" i="46"/>
  <c r="X165" i="46"/>
  <c r="Z4" i="46"/>
  <c r="AN165" i="46"/>
  <c r="BF37" i="7"/>
  <c r="BJ37" i="7"/>
  <c r="F37" i="87"/>
  <c r="BE37" i="7"/>
  <c r="O37" i="46"/>
  <c r="BD37" i="7"/>
  <c r="BC37" i="7"/>
  <c r="BI37" i="7"/>
  <c r="BG37" i="7"/>
  <c r="BH37" i="7"/>
  <c r="D37" i="39"/>
  <c r="E37" i="39" s="1"/>
  <c r="S6" i="87"/>
  <c r="R65" i="87"/>
  <c r="C34" i="87"/>
  <c r="R34" i="87"/>
  <c r="AU34" i="7"/>
  <c r="AV34" i="7"/>
  <c r="AW34" i="7"/>
  <c r="AX34" i="7"/>
  <c r="V6" i="87"/>
  <c r="W6" i="87"/>
  <c r="X6" i="87"/>
  <c r="R6" i="87"/>
  <c r="U6" i="87"/>
  <c r="M6" i="28"/>
  <c r="N6" i="46" s="1"/>
  <c r="D6" i="46" s="1"/>
  <c r="H6" i="45"/>
  <c r="C6" i="45" s="1"/>
  <c r="M6" i="45" s="1"/>
  <c r="F244" i="46"/>
  <c r="AO244" i="46" s="1"/>
  <c r="X23" i="87"/>
  <c r="W23" i="87"/>
  <c r="V23" i="87"/>
  <c r="U23" i="87"/>
  <c r="R23" i="87"/>
  <c r="T23" i="87"/>
  <c r="S23" i="87"/>
  <c r="C85" i="46"/>
  <c r="U85" i="46" s="1"/>
  <c r="BF5" i="7"/>
  <c r="O5" i="46"/>
  <c r="BE5" i="7"/>
  <c r="BG5" i="7"/>
  <c r="D5" i="39"/>
  <c r="E5" i="39" s="1"/>
  <c r="BJ5" i="7"/>
  <c r="BH5" i="7"/>
  <c r="BD5" i="7"/>
  <c r="BC5" i="7"/>
  <c r="F5" i="87"/>
  <c r="BI5" i="7"/>
  <c r="Q205" i="45"/>
  <c r="N252" i="45"/>
  <c r="AJ98" i="46"/>
  <c r="F134" i="46"/>
  <c r="AR134" i="46" s="1"/>
  <c r="N205" i="45"/>
  <c r="O205" i="45"/>
  <c r="M205" i="45"/>
  <c r="S183" i="45"/>
  <c r="AA245" i="46"/>
  <c r="F183" i="46"/>
  <c r="AR183" i="46" s="1"/>
  <c r="U86" i="45"/>
  <c r="R86" i="45"/>
  <c r="T86" i="45"/>
  <c r="R183" i="45"/>
  <c r="U183" i="45"/>
  <c r="U91" i="45"/>
  <c r="C189" i="45"/>
  <c r="Q189" i="45" s="1"/>
  <c r="V190" i="46"/>
  <c r="AH98" i="46"/>
  <c r="AI98" i="46"/>
  <c r="AL98" i="46"/>
  <c r="AK98" i="46"/>
  <c r="AB245" i="46"/>
  <c r="AE245" i="46"/>
  <c r="AC245" i="46"/>
  <c r="Q252" i="45"/>
  <c r="Z245" i="46"/>
  <c r="P252" i="45"/>
  <c r="AD245" i="46"/>
  <c r="O252" i="45"/>
  <c r="E6" i="46"/>
  <c r="C6" i="46"/>
  <c r="M239" i="28"/>
  <c r="N239" i="46" s="1"/>
  <c r="D239" i="46" s="1"/>
  <c r="C221" i="45"/>
  <c r="P221" i="45" s="1"/>
  <c r="C103" i="46"/>
  <c r="V103" i="46" s="1"/>
  <c r="V59" i="46"/>
  <c r="C143" i="46"/>
  <c r="V143" i="46" s="1"/>
  <c r="T190" i="46"/>
  <c r="Y190" i="46"/>
  <c r="X190" i="46"/>
  <c r="S190" i="46"/>
  <c r="W190" i="46"/>
  <c r="T108" i="45"/>
  <c r="S108" i="45"/>
  <c r="U108" i="45"/>
  <c r="S91" i="45"/>
  <c r="T91" i="45"/>
  <c r="U59" i="46"/>
  <c r="T59" i="46"/>
  <c r="W59" i="46"/>
  <c r="X59" i="46"/>
  <c r="S59" i="46"/>
  <c r="N61" i="45"/>
  <c r="P61" i="45"/>
  <c r="M61" i="45"/>
  <c r="O61" i="45"/>
  <c r="T101" i="45"/>
  <c r="R101" i="45"/>
  <c r="V72" i="46"/>
  <c r="A158" i="33"/>
  <c r="A158" i="39"/>
  <c r="A158" i="50"/>
  <c r="A158" i="52"/>
  <c r="A158" i="51"/>
  <c r="A158" i="23"/>
  <c r="A158" i="26"/>
  <c r="A158" i="6"/>
  <c r="A158" i="28"/>
  <c r="A158" i="21"/>
  <c r="A158" i="7"/>
  <c r="A158" i="25"/>
  <c r="A158" i="54"/>
  <c r="A158" i="15"/>
  <c r="F283" i="46"/>
  <c r="D283" i="46"/>
  <c r="T72" i="46"/>
  <c r="E283" i="46"/>
  <c r="C283" i="46"/>
  <c r="T283" i="45"/>
  <c r="S283" i="45"/>
  <c r="R283" i="45"/>
  <c r="U283" i="45"/>
  <c r="M283" i="45"/>
  <c r="N283" i="45"/>
  <c r="P283" i="45"/>
  <c r="O283" i="45"/>
  <c r="Q283" i="45"/>
  <c r="Y72" i="46"/>
  <c r="S72" i="46"/>
  <c r="U101" i="45"/>
  <c r="W72" i="46"/>
  <c r="X72" i="46"/>
  <c r="C70" i="46"/>
  <c r="W70" i="46" s="1"/>
  <c r="P53" i="45"/>
  <c r="T60" i="45"/>
  <c r="N73" i="45"/>
  <c r="Q73" i="45"/>
  <c r="O53" i="45"/>
  <c r="R60" i="45"/>
  <c r="Q53" i="45"/>
  <c r="P73" i="45"/>
  <c r="U60" i="45"/>
  <c r="O73" i="45"/>
  <c r="N53" i="45"/>
  <c r="O89" i="45"/>
  <c r="M89" i="45"/>
  <c r="P89" i="45"/>
  <c r="Q89" i="45"/>
  <c r="R66" i="45"/>
  <c r="U66" i="45"/>
  <c r="S66" i="45"/>
  <c r="T66" i="45"/>
  <c r="P66" i="45"/>
  <c r="Q66" i="45"/>
  <c r="M66" i="45"/>
  <c r="O66" i="45"/>
  <c r="N66" i="45"/>
  <c r="U71" i="45"/>
  <c r="S71" i="45"/>
  <c r="T71" i="45"/>
  <c r="R71" i="45"/>
  <c r="M71" i="45"/>
  <c r="P71" i="45"/>
  <c r="N71" i="45"/>
  <c r="Q71" i="45"/>
  <c r="O71" i="45"/>
  <c r="L32" i="28"/>
  <c r="K32" i="46" s="1"/>
  <c r="M32" i="28"/>
  <c r="N32" i="46" s="1"/>
  <c r="M139" i="28"/>
  <c r="N139" i="46" s="1"/>
  <c r="L139" i="28"/>
  <c r="K139" i="46" s="1"/>
  <c r="E55" i="46"/>
  <c r="C55" i="46"/>
  <c r="S55" i="45"/>
  <c r="U55" i="45"/>
  <c r="T55" i="45"/>
  <c r="R55" i="45"/>
  <c r="M82" i="28"/>
  <c r="N82" i="46" s="1"/>
  <c r="L82" i="28"/>
  <c r="K82" i="46" s="1"/>
  <c r="Y74" i="46"/>
  <c r="T74" i="46"/>
  <c r="W74" i="46"/>
  <c r="U74" i="46"/>
  <c r="X74" i="46"/>
  <c r="V74" i="46"/>
  <c r="S74" i="46"/>
  <c r="O55" i="45"/>
  <c r="Q55" i="45"/>
  <c r="M55" i="45"/>
  <c r="N55" i="45"/>
  <c r="P55" i="45"/>
  <c r="D82" i="45"/>
  <c r="C82" i="45"/>
  <c r="AL74" i="46"/>
  <c r="AG74" i="46"/>
  <c r="AJ74" i="46"/>
  <c r="AH74" i="46"/>
  <c r="AI74" i="46"/>
  <c r="AK74" i="46"/>
  <c r="C235" i="45"/>
  <c r="D235" i="45"/>
  <c r="D27" i="45"/>
  <c r="C27" i="45"/>
  <c r="M128" i="28"/>
  <c r="N128" i="46" s="1"/>
  <c r="L128" i="28"/>
  <c r="K128" i="46" s="1"/>
  <c r="L235" i="28"/>
  <c r="K235" i="46" s="1"/>
  <c r="M235" i="28"/>
  <c r="N235" i="46" s="1"/>
  <c r="M27" i="28"/>
  <c r="N27" i="46" s="1"/>
  <c r="L27" i="28"/>
  <c r="K27" i="46" s="1"/>
  <c r="C128" i="45"/>
  <c r="D128" i="45"/>
  <c r="AF10" i="46"/>
  <c r="AD10" i="46"/>
  <c r="AB10" i="46"/>
  <c r="AA10" i="46"/>
  <c r="AE10" i="46"/>
  <c r="Z10" i="46"/>
  <c r="AC10" i="46"/>
  <c r="AR74" i="46"/>
  <c r="AQ74" i="46"/>
  <c r="AN74" i="46"/>
  <c r="AM74" i="46"/>
  <c r="AO74" i="46"/>
  <c r="AP74" i="46"/>
  <c r="D45" i="45"/>
  <c r="C45" i="45"/>
  <c r="C41" i="45"/>
  <c r="D41" i="45"/>
  <c r="AQ10" i="46"/>
  <c r="AM10" i="46"/>
  <c r="AP10" i="46"/>
  <c r="AN10" i="46"/>
  <c r="AR10" i="46"/>
  <c r="AO10" i="46"/>
  <c r="AB74" i="46"/>
  <c r="AF74" i="46"/>
  <c r="AC74" i="46"/>
  <c r="AE74" i="46"/>
  <c r="AA74" i="46"/>
  <c r="Z74" i="46"/>
  <c r="AD74" i="46"/>
  <c r="L45" i="28"/>
  <c r="K45" i="46" s="1"/>
  <c r="M45" i="28"/>
  <c r="N45" i="46" s="1"/>
  <c r="L41" i="28"/>
  <c r="K41" i="46" s="1"/>
  <c r="M41" i="28"/>
  <c r="N41" i="46" s="1"/>
  <c r="AJ10" i="46"/>
  <c r="AI10" i="46"/>
  <c r="AH10" i="46"/>
  <c r="AK10" i="46"/>
  <c r="AL10" i="46"/>
  <c r="AG10" i="46"/>
  <c r="D109" i="45"/>
  <c r="C109" i="45"/>
  <c r="C32" i="45"/>
  <c r="D32" i="45"/>
  <c r="D139" i="45"/>
  <c r="C139" i="45"/>
  <c r="F55" i="46"/>
  <c r="D55" i="46"/>
  <c r="V10" i="46"/>
  <c r="Y10" i="46"/>
  <c r="W10" i="46"/>
  <c r="U10" i="46"/>
  <c r="X10" i="46"/>
  <c r="S10" i="46"/>
  <c r="T10" i="46"/>
  <c r="L109" i="28"/>
  <c r="K109" i="46" s="1"/>
  <c r="M109" i="28"/>
  <c r="N109" i="46" s="1"/>
  <c r="M221" i="28"/>
  <c r="N221" i="46" s="1"/>
  <c r="D221" i="46" s="1"/>
  <c r="AB70" i="46"/>
  <c r="AA70" i="46"/>
  <c r="AD70" i="46"/>
  <c r="AC70" i="46"/>
  <c r="AE70" i="46"/>
  <c r="Z70" i="46"/>
  <c r="AF70" i="46"/>
  <c r="U63" i="45"/>
  <c r="S63" i="45"/>
  <c r="R63" i="45"/>
  <c r="T63" i="45"/>
  <c r="AH73" i="46"/>
  <c r="AG73" i="46"/>
  <c r="AI73" i="46"/>
  <c r="AJ73" i="46"/>
  <c r="AK73" i="46"/>
  <c r="AL73" i="46"/>
  <c r="AG61" i="46"/>
  <c r="AL61" i="46"/>
  <c r="AK61" i="46"/>
  <c r="AI61" i="46"/>
  <c r="AJ61" i="46"/>
  <c r="AH61" i="46"/>
  <c r="AE108" i="46"/>
  <c r="AC108" i="46"/>
  <c r="AA108" i="46"/>
  <c r="AF108" i="46"/>
  <c r="Z108" i="46"/>
  <c r="AB108" i="46"/>
  <c r="AD108" i="46"/>
  <c r="Y89" i="46"/>
  <c r="X89" i="46"/>
  <c r="V89" i="46"/>
  <c r="S89" i="46"/>
  <c r="U89" i="46"/>
  <c r="W89" i="46"/>
  <c r="T89" i="46"/>
  <c r="AK101" i="46"/>
  <c r="AJ101" i="46"/>
  <c r="AL101" i="46"/>
  <c r="AH101" i="46"/>
  <c r="AG101" i="46"/>
  <c r="AI101" i="46"/>
  <c r="AE53" i="46"/>
  <c r="AB53" i="46"/>
  <c r="Z53" i="46"/>
  <c r="AC53" i="46"/>
  <c r="AA53" i="46"/>
  <c r="AF53" i="46"/>
  <c r="AD53" i="46"/>
  <c r="AK8" i="46"/>
  <c r="AH8" i="46"/>
  <c r="AL8" i="46"/>
  <c r="AI8" i="46"/>
  <c r="AJ8" i="46"/>
  <c r="AG8" i="46"/>
  <c r="AH91" i="46"/>
  <c r="AG91" i="46"/>
  <c r="AK91" i="46"/>
  <c r="AL91" i="46"/>
  <c r="AJ91" i="46"/>
  <c r="AI91" i="46"/>
  <c r="V73" i="46"/>
  <c r="X73" i="46"/>
  <c r="T73" i="46"/>
  <c r="S73" i="46"/>
  <c r="U73" i="46"/>
  <c r="W73" i="46"/>
  <c r="Y73" i="46"/>
  <c r="V91" i="46"/>
  <c r="U91" i="46"/>
  <c r="W91" i="46"/>
  <c r="S91" i="46"/>
  <c r="Y91" i="46"/>
  <c r="X91" i="46"/>
  <c r="T91" i="46"/>
  <c r="AW23" i="7"/>
  <c r="AP70" i="46"/>
  <c r="AR70" i="46"/>
  <c r="AO70" i="46"/>
  <c r="AQ70" i="46"/>
  <c r="AN70" i="46"/>
  <c r="AM70" i="46"/>
  <c r="P63" i="45"/>
  <c r="Q63" i="45"/>
  <c r="O63" i="45"/>
  <c r="M63" i="45"/>
  <c r="N63" i="45"/>
  <c r="X34" i="46"/>
  <c r="T34" i="46"/>
  <c r="V34" i="46"/>
  <c r="W34" i="46"/>
  <c r="Y34" i="46"/>
  <c r="U34" i="46"/>
  <c r="S34" i="46"/>
  <c r="AB34" i="46"/>
  <c r="Z34" i="46"/>
  <c r="AC34" i="46"/>
  <c r="AA34" i="46"/>
  <c r="AD34" i="46"/>
  <c r="AF34" i="46"/>
  <c r="AE34" i="46"/>
  <c r="AM108" i="46"/>
  <c r="AR108" i="46"/>
  <c r="AN108" i="46"/>
  <c r="AO108" i="46"/>
  <c r="AP108" i="46"/>
  <c r="AQ108" i="46"/>
  <c r="W101" i="46"/>
  <c r="T101" i="46"/>
  <c r="S101" i="46"/>
  <c r="X101" i="46"/>
  <c r="U101" i="46"/>
  <c r="Y101" i="46"/>
  <c r="V101" i="46"/>
  <c r="AQ53" i="46"/>
  <c r="AR53" i="46"/>
  <c r="AO53" i="46"/>
  <c r="AM53" i="46"/>
  <c r="AN53" i="46"/>
  <c r="AP53" i="46"/>
  <c r="W75" i="46"/>
  <c r="X75" i="46"/>
  <c r="Y75" i="46"/>
  <c r="T75" i="46"/>
  <c r="U75" i="46"/>
  <c r="S75" i="46"/>
  <c r="V75" i="46"/>
  <c r="U53" i="46"/>
  <c r="V53" i="46"/>
  <c r="W53" i="46"/>
  <c r="T53" i="46"/>
  <c r="X53" i="46"/>
  <c r="Y53" i="46"/>
  <c r="S53" i="46"/>
  <c r="U66" i="46"/>
  <c r="X66" i="46"/>
  <c r="T66" i="46"/>
  <c r="Y66" i="46"/>
  <c r="W66" i="46"/>
  <c r="V66" i="46"/>
  <c r="S66" i="46"/>
  <c r="D28" i="46"/>
  <c r="F28" i="46"/>
  <c r="AL34" i="46"/>
  <c r="AI34" i="46"/>
  <c r="AH34" i="46"/>
  <c r="AG34" i="46"/>
  <c r="AJ34" i="46"/>
  <c r="AK34" i="46"/>
  <c r="Z73" i="46"/>
  <c r="AA73" i="46"/>
  <c r="AF73" i="46"/>
  <c r="AD73" i="46"/>
  <c r="AC73" i="46"/>
  <c r="AE73" i="46"/>
  <c r="AB73" i="46"/>
  <c r="AO34" i="46"/>
  <c r="AP34" i="46"/>
  <c r="AR34" i="46"/>
  <c r="AM34" i="46"/>
  <c r="AQ34" i="46"/>
  <c r="AN34" i="46"/>
  <c r="AK143" i="46"/>
  <c r="AH143" i="46"/>
  <c r="AJ143" i="46"/>
  <c r="AG143" i="46"/>
  <c r="AL143" i="46"/>
  <c r="AI143" i="46"/>
  <c r="D64" i="45"/>
  <c r="C64" i="45"/>
  <c r="N28" i="45"/>
  <c r="M28" i="45"/>
  <c r="O28" i="45"/>
  <c r="Q28" i="45"/>
  <c r="P28" i="45"/>
  <c r="AQ89" i="46"/>
  <c r="AP89" i="46"/>
  <c r="AN89" i="46"/>
  <c r="AM89" i="46"/>
  <c r="AR89" i="46"/>
  <c r="AO89" i="46"/>
  <c r="W60" i="46"/>
  <c r="Y60" i="46"/>
  <c r="X60" i="46"/>
  <c r="T60" i="46"/>
  <c r="V60" i="46"/>
  <c r="S60" i="46"/>
  <c r="U60" i="46"/>
  <c r="AI75" i="46"/>
  <c r="AH75" i="46"/>
  <c r="AL75" i="46"/>
  <c r="AK75" i="46"/>
  <c r="AG75" i="46"/>
  <c r="AJ75" i="46"/>
  <c r="AK53" i="46"/>
  <c r="AH53" i="46"/>
  <c r="AG53" i="46"/>
  <c r="AL53" i="46"/>
  <c r="AI53" i="46"/>
  <c r="AJ53" i="46"/>
  <c r="AR66" i="46"/>
  <c r="AN66" i="46"/>
  <c r="AO66" i="46"/>
  <c r="AM66" i="46"/>
  <c r="AQ66" i="46"/>
  <c r="AP66" i="46"/>
  <c r="AI66" i="46"/>
  <c r="AJ66" i="46"/>
  <c r="AK66" i="46"/>
  <c r="AG66" i="46"/>
  <c r="AH66" i="46"/>
  <c r="AL66" i="46"/>
  <c r="AP73" i="46"/>
  <c r="AR73" i="46"/>
  <c r="AQ73" i="46"/>
  <c r="AO73" i="46"/>
  <c r="AM73" i="46"/>
  <c r="AN73" i="46"/>
  <c r="L64" i="28"/>
  <c r="K64" i="46" s="1"/>
  <c r="M64" i="28"/>
  <c r="N64" i="46" s="1"/>
  <c r="T28" i="45"/>
  <c r="S28" i="45"/>
  <c r="R28" i="45"/>
  <c r="U28" i="45"/>
  <c r="AA89" i="46"/>
  <c r="Z89" i="46"/>
  <c r="AD89" i="46"/>
  <c r="AB89" i="46"/>
  <c r="AE89" i="46"/>
  <c r="AF89" i="46"/>
  <c r="AC89" i="46"/>
  <c r="AC91" i="46"/>
  <c r="AA91" i="46"/>
  <c r="AD91" i="46"/>
  <c r="Z91" i="46"/>
  <c r="AE91" i="46"/>
  <c r="AF91" i="46"/>
  <c r="AB91" i="46"/>
  <c r="AL60" i="46"/>
  <c r="AI60" i="46"/>
  <c r="AJ60" i="46"/>
  <c r="AH60" i="46"/>
  <c r="AK60" i="46"/>
  <c r="AG60" i="46"/>
  <c r="L83" i="28"/>
  <c r="K83" i="46" s="1"/>
  <c r="M83" i="28"/>
  <c r="N83" i="46" s="1"/>
  <c r="AN60" i="46"/>
  <c r="AM60" i="46"/>
  <c r="AO60" i="46"/>
  <c r="AQ60" i="46"/>
  <c r="AR60" i="46"/>
  <c r="AP60" i="46"/>
  <c r="AE66" i="46"/>
  <c r="AF66" i="46"/>
  <c r="AB66" i="46"/>
  <c r="AA66" i="46"/>
  <c r="AD66" i="46"/>
  <c r="Z66" i="46"/>
  <c r="AC66" i="46"/>
  <c r="AM71" i="46"/>
  <c r="AP71" i="46"/>
  <c r="AO71" i="46"/>
  <c r="AQ71" i="46"/>
  <c r="AR71" i="46"/>
  <c r="AN71" i="46"/>
  <c r="AC103" i="46"/>
  <c r="AF103" i="46"/>
  <c r="AB103" i="46"/>
  <c r="Z103" i="46"/>
  <c r="AD103" i="46"/>
  <c r="AA103" i="46"/>
  <c r="AE103" i="46"/>
  <c r="F24" i="46"/>
  <c r="C24" i="46"/>
  <c r="D24" i="46"/>
  <c r="E24" i="46"/>
  <c r="AQ143" i="46"/>
  <c r="AR143" i="46"/>
  <c r="AN143" i="46"/>
  <c r="AO143" i="46"/>
  <c r="AP143" i="46"/>
  <c r="AM143" i="46"/>
  <c r="AQ61" i="46"/>
  <c r="AO61" i="46"/>
  <c r="AP61" i="46"/>
  <c r="AR61" i="46"/>
  <c r="AN61" i="46"/>
  <c r="AM61" i="46"/>
  <c r="AB75" i="46"/>
  <c r="AA75" i="46"/>
  <c r="AC75" i="46"/>
  <c r="AE75" i="46"/>
  <c r="AF75" i="46"/>
  <c r="Z75" i="46"/>
  <c r="AD75" i="46"/>
  <c r="AO91" i="46"/>
  <c r="AM91" i="46"/>
  <c r="AQ91" i="46"/>
  <c r="AP91" i="46"/>
  <c r="AR91" i="46"/>
  <c r="AN91" i="46"/>
  <c r="AL71" i="46"/>
  <c r="AG71" i="46"/>
  <c r="AJ71" i="46"/>
  <c r="AI71" i="46"/>
  <c r="AK71" i="46"/>
  <c r="AH71" i="46"/>
  <c r="D83" i="45"/>
  <c r="C83" i="45"/>
  <c r="AB60" i="46"/>
  <c r="AF60" i="46"/>
  <c r="AD60" i="46"/>
  <c r="AC60" i="46"/>
  <c r="AA60" i="46"/>
  <c r="Z60" i="46"/>
  <c r="AE60" i="46"/>
  <c r="L65" i="28"/>
  <c r="K65" i="46" s="1"/>
  <c r="M65" i="28"/>
  <c r="N65" i="46" s="1"/>
  <c r="S61" i="46"/>
  <c r="Y61" i="46"/>
  <c r="U61" i="46"/>
  <c r="X61" i="46"/>
  <c r="T61" i="46"/>
  <c r="V61" i="46"/>
  <c r="W61" i="46"/>
  <c r="AC101" i="46"/>
  <c r="AE101" i="46"/>
  <c r="AB101" i="46"/>
  <c r="AA101" i="46"/>
  <c r="Z101" i="46"/>
  <c r="AF101" i="46"/>
  <c r="AD101" i="46"/>
  <c r="AK108" i="46"/>
  <c r="AI108" i="46"/>
  <c r="AG108" i="46"/>
  <c r="AL108" i="46"/>
  <c r="AJ108" i="46"/>
  <c r="AH108" i="46"/>
  <c r="AF143" i="46"/>
  <c r="AD143" i="46"/>
  <c r="Z143" i="46"/>
  <c r="AA143" i="46"/>
  <c r="AE143" i="46"/>
  <c r="AC143" i="46"/>
  <c r="AB143" i="46"/>
  <c r="AF61" i="46"/>
  <c r="AB61" i="46"/>
  <c r="AD61" i="46"/>
  <c r="AE61" i="46"/>
  <c r="AC61" i="46"/>
  <c r="Z61" i="46"/>
  <c r="AA61" i="46"/>
  <c r="AR75" i="46"/>
  <c r="AM75" i="46"/>
  <c r="AQ75" i="46"/>
  <c r="AP75" i="46"/>
  <c r="AO75" i="46"/>
  <c r="AN75" i="46"/>
  <c r="T71" i="46"/>
  <c r="W71" i="46"/>
  <c r="Y71" i="46"/>
  <c r="U71" i="46"/>
  <c r="S71" i="46"/>
  <c r="X71" i="46"/>
  <c r="V71" i="46"/>
  <c r="AK89" i="46"/>
  <c r="AJ89" i="46"/>
  <c r="AH89" i="46"/>
  <c r="AI89" i="46"/>
  <c r="AL89" i="46"/>
  <c r="AG89" i="46"/>
  <c r="AU23" i="7"/>
  <c r="D65" i="45"/>
  <c r="C65" i="45"/>
  <c r="AI70" i="46"/>
  <c r="AH70" i="46"/>
  <c r="AK70" i="46"/>
  <c r="AL70" i="46"/>
  <c r="AJ70" i="46"/>
  <c r="AG70" i="46"/>
  <c r="X108" i="46"/>
  <c r="Y108" i="46"/>
  <c r="S108" i="46"/>
  <c r="T108" i="46"/>
  <c r="W108" i="46"/>
  <c r="U108" i="46"/>
  <c r="V108" i="46"/>
  <c r="C28" i="46"/>
  <c r="E28" i="46"/>
  <c r="AD71" i="46"/>
  <c r="AE71" i="46"/>
  <c r="AC71" i="46"/>
  <c r="AA71" i="46"/>
  <c r="AB71" i="46"/>
  <c r="AF71" i="46"/>
  <c r="Z71" i="46"/>
  <c r="AP101" i="46"/>
  <c r="AQ101" i="46"/>
  <c r="AN101" i="46"/>
  <c r="AR101" i="46"/>
  <c r="AO101" i="46"/>
  <c r="AM101" i="46"/>
  <c r="AG103" i="46"/>
  <c r="AL103" i="46"/>
  <c r="AI103" i="46"/>
  <c r="AH103" i="46"/>
  <c r="AJ103" i="46"/>
  <c r="AK103" i="46"/>
  <c r="AM103" i="46"/>
  <c r="AO103" i="46"/>
  <c r="AN103" i="46"/>
  <c r="AQ103" i="46"/>
  <c r="AR103" i="46"/>
  <c r="AP103" i="46"/>
  <c r="D23" i="39"/>
  <c r="E23" i="39" s="1"/>
  <c r="H23" i="45" s="1"/>
  <c r="K156" i="28"/>
  <c r="H156" i="45"/>
  <c r="T92" i="45"/>
  <c r="U92" i="45"/>
  <c r="R92" i="45"/>
  <c r="S92" i="45"/>
  <c r="F148" i="46"/>
  <c r="D148" i="46"/>
  <c r="AR241" i="46"/>
  <c r="AN241" i="46"/>
  <c r="AQ241" i="46"/>
  <c r="AP241" i="46"/>
  <c r="AO241" i="46"/>
  <c r="AM241" i="46"/>
  <c r="AG241" i="46"/>
  <c r="AH241" i="46"/>
  <c r="AJ241" i="46"/>
  <c r="AI241" i="46"/>
  <c r="AK241" i="46"/>
  <c r="AL241" i="46"/>
  <c r="AX23" i="7"/>
  <c r="F92" i="46"/>
  <c r="D92" i="46"/>
  <c r="E148" i="46"/>
  <c r="C148" i="46"/>
  <c r="R148" i="45"/>
  <c r="S148" i="45"/>
  <c r="T148" i="45"/>
  <c r="U148" i="45"/>
  <c r="T241" i="46"/>
  <c r="Y241" i="46"/>
  <c r="W241" i="46"/>
  <c r="V241" i="46"/>
  <c r="S241" i="46"/>
  <c r="X241" i="46"/>
  <c r="U241" i="46"/>
  <c r="C92" i="46"/>
  <c r="E92" i="46"/>
  <c r="Q148" i="45"/>
  <c r="M148" i="45"/>
  <c r="N148" i="45"/>
  <c r="O148" i="45"/>
  <c r="P148" i="45"/>
  <c r="AJ279" i="46"/>
  <c r="AL279" i="46"/>
  <c r="AH279" i="46"/>
  <c r="AK279" i="46"/>
  <c r="AG279" i="46"/>
  <c r="AI279" i="46"/>
  <c r="AP119" i="46"/>
  <c r="AM119" i="46"/>
  <c r="AQ119" i="46"/>
  <c r="AR119" i="46"/>
  <c r="AO119" i="46"/>
  <c r="AN119" i="46"/>
  <c r="Y279" i="46"/>
  <c r="U279" i="46"/>
  <c r="V279" i="46"/>
  <c r="T279" i="46"/>
  <c r="X279" i="46"/>
  <c r="S279" i="46"/>
  <c r="W279" i="46"/>
  <c r="Z119" i="46"/>
  <c r="AF119" i="46"/>
  <c r="AE119" i="46"/>
  <c r="AA119" i="46"/>
  <c r="AB119" i="46"/>
  <c r="AC119" i="46"/>
  <c r="AD119" i="46"/>
  <c r="AG76" i="46"/>
  <c r="AH76" i="46"/>
  <c r="AK76" i="46"/>
  <c r="AL76" i="46"/>
  <c r="AI76" i="46"/>
  <c r="AJ76" i="46"/>
  <c r="AQ279" i="46"/>
  <c r="AO279" i="46"/>
  <c r="AR279" i="46"/>
  <c r="AN279" i="46"/>
  <c r="AM279" i="46"/>
  <c r="AP279" i="46"/>
  <c r="T76" i="46"/>
  <c r="Y76" i="46"/>
  <c r="U76" i="46"/>
  <c r="X76" i="46"/>
  <c r="S76" i="46"/>
  <c r="V76" i="46"/>
  <c r="W76" i="46"/>
  <c r="Z279" i="46"/>
  <c r="AF279" i="46"/>
  <c r="AC279" i="46"/>
  <c r="AE279" i="46"/>
  <c r="AD279" i="46"/>
  <c r="AB279" i="46"/>
  <c r="AA279" i="46"/>
  <c r="AK119" i="46"/>
  <c r="AH119" i="46"/>
  <c r="AI119" i="46"/>
  <c r="AJ119" i="46"/>
  <c r="AL119" i="46"/>
  <c r="AG119" i="46"/>
  <c r="AR76" i="46"/>
  <c r="AO76" i="46"/>
  <c r="AM76" i="46"/>
  <c r="AP76" i="46"/>
  <c r="AQ76" i="46"/>
  <c r="AN76" i="46"/>
  <c r="Y119" i="46"/>
  <c r="S119" i="46"/>
  <c r="W119" i="46"/>
  <c r="U119" i="46"/>
  <c r="X119" i="46"/>
  <c r="T119" i="46"/>
  <c r="V119" i="46"/>
  <c r="N92" i="45"/>
  <c r="M92" i="45"/>
  <c r="P92" i="45"/>
  <c r="O92" i="45"/>
  <c r="Q92" i="45"/>
  <c r="AE241" i="46"/>
  <c r="AB241" i="46"/>
  <c r="Z241" i="46"/>
  <c r="AD241" i="46"/>
  <c r="AC241" i="46"/>
  <c r="AA241" i="46"/>
  <c r="AF241" i="46"/>
  <c r="AE76" i="46"/>
  <c r="AD76" i="46"/>
  <c r="AA76" i="46"/>
  <c r="Z76" i="46"/>
  <c r="AC76" i="46"/>
  <c r="AF76" i="46"/>
  <c r="AB76" i="46"/>
  <c r="AL48" i="46"/>
  <c r="AI48" i="46"/>
  <c r="AK48" i="46"/>
  <c r="AG48" i="46"/>
  <c r="AH48" i="46"/>
  <c r="AJ48" i="46"/>
  <c r="AM48" i="46"/>
  <c r="AQ48" i="46"/>
  <c r="AR48" i="46"/>
  <c r="AO48" i="46"/>
  <c r="AP48" i="46"/>
  <c r="AN48" i="46"/>
  <c r="AB48" i="46"/>
  <c r="AD48" i="46"/>
  <c r="Z48" i="46"/>
  <c r="AE48" i="46"/>
  <c r="AF48" i="46"/>
  <c r="AA48" i="46"/>
  <c r="AC48" i="46"/>
  <c r="X48" i="46"/>
  <c r="U48" i="46"/>
  <c r="V48" i="46"/>
  <c r="S48" i="46"/>
  <c r="T48" i="46"/>
  <c r="Y48" i="46"/>
  <c r="W48" i="46"/>
  <c r="V133" i="46"/>
  <c r="S133" i="46"/>
  <c r="X133" i="46"/>
  <c r="W133" i="46"/>
  <c r="T133" i="46"/>
  <c r="Y133" i="46"/>
  <c r="U133" i="46"/>
  <c r="K263" i="28"/>
  <c r="H263" i="45"/>
  <c r="AQ130" i="46"/>
  <c r="AR130" i="46"/>
  <c r="AO130" i="46"/>
  <c r="AP130" i="46"/>
  <c r="AN130" i="46"/>
  <c r="AM130" i="46"/>
  <c r="AQ191" i="46"/>
  <c r="AP191" i="46"/>
  <c r="AO191" i="46"/>
  <c r="AM191" i="46"/>
  <c r="AN191" i="46"/>
  <c r="AR191" i="46"/>
  <c r="AA133" i="46"/>
  <c r="AC133" i="46"/>
  <c r="AD133" i="46"/>
  <c r="AF133" i="46"/>
  <c r="AE133" i="46"/>
  <c r="Z133" i="46"/>
  <c r="AB133" i="46"/>
  <c r="H30" i="45"/>
  <c r="K30" i="28"/>
  <c r="O176" i="45"/>
  <c r="M176" i="45"/>
  <c r="Q176" i="45"/>
  <c r="N176" i="45"/>
  <c r="P176" i="45"/>
  <c r="D154" i="45"/>
  <c r="C154" i="45"/>
  <c r="Z130" i="46"/>
  <c r="AD130" i="46"/>
  <c r="AA130" i="46"/>
  <c r="AE130" i="46"/>
  <c r="AB130" i="46"/>
  <c r="AF130" i="46"/>
  <c r="AC130" i="46"/>
  <c r="E68" i="46"/>
  <c r="C68" i="46"/>
  <c r="AO133" i="46"/>
  <c r="AM133" i="46"/>
  <c r="AR133" i="46"/>
  <c r="AQ133" i="46"/>
  <c r="AN133" i="46"/>
  <c r="AP133" i="46"/>
  <c r="R176" i="45"/>
  <c r="U176" i="45"/>
  <c r="S176" i="45"/>
  <c r="T176" i="45"/>
  <c r="M154" i="28"/>
  <c r="N154" i="46" s="1"/>
  <c r="L154" i="28"/>
  <c r="K154" i="46" s="1"/>
  <c r="D68" i="46"/>
  <c r="F68" i="46"/>
  <c r="D203" i="46"/>
  <c r="F203" i="46"/>
  <c r="D207" i="46"/>
  <c r="F207" i="46"/>
  <c r="F47" i="46"/>
  <c r="D47" i="46"/>
  <c r="AD187" i="46"/>
  <c r="AB187" i="46"/>
  <c r="AA187" i="46"/>
  <c r="AC187" i="46"/>
  <c r="Z187" i="46"/>
  <c r="AF187" i="46"/>
  <c r="AE187" i="46"/>
  <c r="S47" i="45"/>
  <c r="T47" i="45"/>
  <c r="U47" i="45"/>
  <c r="R47" i="45"/>
  <c r="Y191" i="46"/>
  <c r="W191" i="46"/>
  <c r="S191" i="46"/>
  <c r="V191" i="46"/>
  <c r="T191" i="46"/>
  <c r="U191" i="46"/>
  <c r="X191" i="46"/>
  <c r="E203" i="46"/>
  <c r="C203" i="46"/>
  <c r="Q11" i="45"/>
  <c r="P11" i="45"/>
  <c r="M11" i="45"/>
  <c r="O11" i="45"/>
  <c r="N11" i="45"/>
  <c r="C207" i="46"/>
  <c r="E207" i="46"/>
  <c r="E47" i="46"/>
  <c r="C47" i="46"/>
  <c r="AN187" i="46"/>
  <c r="AO187" i="46"/>
  <c r="AM187" i="46"/>
  <c r="AP187" i="46"/>
  <c r="AQ187" i="46"/>
  <c r="AR187" i="46"/>
  <c r="M47" i="45"/>
  <c r="O47" i="45"/>
  <c r="P47" i="45"/>
  <c r="Q47" i="45"/>
  <c r="N47" i="45"/>
  <c r="M203" i="45"/>
  <c r="P203" i="45"/>
  <c r="O203" i="45"/>
  <c r="N203" i="45"/>
  <c r="Q203" i="45"/>
  <c r="K18" i="28"/>
  <c r="H18" i="45"/>
  <c r="AH191" i="46"/>
  <c r="AL191" i="46"/>
  <c r="AJ191" i="46"/>
  <c r="AK191" i="46"/>
  <c r="AI191" i="46"/>
  <c r="AG191" i="46"/>
  <c r="H170" i="45"/>
  <c r="K170" i="28"/>
  <c r="U11" i="45"/>
  <c r="S11" i="45"/>
  <c r="R11" i="45"/>
  <c r="T11" i="45"/>
  <c r="AH130" i="46"/>
  <c r="AG130" i="46"/>
  <c r="AI130" i="46"/>
  <c r="AK130" i="46"/>
  <c r="AL130" i="46"/>
  <c r="AJ130" i="46"/>
  <c r="AH187" i="46"/>
  <c r="AI187" i="46"/>
  <c r="AG187" i="46"/>
  <c r="AJ187" i="46"/>
  <c r="AL187" i="46"/>
  <c r="AK187" i="46"/>
  <c r="R203" i="45"/>
  <c r="U203" i="45"/>
  <c r="T203" i="45"/>
  <c r="S203" i="45"/>
  <c r="U68" i="45"/>
  <c r="T68" i="45"/>
  <c r="S68" i="45"/>
  <c r="R68" i="45"/>
  <c r="F11" i="46"/>
  <c r="D11" i="46"/>
  <c r="F176" i="46"/>
  <c r="D176" i="46"/>
  <c r="X130" i="46"/>
  <c r="W130" i="46"/>
  <c r="T130" i="46"/>
  <c r="V130" i="46"/>
  <c r="U130" i="46"/>
  <c r="S130" i="46"/>
  <c r="Y130" i="46"/>
  <c r="S207" i="45"/>
  <c r="R207" i="45"/>
  <c r="T207" i="45"/>
  <c r="U207" i="45"/>
  <c r="Y187" i="46"/>
  <c r="W187" i="46"/>
  <c r="V187" i="46"/>
  <c r="T187" i="46"/>
  <c r="X187" i="46"/>
  <c r="S187" i="46"/>
  <c r="U187" i="46"/>
  <c r="O68" i="45"/>
  <c r="P68" i="45"/>
  <c r="N68" i="45"/>
  <c r="M68" i="45"/>
  <c r="Q68" i="45"/>
  <c r="AG133" i="46"/>
  <c r="AH133" i="46"/>
  <c r="AJ133" i="46"/>
  <c r="AK133" i="46"/>
  <c r="AI133" i="46"/>
  <c r="AL133" i="46"/>
  <c r="E11" i="46"/>
  <c r="C11" i="46"/>
  <c r="E176" i="46"/>
  <c r="C176" i="46"/>
  <c r="M207" i="45"/>
  <c r="O207" i="45"/>
  <c r="P207" i="45"/>
  <c r="N207" i="45"/>
  <c r="Q207" i="45"/>
  <c r="AD191" i="46"/>
  <c r="AA191" i="46"/>
  <c r="AC191" i="46"/>
  <c r="Z191" i="46"/>
  <c r="AF191" i="46"/>
  <c r="AB191" i="46"/>
  <c r="AE191" i="46"/>
  <c r="AM88" i="46"/>
  <c r="AR88" i="46"/>
  <c r="AQ88" i="46"/>
  <c r="AO88" i="46"/>
  <c r="AN88" i="46"/>
  <c r="AP88" i="46"/>
  <c r="AF88" i="46"/>
  <c r="AB88" i="46"/>
  <c r="AD88" i="46"/>
  <c r="Z88" i="46"/>
  <c r="AA88" i="46"/>
  <c r="AC88" i="46"/>
  <c r="AE88" i="46"/>
  <c r="AG88" i="46"/>
  <c r="AK88" i="46"/>
  <c r="AJ88" i="46"/>
  <c r="AH88" i="46"/>
  <c r="AL88" i="46"/>
  <c r="AI88" i="46"/>
  <c r="W88" i="46"/>
  <c r="X88" i="46"/>
  <c r="V88" i="46"/>
  <c r="U88" i="46"/>
  <c r="S88" i="46"/>
  <c r="Y88" i="46"/>
  <c r="T88" i="46"/>
  <c r="AI252" i="46"/>
  <c r="AJ252" i="46"/>
  <c r="AK252" i="46"/>
  <c r="AL252" i="46"/>
  <c r="AG252" i="46"/>
  <c r="AH252" i="46"/>
  <c r="T252" i="46"/>
  <c r="U252" i="46"/>
  <c r="V252" i="46"/>
  <c r="W252" i="46"/>
  <c r="X252" i="46"/>
  <c r="Y252" i="46"/>
  <c r="S252" i="46"/>
  <c r="AC252" i="46"/>
  <c r="AB252" i="46"/>
  <c r="AD252" i="46"/>
  <c r="AE252" i="46"/>
  <c r="Z252" i="46"/>
  <c r="AF252" i="46"/>
  <c r="AA252" i="46"/>
  <c r="AQ252" i="46"/>
  <c r="AO252" i="46"/>
  <c r="AR252" i="46"/>
  <c r="AP252" i="46"/>
  <c r="AM252" i="46"/>
  <c r="AN252" i="46"/>
  <c r="S250" i="46"/>
  <c r="T250" i="46"/>
  <c r="Y250" i="46"/>
  <c r="X250" i="46"/>
  <c r="V250" i="46"/>
  <c r="W250" i="46"/>
  <c r="U250" i="46"/>
  <c r="AI250" i="46"/>
  <c r="AG250" i="46"/>
  <c r="AJ250" i="46"/>
  <c r="AL250" i="46"/>
  <c r="AH250" i="46"/>
  <c r="AK250" i="46"/>
  <c r="AC250" i="46"/>
  <c r="AB250" i="46"/>
  <c r="Z250" i="46"/>
  <c r="AA250" i="46"/>
  <c r="AE250" i="46"/>
  <c r="AF250" i="46"/>
  <c r="AD250" i="46"/>
  <c r="AP250" i="46"/>
  <c r="AO250" i="46"/>
  <c r="AN250" i="46"/>
  <c r="AM250" i="46"/>
  <c r="AQ250" i="46"/>
  <c r="AR250" i="46"/>
  <c r="AM104" i="46"/>
  <c r="AP104" i="46"/>
  <c r="AQ104" i="46"/>
  <c r="AN104" i="46"/>
  <c r="AO104" i="46"/>
  <c r="AR104" i="46"/>
  <c r="AC104" i="46"/>
  <c r="AA104" i="46"/>
  <c r="AF104" i="46"/>
  <c r="AD104" i="46"/>
  <c r="AB104" i="46"/>
  <c r="Z104" i="46"/>
  <c r="AE104" i="46"/>
  <c r="AC244" i="46"/>
  <c r="AB244" i="46"/>
  <c r="Z244" i="46"/>
  <c r="AD244" i="46"/>
  <c r="AA244" i="46"/>
  <c r="AF244" i="46"/>
  <c r="AE244" i="46"/>
  <c r="AJ51" i="46"/>
  <c r="AL51" i="46"/>
  <c r="AH51" i="46"/>
  <c r="AG51" i="46"/>
  <c r="AI51" i="46"/>
  <c r="AK51" i="46"/>
  <c r="Y51" i="46"/>
  <c r="V51" i="46"/>
  <c r="W51" i="46"/>
  <c r="U51" i="46"/>
  <c r="T51" i="46"/>
  <c r="X51" i="46"/>
  <c r="S51" i="46"/>
  <c r="AI19" i="46"/>
  <c r="AJ19" i="46"/>
  <c r="AH19" i="46"/>
  <c r="AK19" i="46"/>
  <c r="AL19" i="46"/>
  <c r="AG19" i="46"/>
  <c r="AC51" i="46"/>
  <c r="AA51" i="46"/>
  <c r="AF51" i="46"/>
  <c r="AD51" i="46"/>
  <c r="AE51" i="46"/>
  <c r="Z51" i="46"/>
  <c r="AB51" i="46"/>
  <c r="S19" i="46"/>
  <c r="Y19" i="46"/>
  <c r="W19" i="46"/>
  <c r="X19" i="46"/>
  <c r="V19" i="46"/>
  <c r="U19" i="46"/>
  <c r="T19" i="46"/>
  <c r="AO51" i="46"/>
  <c r="AM51" i="46"/>
  <c r="AN51" i="46"/>
  <c r="AP51" i="46"/>
  <c r="AR51" i="46"/>
  <c r="AQ51" i="46"/>
  <c r="AK104" i="46"/>
  <c r="AG104" i="46"/>
  <c r="AL104" i="46"/>
  <c r="AI104" i="46"/>
  <c r="AJ104" i="46"/>
  <c r="AH104" i="46"/>
  <c r="Y104" i="46"/>
  <c r="U104" i="46"/>
  <c r="S104" i="46"/>
  <c r="T104" i="46"/>
  <c r="V104" i="46"/>
  <c r="X104" i="46"/>
  <c r="W104" i="46"/>
  <c r="AB19" i="46"/>
  <c r="AC19" i="46"/>
  <c r="AA19" i="46"/>
  <c r="AE19" i="46"/>
  <c r="Z19" i="46"/>
  <c r="AD19" i="46"/>
  <c r="AF19" i="46"/>
  <c r="AJ244" i="46"/>
  <c r="AI244" i="46"/>
  <c r="AL244" i="46"/>
  <c r="AK244" i="46"/>
  <c r="AG244" i="46"/>
  <c r="AH244" i="46"/>
  <c r="AO19" i="46"/>
  <c r="AM19" i="46"/>
  <c r="AN19" i="46"/>
  <c r="AP19" i="46"/>
  <c r="AR19" i="46"/>
  <c r="AQ19" i="46"/>
  <c r="T244" i="46"/>
  <c r="S244" i="46"/>
  <c r="V244" i="46"/>
  <c r="Y244" i="46"/>
  <c r="W244" i="46"/>
  <c r="U244" i="46"/>
  <c r="X244" i="46"/>
  <c r="F251" i="46"/>
  <c r="D251" i="46"/>
  <c r="E251" i="46"/>
  <c r="C251" i="46"/>
  <c r="S251" i="45"/>
  <c r="R251" i="45"/>
  <c r="T251" i="45"/>
  <c r="U251" i="45"/>
  <c r="Q251" i="45"/>
  <c r="M251" i="45"/>
  <c r="P251" i="45"/>
  <c r="O251" i="45"/>
  <c r="N251" i="45"/>
  <c r="X20" i="46"/>
  <c r="W20" i="46"/>
  <c r="T20" i="46"/>
  <c r="V20" i="46"/>
  <c r="S20" i="46"/>
  <c r="U20" i="46"/>
  <c r="Y20" i="46"/>
  <c r="AF219" i="46"/>
  <c r="AE219" i="46"/>
  <c r="AC219" i="46"/>
  <c r="AA219" i="46"/>
  <c r="AD219" i="46"/>
  <c r="Z219" i="46"/>
  <c r="AB219" i="46"/>
  <c r="AL219" i="46"/>
  <c r="AH219" i="46"/>
  <c r="AG219" i="46"/>
  <c r="AJ219" i="46"/>
  <c r="AK219" i="46"/>
  <c r="AI219" i="46"/>
  <c r="AI20" i="46"/>
  <c r="AG20" i="46"/>
  <c r="AJ20" i="46"/>
  <c r="AK20" i="46"/>
  <c r="AH20" i="46"/>
  <c r="AL20" i="46"/>
  <c r="AM219" i="46"/>
  <c r="AQ219" i="46"/>
  <c r="AP219" i="46"/>
  <c r="AO219" i="46"/>
  <c r="AN219" i="46"/>
  <c r="AR219" i="46"/>
  <c r="Y219" i="46"/>
  <c r="T219" i="46"/>
  <c r="V219" i="46"/>
  <c r="S219" i="46"/>
  <c r="W219" i="46"/>
  <c r="X219" i="46"/>
  <c r="U219" i="46"/>
  <c r="AQ141" i="46"/>
  <c r="AN141" i="46"/>
  <c r="AO141" i="46"/>
  <c r="AP141" i="46"/>
  <c r="AR141" i="46"/>
  <c r="AM141" i="46"/>
  <c r="AE141" i="46"/>
  <c r="AF141" i="46"/>
  <c r="AD141" i="46"/>
  <c r="Z141" i="46"/>
  <c r="AB141" i="46"/>
  <c r="AC141" i="46"/>
  <c r="AA141" i="46"/>
  <c r="AK242" i="46"/>
  <c r="AL242" i="46"/>
  <c r="AJ242" i="46"/>
  <c r="AI242" i="46"/>
  <c r="AH242" i="46"/>
  <c r="AG242" i="46"/>
  <c r="V141" i="46"/>
  <c r="S141" i="46"/>
  <c r="U141" i="46"/>
  <c r="W141" i="46"/>
  <c r="X141" i="46"/>
  <c r="Y141" i="46"/>
  <c r="T141" i="46"/>
  <c r="V242" i="46"/>
  <c r="T242" i="46"/>
  <c r="S242" i="46"/>
  <c r="U242" i="46"/>
  <c r="W242" i="46"/>
  <c r="Y242" i="46"/>
  <c r="X242" i="46"/>
  <c r="AJ141" i="46"/>
  <c r="AL141" i="46"/>
  <c r="AK141" i="46"/>
  <c r="AG141" i="46"/>
  <c r="AI141" i="46"/>
  <c r="AH141" i="46"/>
  <c r="AE20" i="46"/>
  <c r="Z20" i="46"/>
  <c r="AB20" i="46"/>
  <c r="AC20" i="46"/>
  <c r="AD20" i="46"/>
  <c r="AA20" i="46"/>
  <c r="AF20" i="46"/>
  <c r="AF242" i="46"/>
  <c r="AB242" i="46"/>
  <c r="Z242" i="46"/>
  <c r="AA242" i="46"/>
  <c r="AE242" i="46"/>
  <c r="AC242" i="46"/>
  <c r="AD242" i="46"/>
  <c r="AM20" i="46"/>
  <c r="AQ20" i="46"/>
  <c r="AN20" i="46"/>
  <c r="AO20" i="46"/>
  <c r="AR20" i="46"/>
  <c r="AP20" i="46"/>
  <c r="AM242" i="46"/>
  <c r="AN242" i="46"/>
  <c r="AO242" i="46"/>
  <c r="AP242" i="46"/>
  <c r="AQ242" i="46"/>
  <c r="AR242" i="46"/>
  <c r="T271" i="45"/>
  <c r="U271" i="45"/>
  <c r="S271" i="45"/>
  <c r="R271" i="45"/>
  <c r="P271" i="45"/>
  <c r="Q271" i="45"/>
  <c r="O271" i="45"/>
  <c r="N271" i="45"/>
  <c r="M271" i="45"/>
  <c r="AP102" i="46"/>
  <c r="AM102" i="46"/>
  <c r="AQ102" i="46"/>
  <c r="AN102" i="46"/>
  <c r="AR102" i="46"/>
  <c r="AO102" i="46"/>
  <c r="AN186" i="46"/>
  <c r="AP186" i="46"/>
  <c r="AQ186" i="46"/>
  <c r="AR186" i="46"/>
  <c r="AO186" i="46"/>
  <c r="AM186" i="46"/>
  <c r="AF102" i="46"/>
  <c r="AD102" i="46"/>
  <c r="AA102" i="46"/>
  <c r="Z102" i="46"/>
  <c r="AB102" i="46"/>
  <c r="AC102" i="46"/>
  <c r="AE102" i="46"/>
  <c r="AM54" i="46"/>
  <c r="AO54" i="46"/>
  <c r="AR54" i="46"/>
  <c r="AQ54" i="46"/>
  <c r="AN54" i="46"/>
  <c r="AP54" i="46"/>
  <c r="AC186" i="46"/>
  <c r="AD186" i="46"/>
  <c r="AA186" i="46"/>
  <c r="AF186" i="46"/>
  <c r="Z186" i="46"/>
  <c r="AB186" i="46"/>
  <c r="AE186" i="46"/>
  <c r="AF54" i="46"/>
  <c r="AA54" i="46"/>
  <c r="AB54" i="46"/>
  <c r="Z54" i="46"/>
  <c r="AC54" i="46"/>
  <c r="AD54" i="46"/>
  <c r="AE54" i="46"/>
  <c r="X186" i="46"/>
  <c r="T186" i="46"/>
  <c r="U186" i="46"/>
  <c r="V186" i="46"/>
  <c r="Y186" i="46"/>
  <c r="W186" i="46"/>
  <c r="S186" i="46"/>
  <c r="V102" i="46"/>
  <c r="T102" i="46"/>
  <c r="U102" i="46"/>
  <c r="W102" i="46"/>
  <c r="Y102" i="46"/>
  <c r="X102" i="46"/>
  <c r="S102" i="46"/>
  <c r="AL186" i="46"/>
  <c r="AI186" i="46"/>
  <c r="AK186" i="46"/>
  <c r="AG186" i="46"/>
  <c r="AH186" i="46"/>
  <c r="AJ186" i="46"/>
  <c r="AG102" i="46"/>
  <c r="AL102" i="46"/>
  <c r="AH102" i="46"/>
  <c r="AJ102" i="46"/>
  <c r="AK102" i="46"/>
  <c r="AI102" i="46"/>
  <c r="C271" i="46"/>
  <c r="E271" i="46"/>
  <c r="AG54" i="46"/>
  <c r="AI54" i="46"/>
  <c r="AJ54" i="46"/>
  <c r="AH54" i="46"/>
  <c r="AK54" i="46"/>
  <c r="AL54" i="46"/>
  <c r="D271" i="46"/>
  <c r="F271" i="46"/>
  <c r="W54" i="46"/>
  <c r="X54" i="46"/>
  <c r="V54" i="46"/>
  <c r="U54" i="46"/>
  <c r="Y54" i="46"/>
  <c r="S54" i="46"/>
  <c r="T54" i="46"/>
  <c r="AN93" i="46"/>
  <c r="AQ93" i="46"/>
  <c r="AR93" i="46"/>
  <c r="AM93" i="46"/>
  <c r="AP93" i="46"/>
  <c r="AO93" i="46"/>
  <c r="V93" i="46"/>
  <c r="U93" i="46"/>
  <c r="W93" i="46"/>
  <c r="T93" i="46"/>
  <c r="S93" i="46"/>
  <c r="X93" i="46"/>
  <c r="Y93" i="46"/>
  <c r="AD93" i="46"/>
  <c r="AA93" i="46"/>
  <c r="Z93" i="46"/>
  <c r="AC93" i="46"/>
  <c r="AB93" i="46"/>
  <c r="AE93" i="46"/>
  <c r="AF93" i="46"/>
  <c r="AJ93" i="46"/>
  <c r="AG93" i="46"/>
  <c r="AI93" i="46"/>
  <c r="AL93" i="46"/>
  <c r="AK93" i="46"/>
  <c r="AH93" i="46"/>
  <c r="Z169" i="46"/>
  <c r="AD169" i="46"/>
  <c r="AA169" i="46"/>
  <c r="AC169" i="46"/>
  <c r="AF169" i="46"/>
  <c r="AE169" i="46"/>
  <c r="AB169" i="46"/>
  <c r="AO169" i="46"/>
  <c r="AR169" i="46"/>
  <c r="AN169" i="46"/>
  <c r="AP169" i="46"/>
  <c r="AQ169" i="46"/>
  <c r="AM169" i="46"/>
  <c r="AF183" i="46"/>
  <c r="AB183" i="46"/>
  <c r="AE183" i="46"/>
  <c r="AA183" i="46"/>
  <c r="AD183" i="46"/>
  <c r="Z183" i="46"/>
  <c r="AC183" i="46"/>
  <c r="T183" i="46"/>
  <c r="W183" i="46"/>
  <c r="X183" i="46"/>
  <c r="Y183" i="46"/>
  <c r="U183" i="46"/>
  <c r="V183" i="46"/>
  <c r="S183" i="46"/>
  <c r="Y169" i="46"/>
  <c r="S169" i="46"/>
  <c r="V169" i="46"/>
  <c r="W169" i="46"/>
  <c r="U169" i="46"/>
  <c r="X169" i="46"/>
  <c r="T169" i="46"/>
  <c r="AI183" i="46"/>
  <c r="AL183" i="46"/>
  <c r="AK183" i="46"/>
  <c r="AH183" i="46"/>
  <c r="AJ183" i="46"/>
  <c r="AG183" i="46"/>
  <c r="AG169" i="46"/>
  <c r="AL169" i="46"/>
  <c r="AI169" i="46"/>
  <c r="AJ169" i="46"/>
  <c r="AK169" i="46"/>
  <c r="AH169" i="46"/>
  <c r="Q100" i="45"/>
  <c r="N100" i="45"/>
  <c r="P100" i="45"/>
  <c r="O100" i="45"/>
  <c r="M100" i="45"/>
  <c r="AE134" i="46"/>
  <c r="AF134" i="46"/>
  <c r="AD134" i="46"/>
  <c r="AB134" i="46"/>
  <c r="Z134" i="46"/>
  <c r="AC134" i="46"/>
  <c r="AA134" i="46"/>
  <c r="AH137" i="46"/>
  <c r="AL137" i="46"/>
  <c r="AK137" i="46"/>
  <c r="AG137" i="46"/>
  <c r="AI137" i="46"/>
  <c r="AJ137" i="46"/>
  <c r="F201" i="46"/>
  <c r="D201" i="46"/>
  <c r="AR205" i="46"/>
  <c r="AN205" i="46"/>
  <c r="AQ205" i="46"/>
  <c r="AO205" i="46"/>
  <c r="AM205" i="46"/>
  <c r="AP205" i="46"/>
  <c r="T100" i="45"/>
  <c r="U100" i="45"/>
  <c r="R100" i="45"/>
  <c r="S100" i="45"/>
  <c r="X137" i="46"/>
  <c r="S137" i="46"/>
  <c r="V137" i="46"/>
  <c r="Y137" i="46"/>
  <c r="U137" i="46"/>
  <c r="W137" i="46"/>
  <c r="T137" i="46"/>
  <c r="E201" i="46"/>
  <c r="C201" i="46"/>
  <c r="AQ86" i="46"/>
  <c r="AN86" i="46"/>
  <c r="AM86" i="46"/>
  <c r="AO86" i="46"/>
  <c r="AR86" i="46"/>
  <c r="AP86" i="46"/>
  <c r="AC193" i="46"/>
  <c r="AD193" i="46"/>
  <c r="AF193" i="46"/>
  <c r="AB193" i="46"/>
  <c r="Z193" i="46"/>
  <c r="AA193" i="46"/>
  <c r="AE193" i="46"/>
  <c r="AD205" i="46"/>
  <c r="AA205" i="46"/>
  <c r="AC205" i="46"/>
  <c r="Z205" i="46"/>
  <c r="AB205" i="46"/>
  <c r="AF205" i="46"/>
  <c r="AE205" i="46"/>
  <c r="M80" i="45"/>
  <c r="N80" i="45"/>
  <c r="Q80" i="45"/>
  <c r="P80" i="45"/>
  <c r="O80" i="45"/>
  <c r="AL243" i="46"/>
  <c r="AJ243" i="46"/>
  <c r="AI243" i="46"/>
  <c r="AH243" i="46"/>
  <c r="AK243" i="46"/>
  <c r="AG243" i="46"/>
  <c r="AN243" i="46"/>
  <c r="AQ243" i="46"/>
  <c r="AR243" i="46"/>
  <c r="AP243" i="46"/>
  <c r="AO243" i="46"/>
  <c r="AM243" i="46"/>
  <c r="AC86" i="46"/>
  <c r="AA86" i="46"/>
  <c r="Z86" i="46"/>
  <c r="AD86" i="46"/>
  <c r="AF86" i="46"/>
  <c r="AE86" i="46"/>
  <c r="AB86" i="46"/>
  <c r="AP193" i="46"/>
  <c r="AQ193" i="46"/>
  <c r="AN193" i="46"/>
  <c r="AO193" i="46"/>
  <c r="AR193" i="46"/>
  <c r="AM193" i="46"/>
  <c r="F80" i="46"/>
  <c r="D80" i="46"/>
  <c r="T80" i="45"/>
  <c r="R80" i="45"/>
  <c r="S80" i="45"/>
  <c r="U80" i="45"/>
  <c r="T243" i="46"/>
  <c r="U243" i="46"/>
  <c r="S243" i="46"/>
  <c r="Y243" i="46"/>
  <c r="V243" i="46"/>
  <c r="W243" i="46"/>
  <c r="X243" i="46"/>
  <c r="S86" i="46"/>
  <c r="Y86" i="46"/>
  <c r="V86" i="46"/>
  <c r="W86" i="46"/>
  <c r="U86" i="46"/>
  <c r="T86" i="46"/>
  <c r="X86" i="46"/>
  <c r="AE243" i="46"/>
  <c r="AF243" i="46"/>
  <c r="AA243" i="46"/>
  <c r="AB243" i="46"/>
  <c r="AC243" i="46"/>
  <c r="Z243" i="46"/>
  <c r="AD243" i="46"/>
  <c r="F168" i="46"/>
  <c r="D168" i="46"/>
  <c r="P168" i="45"/>
  <c r="O168" i="45"/>
  <c r="M168" i="45"/>
  <c r="Q168" i="45"/>
  <c r="N168" i="45"/>
  <c r="E80" i="46"/>
  <c r="C80" i="46"/>
  <c r="AC272" i="46"/>
  <c r="AF272" i="46"/>
  <c r="Z272" i="46"/>
  <c r="AA272" i="46"/>
  <c r="AE272" i="46"/>
  <c r="AD272" i="46"/>
  <c r="AB272" i="46"/>
  <c r="M201" i="45"/>
  <c r="Q201" i="45"/>
  <c r="N201" i="45"/>
  <c r="P201" i="45"/>
  <c r="O201" i="45"/>
  <c r="AH86" i="46"/>
  <c r="AJ86" i="46"/>
  <c r="AL86" i="46"/>
  <c r="AI86" i="46"/>
  <c r="AG86" i="46"/>
  <c r="AK86" i="46"/>
  <c r="E168" i="46"/>
  <c r="C168" i="46"/>
  <c r="R168" i="45"/>
  <c r="U168" i="45"/>
  <c r="T168" i="45"/>
  <c r="S168" i="45"/>
  <c r="AH193" i="46"/>
  <c r="AI193" i="46"/>
  <c r="AG193" i="46"/>
  <c r="AL193" i="46"/>
  <c r="AJ193" i="46"/>
  <c r="AK193" i="46"/>
  <c r="AR272" i="46"/>
  <c r="AO272" i="46"/>
  <c r="AQ272" i="46"/>
  <c r="AM272" i="46"/>
  <c r="AN272" i="46"/>
  <c r="AP272" i="46"/>
  <c r="T201" i="45"/>
  <c r="S201" i="45"/>
  <c r="R201" i="45"/>
  <c r="U201" i="45"/>
  <c r="U205" i="46"/>
  <c r="V205" i="46"/>
  <c r="S205" i="46"/>
  <c r="T205" i="46"/>
  <c r="X205" i="46"/>
  <c r="W205" i="46"/>
  <c r="Y205" i="46"/>
  <c r="U193" i="46"/>
  <c r="X193" i="46"/>
  <c r="T193" i="46"/>
  <c r="V193" i="46"/>
  <c r="Y193" i="46"/>
  <c r="W193" i="46"/>
  <c r="S193" i="46"/>
  <c r="V134" i="46"/>
  <c r="S134" i="46"/>
  <c r="Y134" i="46"/>
  <c r="U134" i="46"/>
  <c r="W134" i="46"/>
  <c r="X134" i="46"/>
  <c r="T134" i="46"/>
  <c r="Y272" i="46"/>
  <c r="W272" i="46"/>
  <c r="U272" i="46"/>
  <c r="X272" i="46"/>
  <c r="V272" i="46"/>
  <c r="T272" i="46"/>
  <c r="S272" i="46"/>
  <c r="AQ137" i="46"/>
  <c r="AR137" i="46"/>
  <c r="AO137" i="46"/>
  <c r="AN137" i="46"/>
  <c r="AP137" i="46"/>
  <c r="AM137" i="46"/>
  <c r="AL205" i="46"/>
  <c r="AH205" i="46"/>
  <c r="AK205" i="46"/>
  <c r="AI205" i="46"/>
  <c r="AJ205" i="46"/>
  <c r="AG205" i="46"/>
  <c r="E100" i="46"/>
  <c r="C100" i="46"/>
  <c r="AL134" i="46"/>
  <c r="AG134" i="46"/>
  <c r="AJ134" i="46"/>
  <c r="AH134" i="46"/>
  <c r="AI134" i="46"/>
  <c r="AK134" i="46"/>
  <c r="AJ272" i="46"/>
  <c r="AH272" i="46"/>
  <c r="AG272" i="46"/>
  <c r="AK272" i="46"/>
  <c r="AL272" i="46"/>
  <c r="AI272" i="46"/>
  <c r="AC137" i="46"/>
  <c r="Z137" i="46"/>
  <c r="AE137" i="46"/>
  <c r="AD137" i="46"/>
  <c r="AF137" i="46"/>
  <c r="AA137" i="46"/>
  <c r="AB137" i="46"/>
  <c r="F100" i="46"/>
  <c r="D100" i="46"/>
  <c r="AG166" i="46"/>
  <c r="AJ166" i="46"/>
  <c r="AL166" i="46"/>
  <c r="AI166" i="46"/>
  <c r="AH166" i="46"/>
  <c r="AK166" i="46"/>
  <c r="AO166" i="46"/>
  <c r="AM166" i="46"/>
  <c r="AR166" i="46"/>
  <c r="AN166" i="46"/>
  <c r="AQ166" i="46"/>
  <c r="AP166" i="46"/>
  <c r="X166" i="46"/>
  <c r="T166" i="46"/>
  <c r="Y166" i="46"/>
  <c r="W166" i="46"/>
  <c r="V166" i="46"/>
  <c r="S166" i="46"/>
  <c r="U166" i="46"/>
  <c r="AD166" i="46"/>
  <c r="AA166" i="46"/>
  <c r="AB166" i="46"/>
  <c r="AF166" i="46"/>
  <c r="AC166" i="46"/>
  <c r="Z166" i="46"/>
  <c r="AE166" i="46"/>
  <c r="AG85" i="46"/>
  <c r="AJ85" i="46"/>
  <c r="AI85" i="46"/>
  <c r="AH85" i="46"/>
  <c r="AK85" i="46"/>
  <c r="AL85" i="46"/>
  <c r="AP85" i="46"/>
  <c r="AM85" i="46"/>
  <c r="AQ85" i="46"/>
  <c r="AO85" i="46"/>
  <c r="AR85" i="46"/>
  <c r="AN85" i="46"/>
  <c r="AC85" i="46"/>
  <c r="AA85" i="46"/>
  <c r="AB85" i="46"/>
  <c r="Z85" i="46"/>
  <c r="AD85" i="46"/>
  <c r="AF85" i="46"/>
  <c r="AE85" i="46"/>
  <c r="O286" i="45"/>
  <c r="M286" i="45"/>
  <c r="Q286" i="45"/>
  <c r="N286" i="45"/>
  <c r="P286" i="45"/>
  <c r="N123" i="45"/>
  <c r="O123" i="45"/>
  <c r="P123" i="45"/>
  <c r="M123" i="45"/>
  <c r="Q123" i="45"/>
  <c r="P171" i="45"/>
  <c r="N171" i="45"/>
  <c r="O171" i="45"/>
  <c r="M171" i="45"/>
  <c r="Q171" i="45"/>
  <c r="T162" i="45"/>
  <c r="R162" i="45"/>
  <c r="U162" i="45"/>
  <c r="S162" i="45"/>
  <c r="R29" i="45"/>
  <c r="U29" i="45"/>
  <c r="T29" i="45"/>
  <c r="S29" i="45"/>
  <c r="C224" i="46"/>
  <c r="E224" i="46"/>
  <c r="C213" i="46"/>
  <c r="E213" i="46"/>
  <c r="N40" i="45"/>
  <c r="O40" i="45"/>
  <c r="Q40" i="45"/>
  <c r="M40" i="45"/>
  <c r="P40" i="45"/>
  <c r="F173" i="46"/>
  <c r="D173" i="46"/>
  <c r="C35" i="46"/>
  <c r="E35" i="46"/>
  <c r="T110" i="45"/>
  <c r="U110" i="45"/>
  <c r="S110" i="45"/>
  <c r="R110" i="45"/>
  <c r="T44" i="45"/>
  <c r="U44" i="45"/>
  <c r="S44" i="45"/>
  <c r="R44" i="45"/>
  <c r="F276" i="46"/>
  <c r="D276" i="46"/>
  <c r="N112" i="45"/>
  <c r="P112" i="45"/>
  <c r="M112" i="45"/>
  <c r="Q112" i="45"/>
  <c r="O112" i="45"/>
  <c r="O81" i="45"/>
  <c r="M81" i="45"/>
  <c r="P81" i="45"/>
  <c r="N81" i="45"/>
  <c r="Q81" i="45"/>
  <c r="M213" i="45"/>
  <c r="N213" i="45"/>
  <c r="O213" i="45"/>
  <c r="Q213" i="45"/>
  <c r="P213" i="45"/>
  <c r="P223" i="45"/>
  <c r="O223" i="45"/>
  <c r="N223" i="45"/>
  <c r="Q223" i="45"/>
  <c r="M223" i="45"/>
  <c r="F225" i="46"/>
  <c r="D225" i="46"/>
  <c r="E132" i="46"/>
  <c r="C132" i="46"/>
  <c r="C95" i="46"/>
  <c r="E95" i="46"/>
  <c r="F84" i="46"/>
  <c r="D84" i="46"/>
  <c r="F172" i="46"/>
  <c r="D172" i="46"/>
  <c r="C121" i="46"/>
  <c r="E121" i="46"/>
  <c r="F220" i="46"/>
  <c r="D220" i="46"/>
  <c r="U192" i="45"/>
  <c r="S192" i="45"/>
  <c r="R192" i="45"/>
  <c r="T192" i="45"/>
  <c r="M22" i="45"/>
  <c r="O22" i="45"/>
  <c r="N22" i="45"/>
  <c r="P22" i="45"/>
  <c r="Q22" i="45"/>
  <c r="U194" i="45"/>
  <c r="T194" i="45"/>
  <c r="S194" i="45"/>
  <c r="R194" i="45"/>
  <c r="P163" i="45"/>
  <c r="M163" i="45"/>
  <c r="O163" i="45"/>
  <c r="Q163" i="45"/>
  <c r="N163" i="45"/>
  <c r="Q84" i="45"/>
  <c r="P84" i="45"/>
  <c r="M84" i="45"/>
  <c r="N84" i="45"/>
  <c r="O84" i="45"/>
  <c r="U220" i="45"/>
  <c r="T220" i="45"/>
  <c r="R220" i="45"/>
  <c r="S220" i="45"/>
  <c r="M157" i="45"/>
  <c r="O157" i="45"/>
  <c r="N157" i="45"/>
  <c r="Q157" i="45"/>
  <c r="P157" i="45"/>
  <c r="C22" i="46"/>
  <c r="E22" i="46"/>
  <c r="D162" i="46"/>
  <c r="F162" i="46"/>
  <c r="S118" i="45"/>
  <c r="R118" i="45"/>
  <c r="T118" i="45"/>
  <c r="U118" i="45"/>
  <c r="R122" i="45"/>
  <c r="U122" i="45"/>
  <c r="S122" i="45"/>
  <c r="T122" i="45"/>
  <c r="E107" i="46"/>
  <c r="C107" i="46"/>
  <c r="F179" i="46"/>
  <c r="D179" i="46"/>
  <c r="E159" i="46"/>
  <c r="C159" i="46"/>
  <c r="R214" i="45"/>
  <c r="U214" i="45"/>
  <c r="T214" i="45"/>
  <c r="S214" i="45"/>
  <c r="U94" i="45"/>
  <c r="T94" i="45"/>
  <c r="S94" i="45"/>
  <c r="R94" i="45"/>
  <c r="E149" i="46"/>
  <c r="C149" i="46"/>
  <c r="N197" i="45"/>
  <c r="O197" i="45"/>
  <c r="P197" i="45"/>
  <c r="M197" i="45"/>
  <c r="Q197" i="45"/>
  <c r="U126" i="45"/>
  <c r="R126" i="45"/>
  <c r="T126" i="45"/>
  <c r="S126" i="45"/>
  <c r="Q25" i="45"/>
  <c r="P25" i="45"/>
  <c r="O25" i="45"/>
  <c r="N25" i="45"/>
  <c r="M25" i="45"/>
  <c r="E17" i="46"/>
  <c r="C17" i="46"/>
  <c r="E284" i="46"/>
  <c r="C284" i="46"/>
  <c r="Q195" i="45"/>
  <c r="M195" i="45"/>
  <c r="O195" i="45"/>
  <c r="P195" i="45"/>
  <c r="N195" i="45"/>
  <c r="M38" i="45"/>
  <c r="Q38" i="45"/>
  <c r="P38" i="45"/>
  <c r="O38" i="45"/>
  <c r="N38" i="45"/>
  <c r="D215" i="46"/>
  <c r="F215" i="46"/>
  <c r="E15" i="46"/>
  <c r="C15" i="46"/>
  <c r="E181" i="46"/>
  <c r="C181" i="46"/>
  <c r="F180" i="46"/>
  <c r="D180" i="46"/>
  <c r="F211" i="46"/>
  <c r="D211" i="46"/>
  <c r="C126" i="46"/>
  <c r="E126" i="46"/>
  <c r="D202" i="46"/>
  <c r="F202" i="46"/>
  <c r="M284" i="45"/>
  <c r="N284" i="45"/>
  <c r="O284" i="45"/>
  <c r="P284" i="45"/>
  <c r="Q284" i="45"/>
  <c r="E238" i="46"/>
  <c r="C238" i="46"/>
  <c r="F285" i="46"/>
  <c r="D285" i="46"/>
  <c r="R227" i="45"/>
  <c r="S227" i="45"/>
  <c r="U227" i="45"/>
  <c r="T227" i="45"/>
  <c r="E140" i="46"/>
  <c r="C140" i="46"/>
  <c r="P160" i="45"/>
  <c r="M160" i="45"/>
  <c r="N160" i="45"/>
  <c r="O160" i="45"/>
  <c r="Q160" i="45"/>
  <c r="R211" i="45"/>
  <c r="U211" i="45"/>
  <c r="S211" i="45"/>
  <c r="T211" i="45"/>
  <c r="D171" i="46"/>
  <c r="F171" i="46"/>
  <c r="E147" i="46"/>
  <c r="C147" i="46"/>
  <c r="E99" i="46"/>
  <c r="C99" i="46"/>
  <c r="D270" i="46"/>
  <c r="F270" i="46"/>
  <c r="M198" i="45"/>
  <c r="Q198" i="45"/>
  <c r="P198" i="45"/>
  <c r="O198" i="45"/>
  <c r="N198" i="45"/>
  <c r="S209" i="45"/>
  <c r="U209" i="45"/>
  <c r="T209" i="45"/>
  <c r="R209" i="45"/>
  <c r="F161" i="46"/>
  <c r="D161" i="46"/>
  <c r="P153" i="45"/>
  <c r="O153" i="45"/>
  <c r="Q153" i="45"/>
  <c r="M153" i="45"/>
  <c r="N153" i="45"/>
  <c r="F184" i="46"/>
  <c r="D184" i="46"/>
  <c r="S213" i="45"/>
  <c r="R213" i="45"/>
  <c r="T213" i="45"/>
  <c r="U213" i="45"/>
  <c r="R223" i="45"/>
  <c r="T223" i="45"/>
  <c r="U223" i="45"/>
  <c r="S223" i="45"/>
  <c r="E97" i="46"/>
  <c r="C97" i="46"/>
  <c r="C225" i="46"/>
  <c r="E225" i="46"/>
  <c r="F132" i="46"/>
  <c r="D132" i="46"/>
  <c r="D95" i="46"/>
  <c r="F95" i="46"/>
  <c r="E84" i="46"/>
  <c r="C84" i="46"/>
  <c r="E172" i="46"/>
  <c r="C172" i="46"/>
  <c r="F121" i="46"/>
  <c r="D121" i="46"/>
  <c r="E220" i="46"/>
  <c r="C220" i="46"/>
  <c r="Q192" i="45"/>
  <c r="M192" i="45"/>
  <c r="P192" i="45"/>
  <c r="O192" i="45"/>
  <c r="N192" i="45"/>
  <c r="T22" i="45"/>
  <c r="R22" i="45"/>
  <c r="S22" i="45"/>
  <c r="U22" i="45"/>
  <c r="O194" i="45"/>
  <c r="P194" i="45"/>
  <c r="Q194" i="45"/>
  <c r="N194" i="45"/>
  <c r="M194" i="45"/>
  <c r="M150" i="45"/>
  <c r="Q150" i="45"/>
  <c r="O150" i="45"/>
  <c r="P150" i="45"/>
  <c r="N150" i="45"/>
  <c r="S163" i="45"/>
  <c r="U163" i="45"/>
  <c r="R163" i="45"/>
  <c r="T163" i="45"/>
  <c r="U84" i="45"/>
  <c r="T84" i="45"/>
  <c r="S84" i="45"/>
  <c r="R84" i="45"/>
  <c r="D217" i="46"/>
  <c r="F217" i="46"/>
  <c r="U158" i="45"/>
  <c r="R158" i="45"/>
  <c r="S158" i="45"/>
  <c r="T158" i="45"/>
  <c r="E208" i="46"/>
  <c r="C208" i="46"/>
  <c r="C286" i="46"/>
  <c r="E286" i="46"/>
  <c r="O79" i="45"/>
  <c r="N79" i="45"/>
  <c r="M79" i="45"/>
  <c r="Q79" i="45"/>
  <c r="P79" i="45"/>
  <c r="M118" i="45"/>
  <c r="Q118" i="45"/>
  <c r="O118" i="45"/>
  <c r="N118" i="45"/>
  <c r="P118" i="45"/>
  <c r="P122" i="45"/>
  <c r="M122" i="45"/>
  <c r="Q122" i="45"/>
  <c r="O122" i="45"/>
  <c r="N122" i="45"/>
  <c r="P142" i="45"/>
  <c r="M142" i="45"/>
  <c r="Q142" i="45"/>
  <c r="N142" i="45"/>
  <c r="O142" i="45"/>
  <c r="E179" i="46"/>
  <c r="C179" i="46"/>
  <c r="D159" i="46"/>
  <c r="F159" i="46"/>
  <c r="F144" i="46"/>
  <c r="D144" i="46"/>
  <c r="F185" i="46"/>
  <c r="D185" i="46"/>
  <c r="Q180" i="45"/>
  <c r="M180" i="45"/>
  <c r="N180" i="45"/>
  <c r="O180" i="45"/>
  <c r="P180" i="45"/>
  <c r="C199" i="46"/>
  <c r="E199" i="46"/>
  <c r="Q115" i="45"/>
  <c r="M115" i="45"/>
  <c r="O115" i="45"/>
  <c r="N115" i="45"/>
  <c r="P115" i="45"/>
  <c r="F280" i="46"/>
  <c r="D280" i="46"/>
  <c r="Q126" i="45"/>
  <c r="O126" i="45"/>
  <c r="M126" i="45"/>
  <c r="P126" i="45"/>
  <c r="N126" i="45"/>
  <c r="T25" i="45"/>
  <c r="U25" i="45"/>
  <c r="R25" i="45"/>
  <c r="S25" i="45"/>
  <c r="S151" i="45"/>
  <c r="R151" i="45"/>
  <c r="T151" i="45"/>
  <c r="U151" i="45"/>
  <c r="O275" i="45"/>
  <c r="Q275" i="45"/>
  <c r="M275" i="45"/>
  <c r="P275" i="45"/>
  <c r="N275" i="45"/>
  <c r="Q258" i="45"/>
  <c r="P258" i="45"/>
  <c r="M258" i="45"/>
  <c r="N258" i="45"/>
  <c r="O258" i="45"/>
  <c r="P285" i="45"/>
  <c r="N285" i="45"/>
  <c r="M285" i="45"/>
  <c r="Q285" i="45"/>
  <c r="O285" i="45"/>
  <c r="C227" i="46"/>
  <c r="E227" i="46"/>
  <c r="N188" i="45"/>
  <c r="P188" i="45"/>
  <c r="M188" i="45"/>
  <c r="O188" i="45"/>
  <c r="Q188" i="45"/>
  <c r="D181" i="46"/>
  <c r="F181" i="46"/>
  <c r="E180" i="46"/>
  <c r="C180" i="46"/>
  <c r="E211" i="46"/>
  <c r="C211" i="46"/>
  <c r="D126" i="46"/>
  <c r="F126" i="46"/>
  <c r="C202" i="46"/>
  <c r="E202" i="46"/>
  <c r="S284" i="45"/>
  <c r="U284" i="45"/>
  <c r="T284" i="45"/>
  <c r="R284" i="45"/>
  <c r="D238" i="46"/>
  <c r="F238" i="46"/>
  <c r="E285" i="46"/>
  <c r="C285" i="46"/>
  <c r="D140" i="46"/>
  <c r="F140" i="46"/>
  <c r="U160" i="45"/>
  <c r="T160" i="45"/>
  <c r="R160" i="45"/>
  <c r="S160" i="45"/>
  <c r="E171" i="46"/>
  <c r="C171" i="46"/>
  <c r="D147" i="46"/>
  <c r="F147" i="46"/>
  <c r="D99" i="46"/>
  <c r="F99" i="46"/>
  <c r="E270" i="46"/>
  <c r="C270" i="46"/>
  <c r="U113" i="45"/>
  <c r="S113" i="45"/>
  <c r="T113" i="45"/>
  <c r="R113" i="45"/>
  <c r="M127" i="45"/>
  <c r="Q127" i="45"/>
  <c r="P127" i="45"/>
  <c r="O127" i="45"/>
  <c r="N127" i="45"/>
  <c r="C209" i="46"/>
  <c r="E209" i="46"/>
  <c r="T145" i="45"/>
  <c r="U145" i="45"/>
  <c r="S145" i="45"/>
  <c r="R145" i="45"/>
  <c r="R106" i="45"/>
  <c r="S106" i="45"/>
  <c r="T106" i="45"/>
  <c r="U106" i="45"/>
  <c r="Q113" i="45"/>
  <c r="N113" i="45"/>
  <c r="M113" i="45"/>
  <c r="O113" i="45"/>
  <c r="P113" i="45"/>
  <c r="F115" i="46"/>
  <c r="D115" i="46"/>
  <c r="E81" i="46"/>
  <c r="C81" i="46"/>
  <c r="T198" i="45"/>
  <c r="S198" i="45"/>
  <c r="R198" i="45"/>
  <c r="U198" i="45"/>
  <c r="E117" i="46"/>
  <c r="C117" i="46"/>
  <c r="Q96" i="45"/>
  <c r="P96" i="45"/>
  <c r="N96" i="45"/>
  <c r="O96" i="45"/>
  <c r="M96" i="45"/>
  <c r="M237" i="45"/>
  <c r="Q237" i="45"/>
  <c r="N237" i="45"/>
  <c r="P237" i="45"/>
  <c r="O237" i="45"/>
  <c r="P209" i="45"/>
  <c r="O209" i="45"/>
  <c r="Q209" i="45"/>
  <c r="N209" i="45"/>
  <c r="M209" i="45"/>
  <c r="E161" i="46"/>
  <c r="C161" i="46"/>
  <c r="U153" i="45"/>
  <c r="S153" i="45"/>
  <c r="R153" i="45"/>
  <c r="T153" i="45"/>
  <c r="E184" i="46"/>
  <c r="C184" i="46"/>
  <c r="C116" i="46"/>
  <c r="E116" i="46"/>
  <c r="D97" i="46"/>
  <c r="F97" i="46"/>
  <c r="T35" i="45"/>
  <c r="U35" i="45"/>
  <c r="S35" i="45"/>
  <c r="R35" i="45"/>
  <c r="F189" i="46"/>
  <c r="D189" i="46"/>
  <c r="Q152" i="45"/>
  <c r="P152" i="45"/>
  <c r="N152" i="45"/>
  <c r="M152" i="45"/>
  <c r="O152" i="45"/>
  <c r="C112" i="46"/>
  <c r="E112" i="46"/>
  <c r="D196" i="46"/>
  <c r="F196" i="46"/>
  <c r="D158" i="46"/>
  <c r="F158" i="46"/>
  <c r="F157" i="46"/>
  <c r="D157" i="46"/>
  <c r="R150" i="45"/>
  <c r="T150" i="45"/>
  <c r="S150" i="45"/>
  <c r="U150" i="45"/>
  <c r="E122" i="46"/>
  <c r="C122" i="46"/>
  <c r="D142" i="46"/>
  <c r="F142" i="46"/>
  <c r="C226" i="46"/>
  <c r="E226" i="46"/>
  <c r="C217" i="46"/>
  <c r="E217" i="46"/>
  <c r="M158" i="45"/>
  <c r="P158" i="45"/>
  <c r="O158" i="45"/>
  <c r="N158" i="45"/>
  <c r="Q158" i="45"/>
  <c r="D208" i="46"/>
  <c r="F208" i="46"/>
  <c r="D286" i="46"/>
  <c r="F286" i="46"/>
  <c r="R79" i="45"/>
  <c r="S79" i="45"/>
  <c r="U79" i="45"/>
  <c r="T79" i="45"/>
  <c r="P216" i="45"/>
  <c r="N216" i="45"/>
  <c r="O216" i="45"/>
  <c r="Q216" i="45"/>
  <c r="M216" i="45"/>
  <c r="O174" i="45"/>
  <c r="M174" i="45"/>
  <c r="Q174" i="45"/>
  <c r="N174" i="45"/>
  <c r="P174" i="45"/>
  <c r="E236" i="46"/>
  <c r="C236" i="46"/>
  <c r="R87" i="45"/>
  <c r="T87" i="45"/>
  <c r="S87" i="45"/>
  <c r="U87" i="45"/>
  <c r="R142" i="45"/>
  <c r="T142" i="45"/>
  <c r="S142" i="45"/>
  <c r="U142" i="45"/>
  <c r="C163" i="46"/>
  <c r="E163" i="46"/>
  <c r="M215" i="45"/>
  <c r="N215" i="45"/>
  <c r="O215" i="45"/>
  <c r="P215" i="45"/>
  <c r="Q215" i="45"/>
  <c r="P15" i="45"/>
  <c r="O15" i="45"/>
  <c r="N15" i="45"/>
  <c r="Q15" i="45"/>
  <c r="M15" i="45"/>
  <c r="E144" i="46"/>
  <c r="C144" i="46"/>
  <c r="C185" i="46"/>
  <c r="E185" i="46"/>
  <c r="T180" i="45"/>
  <c r="R180" i="45"/>
  <c r="S180" i="45"/>
  <c r="U180" i="45"/>
  <c r="D199" i="46"/>
  <c r="F199" i="46"/>
  <c r="T115" i="45"/>
  <c r="S115" i="45"/>
  <c r="U115" i="45"/>
  <c r="R115" i="45"/>
  <c r="E280" i="46"/>
  <c r="C280" i="46"/>
  <c r="C135" i="46"/>
  <c r="E135" i="46"/>
  <c r="E118" i="46"/>
  <c r="C118" i="46"/>
  <c r="M151" i="45"/>
  <c r="Q151" i="45"/>
  <c r="P151" i="45"/>
  <c r="N151" i="45"/>
  <c r="O151" i="45"/>
  <c r="T275" i="45"/>
  <c r="U275" i="45"/>
  <c r="S275" i="45"/>
  <c r="R275" i="45"/>
  <c r="T258" i="45"/>
  <c r="S258" i="45"/>
  <c r="R258" i="45"/>
  <c r="U258" i="45"/>
  <c r="T285" i="45"/>
  <c r="U285" i="45"/>
  <c r="R285" i="45"/>
  <c r="S285" i="45"/>
  <c r="D227" i="46"/>
  <c r="F227" i="46"/>
  <c r="U188" i="45"/>
  <c r="T188" i="45"/>
  <c r="S188" i="45"/>
  <c r="R188" i="45"/>
  <c r="D160" i="46"/>
  <c r="F160" i="46"/>
  <c r="Q260" i="45"/>
  <c r="O260" i="45"/>
  <c r="P260" i="45"/>
  <c r="M260" i="45"/>
  <c r="N260" i="45"/>
  <c r="T135" i="45"/>
  <c r="U135" i="45"/>
  <c r="R135" i="45"/>
  <c r="S135" i="45"/>
  <c r="R199" i="45"/>
  <c r="T199" i="45"/>
  <c r="S199" i="45"/>
  <c r="U199" i="45"/>
  <c r="Q257" i="45"/>
  <c r="M257" i="45"/>
  <c r="N257" i="45"/>
  <c r="P257" i="45"/>
  <c r="O257" i="45"/>
  <c r="F129" i="46"/>
  <c r="D129" i="46"/>
  <c r="D197" i="46"/>
  <c r="F197" i="46"/>
  <c r="U231" i="45"/>
  <c r="S231" i="45"/>
  <c r="R231" i="45"/>
  <c r="T231" i="45"/>
  <c r="D123" i="46"/>
  <c r="F123" i="46"/>
  <c r="C210" i="46"/>
  <c r="E210" i="46"/>
  <c r="F232" i="46"/>
  <c r="D232" i="46"/>
  <c r="Q162" i="45"/>
  <c r="P162" i="45"/>
  <c r="M162" i="45"/>
  <c r="O162" i="45"/>
  <c r="N162" i="45"/>
  <c r="T96" i="45"/>
  <c r="S96" i="45"/>
  <c r="R96" i="45"/>
  <c r="U96" i="45"/>
  <c r="E237" i="46"/>
  <c r="C237" i="46"/>
  <c r="T127" i="45"/>
  <c r="S127" i="45"/>
  <c r="U127" i="45"/>
  <c r="R127" i="45"/>
  <c r="F209" i="46"/>
  <c r="D209" i="46"/>
  <c r="D182" i="46"/>
  <c r="F182" i="46"/>
  <c r="N210" i="45"/>
  <c r="P210" i="45"/>
  <c r="Q210" i="45"/>
  <c r="O210" i="45"/>
  <c r="M210" i="45"/>
  <c r="F114" i="46"/>
  <c r="D114" i="46"/>
  <c r="O212" i="45"/>
  <c r="P212" i="45"/>
  <c r="Q212" i="45"/>
  <c r="N212" i="45"/>
  <c r="M212" i="45"/>
  <c r="P31" i="45"/>
  <c r="M31" i="45"/>
  <c r="O31" i="45"/>
  <c r="N31" i="45"/>
  <c r="Q31" i="45"/>
  <c r="N280" i="45"/>
  <c r="Q280" i="45"/>
  <c r="O280" i="45"/>
  <c r="P280" i="45"/>
  <c r="M280" i="45"/>
  <c r="F223" i="46"/>
  <c r="D223" i="46"/>
  <c r="N282" i="45"/>
  <c r="P282" i="45"/>
  <c r="O282" i="45"/>
  <c r="M282" i="45"/>
  <c r="Q282" i="45"/>
  <c r="U237" i="45"/>
  <c r="T237" i="45"/>
  <c r="R237" i="45"/>
  <c r="S237" i="45"/>
  <c r="F29" i="46"/>
  <c r="D29" i="46"/>
  <c r="E152" i="46"/>
  <c r="C152" i="46"/>
  <c r="U224" i="45"/>
  <c r="S224" i="45"/>
  <c r="T224" i="45"/>
  <c r="R224" i="45"/>
  <c r="P249" i="45"/>
  <c r="O249" i="45"/>
  <c r="M249" i="45"/>
  <c r="N249" i="45"/>
  <c r="Q249" i="45"/>
  <c r="E69" i="46"/>
  <c r="C69" i="46"/>
  <c r="D116" i="46"/>
  <c r="F116" i="46"/>
  <c r="M140" i="45"/>
  <c r="O140" i="45"/>
  <c r="N140" i="45"/>
  <c r="Q140" i="45"/>
  <c r="P140" i="45"/>
  <c r="O35" i="45"/>
  <c r="M35" i="45"/>
  <c r="N35" i="45"/>
  <c r="Q35" i="45"/>
  <c r="P35" i="45"/>
  <c r="E189" i="46"/>
  <c r="C189" i="46"/>
  <c r="T152" i="45"/>
  <c r="U152" i="45"/>
  <c r="R152" i="45"/>
  <c r="S152" i="45"/>
  <c r="F112" i="46"/>
  <c r="D112" i="46"/>
  <c r="C196" i="46"/>
  <c r="E196" i="46"/>
  <c r="C158" i="46"/>
  <c r="E158" i="46"/>
  <c r="E157" i="46"/>
  <c r="C157" i="46"/>
  <c r="F216" i="46"/>
  <c r="D216" i="46"/>
  <c r="D122" i="46"/>
  <c r="F122" i="46"/>
  <c r="E142" i="46"/>
  <c r="C142" i="46"/>
  <c r="F226" i="46"/>
  <c r="D226" i="46"/>
  <c r="Q196" i="45"/>
  <c r="P196" i="45"/>
  <c r="N196" i="45"/>
  <c r="M196" i="45"/>
  <c r="O196" i="45"/>
  <c r="F33" i="46"/>
  <c r="D33" i="46"/>
  <c r="F127" i="46"/>
  <c r="D127" i="46"/>
  <c r="E257" i="46"/>
  <c r="C257" i="46"/>
  <c r="T114" i="45"/>
  <c r="R114" i="45"/>
  <c r="S114" i="45"/>
  <c r="U114" i="45"/>
  <c r="U216" i="45"/>
  <c r="R216" i="45"/>
  <c r="S216" i="45"/>
  <c r="T216" i="45"/>
  <c r="T174" i="45"/>
  <c r="S174" i="45"/>
  <c r="R174" i="45"/>
  <c r="U174" i="45"/>
  <c r="F236" i="46"/>
  <c r="D236" i="46"/>
  <c r="O87" i="45"/>
  <c r="N87" i="45"/>
  <c r="Q87" i="45"/>
  <c r="M87" i="45"/>
  <c r="P87" i="45"/>
  <c r="F42" i="46"/>
  <c r="D42" i="46"/>
  <c r="D163" i="46"/>
  <c r="F163" i="46"/>
  <c r="R215" i="45"/>
  <c r="S215" i="45"/>
  <c r="T215" i="45"/>
  <c r="U215" i="45"/>
  <c r="U15" i="45"/>
  <c r="T15" i="45"/>
  <c r="S15" i="45"/>
  <c r="R15" i="45"/>
  <c r="E256" i="46"/>
  <c r="C256" i="46"/>
  <c r="Q33" i="45"/>
  <c r="O33" i="45"/>
  <c r="P33" i="45"/>
  <c r="M33" i="45"/>
  <c r="N33" i="45"/>
  <c r="F212" i="46"/>
  <c r="D212" i="46"/>
  <c r="M175" i="45"/>
  <c r="N175" i="45"/>
  <c r="O175" i="45"/>
  <c r="P175" i="45"/>
  <c r="Q175" i="45"/>
  <c r="D135" i="46"/>
  <c r="F135" i="46"/>
  <c r="D118" i="46"/>
  <c r="F118" i="46"/>
  <c r="O177" i="45"/>
  <c r="N177" i="45"/>
  <c r="P177" i="45"/>
  <c r="Q177" i="45"/>
  <c r="M177" i="45"/>
  <c r="C167" i="46"/>
  <c r="E167" i="46"/>
  <c r="N129" i="45"/>
  <c r="O129" i="45"/>
  <c r="P129" i="45"/>
  <c r="Q129" i="45"/>
  <c r="M129" i="45"/>
  <c r="M179" i="45"/>
  <c r="Q179" i="45"/>
  <c r="P179" i="45"/>
  <c r="O179" i="45"/>
  <c r="N179" i="45"/>
  <c r="U289" i="45"/>
  <c r="R289" i="45"/>
  <c r="S289" i="45"/>
  <c r="T289" i="45"/>
  <c r="P144" i="45"/>
  <c r="O144" i="45"/>
  <c r="N144" i="45"/>
  <c r="Q144" i="45"/>
  <c r="M144" i="45"/>
  <c r="C160" i="46"/>
  <c r="E160" i="46"/>
  <c r="S260" i="45"/>
  <c r="U260" i="45"/>
  <c r="R260" i="45"/>
  <c r="T260" i="45"/>
  <c r="Q135" i="45"/>
  <c r="N135" i="45"/>
  <c r="P135" i="45"/>
  <c r="O135" i="45"/>
  <c r="M135" i="45"/>
  <c r="O199" i="45"/>
  <c r="N199" i="45"/>
  <c r="M199" i="45"/>
  <c r="Q199" i="45"/>
  <c r="P199" i="45"/>
  <c r="R257" i="45"/>
  <c r="T257" i="45"/>
  <c r="U257" i="45"/>
  <c r="S257" i="45"/>
  <c r="C129" i="46"/>
  <c r="E129" i="46"/>
  <c r="E206" i="46"/>
  <c r="C206" i="46"/>
  <c r="C197" i="46"/>
  <c r="E197" i="46"/>
  <c r="O231" i="45"/>
  <c r="Q231" i="45"/>
  <c r="P231" i="45"/>
  <c r="M231" i="45"/>
  <c r="N231" i="45"/>
  <c r="E123" i="46"/>
  <c r="C123" i="46"/>
  <c r="F210" i="46"/>
  <c r="D210" i="46"/>
  <c r="E232" i="46"/>
  <c r="C232" i="46"/>
  <c r="M145" i="45"/>
  <c r="O145" i="45"/>
  <c r="N145" i="45"/>
  <c r="P145" i="45"/>
  <c r="Q145" i="45"/>
  <c r="F287" i="46"/>
  <c r="D287" i="46"/>
  <c r="E79" i="46"/>
  <c r="C79" i="46"/>
  <c r="C182" i="46"/>
  <c r="E182" i="46"/>
  <c r="R210" i="45"/>
  <c r="S210" i="45"/>
  <c r="T210" i="45"/>
  <c r="U210" i="45"/>
  <c r="C114" i="46"/>
  <c r="E114" i="46"/>
  <c r="S212" i="45"/>
  <c r="U212" i="45"/>
  <c r="R212" i="45"/>
  <c r="T212" i="45"/>
  <c r="T31" i="45"/>
  <c r="S31" i="45"/>
  <c r="U31" i="45"/>
  <c r="R31" i="45"/>
  <c r="T280" i="45"/>
  <c r="R280" i="45"/>
  <c r="S280" i="45"/>
  <c r="U280" i="45"/>
  <c r="E223" i="46"/>
  <c r="C223" i="46"/>
  <c r="U282" i="45"/>
  <c r="R282" i="45"/>
  <c r="S282" i="45"/>
  <c r="T282" i="45"/>
  <c r="Q43" i="45"/>
  <c r="M43" i="45"/>
  <c r="P43" i="45"/>
  <c r="O43" i="45"/>
  <c r="N43" i="45"/>
  <c r="C29" i="46"/>
  <c r="E29" i="46"/>
  <c r="F152" i="46"/>
  <c r="D152" i="46"/>
  <c r="M224" i="45"/>
  <c r="P224" i="45"/>
  <c r="Q224" i="45"/>
  <c r="N224" i="45"/>
  <c r="O224" i="45"/>
  <c r="S249" i="45"/>
  <c r="R249" i="45"/>
  <c r="T249" i="45"/>
  <c r="U249" i="45"/>
  <c r="F69" i="46"/>
  <c r="D69" i="46"/>
  <c r="S173" i="45"/>
  <c r="T173" i="45"/>
  <c r="R173" i="45"/>
  <c r="U173" i="45"/>
  <c r="S140" i="45"/>
  <c r="T140" i="45"/>
  <c r="R140" i="45"/>
  <c r="U140" i="45"/>
  <c r="C194" i="46"/>
  <c r="E194" i="46"/>
  <c r="C105" i="46"/>
  <c r="E105" i="46"/>
  <c r="C150" i="46"/>
  <c r="E150" i="46"/>
  <c r="M131" i="45"/>
  <c r="Q131" i="45"/>
  <c r="P131" i="45"/>
  <c r="N131" i="45"/>
  <c r="O131" i="45"/>
  <c r="U124" i="45"/>
  <c r="R124" i="45"/>
  <c r="T124" i="45"/>
  <c r="S124" i="45"/>
  <c r="C222" i="46"/>
  <c r="E222" i="46"/>
  <c r="R208" i="45"/>
  <c r="T208" i="45"/>
  <c r="U208" i="45"/>
  <c r="S208" i="45"/>
  <c r="E216" i="46"/>
  <c r="C216" i="46"/>
  <c r="D87" i="46"/>
  <c r="F87" i="46"/>
  <c r="M95" i="45"/>
  <c r="P95" i="45"/>
  <c r="O95" i="45"/>
  <c r="Q95" i="45"/>
  <c r="N95" i="45"/>
  <c r="F290" i="46"/>
  <c r="D290" i="46"/>
  <c r="R196" i="45"/>
  <c r="S196" i="45"/>
  <c r="T196" i="45"/>
  <c r="U196" i="45"/>
  <c r="E239" i="46"/>
  <c r="C239" i="46"/>
  <c r="E33" i="46"/>
  <c r="C33" i="46"/>
  <c r="E127" i="46"/>
  <c r="C127" i="46"/>
  <c r="F257" i="46"/>
  <c r="D257" i="46"/>
  <c r="P114" i="45"/>
  <c r="Q114" i="45"/>
  <c r="O114" i="45"/>
  <c r="M114" i="45"/>
  <c r="N114" i="45"/>
  <c r="D151" i="46"/>
  <c r="F151" i="46"/>
  <c r="E42" i="46"/>
  <c r="C42" i="46"/>
  <c r="R226" i="45"/>
  <c r="T226" i="45"/>
  <c r="U226" i="45"/>
  <c r="S226" i="45"/>
  <c r="R217" i="45"/>
  <c r="U217" i="45"/>
  <c r="S217" i="45"/>
  <c r="T217" i="45"/>
  <c r="D256" i="46"/>
  <c r="F256" i="46"/>
  <c r="U33" i="45"/>
  <c r="S33" i="45"/>
  <c r="R33" i="45"/>
  <c r="T33" i="45"/>
  <c r="E212" i="46"/>
  <c r="C212" i="46"/>
  <c r="R175" i="45"/>
  <c r="U175" i="45"/>
  <c r="S175" i="45"/>
  <c r="T175" i="45"/>
  <c r="F174" i="46"/>
  <c r="D174" i="46"/>
  <c r="S177" i="45"/>
  <c r="T177" i="45"/>
  <c r="R177" i="45"/>
  <c r="U177" i="45"/>
  <c r="F167" i="46"/>
  <c r="D167" i="46"/>
  <c r="U129" i="45"/>
  <c r="S129" i="45"/>
  <c r="R129" i="45"/>
  <c r="T129" i="45"/>
  <c r="S179" i="45"/>
  <c r="U179" i="45"/>
  <c r="T179" i="45"/>
  <c r="R179" i="45"/>
  <c r="Q289" i="45"/>
  <c r="M289" i="45"/>
  <c r="N289" i="45"/>
  <c r="P289" i="45"/>
  <c r="O289" i="45"/>
  <c r="U144" i="45"/>
  <c r="S144" i="45"/>
  <c r="R144" i="45"/>
  <c r="T144" i="45"/>
  <c r="P185" i="45"/>
  <c r="M185" i="45"/>
  <c r="Q185" i="45"/>
  <c r="N185" i="45"/>
  <c r="O185" i="45"/>
  <c r="E231" i="46"/>
  <c r="C231" i="46"/>
  <c r="T182" i="45"/>
  <c r="U182" i="45"/>
  <c r="S182" i="45"/>
  <c r="R182" i="45"/>
  <c r="F198" i="46"/>
  <c r="D198" i="46"/>
  <c r="F178" i="46"/>
  <c r="D178" i="46"/>
  <c r="E275" i="46"/>
  <c r="C275" i="46"/>
  <c r="F195" i="46"/>
  <c r="D195" i="46"/>
  <c r="Q99" i="45"/>
  <c r="M99" i="45"/>
  <c r="P99" i="45"/>
  <c r="N99" i="45"/>
  <c r="O99" i="45"/>
  <c r="R261" i="45"/>
  <c r="U261" i="45"/>
  <c r="T261" i="45"/>
  <c r="S261" i="45"/>
  <c r="D206" i="46"/>
  <c r="F206" i="46"/>
  <c r="N181" i="45"/>
  <c r="Q181" i="45"/>
  <c r="M181" i="45"/>
  <c r="P181" i="45"/>
  <c r="O181" i="45"/>
  <c r="N228" i="45"/>
  <c r="P228" i="45"/>
  <c r="Q228" i="45"/>
  <c r="O228" i="45"/>
  <c r="M228" i="45"/>
  <c r="Q178" i="45"/>
  <c r="O178" i="45"/>
  <c r="M178" i="45"/>
  <c r="P178" i="45"/>
  <c r="N178" i="45"/>
  <c r="O204" i="45"/>
  <c r="N204" i="45"/>
  <c r="Q204" i="45"/>
  <c r="P204" i="45"/>
  <c r="M204" i="45"/>
  <c r="Q106" i="45"/>
  <c r="P106" i="45"/>
  <c r="O106" i="45"/>
  <c r="M106" i="45"/>
  <c r="N106" i="45"/>
  <c r="F117" i="46"/>
  <c r="D117" i="46"/>
  <c r="F237" i="46"/>
  <c r="D237" i="46"/>
  <c r="F233" i="46"/>
  <c r="D233" i="46"/>
  <c r="E287" i="46"/>
  <c r="C287" i="46"/>
  <c r="D79" i="46"/>
  <c r="F79" i="46"/>
  <c r="R161" i="45"/>
  <c r="S161" i="45"/>
  <c r="U161" i="45"/>
  <c r="T161" i="45"/>
  <c r="F153" i="46"/>
  <c r="D153" i="46"/>
  <c r="N232" i="45"/>
  <c r="O232" i="45"/>
  <c r="M232" i="45"/>
  <c r="Q232" i="45"/>
  <c r="P232" i="45"/>
  <c r="F249" i="46"/>
  <c r="D249" i="46"/>
  <c r="O218" i="45"/>
  <c r="N218" i="45"/>
  <c r="M218" i="45"/>
  <c r="Q218" i="45"/>
  <c r="P218" i="45"/>
  <c r="N26" i="45"/>
  <c r="M26" i="45"/>
  <c r="O26" i="45"/>
  <c r="P26" i="45"/>
  <c r="Q26" i="45"/>
  <c r="Q277" i="45"/>
  <c r="O277" i="45"/>
  <c r="M277" i="45"/>
  <c r="N277" i="45"/>
  <c r="P277" i="45"/>
  <c r="T116" i="45"/>
  <c r="S116" i="45"/>
  <c r="U116" i="45"/>
  <c r="R116" i="45"/>
  <c r="E26" i="46"/>
  <c r="C26" i="46"/>
  <c r="D39" i="46"/>
  <c r="F39" i="46"/>
  <c r="S43" i="45"/>
  <c r="T43" i="45"/>
  <c r="U43" i="45"/>
  <c r="R43" i="45"/>
  <c r="N287" i="45"/>
  <c r="O287" i="45"/>
  <c r="M287" i="45"/>
  <c r="Q287" i="45"/>
  <c r="P287" i="45"/>
  <c r="F131" i="46"/>
  <c r="D131" i="46"/>
  <c r="F124" i="46"/>
  <c r="D124" i="46"/>
  <c r="O172" i="45"/>
  <c r="M172" i="45"/>
  <c r="P172" i="45"/>
  <c r="Q172" i="45"/>
  <c r="N172" i="45"/>
  <c r="F192" i="46"/>
  <c r="D192" i="46"/>
  <c r="P173" i="45"/>
  <c r="O173" i="45"/>
  <c r="M173" i="45"/>
  <c r="Q173" i="45"/>
  <c r="N173" i="45"/>
  <c r="D194" i="46"/>
  <c r="F194" i="46"/>
  <c r="D105" i="46"/>
  <c r="F105" i="46"/>
  <c r="D150" i="46"/>
  <c r="F150" i="46"/>
  <c r="T131" i="45"/>
  <c r="R131" i="45"/>
  <c r="U131" i="45"/>
  <c r="S131" i="45"/>
  <c r="P124" i="45"/>
  <c r="Q124" i="45"/>
  <c r="M124" i="45"/>
  <c r="N124" i="45"/>
  <c r="O124" i="45"/>
  <c r="F222" i="46"/>
  <c r="D222" i="46"/>
  <c r="Q208" i="45"/>
  <c r="O208" i="45"/>
  <c r="N208" i="45"/>
  <c r="P208" i="45"/>
  <c r="M208" i="45"/>
  <c r="R225" i="45"/>
  <c r="U225" i="45"/>
  <c r="S225" i="45"/>
  <c r="T225" i="45"/>
  <c r="T189" i="45"/>
  <c r="S189" i="45"/>
  <c r="U189" i="45"/>
  <c r="R189" i="45"/>
  <c r="E87" i="46"/>
  <c r="C87" i="46"/>
  <c r="R95" i="45"/>
  <c r="U95" i="45"/>
  <c r="T95" i="45"/>
  <c r="S95" i="45"/>
  <c r="E290" i="46"/>
  <c r="C290" i="46"/>
  <c r="D214" i="46"/>
  <c r="F214" i="46"/>
  <c r="F94" i="46"/>
  <c r="D94" i="46"/>
  <c r="Q164" i="45"/>
  <c r="M164" i="45"/>
  <c r="P164" i="45"/>
  <c r="O164" i="45"/>
  <c r="N164" i="45"/>
  <c r="T202" i="45"/>
  <c r="R202" i="45"/>
  <c r="U202" i="45"/>
  <c r="S202" i="45"/>
  <c r="F145" i="46"/>
  <c r="D145" i="46"/>
  <c r="E151" i="46"/>
  <c r="C151" i="46"/>
  <c r="C258" i="46"/>
  <c r="E258" i="46"/>
  <c r="Q226" i="45"/>
  <c r="O226" i="45"/>
  <c r="N226" i="45"/>
  <c r="M226" i="45"/>
  <c r="P226" i="45"/>
  <c r="Q217" i="45"/>
  <c r="N217" i="45"/>
  <c r="M217" i="45"/>
  <c r="P217" i="45"/>
  <c r="O217" i="45"/>
  <c r="C188" i="46"/>
  <c r="E188" i="46"/>
  <c r="N239" i="45"/>
  <c r="O239" i="45"/>
  <c r="Q239" i="45"/>
  <c r="M239" i="45"/>
  <c r="P239" i="45"/>
  <c r="D260" i="46"/>
  <c r="F260" i="46"/>
  <c r="F31" i="46"/>
  <c r="D31" i="46"/>
  <c r="F96" i="46"/>
  <c r="D96" i="46"/>
  <c r="C174" i="46"/>
  <c r="E174" i="46"/>
  <c r="Q236" i="45"/>
  <c r="P236" i="45"/>
  <c r="O236" i="45"/>
  <c r="N236" i="45"/>
  <c r="M236" i="45"/>
  <c r="F111" i="46"/>
  <c r="D111" i="46"/>
  <c r="Q238" i="45"/>
  <c r="N238" i="45"/>
  <c r="P238" i="45"/>
  <c r="O238" i="45"/>
  <c r="M238" i="45"/>
  <c r="M107" i="45"/>
  <c r="Q107" i="45"/>
  <c r="O107" i="45"/>
  <c r="N107" i="45"/>
  <c r="P107" i="45"/>
  <c r="F261" i="46"/>
  <c r="D261" i="46"/>
  <c r="R206" i="45"/>
  <c r="S206" i="45"/>
  <c r="T206" i="45"/>
  <c r="U206" i="45"/>
  <c r="S159" i="45"/>
  <c r="T159" i="45"/>
  <c r="R159" i="45"/>
  <c r="U159" i="45"/>
  <c r="R185" i="45"/>
  <c r="U185" i="45"/>
  <c r="T185" i="45"/>
  <c r="S185" i="45"/>
  <c r="D231" i="46"/>
  <c r="F231" i="46"/>
  <c r="N182" i="45"/>
  <c r="O182" i="45"/>
  <c r="P182" i="45"/>
  <c r="Q182" i="45"/>
  <c r="M182" i="45"/>
  <c r="E198" i="46"/>
  <c r="C198" i="46"/>
  <c r="E178" i="46"/>
  <c r="C178" i="46"/>
  <c r="F275" i="46"/>
  <c r="D275" i="46"/>
  <c r="E195" i="46"/>
  <c r="C195" i="46"/>
  <c r="U99" i="45"/>
  <c r="S99" i="45"/>
  <c r="R99" i="45"/>
  <c r="T99" i="45"/>
  <c r="O261" i="45"/>
  <c r="P261" i="45"/>
  <c r="N261" i="45"/>
  <c r="M261" i="45"/>
  <c r="Q261" i="45"/>
  <c r="S97" i="45"/>
  <c r="T97" i="45"/>
  <c r="R97" i="45"/>
  <c r="U97" i="45"/>
  <c r="R181" i="45"/>
  <c r="T181" i="45"/>
  <c r="U181" i="45"/>
  <c r="S181" i="45"/>
  <c r="U228" i="45"/>
  <c r="T228" i="45"/>
  <c r="S228" i="45"/>
  <c r="R228" i="45"/>
  <c r="T178" i="45"/>
  <c r="R178" i="45"/>
  <c r="S178" i="45"/>
  <c r="U178" i="45"/>
  <c r="R204" i="45"/>
  <c r="T204" i="45"/>
  <c r="S204" i="45"/>
  <c r="U204" i="45"/>
  <c r="T123" i="45"/>
  <c r="S123" i="45"/>
  <c r="R123" i="45"/>
  <c r="U123" i="45"/>
  <c r="C115" i="46"/>
  <c r="E115" i="46"/>
  <c r="C233" i="46"/>
  <c r="E233" i="46"/>
  <c r="F110" i="46"/>
  <c r="D110" i="46"/>
  <c r="P147" i="45"/>
  <c r="N147" i="45"/>
  <c r="M147" i="45"/>
  <c r="Q147" i="45"/>
  <c r="O147" i="45"/>
  <c r="N161" i="45"/>
  <c r="O161" i="45"/>
  <c r="M161" i="45"/>
  <c r="P161" i="45"/>
  <c r="Q161" i="45"/>
  <c r="E153" i="46"/>
  <c r="C153" i="46"/>
  <c r="T232" i="45"/>
  <c r="S232" i="45"/>
  <c r="R232" i="45"/>
  <c r="U232" i="45"/>
  <c r="E249" i="46"/>
  <c r="C249" i="46"/>
  <c r="U218" i="45"/>
  <c r="S218" i="45"/>
  <c r="R218" i="45"/>
  <c r="T218" i="45"/>
  <c r="U26" i="45"/>
  <c r="R26" i="45"/>
  <c r="T26" i="45"/>
  <c r="S26" i="45"/>
  <c r="T277" i="45"/>
  <c r="S277" i="45"/>
  <c r="U277" i="45"/>
  <c r="R277" i="45"/>
  <c r="Q116" i="45"/>
  <c r="P116" i="45"/>
  <c r="N116" i="45"/>
  <c r="M116" i="45"/>
  <c r="O116" i="45"/>
  <c r="F26" i="46"/>
  <c r="D26" i="46"/>
  <c r="E39" i="46"/>
  <c r="C39" i="46"/>
  <c r="O132" i="45"/>
  <c r="M132" i="45"/>
  <c r="Q132" i="45"/>
  <c r="N132" i="45"/>
  <c r="P132" i="45"/>
  <c r="U287" i="45"/>
  <c r="T287" i="45"/>
  <c r="R287" i="45"/>
  <c r="S287" i="45"/>
  <c r="E131" i="46"/>
  <c r="C131" i="46"/>
  <c r="E124" i="46"/>
  <c r="C124" i="46"/>
  <c r="S172" i="45"/>
  <c r="R172" i="45"/>
  <c r="T172" i="45"/>
  <c r="U172" i="45"/>
  <c r="D218" i="46"/>
  <c r="F218" i="46"/>
  <c r="E192" i="46"/>
  <c r="C192" i="46"/>
  <c r="N117" i="45"/>
  <c r="M117" i="45"/>
  <c r="O117" i="45"/>
  <c r="Q117" i="45"/>
  <c r="P117" i="45"/>
  <c r="F282" i="46"/>
  <c r="D282" i="46"/>
  <c r="N39" i="45"/>
  <c r="M39" i="45"/>
  <c r="Q39" i="45"/>
  <c r="P39" i="45"/>
  <c r="O39" i="45"/>
  <c r="E43" i="46"/>
  <c r="C43" i="46"/>
  <c r="F44" i="46"/>
  <c r="D44" i="46"/>
  <c r="Q276" i="45"/>
  <c r="P276" i="45"/>
  <c r="O276" i="45"/>
  <c r="M276" i="45"/>
  <c r="N276" i="45"/>
  <c r="R184" i="45"/>
  <c r="U184" i="45"/>
  <c r="T184" i="45"/>
  <c r="S184" i="45"/>
  <c r="O69" i="45"/>
  <c r="Q69" i="45"/>
  <c r="N69" i="45"/>
  <c r="M69" i="45"/>
  <c r="P69" i="45"/>
  <c r="D164" i="46"/>
  <c r="F164" i="46"/>
  <c r="Q225" i="45"/>
  <c r="N225" i="45"/>
  <c r="P225" i="45"/>
  <c r="O225" i="45"/>
  <c r="M225" i="45"/>
  <c r="T105" i="45"/>
  <c r="R105" i="45"/>
  <c r="U105" i="45"/>
  <c r="S105" i="45"/>
  <c r="N42" i="45"/>
  <c r="Q42" i="45"/>
  <c r="O42" i="45"/>
  <c r="M42" i="45"/>
  <c r="P42" i="45"/>
  <c r="M222" i="45"/>
  <c r="Q222" i="45"/>
  <c r="P222" i="45"/>
  <c r="O222" i="45"/>
  <c r="N222" i="45"/>
  <c r="E214" i="46"/>
  <c r="C214" i="46"/>
  <c r="N121" i="45"/>
  <c r="Q121" i="45"/>
  <c r="M121" i="45"/>
  <c r="O121" i="45"/>
  <c r="P121" i="45"/>
  <c r="E94" i="46"/>
  <c r="C94" i="46"/>
  <c r="R164" i="45"/>
  <c r="U164" i="45"/>
  <c r="S164" i="45"/>
  <c r="T164" i="45"/>
  <c r="Q202" i="45"/>
  <c r="N202" i="45"/>
  <c r="O202" i="45"/>
  <c r="P202" i="45"/>
  <c r="M202" i="45"/>
  <c r="E145" i="46"/>
  <c r="C145" i="46"/>
  <c r="C40" i="46"/>
  <c r="E40" i="46"/>
  <c r="F25" i="46"/>
  <c r="D25" i="46"/>
  <c r="F177" i="46"/>
  <c r="D177" i="46"/>
  <c r="F258" i="46"/>
  <c r="D258" i="46"/>
  <c r="P290" i="45"/>
  <c r="N290" i="45"/>
  <c r="M290" i="45"/>
  <c r="O290" i="45"/>
  <c r="Q290" i="45"/>
  <c r="F289" i="46"/>
  <c r="D289" i="46"/>
  <c r="D188" i="46"/>
  <c r="F188" i="46"/>
  <c r="S239" i="45"/>
  <c r="T239" i="45"/>
  <c r="R239" i="45"/>
  <c r="U239" i="45"/>
  <c r="E260" i="46"/>
  <c r="C260" i="46"/>
  <c r="E31" i="46"/>
  <c r="C31" i="46"/>
  <c r="E96" i="46"/>
  <c r="C96" i="46"/>
  <c r="S236" i="45"/>
  <c r="R236" i="45"/>
  <c r="T236" i="45"/>
  <c r="U236" i="45"/>
  <c r="E111" i="46"/>
  <c r="C111" i="46"/>
  <c r="T238" i="45"/>
  <c r="S238" i="45"/>
  <c r="U238" i="45"/>
  <c r="R238" i="45"/>
  <c r="S107" i="45"/>
  <c r="T107" i="45"/>
  <c r="U107" i="45"/>
  <c r="R107" i="45"/>
  <c r="E261" i="46"/>
  <c r="C261" i="46"/>
  <c r="P206" i="45"/>
  <c r="M206" i="45"/>
  <c r="Q206" i="45"/>
  <c r="N206" i="45"/>
  <c r="O206" i="45"/>
  <c r="P159" i="45"/>
  <c r="Q159" i="45"/>
  <c r="O159" i="45"/>
  <c r="M159" i="45"/>
  <c r="N159" i="45"/>
  <c r="S256" i="45"/>
  <c r="R256" i="45"/>
  <c r="U256" i="45"/>
  <c r="T256" i="45"/>
  <c r="F228" i="46"/>
  <c r="D228" i="46"/>
  <c r="E106" i="46"/>
  <c r="C106" i="46"/>
  <c r="T221" i="45"/>
  <c r="R221" i="45"/>
  <c r="S221" i="45"/>
  <c r="U221" i="45"/>
  <c r="O149" i="45"/>
  <c r="M149" i="45"/>
  <c r="Q149" i="45"/>
  <c r="N149" i="45"/>
  <c r="P149" i="45"/>
  <c r="M17" i="45"/>
  <c r="N17" i="45"/>
  <c r="O17" i="45"/>
  <c r="Q17" i="45"/>
  <c r="P17" i="45"/>
  <c r="P111" i="45"/>
  <c r="Q111" i="45"/>
  <c r="O111" i="45"/>
  <c r="M111" i="45"/>
  <c r="N111" i="45"/>
  <c r="R167" i="45"/>
  <c r="U167" i="45"/>
  <c r="T167" i="45"/>
  <c r="S167" i="45"/>
  <c r="D204" i="46"/>
  <c r="F204" i="46"/>
  <c r="D38" i="46"/>
  <c r="F38" i="46"/>
  <c r="M97" i="45"/>
  <c r="O97" i="45"/>
  <c r="P97" i="45"/>
  <c r="Q97" i="45"/>
  <c r="N97" i="45"/>
  <c r="D175" i="46"/>
  <c r="F175" i="46"/>
  <c r="Q270" i="45"/>
  <c r="M270" i="45"/>
  <c r="P270" i="45"/>
  <c r="O270" i="45"/>
  <c r="N270" i="45"/>
  <c r="S233" i="45"/>
  <c r="R233" i="45"/>
  <c r="T233" i="45"/>
  <c r="U233" i="45"/>
  <c r="D113" i="46"/>
  <c r="F113" i="46"/>
  <c r="F277" i="46"/>
  <c r="D277" i="46"/>
  <c r="M29" i="45"/>
  <c r="P29" i="45"/>
  <c r="Q29" i="45"/>
  <c r="O29" i="45"/>
  <c r="N29" i="45"/>
  <c r="F81" i="46"/>
  <c r="D81" i="46"/>
  <c r="S286" i="45"/>
  <c r="T286" i="45"/>
  <c r="U286" i="45"/>
  <c r="R286" i="45"/>
  <c r="U171" i="45"/>
  <c r="R171" i="45"/>
  <c r="T171" i="45"/>
  <c r="S171" i="45"/>
  <c r="E110" i="46"/>
  <c r="C110" i="46"/>
  <c r="S147" i="45"/>
  <c r="R147" i="45"/>
  <c r="T147" i="45"/>
  <c r="U147" i="45"/>
  <c r="F224" i="46"/>
  <c r="D224" i="46"/>
  <c r="F213" i="46"/>
  <c r="D213" i="46"/>
  <c r="T40" i="45"/>
  <c r="R40" i="45"/>
  <c r="U40" i="45"/>
  <c r="S40" i="45"/>
  <c r="E173" i="46"/>
  <c r="C173" i="46"/>
  <c r="D35" i="46"/>
  <c r="F35" i="46"/>
  <c r="R132" i="45"/>
  <c r="S132" i="45"/>
  <c r="U132" i="45"/>
  <c r="T132" i="45"/>
  <c r="P110" i="45"/>
  <c r="M110" i="45"/>
  <c r="O110" i="45"/>
  <c r="Q110" i="45"/>
  <c r="N110" i="45"/>
  <c r="N44" i="45"/>
  <c r="Q44" i="45"/>
  <c r="M44" i="45"/>
  <c r="O44" i="45"/>
  <c r="P44" i="45"/>
  <c r="E276" i="46"/>
  <c r="C276" i="46"/>
  <c r="T112" i="45"/>
  <c r="S112" i="45"/>
  <c r="R112" i="45"/>
  <c r="U112" i="45"/>
  <c r="R81" i="45"/>
  <c r="T81" i="45"/>
  <c r="U81" i="45"/>
  <c r="S81" i="45"/>
  <c r="C218" i="46"/>
  <c r="E218" i="46"/>
  <c r="U117" i="45"/>
  <c r="S117" i="45"/>
  <c r="R117" i="45"/>
  <c r="T117" i="45"/>
  <c r="E282" i="46"/>
  <c r="C282" i="46"/>
  <c r="S39" i="45"/>
  <c r="U39" i="45"/>
  <c r="T39" i="45"/>
  <c r="R39" i="45"/>
  <c r="F43" i="46"/>
  <c r="D43" i="46"/>
  <c r="E44" i="46"/>
  <c r="C44" i="46"/>
  <c r="S276" i="45"/>
  <c r="U276" i="45"/>
  <c r="R276" i="45"/>
  <c r="T276" i="45"/>
  <c r="M184" i="45"/>
  <c r="N184" i="45"/>
  <c r="O184" i="45"/>
  <c r="Q184" i="45"/>
  <c r="P184" i="45"/>
  <c r="S69" i="45"/>
  <c r="T69" i="45"/>
  <c r="R69" i="45"/>
  <c r="U69" i="45"/>
  <c r="C164" i="46"/>
  <c r="E164" i="46"/>
  <c r="P105" i="45"/>
  <c r="O105" i="45"/>
  <c r="N105" i="45"/>
  <c r="Q105" i="45"/>
  <c r="M105" i="45"/>
  <c r="U42" i="45"/>
  <c r="S42" i="45"/>
  <c r="R42" i="45"/>
  <c r="T42" i="45"/>
  <c r="R222" i="45"/>
  <c r="T222" i="45"/>
  <c r="U222" i="45"/>
  <c r="S222" i="45"/>
  <c r="U121" i="45"/>
  <c r="R121" i="45"/>
  <c r="T121" i="45"/>
  <c r="S121" i="45"/>
  <c r="O220" i="45"/>
  <c r="M220" i="45"/>
  <c r="P220" i="45"/>
  <c r="Q220" i="45"/>
  <c r="N220" i="45"/>
  <c r="T157" i="45"/>
  <c r="U157" i="45"/>
  <c r="R157" i="45"/>
  <c r="S157" i="45"/>
  <c r="F22" i="46"/>
  <c r="D22" i="46"/>
  <c r="C162" i="46"/>
  <c r="E162" i="46"/>
  <c r="D40" i="46"/>
  <c r="F40" i="46"/>
  <c r="E25" i="46"/>
  <c r="C25" i="46"/>
  <c r="E177" i="46"/>
  <c r="C177" i="46"/>
  <c r="F107" i="46"/>
  <c r="D107" i="46"/>
  <c r="T290" i="45"/>
  <c r="S290" i="45"/>
  <c r="U290" i="45"/>
  <c r="R290" i="45"/>
  <c r="E289" i="46"/>
  <c r="C289" i="46"/>
  <c r="Q214" i="45"/>
  <c r="O214" i="45"/>
  <c r="M214" i="45"/>
  <c r="P214" i="45"/>
  <c r="N214" i="45"/>
  <c r="O94" i="45"/>
  <c r="N94" i="45"/>
  <c r="Q94" i="45"/>
  <c r="P94" i="45"/>
  <c r="M94" i="45"/>
  <c r="D149" i="46"/>
  <c r="F149" i="46"/>
  <c r="R197" i="45"/>
  <c r="S197" i="45"/>
  <c r="T197" i="45"/>
  <c r="U197" i="45"/>
  <c r="C221" i="46"/>
  <c r="E221" i="46"/>
  <c r="F17" i="46"/>
  <c r="D17" i="46"/>
  <c r="F284" i="46"/>
  <c r="D284" i="46"/>
  <c r="U195" i="45"/>
  <c r="T195" i="45"/>
  <c r="S195" i="45"/>
  <c r="R195" i="45"/>
  <c r="T38" i="45"/>
  <c r="U38" i="45"/>
  <c r="S38" i="45"/>
  <c r="R38" i="45"/>
  <c r="C215" i="46"/>
  <c r="E215" i="46"/>
  <c r="F15" i="46"/>
  <c r="D15" i="46"/>
  <c r="P256" i="45"/>
  <c r="Q256" i="45"/>
  <c r="O256" i="45"/>
  <c r="N256" i="45"/>
  <c r="M256" i="45"/>
  <c r="E228" i="46"/>
  <c r="C228" i="46"/>
  <c r="D106" i="46"/>
  <c r="F106" i="46"/>
  <c r="U149" i="45"/>
  <c r="S149" i="45"/>
  <c r="T149" i="45"/>
  <c r="R149" i="45"/>
  <c r="U17" i="45"/>
  <c r="T17" i="45"/>
  <c r="R17" i="45"/>
  <c r="S17" i="45"/>
  <c r="R111" i="45"/>
  <c r="S111" i="45"/>
  <c r="U111" i="45"/>
  <c r="T111" i="45"/>
  <c r="O167" i="45"/>
  <c r="M167" i="45"/>
  <c r="Q167" i="45"/>
  <c r="P167" i="45"/>
  <c r="N167" i="45"/>
  <c r="E204" i="46"/>
  <c r="C204" i="46"/>
  <c r="C38" i="46"/>
  <c r="E38" i="46"/>
  <c r="P227" i="45"/>
  <c r="M227" i="45"/>
  <c r="N227" i="45"/>
  <c r="O227" i="45"/>
  <c r="Q227" i="45"/>
  <c r="E175" i="46"/>
  <c r="C175" i="46"/>
  <c r="T270" i="45"/>
  <c r="U270" i="45"/>
  <c r="S270" i="45"/>
  <c r="R270" i="45"/>
  <c r="N211" i="45"/>
  <c r="P211" i="45"/>
  <c r="O211" i="45"/>
  <c r="M211" i="45"/>
  <c r="Q211" i="45"/>
  <c r="Q233" i="45"/>
  <c r="M233" i="45"/>
  <c r="O233" i="45"/>
  <c r="P233" i="45"/>
  <c r="N233" i="45"/>
  <c r="C113" i="46"/>
  <c r="E113" i="46"/>
  <c r="E277" i="46"/>
  <c r="C277" i="46"/>
  <c r="AJ165" i="46" l="1"/>
  <c r="AH165" i="46"/>
  <c r="AL165" i="46"/>
  <c r="AG165" i="46"/>
  <c r="AK165" i="46"/>
  <c r="AR244" i="46"/>
  <c r="P6" i="45"/>
  <c r="O6" i="45"/>
  <c r="Q6" i="45"/>
  <c r="F6" i="46"/>
  <c r="AO6" i="46" s="1"/>
  <c r="K37" i="28"/>
  <c r="H37" i="45"/>
  <c r="D6" i="45"/>
  <c r="S6" i="45" s="1"/>
  <c r="T37" i="87"/>
  <c r="R37" i="87"/>
  <c r="X37" i="87"/>
  <c r="S37" i="87"/>
  <c r="V37" i="87"/>
  <c r="U37" i="87"/>
  <c r="W37" i="87"/>
  <c r="N6" i="45"/>
  <c r="AQ244" i="46"/>
  <c r="AM244" i="46"/>
  <c r="AP244" i="46"/>
  <c r="AN244" i="46"/>
  <c r="W85" i="46"/>
  <c r="V85" i="46"/>
  <c r="T85" i="46"/>
  <c r="S85" i="46"/>
  <c r="X85" i="46"/>
  <c r="Y85" i="46"/>
  <c r="X5" i="87"/>
  <c r="W5" i="87"/>
  <c r="V5" i="87"/>
  <c r="U5" i="87"/>
  <c r="T5" i="87"/>
  <c r="S5" i="87"/>
  <c r="R5" i="87"/>
  <c r="AQ134" i="46"/>
  <c r="K5" i="28"/>
  <c r="H5" i="45"/>
  <c r="AN134" i="46"/>
  <c r="AO134" i="46"/>
  <c r="AP134" i="46"/>
  <c r="AM134" i="46"/>
  <c r="AP183" i="46"/>
  <c r="AQ183" i="46"/>
  <c r="O221" i="45"/>
  <c r="AN183" i="46"/>
  <c r="Q221" i="45"/>
  <c r="AM183" i="46"/>
  <c r="M221" i="45"/>
  <c r="AO183" i="46"/>
  <c r="N221" i="45"/>
  <c r="O189" i="45"/>
  <c r="T103" i="46"/>
  <c r="W103" i="46"/>
  <c r="X103" i="46"/>
  <c r="F239" i="46"/>
  <c r="AN239" i="46" s="1"/>
  <c r="M189" i="45"/>
  <c r="N189" i="45"/>
  <c r="P189" i="45"/>
  <c r="U103" i="46"/>
  <c r="AE6" i="46"/>
  <c r="AD6" i="46"/>
  <c r="AB6" i="46"/>
  <c r="AC6" i="46"/>
  <c r="Z6" i="46"/>
  <c r="AA6" i="46"/>
  <c r="AF6" i="46"/>
  <c r="W6" i="46"/>
  <c r="V6" i="46"/>
  <c r="U6" i="46"/>
  <c r="T6" i="46"/>
  <c r="Y6" i="46"/>
  <c r="X6" i="46"/>
  <c r="S6" i="46"/>
  <c r="AH6" i="46"/>
  <c r="AK6" i="46"/>
  <c r="AL6" i="46"/>
  <c r="AI6" i="46"/>
  <c r="AG6" i="46"/>
  <c r="AJ6" i="46"/>
  <c r="S103" i="46"/>
  <c r="F221" i="46"/>
  <c r="AQ221" i="46" s="1"/>
  <c r="Y103" i="46"/>
  <c r="S143" i="46"/>
  <c r="Y143" i="46"/>
  <c r="X143" i="46"/>
  <c r="U143" i="46"/>
  <c r="W143" i="46"/>
  <c r="T143" i="46"/>
  <c r="X70" i="46"/>
  <c r="A159" i="52"/>
  <c r="A159" i="51"/>
  <c r="A159" i="33"/>
  <c r="A159" i="39"/>
  <c r="A159" i="50"/>
  <c r="A159" i="23"/>
  <c r="A159" i="26"/>
  <c r="A159" i="6"/>
  <c r="A159" i="28"/>
  <c r="A159" i="21"/>
  <c r="A159" i="7"/>
  <c r="A159" i="25"/>
  <c r="A159" i="54"/>
  <c r="A159" i="15"/>
  <c r="U283" i="46"/>
  <c r="V283" i="46"/>
  <c r="T283" i="46"/>
  <c r="Y283" i="46"/>
  <c r="S283" i="46"/>
  <c r="X283" i="46"/>
  <c r="W283" i="46"/>
  <c r="AH283" i="46"/>
  <c r="AI283" i="46"/>
  <c r="AG283" i="46"/>
  <c r="AJ283" i="46"/>
  <c r="AL283" i="46"/>
  <c r="AK283" i="46"/>
  <c r="AF283" i="46"/>
  <c r="AE283" i="46"/>
  <c r="AB283" i="46"/>
  <c r="AA283" i="46"/>
  <c r="Z283" i="46"/>
  <c r="AD283" i="46"/>
  <c r="AC283" i="46"/>
  <c r="AR283" i="46"/>
  <c r="AM283" i="46"/>
  <c r="AN283" i="46"/>
  <c r="AO283" i="46"/>
  <c r="AQ283" i="46"/>
  <c r="AP283" i="46"/>
  <c r="Y70" i="46"/>
  <c r="S70" i="46"/>
  <c r="T70" i="46"/>
  <c r="V70" i="46"/>
  <c r="U70" i="46"/>
  <c r="K23" i="28"/>
  <c r="L23" i="28" s="1"/>
  <c r="K23" i="46" s="1"/>
  <c r="T32" i="45"/>
  <c r="S32" i="45"/>
  <c r="R32" i="45"/>
  <c r="U32" i="45"/>
  <c r="F235" i="46"/>
  <c r="D235" i="46"/>
  <c r="P32" i="45"/>
  <c r="Q32" i="45"/>
  <c r="N32" i="45"/>
  <c r="M32" i="45"/>
  <c r="O32" i="45"/>
  <c r="C235" i="46"/>
  <c r="E235" i="46"/>
  <c r="N109" i="45"/>
  <c r="M109" i="45"/>
  <c r="P109" i="45"/>
  <c r="O109" i="45"/>
  <c r="Q109" i="45"/>
  <c r="F41" i="46"/>
  <c r="D41" i="46"/>
  <c r="C128" i="46"/>
  <c r="E128" i="46"/>
  <c r="V55" i="46"/>
  <c r="W55" i="46"/>
  <c r="X55" i="46"/>
  <c r="Y55" i="46"/>
  <c r="U55" i="46"/>
  <c r="S55" i="46"/>
  <c r="T55" i="46"/>
  <c r="F109" i="46"/>
  <c r="D109" i="46"/>
  <c r="U109" i="45"/>
  <c r="R109" i="45"/>
  <c r="T109" i="45"/>
  <c r="S109" i="45"/>
  <c r="E41" i="46"/>
  <c r="C41" i="46"/>
  <c r="S41" i="45"/>
  <c r="U41" i="45"/>
  <c r="T41" i="45"/>
  <c r="R41" i="45"/>
  <c r="D128" i="46"/>
  <c r="F128" i="46"/>
  <c r="AL55" i="46"/>
  <c r="AK55" i="46"/>
  <c r="AJ55" i="46"/>
  <c r="AG55" i="46"/>
  <c r="AH55" i="46"/>
  <c r="AI55" i="46"/>
  <c r="C109" i="46"/>
  <c r="E109" i="46"/>
  <c r="Z55" i="46"/>
  <c r="AC55" i="46"/>
  <c r="AA55" i="46"/>
  <c r="AF55" i="46"/>
  <c r="AD55" i="46"/>
  <c r="AE55" i="46"/>
  <c r="AB55" i="46"/>
  <c r="F45" i="46"/>
  <c r="D45" i="46"/>
  <c r="M41" i="45"/>
  <c r="P41" i="45"/>
  <c r="Q41" i="45"/>
  <c r="N41" i="45"/>
  <c r="O41" i="45"/>
  <c r="U128" i="45"/>
  <c r="T128" i="45"/>
  <c r="S128" i="45"/>
  <c r="R128" i="45"/>
  <c r="N27" i="45"/>
  <c r="P27" i="45"/>
  <c r="Q27" i="45"/>
  <c r="M27" i="45"/>
  <c r="O27" i="45"/>
  <c r="E82" i="46"/>
  <c r="C82" i="46"/>
  <c r="C139" i="46"/>
  <c r="E139" i="46"/>
  <c r="AR55" i="46"/>
  <c r="AN55" i="46"/>
  <c r="AP55" i="46"/>
  <c r="AO55" i="46"/>
  <c r="AQ55" i="46"/>
  <c r="AM55" i="46"/>
  <c r="E45" i="46"/>
  <c r="C45" i="46"/>
  <c r="N45" i="45"/>
  <c r="P45" i="45"/>
  <c r="O45" i="45"/>
  <c r="Q45" i="45"/>
  <c r="M45" i="45"/>
  <c r="N128" i="45"/>
  <c r="P128" i="45"/>
  <c r="O128" i="45"/>
  <c r="Q128" i="45"/>
  <c r="M128" i="45"/>
  <c r="R27" i="45"/>
  <c r="U27" i="45"/>
  <c r="T27" i="45"/>
  <c r="S27" i="45"/>
  <c r="F82" i="46"/>
  <c r="D82" i="46"/>
  <c r="D139" i="46"/>
  <c r="F139" i="46"/>
  <c r="O139" i="45"/>
  <c r="N139" i="45"/>
  <c r="M139" i="45"/>
  <c r="Q139" i="45"/>
  <c r="P139" i="45"/>
  <c r="R45" i="45"/>
  <c r="U45" i="45"/>
  <c r="S45" i="45"/>
  <c r="T45" i="45"/>
  <c r="E27" i="46"/>
  <c r="C27" i="46"/>
  <c r="R235" i="45"/>
  <c r="S235" i="45"/>
  <c r="T235" i="45"/>
  <c r="U235" i="45"/>
  <c r="O82" i="45"/>
  <c r="P82" i="45"/>
  <c r="M82" i="45"/>
  <c r="Q82" i="45"/>
  <c r="N82" i="45"/>
  <c r="D32" i="46"/>
  <c r="F32" i="46"/>
  <c r="R139" i="45"/>
  <c r="U139" i="45"/>
  <c r="T139" i="45"/>
  <c r="S139" i="45"/>
  <c r="D27" i="46"/>
  <c r="F27" i="46"/>
  <c r="M235" i="45"/>
  <c r="N235" i="45"/>
  <c r="O235" i="45"/>
  <c r="P235" i="45"/>
  <c r="Q235" i="45"/>
  <c r="R82" i="45"/>
  <c r="U82" i="45"/>
  <c r="S82" i="45"/>
  <c r="T82" i="45"/>
  <c r="E32" i="46"/>
  <c r="C32" i="46"/>
  <c r="Y24" i="46"/>
  <c r="S24" i="46"/>
  <c r="U24" i="46"/>
  <c r="W24" i="46"/>
  <c r="V24" i="46"/>
  <c r="X24" i="46"/>
  <c r="T24" i="46"/>
  <c r="AN24" i="46"/>
  <c r="AM24" i="46"/>
  <c r="AR24" i="46"/>
  <c r="AO24" i="46"/>
  <c r="AP24" i="46"/>
  <c r="AQ24" i="46"/>
  <c r="Q64" i="45"/>
  <c r="M64" i="45"/>
  <c r="O64" i="45"/>
  <c r="N64" i="45"/>
  <c r="P64" i="45"/>
  <c r="U64" i="45"/>
  <c r="R64" i="45"/>
  <c r="S64" i="45"/>
  <c r="T64" i="45"/>
  <c r="P65" i="45"/>
  <c r="O65" i="45"/>
  <c r="M65" i="45"/>
  <c r="Q65" i="45"/>
  <c r="N65" i="45"/>
  <c r="D65" i="46"/>
  <c r="F65" i="46"/>
  <c r="F83" i="46"/>
  <c r="D83" i="46"/>
  <c r="AG28" i="46"/>
  <c r="AH28" i="46"/>
  <c r="AL28" i="46"/>
  <c r="AJ28" i="46"/>
  <c r="AK28" i="46"/>
  <c r="AI28" i="46"/>
  <c r="R65" i="45"/>
  <c r="T65" i="45"/>
  <c r="U65" i="45"/>
  <c r="S65" i="45"/>
  <c r="C65" i="46"/>
  <c r="E65" i="46"/>
  <c r="P83" i="45"/>
  <c r="O83" i="45"/>
  <c r="N83" i="45"/>
  <c r="Q83" i="45"/>
  <c r="M83" i="45"/>
  <c r="E83" i="46"/>
  <c r="C83" i="46"/>
  <c r="AQ28" i="46"/>
  <c r="AP28" i="46"/>
  <c r="AR28" i="46"/>
  <c r="AO28" i="46"/>
  <c r="AN28" i="46"/>
  <c r="AM28" i="46"/>
  <c r="Y28" i="46"/>
  <c r="U28" i="46"/>
  <c r="T28" i="46"/>
  <c r="W28" i="46"/>
  <c r="X28" i="46"/>
  <c r="S28" i="46"/>
  <c r="V28" i="46"/>
  <c r="S83" i="45"/>
  <c r="R83" i="45"/>
  <c r="T83" i="45"/>
  <c r="U83" i="45"/>
  <c r="AK24" i="46"/>
  <c r="AI24" i="46"/>
  <c r="AJ24" i="46"/>
  <c r="AH24" i="46"/>
  <c r="AL24" i="46"/>
  <c r="AG24" i="46"/>
  <c r="D64" i="46"/>
  <c r="F64" i="46"/>
  <c r="Z28" i="46"/>
  <c r="AF28" i="46"/>
  <c r="AE28" i="46"/>
  <c r="AB28" i="46"/>
  <c r="AD28" i="46"/>
  <c r="AA28" i="46"/>
  <c r="AC28" i="46"/>
  <c r="AB24" i="46"/>
  <c r="AF24" i="46"/>
  <c r="Z24" i="46"/>
  <c r="AA24" i="46"/>
  <c r="AD24" i="46"/>
  <c r="AE24" i="46"/>
  <c r="AC24" i="46"/>
  <c r="E64" i="46"/>
  <c r="C64" i="46"/>
  <c r="D156" i="45"/>
  <c r="C156" i="45"/>
  <c r="M156" i="28"/>
  <c r="N156" i="46" s="1"/>
  <c r="L156" i="28"/>
  <c r="K156" i="46" s="1"/>
  <c r="W148" i="46"/>
  <c r="X148" i="46"/>
  <c r="Y148" i="46"/>
  <c r="S148" i="46"/>
  <c r="T148" i="46"/>
  <c r="U148" i="46"/>
  <c r="V148" i="46"/>
  <c r="AL148" i="46"/>
  <c r="AH148" i="46"/>
  <c r="AG148" i="46"/>
  <c r="AI148" i="46"/>
  <c r="AK148" i="46"/>
  <c r="AJ148" i="46"/>
  <c r="AB148" i="46"/>
  <c r="AC148" i="46"/>
  <c r="AD148" i="46"/>
  <c r="AE148" i="46"/>
  <c r="AF148" i="46"/>
  <c r="Z148" i="46"/>
  <c r="AA148" i="46"/>
  <c r="AF92" i="46"/>
  <c r="AB92" i="46"/>
  <c r="Z92" i="46"/>
  <c r="AD92" i="46"/>
  <c r="AE92" i="46"/>
  <c r="AA92" i="46"/>
  <c r="AC92" i="46"/>
  <c r="AN148" i="46"/>
  <c r="AO148" i="46"/>
  <c r="AP148" i="46"/>
  <c r="AQ148" i="46"/>
  <c r="AR148" i="46"/>
  <c r="AM148" i="46"/>
  <c r="AI92" i="46"/>
  <c r="AH92" i="46"/>
  <c r="AG92" i="46"/>
  <c r="AK92" i="46"/>
  <c r="AL92" i="46"/>
  <c r="AJ92" i="46"/>
  <c r="AP92" i="46"/>
  <c r="AN92" i="46"/>
  <c r="AO92" i="46"/>
  <c r="AM92" i="46"/>
  <c r="AR92" i="46"/>
  <c r="AQ92" i="46"/>
  <c r="U92" i="46"/>
  <c r="T92" i="46"/>
  <c r="W92" i="46"/>
  <c r="Y92" i="46"/>
  <c r="X92" i="46"/>
  <c r="V92" i="46"/>
  <c r="S92" i="46"/>
  <c r="L18" i="28"/>
  <c r="K18" i="46" s="1"/>
  <c r="M18" i="28"/>
  <c r="N18" i="46" s="1"/>
  <c r="AK207" i="46"/>
  <c r="AJ207" i="46"/>
  <c r="AH207" i="46"/>
  <c r="AG207" i="46"/>
  <c r="AL207" i="46"/>
  <c r="AI207" i="46"/>
  <c r="AH203" i="46"/>
  <c r="AL203" i="46"/>
  <c r="AJ203" i="46"/>
  <c r="AK203" i="46"/>
  <c r="AI203" i="46"/>
  <c r="AG203" i="46"/>
  <c r="AF207" i="46"/>
  <c r="AB207" i="46"/>
  <c r="AC207" i="46"/>
  <c r="AE207" i="46"/>
  <c r="AD207" i="46"/>
  <c r="AA207" i="46"/>
  <c r="Z207" i="46"/>
  <c r="W68" i="46"/>
  <c r="U68" i="46"/>
  <c r="Y68" i="46"/>
  <c r="V68" i="46"/>
  <c r="S68" i="46"/>
  <c r="X68" i="46"/>
  <c r="T68" i="46"/>
  <c r="O154" i="45"/>
  <c r="N154" i="45"/>
  <c r="M154" i="45"/>
  <c r="P154" i="45"/>
  <c r="Q154" i="45"/>
  <c r="AA11" i="46"/>
  <c r="AD11" i="46"/>
  <c r="AB11" i="46"/>
  <c r="AC11" i="46"/>
  <c r="AE11" i="46"/>
  <c r="AF11" i="46"/>
  <c r="Z11" i="46"/>
  <c r="W207" i="46"/>
  <c r="T207" i="46"/>
  <c r="V207" i="46"/>
  <c r="X207" i="46"/>
  <c r="Y207" i="46"/>
  <c r="S207" i="46"/>
  <c r="U207" i="46"/>
  <c r="AM68" i="46"/>
  <c r="AQ68" i="46"/>
  <c r="AP68" i="46"/>
  <c r="AR68" i="46"/>
  <c r="AO68" i="46"/>
  <c r="AN68" i="46"/>
  <c r="AL68" i="46"/>
  <c r="AG68" i="46"/>
  <c r="AK68" i="46"/>
  <c r="AH68" i="46"/>
  <c r="AJ68" i="46"/>
  <c r="AI68" i="46"/>
  <c r="S154" i="45"/>
  <c r="U154" i="45"/>
  <c r="R154" i="45"/>
  <c r="T154" i="45"/>
  <c r="AM11" i="46"/>
  <c r="AQ11" i="46"/>
  <c r="AR11" i="46"/>
  <c r="AP11" i="46"/>
  <c r="AN11" i="46"/>
  <c r="AO11" i="46"/>
  <c r="Z68" i="46"/>
  <c r="AE68" i="46"/>
  <c r="AD68" i="46"/>
  <c r="AF68" i="46"/>
  <c r="AB68" i="46"/>
  <c r="AC68" i="46"/>
  <c r="AA68" i="46"/>
  <c r="E154" i="46"/>
  <c r="C154" i="46"/>
  <c r="Y176" i="46"/>
  <c r="U176" i="46"/>
  <c r="X176" i="46"/>
  <c r="T176" i="46"/>
  <c r="S176" i="46"/>
  <c r="W176" i="46"/>
  <c r="V176" i="46"/>
  <c r="F154" i="46"/>
  <c r="D154" i="46"/>
  <c r="M30" i="28"/>
  <c r="N30" i="46" s="1"/>
  <c r="L30" i="28"/>
  <c r="K30" i="46" s="1"/>
  <c r="D263" i="45"/>
  <c r="C263" i="45"/>
  <c r="AL176" i="46"/>
  <c r="AH176" i="46"/>
  <c r="AG176" i="46"/>
  <c r="AJ176" i="46"/>
  <c r="AI176" i="46"/>
  <c r="AK176" i="46"/>
  <c r="C30" i="45"/>
  <c r="D30" i="45"/>
  <c r="L263" i="28"/>
  <c r="K263" i="46" s="1"/>
  <c r="M263" i="28"/>
  <c r="N263" i="46" s="1"/>
  <c r="L170" i="28"/>
  <c r="K170" i="46" s="1"/>
  <c r="M170" i="28"/>
  <c r="N170" i="46" s="1"/>
  <c r="AB47" i="46"/>
  <c r="AA47" i="46"/>
  <c r="Z47" i="46"/>
  <c r="AD47" i="46"/>
  <c r="AC47" i="46"/>
  <c r="AF47" i="46"/>
  <c r="AE47" i="46"/>
  <c r="AM203" i="46"/>
  <c r="AN203" i="46"/>
  <c r="AQ203" i="46"/>
  <c r="AR203" i="46"/>
  <c r="AP203" i="46"/>
  <c r="AO203" i="46"/>
  <c r="Y11" i="46"/>
  <c r="U11" i="46"/>
  <c r="W11" i="46"/>
  <c r="S11" i="46"/>
  <c r="X11" i="46"/>
  <c r="V11" i="46"/>
  <c r="T11" i="46"/>
  <c r="AF176" i="46"/>
  <c r="AE176" i="46"/>
  <c r="AD176" i="46"/>
  <c r="AA176" i="46"/>
  <c r="AB176" i="46"/>
  <c r="Z176" i="46"/>
  <c r="AC176" i="46"/>
  <c r="D170" i="45"/>
  <c r="C170" i="45"/>
  <c r="U47" i="46"/>
  <c r="W47" i="46"/>
  <c r="T47" i="46"/>
  <c r="S47" i="46"/>
  <c r="X47" i="46"/>
  <c r="Y47" i="46"/>
  <c r="V47" i="46"/>
  <c r="AO47" i="46"/>
  <c r="AQ47" i="46"/>
  <c r="AP47" i="46"/>
  <c r="AN47" i="46"/>
  <c r="AM47" i="46"/>
  <c r="AR47" i="46"/>
  <c r="Z203" i="46"/>
  <c r="AC203" i="46"/>
  <c r="AB203" i="46"/>
  <c r="AA203" i="46"/>
  <c r="AF203" i="46"/>
  <c r="AE203" i="46"/>
  <c r="AD203" i="46"/>
  <c r="AH11" i="46"/>
  <c r="AK11" i="46"/>
  <c r="AJ11" i="46"/>
  <c r="AL11" i="46"/>
  <c r="AI11" i="46"/>
  <c r="AG11" i="46"/>
  <c r="AO176" i="46"/>
  <c r="AP176" i="46"/>
  <c r="AQ176" i="46"/>
  <c r="AN176" i="46"/>
  <c r="AM176" i="46"/>
  <c r="AR176" i="46"/>
  <c r="D18" i="45"/>
  <c r="C18" i="45"/>
  <c r="AH47" i="46"/>
  <c r="AG47" i="46"/>
  <c r="AK47" i="46"/>
  <c r="AL47" i="46"/>
  <c r="AJ47" i="46"/>
  <c r="AI47" i="46"/>
  <c r="U203" i="46"/>
  <c r="W203" i="46"/>
  <c r="S203" i="46"/>
  <c r="X203" i="46"/>
  <c r="V203" i="46"/>
  <c r="T203" i="46"/>
  <c r="Y203" i="46"/>
  <c r="AN207" i="46"/>
  <c r="AR207" i="46"/>
  <c r="AP207" i="46"/>
  <c r="AM207" i="46"/>
  <c r="AQ207" i="46"/>
  <c r="AO207" i="46"/>
  <c r="C23" i="45"/>
  <c r="D23" i="45"/>
  <c r="S251" i="46"/>
  <c r="Y251" i="46"/>
  <c r="X251" i="46"/>
  <c r="T251" i="46"/>
  <c r="V251" i="46"/>
  <c r="W251" i="46"/>
  <c r="U251" i="46"/>
  <c r="AK251" i="46"/>
  <c r="AI251" i="46"/>
  <c r="AL251" i="46"/>
  <c r="AH251" i="46"/>
  <c r="AG251" i="46"/>
  <c r="AJ251" i="46"/>
  <c r="AE251" i="46"/>
  <c r="AA251" i="46"/>
  <c r="AD251" i="46"/>
  <c r="AC251" i="46"/>
  <c r="Z251" i="46"/>
  <c r="AB251" i="46"/>
  <c r="AF251" i="46"/>
  <c r="AR251" i="46"/>
  <c r="AQ251" i="46"/>
  <c r="AO251" i="46"/>
  <c r="AP251" i="46"/>
  <c r="AM251" i="46"/>
  <c r="AN251" i="46"/>
  <c r="AJ271" i="46"/>
  <c r="AH271" i="46"/>
  <c r="AK271" i="46"/>
  <c r="AG271" i="46"/>
  <c r="AI271" i="46"/>
  <c r="AL271" i="46"/>
  <c r="S271" i="46"/>
  <c r="W271" i="46"/>
  <c r="U271" i="46"/>
  <c r="X271" i="46"/>
  <c r="T271" i="46"/>
  <c r="Y271" i="46"/>
  <c r="V271" i="46"/>
  <c r="AP271" i="46"/>
  <c r="AN271" i="46"/>
  <c r="AM271" i="46"/>
  <c r="AO271" i="46"/>
  <c r="AQ271" i="46"/>
  <c r="AR271" i="46"/>
  <c r="AC271" i="46"/>
  <c r="Z271" i="46"/>
  <c r="AD271" i="46"/>
  <c r="AF271" i="46"/>
  <c r="AA271" i="46"/>
  <c r="AE271" i="46"/>
  <c r="AB271" i="46"/>
  <c r="AR80" i="46"/>
  <c r="AN80" i="46"/>
  <c r="AO80" i="46"/>
  <c r="AM80" i="46"/>
  <c r="AP80" i="46"/>
  <c r="AQ80" i="46"/>
  <c r="X168" i="46"/>
  <c r="S168" i="46"/>
  <c r="U168" i="46"/>
  <c r="W168" i="46"/>
  <c r="V168" i="46"/>
  <c r="T168" i="46"/>
  <c r="Y168" i="46"/>
  <c r="AK168" i="46"/>
  <c r="AG168" i="46"/>
  <c r="AJ168" i="46"/>
  <c r="AI168" i="46"/>
  <c r="AH168" i="46"/>
  <c r="AL168" i="46"/>
  <c r="U100" i="46"/>
  <c r="X100" i="46"/>
  <c r="S100" i="46"/>
  <c r="T100" i="46"/>
  <c r="V100" i="46"/>
  <c r="Y100" i="46"/>
  <c r="W100" i="46"/>
  <c r="S201" i="46"/>
  <c r="Y201" i="46"/>
  <c r="U201" i="46"/>
  <c r="T201" i="46"/>
  <c r="V201" i="46"/>
  <c r="W201" i="46"/>
  <c r="X201" i="46"/>
  <c r="AG100" i="46"/>
  <c r="AL100" i="46"/>
  <c r="AH100" i="46"/>
  <c r="AJ100" i="46"/>
  <c r="AK100" i="46"/>
  <c r="AI100" i="46"/>
  <c r="Z168" i="46"/>
  <c r="AE168" i="46"/>
  <c r="AC168" i="46"/>
  <c r="AD168" i="46"/>
  <c r="AF168" i="46"/>
  <c r="AA168" i="46"/>
  <c r="AB168" i="46"/>
  <c r="AG201" i="46"/>
  <c r="AJ201" i="46"/>
  <c r="AL201" i="46"/>
  <c r="AK201" i="46"/>
  <c r="AH201" i="46"/>
  <c r="AI201" i="46"/>
  <c r="AF201" i="46"/>
  <c r="AC201" i="46"/>
  <c r="AA201" i="46"/>
  <c r="Z201" i="46"/>
  <c r="AE201" i="46"/>
  <c r="AB201" i="46"/>
  <c r="AD201" i="46"/>
  <c r="X80" i="46"/>
  <c r="U80" i="46"/>
  <c r="V80" i="46"/>
  <c r="S80" i="46"/>
  <c r="T80" i="46"/>
  <c r="W80" i="46"/>
  <c r="Y80" i="46"/>
  <c r="AR168" i="46"/>
  <c r="AP168" i="46"/>
  <c r="AQ168" i="46"/>
  <c r="AN168" i="46"/>
  <c r="AM168" i="46"/>
  <c r="AO168" i="46"/>
  <c r="AM201" i="46"/>
  <c r="AR201" i="46"/>
  <c r="AN201" i="46"/>
  <c r="AQ201" i="46"/>
  <c r="AO201" i="46"/>
  <c r="AP201" i="46"/>
  <c r="AF100" i="46"/>
  <c r="AE100" i="46"/>
  <c r="AA100" i="46"/>
  <c r="AC100" i="46"/>
  <c r="Z100" i="46"/>
  <c r="AD100" i="46"/>
  <c r="AB100" i="46"/>
  <c r="AG80" i="46"/>
  <c r="AL80" i="46"/>
  <c r="AI80" i="46"/>
  <c r="AJ80" i="46"/>
  <c r="AK80" i="46"/>
  <c r="AH80" i="46"/>
  <c r="AP100" i="46"/>
  <c r="AQ100" i="46"/>
  <c r="AR100" i="46"/>
  <c r="AM100" i="46"/>
  <c r="AN100" i="46"/>
  <c r="AO100" i="46"/>
  <c r="AD80" i="46"/>
  <c r="AC80" i="46"/>
  <c r="AF80" i="46"/>
  <c r="AB80" i="46"/>
  <c r="Z80" i="46"/>
  <c r="AE80" i="46"/>
  <c r="AA80" i="46"/>
  <c r="AD284" i="46"/>
  <c r="AF284" i="46"/>
  <c r="AE284" i="46"/>
  <c r="AB284" i="46"/>
  <c r="Z284" i="46"/>
  <c r="AC284" i="46"/>
  <c r="AA284" i="46"/>
  <c r="AR40" i="46"/>
  <c r="AO40" i="46"/>
  <c r="AQ40" i="46"/>
  <c r="AP40" i="46"/>
  <c r="AN40" i="46"/>
  <c r="AM40" i="46"/>
  <c r="X218" i="46"/>
  <c r="T218" i="46"/>
  <c r="V218" i="46"/>
  <c r="Y218" i="46"/>
  <c r="S218" i="46"/>
  <c r="W218" i="46"/>
  <c r="U218" i="46"/>
  <c r="AB213" i="46"/>
  <c r="AA213" i="46"/>
  <c r="Z213" i="46"/>
  <c r="AC213" i="46"/>
  <c r="AE213" i="46"/>
  <c r="AD213" i="46"/>
  <c r="AF213" i="46"/>
  <c r="Z224" i="46"/>
  <c r="AD224" i="46"/>
  <c r="AF224" i="46"/>
  <c r="AE224" i="46"/>
  <c r="AB224" i="46"/>
  <c r="AC224" i="46"/>
  <c r="AA224" i="46"/>
  <c r="Z113" i="46"/>
  <c r="AD113" i="46"/>
  <c r="AC113" i="46"/>
  <c r="AE113" i="46"/>
  <c r="AB113" i="46"/>
  <c r="AA113" i="46"/>
  <c r="AF113" i="46"/>
  <c r="AO228" i="46"/>
  <c r="AM228" i="46"/>
  <c r="AR228" i="46"/>
  <c r="AQ228" i="46"/>
  <c r="AN228" i="46"/>
  <c r="AP228" i="46"/>
  <c r="AG261" i="46"/>
  <c r="AK261" i="46"/>
  <c r="AL261" i="46"/>
  <c r="AJ261" i="46"/>
  <c r="AI261" i="46"/>
  <c r="AH261" i="46"/>
  <c r="AA221" i="46"/>
  <c r="Z221" i="46"/>
  <c r="AF221" i="46"/>
  <c r="AE221" i="46"/>
  <c r="AD221" i="46"/>
  <c r="AC221" i="46"/>
  <c r="AB221" i="46"/>
  <c r="AE25" i="46"/>
  <c r="AA25" i="46"/>
  <c r="AB25" i="46"/>
  <c r="AF25" i="46"/>
  <c r="Z25" i="46"/>
  <c r="AC25" i="46"/>
  <c r="AD25" i="46"/>
  <c r="X214" i="46"/>
  <c r="T214" i="46"/>
  <c r="U214" i="46"/>
  <c r="V214" i="46"/>
  <c r="Y214" i="46"/>
  <c r="W214" i="46"/>
  <c r="S214" i="46"/>
  <c r="AG43" i="46"/>
  <c r="AL43" i="46"/>
  <c r="AI43" i="46"/>
  <c r="AK43" i="46"/>
  <c r="AJ43" i="46"/>
  <c r="AH43" i="46"/>
  <c r="Y124" i="46"/>
  <c r="S124" i="46"/>
  <c r="W124" i="46"/>
  <c r="U124" i="46"/>
  <c r="X124" i="46"/>
  <c r="V124" i="46"/>
  <c r="T124" i="46"/>
  <c r="AQ26" i="46"/>
  <c r="AP26" i="46"/>
  <c r="AR26" i="46"/>
  <c r="AN26" i="46"/>
  <c r="AM26" i="46"/>
  <c r="AO26" i="46"/>
  <c r="W153" i="46"/>
  <c r="U153" i="46"/>
  <c r="T153" i="46"/>
  <c r="Y153" i="46"/>
  <c r="S153" i="46"/>
  <c r="X153" i="46"/>
  <c r="V153" i="46"/>
  <c r="AE31" i="46"/>
  <c r="AD31" i="46"/>
  <c r="AC31" i="46"/>
  <c r="Z31" i="46"/>
  <c r="AA31" i="46"/>
  <c r="AF31" i="46"/>
  <c r="AB31" i="46"/>
  <c r="AI151" i="46"/>
  <c r="AH151" i="46"/>
  <c r="AJ151" i="46"/>
  <c r="AL151" i="46"/>
  <c r="AK151" i="46"/>
  <c r="AG151" i="46"/>
  <c r="AM145" i="46"/>
  <c r="AO145" i="46"/>
  <c r="AR145" i="46"/>
  <c r="AQ145" i="46"/>
  <c r="AN145" i="46"/>
  <c r="AP145" i="46"/>
  <c r="AM194" i="46"/>
  <c r="AO194" i="46"/>
  <c r="AN194" i="46"/>
  <c r="AR194" i="46"/>
  <c r="AP194" i="46"/>
  <c r="AQ194" i="46"/>
  <c r="Y26" i="46"/>
  <c r="U26" i="46"/>
  <c r="S26" i="46"/>
  <c r="W26" i="46"/>
  <c r="V26" i="46"/>
  <c r="X26" i="46"/>
  <c r="T26" i="46"/>
  <c r="AC237" i="46"/>
  <c r="AB237" i="46"/>
  <c r="Z237" i="46"/>
  <c r="AF237" i="46"/>
  <c r="AA237" i="46"/>
  <c r="AE237" i="46"/>
  <c r="AD237" i="46"/>
  <c r="AD195" i="46"/>
  <c r="AA195" i="46"/>
  <c r="Z195" i="46"/>
  <c r="AB195" i="46"/>
  <c r="AE195" i="46"/>
  <c r="AF195" i="46"/>
  <c r="AC195" i="46"/>
  <c r="AA198" i="46"/>
  <c r="AE198" i="46"/>
  <c r="Z198" i="46"/>
  <c r="AC198" i="46"/>
  <c r="AF198" i="46"/>
  <c r="AB198" i="46"/>
  <c r="AD198" i="46"/>
  <c r="Z167" i="46"/>
  <c r="AE167" i="46"/>
  <c r="AB167" i="46"/>
  <c r="AD167" i="46"/>
  <c r="AF167" i="46"/>
  <c r="AA167" i="46"/>
  <c r="AC167" i="46"/>
  <c r="S239" i="46"/>
  <c r="V239" i="46"/>
  <c r="X239" i="46"/>
  <c r="T239" i="46"/>
  <c r="W239" i="46"/>
  <c r="Y239" i="46"/>
  <c r="U239" i="46"/>
  <c r="AG194" i="46"/>
  <c r="AI194" i="46"/>
  <c r="AK194" i="46"/>
  <c r="AJ194" i="46"/>
  <c r="AL194" i="46"/>
  <c r="AH194" i="46"/>
  <c r="V29" i="46"/>
  <c r="Y29" i="46"/>
  <c r="X29" i="46"/>
  <c r="W29" i="46"/>
  <c r="S29" i="46"/>
  <c r="T29" i="46"/>
  <c r="U29" i="46"/>
  <c r="AE210" i="46"/>
  <c r="AF210" i="46"/>
  <c r="AD210" i="46"/>
  <c r="Z210" i="46"/>
  <c r="AB210" i="46"/>
  <c r="AC210" i="46"/>
  <c r="AA210" i="46"/>
  <c r="AK160" i="46"/>
  <c r="AG160" i="46"/>
  <c r="AL160" i="46"/>
  <c r="AJ160" i="46"/>
  <c r="AI160" i="46"/>
  <c r="AH160" i="46"/>
  <c r="AC42" i="46"/>
  <c r="AF42" i="46"/>
  <c r="AD42" i="46"/>
  <c r="AA42" i="46"/>
  <c r="Z42" i="46"/>
  <c r="AE42" i="46"/>
  <c r="AB42" i="46"/>
  <c r="AN236" i="46"/>
  <c r="AM236" i="46"/>
  <c r="AQ236" i="46"/>
  <c r="AR236" i="46"/>
  <c r="AP236" i="46"/>
  <c r="AO236" i="46"/>
  <c r="AQ127" i="46"/>
  <c r="AR127" i="46"/>
  <c r="AP127" i="46"/>
  <c r="AM127" i="46"/>
  <c r="AN127" i="46"/>
  <c r="AO127" i="46"/>
  <c r="Y157" i="46"/>
  <c r="U157" i="46"/>
  <c r="V157" i="46"/>
  <c r="X157" i="46"/>
  <c r="S157" i="46"/>
  <c r="W157" i="46"/>
  <c r="T157" i="46"/>
  <c r="AO116" i="46"/>
  <c r="AP116" i="46"/>
  <c r="AQ116" i="46"/>
  <c r="AN116" i="46"/>
  <c r="AR116" i="46"/>
  <c r="AM116" i="46"/>
  <c r="AN209" i="46"/>
  <c r="AP209" i="46"/>
  <c r="AQ209" i="46"/>
  <c r="AR209" i="46"/>
  <c r="AO209" i="46"/>
  <c r="AM209" i="46"/>
  <c r="AH135" i="46"/>
  <c r="AL135" i="46"/>
  <c r="AG135" i="46"/>
  <c r="AI135" i="46"/>
  <c r="AK135" i="46"/>
  <c r="AJ135" i="46"/>
  <c r="AO199" i="46"/>
  <c r="AP199" i="46"/>
  <c r="AM199" i="46"/>
  <c r="AQ199" i="46"/>
  <c r="AR199" i="46"/>
  <c r="AN199" i="46"/>
  <c r="T144" i="46"/>
  <c r="W144" i="46"/>
  <c r="X144" i="46"/>
  <c r="U144" i="46"/>
  <c r="V144" i="46"/>
  <c r="S144" i="46"/>
  <c r="Y144" i="46"/>
  <c r="AM286" i="46"/>
  <c r="AQ286" i="46"/>
  <c r="AR286" i="46"/>
  <c r="AN286" i="46"/>
  <c r="AP286" i="46"/>
  <c r="AO286" i="46"/>
  <c r="AI122" i="46"/>
  <c r="AH122" i="46"/>
  <c r="AL122" i="46"/>
  <c r="AG122" i="46"/>
  <c r="AJ122" i="46"/>
  <c r="AK122" i="46"/>
  <c r="T112" i="46"/>
  <c r="U112" i="46"/>
  <c r="S112" i="46"/>
  <c r="W112" i="46"/>
  <c r="Y112" i="46"/>
  <c r="V112" i="46"/>
  <c r="X112" i="46"/>
  <c r="AI184" i="46"/>
  <c r="AL184" i="46"/>
  <c r="AK184" i="46"/>
  <c r="AJ184" i="46"/>
  <c r="AG184" i="46"/>
  <c r="AH184" i="46"/>
  <c r="V270" i="46"/>
  <c r="S270" i="46"/>
  <c r="W270" i="46"/>
  <c r="Y270" i="46"/>
  <c r="T270" i="46"/>
  <c r="U270" i="46"/>
  <c r="X270" i="46"/>
  <c r="AE238" i="46"/>
  <c r="AD238" i="46"/>
  <c r="AB238" i="46"/>
  <c r="AA238" i="46"/>
  <c r="Z238" i="46"/>
  <c r="AF238" i="46"/>
  <c r="AC238" i="46"/>
  <c r="Z126" i="46"/>
  <c r="AA126" i="46"/>
  <c r="AB126" i="46"/>
  <c r="AF126" i="46"/>
  <c r="AC126" i="46"/>
  <c r="AE126" i="46"/>
  <c r="AD126" i="46"/>
  <c r="T211" i="46"/>
  <c r="V211" i="46"/>
  <c r="Y211" i="46"/>
  <c r="U211" i="46"/>
  <c r="X211" i="46"/>
  <c r="S211" i="46"/>
  <c r="W211" i="46"/>
  <c r="AI199" i="46"/>
  <c r="AL199" i="46"/>
  <c r="AH199" i="46"/>
  <c r="AK199" i="46"/>
  <c r="AJ199" i="46"/>
  <c r="AG199" i="46"/>
  <c r="AP185" i="46"/>
  <c r="AN185" i="46"/>
  <c r="AQ185" i="46"/>
  <c r="AR185" i="46"/>
  <c r="AM185" i="46"/>
  <c r="AO185" i="46"/>
  <c r="W286" i="46"/>
  <c r="Y286" i="46"/>
  <c r="S286" i="46"/>
  <c r="T286" i="46"/>
  <c r="X286" i="46"/>
  <c r="U286" i="46"/>
  <c r="V286" i="46"/>
  <c r="AA217" i="46"/>
  <c r="AE217" i="46"/>
  <c r="Z217" i="46"/>
  <c r="AD217" i="46"/>
  <c r="AF217" i="46"/>
  <c r="AC217" i="46"/>
  <c r="AB217" i="46"/>
  <c r="U220" i="46"/>
  <c r="V220" i="46"/>
  <c r="Y220" i="46"/>
  <c r="W220" i="46"/>
  <c r="X220" i="46"/>
  <c r="S220" i="46"/>
  <c r="T220" i="46"/>
  <c r="W97" i="46"/>
  <c r="U97" i="46"/>
  <c r="Y97" i="46"/>
  <c r="V97" i="46"/>
  <c r="S97" i="46"/>
  <c r="X97" i="46"/>
  <c r="T97" i="46"/>
  <c r="U147" i="46"/>
  <c r="S147" i="46"/>
  <c r="W147" i="46"/>
  <c r="X147" i="46"/>
  <c r="V147" i="46"/>
  <c r="T147" i="46"/>
  <c r="Y147" i="46"/>
  <c r="AO202" i="46"/>
  <c r="AM202" i="46"/>
  <c r="AP202" i="46"/>
  <c r="AN202" i="46"/>
  <c r="AR202" i="46"/>
  <c r="AQ202" i="46"/>
  <c r="U15" i="46"/>
  <c r="T15" i="46"/>
  <c r="X15" i="46"/>
  <c r="S15" i="46"/>
  <c r="V15" i="46"/>
  <c r="Y15" i="46"/>
  <c r="W15" i="46"/>
  <c r="X17" i="46"/>
  <c r="T17" i="46"/>
  <c r="W17" i="46"/>
  <c r="V17" i="46"/>
  <c r="S17" i="46"/>
  <c r="Y17" i="46"/>
  <c r="U17" i="46"/>
  <c r="AE179" i="46"/>
  <c r="Z179" i="46"/>
  <c r="AD179" i="46"/>
  <c r="AA179" i="46"/>
  <c r="AC179" i="46"/>
  <c r="AB179" i="46"/>
  <c r="AF179" i="46"/>
  <c r="AN162" i="46"/>
  <c r="AQ162" i="46"/>
  <c r="AM162" i="46"/>
  <c r="AP162" i="46"/>
  <c r="AR162" i="46"/>
  <c r="AO162" i="46"/>
  <c r="AB172" i="46"/>
  <c r="Z172" i="46"/>
  <c r="AD172" i="46"/>
  <c r="AC172" i="46"/>
  <c r="AA172" i="46"/>
  <c r="AE172" i="46"/>
  <c r="AF172" i="46"/>
  <c r="W132" i="46"/>
  <c r="S132" i="46"/>
  <c r="V132" i="46"/>
  <c r="X132" i="46"/>
  <c r="Y132" i="46"/>
  <c r="T132" i="46"/>
  <c r="U132" i="46"/>
  <c r="AF276" i="46"/>
  <c r="Z276" i="46"/>
  <c r="AD276" i="46"/>
  <c r="AE276" i="46"/>
  <c r="AC276" i="46"/>
  <c r="AA276" i="46"/>
  <c r="AB276" i="46"/>
  <c r="AN284" i="46"/>
  <c r="AP284" i="46"/>
  <c r="AO284" i="46"/>
  <c r="AR284" i="46"/>
  <c r="AM284" i="46"/>
  <c r="AQ284" i="46"/>
  <c r="AR149" i="46"/>
  <c r="AP149" i="46"/>
  <c r="AN149" i="46"/>
  <c r="AQ149" i="46"/>
  <c r="AM149" i="46"/>
  <c r="AO149" i="46"/>
  <c r="AD40" i="46"/>
  <c r="Z40" i="46"/>
  <c r="AF40" i="46"/>
  <c r="AE40" i="46"/>
  <c r="AB40" i="46"/>
  <c r="AC40" i="46"/>
  <c r="AA40" i="46"/>
  <c r="U44" i="46"/>
  <c r="Y44" i="46"/>
  <c r="X44" i="46"/>
  <c r="S44" i="46"/>
  <c r="T44" i="46"/>
  <c r="W44" i="46"/>
  <c r="V44" i="46"/>
  <c r="Y282" i="46"/>
  <c r="T282" i="46"/>
  <c r="W282" i="46"/>
  <c r="S282" i="46"/>
  <c r="V282" i="46"/>
  <c r="U282" i="46"/>
  <c r="X282" i="46"/>
  <c r="T276" i="46"/>
  <c r="V276" i="46"/>
  <c r="S276" i="46"/>
  <c r="W276" i="46"/>
  <c r="Y276" i="46"/>
  <c r="X276" i="46"/>
  <c r="U276" i="46"/>
  <c r="AR35" i="46"/>
  <c r="AN35" i="46"/>
  <c r="AQ35" i="46"/>
  <c r="AO35" i="46"/>
  <c r="AM35" i="46"/>
  <c r="AP35" i="46"/>
  <c r="AP213" i="46"/>
  <c r="AQ213" i="46"/>
  <c r="AO213" i="46"/>
  <c r="AR213" i="46"/>
  <c r="AM213" i="46"/>
  <c r="AN213" i="46"/>
  <c r="AR224" i="46"/>
  <c r="AP224" i="46"/>
  <c r="AN224" i="46"/>
  <c r="AM224" i="46"/>
  <c r="AQ224" i="46"/>
  <c r="AO224" i="46"/>
  <c r="T111" i="46"/>
  <c r="X111" i="46"/>
  <c r="S111" i="46"/>
  <c r="U111" i="46"/>
  <c r="Y111" i="46"/>
  <c r="V111" i="46"/>
  <c r="W111" i="46"/>
  <c r="Y96" i="46"/>
  <c r="U96" i="46"/>
  <c r="W96" i="46"/>
  <c r="S96" i="46"/>
  <c r="T96" i="46"/>
  <c r="X96" i="46"/>
  <c r="V96" i="46"/>
  <c r="AM25" i="46"/>
  <c r="AP25" i="46"/>
  <c r="AR25" i="46"/>
  <c r="AN25" i="46"/>
  <c r="AQ25" i="46"/>
  <c r="AO25" i="46"/>
  <c r="S94" i="46"/>
  <c r="X94" i="46"/>
  <c r="Y94" i="46"/>
  <c r="V94" i="46"/>
  <c r="U94" i="46"/>
  <c r="W94" i="46"/>
  <c r="T94" i="46"/>
  <c r="AJ214" i="46"/>
  <c r="AH214" i="46"/>
  <c r="AI214" i="46"/>
  <c r="AK214" i="46"/>
  <c r="AG214" i="46"/>
  <c r="AL214" i="46"/>
  <c r="AJ124" i="46"/>
  <c r="AL124" i="46"/>
  <c r="AG124" i="46"/>
  <c r="AK124" i="46"/>
  <c r="AI124" i="46"/>
  <c r="AH124" i="46"/>
  <c r="AG153" i="46"/>
  <c r="AK153" i="46"/>
  <c r="AL153" i="46"/>
  <c r="AJ153" i="46"/>
  <c r="AI153" i="46"/>
  <c r="AH153" i="46"/>
  <c r="AH115" i="46"/>
  <c r="AL115" i="46"/>
  <c r="AG115" i="46"/>
  <c r="AI115" i="46"/>
  <c r="AK115" i="46"/>
  <c r="AJ115" i="46"/>
  <c r="AC261" i="46"/>
  <c r="Z261" i="46"/>
  <c r="AD261" i="46"/>
  <c r="AE261" i="46"/>
  <c r="AA261" i="46"/>
  <c r="AB261" i="46"/>
  <c r="AF261" i="46"/>
  <c r="AR31" i="46"/>
  <c r="AQ31" i="46"/>
  <c r="AO31" i="46"/>
  <c r="AN31" i="46"/>
  <c r="AM31" i="46"/>
  <c r="AP31" i="46"/>
  <c r="AG188" i="46"/>
  <c r="AJ188" i="46"/>
  <c r="AK188" i="46"/>
  <c r="AH188" i="46"/>
  <c r="AL188" i="46"/>
  <c r="AI188" i="46"/>
  <c r="AF222" i="46"/>
  <c r="AC222" i="46"/>
  <c r="AE222" i="46"/>
  <c r="AB222" i="46"/>
  <c r="AA222" i="46"/>
  <c r="Z222" i="46"/>
  <c r="AD222" i="46"/>
  <c r="AE194" i="46"/>
  <c r="AB194" i="46"/>
  <c r="AA194" i="46"/>
  <c r="AD194" i="46"/>
  <c r="AF194" i="46"/>
  <c r="AC194" i="46"/>
  <c r="Z194" i="46"/>
  <c r="AB124" i="46"/>
  <c r="AC124" i="46"/>
  <c r="AD124" i="46"/>
  <c r="Z124" i="46"/>
  <c r="AA124" i="46"/>
  <c r="AE124" i="46"/>
  <c r="AF124" i="46"/>
  <c r="AL26" i="46"/>
  <c r="AK26" i="46"/>
  <c r="AH26" i="46"/>
  <c r="AI26" i="46"/>
  <c r="AJ26" i="46"/>
  <c r="AG26" i="46"/>
  <c r="AR237" i="46"/>
  <c r="AN237" i="46"/>
  <c r="AP237" i="46"/>
  <c r="AQ237" i="46"/>
  <c r="AO237" i="46"/>
  <c r="AM237" i="46"/>
  <c r="AN195" i="46"/>
  <c r="AO195" i="46"/>
  <c r="AR195" i="46"/>
  <c r="AM195" i="46"/>
  <c r="AP195" i="46"/>
  <c r="AQ195" i="46"/>
  <c r="AO198" i="46"/>
  <c r="AN198" i="46"/>
  <c r="AQ198" i="46"/>
  <c r="AR198" i="46"/>
  <c r="AP198" i="46"/>
  <c r="AM198" i="46"/>
  <c r="AN167" i="46"/>
  <c r="AR167" i="46"/>
  <c r="AM167" i="46"/>
  <c r="AP167" i="46"/>
  <c r="AQ167" i="46"/>
  <c r="AO167" i="46"/>
  <c r="AJ239" i="46"/>
  <c r="AI239" i="46"/>
  <c r="AK239" i="46"/>
  <c r="AH239" i="46"/>
  <c r="AG239" i="46"/>
  <c r="AL239" i="46"/>
  <c r="AI222" i="46"/>
  <c r="AL222" i="46"/>
  <c r="AH222" i="46"/>
  <c r="AG222" i="46"/>
  <c r="AJ222" i="46"/>
  <c r="AK222" i="46"/>
  <c r="Y194" i="46"/>
  <c r="S194" i="46"/>
  <c r="U194" i="46"/>
  <c r="T194" i="46"/>
  <c r="X194" i="46"/>
  <c r="W194" i="46"/>
  <c r="V194" i="46"/>
  <c r="AN210" i="46"/>
  <c r="AR210" i="46"/>
  <c r="AP210" i="46"/>
  <c r="AM210" i="46"/>
  <c r="AO210" i="46"/>
  <c r="AQ210" i="46"/>
  <c r="AL197" i="46"/>
  <c r="AH197" i="46"/>
  <c r="AG197" i="46"/>
  <c r="AK197" i="46"/>
  <c r="AI197" i="46"/>
  <c r="AJ197" i="46"/>
  <c r="U160" i="46"/>
  <c r="V160" i="46"/>
  <c r="Y160" i="46"/>
  <c r="S160" i="46"/>
  <c r="X160" i="46"/>
  <c r="W160" i="46"/>
  <c r="T160" i="46"/>
  <c r="AQ42" i="46"/>
  <c r="AR42" i="46"/>
  <c r="AM42" i="46"/>
  <c r="AP42" i="46"/>
  <c r="AO42" i="46"/>
  <c r="AN42" i="46"/>
  <c r="AF33" i="46"/>
  <c r="AE33" i="46"/>
  <c r="AB33" i="46"/>
  <c r="Z33" i="46"/>
  <c r="AA33" i="46"/>
  <c r="AC33" i="46"/>
  <c r="AD33" i="46"/>
  <c r="AL157" i="46"/>
  <c r="AJ157" i="46"/>
  <c r="AI157" i="46"/>
  <c r="AH157" i="46"/>
  <c r="AK157" i="46"/>
  <c r="AG157" i="46"/>
  <c r="AC116" i="46"/>
  <c r="AE116" i="46"/>
  <c r="AB116" i="46"/>
  <c r="AF116" i="46"/>
  <c r="AD116" i="46"/>
  <c r="Z116" i="46"/>
  <c r="AA116" i="46"/>
  <c r="U135" i="46"/>
  <c r="V135" i="46"/>
  <c r="W135" i="46"/>
  <c r="T135" i="46"/>
  <c r="X135" i="46"/>
  <c r="S135" i="46"/>
  <c r="Y135" i="46"/>
  <c r="AA199" i="46"/>
  <c r="Z199" i="46"/>
  <c r="AB199" i="46"/>
  <c r="AF199" i="46"/>
  <c r="AD199" i="46"/>
  <c r="AC199" i="46"/>
  <c r="AE199" i="46"/>
  <c r="AL144" i="46"/>
  <c r="AI144" i="46"/>
  <c r="AK144" i="46"/>
  <c r="AH144" i="46"/>
  <c r="AJ144" i="46"/>
  <c r="AG144" i="46"/>
  <c r="AD286" i="46"/>
  <c r="AB286" i="46"/>
  <c r="AA286" i="46"/>
  <c r="AE286" i="46"/>
  <c r="AF286" i="46"/>
  <c r="Z286" i="46"/>
  <c r="AC286" i="46"/>
  <c r="AG217" i="46"/>
  <c r="AI217" i="46"/>
  <c r="AL217" i="46"/>
  <c r="AK217" i="46"/>
  <c r="AH217" i="46"/>
  <c r="AJ217" i="46"/>
  <c r="AA157" i="46"/>
  <c r="AE157" i="46"/>
  <c r="AC157" i="46"/>
  <c r="AF157" i="46"/>
  <c r="AB157" i="46"/>
  <c r="Z157" i="46"/>
  <c r="AD157" i="46"/>
  <c r="AJ270" i="46"/>
  <c r="AG270" i="46"/>
  <c r="AL270" i="46"/>
  <c r="AI270" i="46"/>
  <c r="AK270" i="46"/>
  <c r="AH270" i="46"/>
  <c r="AL211" i="46"/>
  <c r="AG211" i="46"/>
  <c r="AH211" i="46"/>
  <c r="AJ211" i="46"/>
  <c r="AK211" i="46"/>
  <c r="AI211" i="46"/>
  <c r="AC280" i="46"/>
  <c r="AA280" i="46"/>
  <c r="AD280" i="46"/>
  <c r="Z280" i="46"/>
  <c r="AF280" i="46"/>
  <c r="AE280" i="46"/>
  <c r="AB280" i="46"/>
  <c r="Y199" i="46"/>
  <c r="X199" i="46"/>
  <c r="U199" i="46"/>
  <c r="W199" i="46"/>
  <c r="S199" i="46"/>
  <c r="V199" i="46"/>
  <c r="T199" i="46"/>
  <c r="AF144" i="46"/>
  <c r="AA144" i="46"/>
  <c r="AD144" i="46"/>
  <c r="AB144" i="46"/>
  <c r="AC144" i="46"/>
  <c r="Z144" i="46"/>
  <c r="AE144" i="46"/>
  <c r="V208" i="46"/>
  <c r="T208" i="46"/>
  <c r="S208" i="46"/>
  <c r="Y208" i="46"/>
  <c r="W208" i="46"/>
  <c r="U208" i="46"/>
  <c r="X208" i="46"/>
  <c r="AJ220" i="46"/>
  <c r="AH220" i="46"/>
  <c r="AG220" i="46"/>
  <c r="AL220" i="46"/>
  <c r="AI220" i="46"/>
  <c r="AK220" i="46"/>
  <c r="AK97" i="46"/>
  <c r="AG97" i="46"/>
  <c r="AI97" i="46"/>
  <c r="AH97" i="46"/>
  <c r="AL97" i="46"/>
  <c r="AJ97" i="46"/>
  <c r="AC161" i="46"/>
  <c r="AA161" i="46"/>
  <c r="AB161" i="46"/>
  <c r="AD161" i="46"/>
  <c r="AF161" i="46"/>
  <c r="Z161" i="46"/>
  <c r="AE161" i="46"/>
  <c r="AI147" i="46"/>
  <c r="AK147" i="46"/>
  <c r="AG147" i="46"/>
  <c r="AJ147" i="46"/>
  <c r="AH147" i="46"/>
  <c r="AL147" i="46"/>
  <c r="AF285" i="46"/>
  <c r="AE285" i="46"/>
  <c r="AB285" i="46"/>
  <c r="AD285" i="46"/>
  <c r="AA285" i="46"/>
  <c r="Z285" i="46"/>
  <c r="AC285" i="46"/>
  <c r="T238" i="46"/>
  <c r="W238" i="46"/>
  <c r="S238" i="46"/>
  <c r="Y238" i="46"/>
  <c r="V238" i="46"/>
  <c r="X238" i="46"/>
  <c r="U238" i="46"/>
  <c r="AC202" i="46"/>
  <c r="Z202" i="46"/>
  <c r="AB202" i="46"/>
  <c r="AF202" i="46"/>
  <c r="AE202" i="46"/>
  <c r="AD202" i="46"/>
  <c r="AA202" i="46"/>
  <c r="AL15" i="46"/>
  <c r="AH15" i="46"/>
  <c r="AJ15" i="46"/>
  <c r="AK15" i="46"/>
  <c r="AI15" i="46"/>
  <c r="AG15" i="46"/>
  <c r="AG17" i="46"/>
  <c r="AI17" i="46"/>
  <c r="AL17" i="46"/>
  <c r="AK17" i="46"/>
  <c r="AH17" i="46"/>
  <c r="AJ17" i="46"/>
  <c r="AP179" i="46"/>
  <c r="AQ179" i="46"/>
  <c r="AN179" i="46"/>
  <c r="AM179" i="46"/>
  <c r="AO179" i="46"/>
  <c r="AR179" i="46"/>
  <c r="AE162" i="46"/>
  <c r="AA162" i="46"/>
  <c r="AB162" i="46"/>
  <c r="AF162" i="46"/>
  <c r="Z162" i="46"/>
  <c r="AC162" i="46"/>
  <c r="AD162" i="46"/>
  <c r="AR172" i="46"/>
  <c r="AO172" i="46"/>
  <c r="AM172" i="46"/>
  <c r="AN172" i="46"/>
  <c r="AQ172" i="46"/>
  <c r="AP172" i="46"/>
  <c r="AG132" i="46"/>
  <c r="AI132" i="46"/>
  <c r="AK132" i="46"/>
  <c r="AL132" i="46"/>
  <c r="AJ132" i="46"/>
  <c r="AH132" i="46"/>
  <c r="AR276" i="46"/>
  <c r="AM276" i="46"/>
  <c r="AQ276" i="46"/>
  <c r="AO276" i="46"/>
  <c r="AP276" i="46"/>
  <c r="AN276" i="46"/>
  <c r="AH213" i="46"/>
  <c r="AL213" i="46"/>
  <c r="AI213" i="46"/>
  <c r="AG213" i="46"/>
  <c r="AJ213" i="46"/>
  <c r="AK213" i="46"/>
  <c r="AB17" i="46"/>
  <c r="AA17" i="46"/>
  <c r="AF17" i="46"/>
  <c r="Z17" i="46"/>
  <c r="AE17" i="46"/>
  <c r="AD17" i="46"/>
  <c r="AC17" i="46"/>
  <c r="AD149" i="46"/>
  <c r="AA149" i="46"/>
  <c r="AE149" i="46"/>
  <c r="Z149" i="46"/>
  <c r="AB149" i="46"/>
  <c r="AF149" i="46"/>
  <c r="AC149" i="46"/>
  <c r="AB107" i="46"/>
  <c r="AE107" i="46"/>
  <c r="AA107" i="46"/>
  <c r="Z107" i="46"/>
  <c r="AF107" i="46"/>
  <c r="AD107" i="46"/>
  <c r="AC107" i="46"/>
  <c r="AH164" i="46"/>
  <c r="AL164" i="46"/>
  <c r="AI164" i="46"/>
  <c r="AJ164" i="46"/>
  <c r="AK164" i="46"/>
  <c r="AG164" i="46"/>
  <c r="AG44" i="46"/>
  <c r="AH44" i="46"/>
  <c r="AK44" i="46"/>
  <c r="AJ44" i="46"/>
  <c r="AI44" i="46"/>
  <c r="AL44" i="46"/>
  <c r="AK282" i="46"/>
  <c r="AI282" i="46"/>
  <c r="AG282" i="46"/>
  <c r="AH282" i="46"/>
  <c r="AL282" i="46"/>
  <c r="AJ282" i="46"/>
  <c r="AG276" i="46"/>
  <c r="AJ276" i="46"/>
  <c r="AH276" i="46"/>
  <c r="AK276" i="46"/>
  <c r="AL276" i="46"/>
  <c r="AI276" i="46"/>
  <c r="AB35" i="46"/>
  <c r="AD35" i="46"/>
  <c r="AA35" i="46"/>
  <c r="AE35" i="46"/>
  <c r="AC35" i="46"/>
  <c r="Z35" i="46"/>
  <c r="AF35" i="46"/>
  <c r="AP175" i="46"/>
  <c r="AQ175" i="46"/>
  <c r="AN175" i="46"/>
  <c r="AR175" i="46"/>
  <c r="AO175" i="46"/>
  <c r="AM175" i="46"/>
  <c r="AI111" i="46"/>
  <c r="AH111" i="46"/>
  <c r="AG111" i="46"/>
  <c r="AK111" i="46"/>
  <c r="AJ111" i="46"/>
  <c r="AL111" i="46"/>
  <c r="AJ96" i="46"/>
  <c r="AG96" i="46"/>
  <c r="AH96" i="46"/>
  <c r="AI96" i="46"/>
  <c r="AL96" i="46"/>
  <c r="AK96" i="46"/>
  <c r="AH40" i="46"/>
  <c r="AL40" i="46"/>
  <c r="AI40" i="46"/>
  <c r="AJ40" i="46"/>
  <c r="AG40" i="46"/>
  <c r="AK40" i="46"/>
  <c r="AL94" i="46"/>
  <c r="AJ94" i="46"/>
  <c r="AH94" i="46"/>
  <c r="AK94" i="46"/>
  <c r="AG94" i="46"/>
  <c r="AI94" i="46"/>
  <c r="U131" i="46"/>
  <c r="S131" i="46"/>
  <c r="W131" i="46"/>
  <c r="T131" i="46"/>
  <c r="Y131" i="46"/>
  <c r="X131" i="46"/>
  <c r="V131" i="46"/>
  <c r="X249" i="46"/>
  <c r="V249" i="46"/>
  <c r="T249" i="46"/>
  <c r="W249" i="46"/>
  <c r="U249" i="46"/>
  <c r="S249" i="46"/>
  <c r="Y249" i="46"/>
  <c r="V115" i="46"/>
  <c r="X115" i="46"/>
  <c r="T115" i="46"/>
  <c r="S115" i="46"/>
  <c r="Y115" i="46"/>
  <c r="U115" i="46"/>
  <c r="W115" i="46"/>
  <c r="X178" i="46"/>
  <c r="V178" i="46"/>
  <c r="W178" i="46"/>
  <c r="T178" i="46"/>
  <c r="Y178" i="46"/>
  <c r="U178" i="46"/>
  <c r="S178" i="46"/>
  <c r="AN261" i="46"/>
  <c r="AP261" i="46"/>
  <c r="AO261" i="46"/>
  <c r="AR261" i="46"/>
  <c r="AQ261" i="46"/>
  <c r="AM261" i="46"/>
  <c r="AQ260" i="46"/>
  <c r="AP260" i="46"/>
  <c r="AO260" i="46"/>
  <c r="AN260" i="46"/>
  <c r="AM260" i="46"/>
  <c r="AR260" i="46"/>
  <c r="T188" i="46"/>
  <c r="Y188" i="46"/>
  <c r="U188" i="46"/>
  <c r="V188" i="46"/>
  <c r="S188" i="46"/>
  <c r="W188" i="46"/>
  <c r="X188" i="46"/>
  <c r="AB94" i="46"/>
  <c r="AF94" i="46"/>
  <c r="AD94" i="46"/>
  <c r="AA94" i="46"/>
  <c r="AE94" i="46"/>
  <c r="AC94" i="46"/>
  <c r="Z94" i="46"/>
  <c r="AR222" i="46"/>
  <c r="AO222" i="46"/>
  <c r="AM222" i="46"/>
  <c r="AP222" i="46"/>
  <c r="AN222" i="46"/>
  <c r="AQ222" i="46"/>
  <c r="AP124" i="46"/>
  <c r="AR124" i="46"/>
  <c r="AO124" i="46"/>
  <c r="AQ124" i="46"/>
  <c r="AN124" i="46"/>
  <c r="AM124" i="46"/>
  <c r="AP79" i="46"/>
  <c r="AM79" i="46"/>
  <c r="AN79" i="46"/>
  <c r="AR79" i="46"/>
  <c r="AO79" i="46"/>
  <c r="AQ79" i="46"/>
  <c r="W275" i="46"/>
  <c r="U275" i="46"/>
  <c r="S275" i="46"/>
  <c r="X275" i="46"/>
  <c r="Y275" i="46"/>
  <c r="V275" i="46"/>
  <c r="T275" i="46"/>
  <c r="AR256" i="46"/>
  <c r="AO256" i="46"/>
  <c r="AM256" i="46"/>
  <c r="AN256" i="46"/>
  <c r="AQ256" i="46"/>
  <c r="AP256" i="46"/>
  <c r="AE257" i="46"/>
  <c r="AA257" i="46"/>
  <c r="AC257" i="46"/>
  <c r="AF257" i="46"/>
  <c r="AD257" i="46"/>
  <c r="Z257" i="46"/>
  <c r="AB257" i="46"/>
  <c r="Y222" i="46"/>
  <c r="W222" i="46"/>
  <c r="S222" i="46"/>
  <c r="X222" i="46"/>
  <c r="T222" i="46"/>
  <c r="V222" i="46"/>
  <c r="U222" i="46"/>
  <c r="Z69" i="46"/>
  <c r="AA69" i="46"/>
  <c r="AE69" i="46"/>
  <c r="AB69" i="46"/>
  <c r="AD69" i="46"/>
  <c r="AF69" i="46"/>
  <c r="AC69" i="46"/>
  <c r="AK182" i="46"/>
  <c r="AG182" i="46"/>
  <c r="AH182" i="46"/>
  <c r="AI182" i="46"/>
  <c r="AJ182" i="46"/>
  <c r="AL182" i="46"/>
  <c r="Y123" i="46"/>
  <c r="V123" i="46"/>
  <c r="S123" i="46"/>
  <c r="U123" i="46"/>
  <c r="X123" i="46"/>
  <c r="W123" i="46"/>
  <c r="T123" i="46"/>
  <c r="V197" i="46"/>
  <c r="T197" i="46"/>
  <c r="W197" i="46"/>
  <c r="X197" i="46"/>
  <c r="Y197" i="46"/>
  <c r="S197" i="46"/>
  <c r="U197" i="46"/>
  <c r="AK129" i="46"/>
  <c r="AG129" i="46"/>
  <c r="AH129" i="46"/>
  <c r="AI129" i="46"/>
  <c r="AL129" i="46"/>
  <c r="AJ129" i="46"/>
  <c r="AM33" i="46"/>
  <c r="AN33" i="46"/>
  <c r="AR33" i="46"/>
  <c r="AQ33" i="46"/>
  <c r="AP33" i="46"/>
  <c r="AO33" i="46"/>
  <c r="AA226" i="46"/>
  <c r="AB226" i="46"/>
  <c r="AF226" i="46"/>
  <c r="AD226" i="46"/>
  <c r="AC226" i="46"/>
  <c r="Z226" i="46"/>
  <c r="AE226" i="46"/>
  <c r="AB216" i="46"/>
  <c r="AD216" i="46"/>
  <c r="AE216" i="46"/>
  <c r="Z216" i="46"/>
  <c r="AF216" i="46"/>
  <c r="AC216" i="46"/>
  <c r="AA216" i="46"/>
  <c r="AL158" i="46"/>
  <c r="AH158" i="46"/>
  <c r="AK158" i="46"/>
  <c r="AG158" i="46"/>
  <c r="AI158" i="46"/>
  <c r="AJ158" i="46"/>
  <c r="X69" i="46"/>
  <c r="S69" i="46"/>
  <c r="V69" i="46"/>
  <c r="Y69" i="46"/>
  <c r="W69" i="46"/>
  <c r="U69" i="46"/>
  <c r="T69" i="46"/>
  <c r="AD232" i="46"/>
  <c r="AE232" i="46"/>
  <c r="AC232" i="46"/>
  <c r="AB232" i="46"/>
  <c r="AA232" i="46"/>
  <c r="Z232" i="46"/>
  <c r="AF232" i="46"/>
  <c r="Z129" i="46"/>
  <c r="AE129" i="46"/>
  <c r="AA129" i="46"/>
  <c r="AF129" i="46"/>
  <c r="AD129" i="46"/>
  <c r="AC129" i="46"/>
  <c r="AB129" i="46"/>
  <c r="S280" i="46"/>
  <c r="T280" i="46"/>
  <c r="U280" i="46"/>
  <c r="X280" i="46"/>
  <c r="W280" i="46"/>
  <c r="Y280" i="46"/>
  <c r="V280" i="46"/>
  <c r="AO208" i="46"/>
  <c r="AP208" i="46"/>
  <c r="AM208" i="46"/>
  <c r="AQ208" i="46"/>
  <c r="AN208" i="46"/>
  <c r="AR208" i="46"/>
  <c r="V217" i="46"/>
  <c r="T217" i="46"/>
  <c r="X217" i="46"/>
  <c r="U217" i="46"/>
  <c r="Y217" i="46"/>
  <c r="S217" i="46"/>
  <c r="W217" i="46"/>
  <c r="AQ157" i="46"/>
  <c r="AN157" i="46"/>
  <c r="AR157" i="46"/>
  <c r="AP157" i="46"/>
  <c r="AO157" i="46"/>
  <c r="AM157" i="46"/>
  <c r="AM99" i="46"/>
  <c r="AN99" i="46"/>
  <c r="AO99" i="46"/>
  <c r="AR99" i="46"/>
  <c r="AQ99" i="46"/>
  <c r="AP99" i="46"/>
  <c r="U180" i="46"/>
  <c r="W180" i="46"/>
  <c r="V180" i="46"/>
  <c r="S180" i="46"/>
  <c r="X180" i="46"/>
  <c r="T180" i="46"/>
  <c r="Y180" i="46"/>
  <c r="AN280" i="46"/>
  <c r="AR280" i="46"/>
  <c r="AP280" i="46"/>
  <c r="AO280" i="46"/>
  <c r="AQ280" i="46"/>
  <c r="AM280" i="46"/>
  <c r="AO144" i="46"/>
  <c r="AR144" i="46"/>
  <c r="AP144" i="46"/>
  <c r="AN144" i="46"/>
  <c r="AQ144" i="46"/>
  <c r="AM144" i="46"/>
  <c r="AJ208" i="46"/>
  <c r="AK208" i="46"/>
  <c r="AG208" i="46"/>
  <c r="AH208" i="46"/>
  <c r="AL208" i="46"/>
  <c r="AI208" i="46"/>
  <c r="Z121" i="46"/>
  <c r="AA121" i="46"/>
  <c r="AB121" i="46"/>
  <c r="AC121" i="46"/>
  <c r="AF121" i="46"/>
  <c r="AD121" i="46"/>
  <c r="AE121" i="46"/>
  <c r="AN95" i="46"/>
  <c r="AR95" i="46"/>
  <c r="AQ95" i="46"/>
  <c r="AP95" i="46"/>
  <c r="AO95" i="46"/>
  <c r="AM95" i="46"/>
  <c r="AC184" i="46"/>
  <c r="Z184" i="46"/>
  <c r="AA184" i="46"/>
  <c r="AD184" i="46"/>
  <c r="AE184" i="46"/>
  <c r="AF184" i="46"/>
  <c r="AB184" i="46"/>
  <c r="AO161" i="46"/>
  <c r="AN161" i="46"/>
  <c r="AM161" i="46"/>
  <c r="AP161" i="46"/>
  <c r="AQ161" i="46"/>
  <c r="AR161" i="46"/>
  <c r="AM171" i="46"/>
  <c r="AP171" i="46"/>
  <c r="AO171" i="46"/>
  <c r="AN171" i="46"/>
  <c r="AQ171" i="46"/>
  <c r="AR171" i="46"/>
  <c r="AN285" i="46"/>
  <c r="AR285" i="46"/>
  <c r="AP285" i="46"/>
  <c r="AQ285" i="46"/>
  <c r="AO285" i="46"/>
  <c r="AM285" i="46"/>
  <c r="AK238" i="46"/>
  <c r="AJ238" i="46"/>
  <c r="AL238" i="46"/>
  <c r="AH238" i="46"/>
  <c r="AI238" i="46"/>
  <c r="AG238" i="46"/>
  <c r="AG126" i="46"/>
  <c r="AL126" i="46"/>
  <c r="AJ126" i="46"/>
  <c r="AI126" i="46"/>
  <c r="AH126" i="46"/>
  <c r="AK126" i="46"/>
  <c r="AC211" i="46"/>
  <c r="Z211" i="46"/>
  <c r="AA211" i="46"/>
  <c r="AF211" i="46"/>
  <c r="AE211" i="46"/>
  <c r="AB211" i="46"/>
  <c r="AD211" i="46"/>
  <c r="AQ215" i="46"/>
  <c r="AO215" i="46"/>
  <c r="AP215" i="46"/>
  <c r="AR215" i="46"/>
  <c r="AN215" i="46"/>
  <c r="AM215" i="46"/>
  <c r="S107" i="46"/>
  <c r="V107" i="46"/>
  <c r="W107" i="46"/>
  <c r="U107" i="46"/>
  <c r="Y107" i="46"/>
  <c r="T107" i="46"/>
  <c r="X107" i="46"/>
  <c r="AI22" i="46"/>
  <c r="AG22" i="46"/>
  <c r="AL22" i="46"/>
  <c r="AK22" i="46"/>
  <c r="AJ22" i="46"/>
  <c r="AH22" i="46"/>
  <c r="AA84" i="46"/>
  <c r="Z84" i="46"/>
  <c r="AC84" i="46"/>
  <c r="AE84" i="46"/>
  <c r="AB84" i="46"/>
  <c r="AD84" i="46"/>
  <c r="AF84" i="46"/>
  <c r="AA225" i="46"/>
  <c r="AF225" i="46"/>
  <c r="AC225" i="46"/>
  <c r="Z225" i="46"/>
  <c r="AE225" i="46"/>
  <c r="AD225" i="46"/>
  <c r="AB225" i="46"/>
  <c r="AG35" i="46"/>
  <c r="AL35" i="46"/>
  <c r="AI35" i="46"/>
  <c r="AK35" i="46"/>
  <c r="AH35" i="46"/>
  <c r="AJ35" i="46"/>
  <c r="V213" i="46"/>
  <c r="Y213" i="46"/>
  <c r="X213" i="46"/>
  <c r="U213" i="46"/>
  <c r="T213" i="46"/>
  <c r="W213" i="46"/>
  <c r="S213" i="46"/>
  <c r="AH224" i="46"/>
  <c r="AG224" i="46"/>
  <c r="AI224" i="46"/>
  <c r="AJ224" i="46"/>
  <c r="AL224" i="46"/>
  <c r="AK224" i="46"/>
  <c r="X277" i="46"/>
  <c r="S277" i="46"/>
  <c r="U277" i="46"/>
  <c r="T277" i="46"/>
  <c r="Y277" i="46"/>
  <c r="W277" i="46"/>
  <c r="V277" i="46"/>
  <c r="AJ38" i="46"/>
  <c r="AI38" i="46"/>
  <c r="AH38" i="46"/>
  <c r="AG38" i="46"/>
  <c r="AL38" i="46"/>
  <c r="AK38" i="46"/>
  <c r="AO106" i="46"/>
  <c r="AQ106" i="46"/>
  <c r="AR106" i="46"/>
  <c r="AP106" i="46"/>
  <c r="AM106" i="46"/>
  <c r="AN106" i="46"/>
  <c r="AR17" i="46"/>
  <c r="AP17" i="46"/>
  <c r="AQ17" i="46"/>
  <c r="AM17" i="46"/>
  <c r="AN17" i="46"/>
  <c r="AO17" i="46"/>
  <c r="AO107" i="46"/>
  <c r="AN107" i="46"/>
  <c r="AP107" i="46"/>
  <c r="AQ107" i="46"/>
  <c r="AM107" i="46"/>
  <c r="AR107" i="46"/>
  <c r="T164" i="46"/>
  <c r="U164" i="46"/>
  <c r="X164" i="46"/>
  <c r="V164" i="46"/>
  <c r="W164" i="46"/>
  <c r="Y164" i="46"/>
  <c r="S164" i="46"/>
  <c r="AF43" i="46"/>
  <c r="AA43" i="46"/>
  <c r="AC43" i="46"/>
  <c r="AE43" i="46"/>
  <c r="Z43" i="46"/>
  <c r="AB43" i="46"/>
  <c r="AD43" i="46"/>
  <c r="U173" i="46"/>
  <c r="Y173" i="46"/>
  <c r="T173" i="46"/>
  <c r="V173" i="46"/>
  <c r="S173" i="46"/>
  <c r="X173" i="46"/>
  <c r="W173" i="46"/>
  <c r="S110" i="46"/>
  <c r="T110" i="46"/>
  <c r="Y110" i="46"/>
  <c r="W110" i="46"/>
  <c r="V110" i="46"/>
  <c r="U110" i="46"/>
  <c r="X110" i="46"/>
  <c r="AE175" i="46"/>
  <c r="AB175" i="46"/>
  <c r="AA175" i="46"/>
  <c r="AD175" i="46"/>
  <c r="Z175" i="46"/>
  <c r="AC175" i="46"/>
  <c r="AF175" i="46"/>
  <c r="AR38" i="46"/>
  <c r="AP38" i="46"/>
  <c r="AN38" i="46"/>
  <c r="AQ38" i="46"/>
  <c r="AO38" i="46"/>
  <c r="AM38" i="46"/>
  <c r="S31" i="46"/>
  <c r="T31" i="46"/>
  <c r="X31" i="46"/>
  <c r="U31" i="46"/>
  <c r="V31" i="46"/>
  <c r="W31" i="46"/>
  <c r="Y31" i="46"/>
  <c r="AM188" i="46"/>
  <c r="AP188" i="46"/>
  <c r="AQ188" i="46"/>
  <c r="AR188" i="46"/>
  <c r="AN188" i="46"/>
  <c r="AO188" i="46"/>
  <c r="Y40" i="46"/>
  <c r="W40" i="46"/>
  <c r="S40" i="46"/>
  <c r="V40" i="46"/>
  <c r="X40" i="46"/>
  <c r="T40" i="46"/>
  <c r="U40" i="46"/>
  <c r="T192" i="46"/>
  <c r="X192" i="46"/>
  <c r="V192" i="46"/>
  <c r="S192" i="46"/>
  <c r="Y192" i="46"/>
  <c r="W192" i="46"/>
  <c r="U192" i="46"/>
  <c r="AI131" i="46"/>
  <c r="AL131" i="46"/>
  <c r="AH131" i="46"/>
  <c r="AK131" i="46"/>
  <c r="AG131" i="46"/>
  <c r="AJ131" i="46"/>
  <c r="AL249" i="46"/>
  <c r="AI249" i="46"/>
  <c r="AG249" i="46"/>
  <c r="AJ249" i="46"/>
  <c r="AH249" i="46"/>
  <c r="AK249" i="46"/>
  <c r="AG178" i="46"/>
  <c r="AJ178" i="46"/>
  <c r="AK178" i="46"/>
  <c r="AH178" i="46"/>
  <c r="AL178" i="46"/>
  <c r="AI178" i="46"/>
  <c r="AN231" i="46"/>
  <c r="AR231" i="46"/>
  <c r="AO231" i="46"/>
  <c r="AM231" i="46"/>
  <c r="AP231" i="46"/>
  <c r="AQ231" i="46"/>
  <c r="AB260" i="46"/>
  <c r="AE260" i="46"/>
  <c r="AD260" i="46"/>
  <c r="AF260" i="46"/>
  <c r="AC260" i="46"/>
  <c r="AA260" i="46"/>
  <c r="Z260" i="46"/>
  <c r="AP94" i="46"/>
  <c r="AQ94" i="46"/>
  <c r="AM94" i="46"/>
  <c r="AN94" i="46"/>
  <c r="AO94" i="46"/>
  <c r="AR94" i="46"/>
  <c r="Z131" i="46"/>
  <c r="AB131" i="46"/>
  <c r="AD131" i="46"/>
  <c r="AC131" i="46"/>
  <c r="AA131" i="46"/>
  <c r="AF131" i="46"/>
  <c r="AE131" i="46"/>
  <c r="AB79" i="46"/>
  <c r="AC79" i="46"/>
  <c r="Z79" i="46"/>
  <c r="AD79" i="46"/>
  <c r="AE79" i="46"/>
  <c r="AF79" i="46"/>
  <c r="AA79" i="46"/>
  <c r="Z117" i="46"/>
  <c r="AD117" i="46"/>
  <c r="AC117" i="46"/>
  <c r="AE117" i="46"/>
  <c r="AB117" i="46"/>
  <c r="AA117" i="46"/>
  <c r="AF117" i="46"/>
  <c r="AJ275" i="46"/>
  <c r="AK275" i="46"/>
  <c r="AL275" i="46"/>
  <c r="AI275" i="46"/>
  <c r="AG275" i="46"/>
  <c r="AH275" i="46"/>
  <c r="AE256" i="46"/>
  <c r="Z256" i="46"/>
  <c r="AD256" i="46"/>
  <c r="AA256" i="46"/>
  <c r="AC256" i="46"/>
  <c r="AF256" i="46"/>
  <c r="AB256" i="46"/>
  <c r="AP257" i="46"/>
  <c r="AM257" i="46"/>
  <c r="AR257" i="46"/>
  <c r="AN257" i="46"/>
  <c r="AO257" i="46"/>
  <c r="AQ257" i="46"/>
  <c r="AR69" i="46"/>
  <c r="AQ69" i="46"/>
  <c r="AM69" i="46"/>
  <c r="AP69" i="46"/>
  <c r="AN69" i="46"/>
  <c r="AO69" i="46"/>
  <c r="X182" i="46"/>
  <c r="U182" i="46"/>
  <c r="T182" i="46"/>
  <c r="S182" i="46"/>
  <c r="W182" i="46"/>
  <c r="Y182" i="46"/>
  <c r="V182" i="46"/>
  <c r="AH123" i="46"/>
  <c r="AI123" i="46"/>
  <c r="AK123" i="46"/>
  <c r="AL123" i="46"/>
  <c r="AG123" i="46"/>
  <c r="AJ123" i="46"/>
  <c r="V206" i="46"/>
  <c r="S206" i="46"/>
  <c r="X206" i="46"/>
  <c r="T206" i="46"/>
  <c r="W206" i="46"/>
  <c r="U206" i="46"/>
  <c r="Y206" i="46"/>
  <c r="Y129" i="46"/>
  <c r="S129" i="46"/>
  <c r="X129" i="46"/>
  <c r="W129" i="46"/>
  <c r="T129" i="46"/>
  <c r="U129" i="46"/>
  <c r="V129" i="46"/>
  <c r="AN226" i="46"/>
  <c r="AQ226" i="46"/>
  <c r="AR226" i="46"/>
  <c r="AM226" i="46"/>
  <c r="AP226" i="46"/>
  <c r="AO226" i="46"/>
  <c r="AM216" i="46"/>
  <c r="AR216" i="46"/>
  <c r="AN216" i="46"/>
  <c r="AO216" i="46"/>
  <c r="AP216" i="46"/>
  <c r="AQ216" i="46"/>
  <c r="V158" i="46"/>
  <c r="W158" i="46"/>
  <c r="X158" i="46"/>
  <c r="S158" i="46"/>
  <c r="U158" i="46"/>
  <c r="T158" i="46"/>
  <c r="Y158" i="46"/>
  <c r="AH69" i="46"/>
  <c r="AK69" i="46"/>
  <c r="AG69" i="46"/>
  <c r="AI69" i="46"/>
  <c r="AL69" i="46"/>
  <c r="AJ69" i="46"/>
  <c r="W152" i="46"/>
  <c r="Y152" i="46"/>
  <c r="V152" i="46"/>
  <c r="T152" i="46"/>
  <c r="U152" i="46"/>
  <c r="S152" i="46"/>
  <c r="X152" i="46"/>
  <c r="AP232" i="46"/>
  <c r="AO232" i="46"/>
  <c r="AN232" i="46"/>
  <c r="AQ232" i="46"/>
  <c r="AM232" i="46"/>
  <c r="AR232" i="46"/>
  <c r="AM129" i="46"/>
  <c r="AR129" i="46"/>
  <c r="AO129" i="46"/>
  <c r="AN129" i="46"/>
  <c r="AQ129" i="46"/>
  <c r="AP129" i="46"/>
  <c r="AR227" i="46"/>
  <c r="AO227" i="46"/>
  <c r="AP227" i="46"/>
  <c r="AN227" i="46"/>
  <c r="AQ227" i="46"/>
  <c r="AM227" i="46"/>
  <c r="AJ280" i="46"/>
  <c r="AK280" i="46"/>
  <c r="AI280" i="46"/>
  <c r="AH280" i="46"/>
  <c r="AG280" i="46"/>
  <c r="AL280" i="46"/>
  <c r="AB208" i="46"/>
  <c r="Z208" i="46"/>
  <c r="AC208" i="46"/>
  <c r="AF208" i="46"/>
  <c r="AE208" i="46"/>
  <c r="AD208" i="46"/>
  <c r="AA208" i="46"/>
  <c r="AG226" i="46"/>
  <c r="AI226" i="46"/>
  <c r="AJ226" i="46"/>
  <c r="AH226" i="46"/>
  <c r="AK226" i="46"/>
  <c r="AL226" i="46"/>
  <c r="AN158" i="46"/>
  <c r="AR158" i="46"/>
  <c r="AO158" i="46"/>
  <c r="AP158" i="46"/>
  <c r="AQ158" i="46"/>
  <c r="AM158" i="46"/>
  <c r="Z99" i="46"/>
  <c r="AD99" i="46"/>
  <c r="AF99" i="46"/>
  <c r="AE99" i="46"/>
  <c r="AC99" i="46"/>
  <c r="AB99" i="46"/>
  <c r="AA99" i="46"/>
  <c r="AJ180" i="46"/>
  <c r="AI180" i="46"/>
  <c r="AK180" i="46"/>
  <c r="AG180" i="46"/>
  <c r="AL180" i="46"/>
  <c r="AH180" i="46"/>
  <c r="AI227" i="46"/>
  <c r="AL227" i="46"/>
  <c r="AG227" i="46"/>
  <c r="AH227" i="46"/>
  <c r="AJ227" i="46"/>
  <c r="AK227" i="46"/>
  <c r="AR159" i="46"/>
  <c r="AO159" i="46"/>
  <c r="AQ159" i="46"/>
  <c r="AM159" i="46"/>
  <c r="AP159" i="46"/>
  <c r="AN159" i="46"/>
  <c r="AR121" i="46"/>
  <c r="AQ121" i="46"/>
  <c r="AP121" i="46"/>
  <c r="AN121" i="46"/>
  <c r="AM121" i="46"/>
  <c r="AO121" i="46"/>
  <c r="AA95" i="46"/>
  <c r="AB95" i="46"/>
  <c r="AF95" i="46"/>
  <c r="AC95" i="46"/>
  <c r="AD95" i="46"/>
  <c r="AE95" i="46"/>
  <c r="Z95" i="46"/>
  <c r="AP184" i="46"/>
  <c r="AR184" i="46"/>
  <c r="AO184" i="46"/>
  <c r="AN184" i="46"/>
  <c r="AM184" i="46"/>
  <c r="AQ184" i="46"/>
  <c r="AA171" i="46"/>
  <c r="AE171" i="46"/>
  <c r="AB171" i="46"/>
  <c r="AC171" i="46"/>
  <c r="AD171" i="46"/>
  <c r="AF171" i="46"/>
  <c r="Z171" i="46"/>
  <c r="S126" i="46"/>
  <c r="Y126" i="46"/>
  <c r="V126" i="46"/>
  <c r="W126" i="46"/>
  <c r="U126" i="46"/>
  <c r="X126" i="46"/>
  <c r="T126" i="46"/>
  <c r="AQ211" i="46"/>
  <c r="AR211" i="46"/>
  <c r="AO211" i="46"/>
  <c r="AN211" i="46"/>
  <c r="AP211" i="46"/>
  <c r="AM211" i="46"/>
  <c r="AD215" i="46"/>
  <c r="AB215" i="46"/>
  <c r="Z215" i="46"/>
  <c r="AE215" i="46"/>
  <c r="AF215" i="46"/>
  <c r="AA215" i="46"/>
  <c r="AC215" i="46"/>
  <c r="AH107" i="46"/>
  <c r="AK107" i="46"/>
  <c r="AG107" i="46"/>
  <c r="AI107" i="46"/>
  <c r="AJ107" i="46"/>
  <c r="AL107" i="46"/>
  <c r="S22" i="46"/>
  <c r="X22" i="46"/>
  <c r="Y22" i="46"/>
  <c r="W22" i="46"/>
  <c r="T22" i="46"/>
  <c r="U22" i="46"/>
  <c r="V22" i="46"/>
  <c r="AP84" i="46"/>
  <c r="AR84" i="46"/>
  <c r="AN84" i="46"/>
  <c r="AM84" i="46"/>
  <c r="AQ84" i="46"/>
  <c r="AO84" i="46"/>
  <c r="AQ225" i="46"/>
  <c r="AP225" i="46"/>
  <c r="AM225" i="46"/>
  <c r="AO225" i="46"/>
  <c r="AN225" i="46"/>
  <c r="AR225" i="46"/>
  <c r="U35" i="46"/>
  <c r="W35" i="46"/>
  <c r="T35" i="46"/>
  <c r="V35" i="46"/>
  <c r="X35" i="46"/>
  <c r="S35" i="46"/>
  <c r="Y35" i="46"/>
  <c r="S224" i="46"/>
  <c r="U224" i="46"/>
  <c r="W224" i="46"/>
  <c r="Y224" i="46"/>
  <c r="X224" i="46"/>
  <c r="T224" i="46"/>
  <c r="V224" i="46"/>
  <c r="AH277" i="46"/>
  <c r="AJ277" i="46"/>
  <c r="AL277" i="46"/>
  <c r="AK277" i="46"/>
  <c r="AG277" i="46"/>
  <c r="AI277" i="46"/>
  <c r="U38" i="46"/>
  <c r="S38" i="46"/>
  <c r="T38" i="46"/>
  <c r="X38" i="46"/>
  <c r="V38" i="46"/>
  <c r="W38" i="46"/>
  <c r="Y38" i="46"/>
  <c r="AD106" i="46"/>
  <c r="AB106" i="46"/>
  <c r="Z106" i="46"/>
  <c r="AE106" i="46"/>
  <c r="AF106" i="46"/>
  <c r="AC106" i="46"/>
  <c r="AA106" i="46"/>
  <c r="AB15" i="46"/>
  <c r="AA15" i="46"/>
  <c r="AC15" i="46"/>
  <c r="Z15" i="46"/>
  <c r="AE15" i="46"/>
  <c r="AF15" i="46"/>
  <c r="AD15" i="46"/>
  <c r="AK221" i="46"/>
  <c r="AL221" i="46"/>
  <c r="AI221" i="46"/>
  <c r="AJ221" i="46"/>
  <c r="AG221" i="46"/>
  <c r="AH221" i="46"/>
  <c r="S289" i="46"/>
  <c r="T289" i="46"/>
  <c r="W289" i="46"/>
  <c r="U289" i="46"/>
  <c r="X289" i="46"/>
  <c r="Y289" i="46"/>
  <c r="V289" i="46"/>
  <c r="Y177" i="46"/>
  <c r="X177" i="46"/>
  <c r="S177" i="46"/>
  <c r="U177" i="46"/>
  <c r="W177" i="46"/>
  <c r="T177" i="46"/>
  <c r="V177" i="46"/>
  <c r="AK162" i="46"/>
  <c r="AG162" i="46"/>
  <c r="AJ162" i="46"/>
  <c r="AL162" i="46"/>
  <c r="AH162" i="46"/>
  <c r="AI162" i="46"/>
  <c r="AR43" i="46"/>
  <c r="AN43" i="46"/>
  <c r="AQ43" i="46"/>
  <c r="AM43" i="46"/>
  <c r="AO43" i="46"/>
  <c r="AP43" i="46"/>
  <c r="AH173" i="46"/>
  <c r="AI173" i="46"/>
  <c r="AK173" i="46"/>
  <c r="AL173" i="46"/>
  <c r="AJ173" i="46"/>
  <c r="AG173" i="46"/>
  <c r="AJ110" i="46"/>
  <c r="AK110" i="46"/>
  <c r="AH110" i="46"/>
  <c r="AG110" i="46"/>
  <c r="AI110" i="46"/>
  <c r="AL110" i="46"/>
  <c r="AC38" i="46"/>
  <c r="AE38" i="46"/>
  <c r="Z38" i="46"/>
  <c r="AD38" i="46"/>
  <c r="AB38" i="46"/>
  <c r="AA38" i="46"/>
  <c r="AF38" i="46"/>
  <c r="AG31" i="46"/>
  <c r="AL31" i="46"/>
  <c r="AJ31" i="46"/>
  <c r="AK31" i="46"/>
  <c r="AI31" i="46"/>
  <c r="AH31" i="46"/>
  <c r="AE188" i="46"/>
  <c r="AD188" i="46"/>
  <c r="AB188" i="46"/>
  <c r="AF188" i="46"/>
  <c r="AA188" i="46"/>
  <c r="Z188" i="46"/>
  <c r="AC188" i="46"/>
  <c r="AD258" i="46"/>
  <c r="AF258" i="46"/>
  <c r="AA258" i="46"/>
  <c r="Z258" i="46"/>
  <c r="AB258" i="46"/>
  <c r="AC258" i="46"/>
  <c r="AE258" i="46"/>
  <c r="AC282" i="46"/>
  <c r="AF282" i="46"/>
  <c r="Z282" i="46"/>
  <c r="AB282" i="46"/>
  <c r="AE282" i="46"/>
  <c r="AA282" i="46"/>
  <c r="AD282" i="46"/>
  <c r="AH192" i="46"/>
  <c r="AI192" i="46"/>
  <c r="AL192" i="46"/>
  <c r="AJ192" i="46"/>
  <c r="AK192" i="46"/>
  <c r="AG192" i="46"/>
  <c r="AC110" i="46"/>
  <c r="AF110" i="46"/>
  <c r="AD110" i="46"/>
  <c r="Z110" i="46"/>
  <c r="AA110" i="46"/>
  <c r="AB110" i="46"/>
  <c r="AE110" i="46"/>
  <c r="T195" i="46"/>
  <c r="X195" i="46"/>
  <c r="Y195" i="46"/>
  <c r="V195" i="46"/>
  <c r="U195" i="46"/>
  <c r="W195" i="46"/>
  <c r="S195" i="46"/>
  <c r="V198" i="46"/>
  <c r="T198" i="46"/>
  <c r="X198" i="46"/>
  <c r="W198" i="46"/>
  <c r="S198" i="46"/>
  <c r="U198" i="46"/>
  <c r="Y198" i="46"/>
  <c r="AA231" i="46"/>
  <c r="AE231" i="46"/>
  <c r="AF231" i="46"/>
  <c r="AD231" i="46"/>
  <c r="Z231" i="46"/>
  <c r="AC231" i="46"/>
  <c r="AB231" i="46"/>
  <c r="AJ174" i="46"/>
  <c r="AH174" i="46"/>
  <c r="AG174" i="46"/>
  <c r="AI174" i="46"/>
  <c r="AK174" i="46"/>
  <c r="AL174" i="46"/>
  <c r="AN214" i="46"/>
  <c r="AP214" i="46"/>
  <c r="AO214" i="46"/>
  <c r="AM214" i="46"/>
  <c r="AR214" i="46"/>
  <c r="AQ214" i="46"/>
  <c r="U87" i="46"/>
  <c r="V87" i="46"/>
  <c r="W87" i="46"/>
  <c r="T87" i="46"/>
  <c r="X87" i="46"/>
  <c r="Y87" i="46"/>
  <c r="S87" i="46"/>
  <c r="AQ150" i="46"/>
  <c r="AR150" i="46"/>
  <c r="AO150" i="46"/>
  <c r="AN150" i="46"/>
  <c r="AM150" i="46"/>
  <c r="AP150" i="46"/>
  <c r="AR131" i="46"/>
  <c r="AP131" i="46"/>
  <c r="AO131" i="46"/>
  <c r="AQ131" i="46"/>
  <c r="AN131" i="46"/>
  <c r="AM131" i="46"/>
  <c r="AE153" i="46"/>
  <c r="AD153" i="46"/>
  <c r="AA153" i="46"/>
  <c r="AB153" i="46"/>
  <c r="Z153" i="46"/>
  <c r="AF153" i="46"/>
  <c r="AC153" i="46"/>
  <c r="S287" i="46"/>
  <c r="Y287" i="46"/>
  <c r="U287" i="46"/>
  <c r="T287" i="46"/>
  <c r="W287" i="46"/>
  <c r="X287" i="46"/>
  <c r="V287" i="46"/>
  <c r="AR117" i="46"/>
  <c r="AO117" i="46"/>
  <c r="AM117" i="46"/>
  <c r="AQ117" i="46"/>
  <c r="AN117" i="46"/>
  <c r="AP117" i="46"/>
  <c r="V212" i="46"/>
  <c r="Y212" i="46"/>
  <c r="W212" i="46"/>
  <c r="T212" i="46"/>
  <c r="X212" i="46"/>
  <c r="S212" i="46"/>
  <c r="U212" i="46"/>
  <c r="X42" i="46"/>
  <c r="W42" i="46"/>
  <c r="T42" i="46"/>
  <c r="S42" i="46"/>
  <c r="U42" i="46"/>
  <c r="Y42" i="46"/>
  <c r="V42" i="46"/>
  <c r="S127" i="46"/>
  <c r="T127" i="46"/>
  <c r="Y127" i="46"/>
  <c r="U127" i="46"/>
  <c r="X127" i="46"/>
  <c r="W127" i="46"/>
  <c r="V127" i="46"/>
  <c r="T216" i="46"/>
  <c r="S216" i="46"/>
  <c r="Y216" i="46"/>
  <c r="V216" i="46"/>
  <c r="U216" i="46"/>
  <c r="X216" i="46"/>
  <c r="W216" i="46"/>
  <c r="AL150" i="46"/>
  <c r="AG150" i="46"/>
  <c r="AH150" i="46"/>
  <c r="AK150" i="46"/>
  <c r="AJ150" i="46"/>
  <c r="AI150" i="46"/>
  <c r="AG114" i="46"/>
  <c r="AH114" i="46"/>
  <c r="AI114" i="46"/>
  <c r="AJ114" i="46"/>
  <c r="AK114" i="46"/>
  <c r="AL114" i="46"/>
  <c r="Y79" i="46"/>
  <c r="U79" i="46"/>
  <c r="S79" i="46"/>
  <c r="V79" i="46"/>
  <c r="T79" i="46"/>
  <c r="X79" i="46"/>
  <c r="W79" i="46"/>
  <c r="AK206" i="46"/>
  <c r="AJ206" i="46"/>
  <c r="AG206" i="46"/>
  <c r="AH206" i="46"/>
  <c r="AL206" i="46"/>
  <c r="AI206" i="46"/>
  <c r="AO118" i="46"/>
  <c r="AR118" i="46"/>
  <c r="AQ118" i="46"/>
  <c r="AN118" i="46"/>
  <c r="AP118" i="46"/>
  <c r="AM118" i="46"/>
  <c r="U256" i="46"/>
  <c r="V256" i="46"/>
  <c r="T256" i="46"/>
  <c r="X256" i="46"/>
  <c r="S256" i="46"/>
  <c r="W256" i="46"/>
  <c r="Y256" i="46"/>
  <c r="AF239" i="46"/>
  <c r="AE239" i="46"/>
  <c r="AA239" i="46"/>
  <c r="AD239" i="46"/>
  <c r="AB239" i="46"/>
  <c r="Z239" i="46"/>
  <c r="AC239" i="46"/>
  <c r="U142" i="46"/>
  <c r="S142" i="46"/>
  <c r="Y142" i="46"/>
  <c r="V142" i="46"/>
  <c r="T142" i="46"/>
  <c r="W142" i="46"/>
  <c r="X142" i="46"/>
  <c r="AI196" i="46"/>
  <c r="AJ196" i="46"/>
  <c r="AL196" i="46"/>
  <c r="AG196" i="46"/>
  <c r="AK196" i="46"/>
  <c r="AH196" i="46"/>
  <c r="V189" i="46"/>
  <c r="W189" i="46"/>
  <c r="Y189" i="46"/>
  <c r="X189" i="46"/>
  <c r="S189" i="46"/>
  <c r="T189" i="46"/>
  <c r="U189" i="46"/>
  <c r="AL152" i="46"/>
  <c r="AI152" i="46"/>
  <c r="AJ152" i="46"/>
  <c r="AG152" i="46"/>
  <c r="AK152" i="46"/>
  <c r="AH152" i="46"/>
  <c r="AH210" i="46"/>
  <c r="AG210" i="46"/>
  <c r="AI210" i="46"/>
  <c r="AK210" i="46"/>
  <c r="AL210" i="46"/>
  <c r="AJ210" i="46"/>
  <c r="AP197" i="46"/>
  <c r="AQ197" i="46"/>
  <c r="AR197" i="46"/>
  <c r="AO197" i="46"/>
  <c r="AN197" i="46"/>
  <c r="AM197" i="46"/>
  <c r="AB227" i="46"/>
  <c r="AA227" i="46"/>
  <c r="AD227" i="46"/>
  <c r="AE227" i="46"/>
  <c r="AC227" i="46"/>
  <c r="Z227" i="46"/>
  <c r="AF227" i="46"/>
  <c r="AJ163" i="46"/>
  <c r="AI163" i="46"/>
  <c r="AG163" i="46"/>
  <c r="AL163" i="46"/>
  <c r="AH163" i="46"/>
  <c r="AK163" i="46"/>
  <c r="X226" i="46"/>
  <c r="V226" i="46"/>
  <c r="W226" i="46"/>
  <c r="T226" i="46"/>
  <c r="Y226" i="46"/>
  <c r="U226" i="46"/>
  <c r="S226" i="46"/>
  <c r="AE158" i="46"/>
  <c r="AB158" i="46"/>
  <c r="AF158" i="46"/>
  <c r="AC158" i="46"/>
  <c r="AD158" i="46"/>
  <c r="Z158" i="46"/>
  <c r="AA158" i="46"/>
  <c r="AP97" i="46"/>
  <c r="AN97" i="46"/>
  <c r="AQ97" i="46"/>
  <c r="AR97" i="46"/>
  <c r="AM97" i="46"/>
  <c r="AO97" i="46"/>
  <c r="T81" i="46"/>
  <c r="S81" i="46"/>
  <c r="V81" i="46"/>
  <c r="U81" i="46"/>
  <c r="X81" i="46"/>
  <c r="Y81" i="46"/>
  <c r="W81" i="46"/>
  <c r="AN147" i="46"/>
  <c r="AR147" i="46"/>
  <c r="AQ147" i="46"/>
  <c r="AO147" i="46"/>
  <c r="AP147" i="46"/>
  <c r="AM147" i="46"/>
  <c r="AP140" i="46"/>
  <c r="AO140" i="46"/>
  <c r="AR140" i="46"/>
  <c r="AM140" i="46"/>
  <c r="AQ140" i="46"/>
  <c r="AN140" i="46"/>
  <c r="AM181" i="46"/>
  <c r="AN181" i="46"/>
  <c r="AR181" i="46"/>
  <c r="AO181" i="46"/>
  <c r="AQ181" i="46"/>
  <c r="AP181" i="46"/>
  <c r="V227" i="46"/>
  <c r="X227" i="46"/>
  <c r="T227" i="46"/>
  <c r="S227" i="46"/>
  <c r="Y227" i="46"/>
  <c r="U227" i="46"/>
  <c r="W227" i="46"/>
  <c r="AF159" i="46"/>
  <c r="AB159" i="46"/>
  <c r="AE159" i="46"/>
  <c r="AA159" i="46"/>
  <c r="AC159" i="46"/>
  <c r="Z159" i="46"/>
  <c r="AD159" i="46"/>
  <c r="S172" i="46"/>
  <c r="W172" i="46"/>
  <c r="V172" i="46"/>
  <c r="U172" i="46"/>
  <c r="X172" i="46"/>
  <c r="T172" i="46"/>
  <c r="Y172" i="46"/>
  <c r="AF132" i="46"/>
  <c r="AA132" i="46"/>
  <c r="AB132" i="46"/>
  <c r="AE132" i="46"/>
  <c r="AD132" i="46"/>
  <c r="AC132" i="46"/>
  <c r="Z132" i="46"/>
  <c r="AM270" i="46"/>
  <c r="AQ270" i="46"/>
  <c r="AN270" i="46"/>
  <c r="AR270" i="46"/>
  <c r="AP270" i="46"/>
  <c r="AO270" i="46"/>
  <c r="AC180" i="46"/>
  <c r="AF180" i="46"/>
  <c r="AE180" i="46"/>
  <c r="Z180" i="46"/>
  <c r="AB180" i="46"/>
  <c r="AD180" i="46"/>
  <c r="AA180" i="46"/>
  <c r="AF220" i="46"/>
  <c r="AE220" i="46"/>
  <c r="AC220" i="46"/>
  <c r="AB220" i="46"/>
  <c r="AD220" i="46"/>
  <c r="Z220" i="46"/>
  <c r="AA220" i="46"/>
  <c r="AF173" i="46"/>
  <c r="AD173" i="46"/>
  <c r="AE173" i="46"/>
  <c r="AA173" i="46"/>
  <c r="AB173" i="46"/>
  <c r="AC173" i="46"/>
  <c r="Z173" i="46"/>
  <c r="AI113" i="46"/>
  <c r="AJ113" i="46"/>
  <c r="AH113" i="46"/>
  <c r="AL113" i="46"/>
  <c r="AK113" i="46"/>
  <c r="AG113" i="46"/>
  <c r="X175" i="46"/>
  <c r="Y175" i="46"/>
  <c r="W175" i="46"/>
  <c r="S175" i="46"/>
  <c r="V175" i="46"/>
  <c r="U175" i="46"/>
  <c r="T175" i="46"/>
  <c r="S204" i="46"/>
  <c r="V204" i="46"/>
  <c r="W204" i="46"/>
  <c r="Y204" i="46"/>
  <c r="U204" i="46"/>
  <c r="X204" i="46"/>
  <c r="T204" i="46"/>
  <c r="V228" i="46"/>
  <c r="T228" i="46"/>
  <c r="W228" i="46"/>
  <c r="Y228" i="46"/>
  <c r="S228" i="46"/>
  <c r="X228" i="46"/>
  <c r="U228" i="46"/>
  <c r="AQ15" i="46"/>
  <c r="AR15" i="46"/>
  <c r="AM15" i="46"/>
  <c r="AO15" i="46"/>
  <c r="AP15" i="46"/>
  <c r="AN15" i="46"/>
  <c r="V221" i="46"/>
  <c r="U221" i="46"/>
  <c r="W221" i="46"/>
  <c r="T221" i="46"/>
  <c r="X221" i="46"/>
  <c r="Y221" i="46"/>
  <c r="S221" i="46"/>
  <c r="AH289" i="46"/>
  <c r="AJ289" i="46"/>
  <c r="AK289" i="46"/>
  <c r="AI289" i="46"/>
  <c r="AG289" i="46"/>
  <c r="AL289" i="46"/>
  <c r="AK177" i="46"/>
  <c r="AI177" i="46"/>
  <c r="AG177" i="46"/>
  <c r="AH177" i="46"/>
  <c r="AL177" i="46"/>
  <c r="AJ177" i="46"/>
  <c r="T162" i="46"/>
  <c r="S162" i="46"/>
  <c r="Y162" i="46"/>
  <c r="U162" i="46"/>
  <c r="W162" i="46"/>
  <c r="V162" i="46"/>
  <c r="X162" i="46"/>
  <c r="AE277" i="46"/>
  <c r="AA277" i="46"/>
  <c r="AD277" i="46"/>
  <c r="Z277" i="46"/>
  <c r="AF277" i="46"/>
  <c r="AC277" i="46"/>
  <c r="AB277" i="46"/>
  <c r="AR204" i="46"/>
  <c r="AP204" i="46"/>
  <c r="AM204" i="46"/>
  <c r="AQ204" i="46"/>
  <c r="AN204" i="46"/>
  <c r="AO204" i="46"/>
  <c r="S106" i="46"/>
  <c r="W106" i="46"/>
  <c r="X106" i="46"/>
  <c r="V106" i="46"/>
  <c r="U106" i="46"/>
  <c r="T106" i="46"/>
  <c r="Y106" i="46"/>
  <c r="S260" i="46"/>
  <c r="Y260" i="46"/>
  <c r="X260" i="46"/>
  <c r="U260" i="46"/>
  <c r="V260" i="46"/>
  <c r="T260" i="46"/>
  <c r="W260" i="46"/>
  <c r="AA289" i="46"/>
  <c r="AE289" i="46"/>
  <c r="AD289" i="46"/>
  <c r="Z289" i="46"/>
  <c r="AF289" i="46"/>
  <c r="AB289" i="46"/>
  <c r="AC289" i="46"/>
  <c r="AN258" i="46"/>
  <c r="AQ258" i="46"/>
  <c r="AR258" i="46"/>
  <c r="AP258" i="46"/>
  <c r="AO258" i="46"/>
  <c r="AM258" i="46"/>
  <c r="AP164" i="46"/>
  <c r="AM164" i="46"/>
  <c r="AN164" i="46"/>
  <c r="AR164" i="46"/>
  <c r="AQ164" i="46"/>
  <c r="AO164" i="46"/>
  <c r="AA44" i="46"/>
  <c r="Z44" i="46"/>
  <c r="AC44" i="46"/>
  <c r="AF44" i="46"/>
  <c r="AD44" i="46"/>
  <c r="AB44" i="46"/>
  <c r="AE44" i="46"/>
  <c r="AQ282" i="46"/>
  <c r="AN282" i="46"/>
  <c r="AM282" i="46"/>
  <c r="AR282" i="46"/>
  <c r="AO282" i="46"/>
  <c r="AP282" i="46"/>
  <c r="AM218" i="46"/>
  <c r="AR218" i="46"/>
  <c r="AP218" i="46"/>
  <c r="AQ218" i="46"/>
  <c r="AN218" i="46"/>
  <c r="AO218" i="46"/>
  <c r="V39" i="46"/>
  <c r="T39" i="46"/>
  <c r="Y39" i="46"/>
  <c r="W39" i="46"/>
  <c r="U39" i="46"/>
  <c r="X39" i="46"/>
  <c r="S39" i="46"/>
  <c r="AP110" i="46"/>
  <c r="AN110" i="46"/>
  <c r="AM110" i="46"/>
  <c r="AO110" i="46"/>
  <c r="AR110" i="46"/>
  <c r="AQ110" i="46"/>
  <c r="AG195" i="46"/>
  <c r="AI195" i="46"/>
  <c r="AH195" i="46"/>
  <c r="AL195" i="46"/>
  <c r="AJ195" i="46"/>
  <c r="AK195" i="46"/>
  <c r="AG198" i="46"/>
  <c r="AJ198" i="46"/>
  <c r="AI198" i="46"/>
  <c r="AK198" i="46"/>
  <c r="AH198" i="46"/>
  <c r="AL198" i="46"/>
  <c r="AB111" i="46"/>
  <c r="AD111" i="46"/>
  <c r="AA111" i="46"/>
  <c r="AE111" i="46"/>
  <c r="AC111" i="46"/>
  <c r="Z111" i="46"/>
  <c r="AF111" i="46"/>
  <c r="Y174" i="46"/>
  <c r="W174" i="46"/>
  <c r="V174" i="46"/>
  <c r="X174" i="46"/>
  <c r="S174" i="46"/>
  <c r="U174" i="46"/>
  <c r="T174" i="46"/>
  <c r="AJ258" i="46"/>
  <c r="AG258" i="46"/>
  <c r="AI258" i="46"/>
  <c r="AL258" i="46"/>
  <c r="AK258" i="46"/>
  <c r="AH258" i="46"/>
  <c r="AF214" i="46"/>
  <c r="AD214" i="46"/>
  <c r="AC214" i="46"/>
  <c r="AA214" i="46"/>
  <c r="Z214" i="46"/>
  <c r="AE214" i="46"/>
  <c r="AB214" i="46"/>
  <c r="AI87" i="46"/>
  <c r="AK87" i="46"/>
  <c r="AL87" i="46"/>
  <c r="AG87" i="46"/>
  <c r="AJ87" i="46"/>
  <c r="AH87" i="46"/>
  <c r="AC150" i="46"/>
  <c r="AD150" i="46"/>
  <c r="AB150" i="46"/>
  <c r="AA150" i="46"/>
  <c r="Z150" i="46"/>
  <c r="AF150" i="46"/>
  <c r="AE150" i="46"/>
  <c r="AB249" i="46"/>
  <c r="AC249" i="46"/>
  <c r="Z249" i="46"/>
  <c r="AE249" i="46"/>
  <c r="AA249" i="46"/>
  <c r="AF249" i="46"/>
  <c r="AD249" i="46"/>
  <c r="AM153" i="46"/>
  <c r="AP153" i="46"/>
  <c r="AN153" i="46"/>
  <c r="AR153" i="46"/>
  <c r="AO153" i="46"/>
  <c r="AQ153" i="46"/>
  <c r="AL287" i="46"/>
  <c r="AI287" i="46"/>
  <c r="AJ287" i="46"/>
  <c r="AH287" i="46"/>
  <c r="AK287" i="46"/>
  <c r="AG287" i="46"/>
  <c r="AP206" i="46"/>
  <c r="AO206" i="46"/>
  <c r="AN206" i="46"/>
  <c r="AM206" i="46"/>
  <c r="AR206" i="46"/>
  <c r="AQ206" i="46"/>
  <c r="AK212" i="46"/>
  <c r="AH212" i="46"/>
  <c r="AI212" i="46"/>
  <c r="AG212" i="46"/>
  <c r="AL212" i="46"/>
  <c r="AJ212" i="46"/>
  <c r="AL42" i="46"/>
  <c r="AK42" i="46"/>
  <c r="AI42" i="46"/>
  <c r="AJ42" i="46"/>
  <c r="AG42" i="46"/>
  <c r="AH42" i="46"/>
  <c r="AK127" i="46"/>
  <c r="AH127" i="46"/>
  <c r="AJ127" i="46"/>
  <c r="AG127" i="46"/>
  <c r="AI127" i="46"/>
  <c r="AL127" i="46"/>
  <c r="AM87" i="46"/>
  <c r="AR87" i="46"/>
  <c r="AN87" i="46"/>
  <c r="AQ87" i="46"/>
  <c r="AP87" i="46"/>
  <c r="AO87" i="46"/>
  <c r="AJ216" i="46"/>
  <c r="AG216" i="46"/>
  <c r="AI216" i="46"/>
  <c r="AL216" i="46"/>
  <c r="AH216" i="46"/>
  <c r="AK216" i="46"/>
  <c r="S150" i="46"/>
  <c r="W150" i="46"/>
  <c r="U150" i="46"/>
  <c r="T150" i="46"/>
  <c r="Y150" i="46"/>
  <c r="V150" i="46"/>
  <c r="X150" i="46"/>
  <c r="AB152" i="46"/>
  <c r="AA152" i="46"/>
  <c r="Z152" i="46"/>
  <c r="AC152" i="46"/>
  <c r="AD152" i="46"/>
  <c r="AF152" i="46"/>
  <c r="AE152" i="46"/>
  <c r="T114" i="46"/>
  <c r="V114" i="46"/>
  <c r="Y114" i="46"/>
  <c r="S114" i="46"/>
  <c r="U114" i="46"/>
  <c r="W114" i="46"/>
  <c r="X114" i="46"/>
  <c r="AI79" i="46"/>
  <c r="AH79" i="46"/>
  <c r="AL79" i="46"/>
  <c r="AG79" i="46"/>
  <c r="AK79" i="46"/>
  <c r="AJ79" i="46"/>
  <c r="AK167" i="46"/>
  <c r="AJ167" i="46"/>
  <c r="AL167" i="46"/>
  <c r="AH167" i="46"/>
  <c r="AI167" i="46"/>
  <c r="AG167" i="46"/>
  <c r="AE118" i="46"/>
  <c r="Z118" i="46"/>
  <c r="AF118" i="46"/>
  <c r="AC118" i="46"/>
  <c r="AD118" i="46"/>
  <c r="AA118" i="46"/>
  <c r="AB118" i="46"/>
  <c r="AB212" i="46"/>
  <c r="AA212" i="46"/>
  <c r="AE212" i="46"/>
  <c r="AC212" i="46"/>
  <c r="AD212" i="46"/>
  <c r="AF212" i="46"/>
  <c r="Z212" i="46"/>
  <c r="AI256" i="46"/>
  <c r="AL256" i="46"/>
  <c r="AH256" i="46"/>
  <c r="AK256" i="46"/>
  <c r="AG256" i="46"/>
  <c r="AJ256" i="46"/>
  <c r="S257" i="46"/>
  <c r="W257" i="46"/>
  <c r="U257" i="46"/>
  <c r="X257" i="46"/>
  <c r="V257" i="46"/>
  <c r="T257" i="46"/>
  <c r="Y257" i="46"/>
  <c r="AG142" i="46"/>
  <c r="AJ142" i="46"/>
  <c r="AH142" i="46"/>
  <c r="AI142" i="46"/>
  <c r="AK142" i="46"/>
  <c r="AL142" i="46"/>
  <c r="T196" i="46"/>
  <c r="W196" i="46"/>
  <c r="V196" i="46"/>
  <c r="U196" i="46"/>
  <c r="Y196" i="46"/>
  <c r="X196" i="46"/>
  <c r="S196" i="46"/>
  <c r="AI189" i="46"/>
  <c r="AH189" i="46"/>
  <c r="AL189" i="46"/>
  <c r="AG189" i="46"/>
  <c r="AK189" i="46"/>
  <c r="AJ189" i="46"/>
  <c r="AD29" i="46"/>
  <c r="AE29" i="46"/>
  <c r="AF29" i="46"/>
  <c r="Z29" i="46"/>
  <c r="AB29" i="46"/>
  <c r="AA29" i="46"/>
  <c r="AC29" i="46"/>
  <c r="AE223" i="46"/>
  <c r="AC223" i="46"/>
  <c r="AB223" i="46"/>
  <c r="AF223" i="46"/>
  <c r="Z223" i="46"/>
  <c r="AD223" i="46"/>
  <c r="AA223" i="46"/>
  <c r="AQ182" i="46"/>
  <c r="AM182" i="46"/>
  <c r="AR182" i="46"/>
  <c r="AO182" i="46"/>
  <c r="AP182" i="46"/>
  <c r="AN182" i="46"/>
  <c r="T237" i="46"/>
  <c r="Y237" i="46"/>
  <c r="X237" i="46"/>
  <c r="V237" i="46"/>
  <c r="S237" i="46"/>
  <c r="U237" i="46"/>
  <c r="W237" i="46"/>
  <c r="U210" i="46"/>
  <c r="X210" i="46"/>
  <c r="W210" i="46"/>
  <c r="S210" i="46"/>
  <c r="Y210" i="46"/>
  <c r="V210" i="46"/>
  <c r="T210" i="46"/>
  <c r="AA197" i="46"/>
  <c r="AC197" i="46"/>
  <c r="Z197" i="46"/>
  <c r="AF197" i="46"/>
  <c r="AB197" i="46"/>
  <c r="AE197" i="46"/>
  <c r="AD197" i="46"/>
  <c r="S163" i="46"/>
  <c r="V163" i="46"/>
  <c r="Y163" i="46"/>
  <c r="U163" i="46"/>
  <c r="T163" i="46"/>
  <c r="W163" i="46"/>
  <c r="X163" i="46"/>
  <c r="AQ142" i="46"/>
  <c r="AO142" i="46"/>
  <c r="AR142" i="46"/>
  <c r="AM142" i="46"/>
  <c r="AN142" i="46"/>
  <c r="AP142" i="46"/>
  <c r="AM196" i="46"/>
  <c r="AR196" i="46"/>
  <c r="AO196" i="46"/>
  <c r="AN196" i="46"/>
  <c r="AQ196" i="46"/>
  <c r="AP196" i="46"/>
  <c r="AE97" i="46"/>
  <c r="AA97" i="46"/>
  <c r="AF97" i="46"/>
  <c r="AD97" i="46"/>
  <c r="Z97" i="46"/>
  <c r="AB97" i="46"/>
  <c r="AC97" i="46"/>
  <c r="Y161" i="46"/>
  <c r="T161" i="46"/>
  <c r="W161" i="46"/>
  <c r="U161" i="46"/>
  <c r="X161" i="46"/>
  <c r="S161" i="46"/>
  <c r="V161" i="46"/>
  <c r="AL81" i="46"/>
  <c r="AJ81" i="46"/>
  <c r="AI81" i="46"/>
  <c r="AH81" i="46"/>
  <c r="AG81" i="46"/>
  <c r="AK81" i="46"/>
  <c r="AL209" i="46"/>
  <c r="AI209" i="46"/>
  <c r="AK209" i="46"/>
  <c r="AG209" i="46"/>
  <c r="AH209" i="46"/>
  <c r="AJ209" i="46"/>
  <c r="AF147" i="46"/>
  <c r="AD147" i="46"/>
  <c r="AE147" i="46"/>
  <c r="Z147" i="46"/>
  <c r="AC147" i="46"/>
  <c r="AA147" i="46"/>
  <c r="AB147" i="46"/>
  <c r="Z140" i="46"/>
  <c r="AF140" i="46"/>
  <c r="AE140" i="46"/>
  <c r="AC140" i="46"/>
  <c r="AD140" i="46"/>
  <c r="AA140" i="46"/>
  <c r="AB140" i="46"/>
  <c r="AL202" i="46"/>
  <c r="AK202" i="46"/>
  <c r="AJ202" i="46"/>
  <c r="AI202" i="46"/>
  <c r="AH202" i="46"/>
  <c r="AG202" i="46"/>
  <c r="AE181" i="46"/>
  <c r="AC181" i="46"/>
  <c r="AD181" i="46"/>
  <c r="AA181" i="46"/>
  <c r="AB181" i="46"/>
  <c r="Z181" i="46"/>
  <c r="AF181" i="46"/>
  <c r="X179" i="46"/>
  <c r="S179" i="46"/>
  <c r="W179" i="46"/>
  <c r="V179" i="46"/>
  <c r="Y179" i="46"/>
  <c r="U179" i="46"/>
  <c r="T179" i="46"/>
  <c r="AG172" i="46"/>
  <c r="AJ172" i="46"/>
  <c r="AI172" i="46"/>
  <c r="AH172" i="46"/>
  <c r="AL172" i="46"/>
  <c r="AK172" i="46"/>
  <c r="AQ132" i="46"/>
  <c r="AR132" i="46"/>
  <c r="AP132" i="46"/>
  <c r="AN132" i="46"/>
  <c r="AO132" i="46"/>
  <c r="AM132" i="46"/>
  <c r="AE270" i="46"/>
  <c r="AB270" i="46"/>
  <c r="AC270" i="46"/>
  <c r="AA270" i="46"/>
  <c r="AF270" i="46"/>
  <c r="AD270" i="46"/>
  <c r="Z270" i="46"/>
  <c r="U140" i="46"/>
  <c r="V140" i="46"/>
  <c r="S140" i="46"/>
  <c r="T140" i="46"/>
  <c r="W140" i="46"/>
  <c r="X140" i="46"/>
  <c r="Y140" i="46"/>
  <c r="AR180" i="46"/>
  <c r="AO180" i="46"/>
  <c r="AQ180" i="46"/>
  <c r="AP180" i="46"/>
  <c r="AN180" i="46"/>
  <c r="AM180" i="46"/>
  <c r="AR220" i="46"/>
  <c r="AN220" i="46"/>
  <c r="AQ220" i="46"/>
  <c r="AO220" i="46"/>
  <c r="AP220" i="46"/>
  <c r="AM220" i="46"/>
  <c r="AQ173" i="46"/>
  <c r="AR173" i="46"/>
  <c r="AN173" i="46"/>
  <c r="AP173" i="46"/>
  <c r="AO173" i="46"/>
  <c r="AM173" i="46"/>
  <c r="S113" i="46"/>
  <c r="W113" i="46"/>
  <c r="Y113" i="46"/>
  <c r="T113" i="46"/>
  <c r="X113" i="46"/>
  <c r="V113" i="46"/>
  <c r="U113" i="46"/>
  <c r="AG175" i="46"/>
  <c r="AH175" i="46"/>
  <c r="AI175" i="46"/>
  <c r="AL175" i="46"/>
  <c r="AJ175" i="46"/>
  <c r="AK175" i="46"/>
  <c r="AK204" i="46"/>
  <c r="AG204" i="46"/>
  <c r="AH204" i="46"/>
  <c r="AI204" i="46"/>
  <c r="AL204" i="46"/>
  <c r="AJ204" i="46"/>
  <c r="AJ228" i="46"/>
  <c r="AI228" i="46"/>
  <c r="AH228" i="46"/>
  <c r="AL228" i="46"/>
  <c r="AK228" i="46"/>
  <c r="AG228" i="46"/>
  <c r="AI215" i="46"/>
  <c r="AH215" i="46"/>
  <c r="AL215" i="46"/>
  <c r="AJ215" i="46"/>
  <c r="AG215" i="46"/>
  <c r="AK215" i="46"/>
  <c r="V25" i="46"/>
  <c r="T25" i="46"/>
  <c r="U25" i="46"/>
  <c r="X25" i="46"/>
  <c r="W25" i="46"/>
  <c r="S25" i="46"/>
  <c r="Y25" i="46"/>
  <c r="AF22" i="46"/>
  <c r="AA22" i="46"/>
  <c r="Z22" i="46"/>
  <c r="AC22" i="46"/>
  <c r="AB22" i="46"/>
  <c r="AD22" i="46"/>
  <c r="AE22" i="46"/>
  <c r="AB81" i="46"/>
  <c r="AC81" i="46"/>
  <c r="AF81" i="46"/>
  <c r="AE81" i="46"/>
  <c r="AD81" i="46"/>
  <c r="Z81" i="46"/>
  <c r="AA81" i="46"/>
  <c r="AR277" i="46"/>
  <c r="AO277" i="46"/>
  <c r="AM277" i="46"/>
  <c r="AQ277" i="46"/>
  <c r="AN277" i="46"/>
  <c r="AP277" i="46"/>
  <c r="AB204" i="46"/>
  <c r="AE204" i="46"/>
  <c r="AA204" i="46"/>
  <c r="Z204" i="46"/>
  <c r="AC204" i="46"/>
  <c r="AF204" i="46"/>
  <c r="AD204" i="46"/>
  <c r="AJ106" i="46"/>
  <c r="AH106" i="46"/>
  <c r="AL106" i="46"/>
  <c r="AG106" i="46"/>
  <c r="AK106" i="46"/>
  <c r="AI106" i="46"/>
  <c r="AJ260" i="46"/>
  <c r="AK260" i="46"/>
  <c r="AH260" i="46"/>
  <c r="AL260" i="46"/>
  <c r="AG260" i="46"/>
  <c r="AI260" i="46"/>
  <c r="AQ289" i="46"/>
  <c r="AP289" i="46"/>
  <c r="AO289" i="46"/>
  <c r="AR289" i="46"/>
  <c r="AM289" i="46"/>
  <c r="AN289" i="46"/>
  <c r="Z177" i="46"/>
  <c r="AC177" i="46"/>
  <c r="AB177" i="46"/>
  <c r="AA177" i="46"/>
  <c r="AD177" i="46"/>
  <c r="AE177" i="46"/>
  <c r="AF177" i="46"/>
  <c r="T145" i="46"/>
  <c r="X145" i="46"/>
  <c r="Y145" i="46"/>
  <c r="U145" i="46"/>
  <c r="S145" i="46"/>
  <c r="V145" i="46"/>
  <c r="W145" i="46"/>
  <c r="AF164" i="46"/>
  <c r="AB164" i="46"/>
  <c r="AD164" i="46"/>
  <c r="AA164" i="46"/>
  <c r="Z164" i="46"/>
  <c r="AC164" i="46"/>
  <c r="AE164" i="46"/>
  <c r="AQ44" i="46"/>
  <c r="AN44" i="46"/>
  <c r="AM44" i="46"/>
  <c r="AP44" i="46"/>
  <c r="AR44" i="46"/>
  <c r="AO44" i="46"/>
  <c r="AA218" i="46"/>
  <c r="AB218" i="46"/>
  <c r="Z218" i="46"/>
  <c r="AE218" i="46"/>
  <c r="AF218" i="46"/>
  <c r="AC218" i="46"/>
  <c r="AD218" i="46"/>
  <c r="AH39" i="46"/>
  <c r="AL39" i="46"/>
  <c r="AK39" i="46"/>
  <c r="AG39" i="46"/>
  <c r="AI39" i="46"/>
  <c r="AJ39" i="46"/>
  <c r="AH233" i="46"/>
  <c r="AG233" i="46"/>
  <c r="AI233" i="46"/>
  <c r="AL233" i="46"/>
  <c r="AK233" i="46"/>
  <c r="AJ233" i="46"/>
  <c r="AE275" i="46"/>
  <c r="AD275" i="46"/>
  <c r="AC275" i="46"/>
  <c r="Z275" i="46"/>
  <c r="AF275" i="46"/>
  <c r="AA275" i="46"/>
  <c r="AB275" i="46"/>
  <c r="AN111" i="46"/>
  <c r="AR111" i="46"/>
  <c r="AQ111" i="46"/>
  <c r="AP111" i="46"/>
  <c r="AM111" i="46"/>
  <c r="AO111" i="46"/>
  <c r="AF96" i="46"/>
  <c r="Z96" i="46"/>
  <c r="AA96" i="46"/>
  <c r="AE96" i="46"/>
  <c r="AD96" i="46"/>
  <c r="AB96" i="46"/>
  <c r="AC96" i="46"/>
  <c r="T258" i="46"/>
  <c r="Y258" i="46"/>
  <c r="X258" i="46"/>
  <c r="S258" i="46"/>
  <c r="U258" i="46"/>
  <c r="W258" i="46"/>
  <c r="V258" i="46"/>
  <c r="X290" i="46"/>
  <c r="W290" i="46"/>
  <c r="V290" i="46"/>
  <c r="T290" i="46"/>
  <c r="Y290" i="46"/>
  <c r="U290" i="46"/>
  <c r="S290" i="46"/>
  <c r="AO105" i="46"/>
  <c r="AR105" i="46"/>
  <c r="AP105" i="46"/>
  <c r="AM105" i="46"/>
  <c r="AQ105" i="46"/>
  <c r="AN105" i="46"/>
  <c r="AB192" i="46"/>
  <c r="AE192" i="46"/>
  <c r="AD192" i="46"/>
  <c r="AC192" i="46"/>
  <c r="AA192" i="46"/>
  <c r="Z192" i="46"/>
  <c r="AF192" i="46"/>
  <c r="AN39" i="46"/>
  <c r="AR39" i="46"/>
  <c r="AP39" i="46"/>
  <c r="AM39" i="46"/>
  <c r="AQ39" i="46"/>
  <c r="AO39" i="46"/>
  <c r="AQ249" i="46"/>
  <c r="AR249" i="46"/>
  <c r="AN249" i="46"/>
  <c r="AM249" i="46"/>
  <c r="AP249" i="46"/>
  <c r="AO249" i="46"/>
  <c r="Z233" i="46"/>
  <c r="AF233" i="46"/>
  <c r="AE233" i="46"/>
  <c r="AA233" i="46"/>
  <c r="AD233" i="46"/>
  <c r="AC233" i="46"/>
  <c r="AB233" i="46"/>
  <c r="AC206" i="46"/>
  <c r="AA206" i="46"/>
  <c r="AF206" i="46"/>
  <c r="AE206" i="46"/>
  <c r="Z206" i="46"/>
  <c r="AB206" i="46"/>
  <c r="AD206" i="46"/>
  <c r="AC178" i="46"/>
  <c r="Z178" i="46"/>
  <c r="AA178" i="46"/>
  <c r="AD178" i="46"/>
  <c r="AF178" i="46"/>
  <c r="AE178" i="46"/>
  <c r="AB178" i="46"/>
  <c r="V231" i="46"/>
  <c r="T231" i="46"/>
  <c r="U231" i="46"/>
  <c r="W231" i="46"/>
  <c r="Y231" i="46"/>
  <c r="X231" i="46"/>
  <c r="S231" i="46"/>
  <c r="Z174" i="46"/>
  <c r="AD174" i="46"/>
  <c r="AA174" i="46"/>
  <c r="AE174" i="46"/>
  <c r="AB174" i="46"/>
  <c r="AF174" i="46"/>
  <c r="AC174" i="46"/>
  <c r="AR151" i="46"/>
  <c r="AM151" i="46"/>
  <c r="AN151" i="46"/>
  <c r="AP151" i="46"/>
  <c r="AQ151" i="46"/>
  <c r="AO151" i="46"/>
  <c r="U33" i="46"/>
  <c r="X33" i="46"/>
  <c r="V33" i="46"/>
  <c r="W33" i="46"/>
  <c r="S33" i="46"/>
  <c r="Y33" i="46"/>
  <c r="T33" i="46"/>
  <c r="AE290" i="46"/>
  <c r="Z290" i="46"/>
  <c r="AD290" i="46"/>
  <c r="AA290" i="46"/>
  <c r="AF290" i="46"/>
  <c r="AC290" i="46"/>
  <c r="AB290" i="46"/>
  <c r="AA87" i="46"/>
  <c r="AF87" i="46"/>
  <c r="Z87" i="46"/>
  <c r="AC87" i="46"/>
  <c r="AD87" i="46"/>
  <c r="AB87" i="46"/>
  <c r="AE87" i="46"/>
  <c r="AH105" i="46"/>
  <c r="AL105" i="46"/>
  <c r="AG105" i="46"/>
  <c r="AK105" i="46"/>
  <c r="AJ105" i="46"/>
  <c r="AI105" i="46"/>
  <c r="AM152" i="46"/>
  <c r="AP152" i="46"/>
  <c r="AN152" i="46"/>
  <c r="AO152" i="46"/>
  <c r="AR152" i="46"/>
  <c r="AQ152" i="46"/>
  <c r="V223" i="46"/>
  <c r="S223" i="46"/>
  <c r="Y223" i="46"/>
  <c r="T223" i="46"/>
  <c r="U223" i="46"/>
  <c r="W223" i="46"/>
  <c r="X223" i="46"/>
  <c r="AA287" i="46"/>
  <c r="AF287" i="46"/>
  <c r="AE287" i="46"/>
  <c r="AD287" i="46"/>
  <c r="AB287" i="46"/>
  <c r="Z287" i="46"/>
  <c r="AC287" i="46"/>
  <c r="X232" i="46"/>
  <c r="W232" i="46"/>
  <c r="V232" i="46"/>
  <c r="U232" i="46"/>
  <c r="Y232" i="46"/>
  <c r="T232" i="46"/>
  <c r="S232" i="46"/>
  <c r="W167" i="46"/>
  <c r="U167" i="46"/>
  <c r="V167" i="46"/>
  <c r="X167" i="46"/>
  <c r="Y167" i="46"/>
  <c r="S167" i="46"/>
  <c r="T167" i="46"/>
  <c r="AQ135" i="46"/>
  <c r="AP135" i="46"/>
  <c r="AO135" i="46"/>
  <c r="AR135" i="46"/>
  <c r="AM135" i="46"/>
  <c r="AN135" i="46"/>
  <c r="AM212" i="46"/>
  <c r="AQ212" i="46"/>
  <c r="AP212" i="46"/>
  <c r="AO212" i="46"/>
  <c r="AN212" i="46"/>
  <c r="AR212" i="46"/>
  <c r="AN163" i="46"/>
  <c r="AQ163" i="46"/>
  <c r="AO163" i="46"/>
  <c r="AP163" i="46"/>
  <c r="AR163" i="46"/>
  <c r="AM163" i="46"/>
  <c r="AH257" i="46"/>
  <c r="AI257" i="46"/>
  <c r="AJ257" i="46"/>
  <c r="AL257" i="46"/>
  <c r="AK257" i="46"/>
  <c r="AG257" i="46"/>
  <c r="AM122" i="46"/>
  <c r="AO122" i="46"/>
  <c r="AR122" i="46"/>
  <c r="AN122" i="46"/>
  <c r="AP122" i="46"/>
  <c r="AQ122" i="46"/>
  <c r="AF112" i="46"/>
  <c r="AA112" i="46"/>
  <c r="AB112" i="46"/>
  <c r="AC112" i="46"/>
  <c r="AD112" i="46"/>
  <c r="AE112" i="46"/>
  <c r="Z112" i="46"/>
  <c r="AP29" i="46"/>
  <c r="AN29" i="46"/>
  <c r="AR29" i="46"/>
  <c r="AQ29" i="46"/>
  <c r="AO29" i="46"/>
  <c r="AM29" i="46"/>
  <c r="AO223" i="46"/>
  <c r="AR223" i="46"/>
  <c r="AN223" i="46"/>
  <c r="AQ223" i="46"/>
  <c r="AP223" i="46"/>
  <c r="AM223" i="46"/>
  <c r="AE114" i="46"/>
  <c r="AF114" i="46"/>
  <c r="AB114" i="46"/>
  <c r="AD114" i="46"/>
  <c r="Z114" i="46"/>
  <c r="AC114" i="46"/>
  <c r="AA114" i="46"/>
  <c r="AC182" i="46"/>
  <c r="AB182" i="46"/>
  <c r="Z182" i="46"/>
  <c r="AA182" i="46"/>
  <c r="AD182" i="46"/>
  <c r="AF182" i="46"/>
  <c r="AE182" i="46"/>
  <c r="AJ237" i="46"/>
  <c r="AI237" i="46"/>
  <c r="AH237" i="46"/>
  <c r="AL237" i="46"/>
  <c r="AK237" i="46"/>
  <c r="AG237" i="46"/>
  <c r="AQ123" i="46"/>
  <c r="AR123" i="46"/>
  <c r="AN123" i="46"/>
  <c r="AP123" i="46"/>
  <c r="AM123" i="46"/>
  <c r="AO123" i="46"/>
  <c r="AM160" i="46"/>
  <c r="AN160" i="46"/>
  <c r="AP160" i="46"/>
  <c r="AO160" i="46"/>
  <c r="AR160" i="46"/>
  <c r="AQ160" i="46"/>
  <c r="X118" i="46"/>
  <c r="T118" i="46"/>
  <c r="V118" i="46"/>
  <c r="U118" i="46"/>
  <c r="Y118" i="46"/>
  <c r="S118" i="46"/>
  <c r="W118" i="46"/>
  <c r="AJ185" i="46"/>
  <c r="AH185" i="46"/>
  <c r="AG185" i="46"/>
  <c r="AL185" i="46"/>
  <c r="AI185" i="46"/>
  <c r="AK185" i="46"/>
  <c r="U236" i="46"/>
  <c r="S236" i="46"/>
  <c r="X236" i="46"/>
  <c r="Y236" i="46"/>
  <c r="W236" i="46"/>
  <c r="V236" i="46"/>
  <c r="T236" i="46"/>
  <c r="AE142" i="46"/>
  <c r="AD142" i="46"/>
  <c r="Z142" i="46"/>
  <c r="AB142" i="46"/>
  <c r="AA142" i="46"/>
  <c r="AC142" i="46"/>
  <c r="AF142" i="46"/>
  <c r="AA196" i="46"/>
  <c r="AC196" i="46"/>
  <c r="AF196" i="46"/>
  <c r="AD196" i="46"/>
  <c r="AE196" i="46"/>
  <c r="AB196" i="46"/>
  <c r="Z196" i="46"/>
  <c r="Z189" i="46"/>
  <c r="AA189" i="46"/>
  <c r="AC189" i="46"/>
  <c r="AE189" i="46"/>
  <c r="AF189" i="46"/>
  <c r="AD189" i="46"/>
  <c r="AB189" i="46"/>
  <c r="AH116" i="46"/>
  <c r="AK116" i="46"/>
  <c r="AJ116" i="46"/>
  <c r="AI116" i="46"/>
  <c r="AG116" i="46"/>
  <c r="AL116" i="46"/>
  <c r="AH161" i="46"/>
  <c r="AL161" i="46"/>
  <c r="AJ161" i="46"/>
  <c r="AI161" i="46"/>
  <c r="AK161" i="46"/>
  <c r="AG161" i="46"/>
  <c r="S117" i="46"/>
  <c r="W117" i="46"/>
  <c r="V117" i="46"/>
  <c r="T117" i="46"/>
  <c r="X117" i="46"/>
  <c r="Y117" i="46"/>
  <c r="U117" i="46"/>
  <c r="AB115" i="46"/>
  <c r="AD115" i="46"/>
  <c r="AF115" i="46"/>
  <c r="AA115" i="46"/>
  <c r="AE115" i="46"/>
  <c r="AC115" i="46"/>
  <c r="Z115" i="46"/>
  <c r="S209" i="46"/>
  <c r="X209" i="46"/>
  <c r="Y209" i="46"/>
  <c r="T209" i="46"/>
  <c r="W209" i="46"/>
  <c r="U209" i="46"/>
  <c r="V209" i="46"/>
  <c r="X171" i="46"/>
  <c r="W171" i="46"/>
  <c r="T171" i="46"/>
  <c r="Y171" i="46"/>
  <c r="U171" i="46"/>
  <c r="S171" i="46"/>
  <c r="V171" i="46"/>
  <c r="X285" i="46"/>
  <c r="W285" i="46"/>
  <c r="S285" i="46"/>
  <c r="T285" i="46"/>
  <c r="V285" i="46"/>
  <c r="U285" i="46"/>
  <c r="Y285" i="46"/>
  <c r="V202" i="46"/>
  <c r="Y202" i="46"/>
  <c r="W202" i="46"/>
  <c r="S202" i="46"/>
  <c r="X202" i="46"/>
  <c r="U202" i="46"/>
  <c r="T202" i="46"/>
  <c r="AI179" i="46"/>
  <c r="AL179" i="46"/>
  <c r="AK179" i="46"/>
  <c r="AJ179" i="46"/>
  <c r="AG179" i="46"/>
  <c r="AH179" i="46"/>
  <c r="Y84" i="46"/>
  <c r="V84" i="46"/>
  <c r="W84" i="46"/>
  <c r="U84" i="46"/>
  <c r="T84" i="46"/>
  <c r="X84" i="46"/>
  <c r="S84" i="46"/>
  <c r="AK225" i="46"/>
  <c r="AH225" i="46"/>
  <c r="AG225" i="46"/>
  <c r="AL225" i="46"/>
  <c r="AI225" i="46"/>
  <c r="AJ225" i="46"/>
  <c r="X99" i="46"/>
  <c r="T99" i="46"/>
  <c r="Y99" i="46"/>
  <c r="W99" i="46"/>
  <c r="S99" i="46"/>
  <c r="U99" i="46"/>
  <c r="V99" i="46"/>
  <c r="AJ140" i="46"/>
  <c r="AG140" i="46"/>
  <c r="AK140" i="46"/>
  <c r="AH140" i="46"/>
  <c r="AL140" i="46"/>
  <c r="AI140" i="46"/>
  <c r="V181" i="46"/>
  <c r="W181" i="46"/>
  <c r="U181" i="46"/>
  <c r="X181" i="46"/>
  <c r="S181" i="46"/>
  <c r="Y181" i="46"/>
  <c r="T181" i="46"/>
  <c r="V284" i="46"/>
  <c r="T284" i="46"/>
  <c r="S284" i="46"/>
  <c r="W284" i="46"/>
  <c r="Y284" i="46"/>
  <c r="U284" i="46"/>
  <c r="X284" i="46"/>
  <c r="T149" i="46"/>
  <c r="S149" i="46"/>
  <c r="V149" i="46"/>
  <c r="Y149" i="46"/>
  <c r="X149" i="46"/>
  <c r="U149" i="46"/>
  <c r="W149" i="46"/>
  <c r="W159" i="46"/>
  <c r="T159" i="46"/>
  <c r="U159" i="46"/>
  <c r="S159" i="46"/>
  <c r="V159" i="46"/>
  <c r="Y159" i="46"/>
  <c r="X159" i="46"/>
  <c r="AK121" i="46"/>
  <c r="AI121" i="46"/>
  <c r="AH121" i="46"/>
  <c r="AL121" i="46"/>
  <c r="AG121" i="46"/>
  <c r="AJ121" i="46"/>
  <c r="AL95" i="46"/>
  <c r="AG95" i="46"/>
  <c r="AJ95" i="46"/>
  <c r="AH95" i="46"/>
  <c r="AK95" i="46"/>
  <c r="AI95" i="46"/>
  <c r="T215" i="46"/>
  <c r="V215" i="46"/>
  <c r="W215" i="46"/>
  <c r="S215" i="46"/>
  <c r="X215" i="46"/>
  <c r="Y215" i="46"/>
  <c r="U215" i="46"/>
  <c r="AL25" i="46"/>
  <c r="AI25" i="46"/>
  <c r="AG25" i="46"/>
  <c r="AK25" i="46"/>
  <c r="AH25" i="46"/>
  <c r="AJ25" i="46"/>
  <c r="AM22" i="46"/>
  <c r="AQ22" i="46"/>
  <c r="AO22" i="46"/>
  <c r="AP22" i="46"/>
  <c r="AR22" i="46"/>
  <c r="AN22" i="46"/>
  <c r="AL218" i="46"/>
  <c r="AK218" i="46"/>
  <c r="AH218" i="46"/>
  <c r="AI218" i="46"/>
  <c r="AJ218" i="46"/>
  <c r="AG218" i="46"/>
  <c r="AQ81" i="46"/>
  <c r="AM81" i="46"/>
  <c r="AO81" i="46"/>
  <c r="AR81" i="46"/>
  <c r="AP81" i="46"/>
  <c r="AN81" i="46"/>
  <c r="AM113" i="46"/>
  <c r="AN113" i="46"/>
  <c r="AR113" i="46"/>
  <c r="AQ113" i="46"/>
  <c r="AP113" i="46"/>
  <c r="AO113" i="46"/>
  <c r="AB228" i="46"/>
  <c r="AD228" i="46"/>
  <c r="AF228" i="46"/>
  <c r="Z228" i="46"/>
  <c r="AA228" i="46"/>
  <c r="AE228" i="46"/>
  <c r="AC228" i="46"/>
  <c r="V261" i="46"/>
  <c r="W261" i="46"/>
  <c r="S261" i="46"/>
  <c r="U261" i="46"/>
  <c r="X261" i="46"/>
  <c r="Y261" i="46"/>
  <c r="T261" i="46"/>
  <c r="AN177" i="46"/>
  <c r="AP177" i="46"/>
  <c r="AM177" i="46"/>
  <c r="AR177" i="46"/>
  <c r="AO177" i="46"/>
  <c r="AQ177" i="46"/>
  <c r="AL145" i="46"/>
  <c r="AH145" i="46"/>
  <c r="AG145" i="46"/>
  <c r="AJ145" i="46"/>
  <c r="AI145" i="46"/>
  <c r="AK145" i="46"/>
  <c r="S43" i="46"/>
  <c r="V43" i="46"/>
  <c r="T43" i="46"/>
  <c r="Y43" i="46"/>
  <c r="X43" i="46"/>
  <c r="U43" i="46"/>
  <c r="W43" i="46"/>
  <c r="Z26" i="46"/>
  <c r="AE26" i="46"/>
  <c r="AA26" i="46"/>
  <c r="AD26" i="46"/>
  <c r="AC26" i="46"/>
  <c r="AB26" i="46"/>
  <c r="AF26" i="46"/>
  <c r="U233" i="46"/>
  <c r="S233" i="46"/>
  <c r="X233" i="46"/>
  <c r="Y233" i="46"/>
  <c r="V233" i="46"/>
  <c r="T233" i="46"/>
  <c r="W233" i="46"/>
  <c r="AQ275" i="46"/>
  <c r="AP275" i="46"/>
  <c r="AR275" i="46"/>
  <c r="AO275" i="46"/>
  <c r="AM275" i="46"/>
  <c r="AN275" i="46"/>
  <c r="AM96" i="46"/>
  <c r="AO96" i="46"/>
  <c r="AP96" i="46"/>
  <c r="AQ96" i="46"/>
  <c r="AR96" i="46"/>
  <c r="AN96" i="46"/>
  <c r="W151" i="46"/>
  <c r="S151" i="46"/>
  <c r="T151" i="46"/>
  <c r="Y151" i="46"/>
  <c r="X151" i="46"/>
  <c r="V151" i="46"/>
  <c r="U151" i="46"/>
  <c r="AA145" i="46"/>
  <c r="AF145" i="46"/>
  <c r="AD145" i="46"/>
  <c r="AE145" i="46"/>
  <c r="AB145" i="46"/>
  <c r="Z145" i="46"/>
  <c r="AC145" i="46"/>
  <c r="AL290" i="46"/>
  <c r="AG290" i="46"/>
  <c r="AH290" i="46"/>
  <c r="AK290" i="46"/>
  <c r="AI290" i="46"/>
  <c r="AJ290" i="46"/>
  <c r="AD105" i="46"/>
  <c r="AA105" i="46"/>
  <c r="Z105" i="46"/>
  <c r="AE105" i="46"/>
  <c r="AC105" i="46"/>
  <c r="AB105" i="46"/>
  <c r="AF105" i="46"/>
  <c r="AP192" i="46"/>
  <c r="AM192" i="46"/>
  <c r="AQ192" i="46"/>
  <c r="AR192" i="46"/>
  <c r="AN192" i="46"/>
  <c r="AO192" i="46"/>
  <c r="AB39" i="46"/>
  <c r="Z39" i="46"/>
  <c r="AC39" i="46"/>
  <c r="AA39" i="46"/>
  <c r="AF39" i="46"/>
  <c r="AE39" i="46"/>
  <c r="AD39" i="46"/>
  <c r="AM233" i="46"/>
  <c r="AR233" i="46"/>
  <c r="AQ233" i="46"/>
  <c r="AP233" i="46"/>
  <c r="AO233" i="46"/>
  <c r="AN233" i="46"/>
  <c r="AM178" i="46"/>
  <c r="AN178" i="46"/>
  <c r="AO178" i="46"/>
  <c r="AR178" i="46"/>
  <c r="AP178" i="46"/>
  <c r="AQ178" i="46"/>
  <c r="AG231" i="46"/>
  <c r="AL231" i="46"/>
  <c r="AK231" i="46"/>
  <c r="AJ231" i="46"/>
  <c r="AI231" i="46"/>
  <c r="AH231" i="46"/>
  <c r="AQ174" i="46"/>
  <c r="AN174" i="46"/>
  <c r="AO174" i="46"/>
  <c r="AM174" i="46"/>
  <c r="AR174" i="46"/>
  <c r="AP174" i="46"/>
  <c r="AB151" i="46"/>
  <c r="Z151" i="46"/>
  <c r="AE151" i="46"/>
  <c r="AC151" i="46"/>
  <c r="AA151" i="46"/>
  <c r="AF151" i="46"/>
  <c r="AD151" i="46"/>
  <c r="AL33" i="46"/>
  <c r="AI33" i="46"/>
  <c r="AK33" i="46"/>
  <c r="AG33" i="46"/>
  <c r="AJ33" i="46"/>
  <c r="AH33" i="46"/>
  <c r="AO290" i="46"/>
  <c r="AP290" i="46"/>
  <c r="AR290" i="46"/>
  <c r="AQ290" i="46"/>
  <c r="AN290" i="46"/>
  <c r="AM290" i="46"/>
  <c r="W105" i="46"/>
  <c r="X105" i="46"/>
  <c r="V105" i="46"/>
  <c r="U105" i="46"/>
  <c r="S105" i="46"/>
  <c r="T105" i="46"/>
  <c r="Y105" i="46"/>
  <c r="AL29" i="46"/>
  <c r="AJ29" i="46"/>
  <c r="AK29" i="46"/>
  <c r="AI29" i="46"/>
  <c r="AG29" i="46"/>
  <c r="AH29" i="46"/>
  <c r="AI223" i="46"/>
  <c r="AJ223" i="46"/>
  <c r="AG223" i="46"/>
  <c r="AK223" i="46"/>
  <c r="AH223" i="46"/>
  <c r="AL223" i="46"/>
  <c r="AQ287" i="46"/>
  <c r="AR287" i="46"/>
  <c r="AO287" i="46"/>
  <c r="AP287" i="46"/>
  <c r="AN287" i="46"/>
  <c r="AM287" i="46"/>
  <c r="AH232" i="46"/>
  <c r="AG232" i="46"/>
  <c r="AL232" i="46"/>
  <c r="AK232" i="46"/>
  <c r="AJ232" i="46"/>
  <c r="AI232" i="46"/>
  <c r="Z135" i="46"/>
  <c r="AB135" i="46"/>
  <c r="AE135" i="46"/>
  <c r="AC135" i="46"/>
  <c r="AF135" i="46"/>
  <c r="AD135" i="46"/>
  <c r="AA135" i="46"/>
  <c r="AC163" i="46"/>
  <c r="Z163" i="46"/>
  <c r="AE163" i="46"/>
  <c r="AB163" i="46"/>
  <c r="AF163" i="46"/>
  <c r="AD163" i="46"/>
  <c r="AA163" i="46"/>
  <c r="Z236" i="46"/>
  <c r="AA236" i="46"/>
  <c r="AE236" i="46"/>
  <c r="AF236" i="46"/>
  <c r="AC236" i="46"/>
  <c r="AB236" i="46"/>
  <c r="AD236" i="46"/>
  <c r="Z127" i="46"/>
  <c r="AC127" i="46"/>
  <c r="AF127" i="46"/>
  <c r="AD127" i="46"/>
  <c r="AA127" i="46"/>
  <c r="AB127" i="46"/>
  <c r="AE127" i="46"/>
  <c r="AD122" i="46"/>
  <c r="AF122" i="46"/>
  <c r="AB122" i="46"/>
  <c r="AC122" i="46"/>
  <c r="AE122" i="46"/>
  <c r="Z122" i="46"/>
  <c r="AA122" i="46"/>
  <c r="AO112" i="46"/>
  <c r="AQ112" i="46"/>
  <c r="AM112" i="46"/>
  <c r="AR112" i="46"/>
  <c r="AP112" i="46"/>
  <c r="AN112" i="46"/>
  <c r="AO114" i="46"/>
  <c r="AN114" i="46"/>
  <c r="AM114" i="46"/>
  <c r="AR114" i="46"/>
  <c r="AQ114" i="46"/>
  <c r="AP114" i="46"/>
  <c r="AE209" i="46"/>
  <c r="AF209" i="46"/>
  <c r="AD209" i="46"/>
  <c r="AB209" i="46"/>
  <c r="Z209" i="46"/>
  <c r="AC209" i="46"/>
  <c r="AA209" i="46"/>
  <c r="AA123" i="46"/>
  <c r="AF123" i="46"/>
  <c r="AC123" i="46"/>
  <c r="AB123" i="46"/>
  <c r="Z123" i="46"/>
  <c r="AD123" i="46"/>
  <c r="AE123" i="46"/>
  <c r="AF160" i="46"/>
  <c r="Z160" i="46"/>
  <c r="AB160" i="46"/>
  <c r="AD160" i="46"/>
  <c r="AA160" i="46"/>
  <c r="AE160" i="46"/>
  <c r="AC160" i="46"/>
  <c r="AH118" i="46"/>
  <c r="AG118" i="46"/>
  <c r="AL118" i="46"/>
  <c r="AK118" i="46"/>
  <c r="AI118" i="46"/>
  <c r="AJ118" i="46"/>
  <c r="Y185" i="46"/>
  <c r="U185" i="46"/>
  <c r="V185" i="46"/>
  <c r="W185" i="46"/>
  <c r="S185" i="46"/>
  <c r="T185" i="46"/>
  <c r="X185" i="46"/>
  <c r="AK236" i="46"/>
  <c r="AJ236" i="46"/>
  <c r="AI236" i="46"/>
  <c r="AH236" i="46"/>
  <c r="AG236" i="46"/>
  <c r="AL236" i="46"/>
  <c r="X122" i="46"/>
  <c r="Y122" i="46"/>
  <c r="U122" i="46"/>
  <c r="S122" i="46"/>
  <c r="T122" i="46"/>
  <c r="W122" i="46"/>
  <c r="V122" i="46"/>
  <c r="AG112" i="46"/>
  <c r="AJ112" i="46"/>
  <c r="AL112" i="46"/>
  <c r="AH112" i="46"/>
  <c r="AI112" i="46"/>
  <c r="AK112" i="46"/>
  <c r="AR189" i="46"/>
  <c r="AM189" i="46"/>
  <c r="AQ189" i="46"/>
  <c r="AN189" i="46"/>
  <c r="AO189" i="46"/>
  <c r="AP189" i="46"/>
  <c r="S116" i="46"/>
  <c r="T116" i="46"/>
  <c r="X116" i="46"/>
  <c r="Y116" i="46"/>
  <c r="U116" i="46"/>
  <c r="V116" i="46"/>
  <c r="W116" i="46"/>
  <c r="X184" i="46"/>
  <c r="S184" i="46"/>
  <c r="U184" i="46"/>
  <c r="T184" i="46"/>
  <c r="W184" i="46"/>
  <c r="V184" i="46"/>
  <c r="Y184" i="46"/>
  <c r="AK117" i="46"/>
  <c r="AH117" i="46"/>
  <c r="AI117" i="46"/>
  <c r="AJ117" i="46"/>
  <c r="AL117" i="46"/>
  <c r="AG117" i="46"/>
  <c r="AQ115" i="46"/>
  <c r="AR115" i="46"/>
  <c r="AO115" i="46"/>
  <c r="AM115" i="46"/>
  <c r="AN115" i="46"/>
  <c r="AP115" i="46"/>
  <c r="AG171" i="46"/>
  <c r="AI171" i="46"/>
  <c r="AJ171" i="46"/>
  <c r="AL171" i="46"/>
  <c r="AK171" i="46"/>
  <c r="AH171" i="46"/>
  <c r="AJ285" i="46"/>
  <c r="AG285" i="46"/>
  <c r="AL285" i="46"/>
  <c r="AH285" i="46"/>
  <c r="AI285" i="46"/>
  <c r="AK285" i="46"/>
  <c r="AR238" i="46"/>
  <c r="AP238" i="46"/>
  <c r="AN238" i="46"/>
  <c r="AO238" i="46"/>
  <c r="AM238" i="46"/>
  <c r="AQ238" i="46"/>
  <c r="AO126" i="46"/>
  <c r="AP126" i="46"/>
  <c r="AR126" i="46"/>
  <c r="AN126" i="46"/>
  <c r="AQ126" i="46"/>
  <c r="AM126" i="46"/>
  <c r="AE185" i="46"/>
  <c r="Z185" i="46"/>
  <c r="AD185" i="46"/>
  <c r="AB185" i="46"/>
  <c r="AF185" i="46"/>
  <c r="AA185" i="46"/>
  <c r="AC185" i="46"/>
  <c r="AK286" i="46"/>
  <c r="AH286" i="46"/>
  <c r="AJ286" i="46"/>
  <c r="AI286" i="46"/>
  <c r="AG286" i="46"/>
  <c r="AL286" i="46"/>
  <c r="AN217" i="46"/>
  <c r="AQ217" i="46"/>
  <c r="AP217" i="46"/>
  <c r="AM217" i="46"/>
  <c r="AR217" i="46"/>
  <c r="AO217" i="46"/>
  <c r="AH84" i="46"/>
  <c r="AL84" i="46"/>
  <c r="AK84" i="46"/>
  <c r="AJ84" i="46"/>
  <c r="AI84" i="46"/>
  <c r="AG84" i="46"/>
  <c r="X225" i="46"/>
  <c r="W225" i="46"/>
  <c r="T225" i="46"/>
  <c r="V225" i="46"/>
  <c r="Y225" i="46"/>
  <c r="U225" i="46"/>
  <c r="S225" i="46"/>
  <c r="AI99" i="46"/>
  <c r="AH99" i="46"/>
  <c r="AK99" i="46"/>
  <c r="AL99" i="46"/>
  <c r="AJ99" i="46"/>
  <c r="AG99" i="46"/>
  <c r="AI181" i="46"/>
  <c r="AG181" i="46"/>
  <c r="AH181" i="46"/>
  <c r="AJ181" i="46"/>
  <c r="AK181" i="46"/>
  <c r="AL181" i="46"/>
  <c r="AG284" i="46"/>
  <c r="AL284" i="46"/>
  <c r="AJ284" i="46"/>
  <c r="AK284" i="46"/>
  <c r="AI284" i="46"/>
  <c r="AH284" i="46"/>
  <c r="AL149" i="46"/>
  <c r="AG149" i="46"/>
  <c r="AI149" i="46"/>
  <c r="AJ149" i="46"/>
  <c r="AK149" i="46"/>
  <c r="AH149" i="46"/>
  <c r="AH159" i="46"/>
  <c r="AK159" i="46"/>
  <c r="AI159" i="46"/>
  <c r="AJ159" i="46"/>
  <c r="AL159" i="46"/>
  <c r="AG159" i="46"/>
  <c r="S121" i="46"/>
  <c r="W121" i="46"/>
  <c r="Y121" i="46"/>
  <c r="X121" i="46"/>
  <c r="V121" i="46"/>
  <c r="T121" i="46"/>
  <c r="U121" i="46"/>
  <c r="Y95" i="46"/>
  <c r="V95" i="46"/>
  <c r="X95" i="46"/>
  <c r="U95" i="46"/>
  <c r="S95" i="46"/>
  <c r="W95" i="46"/>
  <c r="T95" i="46"/>
  <c r="AQ6" i="46" l="1"/>
  <c r="AP6" i="46"/>
  <c r="AR6" i="46"/>
  <c r="AM6" i="46"/>
  <c r="U6" i="45"/>
  <c r="AN6" i="46"/>
  <c r="T6" i="45"/>
  <c r="R6" i="45"/>
  <c r="C37" i="45"/>
  <c r="D37" i="45"/>
  <c r="M37" i="28"/>
  <c r="N37" i="46" s="1"/>
  <c r="L37" i="28"/>
  <c r="K37" i="46" s="1"/>
  <c r="AO239" i="46"/>
  <c r="AP239" i="46"/>
  <c r="D5" i="45"/>
  <c r="C5" i="45"/>
  <c r="M5" i="28"/>
  <c r="N5" i="46" s="1"/>
  <c r="L5" i="28"/>
  <c r="K5" i="46" s="1"/>
  <c r="AR239" i="46"/>
  <c r="AM239" i="46"/>
  <c r="AQ239" i="46"/>
  <c r="AP221" i="46"/>
  <c r="AO221" i="46"/>
  <c r="AM221" i="46"/>
  <c r="AR221" i="46"/>
  <c r="AN221" i="46"/>
  <c r="A160" i="52"/>
  <c r="A160" i="51"/>
  <c r="A160" i="33"/>
  <c r="A160" i="39"/>
  <c r="A160" i="50"/>
  <c r="A160" i="6"/>
  <c r="A160" i="28"/>
  <c r="A160" i="23"/>
  <c r="A160" i="26"/>
  <c r="A160" i="21"/>
  <c r="A160" i="7"/>
  <c r="A160" i="25"/>
  <c r="A160" i="15"/>
  <c r="A160" i="54"/>
  <c r="M23" i="28"/>
  <c r="N23" i="46" s="1"/>
  <c r="D23" i="46" s="1"/>
  <c r="AQ139" i="46"/>
  <c r="AM139" i="46"/>
  <c r="AO139" i="46"/>
  <c r="AR139" i="46"/>
  <c r="AN139" i="46"/>
  <c r="AP139" i="46"/>
  <c r="S32" i="46"/>
  <c r="V32" i="46"/>
  <c r="X32" i="46"/>
  <c r="W32" i="46"/>
  <c r="T32" i="46"/>
  <c r="Y32" i="46"/>
  <c r="U32" i="46"/>
  <c r="AC139" i="46"/>
  <c r="AD139" i="46"/>
  <c r="Z139" i="46"/>
  <c r="AE139" i="46"/>
  <c r="AF139" i="46"/>
  <c r="AB139" i="46"/>
  <c r="AA139" i="46"/>
  <c r="AB109" i="46"/>
  <c r="AE109" i="46"/>
  <c r="Z109" i="46"/>
  <c r="AA109" i="46"/>
  <c r="AF109" i="46"/>
  <c r="AC109" i="46"/>
  <c r="AD109" i="46"/>
  <c r="AK32" i="46"/>
  <c r="AI32" i="46"/>
  <c r="AJ32" i="46"/>
  <c r="AL32" i="46"/>
  <c r="AH32" i="46"/>
  <c r="AG32" i="46"/>
  <c r="AO32" i="46"/>
  <c r="AQ32" i="46"/>
  <c r="AM32" i="46"/>
  <c r="AP32" i="46"/>
  <c r="AR32" i="46"/>
  <c r="AN32" i="46"/>
  <c r="AF82" i="46"/>
  <c r="AD82" i="46"/>
  <c r="AA82" i="46"/>
  <c r="AB82" i="46"/>
  <c r="Z82" i="46"/>
  <c r="AC82" i="46"/>
  <c r="AE82" i="46"/>
  <c r="S45" i="46"/>
  <c r="W45" i="46"/>
  <c r="X45" i="46"/>
  <c r="T45" i="46"/>
  <c r="Y45" i="46"/>
  <c r="V45" i="46"/>
  <c r="U45" i="46"/>
  <c r="AG139" i="46"/>
  <c r="AJ139" i="46"/>
  <c r="AL139" i="46"/>
  <c r="AK139" i="46"/>
  <c r="AI139" i="46"/>
  <c r="AH139" i="46"/>
  <c r="AR109" i="46"/>
  <c r="AO109" i="46"/>
  <c r="AP109" i="46"/>
  <c r="AQ109" i="46"/>
  <c r="AN109" i="46"/>
  <c r="AM109" i="46"/>
  <c r="AJ128" i="46"/>
  <c r="AI128" i="46"/>
  <c r="AK128" i="46"/>
  <c r="AH128" i="46"/>
  <c r="AL128" i="46"/>
  <c r="AG128" i="46"/>
  <c r="AF235" i="46"/>
  <c r="AB235" i="46"/>
  <c r="AC235" i="46"/>
  <c r="Z235" i="46"/>
  <c r="AA235" i="46"/>
  <c r="AD235" i="46"/>
  <c r="AE235" i="46"/>
  <c r="Z32" i="46"/>
  <c r="AA32" i="46"/>
  <c r="AB32" i="46"/>
  <c r="AF32" i="46"/>
  <c r="AC32" i="46"/>
  <c r="AE32" i="46"/>
  <c r="AD32" i="46"/>
  <c r="AR82" i="46"/>
  <c r="AQ82" i="46"/>
  <c r="AN82" i="46"/>
  <c r="AO82" i="46"/>
  <c r="AP82" i="46"/>
  <c r="AM82" i="46"/>
  <c r="AH45" i="46"/>
  <c r="AI45" i="46"/>
  <c r="AK45" i="46"/>
  <c r="AJ45" i="46"/>
  <c r="AL45" i="46"/>
  <c r="AG45" i="46"/>
  <c r="W139" i="46"/>
  <c r="T139" i="46"/>
  <c r="V139" i="46"/>
  <c r="U139" i="46"/>
  <c r="Y139" i="46"/>
  <c r="S139" i="46"/>
  <c r="X139" i="46"/>
  <c r="X41" i="46"/>
  <c r="T41" i="46"/>
  <c r="S41" i="46"/>
  <c r="V41" i="46"/>
  <c r="Y41" i="46"/>
  <c r="U41" i="46"/>
  <c r="W41" i="46"/>
  <c r="T128" i="46"/>
  <c r="S128" i="46"/>
  <c r="U128" i="46"/>
  <c r="W128" i="46"/>
  <c r="Y128" i="46"/>
  <c r="X128" i="46"/>
  <c r="V128" i="46"/>
  <c r="AL235" i="46"/>
  <c r="AG235" i="46"/>
  <c r="AH235" i="46"/>
  <c r="AI235" i="46"/>
  <c r="AJ235" i="46"/>
  <c r="AK235" i="46"/>
  <c r="AN235" i="46"/>
  <c r="AM235" i="46"/>
  <c r="AO235" i="46"/>
  <c r="AR235" i="46"/>
  <c r="AQ235" i="46"/>
  <c r="AP235" i="46"/>
  <c r="AR27" i="46"/>
  <c r="AN27" i="46"/>
  <c r="AM27" i="46"/>
  <c r="AP27" i="46"/>
  <c r="AO27" i="46"/>
  <c r="AQ27" i="46"/>
  <c r="W82" i="46"/>
  <c r="Y82" i="46"/>
  <c r="X82" i="46"/>
  <c r="V82" i="46"/>
  <c r="U82" i="46"/>
  <c r="S82" i="46"/>
  <c r="T82" i="46"/>
  <c r="AD45" i="46"/>
  <c r="AF45" i="46"/>
  <c r="AA45" i="46"/>
  <c r="AE45" i="46"/>
  <c r="Z45" i="46"/>
  <c r="AB45" i="46"/>
  <c r="AC45" i="46"/>
  <c r="AI41" i="46"/>
  <c r="AG41" i="46"/>
  <c r="AK41" i="46"/>
  <c r="AJ41" i="46"/>
  <c r="AL41" i="46"/>
  <c r="AH41" i="46"/>
  <c r="Z41" i="46"/>
  <c r="AF41" i="46"/>
  <c r="AC41" i="46"/>
  <c r="AE41" i="46"/>
  <c r="AB41" i="46"/>
  <c r="AA41" i="46"/>
  <c r="AD41" i="46"/>
  <c r="T235" i="46"/>
  <c r="U235" i="46"/>
  <c r="V235" i="46"/>
  <c r="W235" i="46"/>
  <c r="X235" i="46"/>
  <c r="Y235" i="46"/>
  <c r="S235" i="46"/>
  <c r="AD27" i="46"/>
  <c r="AC27" i="46"/>
  <c r="Z27" i="46"/>
  <c r="AA27" i="46"/>
  <c r="AE27" i="46"/>
  <c r="AB27" i="46"/>
  <c r="AF27" i="46"/>
  <c r="X27" i="46"/>
  <c r="S27" i="46"/>
  <c r="W27" i="46"/>
  <c r="U27" i="46"/>
  <c r="Y27" i="46"/>
  <c r="V27" i="46"/>
  <c r="T27" i="46"/>
  <c r="AH82" i="46"/>
  <c r="AL82" i="46"/>
  <c r="AI82" i="46"/>
  <c r="AK82" i="46"/>
  <c r="AJ82" i="46"/>
  <c r="AG82" i="46"/>
  <c r="AN45" i="46"/>
  <c r="AM45" i="46"/>
  <c r="AQ45" i="46"/>
  <c r="AP45" i="46"/>
  <c r="AO45" i="46"/>
  <c r="AR45" i="46"/>
  <c r="AK109" i="46"/>
  <c r="AJ109" i="46"/>
  <c r="AI109" i="46"/>
  <c r="AG109" i="46"/>
  <c r="AL109" i="46"/>
  <c r="AH109" i="46"/>
  <c r="AQ128" i="46"/>
  <c r="AM128" i="46"/>
  <c r="AR128" i="46"/>
  <c r="AN128" i="46"/>
  <c r="AO128" i="46"/>
  <c r="AP128" i="46"/>
  <c r="AQ41" i="46"/>
  <c r="AM41" i="46"/>
  <c r="AR41" i="46"/>
  <c r="AP41" i="46"/>
  <c r="AN41" i="46"/>
  <c r="AO41" i="46"/>
  <c r="AI27" i="46"/>
  <c r="AK27" i="46"/>
  <c r="AH27" i="46"/>
  <c r="AL27" i="46"/>
  <c r="AJ27" i="46"/>
  <c r="AG27" i="46"/>
  <c r="U109" i="46"/>
  <c r="V109" i="46"/>
  <c r="X109" i="46"/>
  <c r="Y109" i="46"/>
  <c r="W109" i="46"/>
  <c r="S109" i="46"/>
  <c r="T109" i="46"/>
  <c r="AA128" i="46"/>
  <c r="AE128" i="46"/>
  <c r="AF128" i="46"/>
  <c r="Z128" i="46"/>
  <c r="AB128" i="46"/>
  <c r="AC128" i="46"/>
  <c r="AD128" i="46"/>
  <c r="AE83" i="46"/>
  <c r="AF83" i="46"/>
  <c r="AA83" i="46"/>
  <c r="Z83" i="46"/>
  <c r="AC83" i="46"/>
  <c r="AD83" i="46"/>
  <c r="AB83" i="46"/>
  <c r="AQ83" i="46"/>
  <c r="AO83" i="46"/>
  <c r="AP83" i="46"/>
  <c r="AN83" i="46"/>
  <c r="AM83" i="46"/>
  <c r="AR83" i="46"/>
  <c r="AN65" i="46"/>
  <c r="AQ65" i="46"/>
  <c r="AM65" i="46"/>
  <c r="AP65" i="46"/>
  <c r="AO65" i="46"/>
  <c r="AR65" i="46"/>
  <c r="AF65" i="46"/>
  <c r="AA65" i="46"/>
  <c r="Z65" i="46"/>
  <c r="AD65" i="46"/>
  <c r="AB65" i="46"/>
  <c r="AC65" i="46"/>
  <c r="AE65" i="46"/>
  <c r="S64" i="46"/>
  <c r="X64" i="46"/>
  <c r="W64" i="46"/>
  <c r="U64" i="46"/>
  <c r="Y64" i="46"/>
  <c r="V64" i="46"/>
  <c r="T64" i="46"/>
  <c r="AO64" i="46"/>
  <c r="AQ64" i="46"/>
  <c r="AR64" i="46"/>
  <c r="AN64" i="46"/>
  <c r="AP64" i="46"/>
  <c r="AM64" i="46"/>
  <c r="AH65" i="46"/>
  <c r="AL65" i="46"/>
  <c r="AJ65" i="46"/>
  <c r="AG65" i="46"/>
  <c r="AK65" i="46"/>
  <c r="AI65" i="46"/>
  <c r="AG64" i="46"/>
  <c r="AL64" i="46"/>
  <c r="AJ64" i="46"/>
  <c r="AK64" i="46"/>
  <c r="AI64" i="46"/>
  <c r="AH64" i="46"/>
  <c r="AF64" i="46"/>
  <c r="AA64" i="46"/>
  <c r="Z64" i="46"/>
  <c r="AD64" i="46"/>
  <c r="AC64" i="46"/>
  <c r="AB64" i="46"/>
  <c r="AE64" i="46"/>
  <c r="Y83" i="46"/>
  <c r="V83" i="46"/>
  <c r="T83" i="46"/>
  <c r="W83" i="46"/>
  <c r="X83" i="46"/>
  <c r="S83" i="46"/>
  <c r="U83" i="46"/>
  <c r="S65" i="46"/>
  <c r="Y65" i="46"/>
  <c r="T65" i="46"/>
  <c r="U65" i="46"/>
  <c r="X65" i="46"/>
  <c r="W65" i="46"/>
  <c r="V65" i="46"/>
  <c r="AH83" i="46"/>
  <c r="AJ83" i="46"/>
  <c r="AG83" i="46"/>
  <c r="AK83" i="46"/>
  <c r="AI83" i="46"/>
  <c r="AL83" i="46"/>
  <c r="E156" i="46"/>
  <c r="C156" i="46"/>
  <c r="F156" i="46"/>
  <c r="D156" i="46"/>
  <c r="N156" i="45"/>
  <c r="P156" i="45"/>
  <c r="Q156" i="45"/>
  <c r="M156" i="45"/>
  <c r="O156" i="45"/>
  <c r="R156" i="45"/>
  <c r="T156" i="45"/>
  <c r="S156" i="45"/>
  <c r="U156" i="45"/>
  <c r="T18" i="45"/>
  <c r="S18" i="45"/>
  <c r="R18" i="45"/>
  <c r="U18" i="45"/>
  <c r="E30" i="46"/>
  <c r="C30" i="46"/>
  <c r="F30" i="46"/>
  <c r="D30" i="46"/>
  <c r="Q170" i="45"/>
  <c r="P170" i="45"/>
  <c r="O170" i="45"/>
  <c r="N170" i="45"/>
  <c r="M170" i="45"/>
  <c r="D170" i="46"/>
  <c r="F170" i="46"/>
  <c r="N263" i="45"/>
  <c r="P263" i="45"/>
  <c r="Q263" i="45"/>
  <c r="O263" i="45"/>
  <c r="M263" i="45"/>
  <c r="R170" i="45"/>
  <c r="S170" i="45"/>
  <c r="U170" i="45"/>
  <c r="T170" i="45"/>
  <c r="C170" i="46"/>
  <c r="E170" i="46"/>
  <c r="T30" i="45"/>
  <c r="R30" i="45"/>
  <c r="S30" i="45"/>
  <c r="U30" i="45"/>
  <c r="S263" i="45"/>
  <c r="U263" i="45"/>
  <c r="T263" i="45"/>
  <c r="R263" i="45"/>
  <c r="M30" i="45"/>
  <c r="Q30" i="45"/>
  <c r="O30" i="45"/>
  <c r="P30" i="45"/>
  <c r="N30" i="45"/>
  <c r="D18" i="46"/>
  <c r="F18" i="46"/>
  <c r="F263" i="46"/>
  <c r="D263" i="46"/>
  <c r="AE154" i="46"/>
  <c r="AC154" i="46"/>
  <c r="Z154" i="46"/>
  <c r="AD154" i="46"/>
  <c r="AA154" i="46"/>
  <c r="AF154" i="46"/>
  <c r="AB154" i="46"/>
  <c r="W154" i="46"/>
  <c r="U154" i="46"/>
  <c r="X154" i="46"/>
  <c r="S154" i="46"/>
  <c r="Y154" i="46"/>
  <c r="T154" i="46"/>
  <c r="V154" i="46"/>
  <c r="C18" i="46"/>
  <c r="E18" i="46"/>
  <c r="N18" i="45"/>
  <c r="O18" i="45"/>
  <c r="Q18" i="45"/>
  <c r="P18" i="45"/>
  <c r="M18" i="45"/>
  <c r="E263" i="46"/>
  <c r="C263" i="46"/>
  <c r="AO154" i="46"/>
  <c r="AM154" i="46"/>
  <c r="AR154" i="46"/>
  <c r="AN154" i="46"/>
  <c r="AP154" i="46"/>
  <c r="AQ154" i="46"/>
  <c r="AH154" i="46"/>
  <c r="AG154" i="46"/>
  <c r="AK154" i="46"/>
  <c r="AL154" i="46"/>
  <c r="AJ154" i="46"/>
  <c r="AI154" i="46"/>
  <c r="U23" i="45"/>
  <c r="T23" i="45"/>
  <c r="S23" i="45"/>
  <c r="R23" i="45"/>
  <c r="M23" i="45"/>
  <c r="O23" i="45"/>
  <c r="Q23" i="45"/>
  <c r="P23" i="45"/>
  <c r="N23" i="45"/>
  <c r="E23" i="46"/>
  <c r="C23" i="46"/>
  <c r="C37" i="46" l="1"/>
  <c r="E37" i="46"/>
  <c r="F37" i="46"/>
  <c r="D37" i="46"/>
  <c r="T37" i="45"/>
  <c r="S37" i="45"/>
  <c r="R37" i="45"/>
  <c r="U37" i="45"/>
  <c r="M37" i="45"/>
  <c r="P37" i="45"/>
  <c r="Q37" i="45"/>
  <c r="N37" i="45"/>
  <c r="O37" i="45"/>
  <c r="O5" i="45"/>
  <c r="N5" i="45"/>
  <c r="Q5" i="45"/>
  <c r="M5" i="45"/>
  <c r="P5" i="45"/>
  <c r="U5" i="45"/>
  <c r="R5" i="45"/>
  <c r="S5" i="45"/>
  <c r="T5" i="45"/>
  <c r="C5" i="46"/>
  <c r="E5" i="46"/>
  <c r="D5" i="46"/>
  <c r="F5" i="46"/>
  <c r="F23" i="46"/>
  <c r="AM23" i="46" s="1"/>
  <c r="A161" i="52"/>
  <c r="A161" i="50"/>
  <c r="A161" i="51"/>
  <c r="A161" i="6"/>
  <c r="A161" i="28"/>
  <c r="A161" i="33"/>
  <c r="A161" i="39"/>
  <c r="A161" i="23"/>
  <c r="A161" i="26"/>
  <c r="A161" i="21"/>
  <c r="A161" i="7"/>
  <c r="A161" i="25"/>
  <c r="A161" i="54"/>
  <c r="A161" i="15"/>
  <c r="AQ156" i="46"/>
  <c r="AN156" i="46"/>
  <c r="AO156" i="46"/>
  <c r="AP156" i="46"/>
  <c r="AR156" i="46"/>
  <c r="AM156" i="46"/>
  <c r="AE156" i="46"/>
  <c r="AA156" i="46"/>
  <c r="AD156" i="46"/>
  <c r="Z156" i="46"/>
  <c r="AF156" i="46"/>
  <c r="AB156" i="46"/>
  <c r="AC156" i="46"/>
  <c r="W156" i="46"/>
  <c r="Y156" i="46"/>
  <c r="S156" i="46"/>
  <c r="T156" i="46"/>
  <c r="V156" i="46"/>
  <c r="U156" i="46"/>
  <c r="X156" i="46"/>
  <c r="AG156" i="46"/>
  <c r="AI156" i="46"/>
  <c r="AL156" i="46"/>
  <c r="AH156" i="46"/>
  <c r="AJ156" i="46"/>
  <c r="AK156" i="46"/>
  <c r="AJ18" i="46"/>
  <c r="AK18" i="46"/>
  <c r="AH18" i="46"/>
  <c r="AG18" i="46"/>
  <c r="AL18" i="46"/>
  <c r="AI18" i="46"/>
  <c r="AB263" i="46"/>
  <c r="AA263" i="46"/>
  <c r="AF263" i="46"/>
  <c r="AC263" i="46"/>
  <c r="Z263" i="46"/>
  <c r="AE263" i="46"/>
  <c r="AD263" i="46"/>
  <c r="S18" i="46"/>
  <c r="X18" i="46"/>
  <c r="V18" i="46"/>
  <c r="W18" i="46"/>
  <c r="T18" i="46"/>
  <c r="U18" i="46"/>
  <c r="Y18" i="46"/>
  <c r="AR263" i="46"/>
  <c r="AQ263" i="46"/>
  <c r="AM263" i="46"/>
  <c r="AP263" i="46"/>
  <c r="AN263" i="46"/>
  <c r="AO263" i="46"/>
  <c r="AO18" i="46"/>
  <c r="AQ18" i="46"/>
  <c r="AM18" i="46"/>
  <c r="AN18" i="46"/>
  <c r="AR18" i="46"/>
  <c r="AP18" i="46"/>
  <c r="AJ170" i="46"/>
  <c r="AK170" i="46"/>
  <c r="AI170" i="46"/>
  <c r="AG170" i="46"/>
  <c r="AL170" i="46"/>
  <c r="AH170" i="46"/>
  <c r="AD30" i="46"/>
  <c r="AE30" i="46"/>
  <c r="Z30" i="46"/>
  <c r="AF30" i="46"/>
  <c r="AA30" i="46"/>
  <c r="AB30" i="46"/>
  <c r="AC30" i="46"/>
  <c r="Z18" i="46"/>
  <c r="AD18" i="46"/>
  <c r="AA18" i="46"/>
  <c r="AE18" i="46"/>
  <c r="AF18" i="46"/>
  <c r="AC18" i="46"/>
  <c r="AB18" i="46"/>
  <c r="S170" i="46"/>
  <c r="V170" i="46"/>
  <c r="W170" i="46"/>
  <c r="X170" i="46"/>
  <c r="U170" i="46"/>
  <c r="T170" i="46"/>
  <c r="Y170" i="46"/>
  <c r="AM30" i="46"/>
  <c r="AN30" i="46"/>
  <c r="AO30" i="46"/>
  <c r="AQ30" i="46"/>
  <c r="AP30" i="46"/>
  <c r="AR30" i="46"/>
  <c r="S30" i="46"/>
  <c r="V30" i="46"/>
  <c r="Y30" i="46"/>
  <c r="X30" i="46"/>
  <c r="W30" i="46"/>
  <c r="U30" i="46"/>
  <c r="T30" i="46"/>
  <c r="AM170" i="46"/>
  <c r="AP170" i="46"/>
  <c r="AO170" i="46"/>
  <c r="AQ170" i="46"/>
  <c r="AR170" i="46"/>
  <c r="AN170" i="46"/>
  <c r="AI30" i="46"/>
  <c r="AG30" i="46"/>
  <c r="AH30" i="46"/>
  <c r="AK30" i="46"/>
  <c r="AJ30" i="46"/>
  <c r="AL30" i="46"/>
  <c r="V263" i="46"/>
  <c r="U263" i="46"/>
  <c r="X263" i="46"/>
  <c r="S263" i="46"/>
  <c r="Y263" i="46"/>
  <c r="W263" i="46"/>
  <c r="T263" i="46"/>
  <c r="AE170" i="46"/>
  <c r="AF170" i="46"/>
  <c r="AB170" i="46"/>
  <c r="AC170" i="46"/>
  <c r="Z170" i="46"/>
  <c r="AD170" i="46"/>
  <c r="AA170" i="46"/>
  <c r="AG263" i="46"/>
  <c r="AH263" i="46"/>
  <c r="AK263" i="46"/>
  <c r="AL263" i="46"/>
  <c r="AI263" i="46"/>
  <c r="AJ263" i="46"/>
  <c r="AE23" i="46"/>
  <c r="AB23" i="46"/>
  <c r="AA23" i="46"/>
  <c r="Z23" i="46"/>
  <c r="AF23" i="46"/>
  <c r="AC23" i="46"/>
  <c r="AD23" i="46"/>
  <c r="T23" i="46"/>
  <c r="V23" i="46"/>
  <c r="Y23" i="46"/>
  <c r="S23" i="46"/>
  <c r="X23" i="46"/>
  <c r="W23" i="46"/>
  <c r="U23" i="46"/>
  <c r="AH23" i="46"/>
  <c r="AK23" i="46"/>
  <c r="AG23" i="46"/>
  <c r="AL23" i="46"/>
  <c r="AJ23" i="46"/>
  <c r="AI23" i="46"/>
  <c r="AB37" i="46" l="1"/>
  <c r="AF37" i="46"/>
  <c r="AA37" i="46"/>
  <c r="AC37" i="46"/>
  <c r="Z37" i="46"/>
  <c r="AE37" i="46"/>
  <c r="AD37" i="46"/>
  <c r="AP37" i="46"/>
  <c r="AR37" i="46"/>
  <c r="AQ37" i="46"/>
  <c r="AM37" i="46"/>
  <c r="AN37" i="46"/>
  <c r="AO37" i="46"/>
  <c r="AH37" i="46"/>
  <c r="AG37" i="46"/>
  <c r="AL37" i="46"/>
  <c r="AI37" i="46"/>
  <c r="AJ37" i="46"/>
  <c r="AK37" i="46"/>
  <c r="Y37" i="46"/>
  <c r="V37" i="46"/>
  <c r="W37" i="46"/>
  <c r="U37" i="46"/>
  <c r="S37" i="46"/>
  <c r="T37" i="46"/>
  <c r="X37" i="46"/>
  <c r="AO5" i="46"/>
  <c r="AQ5" i="46"/>
  <c r="AR5" i="46"/>
  <c r="AM5" i="46"/>
  <c r="AP5" i="46"/>
  <c r="AN5" i="46"/>
  <c r="AD5" i="46"/>
  <c r="AB5" i="46"/>
  <c r="AF5" i="46"/>
  <c r="AA5" i="46"/>
  <c r="Z5" i="46"/>
  <c r="AE5" i="46"/>
  <c r="AC5" i="46"/>
  <c r="AI5" i="46"/>
  <c r="AK5" i="46"/>
  <c r="AH5" i="46"/>
  <c r="AL5" i="46"/>
  <c r="AG5" i="46"/>
  <c r="AJ5" i="46"/>
  <c r="S5" i="46"/>
  <c r="X5" i="46"/>
  <c r="V5" i="46"/>
  <c r="T5" i="46"/>
  <c r="W5" i="46"/>
  <c r="U5" i="46"/>
  <c r="Y5" i="46"/>
  <c r="AN23" i="46"/>
  <c r="AP23" i="46"/>
  <c r="AR23" i="46"/>
  <c r="AO23" i="46"/>
  <c r="AQ23" i="46"/>
  <c r="A162" i="50"/>
  <c r="A162" i="52"/>
  <c r="A162" i="51"/>
  <c r="A162" i="33"/>
  <c r="A162" i="39"/>
  <c r="A162" i="6"/>
  <c r="A162" i="23"/>
  <c r="A162" i="26"/>
  <c r="A162" i="25"/>
  <c r="A162" i="54"/>
  <c r="A162" i="21"/>
  <c r="A162" i="7"/>
  <c r="A162" i="28"/>
  <c r="A162" i="15"/>
  <c r="A163" i="33" l="1"/>
  <c r="A163" i="39"/>
  <c r="A163" i="50"/>
  <c r="A163" i="52"/>
  <c r="A163" i="51"/>
  <c r="A163" i="6"/>
  <c r="A163" i="28"/>
  <c r="A163" i="23"/>
  <c r="A163" i="26"/>
  <c r="A163" i="25"/>
  <c r="A163" i="54"/>
  <c r="A163" i="21"/>
  <c r="A163" i="7"/>
  <c r="A163" i="15"/>
  <c r="A164" i="33" l="1"/>
  <c r="A164" i="39"/>
  <c r="A164" i="50"/>
  <c r="A164" i="52"/>
  <c r="A164" i="51"/>
  <c r="A164" i="23"/>
  <c r="A164" i="26"/>
  <c r="A164" i="6"/>
  <c r="A164" i="28"/>
  <c r="A164" i="25"/>
  <c r="A164" i="21"/>
  <c r="A164" i="7"/>
  <c r="A164" i="15"/>
  <c r="A164" i="54"/>
  <c r="A165" i="50" l="1"/>
  <c r="A165" i="52"/>
  <c r="A165" i="51"/>
  <c r="A165" i="23"/>
  <c r="A165" i="26"/>
  <c r="A165" i="33"/>
  <c r="A165" i="39"/>
  <c r="A165" i="6"/>
  <c r="A165" i="28"/>
  <c r="A165" i="25"/>
  <c r="A165" i="54"/>
  <c r="A165" i="21"/>
  <c r="A165" i="7"/>
  <c r="A165" i="15"/>
  <c r="A166" i="33" l="1"/>
  <c r="A166" i="39"/>
  <c r="A166" i="50"/>
  <c r="A166" i="52"/>
  <c r="A166" i="51"/>
  <c r="A166" i="23"/>
  <c r="A166" i="26"/>
  <c r="A166" i="6"/>
  <c r="A166" i="21"/>
  <c r="A166" i="7"/>
  <c r="A166" i="25"/>
  <c r="A166" i="54"/>
  <c r="A166" i="28"/>
  <c r="A166" i="15"/>
  <c r="A167" i="52" l="1"/>
  <c r="A167" i="51"/>
  <c r="A167" i="33"/>
  <c r="A167" i="39"/>
  <c r="A167" i="50"/>
  <c r="A167" i="23"/>
  <c r="A167" i="26"/>
  <c r="A167" i="6"/>
  <c r="A167" i="28"/>
  <c r="A167" i="21"/>
  <c r="A167" i="7"/>
  <c r="A167" i="25"/>
  <c r="A167" i="54"/>
  <c r="A167" i="15"/>
  <c r="A168" i="52" l="1"/>
  <c r="A168" i="51"/>
  <c r="A168" i="33"/>
  <c r="A168" i="39"/>
  <c r="A168" i="50"/>
  <c r="A168" i="6"/>
  <c r="A168" i="28"/>
  <c r="A168" i="23"/>
  <c r="A168" i="26"/>
  <c r="A168" i="21"/>
  <c r="A168" i="7"/>
  <c r="A168" i="25"/>
  <c r="A168" i="54"/>
  <c r="A168" i="15"/>
  <c r="A169" i="52" l="1"/>
  <c r="A169" i="50"/>
  <c r="A169" i="6"/>
  <c r="A169" i="28"/>
  <c r="A169" i="51"/>
  <c r="A169" i="23"/>
  <c r="A169" i="26"/>
  <c r="A169" i="33"/>
  <c r="A169" i="39"/>
  <c r="A169" i="21"/>
  <c r="A169" i="7"/>
  <c r="A169" i="25"/>
  <c r="A169" i="54"/>
  <c r="A169" i="15"/>
  <c r="A170" i="50" l="1"/>
  <c r="A170" i="52"/>
  <c r="A170" i="51"/>
  <c r="A170" i="33"/>
  <c r="A170" i="39"/>
  <c r="A170" i="6"/>
  <c r="A170" i="23"/>
  <c r="A170" i="26"/>
  <c r="A170" i="25"/>
  <c r="A170" i="54"/>
  <c r="A170" i="21"/>
  <c r="A170" i="7"/>
  <c r="A170" i="28"/>
  <c r="A170" i="15"/>
  <c r="A171" i="33" l="1"/>
  <c r="A171" i="39"/>
  <c r="A171" i="50"/>
  <c r="A171" i="52"/>
  <c r="A171" i="51"/>
  <c r="A171" i="6"/>
  <c r="A171" i="28"/>
  <c r="A171" i="23"/>
  <c r="A171" i="26"/>
  <c r="A171" i="25"/>
  <c r="A171" i="54"/>
  <c r="A171" i="21"/>
  <c r="A171" i="7"/>
  <c r="A171" i="15"/>
  <c r="A172" i="33" l="1"/>
  <c r="A172" i="39"/>
  <c r="A172" i="50"/>
  <c r="A172" i="52"/>
  <c r="A172" i="51"/>
  <c r="A172" i="23"/>
  <c r="A172" i="26"/>
  <c r="A172" i="6"/>
  <c r="A172" i="28"/>
  <c r="A172" i="25"/>
  <c r="A172" i="21"/>
  <c r="A172" i="7"/>
  <c r="A172" i="15"/>
  <c r="A172" i="54"/>
  <c r="A173" i="50" l="1"/>
  <c r="A173" i="52"/>
  <c r="A173" i="23"/>
  <c r="A173" i="26"/>
  <c r="A173" i="51"/>
  <c r="A173" i="6"/>
  <c r="A173" i="28"/>
  <c r="A173" i="33"/>
  <c r="A173" i="39"/>
  <c r="A173" i="25"/>
  <c r="A173" i="54"/>
  <c r="A173" i="21"/>
  <c r="A173" i="7"/>
  <c r="A173" i="15"/>
  <c r="A174" i="33" l="1"/>
  <c r="A174" i="39"/>
  <c r="A174" i="50"/>
  <c r="A174" i="52"/>
  <c r="A174" i="51"/>
  <c r="A174" i="23"/>
  <c r="A174" i="26"/>
  <c r="A174" i="6"/>
  <c r="A174" i="28"/>
  <c r="A174" i="21"/>
  <c r="A174" i="7"/>
  <c r="A174" i="25"/>
  <c r="A174" i="54"/>
  <c r="A174" i="15"/>
  <c r="A175" i="52" l="1"/>
  <c r="A175" i="51"/>
  <c r="A175" i="33"/>
  <c r="A175" i="39"/>
  <c r="A175" i="50"/>
  <c r="A175" i="23"/>
  <c r="A175" i="26"/>
  <c r="A175" i="6"/>
  <c r="A175" i="28"/>
  <c r="A175" i="21"/>
  <c r="A175" i="7"/>
  <c r="A175" i="25"/>
  <c r="A175" i="54"/>
  <c r="A175" i="15"/>
  <c r="A176" i="52" l="1"/>
  <c r="A176" i="51"/>
  <c r="A176" i="33"/>
  <c r="A176" i="39"/>
  <c r="A176" i="50"/>
  <c r="A176" i="6"/>
  <c r="A176" i="28"/>
  <c r="A176" i="23"/>
  <c r="A176" i="26"/>
  <c r="A176" i="21"/>
  <c r="A176" i="7"/>
  <c r="A176" i="25"/>
  <c r="A176" i="54"/>
  <c r="A176" i="15"/>
  <c r="A177" i="52" l="1"/>
  <c r="A177" i="50"/>
  <c r="A177" i="33"/>
  <c r="A177" i="39"/>
  <c r="A177" i="6"/>
  <c r="A177" i="28"/>
  <c r="A177" i="51"/>
  <c r="A177" i="23"/>
  <c r="A177" i="26"/>
  <c r="A177" i="21"/>
  <c r="A177" i="7"/>
  <c r="A177" i="25"/>
  <c r="A177" i="54"/>
  <c r="A177" i="15"/>
  <c r="A178" i="50" l="1"/>
  <c r="A178" i="52"/>
  <c r="A178" i="51"/>
  <c r="A178" i="33"/>
  <c r="A178" i="39"/>
  <c r="A178" i="6"/>
  <c r="A178" i="23"/>
  <c r="A178" i="26"/>
  <c r="A178" i="25"/>
  <c r="A178" i="54"/>
  <c r="A178" i="28"/>
  <c r="A178" i="21"/>
  <c r="A178" i="7"/>
  <c r="A178" i="15"/>
  <c r="A179" i="33" l="1"/>
  <c r="A179" i="39"/>
  <c r="A179" i="50"/>
  <c r="A179" i="52"/>
  <c r="A179" i="51"/>
  <c r="A179" i="6"/>
  <c r="A179" i="28"/>
  <c r="A179" i="23"/>
  <c r="A179" i="26"/>
  <c r="A179" i="25"/>
  <c r="A179" i="54"/>
  <c r="A179" i="21"/>
  <c r="A179" i="7"/>
  <c r="A179" i="15"/>
  <c r="A180" i="33" l="1"/>
  <c r="A180" i="39"/>
  <c r="A180" i="50"/>
  <c r="A180" i="52"/>
  <c r="A180" i="51"/>
  <c r="A180" i="23"/>
  <c r="A180" i="26"/>
  <c r="A180" i="6"/>
  <c r="A180" i="28"/>
  <c r="A180" i="25"/>
  <c r="A180" i="21"/>
  <c r="A180" i="7"/>
  <c r="A180" i="54"/>
  <c r="A180" i="15"/>
  <c r="A181" i="50" l="1"/>
  <c r="A181" i="52"/>
  <c r="A181" i="33"/>
  <c r="A181" i="39"/>
  <c r="A181" i="23"/>
  <c r="A181" i="26"/>
  <c r="A181" i="51"/>
  <c r="A181" i="6"/>
  <c r="A181" i="28"/>
  <c r="A181" i="25"/>
  <c r="A181" i="54"/>
  <c r="A181" i="21"/>
  <c r="A181" i="7"/>
  <c r="A181" i="15"/>
  <c r="A182" i="33" l="1"/>
  <c r="A182" i="39"/>
  <c r="A182" i="50"/>
  <c r="A182" i="52"/>
  <c r="A182" i="51"/>
  <c r="A182" i="23"/>
  <c r="A182" i="26"/>
  <c r="A182" i="6"/>
  <c r="A182" i="21"/>
  <c r="A182" i="7"/>
  <c r="A182" i="28"/>
  <c r="A182" i="25"/>
  <c r="A182" i="54"/>
  <c r="A182" i="15"/>
  <c r="A183" i="52" l="1"/>
  <c r="A183" i="51"/>
  <c r="A183" i="33"/>
  <c r="A183" i="39"/>
  <c r="A183" i="50"/>
  <c r="A183" i="23"/>
  <c r="A183" i="26"/>
  <c r="A183" i="6"/>
  <c r="A183" i="28"/>
  <c r="A183" i="21"/>
  <c r="A183" i="7"/>
  <c r="A183" i="25"/>
  <c r="A183" i="54"/>
  <c r="A183" i="15"/>
  <c r="A184" i="52" l="1"/>
  <c r="A184" i="51"/>
  <c r="A184" i="33"/>
  <c r="A184" i="39"/>
  <c r="A184" i="50"/>
  <c r="A184" i="6"/>
  <c r="A184" i="28"/>
  <c r="A184" i="23"/>
  <c r="A184" i="26"/>
  <c r="A184" i="21"/>
  <c r="A184" i="7"/>
  <c r="A184" i="25"/>
  <c r="A184" i="54"/>
  <c r="A184" i="15"/>
  <c r="A185" i="52" l="1"/>
  <c r="A185" i="50"/>
  <c r="A185" i="6"/>
  <c r="A185" i="28"/>
  <c r="A185" i="33"/>
  <c r="A185" i="39"/>
  <c r="A185" i="23"/>
  <c r="A185" i="26"/>
  <c r="A185" i="51"/>
  <c r="A185" i="21"/>
  <c r="A185" i="7"/>
  <c r="A185" i="25"/>
  <c r="A185" i="54"/>
  <c r="A185" i="15"/>
  <c r="A186" i="50" l="1"/>
  <c r="A186" i="52"/>
  <c r="A186" i="51"/>
  <c r="A186" i="33"/>
  <c r="A186" i="39"/>
  <c r="A186" i="6"/>
  <c r="A186" i="23"/>
  <c r="A186" i="26"/>
  <c r="A186" i="25"/>
  <c r="A186" i="54"/>
  <c r="A186" i="28"/>
  <c r="A186" i="21"/>
  <c r="A186" i="7"/>
  <c r="A186" i="15"/>
  <c r="A187" i="33" l="1"/>
  <c r="A187" i="39"/>
  <c r="A187" i="50"/>
  <c r="A187" i="52"/>
  <c r="A187" i="51"/>
  <c r="A187" i="6"/>
  <c r="A187" i="28"/>
  <c r="A187" i="23"/>
  <c r="A187" i="26"/>
  <c r="A187" i="25"/>
  <c r="A187" i="54"/>
  <c r="A187" i="21"/>
  <c r="A187" i="7"/>
  <c r="A187" i="15"/>
  <c r="A188" i="33" l="1"/>
  <c r="A188" i="39"/>
  <c r="A188" i="50"/>
  <c r="A188" i="52"/>
  <c r="A188" i="51"/>
  <c r="A188" i="23"/>
  <c r="A188" i="26"/>
  <c r="A188" i="6"/>
  <c r="A188" i="28"/>
  <c r="A188" i="25"/>
  <c r="A188" i="21"/>
  <c r="A188" i="7"/>
  <c r="A188" i="54"/>
  <c r="A188" i="15"/>
  <c r="A189" i="50" l="1"/>
  <c r="A189" i="52"/>
  <c r="A189" i="23"/>
  <c r="A189" i="26"/>
  <c r="A189" i="33"/>
  <c r="A189" i="39"/>
  <c r="A189" i="6"/>
  <c r="A189" i="28"/>
  <c r="A189" i="51"/>
  <c r="A189" i="25"/>
  <c r="A189" i="54"/>
  <c r="A189" i="21"/>
  <c r="A189" i="7"/>
  <c r="A189" i="15"/>
  <c r="A190" i="33" l="1"/>
  <c r="A190" i="39"/>
  <c r="A190" i="50"/>
  <c r="A190" i="52"/>
  <c r="A190" i="51"/>
  <c r="A190" i="23"/>
  <c r="A190" i="26"/>
  <c r="A190" i="6"/>
  <c r="A190" i="21"/>
  <c r="A190" i="7"/>
  <c r="A190" i="28"/>
  <c r="A190" i="25"/>
  <c r="A190" i="54"/>
  <c r="A190" i="15"/>
  <c r="A191" i="52" l="1"/>
  <c r="A191" i="51"/>
  <c r="A191" i="33"/>
  <c r="A191" i="39"/>
  <c r="A191" i="50"/>
  <c r="A191" i="23"/>
  <c r="A191" i="26"/>
  <c r="A191" i="6"/>
  <c r="A191" i="28"/>
  <c r="A191" i="21"/>
  <c r="A191" i="7"/>
  <c r="A191" i="25"/>
  <c r="A191" i="54"/>
  <c r="A191" i="15"/>
  <c r="A192" i="52" l="1"/>
  <c r="A192" i="51"/>
  <c r="A192" i="33"/>
  <c r="A192" i="39"/>
  <c r="A192" i="50"/>
  <c r="A192" i="6"/>
  <c r="A192" i="28"/>
  <c r="A192" i="23"/>
  <c r="A192" i="26"/>
  <c r="A192" i="21"/>
  <c r="A192" i="7"/>
  <c r="A192" i="25"/>
  <c r="A192" i="54"/>
  <c r="A192" i="15"/>
  <c r="A193" i="52" l="1"/>
  <c r="A193" i="50"/>
  <c r="A193" i="51"/>
  <c r="A193" i="6"/>
  <c r="A193" i="28"/>
  <c r="A193" i="33"/>
  <c r="A193" i="39"/>
  <c r="A193" i="23"/>
  <c r="A193" i="26"/>
  <c r="A193" i="21"/>
  <c r="A193" i="7"/>
  <c r="A193" i="25"/>
  <c r="A193" i="54"/>
  <c r="A193" i="15"/>
  <c r="A194" i="50" l="1"/>
  <c r="A194" i="52"/>
  <c r="A194" i="51"/>
  <c r="A194" i="33"/>
  <c r="A194" i="39"/>
  <c r="A194" i="6"/>
  <c r="A194" i="23"/>
  <c r="A194" i="26"/>
  <c r="A194" i="25"/>
  <c r="A194" i="54"/>
  <c r="A194" i="21"/>
  <c r="A194" i="7"/>
  <c r="A194" i="28"/>
  <c r="A194" i="15"/>
  <c r="A195" i="33" l="1"/>
  <c r="A195" i="39"/>
  <c r="A195" i="50"/>
  <c r="A195" i="52"/>
  <c r="A195" i="51"/>
  <c r="A195" i="6"/>
  <c r="A195" i="28"/>
  <c r="A195" i="23"/>
  <c r="A195" i="26"/>
  <c r="A195" i="25"/>
  <c r="A195" i="54"/>
  <c r="A195" i="21"/>
  <c r="A195" i="7"/>
  <c r="A195" i="15"/>
  <c r="A196" i="33" l="1"/>
  <c r="A196" i="39"/>
  <c r="A196" i="50"/>
  <c r="A196" i="52"/>
  <c r="A196" i="51"/>
  <c r="A196" i="23"/>
  <c r="A196" i="26"/>
  <c r="A196" i="6"/>
  <c r="A196" i="28"/>
  <c r="A196" i="25"/>
  <c r="A196" i="21"/>
  <c r="A196" i="7"/>
  <c r="A196" i="15"/>
  <c r="A196" i="54"/>
  <c r="A197" i="50" l="1"/>
  <c r="A197" i="52"/>
  <c r="A197" i="51"/>
  <c r="A197" i="23"/>
  <c r="A197" i="26"/>
  <c r="A197" i="33"/>
  <c r="A197" i="39"/>
  <c r="A197" i="6"/>
  <c r="A197" i="28"/>
  <c r="A197" i="25"/>
  <c r="A197" i="54"/>
  <c r="A197" i="21"/>
  <c r="A197" i="7"/>
  <c r="A197" i="15"/>
  <c r="A198" i="33" l="1"/>
  <c r="A198" i="39"/>
  <c r="A198" i="50"/>
  <c r="A198" i="52"/>
  <c r="A198" i="51"/>
  <c r="A198" i="23"/>
  <c r="A198" i="26"/>
  <c r="A198" i="6"/>
  <c r="A198" i="21"/>
  <c r="A198" i="7"/>
  <c r="A198" i="25"/>
  <c r="A198" i="54"/>
  <c r="A198" i="28"/>
  <c r="A198" i="15"/>
  <c r="A199" i="52" l="1"/>
  <c r="A199" i="51"/>
  <c r="A199" i="33"/>
  <c r="A199" i="39"/>
  <c r="A199" i="50"/>
  <c r="A199" i="23"/>
  <c r="A199" i="26"/>
  <c r="A199" i="6"/>
  <c r="A199" i="28"/>
  <c r="A199" i="21"/>
  <c r="A199" i="7"/>
  <c r="A199" i="25"/>
  <c r="A199" i="54"/>
  <c r="A199" i="15"/>
  <c r="A200" i="52" l="1"/>
  <c r="A200" i="51"/>
  <c r="A200" i="33"/>
  <c r="A200" i="39"/>
  <c r="A200" i="50"/>
  <c r="A200" i="6"/>
  <c r="A200" i="28"/>
  <c r="A200" i="23"/>
  <c r="A200" i="26"/>
  <c r="A200" i="21"/>
  <c r="A200" i="7"/>
  <c r="A200" i="25"/>
  <c r="A200" i="15"/>
  <c r="A200" i="54"/>
  <c r="A201" i="52" l="1"/>
  <c r="A201" i="50"/>
  <c r="A201" i="6"/>
  <c r="A201" i="28"/>
  <c r="A201" i="51"/>
  <c r="A201" i="23"/>
  <c r="A201" i="26"/>
  <c r="A201" i="33"/>
  <c r="A201" i="39"/>
  <c r="A201" i="21"/>
  <c r="A201" i="7"/>
  <c r="A201" i="25"/>
  <c r="A201" i="54"/>
  <c r="A201" i="15"/>
  <c r="A202" i="50" l="1"/>
  <c r="A202" i="52"/>
  <c r="A202" i="51"/>
  <c r="A202" i="33"/>
  <c r="A202" i="39"/>
  <c r="A202" i="6"/>
  <c r="A202" i="23"/>
  <c r="A202" i="26"/>
  <c r="A202" i="25"/>
  <c r="A202" i="54"/>
  <c r="A202" i="21"/>
  <c r="A202" i="7"/>
  <c r="A202" i="28"/>
  <c r="A202" i="15"/>
  <c r="A203" i="33" l="1"/>
  <c r="A203" i="39"/>
  <c r="A203" i="50"/>
  <c r="A203" i="52"/>
  <c r="A203" i="51"/>
  <c r="A203" i="6"/>
  <c r="A203" i="28"/>
  <c r="A203" i="23"/>
  <c r="A203" i="26"/>
  <c r="A203" i="25"/>
  <c r="A203" i="54"/>
  <c r="A203" i="21"/>
  <c r="A203" i="7"/>
  <c r="A203" i="15"/>
  <c r="A204" i="33" l="1"/>
  <c r="A204" i="39"/>
  <c r="A204" i="50"/>
  <c r="A204" i="52"/>
  <c r="A204" i="51"/>
  <c r="A204" i="23"/>
  <c r="A204" i="26"/>
  <c r="A204" i="6"/>
  <c r="A204" i="28"/>
  <c r="A204" i="25"/>
  <c r="A204" i="21"/>
  <c r="A204" i="7"/>
  <c r="A204" i="15"/>
  <c r="A204" i="54"/>
  <c r="A205" i="50" l="1"/>
  <c r="A205" i="52"/>
  <c r="A205" i="23"/>
  <c r="A205" i="26"/>
  <c r="A205" i="51"/>
  <c r="A205" i="6"/>
  <c r="A205" i="28"/>
  <c r="A205" i="33"/>
  <c r="A205" i="39"/>
  <c r="A205" i="25"/>
  <c r="A205" i="54"/>
  <c r="A205" i="21"/>
  <c r="A205" i="7"/>
  <c r="A205" i="15"/>
  <c r="A206" i="33" l="1"/>
  <c r="A206" i="39"/>
  <c r="A206" i="50"/>
  <c r="A206" i="52"/>
  <c r="A206" i="51"/>
  <c r="A206" i="23"/>
  <c r="A206" i="26"/>
  <c r="A206" i="6"/>
  <c r="A206" i="28"/>
  <c r="A206" i="21"/>
  <c r="A206" i="7"/>
  <c r="A206" i="25"/>
  <c r="A206" i="54"/>
  <c r="A206" i="15"/>
  <c r="A207" i="52" l="1"/>
  <c r="A207" i="51"/>
  <c r="A207" i="33"/>
  <c r="A207" i="39"/>
  <c r="A207" i="50"/>
  <c r="A207" i="23"/>
  <c r="A207" i="26"/>
  <c r="A207" i="6"/>
  <c r="A207" i="28"/>
  <c r="A207" i="21"/>
  <c r="A207" i="7"/>
  <c r="A207" i="25"/>
  <c r="A207" i="54"/>
  <c r="A207" i="15"/>
  <c r="A208" i="52" l="1"/>
  <c r="A208" i="51"/>
  <c r="A208" i="33"/>
  <c r="A208" i="39"/>
  <c r="A208" i="50"/>
  <c r="A208" i="6"/>
  <c r="A208" i="28"/>
  <c r="A208" i="23"/>
  <c r="A208" i="26"/>
  <c r="A208" i="21"/>
  <c r="A208" i="7"/>
  <c r="A208" i="25"/>
  <c r="A208" i="15"/>
  <c r="A208" i="54"/>
  <c r="A209" i="52" l="1"/>
  <c r="A209" i="50"/>
  <c r="A209" i="33"/>
  <c r="A209" i="39"/>
  <c r="A209" i="6"/>
  <c r="A209" i="28"/>
  <c r="A209" i="51"/>
  <c r="A209" i="23"/>
  <c r="A209" i="26"/>
  <c r="A209" i="21"/>
  <c r="A209" i="7"/>
  <c r="A209" i="25"/>
  <c r="A209" i="54"/>
  <c r="A209" i="15"/>
  <c r="A210" i="50" l="1"/>
  <c r="A210" i="52"/>
  <c r="A210" i="51"/>
  <c r="A210" i="33"/>
  <c r="A210" i="39"/>
  <c r="A210" i="6"/>
  <c r="A210" i="23"/>
  <c r="A210" i="26"/>
  <c r="A210" i="25"/>
  <c r="A210" i="54"/>
  <c r="A210" i="28"/>
  <c r="A210" i="21"/>
  <c r="A210" i="7"/>
  <c r="A210" i="15"/>
  <c r="A211" i="33" l="1"/>
  <c r="A211" i="39"/>
  <c r="A211" i="50"/>
  <c r="A211" i="52"/>
  <c r="A211" i="51"/>
  <c r="A211" i="6"/>
  <c r="A211" i="28"/>
  <c r="A211" i="23"/>
  <c r="A211" i="26"/>
  <c r="A211" i="25"/>
  <c r="A211" i="54"/>
  <c r="A211" i="21"/>
  <c r="A211" i="7"/>
  <c r="A211" i="15"/>
  <c r="A212" i="33" l="1"/>
  <c r="A212" i="39"/>
  <c r="A212" i="50"/>
  <c r="A212" i="52"/>
  <c r="A212" i="51"/>
  <c r="A212" i="23"/>
  <c r="A212" i="26"/>
  <c r="A212" i="6"/>
  <c r="A212" i="28"/>
  <c r="A212" i="25"/>
  <c r="A212" i="21"/>
  <c r="A212" i="7"/>
  <c r="A212" i="54"/>
  <c r="A212" i="15"/>
  <c r="A213" i="50" l="1"/>
  <c r="A213" i="52"/>
  <c r="A213" i="33"/>
  <c r="A213" i="39"/>
  <c r="A213" i="23"/>
  <c r="A213" i="26"/>
  <c r="A213" i="51"/>
  <c r="A213" i="6"/>
  <c r="A213" i="28"/>
  <c r="A213" i="25"/>
  <c r="A213" i="54"/>
  <c r="A213" i="21"/>
  <c r="A213" i="7"/>
  <c r="A213" i="15"/>
  <c r="A214" i="33" l="1"/>
  <c r="A214" i="39"/>
  <c r="A214" i="50"/>
  <c r="A214" i="52"/>
  <c r="A214" i="51"/>
  <c r="A214" i="23"/>
  <c r="A214" i="26"/>
  <c r="A214" i="6"/>
  <c r="A214" i="21"/>
  <c r="A214" i="7"/>
  <c r="A214" i="28"/>
  <c r="A214" i="25"/>
  <c r="A214" i="54"/>
  <c r="A214" i="15"/>
  <c r="A215" i="52" l="1"/>
  <c r="A215" i="51"/>
  <c r="A215" i="33"/>
  <c r="A215" i="39"/>
  <c r="A215" i="50"/>
  <c r="A215" i="23"/>
  <c r="A215" i="26"/>
  <c r="A215" i="6"/>
  <c r="A215" i="28"/>
  <c r="A215" i="21"/>
  <c r="A215" i="7"/>
  <c r="A215" i="25"/>
  <c r="A215" i="54"/>
  <c r="A215" i="15"/>
  <c r="A216" i="52" l="1"/>
  <c r="A216" i="51"/>
  <c r="A216" i="33"/>
  <c r="A216" i="39"/>
  <c r="A216" i="50"/>
  <c r="A216" i="6"/>
  <c r="A216" i="28"/>
  <c r="A216" i="23"/>
  <c r="A216" i="26"/>
  <c r="A216" i="21"/>
  <c r="A216" i="7"/>
  <c r="A216" i="25"/>
  <c r="A216" i="54"/>
  <c r="A216" i="15"/>
  <c r="A217" i="52" l="1"/>
  <c r="A217" i="50"/>
  <c r="A217" i="6"/>
  <c r="A217" i="28"/>
  <c r="A217" i="33"/>
  <c r="A217" i="39"/>
  <c r="A217" i="23"/>
  <c r="A217" i="26"/>
  <c r="A217" i="51"/>
  <c r="A217" i="21"/>
  <c r="A217" i="7"/>
  <c r="A217" i="25"/>
  <c r="A217" i="54"/>
  <c r="A217" i="15"/>
  <c r="A218" i="50" l="1"/>
  <c r="A218" i="52"/>
  <c r="A218" i="51"/>
  <c r="A218" i="33"/>
  <c r="A218" i="39"/>
  <c r="A218" i="6"/>
  <c r="A218" i="23"/>
  <c r="A218" i="26"/>
  <c r="A218" i="25"/>
  <c r="A218" i="54"/>
  <c r="A218" i="28"/>
  <c r="A218" i="21"/>
  <c r="A218" i="7"/>
  <c r="A218" i="15"/>
  <c r="A219" i="33" l="1"/>
  <c r="A219" i="39"/>
  <c r="A219" i="50"/>
  <c r="A219" i="52"/>
  <c r="A219" i="51"/>
  <c r="A219" i="6"/>
  <c r="A219" i="28"/>
  <c r="A219" i="23"/>
  <c r="A219" i="26"/>
  <c r="A219" i="25"/>
  <c r="A219" i="54"/>
  <c r="A219" i="21"/>
  <c r="A219" i="7"/>
  <c r="A219" i="15"/>
  <c r="A220" i="33" l="1"/>
  <c r="A220" i="39"/>
  <c r="A220" i="50"/>
  <c r="A220" i="52"/>
  <c r="A220" i="51"/>
  <c r="A220" i="23"/>
  <c r="A220" i="26"/>
  <c r="A220" i="6"/>
  <c r="A220" i="28"/>
  <c r="A220" i="25"/>
  <c r="A220" i="21"/>
  <c r="A220" i="7"/>
  <c r="A220" i="15"/>
  <c r="A220" i="54"/>
  <c r="A221" i="50" l="1"/>
  <c r="A221" i="52"/>
  <c r="A221" i="23"/>
  <c r="A221" i="26"/>
  <c r="A221" i="33"/>
  <c r="A221" i="39"/>
  <c r="A221" i="6"/>
  <c r="A221" i="28"/>
  <c r="A221" i="51"/>
  <c r="A221" i="25"/>
  <c r="A221" i="54"/>
  <c r="A221" i="21"/>
  <c r="A221" i="7"/>
  <c r="A221" i="15"/>
  <c r="A222" i="33" l="1"/>
  <c r="A222" i="39"/>
  <c r="A222" i="50"/>
  <c r="A222" i="52"/>
  <c r="A222" i="51"/>
  <c r="A222" i="23"/>
  <c r="A222" i="26"/>
  <c r="A222" i="6"/>
  <c r="A222" i="21"/>
  <c r="A222" i="7"/>
  <c r="A222" i="28"/>
  <c r="A222" i="25"/>
  <c r="A222" i="54"/>
  <c r="A222" i="15"/>
  <c r="A223" i="52" l="1"/>
  <c r="A223" i="51"/>
  <c r="A223" i="33"/>
  <c r="A223" i="39"/>
  <c r="A223" i="50"/>
  <c r="A223" i="23"/>
  <c r="A223" i="26"/>
  <c r="A223" i="6"/>
  <c r="A223" i="28"/>
  <c r="A223" i="21"/>
  <c r="A223" i="7"/>
  <c r="A223" i="25"/>
  <c r="A223" i="54"/>
  <c r="A223" i="15"/>
  <c r="A224" i="52" l="1"/>
  <c r="A224" i="51"/>
  <c r="A224" i="33"/>
  <c r="A224" i="39"/>
  <c r="A224" i="50"/>
  <c r="A224" i="6"/>
  <c r="A224" i="28"/>
  <c r="A224" i="23"/>
  <c r="A224" i="26"/>
  <c r="A224" i="21"/>
  <c r="A224" i="7"/>
  <c r="A224" i="25"/>
  <c r="A224" i="54"/>
  <c r="A224" i="15"/>
  <c r="A225" i="52" l="1"/>
  <c r="A225" i="50"/>
  <c r="A225" i="51"/>
  <c r="A225" i="6"/>
  <c r="A225" i="28"/>
  <c r="A225" i="33"/>
  <c r="A225" i="39"/>
  <c r="A225" i="23"/>
  <c r="A225" i="26"/>
  <c r="A225" i="21"/>
  <c r="A225" i="7"/>
  <c r="A225" i="25"/>
  <c r="A225" i="54"/>
  <c r="A225" i="15"/>
  <c r="A226" i="50" l="1"/>
  <c r="A226" i="52"/>
  <c r="A226" i="51"/>
  <c r="A226" i="33"/>
  <c r="A226" i="39"/>
  <c r="A226" i="6"/>
  <c r="A226" i="23"/>
  <c r="A226" i="26"/>
  <c r="A226" i="25"/>
  <c r="A226" i="54"/>
  <c r="A226" i="21"/>
  <c r="A226" i="7"/>
  <c r="A226" i="28"/>
  <c r="A226" i="15"/>
  <c r="A227" i="33" l="1"/>
  <c r="A227" i="39"/>
  <c r="A227" i="50"/>
  <c r="A227" i="52"/>
  <c r="A227" i="51"/>
  <c r="A227" i="6"/>
  <c r="A227" i="28"/>
  <c r="A227" i="23"/>
  <c r="A227" i="26"/>
  <c r="A227" i="25"/>
  <c r="A227" i="54"/>
  <c r="A227" i="21"/>
  <c r="A227" i="7"/>
  <c r="A227" i="15"/>
  <c r="A228" i="33" l="1"/>
  <c r="A228" i="39"/>
  <c r="A228" i="50"/>
  <c r="A228" i="52"/>
  <c r="A228" i="51"/>
  <c r="A228" i="23"/>
  <c r="A228" i="26"/>
  <c r="A228" i="6"/>
  <c r="A228" i="28"/>
  <c r="A228" i="25"/>
  <c r="A228" i="21"/>
  <c r="A228" i="7"/>
  <c r="A228" i="15"/>
  <c r="A228" i="54"/>
  <c r="A229" i="50" l="1"/>
  <c r="A229" i="52"/>
  <c r="A229" i="51"/>
  <c r="A229" i="23"/>
  <c r="A229" i="26"/>
  <c r="A229" i="33"/>
  <c r="A229" i="39"/>
  <c r="A229" i="6"/>
  <c r="A229" i="28"/>
  <c r="A229" i="25"/>
  <c r="A229" i="54"/>
  <c r="A229" i="21"/>
  <c r="A229" i="7"/>
  <c r="A229" i="15"/>
  <c r="A235" i="52" l="1"/>
  <c r="A235" i="50"/>
  <c r="A235" i="6"/>
  <c r="A235" i="28"/>
  <c r="A235" i="51"/>
  <c r="A235" i="23"/>
  <c r="A235" i="26"/>
  <c r="A235" i="33"/>
  <c r="A235" i="39"/>
  <c r="A235" i="21"/>
  <c r="A235" i="7"/>
  <c r="A235" i="25"/>
  <c r="A235" i="54"/>
  <c r="A235" i="15"/>
  <c r="A236" i="50" l="1"/>
  <c r="A236" i="52"/>
  <c r="A236" i="51"/>
  <c r="A236" i="33"/>
  <c r="A236" i="39"/>
  <c r="A236" i="6"/>
  <c r="A236" i="23"/>
  <c r="A236" i="26"/>
  <c r="A236" i="25"/>
  <c r="A236" i="54"/>
  <c r="A236" i="21"/>
  <c r="A236" i="7"/>
  <c r="A236" i="28"/>
  <c r="A236" i="15"/>
  <c r="A237" i="33" l="1"/>
  <c r="A237" i="39"/>
  <c r="A237" i="50"/>
  <c r="A237" i="52"/>
  <c r="A237" i="51"/>
  <c r="A237" i="6"/>
  <c r="A237" i="28"/>
  <c r="A237" i="23"/>
  <c r="A237" i="26"/>
  <c r="A237" i="25"/>
  <c r="A237" i="54"/>
  <c r="A237" i="21"/>
  <c r="A237" i="7"/>
  <c r="A237" i="15"/>
  <c r="A238" i="33" l="1"/>
  <c r="A238" i="39"/>
  <c r="A238" i="50"/>
  <c r="A238" i="52"/>
  <c r="A238" i="51"/>
  <c r="A238" i="23"/>
  <c r="A238" i="26"/>
  <c r="A238" i="6"/>
  <c r="A238" i="28"/>
  <c r="A238" i="25"/>
  <c r="A238" i="21"/>
  <c r="A238" i="7"/>
  <c r="A238" i="15"/>
  <c r="A238" i="54"/>
  <c r="A239" i="50" l="1"/>
  <c r="A239" i="52"/>
  <c r="A239" i="23"/>
  <c r="A239" i="26"/>
  <c r="A239" i="51"/>
  <c r="A239" i="6"/>
  <c r="A239" i="28"/>
  <c r="A239" i="33"/>
  <c r="A239" i="39"/>
  <c r="A239" i="25"/>
  <c r="A239" i="54"/>
  <c r="A239" i="21"/>
  <c r="A239" i="7"/>
  <c r="A239" i="15"/>
  <c r="A240" i="33" l="1"/>
  <c r="A240" i="39"/>
  <c r="A240" i="50"/>
  <c r="A240" i="52"/>
  <c r="A240" i="51"/>
  <c r="A240" i="23"/>
  <c r="A240" i="26"/>
  <c r="A240" i="6"/>
  <c r="A240" i="28"/>
  <c r="A240" i="21"/>
  <c r="A240" i="7"/>
  <c r="A240" i="25"/>
  <c r="A240" i="54"/>
  <c r="A240" i="15"/>
  <c r="A241" i="52" l="1"/>
  <c r="A241" i="51"/>
  <c r="A241" i="33"/>
  <c r="A241" i="39"/>
  <c r="A241" i="50"/>
  <c r="A241" i="23"/>
  <c r="A241" i="26"/>
  <c r="A241" i="6"/>
  <c r="A241" i="28"/>
  <c r="A241" i="21"/>
  <c r="A241" i="7"/>
  <c r="A241" i="25"/>
  <c r="A241" i="54"/>
  <c r="A241" i="15"/>
  <c r="A242" i="52" l="1"/>
  <c r="A242" i="51"/>
  <c r="A242" i="33"/>
  <c r="A242" i="39"/>
  <c r="A242" i="50"/>
  <c r="A242" i="6"/>
  <c r="A242" i="28"/>
  <c r="A242" i="23"/>
  <c r="A242" i="26"/>
  <c r="A242" i="21"/>
  <c r="A242" i="7"/>
  <c r="A242" i="25"/>
  <c r="A242" i="15"/>
  <c r="A242" i="54"/>
  <c r="A243" i="52" l="1"/>
  <c r="A243" i="50"/>
  <c r="A243" i="33"/>
  <c r="A243" i="39"/>
  <c r="A243" i="6"/>
  <c r="A243" i="28"/>
  <c r="A243" i="51"/>
  <c r="A243" i="23"/>
  <c r="A243" i="26"/>
  <c r="A243" i="21"/>
  <c r="A243" i="7"/>
  <c r="A243" i="25"/>
  <c r="A243" i="54"/>
  <c r="A243" i="15"/>
  <c r="A244" i="50" l="1"/>
  <c r="A244" i="52"/>
  <c r="A244" i="51"/>
  <c r="A244" i="33"/>
  <c r="A244" i="39"/>
  <c r="A244" i="6"/>
  <c r="A244" i="23"/>
  <c r="A244" i="26"/>
  <c r="A244" i="25"/>
  <c r="A244" i="54"/>
  <c r="A244" i="28"/>
  <c r="A244" i="21"/>
  <c r="A244" i="7"/>
  <c r="A244" i="15"/>
  <c r="A245" i="33" l="1"/>
  <c r="A245" i="39"/>
  <c r="A245" i="50"/>
  <c r="A245" i="52"/>
  <c r="A245" i="51"/>
  <c r="A245" i="6"/>
  <c r="A245" i="28"/>
  <c r="A245" i="23"/>
  <c r="A245" i="26"/>
  <c r="A245" i="25"/>
  <c r="A245" i="54"/>
  <c r="A245" i="21"/>
  <c r="A245" i="7"/>
  <c r="A245" i="15"/>
  <c r="A246" i="33" l="1"/>
  <c r="A246" i="39"/>
  <c r="A246" i="50"/>
  <c r="A246" i="52"/>
  <c r="A246" i="51"/>
  <c r="A246" i="23"/>
  <c r="A246" i="26"/>
  <c r="A246" i="6"/>
  <c r="A246" i="28"/>
  <c r="A246" i="25"/>
  <c r="A246" i="21"/>
  <c r="A246" i="7"/>
  <c r="A246" i="54"/>
  <c r="A246" i="15"/>
  <c r="A247" i="50" l="1"/>
  <c r="A247" i="52"/>
  <c r="A247" i="33"/>
  <c r="A247" i="39"/>
  <c r="A247" i="23"/>
  <c r="A247" i="26"/>
  <c r="A247" i="51"/>
  <c r="A247" i="6"/>
  <c r="A247" i="28"/>
  <c r="A247" i="25"/>
  <c r="A247" i="54"/>
  <c r="A247" i="21"/>
  <c r="A247" i="7"/>
  <c r="A247" i="15"/>
  <c r="A248" i="33" l="1"/>
  <c r="A248" i="39"/>
  <c r="A248" i="50"/>
  <c r="A248" i="52"/>
  <c r="A248" i="51"/>
  <c r="A248" i="23"/>
  <c r="A248" i="26"/>
  <c r="A248" i="6"/>
  <c r="A248" i="21"/>
  <c r="A248" i="7"/>
  <c r="A248" i="28"/>
  <c r="A248" i="25"/>
  <c r="A248" i="54"/>
  <c r="A248" i="15"/>
  <c r="A249" i="52" l="1"/>
  <c r="A249" i="51"/>
  <c r="A249" i="33"/>
  <c r="A249" i="39"/>
  <c r="A249" i="50"/>
  <c r="A249" i="23"/>
  <c r="A249" i="26"/>
  <c r="A249" i="6"/>
  <c r="A249" i="28"/>
  <c r="A249" i="21"/>
  <c r="A249" i="7"/>
  <c r="A249" i="25"/>
  <c r="A249" i="54"/>
  <c r="A249" i="15"/>
  <c r="A250" i="52" l="1"/>
  <c r="A250" i="51"/>
  <c r="A250" i="33"/>
  <c r="A250" i="39"/>
  <c r="A250" i="50"/>
  <c r="A250" i="6"/>
  <c r="A250" i="28"/>
  <c r="A250" i="23"/>
  <c r="A250" i="26"/>
  <c r="A250" i="21"/>
  <c r="A250" i="7"/>
  <c r="A250" i="25"/>
  <c r="A250" i="54"/>
  <c r="A250" i="15"/>
  <c r="A251" i="52" l="1"/>
  <c r="A251" i="50"/>
  <c r="A251" i="6"/>
  <c r="A251" i="28"/>
  <c r="A251" i="33"/>
  <c r="A251" i="39"/>
  <c r="A251" i="23"/>
  <c r="A251" i="26"/>
  <c r="A251" i="51"/>
  <c r="A251" i="21"/>
  <c r="A251" i="7"/>
  <c r="A251" i="25"/>
  <c r="A251" i="54"/>
  <c r="A251" i="15"/>
  <c r="A252" i="50" l="1"/>
  <c r="A252" i="52"/>
  <c r="A252" i="51"/>
  <c r="A252" i="33"/>
  <c r="A252" i="39"/>
  <c r="A252" i="6"/>
  <c r="A252" i="23"/>
  <c r="A252" i="26"/>
  <c r="A252" i="25"/>
  <c r="A252" i="54"/>
  <c r="A252" i="28"/>
  <c r="A252" i="21"/>
  <c r="A252" i="7"/>
  <c r="A252" i="15"/>
  <c r="A253" i="33" l="1"/>
  <c r="A253" i="39"/>
  <c r="A253" i="50"/>
  <c r="A253" i="52"/>
  <c r="A253" i="51"/>
  <c r="A253" i="6"/>
  <c r="A253" i="28"/>
  <c r="A253" i="23"/>
  <c r="A253" i="26"/>
  <c r="A253" i="25"/>
  <c r="A253" i="54"/>
  <c r="A253" i="21"/>
  <c r="A253" i="7"/>
  <c r="A253" i="15"/>
  <c r="A254" i="33" l="1"/>
  <c r="A254" i="39"/>
  <c r="A254" i="50"/>
  <c r="A254" i="52"/>
  <c r="A254" i="51"/>
  <c r="A254" i="23"/>
  <c r="A254" i="26"/>
  <c r="A254" i="6"/>
  <c r="A254" i="28"/>
  <c r="A254" i="25"/>
  <c r="A254" i="21"/>
  <c r="A254" i="7"/>
  <c r="A254" i="15"/>
  <c r="A254" i="54"/>
  <c r="A255" i="50" l="1"/>
  <c r="A255" i="52"/>
  <c r="A255" i="23"/>
  <c r="A255" i="26"/>
  <c r="A255" i="33"/>
  <c r="A255" i="39"/>
  <c r="A255" i="6"/>
  <c r="A255" i="28"/>
  <c r="A255" i="51"/>
  <c r="A255" i="25"/>
  <c r="A255" i="54"/>
  <c r="A255" i="21"/>
  <c r="A255" i="7"/>
  <c r="A255" i="15"/>
  <c r="A256" i="33" l="1"/>
  <c r="A256" i="39"/>
  <c r="A256" i="50"/>
  <c r="A256" i="52"/>
  <c r="A256" i="51"/>
  <c r="A256" i="23"/>
  <c r="A256" i="26"/>
  <c r="A256" i="6"/>
  <c r="A256" i="21"/>
  <c r="A256" i="7"/>
  <c r="A256" i="28"/>
  <c r="A256" i="25"/>
  <c r="A256" i="54"/>
  <c r="A256" i="15"/>
  <c r="A257" i="52" l="1"/>
  <c r="A257" i="51"/>
  <c r="A257" i="33"/>
  <c r="A257" i="39"/>
  <c r="A257" i="50"/>
  <c r="A257" i="23"/>
  <c r="A257" i="26"/>
  <c r="A257" i="6"/>
  <c r="A257" i="28"/>
  <c r="A257" i="21"/>
  <c r="A257" i="7"/>
  <c r="A257" i="25"/>
  <c r="A257" i="54"/>
  <c r="A257" i="15"/>
  <c r="A258" i="52" l="1"/>
  <c r="A258" i="51"/>
  <c r="A258" i="33"/>
  <c r="A258" i="39"/>
  <c r="A258" i="50"/>
  <c r="A258" i="6"/>
  <c r="A258" i="28"/>
  <c r="A258" i="23"/>
  <c r="A258" i="26"/>
  <c r="A258" i="21"/>
  <c r="A258" i="7"/>
  <c r="A258" i="25"/>
  <c r="A258" i="54"/>
  <c r="A258" i="15"/>
  <c r="A259" i="52" l="1"/>
  <c r="A259" i="50"/>
  <c r="A259" i="51"/>
  <c r="A259" i="6"/>
  <c r="A259" i="28"/>
  <c r="A259" i="33"/>
  <c r="A259" i="39"/>
  <c r="A259" i="23"/>
  <c r="A259" i="26"/>
  <c r="A259" i="21"/>
  <c r="A259" i="7"/>
  <c r="A259" i="25"/>
  <c r="A259" i="54"/>
  <c r="A259" i="15"/>
  <c r="A260" i="50" l="1"/>
  <c r="A260" i="52"/>
  <c r="A260" i="51"/>
  <c r="A260" i="33"/>
  <c r="A260" i="39"/>
  <c r="A260" i="6"/>
  <c r="A260" i="23"/>
  <c r="A260" i="26"/>
  <c r="A260" i="25"/>
  <c r="A260" i="54"/>
  <c r="A260" i="21"/>
  <c r="A260" i="7"/>
  <c r="A260" i="28"/>
  <c r="A260" i="15"/>
  <c r="A261" i="33" l="1"/>
  <c r="A261" i="39"/>
  <c r="A261" i="50"/>
  <c r="A261" i="52"/>
  <c r="A261" i="51"/>
  <c r="A261" i="6"/>
  <c r="A261" i="28"/>
  <c r="A261" i="23"/>
  <c r="A261" i="26"/>
  <c r="A261" i="25"/>
  <c r="A261" i="54"/>
  <c r="A261" i="21"/>
  <c r="A261" i="7"/>
  <c r="A261" i="15"/>
  <c r="A262" i="33" l="1"/>
  <c r="A262" i="39"/>
  <c r="A262" i="50"/>
  <c r="A262" i="52"/>
  <c r="A262" i="51"/>
  <c r="A262" i="23"/>
  <c r="A262" i="26"/>
  <c r="A262" i="6"/>
  <c r="A262" i="28"/>
  <c r="A262" i="25"/>
  <c r="A262" i="21"/>
  <c r="A262" i="7"/>
  <c r="A262" i="15"/>
  <c r="A262" i="54"/>
  <c r="A263" i="50" l="1"/>
  <c r="A263" i="52"/>
  <c r="A263" i="51"/>
  <c r="A263" i="23"/>
  <c r="A263" i="26"/>
  <c r="A263" i="33"/>
  <c r="A263" i="39"/>
  <c r="A263" i="6"/>
  <c r="A263" i="28"/>
  <c r="A263" i="25"/>
  <c r="A263" i="54"/>
  <c r="A263" i="21"/>
  <c r="A263" i="7"/>
  <c r="A263" i="15"/>
  <c r="A264" i="33" l="1"/>
  <c r="A264" i="39"/>
  <c r="A264" i="50"/>
  <c r="A264" i="52"/>
  <c r="A264" i="51"/>
  <c r="A264" i="23"/>
  <c r="A264" i="26"/>
  <c r="A264" i="6"/>
  <c r="A264" i="21"/>
  <c r="A264" i="7"/>
  <c r="A264" i="25"/>
  <c r="A264" i="54"/>
  <c r="A264" i="28"/>
  <c r="A264" i="15"/>
  <c r="A270" i="50" l="1"/>
  <c r="A270" i="52"/>
  <c r="A270" i="51"/>
  <c r="A270" i="33"/>
  <c r="A270" i="39"/>
  <c r="A270" i="6"/>
  <c r="A270" i="23"/>
  <c r="A270" i="26"/>
  <c r="A270" i="25"/>
  <c r="A270" i="54"/>
  <c r="A270" i="21"/>
  <c r="A270" i="7"/>
  <c r="A270" i="28"/>
  <c r="A270" i="15"/>
  <c r="A271" i="33" l="1"/>
  <c r="A271" i="39"/>
  <c r="A271" i="50"/>
  <c r="A271" i="52"/>
  <c r="A271" i="51"/>
  <c r="A271" i="6"/>
  <c r="A271" i="28"/>
  <c r="A271" i="23"/>
  <c r="A271" i="26"/>
  <c r="A271" i="25"/>
  <c r="A271" i="54"/>
  <c r="A271" i="21"/>
  <c r="A271" i="7"/>
  <c r="A271" i="15"/>
  <c r="A272" i="33" l="1"/>
  <c r="A272" i="39"/>
  <c r="A272" i="50"/>
  <c r="A272" i="52"/>
  <c r="A272" i="51"/>
  <c r="A272" i="23"/>
  <c r="A272" i="26"/>
  <c r="A272" i="6"/>
  <c r="A272" i="28"/>
  <c r="A272" i="25"/>
  <c r="A272" i="21"/>
  <c r="A272" i="7"/>
  <c r="A272" i="15"/>
  <c r="A272" i="54"/>
  <c r="A273" i="50" l="1"/>
  <c r="A273" i="52"/>
  <c r="A273" i="23"/>
  <c r="A273" i="26"/>
  <c r="A273" i="51"/>
  <c r="A273" i="6"/>
  <c r="A273" i="28"/>
  <c r="A273" i="33"/>
  <c r="A273" i="39"/>
  <c r="A273" i="25"/>
  <c r="A273" i="54"/>
  <c r="A273" i="21"/>
  <c r="A273" i="7"/>
  <c r="A273" i="15"/>
  <c r="A274" i="33" l="1"/>
  <c r="A274" i="50"/>
  <c r="A274" i="52"/>
  <c r="A274" i="51"/>
  <c r="A274" i="39"/>
  <c r="A274" i="23"/>
  <c r="A274" i="26"/>
  <c r="A274" i="6"/>
  <c r="A274" i="28"/>
  <c r="A274" i="21"/>
  <c r="A274" i="7"/>
  <c r="A274" i="25"/>
  <c r="A274" i="54"/>
  <c r="A274" i="15"/>
  <c r="A275" i="52" l="1"/>
  <c r="A275" i="51"/>
  <c r="A275" i="33"/>
  <c r="A275" i="50"/>
  <c r="A275" i="39"/>
  <c r="A275" i="23"/>
  <c r="A275" i="26"/>
  <c r="A275" i="6"/>
  <c r="A275" i="28"/>
  <c r="A275" i="21"/>
  <c r="A275" i="7"/>
  <c r="A275" i="25"/>
  <c r="A275" i="54"/>
  <c r="A275" i="15"/>
  <c r="A276" i="52" l="1"/>
  <c r="A276" i="51"/>
  <c r="A276" i="33"/>
  <c r="A276" i="39"/>
  <c r="A276" i="50"/>
  <c r="A276" i="6"/>
  <c r="A276" i="28"/>
  <c r="A276" i="23"/>
  <c r="A276" i="26"/>
  <c r="A276" i="21"/>
  <c r="A276" i="7"/>
  <c r="A276" i="25"/>
  <c r="A276" i="15"/>
  <c r="A276" i="54"/>
  <c r="A277" i="50" l="1"/>
  <c r="A277" i="33"/>
  <c r="A277" i="6"/>
  <c r="A277" i="28"/>
  <c r="A277" i="39"/>
  <c r="A277" i="52"/>
  <c r="A277" i="51"/>
  <c r="A277" i="23"/>
  <c r="A277" i="26"/>
  <c r="A277" i="21"/>
  <c r="A277" i="7"/>
  <c r="A277" i="25"/>
  <c r="A277" i="54"/>
  <c r="A277" i="15"/>
  <c r="A278" i="50" l="1"/>
  <c r="A278" i="52"/>
  <c r="A278" i="51"/>
  <c r="A278" i="33"/>
  <c r="A278" i="39"/>
  <c r="A278" i="6"/>
  <c r="A278" i="23"/>
  <c r="A278" i="26"/>
  <c r="A278" i="25"/>
  <c r="A278" i="54"/>
  <c r="A278" i="28"/>
  <c r="A278" i="21"/>
  <c r="A278" i="7"/>
  <c r="A278" i="15"/>
  <c r="A279" i="33" l="1"/>
  <c r="A279" i="50"/>
  <c r="A279" i="52"/>
  <c r="A279" i="51"/>
  <c r="A279" i="39"/>
  <c r="A279" i="6"/>
  <c r="A279" i="28"/>
  <c r="A279" i="23"/>
  <c r="A279" i="26"/>
  <c r="A279" i="25"/>
  <c r="A279" i="54"/>
  <c r="A279" i="21"/>
  <c r="A279" i="7"/>
  <c r="A279" i="15"/>
  <c r="A280" i="33" l="1"/>
  <c r="A280" i="50"/>
  <c r="A280" i="52"/>
  <c r="A280" i="51"/>
  <c r="A280" i="23"/>
  <c r="A280" i="26"/>
  <c r="A280" i="39"/>
  <c r="A280" i="6"/>
  <c r="A280" i="28"/>
  <c r="A280" i="25"/>
  <c r="A280" i="21"/>
  <c r="A280" i="7"/>
  <c r="A280" i="54"/>
  <c r="A280" i="15"/>
  <c r="A281" i="50" l="1"/>
  <c r="A281" i="33"/>
  <c r="A281" i="23"/>
  <c r="A281" i="26"/>
  <c r="A281" i="52"/>
  <c r="A281" i="51"/>
  <c r="A281" i="39"/>
  <c r="A281" i="6"/>
  <c r="A281" i="28"/>
  <c r="A281" i="25"/>
  <c r="A281" i="54"/>
  <c r="A281" i="21"/>
  <c r="A281" i="7"/>
  <c r="A281" i="15"/>
  <c r="A282" i="33" l="1"/>
  <c r="A282" i="50"/>
  <c r="A282" i="52"/>
  <c r="A282" i="51"/>
  <c r="A282" i="23"/>
  <c r="A282" i="26"/>
  <c r="A282" i="39"/>
  <c r="A282" i="6"/>
  <c r="A282" i="21"/>
  <c r="A282" i="7"/>
  <c r="A282" i="28"/>
  <c r="A282" i="25"/>
  <c r="A282" i="54"/>
  <c r="A282" i="15"/>
  <c r="A283" i="52" l="1"/>
  <c r="A283" i="51"/>
  <c r="A283" i="33"/>
  <c r="A283" i="50"/>
  <c r="A283" i="23"/>
  <c r="A283" i="26"/>
  <c r="A283" i="39"/>
  <c r="A283" i="6"/>
  <c r="A283" i="28"/>
  <c r="A283" i="21"/>
  <c r="A283" i="7"/>
  <c r="A283" i="25"/>
  <c r="A283" i="54"/>
  <c r="A283" i="15"/>
  <c r="A284" i="52" l="1"/>
  <c r="A284" i="51"/>
  <c r="A284" i="33"/>
  <c r="A284" i="50"/>
  <c r="A284" i="39"/>
  <c r="A284" i="6"/>
  <c r="A284" i="28"/>
  <c r="A284" i="23"/>
  <c r="A284" i="26"/>
  <c r="A284" i="21"/>
  <c r="A284" i="7"/>
  <c r="A284" i="25"/>
  <c r="A284" i="54"/>
  <c r="A284" i="15"/>
  <c r="A285" i="50" l="1"/>
  <c r="A285" i="39"/>
  <c r="A285" i="6"/>
  <c r="A285" i="28"/>
  <c r="A285" i="33"/>
  <c r="A285" i="23"/>
  <c r="A285" i="26"/>
  <c r="A285" i="52"/>
  <c r="A285" i="51"/>
  <c r="A285" i="21"/>
  <c r="A285" i="7"/>
  <c r="A285" i="25"/>
  <c r="A285" i="54"/>
  <c r="A285" i="15"/>
  <c r="A286" i="50" l="1"/>
  <c r="A286" i="52"/>
  <c r="A286" i="51"/>
  <c r="A286" i="33"/>
  <c r="A286" i="39"/>
  <c r="A286" i="6"/>
  <c r="A286" i="23"/>
  <c r="A286" i="26"/>
  <c r="A286" i="25"/>
  <c r="A286" i="54"/>
  <c r="A286" i="28"/>
  <c r="A286" i="21"/>
  <c r="A286" i="7"/>
  <c r="A286" i="15"/>
  <c r="A287" i="33" l="1"/>
  <c r="A287" i="50"/>
  <c r="A287" i="52"/>
  <c r="A287" i="51"/>
  <c r="A287" i="39"/>
  <c r="A287" i="6"/>
  <c r="A287" i="28"/>
  <c r="A287" i="23"/>
  <c r="A287" i="26"/>
  <c r="A287" i="25"/>
  <c r="A287" i="54"/>
  <c r="A287" i="21"/>
  <c r="A287" i="7"/>
  <c r="A287" i="15"/>
  <c r="A288" i="33" l="1"/>
  <c r="A288" i="50"/>
  <c r="A288" i="52"/>
  <c r="A288" i="51"/>
  <c r="A288" i="23"/>
  <c r="A288" i="26"/>
  <c r="A288" i="39"/>
  <c r="A288" i="6"/>
  <c r="A288" i="28"/>
  <c r="A288" i="25"/>
  <c r="A288" i="21"/>
  <c r="A288" i="7"/>
  <c r="A288" i="54"/>
  <c r="A288" i="15"/>
  <c r="A289" i="50" l="1"/>
  <c r="A289" i="23"/>
  <c r="A289" i="26"/>
  <c r="A289" i="33"/>
  <c r="A289" i="39"/>
  <c r="A289" i="6"/>
  <c r="A289" i="52"/>
  <c r="A289" i="51"/>
  <c r="A289" i="25"/>
  <c r="A289" i="54"/>
  <c r="A289" i="28"/>
  <c r="A289" i="21"/>
  <c r="A289" i="7"/>
  <c r="A289" i="15"/>
  <c r="A290" i="33" l="1"/>
  <c r="A290" i="50"/>
  <c r="A290" i="52"/>
  <c r="A290" i="51"/>
  <c r="A290" i="23"/>
  <c r="A290" i="39"/>
  <c r="A290" i="6"/>
  <c r="A290" i="21"/>
  <c r="A290" i="7"/>
  <c r="A290" i="26"/>
  <c r="A290" i="25"/>
  <c r="A290" i="54"/>
  <c r="A290" i="28"/>
  <c r="A290" i="15"/>
  <c r="A291" i="52" l="1"/>
  <c r="A291" i="51"/>
  <c r="A291" i="33"/>
  <c r="A291" i="23"/>
  <c r="A291" i="26"/>
  <c r="A291" i="39"/>
  <c r="A291" i="6"/>
  <c r="A291" i="28"/>
  <c r="A291" i="21"/>
  <c r="A291" i="7"/>
  <c r="A291" i="25"/>
  <c r="A291" i="54"/>
  <c r="A291" i="50"/>
  <c r="A291" i="15"/>
  <c r="D77" i="50" l="1"/>
  <c r="E77" i="23"/>
  <c r="G77" i="23" s="1"/>
  <c r="G77" i="26" s="1"/>
  <c r="H77" i="26" s="1"/>
  <c r="I77" i="26" s="1"/>
  <c r="J77" i="26" s="1"/>
  <c r="O77" i="26" s="1"/>
  <c r="I77" i="33"/>
  <c r="F77" i="23"/>
  <c r="I77" i="23" s="1"/>
  <c r="J77" i="6" s="1"/>
  <c r="K77" i="6" s="1"/>
  <c r="L77" i="6" s="1"/>
  <c r="M77" i="6" s="1"/>
  <c r="R77" i="6" s="1"/>
  <c r="H77" i="28" l="1"/>
  <c r="Y77" i="6"/>
  <c r="Y292" i="6" s="1"/>
  <c r="U77" i="6"/>
  <c r="U292" i="6" s="1"/>
  <c r="G77" i="45"/>
  <c r="V77" i="6"/>
  <c r="V292" i="6" s="1"/>
  <c r="Z77" i="6"/>
  <c r="Z292" i="6" s="1"/>
  <c r="X77" i="6"/>
  <c r="X292" i="6" s="1"/>
  <c r="AA77" i="6"/>
  <c r="AA292" i="6" s="1"/>
  <c r="AB77" i="6"/>
  <c r="AB292" i="6" s="1"/>
  <c r="AG77" i="6"/>
  <c r="T77" i="6"/>
  <c r="T292" i="6" s="1"/>
  <c r="W77" i="6"/>
  <c r="W292" i="6" s="1"/>
  <c r="AC77" i="6"/>
  <c r="AC292" i="6" s="1"/>
  <c r="F77" i="45"/>
  <c r="E77" i="28"/>
  <c r="C77" i="28"/>
  <c r="C77" i="39"/>
  <c r="E77" i="21"/>
  <c r="H77" i="33"/>
  <c r="H77" i="50"/>
  <c r="I77" i="52" s="1"/>
  <c r="J77" i="52" s="1"/>
  <c r="J77" i="50"/>
  <c r="M77" i="52" s="1"/>
  <c r="N77" i="52" s="1"/>
  <c r="D234" i="7"/>
  <c r="O234" i="87" s="1"/>
  <c r="D49" i="7"/>
  <c r="O49" i="87" s="1"/>
  <c r="P77" i="33" l="1"/>
  <c r="R77" i="33"/>
  <c r="Q77" i="33"/>
  <c r="F77" i="21"/>
  <c r="C77" i="25" s="1"/>
  <c r="E77" i="25" s="1"/>
  <c r="H77" i="46" s="1"/>
  <c r="H77" i="21"/>
  <c r="M77" i="25" s="1"/>
  <c r="O77" i="25" s="1"/>
  <c r="K77" i="39"/>
  <c r="I77" i="39"/>
  <c r="E77" i="39"/>
  <c r="G77" i="51"/>
  <c r="K77" i="52"/>
  <c r="P77" i="28"/>
  <c r="J77" i="28"/>
  <c r="M77" i="46" s="1"/>
  <c r="G77" i="28"/>
  <c r="L77" i="46" s="1"/>
  <c r="I77" i="51"/>
  <c r="O77" i="52"/>
  <c r="S77" i="33" l="1"/>
  <c r="W77" i="33"/>
  <c r="K77" i="28"/>
  <c r="H77" i="45"/>
  <c r="D77" i="51" l="1"/>
  <c r="D77" i="28"/>
  <c r="L77" i="28" s="1"/>
  <c r="K77" i="46" s="1"/>
  <c r="M77" i="28"/>
  <c r="N77" i="46" s="1"/>
  <c r="F77" i="46" l="1"/>
  <c r="D77" i="46"/>
  <c r="O77" i="28"/>
  <c r="F77" i="28"/>
  <c r="I77" i="46" s="1"/>
  <c r="I77" i="28"/>
  <c r="J77" i="46" s="1"/>
  <c r="E77" i="46" s="1"/>
  <c r="F77" i="51"/>
  <c r="P77" i="26" s="1"/>
  <c r="J77" i="51"/>
  <c r="H77" i="51"/>
  <c r="D291" i="7"/>
  <c r="O291" i="87" s="1"/>
  <c r="D290" i="7"/>
  <c r="O290" i="87" s="1"/>
  <c r="D289" i="7"/>
  <c r="O289" i="87" s="1"/>
  <c r="D288" i="7"/>
  <c r="O288" i="87" s="1"/>
  <c r="D287" i="7"/>
  <c r="O287" i="87" s="1"/>
  <c r="D286" i="7"/>
  <c r="O286" i="87" s="1"/>
  <c r="D285" i="7"/>
  <c r="O285" i="87" s="1"/>
  <c r="D284" i="7"/>
  <c r="O284" i="87" s="1"/>
  <c r="D283" i="7"/>
  <c r="O283" i="87" s="1"/>
  <c r="D282" i="7"/>
  <c r="O282" i="87" s="1"/>
  <c r="D280" i="7"/>
  <c r="O280" i="87" s="1"/>
  <c r="D279" i="7"/>
  <c r="O279" i="87" s="1"/>
  <c r="D278" i="7"/>
  <c r="D277" i="7"/>
  <c r="O277" i="87" s="1"/>
  <c r="D276" i="7"/>
  <c r="O276" i="87" s="1"/>
  <c r="D275" i="7"/>
  <c r="O275" i="87" s="1"/>
  <c r="D274" i="7"/>
  <c r="D273" i="7"/>
  <c r="D272" i="7"/>
  <c r="O272" i="87" s="1"/>
  <c r="D271" i="7"/>
  <c r="O271" i="87" s="1"/>
  <c r="D270" i="7"/>
  <c r="O270" i="87" s="1"/>
  <c r="D264" i="7"/>
  <c r="D263" i="7"/>
  <c r="O263" i="87" s="1"/>
  <c r="D262" i="7"/>
  <c r="D261" i="7"/>
  <c r="O261" i="87" s="1"/>
  <c r="D260" i="7"/>
  <c r="O260" i="87" s="1"/>
  <c r="D259" i="7"/>
  <c r="D258" i="7"/>
  <c r="O258" i="87" s="1"/>
  <c r="D257" i="7"/>
  <c r="O257" i="87" s="1"/>
  <c r="D256" i="7"/>
  <c r="O256" i="87" s="1"/>
  <c r="D255" i="7"/>
  <c r="D254" i="7"/>
  <c r="D253" i="7"/>
  <c r="D252" i="7"/>
  <c r="O252" i="87" s="1"/>
  <c r="D251" i="7"/>
  <c r="O251" i="87" s="1"/>
  <c r="D250" i="7"/>
  <c r="O250" i="87" s="1"/>
  <c r="D249" i="7"/>
  <c r="O249" i="87" s="1"/>
  <c r="D248" i="7"/>
  <c r="D246" i="7"/>
  <c r="O246" i="87" s="1"/>
  <c r="D245" i="7"/>
  <c r="O245" i="87" s="1"/>
  <c r="D244" i="7"/>
  <c r="O244" i="87" s="1"/>
  <c r="D243" i="7"/>
  <c r="O243" i="87" s="1"/>
  <c r="D242" i="7"/>
  <c r="O242" i="87" s="1"/>
  <c r="D241" i="7"/>
  <c r="O241" i="87" s="1"/>
  <c r="D239" i="7"/>
  <c r="O239" i="87" s="1"/>
  <c r="D238" i="7"/>
  <c r="O238" i="87" s="1"/>
  <c r="D237" i="7"/>
  <c r="O237" i="87" s="1"/>
  <c r="D236" i="7"/>
  <c r="O236" i="87" s="1"/>
  <c r="D235" i="7"/>
  <c r="O235" i="87" s="1"/>
  <c r="D233" i="7"/>
  <c r="O233" i="87" s="1"/>
  <c r="D232" i="7"/>
  <c r="O232" i="87" s="1"/>
  <c r="D231" i="7"/>
  <c r="O231" i="87" s="1"/>
  <c r="D228" i="7"/>
  <c r="O228" i="87" s="1"/>
  <c r="D227" i="7"/>
  <c r="O227" i="87" s="1"/>
  <c r="D226" i="7"/>
  <c r="O226" i="87" s="1"/>
  <c r="D225" i="7"/>
  <c r="O225" i="87" s="1"/>
  <c r="D224" i="7"/>
  <c r="O224" i="87" s="1"/>
  <c r="D223" i="7"/>
  <c r="O223" i="87" s="1"/>
  <c r="D222" i="7"/>
  <c r="O222" i="87" s="1"/>
  <c r="D221" i="7"/>
  <c r="O221" i="87" s="1"/>
  <c r="D220" i="7"/>
  <c r="O220" i="87" s="1"/>
  <c r="D219" i="7"/>
  <c r="O219" i="87" s="1"/>
  <c r="D218" i="7"/>
  <c r="O218" i="87" s="1"/>
  <c r="D217" i="7"/>
  <c r="O217" i="87" s="1"/>
  <c r="D216" i="7"/>
  <c r="O216" i="87" s="1"/>
  <c r="D215" i="7"/>
  <c r="O215" i="87" s="1"/>
  <c r="D214" i="7"/>
  <c r="O214" i="87" s="1"/>
  <c r="D213" i="7"/>
  <c r="O213" i="87" s="1"/>
  <c r="D212" i="7"/>
  <c r="O212" i="87" s="1"/>
  <c r="D211" i="7"/>
  <c r="O211" i="87" s="1"/>
  <c r="D210" i="7"/>
  <c r="O210" i="87" s="1"/>
  <c r="D209" i="7"/>
  <c r="O209" i="87" s="1"/>
  <c r="D208" i="7"/>
  <c r="O208" i="87" s="1"/>
  <c r="D207" i="7"/>
  <c r="O207" i="87" s="1"/>
  <c r="D206" i="7"/>
  <c r="O206" i="87" s="1"/>
  <c r="D205" i="7"/>
  <c r="O205" i="87" s="1"/>
  <c r="D204" i="7"/>
  <c r="O204" i="87" s="1"/>
  <c r="D203" i="7"/>
  <c r="O203" i="87" s="1"/>
  <c r="D202" i="7"/>
  <c r="O202" i="87" s="1"/>
  <c r="D201" i="7"/>
  <c r="O201" i="87" s="1"/>
  <c r="D200" i="7"/>
  <c r="O200" i="87" s="1"/>
  <c r="D199" i="7"/>
  <c r="O199" i="87" s="1"/>
  <c r="D198" i="7"/>
  <c r="O198" i="87" s="1"/>
  <c r="D197" i="7"/>
  <c r="O197" i="87" s="1"/>
  <c r="D196" i="7"/>
  <c r="O196" i="87" s="1"/>
  <c r="D195" i="7"/>
  <c r="O195" i="87" s="1"/>
  <c r="D194" i="7"/>
  <c r="O194" i="87" s="1"/>
  <c r="D193" i="7"/>
  <c r="O193" i="87" s="1"/>
  <c r="D192" i="7"/>
  <c r="O192" i="87" s="1"/>
  <c r="D191" i="7"/>
  <c r="O191" i="87" s="1"/>
  <c r="D190" i="7"/>
  <c r="O190" i="87" s="1"/>
  <c r="D189" i="7"/>
  <c r="O189" i="87" s="1"/>
  <c r="D188" i="7"/>
  <c r="O188" i="87" s="1"/>
  <c r="D187" i="7"/>
  <c r="O187" i="87" s="1"/>
  <c r="D186" i="7"/>
  <c r="O186" i="87" s="1"/>
  <c r="D185" i="7"/>
  <c r="O185" i="87" s="1"/>
  <c r="D184" i="7"/>
  <c r="O184" i="87" s="1"/>
  <c r="D183" i="7"/>
  <c r="O183" i="87" s="1"/>
  <c r="D182" i="7"/>
  <c r="O182" i="87" s="1"/>
  <c r="D181" i="7"/>
  <c r="O181" i="87" s="1"/>
  <c r="D180" i="7"/>
  <c r="O180" i="87" s="1"/>
  <c r="D179" i="7"/>
  <c r="O179" i="87" s="1"/>
  <c r="D178" i="7"/>
  <c r="O178" i="87" s="1"/>
  <c r="D177" i="7"/>
  <c r="O177" i="87" s="1"/>
  <c r="D176" i="7"/>
  <c r="O176" i="87" s="1"/>
  <c r="D175" i="7"/>
  <c r="O175" i="87" s="1"/>
  <c r="D174" i="7"/>
  <c r="O174" i="87" s="1"/>
  <c r="D173" i="7"/>
  <c r="O173" i="87" s="1"/>
  <c r="D172" i="7"/>
  <c r="O172" i="87" s="1"/>
  <c r="D171" i="7"/>
  <c r="O171" i="87" s="1"/>
  <c r="D170" i="7"/>
  <c r="O170" i="87" s="1"/>
  <c r="D169" i="7"/>
  <c r="O169" i="87" s="1"/>
  <c r="D168" i="7"/>
  <c r="O168" i="87" s="1"/>
  <c r="D167" i="7"/>
  <c r="O167" i="87" s="1"/>
  <c r="D166" i="7"/>
  <c r="O166" i="87" s="1"/>
  <c r="D165" i="7"/>
  <c r="O165" i="87" s="1"/>
  <c r="D164" i="7"/>
  <c r="O164" i="87" s="1"/>
  <c r="D163" i="7"/>
  <c r="O163" i="87" s="1"/>
  <c r="D162" i="7"/>
  <c r="O162" i="87" s="1"/>
  <c r="D161" i="7"/>
  <c r="O161" i="87" s="1"/>
  <c r="D160" i="7"/>
  <c r="O160" i="87" s="1"/>
  <c r="D159" i="7"/>
  <c r="O159" i="87" s="1"/>
  <c r="D158" i="7"/>
  <c r="O158" i="87" s="1"/>
  <c r="D157" i="7"/>
  <c r="O157" i="87" s="1"/>
  <c r="D156" i="7"/>
  <c r="O156" i="87" s="1"/>
  <c r="D155" i="7"/>
  <c r="O155" i="87" s="1"/>
  <c r="D154" i="7"/>
  <c r="O154" i="87" s="1"/>
  <c r="D153" i="7"/>
  <c r="O153" i="87" s="1"/>
  <c r="D152" i="7"/>
  <c r="O152" i="87" s="1"/>
  <c r="D151" i="7"/>
  <c r="O151" i="87" s="1"/>
  <c r="D150" i="7"/>
  <c r="O150" i="87" s="1"/>
  <c r="D149" i="7"/>
  <c r="O149" i="87" s="1"/>
  <c r="D148" i="7"/>
  <c r="O148" i="87" s="1"/>
  <c r="D147" i="7"/>
  <c r="O147" i="87" s="1"/>
  <c r="D145" i="7"/>
  <c r="O145" i="87" s="1"/>
  <c r="D144" i="7"/>
  <c r="O144" i="87" s="1"/>
  <c r="D143" i="7"/>
  <c r="D142" i="7"/>
  <c r="O142" i="87" s="1"/>
  <c r="D141" i="7"/>
  <c r="O141" i="87" s="1"/>
  <c r="D140" i="7"/>
  <c r="O140" i="87" s="1"/>
  <c r="D139" i="7"/>
  <c r="D138" i="7"/>
  <c r="D137" i="7"/>
  <c r="O137" i="87" s="1"/>
  <c r="D136" i="7"/>
  <c r="D135" i="7"/>
  <c r="O135" i="87" s="1"/>
  <c r="D134" i="7"/>
  <c r="O134" i="87" s="1"/>
  <c r="D133" i="7"/>
  <c r="O133" i="87" s="1"/>
  <c r="D132" i="7"/>
  <c r="O132" i="87" s="1"/>
  <c r="D131" i="7"/>
  <c r="O131" i="87" s="1"/>
  <c r="D130" i="7"/>
  <c r="O130" i="87" s="1"/>
  <c r="D129" i="7"/>
  <c r="O129" i="87" s="1"/>
  <c r="D128" i="7"/>
  <c r="D127" i="7"/>
  <c r="O127" i="87" s="1"/>
  <c r="D126" i="7"/>
  <c r="D125" i="7"/>
  <c r="O125" i="87" s="1"/>
  <c r="D124" i="7"/>
  <c r="O124" i="87" s="1"/>
  <c r="D123" i="7"/>
  <c r="O123" i="87" s="1"/>
  <c r="D122" i="7"/>
  <c r="O122" i="87" s="1"/>
  <c r="D121" i="7"/>
  <c r="D120" i="7"/>
  <c r="D119" i="7"/>
  <c r="O119" i="87" s="1"/>
  <c r="D118" i="7"/>
  <c r="O118" i="87" s="1"/>
  <c r="D117" i="7"/>
  <c r="D116" i="7"/>
  <c r="O116" i="87" s="1"/>
  <c r="D115" i="7"/>
  <c r="O115" i="87" s="1"/>
  <c r="D114" i="7"/>
  <c r="O114" i="87" s="1"/>
  <c r="D113" i="7"/>
  <c r="O113" i="87" s="1"/>
  <c r="D112" i="7"/>
  <c r="O112" i="87" s="1"/>
  <c r="D111" i="7"/>
  <c r="O111" i="87" s="1"/>
  <c r="D110" i="7"/>
  <c r="O110" i="87" s="1"/>
  <c r="D109" i="7"/>
  <c r="D108" i="7"/>
  <c r="D107" i="7"/>
  <c r="D106" i="7"/>
  <c r="O106" i="87" s="1"/>
  <c r="D105" i="7"/>
  <c r="O105" i="87" s="1"/>
  <c r="D104" i="7"/>
  <c r="O104" i="87" s="1"/>
  <c r="D103" i="7"/>
  <c r="D102" i="7"/>
  <c r="O102" i="87" s="1"/>
  <c r="D101" i="7"/>
  <c r="D100" i="7"/>
  <c r="O100" i="87" s="1"/>
  <c r="D99" i="7"/>
  <c r="D98" i="7"/>
  <c r="O98" i="87" s="1"/>
  <c r="D97" i="7"/>
  <c r="O97" i="87" s="1"/>
  <c r="D96" i="7"/>
  <c r="O96" i="87" s="1"/>
  <c r="D95" i="7"/>
  <c r="O95" i="87" s="1"/>
  <c r="D94" i="7"/>
  <c r="O94" i="87" s="1"/>
  <c r="D93" i="7"/>
  <c r="O93" i="87" s="1"/>
  <c r="D92" i="7"/>
  <c r="O92" i="87" s="1"/>
  <c r="D91" i="7"/>
  <c r="D90" i="7"/>
  <c r="O90" i="87" s="1"/>
  <c r="D89" i="7"/>
  <c r="D88" i="7"/>
  <c r="O88" i="87" s="1"/>
  <c r="D87" i="7"/>
  <c r="O87" i="87" s="1"/>
  <c r="D86" i="7"/>
  <c r="O86" i="87" s="1"/>
  <c r="D85" i="7"/>
  <c r="O85" i="87" s="1"/>
  <c r="D84" i="7"/>
  <c r="O84" i="87" s="1"/>
  <c r="D83" i="7"/>
  <c r="D82" i="7"/>
  <c r="D81" i="7"/>
  <c r="O81" i="87" s="1"/>
  <c r="D80" i="7"/>
  <c r="O80" i="87" s="1"/>
  <c r="D79" i="7"/>
  <c r="O79" i="87" s="1"/>
  <c r="D77" i="7"/>
  <c r="D76" i="7"/>
  <c r="O76" i="87" s="1"/>
  <c r="D75" i="7"/>
  <c r="D74" i="7"/>
  <c r="D73" i="7"/>
  <c r="D72" i="7"/>
  <c r="D71" i="7"/>
  <c r="D70" i="7"/>
  <c r="D69" i="7"/>
  <c r="O69" i="87" s="1"/>
  <c r="D68" i="7"/>
  <c r="O68" i="87" s="1"/>
  <c r="D67" i="7"/>
  <c r="D66" i="7"/>
  <c r="D65" i="7"/>
  <c r="D64" i="7"/>
  <c r="D63" i="7"/>
  <c r="D62" i="7"/>
  <c r="D61" i="7"/>
  <c r="D60" i="7"/>
  <c r="D59" i="7"/>
  <c r="D58" i="7"/>
  <c r="O58" i="87" s="1"/>
  <c r="D57" i="7"/>
  <c r="O57" i="87" s="1"/>
  <c r="D56" i="7"/>
  <c r="D55" i="7"/>
  <c r="D54" i="7"/>
  <c r="D53" i="7"/>
  <c r="D51" i="7"/>
  <c r="O51" i="87" s="1"/>
  <c r="D50" i="7"/>
  <c r="D48" i="7"/>
  <c r="O48" i="87" s="1"/>
  <c r="D47" i="7"/>
  <c r="O47" i="87" s="1"/>
  <c r="D26" i="7"/>
  <c r="O26" i="87" s="1"/>
  <c r="D25" i="7"/>
  <c r="O25" i="87" s="1"/>
  <c r="D23" i="7"/>
  <c r="O23" i="87" s="1"/>
  <c r="D22" i="7"/>
  <c r="O22" i="87" s="1"/>
  <c r="D20" i="7"/>
  <c r="O20" i="87" s="1"/>
  <c r="D19" i="7"/>
  <c r="O19" i="87" s="1"/>
  <c r="D18" i="7"/>
  <c r="O18" i="87" s="1"/>
  <c r="D17" i="7"/>
  <c r="O17" i="87" s="1"/>
  <c r="D16" i="7"/>
  <c r="O16" i="87" s="1"/>
  <c r="D15" i="7"/>
  <c r="O15" i="87" s="1"/>
  <c r="D14" i="7"/>
  <c r="O14" i="87" s="1"/>
  <c r="D13" i="7"/>
  <c r="O13" i="87" s="1"/>
  <c r="D11" i="7"/>
  <c r="O11" i="87" s="1"/>
  <c r="D10" i="7"/>
  <c r="O10" i="87" s="1"/>
  <c r="D9" i="7"/>
  <c r="M65" i="7" l="1"/>
  <c r="N65" i="7"/>
  <c r="P65" i="7" s="1"/>
  <c r="O278" i="87"/>
  <c r="N278" i="7"/>
  <c r="P278" i="7" s="1"/>
  <c r="M278" i="7"/>
  <c r="BC143" i="7"/>
  <c r="O143" i="87"/>
  <c r="W143" i="87" s="1"/>
  <c r="AU143" i="7"/>
  <c r="BC60" i="7"/>
  <c r="O60" i="87"/>
  <c r="W60" i="87" s="1"/>
  <c r="AU60" i="7"/>
  <c r="AK77" i="46"/>
  <c r="AJ77" i="46"/>
  <c r="AH77" i="46"/>
  <c r="AL77" i="46"/>
  <c r="AI77" i="46"/>
  <c r="AG77" i="46"/>
  <c r="BC61" i="7"/>
  <c r="O61" i="87"/>
  <c r="W61" i="87" s="1"/>
  <c r="AU61" i="7"/>
  <c r="O9" i="87"/>
  <c r="N9" i="7"/>
  <c r="P9" i="7" s="1"/>
  <c r="M9" i="7"/>
  <c r="BC62" i="7"/>
  <c r="O62" i="87"/>
  <c r="W62" i="87" s="1"/>
  <c r="AU62" i="7"/>
  <c r="O91" i="87"/>
  <c r="W91" i="87" s="1"/>
  <c r="BC91" i="7"/>
  <c r="AU91" i="7"/>
  <c r="BC63" i="7"/>
  <c r="O63" i="87"/>
  <c r="W63" i="87" s="1"/>
  <c r="AU63" i="7"/>
  <c r="BC77" i="7"/>
  <c r="O77" i="87"/>
  <c r="W77" i="87" s="1"/>
  <c r="M77" i="7"/>
  <c r="I77" i="87" s="1"/>
  <c r="S77" i="87" s="1"/>
  <c r="N77" i="7"/>
  <c r="BC120" i="7"/>
  <c r="O120" i="87"/>
  <c r="W120" i="87" s="1"/>
  <c r="M120" i="7"/>
  <c r="N120" i="7"/>
  <c r="P120" i="7" s="1"/>
  <c r="O72" i="87"/>
  <c r="W72" i="87" s="1"/>
  <c r="BC72" i="7"/>
  <c r="AU72" i="7"/>
  <c r="BC74" i="7"/>
  <c r="O74" i="87"/>
  <c r="W74" i="87" s="1"/>
  <c r="AU74" i="7"/>
  <c r="BC64" i="7"/>
  <c r="O64" i="87"/>
  <c r="W64" i="87" s="1"/>
  <c r="AU64" i="7"/>
  <c r="O107" i="87"/>
  <c r="W107" i="87" s="1"/>
  <c r="BC107" i="7"/>
  <c r="AU107" i="7"/>
  <c r="O121" i="87"/>
  <c r="W121" i="87" s="1"/>
  <c r="AU121" i="7"/>
  <c r="BC121" i="7"/>
  <c r="O253" i="87"/>
  <c r="M253" i="7"/>
  <c r="N253" i="7"/>
  <c r="P253" i="7" s="1"/>
  <c r="C77" i="46"/>
  <c r="O50" i="87"/>
  <c r="N50" i="7"/>
  <c r="P50" i="7" s="1"/>
  <c r="M50" i="7"/>
  <c r="BC65" i="7"/>
  <c r="O65" i="87"/>
  <c r="W65" i="87" s="1"/>
  <c r="BC136" i="7"/>
  <c r="O136" i="87"/>
  <c r="W136" i="87" s="1"/>
  <c r="AU136" i="7"/>
  <c r="O254" i="87"/>
  <c r="N254" i="7"/>
  <c r="P254" i="7" s="1"/>
  <c r="M254" i="7"/>
  <c r="BC66" i="7"/>
  <c r="O66" i="87"/>
  <c r="W66" i="87" s="1"/>
  <c r="AU66" i="7"/>
  <c r="BC109" i="7"/>
  <c r="O109" i="87"/>
  <c r="W109" i="87" s="1"/>
  <c r="AU109" i="7"/>
  <c r="O255" i="87"/>
  <c r="M255" i="7"/>
  <c r="N255" i="7"/>
  <c r="P255" i="7" s="1"/>
  <c r="O262" i="87"/>
  <c r="N262" i="7"/>
  <c r="P262" i="7" s="1"/>
  <c r="M262" i="7"/>
  <c r="BC103" i="7"/>
  <c r="O103" i="87"/>
  <c r="W103" i="87" s="1"/>
  <c r="AU103" i="7"/>
  <c r="O108" i="87"/>
  <c r="W108" i="87" s="1"/>
  <c r="BC108" i="7"/>
  <c r="AU108" i="7"/>
  <c r="BC53" i="7"/>
  <c r="O53" i="87"/>
  <c r="W53" i="87" s="1"/>
  <c r="AU53" i="7"/>
  <c r="O273" i="87"/>
  <c r="N273" i="7"/>
  <c r="P273" i="7" s="1"/>
  <c r="M273" i="7"/>
  <c r="BC73" i="7"/>
  <c r="O73" i="87"/>
  <c r="W73" i="87" s="1"/>
  <c r="AU73" i="7"/>
  <c r="O67" i="87"/>
  <c r="W67" i="87" s="1"/>
  <c r="BC67" i="7"/>
  <c r="AU67" i="7"/>
  <c r="BC82" i="7"/>
  <c r="O82" i="87"/>
  <c r="W82" i="87" s="1"/>
  <c r="AU82" i="7"/>
  <c r="O138" i="87"/>
  <c r="N138" i="7"/>
  <c r="P138" i="7" s="1"/>
  <c r="M138" i="7"/>
  <c r="O54" i="87"/>
  <c r="W54" i="87" s="1"/>
  <c r="AU54" i="7"/>
  <c r="BC54" i="7"/>
  <c r="BC83" i="7"/>
  <c r="O83" i="87"/>
  <c r="W83" i="87" s="1"/>
  <c r="AU83" i="7"/>
  <c r="O139" i="87"/>
  <c r="W139" i="87" s="1"/>
  <c r="BC139" i="7"/>
  <c r="AU139" i="7"/>
  <c r="O274" i="87"/>
  <c r="N274" i="7"/>
  <c r="P274" i="7" s="1"/>
  <c r="M274" i="7"/>
  <c r="BC101" i="7"/>
  <c r="O101" i="87"/>
  <c r="W101" i="87" s="1"/>
  <c r="AU101" i="7"/>
  <c r="O59" i="87"/>
  <c r="W59" i="87" s="1"/>
  <c r="BC59" i="7"/>
  <c r="AU59" i="7"/>
  <c r="O248" i="87"/>
  <c r="M248" i="7"/>
  <c r="N248" i="7"/>
  <c r="P248" i="7" s="1"/>
  <c r="I77" i="45"/>
  <c r="R77" i="26"/>
  <c r="O117" i="87"/>
  <c r="W117" i="87" s="1"/>
  <c r="BC117" i="7"/>
  <c r="AU117" i="7"/>
  <c r="Z77" i="46"/>
  <c r="AD77" i="46"/>
  <c r="AA77" i="46"/>
  <c r="AF77" i="46"/>
  <c r="AC77" i="46"/>
  <c r="AE77" i="46"/>
  <c r="AB77" i="46"/>
  <c r="BC89" i="7"/>
  <c r="O89" i="87"/>
  <c r="W89" i="87" s="1"/>
  <c r="AU89" i="7"/>
  <c r="BC75" i="7"/>
  <c r="O75" i="87"/>
  <c r="W75" i="87" s="1"/>
  <c r="AU75" i="7"/>
  <c r="O264" i="87"/>
  <c r="M264" i="7"/>
  <c r="N264" i="7"/>
  <c r="P264" i="7" s="1"/>
  <c r="BC55" i="7"/>
  <c r="O55" i="87"/>
  <c r="W55" i="87" s="1"/>
  <c r="AU55" i="7"/>
  <c r="BC70" i="7"/>
  <c r="O70" i="87"/>
  <c r="W70" i="87" s="1"/>
  <c r="AU70" i="7"/>
  <c r="O259" i="87"/>
  <c r="N259" i="7"/>
  <c r="P259" i="7" s="1"/>
  <c r="M259" i="7"/>
  <c r="AM77" i="46"/>
  <c r="AQ77" i="46"/>
  <c r="AN77" i="46"/>
  <c r="AP77" i="46"/>
  <c r="AO77" i="46"/>
  <c r="AR77" i="46"/>
  <c r="O126" i="87"/>
  <c r="W126" i="87" s="1"/>
  <c r="BC126" i="7"/>
  <c r="AU126" i="7"/>
  <c r="BC56" i="7"/>
  <c r="O56" i="87"/>
  <c r="W56" i="87" s="1"/>
  <c r="AU56" i="7"/>
  <c r="O99" i="87"/>
  <c r="W99" i="87" s="1"/>
  <c r="AU99" i="7"/>
  <c r="BC99" i="7"/>
  <c r="BC71" i="7"/>
  <c r="O71" i="87"/>
  <c r="W71" i="87" s="1"/>
  <c r="AU71" i="7"/>
  <c r="BC128" i="7"/>
  <c r="O128" i="87"/>
  <c r="W128" i="87" s="1"/>
  <c r="AU128" i="7"/>
  <c r="I278" i="87" l="1"/>
  <c r="C278" i="87" s="1"/>
  <c r="O278" i="7"/>
  <c r="BB278" i="7"/>
  <c r="AZ278" i="7"/>
  <c r="AY278" i="7"/>
  <c r="F278" i="39"/>
  <c r="G278" i="39" s="1"/>
  <c r="BA278" i="7"/>
  <c r="AZ65" i="7"/>
  <c r="BB65" i="7"/>
  <c r="AY65" i="7"/>
  <c r="F65" i="39"/>
  <c r="G65" i="39" s="1"/>
  <c r="BA65" i="7"/>
  <c r="I65" i="87"/>
  <c r="O65" i="7"/>
  <c r="I254" i="87"/>
  <c r="C254" i="87" s="1"/>
  <c r="O254" i="7"/>
  <c r="I273" i="87"/>
  <c r="C273" i="87" s="1"/>
  <c r="O273" i="7"/>
  <c r="BA50" i="7"/>
  <c r="BB50" i="7"/>
  <c r="AY50" i="7"/>
  <c r="F50" i="39"/>
  <c r="G50" i="39" s="1"/>
  <c r="AZ50" i="7"/>
  <c r="AZ264" i="7"/>
  <c r="BB264" i="7"/>
  <c r="AY264" i="7"/>
  <c r="BA264" i="7"/>
  <c r="F264" i="39"/>
  <c r="G264" i="39" s="1"/>
  <c r="I138" i="87"/>
  <c r="C138" i="87" s="1"/>
  <c r="O138" i="7"/>
  <c r="BB254" i="7"/>
  <c r="AZ254" i="7"/>
  <c r="F254" i="39"/>
  <c r="G254" i="39" s="1"/>
  <c r="BA254" i="7"/>
  <c r="AY254" i="7"/>
  <c r="BB253" i="7"/>
  <c r="AZ253" i="7"/>
  <c r="F253" i="39"/>
  <c r="G253" i="39" s="1"/>
  <c r="BA253" i="7"/>
  <c r="AY253" i="7"/>
  <c r="U77" i="46"/>
  <c r="S77" i="46"/>
  <c r="V77" i="46"/>
  <c r="T77" i="46"/>
  <c r="Y77" i="46"/>
  <c r="X77" i="46"/>
  <c r="W77" i="46"/>
  <c r="BB259" i="7"/>
  <c r="AZ259" i="7"/>
  <c r="AY259" i="7"/>
  <c r="F259" i="39"/>
  <c r="G259" i="39" s="1"/>
  <c r="BA259" i="7"/>
  <c r="D77" i="45"/>
  <c r="C77" i="45"/>
  <c r="BB255" i="7"/>
  <c r="BA255" i="7"/>
  <c r="AZ255" i="7"/>
  <c r="F255" i="39"/>
  <c r="G255" i="39" s="1"/>
  <c r="AY255" i="7"/>
  <c r="BB120" i="7"/>
  <c r="BA120" i="7"/>
  <c r="AZ120" i="7"/>
  <c r="AY120" i="7"/>
  <c r="F120" i="39"/>
  <c r="G120" i="39" s="1"/>
  <c r="BB248" i="7"/>
  <c r="BA248" i="7"/>
  <c r="F248" i="39"/>
  <c r="G248" i="39" s="1"/>
  <c r="AZ248" i="7"/>
  <c r="AY248" i="7"/>
  <c r="I255" i="87"/>
  <c r="C255" i="87" s="1"/>
  <c r="O255" i="7"/>
  <c r="I120" i="87"/>
  <c r="O120" i="7"/>
  <c r="I248" i="87"/>
  <c r="C248" i="87" s="1"/>
  <c r="O248" i="7"/>
  <c r="BB273" i="7"/>
  <c r="BA273" i="7"/>
  <c r="AY273" i="7"/>
  <c r="AZ273" i="7"/>
  <c r="F273" i="39"/>
  <c r="G273" i="39" s="1"/>
  <c r="I264" i="87"/>
  <c r="C264" i="87" s="1"/>
  <c r="O264" i="7"/>
  <c r="I259" i="87"/>
  <c r="C259" i="87" s="1"/>
  <c r="O259" i="7"/>
  <c r="X77" i="26"/>
  <c r="Z77" i="26"/>
  <c r="Z292" i="26" s="1"/>
  <c r="Y77" i="26"/>
  <c r="Y292" i="26" s="1"/>
  <c r="T77" i="26"/>
  <c r="T292" i="26" s="1"/>
  <c r="W77" i="26"/>
  <c r="W292" i="26" s="1"/>
  <c r="S77" i="26"/>
  <c r="S292" i="26" s="1"/>
  <c r="U77" i="26"/>
  <c r="U292" i="26" s="1"/>
  <c r="V77" i="26"/>
  <c r="V292" i="26" s="1"/>
  <c r="I9" i="87"/>
  <c r="C9" i="87" s="1"/>
  <c r="O9" i="7"/>
  <c r="BB274" i="7"/>
  <c r="F274" i="39"/>
  <c r="G274" i="39" s="1"/>
  <c r="BA274" i="7"/>
  <c r="AY274" i="7"/>
  <c r="AZ274" i="7"/>
  <c r="I253" i="87"/>
  <c r="C253" i="87" s="1"/>
  <c r="O253" i="7"/>
  <c r="BB9" i="7"/>
  <c r="F9" i="39"/>
  <c r="G9" i="39" s="1"/>
  <c r="AZ9" i="7"/>
  <c r="BA9" i="7"/>
  <c r="AY9" i="7"/>
  <c r="BB138" i="7"/>
  <c r="BA138" i="7"/>
  <c r="F138" i="39"/>
  <c r="G138" i="39" s="1"/>
  <c r="AY138" i="7"/>
  <c r="AZ138" i="7"/>
  <c r="I274" i="87"/>
  <c r="C274" i="87" s="1"/>
  <c r="O274" i="7"/>
  <c r="I262" i="87"/>
  <c r="C262" i="87" s="1"/>
  <c r="O262" i="7"/>
  <c r="AZ262" i="7"/>
  <c r="BB262" i="7"/>
  <c r="AY262" i="7"/>
  <c r="F262" i="39"/>
  <c r="G262" i="39" s="1"/>
  <c r="BA262" i="7"/>
  <c r="I50" i="87"/>
  <c r="C50" i="87" s="1"/>
  <c r="O50" i="7"/>
  <c r="AV65" i="7" l="1"/>
  <c r="AX65" i="7"/>
  <c r="AW65" i="7"/>
  <c r="AU65" i="7"/>
  <c r="S65" i="87"/>
  <c r="C65" i="87"/>
  <c r="Z278" i="7"/>
  <c r="AX278" i="7"/>
  <c r="AU278" i="7"/>
  <c r="AW278" i="7"/>
  <c r="AV278" i="7"/>
  <c r="Z259" i="7"/>
  <c r="AW259" i="7"/>
  <c r="AX259" i="7"/>
  <c r="AV259" i="7"/>
  <c r="AU259" i="7"/>
  <c r="AX264" i="7"/>
  <c r="Z264" i="7"/>
  <c r="AW264" i="7"/>
  <c r="AV264" i="7"/>
  <c r="AU264" i="7"/>
  <c r="M77" i="45"/>
  <c r="P77" i="45"/>
  <c r="Q77" i="45"/>
  <c r="N77" i="45"/>
  <c r="O77" i="45"/>
  <c r="Z262" i="7"/>
  <c r="AU262" i="7"/>
  <c r="AX262" i="7"/>
  <c r="AV262" i="7"/>
  <c r="AW262" i="7"/>
  <c r="R77" i="45"/>
  <c r="T77" i="45"/>
  <c r="S77" i="45"/>
  <c r="U77" i="45"/>
  <c r="AU9" i="7"/>
  <c r="AV9" i="7"/>
  <c r="AX9" i="7"/>
  <c r="Z9" i="7"/>
  <c r="AW9" i="7"/>
  <c r="AW274" i="7"/>
  <c r="AU274" i="7"/>
  <c r="AX274" i="7"/>
  <c r="Z274" i="7"/>
  <c r="AV274" i="7"/>
  <c r="Z248" i="7"/>
  <c r="AU248" i="7"/>
  <c r="AV248" i="7"/>
  <c r="AX248" i="7"/>
  <c r="AW248" i="7"/>
  <c r="AU50" i="7"/>
  <c r="AX50" i="7"/>
  <c r="Z50" i="7"/>
  <c r="AW50" i="7"/>
  <c r="AV50" i="7"/>
  <c r="AX273" i="7"/>
  <c r="AV273" i="7"/>
  <c r="Z273" i="7"/>
  <c r="AW273" i="7"/>
  <c r="AU273" i="7"/>
  <c r="Z253" i="7"/>
  <c r="AU253" i="7"/>
  <c r="AV253" i="7"/>
  <c r="AW253" i="7"/>
  <c r="AX253" i="7"/>
  <c r="AW120" i="7"/>
  <c r="AU120" i="7"/>
  <c r="AX120" i="7"/>
  <c r="AV120" i="7"/>
  <c r="S120" i="87"/>
  <c r="C120" i="87"/>
  <c r="Z138" i="7"/>
  <c r="AX138" i="7"/>
  <c r="AU138" i="7"/>
  <c r="AW138" i="7"/>
  <c r="AV138" i="7"/>
  <c r="AU254" i="7"/>
  <c r="AV254" i="7"/>
  <c r="AX254" i="7"/>
  <c r="AW254" i="7"/>
  <c r="Z254" i="7"/>
  <c r="Z255" i="7"/>
  <c r="AX255" i="7"/>
  <c r="AU255" i="7"/>
  <c r="AW255" i="7"/>
  <c r="AV255" i="7"/>
  <c r="F278" i="87" l="1"/>
  <c r="D278" i="39"/>
  <c r="E278" i="39" s="1"/>
  <c r="O278" i="46"/>
  <c r="BJ278" i="7"/>
  <c r="BI278" i="7"/>
  <c r="BH278" i="7"/>
  <c r="BG278" i="7"/>
  <c r="BF278" i="7"/>
  <c r="BE278" i="7"/>
  <c r="BC278" i="7"/>
  <c r="BD278" i="7"/>
  <c r="BF254" i="7"/>
  <c r="BG254" i="7"/>
  <c r="BJ254" i="7"/>
  <c r="BH254" i="7"/>
  <c r="BC254" i="7"/>
  <c r="BE254" i="7"/>
  <c r="F254" i="87"/>
  <c r="BD254" i="7"/>
  <c r="O254" i="46"/>
  <c r="D254" i="39"/>
  <c r="E254" i="39" s="1"/>
  <c r="BI254" i="7"/>
  <c r="BF50" i="7"/>
  <c r="BI50" i="7"/>
  <c r="D50" i="39"/>
  <c r="E50" i="39" s="1"/>
  <c r="BG50" i="7"/>
  <c r="BH50" i="7"/>
  <c r="O50" i="46"/>
  <c r="F50" i="87"/>
  <c r="BE50" i="7"/>
  <c r="BD50" i="7"/>
  <c r="BC50" i="7"/>
  <c r="BJ50" i="7"/>
  <c r="BF274" i="7"/>
  <c r="BH274" i="7"/>
  <c r="D274" i="39"/>
  <c r="E274" i="39" s="1"/>
  <c r="BE274" i="7"/>
  <c r="BG274" i="7"/>
  <c r="BD274" i="7"/>
  <c r="O274" i="46"/>
  <c r="BC274" i="7"/>
  <c r="F274" i="87"/>
  <c r="BJ274" i="7"/>
  <c r="BI274" i="7"/>
  <c r="BF262" i="7"/>
  <c r="BD262" i="7"/>
  <c r="BC262" i="7"/>
  <c r="O262" i="46"/>
  <c r="BG262" i="7"/>
  <c r="F262" i="87"/>
  <c r="BI262" i="7"/>
  <c r="BJ262" i="7"/>
  <c r="BH262" i="7"/>
  <c r="BE262" i="7"/>
  <c r="D262" i="39"/>
  <c r="E262" i="39" s="1"/>
  <c r="BE9" i="7"/>
  <c r="D9" i="39"/>
  <c r="E9" i="39" s="1"/>
  <c r="BG9" i="7"/>
  <c r="BJ9" i="7"/>
  <c r="O9" i="46"/>
  <c r="BF9" i="7"/>
  <c r="BC9" i="7"/>
  <c r="BI9" i="7"/>
  <c r="F9" i="87"/>
  <c r="BD9" i="7"/>
  <c r="BH9" i="7"/>
  <c r="F264" i="87"/>
  <c r="BJ264" i="7"/>
  <c r="BE264" i="7"/>
  <c r="D264" i="39"/>
  <c r="E264" i="39" s="1"/>
  <c r="BI264" i="7"/>
  <c r="BH264" i="7"/>
  <c r="O264" i="46"/>
  <c r="BF264" i="7"/>
  <c r="BC264" i="7"/>
  <c r="BD264" i="7"/>
  <c r="BG264" i="7"/>
  <c r="D253" i="39"/>
  <c r="E253" i="39" s="1"/>
  <c r="BF253" i="7"/>
  <c r="BD253" i="7"/>
  <c r="BG253" i="7"/>
  <c r="BE253" i="7"/>
  <c r="BC253" i="7"/>
  <c r="F253" i="87"/>
  <c r="O253" i="46"/>
  <c r="BI253" i="7"/>
  <c r="BH253" i="7"/>
  <c r="BJ253" i="7"/>
  <c r="BF255" i="7"/>
  <c r="BD255" i="7"/>
  <c r="BI255" i="7"/>
  <c r="F255" i="87"/>
  <c r="BG255" i="7"/>
  <c r="O255" i="46"/>
  <c r="D255" i="39"/>
  <c r="E255" i="39" s="1"/>
  <c r="BE255" i="7"/>
  <c r="BC255" i="7"/>
  <c r="BJ255" i="7"/>
  <c r="BH255" i="7"/>
  <c r="BE248" i="7"/>
  <c r="BJ248" i="7"/>
  <c r="BI248" i="7"/>
  <c r="BH248" i="7"/>
  <c r="BD248" i="7"/>
  <c r="F248" i="87"/>
  <c r="D248" i="39"/>
  <c r="E248" i="39" s="1"/>
  <c r="BG248" i="7"/>
  <c r="O248" i="46"/>
  <c r="BC248" i="7"/>
  <c r="BF248" i="7"/>
  <c r="O138" i="46"/>
  <c r="D138" i="39"/>
  <c r="E138" i="39" s="1"/>
  <c r="F138" i="87"/>
  <c r="BJ138" i="7"/>
  <c r="BE138" i="7"/>
  <c r="BC138" i="7"/>
  <c r="BI138" i="7"/>
  <c r="BG138" i="7"/>
  <c r="BD138" i="7"/>
  <c r="BH138" i="7"/>
  <c r="BF138" i="7"/>
  <c r="BG273" i="7"/>
  <c r="O273" i="46"/>
  <c r="BD273" i="7"/>
  <c r="BE273" i="7"/>
  <c r="BC273" i="7"/>
  <c r="BF273" i="7"/>
  <c r="D273" i="39"/>
  <c r="E273" i="39" s="1"/>
  <c r="BJ273" i="7"/>
  <c r="BI273" i="7"/>
  <c r="BH273" i="7"/>
  <c r="F273" i="87"/>
  <c r="BJ259" i="7"/>
  <c r="BE259" i="7"/>
  <c r="BI259" i="7"/>
  <c r="BH259" i="7"/>
  <c r="BG259" i="7"/>
  <c r="BD259" i="7"/>
  <c r="BC259" i="7"/>
  <c r="O259" i="46"/>
  <c r="F259" i="87"/>
  <c r="BF259" i="7"/>
  <c r="D259" i="39"/>
  <c r="E259" i="39" s="1"/>
  <c r="H278" i="45" l="1"/>
  <c r="K278" i="28"/>
  <c r="X278" i="87"/>
  <c r="V278" i="87"/>
  <c r="U278" i="87"/>
  <c r="W278" i="87"/>
  <c r="S278" i="87"/>
  <c r="R278" i="87"/>
  <c r="T278" i="87"/>
  <c r="K50" i="28"/>
  <c r="H50" i="45"/>
  <c r="K254" i="28"/>
  <c r="H254" i="45"/>
  <c r="H248" i="45"/>
  <c r="K248" i="28"/>
  <c r="R248" i="87"/>
  <c r="V248" i="87"/>
  <c r="U248" i="87"/>
  <c r="S248" i="87"/>
  <c r="W248" i="87"/>
  <c r="T248" i="87"/>
  <c r="X248" i="87"/>
  <c r="X262" i="87"/>
  <c r="W262" i="87"/>
  <c r="V262" i="87"/>
  <c r="U262" i="87"/>
  <c r="T262" i="87"/>
  <c r="S262" i="87"/>
  <c r="R262" i="87"/>
  <c r="H274" i="45"/>
  <c r="K274" i="28"/>
  <c r="H259" i="45"/>
  <c r="K259" i="28"/>
  <c r="H273" i="45"/>
  <c r="K273" i="28"/>
  <c r="V259" i="87"/>
  <c r="U259" i="87"/>
  <c r="T259" i="87"/>
  <c r="S259" i="87"/>
  <c r="R259" i="87"/>
  <c r="X259" i="87"/>
  <c r="W259" i="87"/>
  <c r="X254" i="87"/>
  <c r="V254" i="87"/>
  <c r="U254" i="87"/>
  <c r="W254" i="87"/>
  <c r="T254" i="87"/>
  <c r="S254" i="87"/>
  <c r="R254" i="87"/>
  <c r="U273" i="87"/>
  <c r="X273" i="87"/>
  <c r="V273" i="87"/>
  <c r="W273" i="87"/>
  <c r="T273" i="87"/>
  <c r="R273" i="87"/>
  <c r="S273" i="87"/>
  <c r="R9" i="87"/>
  <c r="S9" i="87"/>
  <c r="U9" i="87"/>
  <c r="W9" i="87"/>
  <c r="V9" i="87"/>
  <c r="X9" i="87"/>
  <c r="T9" i="87"/>
  <c r="K138" i="28"/>
  <c r="H138" i="45"/>
  <c r="K9" i="28"/>
  <c r="H9" i="45"/>
  <c r="V50" i="87"/>
  <c r="W50" i="87"/>
  <c r="S50" i="87"/>
  <c r="U50" i="87"/>
  <c r="R50" i="87"/>
  <c r="T50" i="87"/>
  <c r="X50" i="87"/>
  <c r="U255" i="87"/>
  <c r="X255" i="87"/>
  <c r="V255" i="87"/>
  <c r="T255" i="87"/>
  <c r="S255" i="87"/>
  <c r="R255" i="87"/>
  <c r="W255" i="87"/>
  <c r="U138" i="87"/>
  <c r="S138" i="87"/>
  <c r="R138" i="87"/>
  <c r="V138" i="87"/>
  <c r="X138" i="87"/>
  <c r="W138" i="87"/>
  <c r="T138" i="87"/>
  <c r="T253" i="87"/>
  <c r="S253" i="87"/>
  <c r="R253" i="87"/>
  <c r="W253" i="87"/>
  <c r="X253" i="87"/>
  <c r="U253" i="87"/>
  <c r="V253" i="87"/>
  <c r="X274" i="87"/>
  <c r="W274" i="87"/>
  <c r="V274" i="87"/>
  <c r="U274" i="87"/>
  <c r="T274" i="87"/>
  <c r="S274" i="87"/>
  <c r="R274" i="87"/>
  <c r="K253" i="28"/>
  <c r="H253" i="45"/>
  <c r="H264" i="45"/>
  <c r="K264" i="28"/>
  <c r="H255" i="45"/>
  <c r="K255" i="28"/>
  <c r="K262" i="28"/>
  <c r="H262" i="45"/>
  <c r="X264" i="87"/>
  <c r="T264" i="87"/>
  <c r="W264" i="87"/>
  <c r="U264" i="87"/>
  <c r="R264" i="87"/>
  <c r="S264" i="87"/>
  <c r="V264" i="87"/>
  <c r="L278" i="28" l="1"/>
  <c r="K278" i="46" s="1"/>
  <c r="M278" i="28"/>
  <c r="N278" i="46" s="1"/>
  <c r="C278" i="45"/>
  <c r="D278" i="45"/>
  <c r="D274" i="45"/>
  <c r="C274" i="45"/>
  <c r="M259" i="28"/>
  <c r="N259" i="46" s="1"/>
  <c r="L259" i="28"/>
  <c r="K259" i="46" s="1"/>
  <c r="M255" i="28"/>
  <c r="N255" i="46" s="1"/>
  <c r="L255" i="28"/>
  <c r="K255" i="46" s="1"/>
  <c r="D255" i="45"/>
  <c r="C255" i="45"/>
  <c r="C9" i="45"/>
  <c r="D9" i="45"/>
  <c r="L248" i="28"/>
  <c r="K248" i="46" s="1"/>
  <c r="M248" i="28"/>
  <c r="N248" i="46" s="1"/>
  <c r="C259" i="45"/>
  <c r="D259" i="45"/>
  <c r="L264" i="28"/>
  <c r="K264" i="46" s="1"/>
  <c r="M264" i="28"/>
  <c r="N264" i="46" s="1"/>
  <c r="L9" i="28"/>
  <c r="K9" i="46" s="1"/>
  <c r="M9" i="28"/>
  <c r="N9" i="46" s="1"/>
  <c r="C248" i="45"/>
  <c r="D248" i="45"/>
  <c r="D264" i="45"/>
  <c r="C264" i="45"/>
  <c r="C138" i="45"/>
  <c r="D138" i="45"/>
  <c r="D254" i="45"/>
  <c r="C254" i="45"/>
  <c r="D253" i="45"/>
  <c r="C253" i="45"/>
  <c r="M138" i="28"/>
  <c r="N138" i="46" s="1"/>
  <c r="L138" i="28"/>
  <c r="K138" i="46" s="1"/>
  <c r="M254" i="28"/>
  <c r="N254" i="46" s="1"/>
  <c r="L254" i="28"/>
  <c r="K254" i="46" s="1"/>
  <c r="C50" i="45"/>
  <c r="D50" i="45"/>
  <c r="L273" i="28"/>
  <c r="K273" i="46" s="1"/>
  <c r="M273" i="28"/>
  <c r="N273" i="46" s="1"/>
  <c r="M50" i="28"/>
  <c r="N50" i="46" s="1"/>
  <c r="L50" i="28"/>
  <c r="K50" i="46" s="1"/>
  <c r="L274" i="28"/>
  <c r="K274" i="46" s="1"/>
  <c r="M274" i="28"/>
  <c r="N274" i="46" s="1"/>
  <c r="D262" i="45"/>
  <c r="C262" i="45"/>
  <c r="M262" i="28"/>
  <c r="N262" i="46" s="1"/>
  <c r="L262" i="28"/>
  <c r="K262" i="46" s="1"/>
  <c r="L253" i="28"/>
  <c r="K253" i="46" s="1"/>
  <c r="M253" i="28"/>
  <c r="N253" i="46" s="1"/>
  <c r="D273" i="45"/>
  <c r="C273" i="45"/>
  <c r="R278" i="45" l="1"/>
  <c r="U278" i="45"/>
  <c r="T278" i="45"/>
  <c r="S278" i="45"/>
  <c r="M278" i="45"/>
  <c r="Q278" i="45"/>
  <c r="O278" i="45"/>
  <c r="N278" i="45"/>
  <c r="P278" i="45"/>
  <c r="D278" i="46"/>
  <c r="F278" i="46"/>
  <c r="C278" i="46"/>
  <c r="E278" i="46"/>
  <c r="E273" i="46"/>
  <c r="C273" i="46"/>
  <c r="E274" i="46"/>
  <c r="C274" i="46"/>
  <c r="P254" i="45"/>
  <c r="Q254" i="45"/>
  <c r="N254" i="45"/>
  <c r="M254" i="45"/>
  <c r="O254" i="45"/>
  <c r="D248" i="46"/>
  <c r="F248" i="46"/>
  <c r="C248" i="46"/>
  <c r="E248" i="46"/>
  <c r="C291" i="7"/>
  <c r="C291" i="33"/>
  <c r="O50" i="45"/>
  <c r="Q50" i="45"/>
  <c r="M50" i="45"/>
  <c r="N50" i="45"/>
  <c r="P50" i="45"/>
  <c r="S248" i="45"/>
  <c r="R248" i="45"/>
  <c r="T248" i="45"/>
  <c r="U248" i="45"/>
  <c r="E255" i="46"/>
  <c r="C255" i="46"/>
  <c r="O264" i="45"/>
  <c r="P264" i="45"/>
  <c r="N264" i="45"/>
  <c r="Q264" i="45"/>
  <c r="M264" i="45"/>
  <c r="F253" i="46"/>
  <c r="D253" i="46"/>
  <c r="Q248" i="45"/>
  <c r="O248" i="45"/>
  <c r="M248" i="45"/>
  <c r="N248" i="45"/>
  <c r="P248" i="45"/>
  <c r="F255" i="46"/>
  <c r="D255" i="46"/>
  <c r="U273" i="45"/>
  <c r="T273" i="45"/>
  <c r="S273" i="45"/>
  <c r="R273" i="45"/>
  <c r="E253" i="46"/>
  <c r="C253" i="46"/>
  <c r="E254" i="46"/>
  <c r="C254" i="46"/>
  <c r="D9" i="46"/>
  <c r="F9" i="46"/>
  <c r="D50" i="46"/>
  <c r="F50" i="46"/>
  <c r="R264" i="45"/>
  <c r="S264" i="45"/>
  <c r="U264" i="45"/>
  <c r="T264" i="45"/>
  <c r="E262" i="46"/>
  <c r="C262" i="46"/>
  <c r="F254" i="46"/>
  <c r="D254" i="46"/>
  <c r="E9" i="46"/>
  <c r="C9" i="46"/>
  <c r="C259" i="46"/>
  <c r="E259" i="46"/>
  <c r="C50" i="46"/>
  <c r="E50" i="46"/>
  <c r="T50" i="45"/>
  <c r="R50" i="45"/>
  <c r="S50" i="45"/>
  <c r="U50" i="45"/>
  <c r="D262" i="46"/>
  <c r="F262" i="46"/>
  <c r="E138" i="46"/>
  <c r="C138" i="46"/>
  <c r="D264" i="46"/>
  <c r="F264" i="46"/>
  <c r="F259" i="46"/>
  <c r="D259" i="46"/>
  <c r="T138" i="45"/>
  <c r="R138" i="45"/>
  <c r="S138" i="45"/>
  <c r="U138" i="45"/>
  <c r="D273" i="46"/>
  <c r="F273" i="46"/>
  <c r="M273" i="45"/>
  <c r="Q273" i="45"/>
  <c r="O273" i="45"/>
  <c r="P273" i="45"/>
  <c r="N273" i="45"/>
  <c r="P262" i="45"/>
  <c r="N262" i="45"/>
  <c r="O262" i="45"/>
  <c r="Q262" i="45"/>
  <c r="M262" i="45"/>
  <c r="D138" i="46"/>
  <c r="F138" i="46"/>
  <c r="E264" i="46"/>
  <c r="C264" i="46"/>
  <c r="Q274" i="45"/>
  <c r="M274" i="45"/>
  <c r="P274" i="45"/>
  <c r="N274" i="45"/>
  <c r="O274" i="45"/>
  <c r="S254" i="45"/>
  <c r="R254" i="45"/>
  <c r="T254" i="45"/>
  <c r="U254" i="45"/>
  <c r="R9" i="45"/>
  <c r="S9" i="45"/>
  <c r="T9" i="45"/>
  <c r="U9" i="45"/>
  <c r="O9" i="45"/>
  <c r="Q9" i="45"/>
  <c r="N9" i="45"/>
  <c r="P9" i="45"/>
  <c r="M9" i="45"/>
  <c r="N255" i="45"/>
  <c r="O255" i="45"/>
  <c r="Q255" i="45"/>
  <c r="M255" i="45"/>
  <c r="P255" i="45"/>
  <c r="S255" i="45"/>
  <c r="R255" i="45"/>
  <c r="T255" i="45"/>
  <c r="U255" i="45"/>
  <c r="U262" i="45"/>
  <c r="R262" i="45"/>
  <c r="S262" i="45"/>
  <c r="T262" i="45"/>
  <c r="O253" i="45"/>
  <c r="Q253" i="45"/>
  <c r="M253" i="45"/>
  <c r="N253" i="45"/>
  <c r="P253" i="45"/>
  <c r="S259" i="45"/>
  <c r="T259" i="45"/>
  <c r="U259" i="45"/>
  <c r="R259" i="45"/>
  <c r="R274" i="45"/>
  <c r="U274" i="45"/>
  <c r="S274" i="45"/>
  <c r="T274" i="45"/>
  <c r="N138" i="45"/>
  <c r="M138" i="45"/>
  <c r="Q138" i="45"/>
  <c r="P138" i="45"/>
  <c r="O138" i="45"/>
  <c r="D274" i="46"/>
  <c r="F274" i="46"/>
  <c r="U253" i="45"/>
  <c r="T253" i="45"/>
  <c r="R253" i="45"/>
  <c r="S253" i="45"/>
  <c r="N259" i="45"/>
  <c r="M259" i="45"/>
  <c r="O259" i="45"/>
  <c r="Q259" i="45"/>
  <c r="P259" i="45"/>
  <c r="T278" i="46" l="1"/>
  <c r="V278" i="46"/>
  <c r="S278" i="46"/>
  <c r="U278" i="46"/>
  <c r="W278" i="46"/>
  <c r="Y278" i="46"/>
  <c r="X278" i="46"/>
  <c r="AR278" i="46"/>
  <c r="AP278" i="46"/>
  <c r="AO278" i="46"/>
  <c r="AM278" i="46"/>
  <c r="AN278" i="46"/>
  <c r="AQ278" i="46"/>
  <c r="AE278" i="46"/>
  <c r="AD278" i="46"/>
  <c r="AF278" i="46"/>
  <c r="AC278" i="46"/>
  <c r="AB278" i="46"/>
  <c r="Z278" i="46"/>
  <c r="AA278" i="46"/>
  <c r="AI278" i="46"/>
  <c r="AH278" i="46"/>
  <c r="AL278" i="46"/>
  <c r="AJ278" i="46"/>
  <c r="AK278" i="46"/>
  <c r="AG278" i="46"/>
  <c r="Z262" i="46"/>
  <c r="AF262" i="46"/>
  <c r="AA262" i="46"/>
  <c r="AB262" i="46"/>
  <c r="AE262" i="46"/>
  <c r="AC262" i="46"/>
  <c r="AD262" i="46"/>
  <c r="AI262" i="46"/>
  <c r="AJ262" i="46"/>
  <c r="AH262" i="46"/>
  <c r="AL262" i="46"/>
  <c r="AG262" i="46"/>
  <c r="AK262" i="46"/>
  <c r="AO264" i="46"/>
  <c r="AR264" i="46"/>
  <c r="AN264" i="46"/>
  <c r="AM264" i="46"/>
  <c r="AP264" i="46"/>
  <c r="AQ264" i="46"/>
  <c r="S264" i="46"/>
  <c r="T264" i="46"/>
  <c r="X264" i="46"/>
  <c r="W264" i="46"/>
  <c r="V264" i="46"/>
  <c r="Y264" i="46"/>
  <c r="U264" i="46"/>
  <c r="AR273" i="46"/>
  <c r="AM273" i="46"/>
  <c r="AN273" i="46"/>
  <c r="AQ273" i="46"/>
  <c r="AP273" i="46"/>
  <c r="AO273" i="46"/>
  <c r="Y254" i="46"/>
  <c r="T254" i="46"/>
  <c r="W254" i="46"/>
  <c r="U254" i="46"/>
  <c r="S254" i="46"/>
  <c r="V254" i="46"/>
  <c r="X254" i="46"/>
  <c r="AL264" i="46"/>
  <c r="AH264" i="46"/>
  <c r="AJ264" i="46"/>
  <c r="AK264" i="46"/>
  <c r="AI264" i="46"/>
  <c r="AG264" i="46"/>
  <c r="AE273" i="46"/>
  <c r="AD273" i="46"/>
  <c r="AA273" i="46"/>
  <c r="Z273" i="46"/>
  <c r="AF273" i="46"/>
  <c r="AC273" i="46"/>
  <c r="AB273" i="46"/>
  <c r="AM138" i="46"/>
  <c r="AR138" i="46"/>
  <c r="AN138" i="46"/>
  <c r="AO138" i="46"/>
  <c r="AP138" i="46"/>
  <c r="AQ138" i="46"/>
  <c r="X274" i="46"/>
  <c r="U274" i="46"/>
  <c r="Y274" i="46"/>
  <c r="V274" i="46"/>
  <c r="S274" i="46"/>
  <c r="W274" i="46"/>
  <c r="T274" i="46"/>
  <c r="Y9" i="46"/>
  <c r="V9" i="46"/>
  <c r="T9" i="46"/>
  <c r="S9" i="46"/>
  <c r="W9" i="46"/>
  <c r="U9" i="46"/>
  <c r="X9" i="46"/>
  <c r="X248" i="46"/>
  <c r="W248" i="46"/>
  <c r="V248" i="46"/>
  <c r="Y248" i="46"/>
  <c r="U248" i="46"/>
  <c r="S248" i="46"/>
  <c r="T248" i="46"/>
  <c r="AJ9" i="46"/>
  <c r="AI9" i="46"/>
  <c r="AH9" i="46"/>
  <c r="AG9" i="46"/>
  <c r="AK9" i="46"/>
  <c r="AL9" i="46"/>
  <c r="AM248" i="46"/>
  <c r="AN248" i="46"/>
  <c r="AO248" i="46"/>
  <c r="AQ248" i="46"/>
  <c r="AP248" i="46"/>
  <c r="AR248" i="46"/>
  <c r="AF254" i="46"/>
  <c r="AA254" i="46"/>
  <c r="AB254" i="46"/>
  <c r="Z254" i="46"/>
  <c r="AD254" i="46"/>
  <c r="AC254" i="46"/>
  <c r="AE254" i="46"/>
  <c r="Z248" i="46"/>
  <c r="AA248" i="46"/>
  <c r="AC248" i="46"/>
  <c r="AE248" i="46"/>
  <c r="AD248" i="46"/>
  <c r="AF248" i="46"/>
  <c r="AB248" i="46"/>
  <c r="AQ254" i="46"/>
  <c r="AP254" i="46"/>
  <c r="AM254" i="46"/>
  <c r="AR254" i="46"/>
  <c r="AO254" i="46"/>
  <c r="AN254" i="46"/>
  <c r="AP253" i="46"/>
  <c r="AN253" i="46"/>
  <c r="AM253" i="46"/>
  <c r="AR253" i="46"/>
  <c r="AO253" i="46"/>
  <c r="AQ253" i="46"/>
  <c r="AF274" i="46"/>
  <c r="AD274" i="46"/>
  <c r="AB274" i="46"/>
  <c r="AA274" i="46"/>
  <c r="AC274" i="46"/>
  <c r="AE274" i="46"/>
  <c r="Z274" i="46"/>
  <c r="Z138" i="46"/>
  <c r="AE138" i="46"/>
  <c r="AF138" i="46"/>
  <c r="AD138" i="46"/>
  <c r="AB138" i="46"/>
  <c r="AC138" i="46"/>
  <c r="AA138" i="46"/>
  <c r="E291" i="33"/>
  <c r="D291" i="33"/>
  <c r="F291" i="33"/>
  <c r="I291" i="33"/>
  <c r="H291" i="33"/>
  <c r="G291" i="33"/>
  <c r="AJ274" i="46"/>
  <c r="AG274" i="46"/>
  <c r="AI274" i="46"/>
  <c r="AK274" i="46"/>
  <c r="AL274" i="46"/>
  <c r="AH274" i="46"/>
  <c r="AH253" i="46"/>
  <c r="AK253" i="46"/>
  <c r="AI253" i="46"/>
  <c r="AJ253" i="46"/>
  <c r="AL253" i="46"/>
  <c r="AG253" i="46"/>
  <c r="D77" i="21"/>
  <c r="E77" i="33"/>
  <c r="D77" i="23"/>
  <c r="D77" i="33"/>
  <c r="AJ50" i="46"/>
  <c r="AI50" i="46"/>
  <c r="AL50" i="46"/>
  <c r="AK50" i="46"/>
  <c r="AG50" i="46"/>
  <c r="AH50" i="46"/>
  <c r="AR50" i="46"/>
  <c r="AM50" i="46"/>
  <c r="AQ50" i="46"/>
  <c r="AP50" i="46"/>
  <c r="AO50" i="46"/>
  <c r="AN50" i="46"/>
  <c r="AD255" i="46"/>
  <c r="AA255" i="46"/>
  <c r="AF255" i="46"/>
  <c r="Z255" i="46"/>
  <c r="AE255" i="46"/>
  <c r="AC255" i="46"/>
  <c r="AB255" i="46"/>
  <c r="M291" i="7"/>
  <c r="I291" i="87" s="1"/>
  <c r="N291" i="7"/>
  <c r="G291" i="87"/>
  <c r="L291" i="7"/>
  <c r="K291" i="7"/>
  <c r="U273" i="46"/>
  <c r="V273" i="46"/>
  <c r="W273" i="46"/>
  <c r="T273" i="46"/>
  <c r="Y273" i="46"/>
  <c r="X273" i="46"/>
  <c r="S273" i="46"/>
  <c r="U253" i="46"/>
  <c r="Y253" i="46"/>
  <c r="T253" i="46"/>
  <c r="W253" i="46"/>
  <c r="S253" i="46"/>
  <c r="V253" i="46"/>
  <c r="X253" i="46"/>
  <c r="AH138" i="46"/>
  <c r="AI138" i="46"/>
  <c r="AJ138" i="46"/>
  <c r="AL138" i="46"/>
  <c r="AK138" i="46"/>
  <c r="AG138" i="46"/>
  <c r="AA253" i="46"/>
  <c r="AC253" i="46"/>
  <c r="AD253" i="46"/>
  <c r="AF253" i="46"/>
  <c r="Z253" i="46"/>
  <c r="AE253" i="46"/>
  <c r="AB253" i="46"/>
  <c r="AQ262" i="46"/>
  <c r="AR262" i="46"/>
  <c r="AN262" i="46"/>
  <c r="AM262" i="46"/>
  <c r="AP262" i="46"/>
  <c r="AO262" i="46"/>
  <c r="Y50" i="46"/>
  <c r="X50" i="46"/>
  <c r="S50" i="46"/>
  <c r="U50" i="46"/>
  <c r="T50" i="46"/>
  <c r="V50" i="46"/>
  <c r="W50" i="46"/>
  <c r="Z50" i="46"/>
  <c r="AD50" i="46"/>
  <c r="AB50" i="46"/>
  <c r="AE50" i="46"/>
  <c r="AF50" i="46"/>
  <c r="AC50" i="46"/>
  <c r="AA50" i="46"/>
  <c r="AP255" i="46"/>
  <c r="AN255" i="46"/>
  <c r="AO255" i="46"/>
  <c r="AM255" i="46"/>
  <c r="AR255" i="46"/>
  <c r="AQ255" i="46"/>
  <c r="AJ273" i="46"/>
  <c r="AH273" i="46"/>
  <c r="AL273" i="46"/>
  <c r="AK273" i="46"/>
  <c r="AI273" i="46"/>
  <c r="AG273" i="46"/>
  <c r="Z264" i="46"/>
  <c r="AA264" i="46"/>
  <c r="AE264" i="46"/>
  <c r="AF264" i="46"/>
  <c r="AC264" i="46"/>
  <c r="AD264" i="46"/>
  <c r="AB264" i="46"/>
  <c r="AL254" i="46"/>
  <c r="AJ254" i="46"/>
  <c r="AH254" i="46"/>
  <c r="AI254" i="46"/>
  <c r="AG254" i="46"/>
  <c r="AK254" i="46"/>
  <c r="T138" i="46"/>
  <c r="X138" i="46"/>
  <c r="S138" i="46"/>
  <c r="V138" i="46"/>
  <c r="Y138" i="46"/>
  <c r="W138" i="46"/>
  <c r="U138" i="46"/>
  <c r="AC259" i="46"/>
  <c r="AB259" i="46"/>
  <c r="AE259" i="46"/>
  <c r="AF259" i="46"/>
  <c r="AD259" i="46"/>
  <c r="Z259" i="46"/>
  <c r="AA259" i="46"/>
  <c r="AI259" i="46"/>
  <c r="AH259" i="46"/>
  <c r="AJ259" i="46"/>
  <c r="AK259" i="46"/>
  <c r="AL259" i="46"/>
  <c r="AG259" i="46"/>
  <c r="AP9" i="46"/>
  <c r="AQ9" i="46"/>
  <c r="AM9" i="46"/>
  <c r="AO9" i="46"/>
  <c r="AN9" i="46"/>
  <c r="AR9" i="46"/>
  <c r="V255" i="46"/>
  <c r="X255" i="46"/>
  <c r="Y255" i="46"/>
  <c r="T255" i="46"/>
  <c r="W255" i="46"/>
  <c r="S255" i="46"/>
  <c r="U255" i="46"/>
  <c r="T262" i="46"/>
  <c r="W262" i="46"/>
  <c r="S262" i="46"/>
  <c r="Y262" i="46"/>
  <c r="U262" i="46"/>
  <c r="X262" i="46"/>
  <c r="V262" i="46"/>
  <c r="AQ274" i="46"/>
  <c r="AO274" i="46"/>
  <c r="AP274" i="46"/>
  <c r="AN274" i="46"/>
  <c r="AM274" i="46"/>
  <c r="AR274" i="46"/>
  <c r="AQ259" i="46"/>
  <c r="AO259" i="46"/>
  <c r="AM259" i="46"/>
  <c r="AR259" i="46"/>
  <c r="AN259" i="46"/>
  <c r="AP259" i="46"/>
  <c r="W259" i="46"/>
  <c r="X259" i="46"/>
  <c r="U259" i="46"/>
  <c r="S259" i="46"/>
  <c r="Y259" i="46"/>
  <c r="V259" i="46"/>
  <c r="T259" i="46"/>
  <c r="AC9" i="46"/>
  <c r="AE9" i="46"/>
  <c r="AD9" i="46"/>
  <c r="AB9" i="46"/>
  <c r="AF9" i="46"/>
  <c r="Z9" i="46"/>
  <c r="AA9" i="46"/>
  <c r="AL255" i="46"/>
  <c r="AG255" i="46"/>
  <c r="AJ255" i="46"/>
  <c r="AI255" i="46"/>
  <c r="AK255" i="46"/>
  <c r="AH255" i="46"/>
  <c r="AG248" i="46"/>
  <c r="AL248" i="46"/>
  <c r="AK248" i="46"/>
  <c r="AJ248" i="46"/>
  <c r="AH248" i="46"/>
  <c r="AI248" i="46"/>
  <c r="P291" i="7" l="1"/>
  <c r="BB291" i="7" s="1"/>
  <c r="L77" i="33"/>
  <c r="U77" i="33" s="1"/>
  <c r="N77" i="33"/>
  <c r="X77" i="33" s="1"/>
  <c r="O77" i="33"/>
  <c r="Y77" i="33" s="1"/>
  <c r="K77" i="33"/>
  <c r="T77" i="33" s="1"/>
  <c r="O291" i="7"/>
  <c r="H291" i="87"/>
  <c r="C291" i="87" s="1"/>
  <c r="R291" i="33"/>
  <c r="Q291" i="33"/>
  <c r="P291" i="33"/>
  <c r="K291" i="33"/>
  <c r="L291" i="33"/>
  <c r="J291" i="33"/>
  <c r="O291" i="33"/>
  <c r="M291" i="33"/>
  <c r="N291" i="33"/>
  <c r="V77" i="33" l="1"/>
  <c r="K77" i="7" s="1"/>
  <c r="AY291" i="7"/>
  <c r="AZ291" i="7"/>
  <c r="F291" i="39"/>
  <c r="G291" i="39" s="1"/>
  <c r="X291" i="33"/>
  <c r="W291" i="33"/>
  <c r="Y291" i="33"/>
  <c r="S291" i="33"/>
  <c r="U291" i="33"/>
  <c r="T291" i="33"/>
  <c r="O77" i="7"/>
  <c r="BF77" i="7"/>
  <c r="H77" i="87"/>
  <c r="R77" i="87" s="1"/>
  <c r="Z291" i="7"/>
  <c r="AX291" i="7"/>
  <c r="AW291" i="7"/>
  <c r="AV291" i="7"/>
  <c r="AU291" i="7"/>
  <c r="Z77" i="33"/>
  <c r="L77" i="7" s="1"/>
  <c r="P77" i="7" s="1"/>
  <c r="Z291" i="33" l="1"/>
  <c r="BA291" i="7" s="1"/>
  <c r="BD291" i="7"/>
  <c r="BD292" i="7" s="1"/>
  <c r="D291" i="39"/>
  <c r="E291" i="39" s="1"/>
  <c r="BC291" i="7"/>
  <c r="BC292" i="7" s="1"/>
  <c r="BH291" i="7"/>
  <c r="BH292" i="7" s="1"/>
  <c r="F291" i="87"/>
  <c r="BG291" i="7"/>
  <c r="BG292" i="7" s="1"/>
  <c r="O291" i="46"/>
  <c r="BJ291" i="7"/>
  <c r="BJ292" i="7" s="1"/>
  <c r="BI291" i="7"/>
  <c r="BI292" i="7" s="1"/>
  <c r="BE291" i="7"/>
  <c r="BE292" i="7" s="1"/>
  <c r="BF291" i="7"/>
  <c r="BF292" i="7"/>
  <c r="BB77" i="7"/>
  <c r="BB292" i="7" s="1"/>
  <c r="AY77" i="7"/>
  <c r="AY292" i="7" s="1"/>
  <c r="BA77" i="7"/>
  <c r="BA292" i="7" s="1"/>
  <c r="AZ77" i="7"/>
  <c r="AZ292" i="7" s="1"/>
  <c r="F77" i="39"/>
  <c r="G77" i="39" s="1"/>
  <c r="AU77" i="7"/>
  <c r="AU292" i="7" s="1"/>
  <c r="AW77" i="7"/>
  <c r="AW292" i="7" s="1"/>
  <c r="AX77" i="7"/>
  <c r="AX292" i="7" s="1"/>
  <c r="AV77" i="7"/>
  <c r="AV292" i="7" s="1"/>
  <c r="V291" i="33"/>
  <c r="S291" i="87" l="1"/>
  <c r="S292" i="87" s="1"/>
  <c r="V291" i="87"/>
  <c r="X291" i="87"/>
  <c r="X292" i="87" s="1"/>
  <c r="U291" i="87"/>
  <c r="T291" i="87"/>
  <c r="W291" i="87"/>
  <c r="W292" i="87" s="1"/>
  <c r="R291" i="87"/>
  <c r="R292" i="87" s="1"/>
  <c r="H291" i="45"/>
  <c r="K291" i="28"/>
  <c r="C291" i="45" l="1"/>
  <c r="D291" i="45"/>
  <c r="L291" i="28"/>
  <c r="K291" i="46" s="1"/>
  <c r="M291" i="28"/>
  <c r="N291" i="46" s="1"/>
  <c r="F291" i="46" l="1"/>
  <c r="D291" i="46"/>
  <c r="C291" i="46"/>
  <c r="E291" i="46"/>
  <c r="R291" i="45"/>
  <c r="R292" i="45" s="1"/>
  <c r="U291" i="45"/>
  <c r="U292" i="45" s="1"/>
  <c r="T291" i="45"/>
  <c r="T292" i="45" s="1"/>
  <c r="S291" i="45"/>
  <c r="S292" i="45" s="1"/>
  <c r="Q291" i="45"/>
  <c r="Q292" i="45" s="1"/>
  <c r="P291" i="45"/>
  <c r="P292" i="45" s="1"/>
  <c r="N291" i="45"/>
  <c r="N292" i="45" s="1"/>
  <c r="O291" i="45"/>
  <c r="O292" i="45" s="1"/>
  <c r="M291" i="45"/>
  <c r="M292" i="45" s="1"/>
  <c r="M293" i="45" s="1"/>
  <c r="V291" i="46" l="1"/>
  <c r="V292" i="46" s="1"/>
  <c r="S291" i="46"/>
  <c r="S292" i="46" s="1"/>
  <c r="Y291" i="46"/>
  <c r="Y292" i="46" s="1"/>
  <c r="W291" i="46"/>
  <c r="W292" i="46" s="1"/>
  <c r="X291" i="46"/>
  <c r="X292" i="46" s="1"/>
  <c r="T291" i="46"/>
  <c r="T292" i="46" s="1"/>
  <c r="U291" i="46"/>
  <c r="U292" i="46" s="1"/>
  <c r="AL291" i="46"/>
  <c r="AL292" i="46" s="1"/>
  <c r="AH291" i="46"/>
  <c r="AH292" i="46" s="1"/>
  <c r="AG291" i="46"/>
  <c r="AG292" i="46" s="1"/>
  <c r="AJ291" i="46"/>
  <c r="AJ292" i="46" s="1"/>
  <c r="AK291" i="46"/>
  <c r="AK292" i="46" s="1"/>
  <c r="AI291" i="46"/>
  <c r="AI292" i="46" s="1"/>
  <c r="AE291" i="46"/>
  <c r="AE292" i="46" s="1"/>
  <c r="Z291" i="46"/>
  <c r="Z292" i="46" s="1"/>
  <c r="AF291" i="46"/>
  <c r="AF292" i="46" s="1"/>
  <c r="AD291" i="46"/>
  <c r="AD292" i="46" s="1"/>
  <c r="AB291" i="46"/>
  <c r="AB292" i="46" s="1"/>
  <c r="AC291" i="46"/>
  <c r="AC292" i="46" s="1"/>
  <c r="AA291" i="46"/>
  <c r="AA292" i="46" s="1"/>
  <c r="AP291" i="46"/>
  <c r="AP292" i="46" s="1"/>
  <c r="AO291" i="46"/>
  <c r="AO292" i="46" s="1"/>
  <c r="AQ291" i="46"/>
  <c r="AQ292" i="46" s="1"/>
  <c r="AN291" i="46"/>
  <c r="AN292" i="46" s="1"/>
  <c r="AR291" i="46"/>
  <c r="AR292" i="46" s="1"/>
  <c r="AM291" i="46"/>
  <c r="AM292"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8" authorId="0" shapeId="0" xr:uid="{00000000-0006-0000-0200-000001000000}">
      <text>
        <r>
          <rPr>
            <b/>
            <sz val="9"/>
            <color indexed="81"/>
            <rFont val="Tahoma"/>
            <family val="2"/>
          </rPr>
          <t>Author:</t>
        </r>
        <r>
          <rPr>
            <sz val="9"/>
            <color indexed="81"/>
            <rFont val="Tahoma"/>
            <family val="2"/>
          </rPr>
          <t xml:space="preserve">
Implementation Memo 8</t>
        </r>
      </text>
    </comment>
    <comment ref="I24" authorId="0" shapeId="0" xr:uid="{3D92A99C-7364-4C91-8CE8-63FDD07F9899}">
      <text>
        <r>
          <rPr>
            <b/>
            <sz val="9"/>
            <color indexed="81"/>
            <rFont val="Tahoma"/>
            <family val="2"/>
          </rPr>
          <t>Author:</t>
        </r>
        <r>
          <rPr>
            <sz val="9"/>
            <color indexed="81"/>
            <rFont val="Tahoma"/>
            <family val="2"/>
          </rPr>
          <t xml:space="preserve">
From Leach column O because groundwater CUL to protect drinking water is less than natural background</t>
        </r>
      </text>
    </comment>
    <comment ref="J24" authorId="0" shapeId="0" xr:uid="{A2F3C93F-720C-4DF3-9F2A-779DD77012C0}">
      <text>
        <r>
          <rPr>
            <b/>
            <sz val="9"/>
            <color indexed="81"/>
            <rFont val="Tahoma"/>
            <family val="2"/>
          </rPr>
          <t>Author:</t>
        </r>
        <r>
          <rPr>
            <sz val="9"/>
            <color indexed="81"/>
            <rFont val="Tahoma"/>
            <family val="2"/>
          </rPr>
          <t xml:space="preserve">
From Leach column O because groundwater CUL to protect surface water is less than natural background</t>
        </r>
      </text>
    </comment>
    <comment ref="L24" authorId="0" shapeId="0" xr:uid="{11167323-5757-4F02-985E-9DA40665A563}">
      <text>
        <r>
          <rPr>
            <b/>
            <sz val="9"/>
            <color indexed="81"/>
            <rFont val="Tahoma"/>
            <family val="2"/>
          </rPr>
          <t>Author:</t>
        </r>
        <r>
          <rPr>
            <sz val="9"/>
            <color indexed="81"/>
            <rFont val="Tahoma"/>
            <family val="2"/>
          </rPr>
          <t xml:space="preserve">
From Leach column P because groundwater CUL to protect drinking water is less than natural background</t>
        </r>
      </text>
    </comment>
    <comment ref="M24" authorId="0" shapeId="0" xr:uid="{D289B52A-C13F-4CA6-90FF-7A25C85108C7}">
      <text>
        <r>
          <rPr>
            <b/>
            <sz val="9"/>
            <color indexed="81"/>
            <rFont val="Tahoma"/>
            <family val="2"/>
          </rPr>
          <t>Author:</t>
        </r>
        <r>
          <rPr>
            <sz val="9"/>
            <color indexed="81"/>
            <rFont val="Tahoma"/>
            <family val="2"/>
          </rPr>
          <t xml:space="preserve">
From Leach column P because groundwater CUL to protect surface water is less than natural background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3" authorId="0" shapeId="0" xr:uid="{DFC553E5-7E08-4B20-A9A6-E8045D0BB1E6}">
      <text>
        <r>
          <rPr>
            <b/>
            <sz val="9"/>
            <color indexed="81"/>
            <rFont val="Tahoma"/>
            <family val="2"/>
          </rPr>
          <t>Author:</t>
        </r>
        <r>
          <rPr>
            <sz val="9"/>
            <color indexed="81"/>
            <rFont val="Tahoma"/>
            <family val="2"/>
          </rPr>
          <t xml:space="preserve">
Site-specific calculation based on pH and temperature</t>
        </r>
      </text>
    </comment>
    <comment ref="C14" authorId="0" shapeId="0" xr:uid="{32C33758-2349-4982-A350-07E2132C8989}">
      <text>
        <r>
          <rPr>
            <b/>
            <sz val="9"/>
            <color indexed="81"/>
            <rFont val="Tahoma"/>
            <family val="2"/>
          </rPr>
          <t>Author:</t>
        </r>
        <r>
          <rPr>
            <sz val="9"/>
            <color indexed="81"/>
            <rFont val="Tahoma"/>
            <family val="2"/>
          </rPr>
          <t xml:space="preserve">
Value for chlorine is 7.5</t>
        </r>
      </text>
    </comment>
    <comment ref="D14" authorId="0" shapeId="0" xr:uid="{5A564B59-05CC-44A1-B5BC-08E6DD1839EE}">
      <text>
        <r>
          <rPr>
            <b/>
            <sz val="9"/>
            <color indexed="81"/>
            <rFont val="Tahoma"/>
            <family val="2"/>
          </rPr>
          <t>Author:</t>
        </r>
        <r>
          <rPr>
            <sz val="9"/>
            <color indexed="81"/>
            <rFont val="Tahoma"/>
            <family val="2"/>
          </rPr>
          <t xml:space="preserve">
Value for chlorine is 7.5</t>
        </r>
      </text>
    </comment>
    <comment ref="C15" authorId="0" shapeId="0" xr:uid="{D36EAEED-293A-49F9-B408-853E22DB6EC5}">
      <text>
        <r>
          <rPr>
            <b/>
            <sz val="9"/>
            <color indexed="81"/>
            <rFont val="Tahoma"/>
            <family val="2"/>
          </rPr>
          <t>Author:</t>
        </r>
        <r>
          <rPr>
            <sz val="9"/>
            <color indexed="81"/>
            <rFont val="Tahoma"/>
            <family val="2"/>
          </rPr>
          <t xml:space="preserve">
Specific to Puget Sound.  
Other marine waters: 1 ug/L.
Applies to weak acid dissociable (WAD) form.</t>
        </r>
      </text>
    </comment>
    <comment ref="D15" authorId="0" shapeId="0" xr:uid="{4D3D0002-470E-4421-B898-E92A184C5275}">
      <text>
        <r>
          <rPr>
            <b/>
            <sz val="9"/>
            <color indexed="81"/>
            <rFont val="Tahoma"/>
            <family val="2"/>
          </rPr>
          <t>Author:</t>
        </r>
        <r>
          <rPr>
            <sz val="9"/>
            <color indexed="81"/>
            <rFont val="Tahoma"/>
            <family val="2"/>
          </rPr>
          <t xml:space="preserve">
Applies to free cyanide but compliance may be measured as weak acid dissociable (WAD) form</t>
        </r>
      </text>
    </comment>
    <comment ref="E15" authorId="0" shapeId="0" xr:uid="{3C4E69FA-7902-49B7-90C1-C4440D93209D}">
      <text>
        <r>
          <rPr>
            <b/>
            <sz val="9"/>
            <color indexed="81"/>
            <rFont val="Tahoma"/>
            <family val="2"/>
          </rPr>
          <t>Author:</t>
        </r>
        <r>
          <rPr>
            <sz val="9"/>
            <color indexed="81"/>
            <rFont val="Tahoma"/>
            <family val="2"/>
          </rPr>
          <t xml:space="preserve">
Applies to total cyanide.  If water body has much complexed cyanide, work with Ecy on a site-specific basis.</t>
        </r>
      </text>
    </comment>
    <comment ref="F15" authorId="0" shapeId="0" xr:uid="{E60796CE-9F0C-404F-BC87-75FE72F4119D}">
      <text>
        <r>
          <rPr>
            <b/>
            <sz val="9"/>
            <color indexed="81"/>
            <rFont val="Tahoma"/>
            <family val="2"/>
          </rPr>
          <t>Author:</t>
        </r>
        <r>
          <rPr>
            <sz val="9"/>
            <color indexed="81"/>
            <rFont val="Tahoma"/>
            <family val="2"/>
          </rPr>
          <t xml:space="preserve">
Applies to total cyanide.  If water body has much complexed cyanide, work with Ecy on a site-specific basis.</t>
        </r>
      </text>
    </comment>
    <comment ref="G15" authorId="0" shapeId="0" xr:uid="{2EA3DC04-1436-454B-8776-46D229A70DC4}">
      <text>
        <r>
          <rPr>
            <b/>
            <sz val="9"/>
            <color indexed="81"/>
            <rFont val="Tahoma"/>
            <family val="2"/>
          </rPr>
          <t>Author:</t>
        </r>
        <r>
          <rPr>
            <sz val="9"/>
            <color indexed="81"/>
            <rFont val="Tahoma"/>
            <family val="2"/>
          </rPr>
          <t xml:space="preserve">
Applies to total cyanide.  If water body has much complexed cyanide, work with Ecy on a site-specific basis.</t>
        </r>
      </text>
    </comment>
    <comment ref="F24" authorId="0" shapeId="0" xr:uid="{00000000-0006-0000-0D00-000002000000}">
      <text>
        <r>
          <rPr>
            <b/>
            <sz val="9"/>
            <color indexed="81"/>
            <rFont val="Tahoma"/>
            <family val="2"/>
          </rPr>
          <t>Author:</t>
        </r>
        <r>
          <rPr>
            <sz val="9"/>
            <color indexed="81"/>
            <rFont val="Tahoma"/>
            <family val="2"/>
          </rPr>
          <t xml:space="preserve">
Not withdrawn by EPA.</t>
        </r>
      </text>
    </comment>
    <comment ref="F36" authorId="0" shapeId="0" xr:uid="{D5886AD4-5EE9-45AE-9FC8-13EDC29350ED}">
      <text>
        <r>
          <rPr>
            <b/>
            <sz val="9"/>
            <color indexed="81"/>
            <rFont val="Tahoma"/>
            <family val="2"/>
          </rPr>
          <t>Author:</t>
        </r>
        <r>
          <rPr>
            <sz val="9"/>
            <color indexed="81"/>
            <rFont val="Tahoma"/>
            <family val="2"/>
          </rPr>
          <t xml:space="preserve">
No value is listed here because the units are mg/kg fish tissue, not ug/L water.</t>
        </r>
      </text>
    </comment>
    <comment ref="G36" authorId="0" shapeId="0" xr:uid="{8ABE2BB4-071B-4467-9419-8CCE6A3875A1}">
      <text>
        <r>
          <rPr>
            <b/>
            <sz val="9"/>
            <color indexed="81"/>
            <rFont val="Tahoma"/>
            <family val="2"/>
          </rPr>
          <t>Author:</t>
        </r>
        <r>
          <rPr>
            <sz val="9"/>
            <color indexed="81"/>
            <rFont val="Tahoma"/>
            <family val="2"/>
          </rPr>
          <t xml:space="preserve">
No value is listed here because the units are mg/kg fish tissue, not ug/L water.</t>
        </r>
      </text>
    </comment>
    <comment ref="D41" authorId="0" shapeId="0" xr:uid="{F75349F1-795B-4BC6-87CE-C433D0330186}">
      <text>
        <r>
          <rPr>
            <b/>
            <sz val="9"/>
            <color indexed="81"/>
            <rFont val="Tahoma"/>
            <family val="2"/>
          </rPr>
          <t>Author:</t>
        </r>
        <r>
          <rPr>
            <sz val="9"/>
            <color indexed="81"/>
            <rFont val="Tahoma"/>
            <family val="2"/>
          </rPr>
          <t xml:space="preserve">
Acute value because chronic not available</t>
        </r>
      </text>
    </comment>
    <comment ref="F87" authorId="0" shapeId="0" xr:uid="{00000000-0006-0000-0D00-000003000000}">
      <text>
        <r>
          <rPr>
            <b/>
            <sz val="9"/>
            <color indexed="81"/>
            <rFont val="Tahoma"/>
            <family val="2"/>
          </rPr>
          <t>Author:</t>
        </r>
        <r>
          <rPr>
            <sz val="9"/>
            <color indexed="81"/>
            <rFont val="Tahoma"/>
            <family val="2"/>
          </rPr>
          <t xml:space="preserve">
Not withdrawn by EPA.</t>
        </r>
      </text>
    </comment>
    <comment ref="C138" authorId="0" shapeId="0" xr:uid="{00000000-0006-0000-0D00-000004000000}">
      <text>
        <r>
          <rPr>
            <b/>
            <sz val="9"/>
            <color indexed="81"/>
            <rFont val="Tahoma"/>
            <family val="2"/>
          </rPr>
          <t>Author:</t>
        </r>
        <r>
          <rPr>
            <sz val="9"/>
            <color indexed="81"/>
            <rFont val="Tahoma"/>
            <family val="2"/>
          </rPr>
          <t xml:space="preserve">
For pH 7.8</t>
        </r>
      </text>
    </comment>
    <comment ref="D138" authorId="0" shapeId="0" xr:uid="{00000000-0006-0000-0D00-000005000000}">
      <text>
        <r>
          <rPr>
            <b/>
            <sz val="9"/>
            <color indexed="81"/>
            <rFont val="Tahoma"/>
            <family val="2"/>
          </rPr>
          <t>Author:</t>
        </r>
        <r>
          <rPr>
            <sz val="9"/>
            <color indexed="81"/>
            <rFont val="Tahoma"/>
            <family val="2"/>
          </rPr>
          <t xml:space="preserve">
For pH 7.8</t>
        </r>
      </text>
    </comment>
    <comment ref="H152" authorId="0" shapeId="0" xr:uid="{00000000-0006-0000-0D00-000006000000}">
      <text>
        <r>
          <rPr>
            <b/>
            <sz val="9"/>
            <color indexed="81"/>
            <rFont val="Tahoma"/>
            <family val="2"/>
          </rPr>
          <t>Author:</t>
        </r>
        <r>
          <rPr>
            <sz val="9"/>
            <color indexed="81"/>
            <rFont val="Tahoma"/>
            <family val="2"/>
          </rPr>
          <t xml:space="preserve">
Implementation Memo 23</t>
        </r>
      </text>
    </comment>
    <comment ref="H192" authorId="0" shapeId="0" xr:uid="{00000000-0006-0000-0D00-000007000000}">
      <text>
        <r>
          <rPr>
            <b/>
            <sz val="9"/>
            <color indexed="81"/>
            <rFont val="Tahoma"/>
            <family val="2"/>
          </rPr>
          <t>Author:</t>
        </r>
        <r>
          <rPr>
            <sz val="9"/>
            <color indexed="81"/>
            <rFont val="Tahoma"/>
            <family val="2"/>
          </rPr>
          <t xml:space="preserve">
Implementation Memo 23</t>
        </r>
      </text>
    </comment>
    <comment ref="H214" authorId="0" shapeId="0" xr:uid="{00000000-0006-0000-0D00-000008000000}">
      <text>
        <r>
          <rPr>
            <b/>
            <sz val="9"/>
            <color indexed="81"/>
            <rFont val="Tahoma"/>
            <family val="2"/>
          </rPr>
          <t>Author:</t>
        </r>
        <r>
          <rPr>
            <sz val="9"/>
            <color indexed="81"/>
            <rFont val="Tahoma"/>
            <family val="2"/>
          </rPr>
          <t xml:space="preserve">
Implementation Memo 23</t>
        </r>
      </text>
    </comment>
    <comment ref="H228" authorId="0" shapeId="0" xr:uid="{00000000-0006-0000-0D00-000009000000}">
      <text>
        <r>
          <rPr>
            <b/>
            <sz val="9"/>
            <color indexed="81"/>
            <rFont val="Tahoma"/>
            <family val="2"/>
          </rPr>
          <t>Author:</t>
        </r>
        <r>
          <rPr>
            <sz val="9"/>
            <color indexed="81"/>
            <rFont val="Tahoma"/>
            <family val="2"/>
          </rPr>
          <t xml:space="preserve">
Implementation Memo 23</t>
        </r>
      </text>
    </comment>
    <comment ref="H233" authorId="0" shapeId="0" xr:uid="{D0E02355-2655-4628-BC32-2F12F09F69B2}">
      <text>
        <r>
          <rPr>
            <b/>
            <sz val="9"/>
            <color indexed="81"/>
            <rFont val="Tahoma"/>
            <family val="2"/>
          </rPr>
          <t>Author:</t>
        </r>
        <r>
          <rPr>
            <sz val="9"/>
            <color indexed="81"/>
            <rFont val="Tahoma"/>
            <family val="2"/>
          </rPr>
          <t xml:space="preserve">
Ecology (2023) PFAS guidance Table 6</t>
        </r>
      </text>
    </comment>
    <comment ref="H234" authorId="0" shapeId="0" xr:uid="{00CAD704-6757-4AFA-837E-47AB9AF8D700}">
      <text>
        <r>
          <rPr>
            <b/>
            <sz val="9"/>
            <color indexed="81"/>
            <rFont val="Tahoma"/>
            <family val="2"/>
          </rPr>
          <t>Author:</t>
        </r>
        <r>
          <rPr>
            <sz val="9"/>
            <color indexed="81"/>
            <rFont val="Tahoma"/>
            <family val="2"/>
          </rPr>
          <t xml:space="preserve">
Ecology (2023) PFAS guidance Table 6</t>
        </r>
      </text>
    </comment>
    <comment ref="H237" authorId="0" shapeId="0" xr:uid="{6C4ED447-6781-4E75-912F-70B8235FF3DA}">
      <text>
        <r>
          <rPr>
            <b/>
            <sz val="9"/>
            <color indexed="81"/>
            <rFont val="Tahoma"/>
            <family val="2"/>
          </rPr>
          <t>Author:</t>
        </r>
        <r>
          <rPr>
            <sz val="9"/>
            <color indexed="81"/>
            <rFont val="Tahoma"/>
            <family val="2"/>
          </rPr>
          <t xml:space="preserve">
Ecology (2023) PFAS guidance Table 6</t>
        </r>
      </text>
    </comment>
    <comment ref="C238" authorId="0" shapeId="0" xr:uid="{B53054B7-CE65-4267-9FD2-A5F063FE9A1E}">
      <text>
        <r>
          <rPr>
            <b/>
            <sz val="9"/>
            <color indexed="81"/>
            <rFont val="Tahoma"/>
            <family val="2"/>
          </rPr>
          <t>Author:</t>
        </r>
        <r>
          <rPr>
            <sz val="9"/>
            <color indexed="81"/>
            <rFont val="Tahoma"/>
            <family val="2"/>
          </rPr>
          <t xml:space="preserve">
Acute value because chronic not available</t>
        </r>
      </text>
    </comment>
    <comment ref="H238" authorId="0" shapeId="0" xr:uid="{BB39514E-9B2E-4DE3-A034-11A8D31BA35C}">
      <text>
        <r>
          <rPr>
            <b/>
            <sz val="9"/>
            <color indexed="81"/>
            <rFont val="Tahoma"/>
            <family val="2"/>
          </rPr>
          <t>Author:</t>
        </r>
        <r>
          <rPr>
            <sz val="9"/>
            <color indexed="81"/>
            <rFont val="Tahoma"/>
            <family val="2"/>
          </rPr>
          <t xml:space="preserve">
Ecology (2023) PFAS guidance Table 6</t>
        </r>
      </text>
    </comment>
    <comment ref="C239" authorId="0" shapeId="0" xr:uid="{D5C2BF28-B105-42EE-B823-84AEC299D6CB}">
      <text>
        <r>
          <rPr>
            <b/>
            <sz val="9"/>
            <color indexed="81"/>
            <rFont val="Tahoma"/>
            <family val="2"/>
          </rPr>
          <t>Author:</t>
        </r>
        <r>
          <rPr>
            <sz val="9"/>
            <color indexed="81"/>
            <rFont val="Tahoma"/>
            <family val="2"/>
          </rPr>
          <t xml:space="preserve">
Acute value because chronic not available</t>
        </r>
      </text>
    </comment>
    <comment ref="H239" authorId="0" shapeId="0" xr:uid="{FF1CECD6-0D5E-45B1-BA5B-67C4D0DB0290}">
      <text>
        <r>
          <rPr>
            <b/>
            <sz val="9"/>
            <color indexed="81"/>
            <rFont val="Tahoma"/>
            <family val="2"/>
          </rPr>
          <t>Author:</t>
        </r>
        <r>
          <rPr>
            <sz val="9"/>
            <color indexed="81"/>
            <rFont val="Tahoma"/>
            <family val="2"/>
          </rPr>
          <t xml:space="preserve">
Ecology (2023) PFAS guidance Table 6</t>
        </r>
      </text>
    </comment>
    <comment ref="E241" authorId="0" shapeId="0" xr:uid="{00000000-0006-0000-0D00-00000A000000}">
      <text>
        <r>
          <rPr>
            <b/>
            <sz val="9"/>
            <color indexed="81"/>
            <rFont val="Tahoma"/>
            <family val="2"/>
          </rPr>
          <t>Author:</t>
        </r>
        <r>
          <rPr>
            <sz val="9"/>
            <color indexed="81"/>
            <rFont val="Tahoma"/>
            <family val="2"/>
          </rPr>
          <t xml:space="preserve">
Method A
[WAC 173-340-730(3)(b)(iii)(C)]</t>
        </r>
      </text>
    </comment>
    <comment ref="H241" authorId="0" shapeId="0" xr:uid="{00000000-0006-0000-0D00-00000B000000}">
      <text>
        <r>
          <rPr>
            <b/>
            <sz val="9"/>
            <color indexed="81"/>
            <rFont val="Tahoma"/>
            <family val="2"/>
          </rPr>
          <t>Author:</t>
        </r>
        <r>
          <rPr>
            <sz val="9"/>
            <color indexed="81"/>
            <rFont val="Tahoma"/>
            <family val="2"/>
          </rPr>
          <t xml:space="preserve">
Implementation memo 23</t>
        </r>
      </text>
    </comment>
    <comment ref="E242" authorId="0" shapeId="0" xr:uid="{00000000-0006-0000-0D00-00000C000000}">
      <text>
        <r>
          <rPr>
            <b/>
            <sz val="9"/>
            <color indexed="81"/>
            <rFont val="Tahoma"/>
            <family val="2"/>
          </rPr>
          <t>Author:</t>
        </r>
        <r>
          <rPr>
            <sz val="9"/>
            <color indexed="81"/>
            <rFont val="Tahoma"/>
            <family val="2"/>
          </rPr>
          <t xml:space="preserve">
Method A
[WAC 173-340-730(3)(b)(iii)(C)]</t>
        </r>
      </text>
    </comment>
    <comment ref="H242" authorId="0" shapeId="0" xr:uid="{00000000-0006-0000-0D00-00000D000000}">
      <text>
        <r>
          <rPr>
            <b/>
            <sz val="9"/>
            <color indexed="81"/>
            <rFont val="Tahoma"/>
            <family val="2"/>
          </rPr>
          <t>Author:</t>
        </r>
        <r>
          <rPr>
            <sz val="9"/>
            <color indexed="81"/>
            <rFont val="Tahoma"/>
            <family val="2"/>
          </rPr>
          <t xml:space="preserve">
Implementation memo 23</t>
        </r>
      </text>
    </comment>
    <comment ref="E243" authorId="0" shapeId="0" xr:uid="{00000000-0006-0000-0D00-00000E000000}">
      <text>
        <r>
          <rPr>
            <b/>
            <sz val="9"/>
            <color indexed="81"/>
            <rFont val="Tahoma"/>
            <family val="2"/>
          </rPr>
          <t>Author:</t>
        </r>
        <r>
          <rPr>
            <sz val="9"/>
            <color indexed="81"/>
            <rFont val="Tahoma"/>
            <family val="2"/>
          </rPr>
          <t xml:space="preserve">
Method A
[WAC 173-340-730(3)(b)(iii)(C)]</t>
        </r>
      </text>
    </comment>
    <comment ref="H243" authorId="0" shapeId="0" xr:uid="{00000000-0006-0000-0D00-00000F000000}">
      <text>
        <r>
          <rPr>
            <b/>
            <sz val="9"/>
            <color indexed="81"/>
            <rFont val="Tahoma"/>
            <family val="2"/>
          </rPr>
          <t>Author:</t>
        </r>
        <r>
          <rPr>
            <sz val="9"/>
            <color indexed="81"/>
            <rFont val="Tahoma"/>
            <family val="2"/>
          </rPr>
          <t xml:space="preserve">
Implementation memo 23</t>
        </r>
      </text>
    </comment>
    <comment ref="E244" authorId="0" shapeId="0" xr:uid="{00000000-0006-0000-0D00-000010000000}">
      <text>
        <r>
          <rPr>
            <b/>
            <sz val="9"/>
            <color indexed="81"/>
            <rFont val="Tahoma"/>
            <family val="2"/>
          </rPr>
          <t>Author:</t>
        </r>
        <r>
          <rPr>
            <sz val="9"/>
            <color indexed="81"/>
            <rFont val="Tahoma"/>
            <family val="2"/>
          </rPr>
          <t xml:space="preserve">
Method A
[WAC 173-340-730(3)(b)(iii)(C)]</t>
        </r>
      </text>
    </comment>
    <comment ref="H244" authorId="0" shapeId="0" xr:uid="{00000000-0006-0000-0D00-000011000000}">
      <text>
        <r>
          <rPr>
            <b/>
            <sz val="9"/>
            <color indexed="81"/>
            <rFont val="Tahoma"/>
            <family val="2"/>
          </rPr>
          <t>Author:</t>
        </r>
        <r>
          <rPr>
            <sz val="9"/>
            <color indexed="81"/>
            <rFont val="Tahoma"/>
            <family val="2"/>
          </rPr>
          <t xml:space="preserve">
Implementation memo 23</t>
        </r>
      </text>
    </comment>
    <comment ref="E245" authorId="0" shapeId="0" xr:uid="{00000000-0006-0000-0D00-000012000000}">
      <text>
        <r>
          <rPr>
            <b/>
            <sz val="9"/>
            <color indexed="81"/>
            <rFont val="Tahoma"/>
            <family val="2"/>
          </rPr>
          <t>Author:</t>
        </r>
        <r>
          <rPr>
            <sz val="9"/>
            <color indexed="81"/>
            <rFont val="Tahoma"/>
            <family val="2"/>
          </rPr>
          <t xml:space="preserve">
Method A
[WAC 173-340-730(3)(b)(iii)(C)]</t>
        </r>
      </text>
    </comment>
    <comment ref="E246" authorId="0" shapeId="0" xr:uid="{00000000-0006-0000-0D00-000013000000}">
      <text>
        <r>
          <rPr>
            <b/>
            <sz val="9"/>
            <color indexed="81"/>
            <rFont val="Tahoma"/>
            <family val="2"/>
          </rPr>
          <t>Author:</t>
        </r>
        <r>
          <rPr>
            <sz val="9"/>
            <color indexed="81"/>
            <rFont val="Tahoma"/>
            <family val="2"/>
          </rPr>
          <t xml:space="preserve">
Method A
[WAC 173-340-730(3)(b)(iii)(C)]</t>
        </r>
      </text>
    </comment>
    <comment ref="H246" authorId="0" shapeId="0" xr:uid="{00000000-0006-0000-0D00-000014000000}">
      <text>
        <r>
          <rPr>
            <b/>
            <sz val="9"/>
            <color indexed="81"/>
            <rFont val="Tahoma"/>
            <family val="2"/>
          </rPr>
          <t>Author:</t>
        </r>
        <r>
          <rPr>
            <sz val="9"/>
            <color indexed="81"/>
            <rFont val="Tahoma"/>
            <family val="2"/>
          </rPr>
          <t xml:space="preserve">
Implementation memo 23</t>
        </r>
      </text>
    </comment>
    <comment ref="C248" authorId="0" shapeId="0" xr:uid="{00000000-0006-0000-0D00-000015000000}">
      <text>
        <r>
          <rPr>
            <b/>
            <sz val="9"/>
            <color indexed="81"/>
            <rFont val="Tahoma"/>
            <family val="2"/>
          </rPr>
          <t>Author:</t>
        </r>
        <r>
          <rPr>
            <sz val="9"/>
            <color indexed="81"/>
            <rFont val="Tahoma"/>
            <family val="2"/>
          </rPr>
          <t xml:space="preserve">
Applies to sum of aldrin and dieldrin</t>
        </r>
      </text>
    </comment>
    <comment ref="D248" authorId="0" shapeId="0" xr:uid="{445F1A1B-2AF4-4D19-9C61-3EA942074DE5}">
      <text>
        <r>
          <rPr>
            <b/>
            <sz val="9"/>
            <color indexed="81"/>
            <rFont val="Tahoma"/>
            <family val="2"/>
          </rPr>
          <t>Author:</t>
        </r>
        <r>
          <rPr>
            <sz val="9"/>
            <color indexed="81"/>
            <rFont val="Tahoma"/>
            <family val="2"/>
          </rPr>
          <t xml:space="preserve">
Acute value because chronic isn't available</t>
        </r>
      </text>
    </comment>
    <comment ref="C252" authorId="0" shapeId="0" xr:uid="{600B59EA-FAFC-4509-A28A-09CF92FFF5EA}">
      <text>
        <r>
          <rPr>
            <b/>
            <sz val="9"/>
            <color indexed="81"/>
            <rFont val="Tahoma"/>
            <family val="2"/>
          </rPr>
          <t>Author:</t>
        </r>
        <r>
          <rPr>
            <sz val="9"/>
            <color indexed="81"/>
            <rFont val="Tahoma"/>
            <family val="2"/>
          </rPr>
          <t xml:space="preserve">
Acute value because chronic not available</t>
        </r>
      </text>
    </comment>
    <comment ref="D252" authorId="0" shapeId="0" xr:uid="{DEF44F61-6004-4DCF-AD9A-192F8B4B4040}">
      <text>
        <r>
          <rPr>
            <b/>
            <sz val="9"/>
            <color indexed="81"/>
            <rFont val="Tahoma"/>
            <family val="2"/>
          </rPr>
          <t>Author:</t>
        </r>
        <r>
          <rPr>
            <sz val="9"/>
            <color indexed="81"/>
            <rFont val="Tahoma"/>
            <family val="2"/>
          </rPr>
          <t xml:space="preserve">
Acute value because no chronic value available</t>
        </r>
      </text>
    </comment>
    <comment ref="C264" authorId="0" shapeId="0" xr:uid="{00000000-0006-0000-0D00-000016000000}">
      <text>
        <r>
          <rPr>
            <b/>
            <sz val="9"/>
            <color indexed="81"/>
            <rFont val="Tahoma"/>
            <family val="2"/>
          </rPr>
          <t>Author:</t>
        </r>
        <r>
          <rPr>
            <sz val="9"/>
            <color indexed="81"/>
            <rFont val="Tahoma"/>
            <family val="2"/>
          </rPr>
          <t xml:space="preserve">
Applies to sum of aldrin and dieldrin</t>
        </r>
      </text>
    </comment>
    <comment ref="D273" authorId="0" shapeId="0" xr:uid="{00000000-0006-0000-0D00-000017000000}">
      <text>
        <r>
          <rPr>
            <b/>
            <sz val="9"/>
            <color indexed="81"/>
            <rFont val="Tahoma"/>
            <family val="2"/>
          </rPr>
          <t>Author:</t>
        </r>
        <r>
          <rPr>
            <sz val="9"/>
            <color indexed="81"/>
            <rFont val="Tahoma"/>
            <family val="2"/>
          </rPr>
          <t xml:space="preserve">
From heptachlor epoxide</t>
        </r>
      </text>
    </comment>
    <comment ref="C275" authorId="0" shapeId="0" xr:uid="{00000000-0006-0000-0D00-000018000000}">
      <text>
        <r>
          <rPr>
            <b/>
            <sz val="9"/>
            <color indexed="81"/>
            <rFont val="Tahoma"/>
            <family val="2"/>
          </rPr>
          <t>Author:</t>
        </r>
        <r>
          <rPr>
            <sz val="9"/>
            <color indexed="81"/>
            <rFont val="Tahoma"/>
            <family val="2"/>
          </rPr>
          <t xml:space="preserve">
Acute value </t>
        </r>
      </text>
    </comment>
    <comment ref="D275" authorId="0" shapeId="0" xr:uid="{00000000-0006-0000-0D00-000019000000}">
      <text>
        <r>
          <rPr>
            <b/>
            <sz val="9"/>
            <color indexed="81"/>
            <rFont val="Tahoma"/>
            <family val="2"/>
          </rPr>
          <t>Author:</t>
        </r>
        <r>
          <rPr>
            <sz val="9"/>
            <color indexed="81"/>
            <rFont val="Tahoma"/>
            <family val="2"/>
          </rPr>
          <t xml:space="preserve">
Acute value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7" authorId="0" shapeId="0" xr:uid="{00000000-0006-0000-0E00-000001000000}">
      <text>
        <r>
          <rPr>
            <b/>
            <sz val="9"/>
            <color indexed="81"/>
            <rFont val="Tahoma"/>
            <family val="2"/>
          </rPr>
          <t>Author:</t>
        </r>
        <r>
          <rPr>
            <sz val="9"/>
            <color indexed="81"/>
            <rFont val="Tahoma"/>
            <family val="2"/>
          </rPr>
          <t xml:space="preserve">
Uses oral RfD of 0.0005 mg/kg-day for cadmium in water.</t>
        </r>
      </text>
    </comment>
    <comment ref="H30" authorId="0" shapeId="0" xr:uid="{00000000-0006-0000-0E00-000002000000}">
      <text>
        <r>
          <rPr>
            <b/>
            <sz val="9"/>
            <color indexed="81"/>
            <rFont val="Tahoma"/>
            <family val="2"/>
          </rPr>
          <t>Author:</t>
        </r>
        <r>
          <rPr>
            <sz val="9"/>
            <color indexed="81"/>
            <rFont val="Tahoma"/>
            <family val="2"/>
          </rPr>
          <t xml:space="preserve">
Hand-entered from CLARC due to mutagenic mode of action</t>
        </r>
      </text>
    </comment>
    <comment ref="J30" authorId="0" shapeId="0" xr:uid="{00000000-0006-0000-0E00-000003000000}">
      <text>
        <r>
          <rPr>
            <b/>
            <sz val="9"/>
            <color indexed="81"/>
            <rFont val="Tahoma"/>
            <family val="2"/>
          </rPr>
          <t>Author:</t>
        </r>
        <r>
          <rPr>
            <sz val="9"/>
            <color indexed="81"/>
            <rFont val="Tahoma"/>
            <family val="2"/>
          </rPr>
          <t xml:space="preserve">
Calculated on SW-MMA page due to mutagenic mode of action</t>
        </r>
      </text>
    </comment>
    <comment ref="C61" authorId="0" shapeId="0" xr:uid="{C2244510-29C3-4F12-8361-EDB9BB088260}">
      <text>
        <r>
          <rPr>
            <b/>
            <sz val="9"/>
            <color indexed="81"/>
            <rFont val="Tahoma"/>
            <family val="2"/>
          </rPr>
          <t>Author:</t>
        </r>
        <r>
          <rPr>
            <sz val="9"/>
            <color indexed="81"/>
            <rFont val="Tahoma"/>
            <family val="2"/>
          </rPr>
          <t xml:space="preserve">
Equation values are provided for cPAH TEQ rather than individual cPAHs.</t>
        </r>
      </text>
    </comment>
    <comment ref="D61" authorId="0" shapeId="0" xr:uid="{65967DA1-35CB-45E0-B891-2F2460DA3561}">
      <text>
        <r>
          <rPr>
            <b/>
            <sz val="9"/>
            <color indexed="81"/>
            <rFont val="Tahoma"/>
            <family val="2"/>
          </rPr>
          <t>Author:</t>
        </r>
        <r>
          <rPr>
            <sz val="9"/>
            <color indexed="81"/>
            <rFont val="Tahoma"/>
            <family val="2"/>
          </rPr>
          <t xml:space="preserve">
Equation values are provided for cPAH TEQ rather than individual cPAHs.</t>
        </r>
      </text>
    </comment>
    <comment ref="H77" authorId="0" shapeId="0" xr:uid="{DA9D7230-CD93-4039-B7DE-D95041F6577B}">
      <text>
        <r>
          <rPr>
            <b/>
            <sz val="9"/>
            <color indexed="81"/>
            <rFont val="Tahoma"/>
            <family val="2"/>
          </rPr>
          <t>Author:</t>
        </r>
        <r>
          <rPr>
            <sz val="9"/>
            <color indexed="81"/>
            <rFont val="Tahoma"/>
            <family val="2"/>
          </rPr>
          <t xml:space="preserve">
Hand-entered from CLARC due to mutagenic mode of action </t>
        </r>
      </text>
    </comment>
    <comment ref="J77" authorId="0" shapeId="0" xr:uid="{CD92906A-7081-42ED-AB94-95C137EA7ACE}">
      <text>
        <r>
          <rPr>
            <b/>
            <sz val="9"/>
            <color indexed="81"/>
            <rFont val="Tahoma"/>
            <family val="2"/>
          </rPr>
          <t>Author:</t>
        </r>
        <r>
          <rPr>
            <sz val="9"/>
            <color indexed="81"/>
            <rFont val="Tahoma"/>
            <family val="2"/>
          </rPr>
          <t xml:space="preserve">
Calculated on SW-MMA page due to mutagenic mode of action</t>
        </r>
      </text>
    </comment>
    <comment ref="H81" authorId="0" shapeId="0" xr:uid="{00000000-0006-0000-0E00-000006000000}">
      <text>
        <r>
          <rPr>
            <b/>
            <sz val="9"/>
            <color indexed="81"/>
            <rFont val="Tahoma"/>
            <family val="2"/>
          </rPr>
          <t>Author:</t>
        </r>
        <r>
          <rPr>
            <sz val="9"/>
            <color indexed="81"/>
            <rFont val="Tahoma"/>
            <family val="2"/>
          </rPr>
          <t xml:space="preserve">
Hand-entered from CLARC due to mutagenic mode of action</t>
        </r>
      </text>
    </comment>
    <comment ref="J81" authorId="0" shapeId="0" xr:uid="{00000000-0006-0000-0E00-000007000000}">
      <text>
        <r>
          <rPr>
            <b/>
            <sz val="9"/>
            <color indexed="81"/>
            <rFont val="Tahoma"/>
            <family val="2"/>
          </rPr>
          <t>Author:</t>
        </r>
        <r>
          <rPr>
            <sz val="9"/>
            <color indexed="81"/>
            <rFont val="Tahoma"/>
            <family val="2"/>
          </rPr>
          <t xml:space="preserve">
Calculated on SW-MMA page due to mutagenic mode of action</t>
        </r>
      </text>
    </comment>
    <comment ref="H135" authorId="0" shapeId="0" xr:uid="{00000000-0006-0000-0E00-000008000000}">
      <text>
        <r>
          <rPr>
            <b/>
            <sz val="9"/>
            <color indexed="81"/>
            <rFont val="Tahoma"/>
            <family val="2"/>
          </rPr>
          <t>Author:</t>
        </r>
        <r>
          <rPr>
            <sz val="9"/>
            <color indexed="81"/>
            <rFont val="Tahoma"/>
            <family val="2"/>
          </rPr>
          <t xml:space="preserve">
Hand-entered from CLARC due to mutagenic mode of action</t>
        </r>
      </text>
    </comment>
    <comment ref="J135" authorId="0" shapeId="0" xr:uid="{00000000-0006-0000-0E00-000009000000}">
      <text>
        <r>
          <rPr>
            <b/>
            <sz val="9"/>
            <color indexed="81"/>
            <rFont val="Tahoma"/>
            <family val="2"/>
          </rPr>
          <t>Author:</t>
        </r>
        <r>
          <rPr>
            <sz val="9"/>
            <color indexed="81"/>
            <rFont val="Tahoma"/>
            <family val="2"/>
          </rPr>
          <t xml:space="preserve">
Calculated on SW-MMA page due to mutagenic mode of action</t>
        </r>
      </text>
    </comment>
    <comment ref="H173" authorId="0" shapeId="0" xr:uid="{00000000-0006-0000-0E00-00000A000000}">
      <text>
        <r>
          <rPr>
            <b/>
            <sz val="9"/>
            <color indexed="81"/>
            <rFont val="Tahoma"/>
            <family val="2"/>
          </rPr>
          <t>Author:</t>
        </r>
        <r>
          <rPr>
            <sz val="9"/>
            <color indexed="81"/>
            <rFont val="Tahoma"/>
            <family val="2"/>
          </rPr>
          <t xml:space="preserve">
Hand-entered from CLARC due to mutagenic mode of action</t>
        </r>
      </text>
    </comment>
    <comment ref="H193" authorId="0" shapeId="0" xr:uid="{00000000-0006-0000-0E00-00000B000000}">
      <text>
        <r>
          <rPr>
            <b/>
            <sz val="9"/>
            <color indexed="81"/>
            <rFont val="Tahoma"/>
            <family val="2"/>
          </rPr>
          <t>Author:</t>
        </r>
        <r>
          <rPr>
            <sz val="9"/>
            <color indexed="81"/>
            <rFont val="Tahoma"/>
            <family val="2"/>
          </rPr>
          <t xml:space="preserve">
Hand-entered from CLARC due to mutagenic mode of action</t>
        </r>
      </text>
    </comment>
    <comment ref="H196" authorId="0" shapeId="0" xr:uid="{EF7FE19C-D2AB-4CA6-BBA7-226A960F6A26}">
      <text>
        <r>
          <rPr>
            <b/>
            <sz val="9"/>
            <color indexed="81"/>
            <rFont val="Tahoma"/>
            <family val="2"/>
          </rPr>
          <t>Author:</t>
        </r>
        <r>
          <rPr>
            <sz val="9"/>
            <color indexed="81"/>
            <rFont val="Tahoma"/>
            <family val="2"/>
          </rPr>
          <t xml:space="preserve">
Hand-entered due to mutagenic mode of action</t>
        </r>
      </text>
    </comment>
    <comment ref="H206" authorId="0" shapeId="0" xr:uid="{00000000-0006-0000-0E00-00000C000000}">
      <text>
        <r>
          <rPr>
            <b/>
            <sz val="9"/>
            <color indexed="81"/>
            <rFont val="Tahoma"/>
            <family val="2"/>
          </rPr>
          <t>Author:</t>
        </r>
        <r>
          <rPr>
            <sz val="9"/>
            <color indexed="81"/>
            <rFont val="Tahoma"/>
            <family val="2"/>
          </rPr>
          <t xml:space="preserve">
Hand-entered from CLARC due to mutagenic mode of action</t>
        </r>
      </text>
    </comment>
    <comment ref="J206" authorId="0" shapeId="0" xr:uid="{00000000-0006-0000-0E00-00000D000000}">
      <text>
        <r>
          <rPr>
            <b/>
            <sz val="9"/>
            <color indexed="81"/>
            <rFont val="Tahoma"/>
            <family val="2"/>
          </rPr>
          <t>Author:</t>
        </r>
        <r>
          <rPr>
            <sz val="9"/>
            <color indexed="81"/>
            <rFont val="Tahoma"/>
            <family val="2"/>
          </rPr>
          <t xml:space="preserve">
Calculated on SW-MMA page due to mutagenic mode of action</t>
        </r>
      </text>
    </comment>
    <comment ref="H218" authorId="0" shapeId="0" xr:uid="{00000000-0006-0000-0E00-00000E000000}">
      <text>
        <r>
          <rPr>
            <b/>
            <sz val="9"/>
            <color indexed="81"/>
            <rFont val="Tahoma"/>
            <family val="2"/>
          </rPr>
          <t>Author:</t>
        </r>
        <r>
          <rPr>
            <sz val="9"/>
            <color indexed="81"/>
            <rFont val="Tahoma"/>
            <family val="2"/>
          </rPr>
          <t xml:space="preserve">
Hand-entered from CLARC due to mutagenic mode of action</t>
        </r>
      </text>
    </comment>
    <comment ref="J218" authorId="0" shapeId="0" xr:uid="{00000000-0006-0000-0E00-00000F000000}">
      <text>
        <r>
          <rPr>
            <b/>
            <sz val="9"/>
            <color indexed="81"/>
            <rFont val="Tahoma"/>
            <family val="2"/>
          </rPr>
          <t>Author:</t>
        </r>
        <r>
          <rPr>
            <sz val="9"/>
            <color indexed="81"/>
            <rFont val="Tahoma"/>
            <family val="2"/>
          </rPr>
          <t xml:space="preserve">
Hand-entered from CLARC due to mutagenic mode of action and adjusted for higher fish consumption rate in LDW</t>
        </r>
      </text>
    </comment>
    <comment ref="H221" authorId="0" shapeId="0" xr:uid="{00000000-0006-0000-0E00-000010000000}">
      <text>
        <r>
          <rPr>
            <b/>
            <sz val="9"/>
            <color indexed="81"/>
            <rFont val="Tahoma"/>
            <family val="2"/>
          </rPr>
          <t>Author:</t>
        </r>
        <r>
          <rPr>
            <sz val="9"/>
            <color indexed="81"/>
            <rFont val="Tahoma"/>
            <family val="2"/>
          </rPr>
          <t xml:space="preserve">
Hand-entered from CLARC due to mutagenic mode of action</t>
        </r>
      </text>
    </comment>
    <comment ref="G241" authorId="0" shapeId="0" xr:uid="{00000000-0006-0000-0E00-000011000000}">
      <text>
        <r>
          <rPr>
            <b/>
            <sz val="9"/>
            <color indexed="81"/>
            <rFont val="Tahoma"/>
            <family val="2"/>
          </rPr>
          <t>Author:</t>
        </r>
        <r>
          <rPr>
            <sz val="9"/>
            <color indexed="81"/>
            <rFont val="Tahoma"/>
            <family val="2"/>
          </rPr>
          <t xml:space="preserve">
Method A (benzene present).  May be replaced by a site-specific calculation using the MTCATPH spreadsheet.</t>
        </r>
      </text>
    </comment>
    <comment ref="I241" authorId="0" shapeId="0" xr:uid="{00000000-0006-0000-0E00-000012000000}">
      <text>
        <r>
          <rPr>
            <b/>
            <sz val="9"/>
            <color indexed="81"/>
            <rFont val="Tahoma"/>
            <family val="2"/>
          </rPr>
          <t>Author:</t>
        </r>
        <r>
          <rPr>
            <sz val="9"/>
            <color indexed="81"/>
            <rFont val="Tahoma"/>
            <family val="2"/>
          </rPr>
          <t xml:space="preserve">
Method A
[WAC 173-340-730(3)(b)(iii)(C)]</t>
        </r>
      </text>
    </comment>
    <comment ref="G242" authorId="0" shapeId="0" xr:uid="{00000000-0006-0000-0E00-000013000000}">
      <text>
        <r>
          <rPr>
            <b/>
            <sz val="9"/>
            <color indexed="81"/>
            <rFont val="Tahoma"/>
            <family val="2"/>
          </rPr>
          <t>Author:</t>
        </r>
        <r>
          <rPr>
            <sz val="9"/>
            <color indexed="81"/>
            <rFont val="Tahoma"/>
            <family val="2"/>
          </rPr>
          <t xml:space="preserve">
Method A (benzene not present).  May be replaced by a site-specific calculation using the MTCATPH spreadsheet.</t>
        </r>
      </text>
    </comment>
    <comment ref="I242" authorId="0" shapeId="0" xr:uid="{00000000-0006-0000-0E00-000014000000}">
      <text>
        <r>
          <rPr>
            <b/>
            <sz val="9"/>
            <color indexed="81"/>
            <rFont val="Tahoma"/>
            <family val="2"/>
          </rPr>
          <t>Author:</t>
        </r>
        <r>
          <rPr>
            <sz val="9"/>
            <color indexed="81"/>
            <rFont val="Tahoma"/>
            <family val="2"/>
          </rPr>
          <t xml:space="preserve">
Method A
[WAC 173-340-730(3)(b)(iii)(C)]</t>
        </r>
      </text>
    </comment>
    <comment ref="G243" authorId="0" shapeId="0" xr:uid="{00000000-0006-0000-0E00-000015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43" authorId="0" shapeId="0" xr:uid="{00000000-0006-0000-0E00-000016000000}">
      <text>
        <r>
          <rPr>
            <b/>
            <sz val="9"/>
            <color indexed="81"/>
            <rFont val="Tahoma"/>
            <family val="2"/>
          </rPr>
          <t>Author:</t>
        </r>
        <r>
          <rPr>
            <sz val="9"/>
            <color indexed="81"/>
            <rFont val="Tahoma"/>
            <family val="2"/>
          </rPr>
          <t xml:space="preserve">
Method A
[WAC 173-340-730(3)(b)(iii)(C)]</t>
        </r>
      </text>
    </comment>
    <comment ref="G244" authorId="0" shapeId="0" xr:uid="{00000000-0006-0000-0E00-000017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44" authorId="0" shapeId="0" xr:uid="{00000000-0006-0000-0E00-000018000000}">
      <text>
        <r>
          <rPr>
            <b/>
            <sz val="9"/>
            <color indexed="81"/>
            <rFont val="Tahoma"/>
            <family val="2"/>
          </rPr>
          <t>Author:</t>
        </r>
        <r>
          <rPr>
            <sz val="9"/>
            <color indexed="81"/>
            <rFont val="Tahoma"/>
            <family val="2"/>
          </rPr>
          <t xml:space="preserve">
Method A
[WAC 173-340-730(3)(b)(iii)(C)]</t>
        </r>
      </text>
    </comment>
    <comment ref="G245" authorId="0" shapeId="0" xr:uid="{00000000-0006-0000-0E00-000019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45" authorId="0" shapeId="0" xr:uid="{00000000-0006-0000-0E00-00001A000000}">
      <text>
        <r>
          <rPr>
            <b/>
            <sz val="9"/>
            <color indexed="81"/>
            <rFont val="Tahoma"/>
            <family val="2"/>
          </rPr>
          <t>Author:</t>
        </r>
        <r>
          <rPr>
            <sz val="9"/>
            <color indexed="81"/>
            <rFont val="Tahoma"/>
            <family val="2"/>
          </rPr>
          <t xml:space="preserve">
Method A
[WAC 173-340-730(3)(b)(iii)(C)]</t>
        </r>
      </text>
    </comment>
    <comment ref="G246" authorId="0" shapeId="0" xr:uid="{00000000-0006-0000-0E00-00001B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46" authorId="0" shapeId="0" xr:uid="{00000000-0006-0000-0E00-00001C000000}">
      <text>
        <r>
          <rPr>
            <b/>
            <sz val="9"/>
            <color indexed="81"/>
            <rFont val="Tahoma"/>
            <family val="2"/>
          </rPr>
          <t>Author:</t>
        </r>
        <r>
          <rPr>
            <sz val="9"/>
            <color indexed="81"/>
            <rFont val="Tahoma"/>
            <family val="2"/>
          </rPr>
          <t xml:space="preserve">
Method A
[WAC 173-340-730(3)(b)(iii)(C)]</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52119005-DE86-451F-8E51-4A355B18824F}">
      <text>
        <r>
          <rPr>
            <b/>
            <sz val="9"/>
            <color indexed="81"/>
            <rFont val="Tahoma"/>
            <family val="2"/>
          </rPr>
          <t>Author:</t>
        </r>
        <r>
          <rPr>
            <sz val="9"/>
            <color indexed="81"/>
            <rFont val="Tahoma"/>
            <family val="2"/>
          </rPr>
          <t xml:space="preserve">
For chemicals with benthic criteria expressed as OC normalized in the fourth column of SCUM Table 8-1, LAET values in the sixth column are used for partitioning calculations.  For chemicals with benthic criteria expressed as dry weight in the fourth column of SCUM Table 8-1, LAET values in the sixth column are the same. </t>
        </r>
      </text>
    </comment>
    <comment ref="J2" authorId="0" shapeId="0" xr:uid="{96B54BE9-469C-4A54-890D-9664315D7939}">
      <text>
        <r>
          <rPr>
            <b/>
            <sz val="9"/>
            <color indexed="81"/>
            <rFont val="Tahoma"/>
            <family val="2"/>
          </rPr>
          <t>Author:</t>
        </r>
        <r>
          <rPr>
            <sz val="9"/>
            <color indexed="81"/>
            <rFont val="Tahoma"/>
            <family val="2"/>
          </rPr>
          <t xml:space="preserve">
For chemicals with benthic criteria expressed as OC normalized in the fifth column of SCUM Table 8-1, 2nd LAET values in the seventh column are used for partitioning calculations.  For chemicals with benthic criteria expressed as dry weight in the fifth column of SCUM Table 8-1, 2nd LAET values in the seventh column are the same. </t>
        </r>
      </text>
    </comment>
    <comment ref="Z4" authorId="0" shapeId="0" xr:uid="{00000000-0006-0000-0400-000001000000}">
      <text>
        <r>
          <rPr>
            <b/>
            <sz val="9"/>
            <color indexed="81"/>
            <rFont val="Tahoma"/>
            <family val="2"/>
          </rPr>
          <t>Author:</t>
        </r>
        <r>
          <rPr>
            <sz val="9"/>
            <color indexed="81"/>
            <rFont val="Tahoma"/>
            <family val="2"/>
          </rPr>
          <t xml:space="preserve">
Refer to Table 1 in the supplemental information document for proper use of total Aroclors, total congeners, and TEQ</t>
        </r>
      </text>
    </comment>
    <comment ref="Z5" authorId="0" shapeId="0" xr:uid="{00000000-0006-0000-0400-000002000000}">
      <text>
        <r>
          <rPr>
            <b/>
            <sz val="9"/>
            <color indexed="81"/>
            <rFont val="Tahoma"/>
            <family val="2"/>
          </rPr>
          <t>Author:</t>
        </r>
        <r>
          <rPr>
            <sz val="9"/>
            <color indexed="81"/>
            <rFont val="Tahoma"/>
            <family val="2"/>
          </rPr>
          <t xml:space="preserve">
Refer to Table 1 in the supplemental information document for proper use of total Aroclors, total congeners, and TEQ</t>
        </r>
      </text>
    </comment>
    <comment ref="Z6" authorId="0" shapeId="0" xr:uid="{00000000-0006-0000-0400-000003000000}">
      <text>
        <r>
          <rPr>
            <b/>
            <sz val="9"/>
            <color indexed="81"/>
            <rFont val="Tahoma"/>
            <family val="2"/>
          </rPr>
          <t>Author:</t>
        </r>
        <r>
          <rPr>
            <sz val="9"/>
            <color indexed="81"/>
            <rFont val="Tahoma"/>
            <family val="2"/>
          </rPr>
          <t xml:space="preserve">
Refer to Table 1 in the supplemental information document for proper use of total Aroclors, total congeners, and TEQ</t>
        </r>
      </text>
    </comment>
    <comment ref="J107" authorId="0" shapeId="0" xr:uid="{00000000-0006-0000-0400-000004000000}">
      <text>
        <r>
          <rPr>
            <b/>
            <sz val="9"/>
            <color indexed="81"/>
            <rFont val="Tahoma"/>
            <family val="2"/>
          </rPr>
          <t>Author:</t>
        </r>
        <r>
          <rPr>
            <sz val="9"/>
            <color indexed="81"/>
            <rFont val="Tahoma"/>
            <family val="2"/>
          </rPr>
          <t xml:space="preserve">
&gt; 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77" authorId="0" shapeId="0" xr:uid="{6EEFB9C6-71D2-4AFA-A4CC-1592F3169891}">
      <text>
        <r>
          <rPr>
            <b/>
            <sz val="9"/>
            <color indexed="81"/>
            <rFont val="Tahoma"/>
            <family val="2"/>
          </rPr>
          <t>Author:</t>
        </r>
        <r>
          <rPr>
            <sz val="9"/>
            <color indexed="81"/>
            <rFont val="Tahoma"/>
            <family val="2"/>
          </rPr>
          <t xml:space="preserve">
Calculated on SedMMA page due to mutagenic mode of action</t>
        </r>
      </text>
    </comment>
    <comment ref="M77" authorId="0" shapeId="0" xr:uid="{BB5CEB61-8BA9-4628-9625-FDB7C2E2E3F5}">
      <text>
        <r>
          <rPr>
            <b/>
            <sz val="9"/>
            <color indexed="81"/>
            <rFont val="Tahoma"/>
            <family val="2"/>
          </rPr>
          <t>Author:</t>
        </r>
        <r>
          <rPr>
            <sz val="9"/>
            <color indexed="81"/>
            <rFont val="Tahoma"/>
            <family val="2"/>
          </rPr>
          <t xml:space="preserve">
Calculated on SedMMA page due to mutagenic mode of action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01" authorId="0" shapeId="0" xr:uid="{E7D68782-2BC2-492C-B410-C045D63C1148}">
      <text>
        <r>
          <rPr>
            <b/>
            <sz val="9"/>
            <color indexed="81"/>
            <rFont val="Tahoma"/>
            <family val="2"/>
          </rPr>
          <t>Author:</t>
        </r>
        <r>
          <rPr>
            <sz val="9"/>
            <color indexed="81"/>
            <rFont val="Tahoma"/>
            <family val="2"/>
          </rPr>
          <t xml:space="preserve">
King County Board of Health standard for off-site structures based on explosion risk
BOH 10.09.050
WAC 173-304-460
WAC 173-350-400
WAC 173-351-200</t>
        </r>
      </text>
    </comment>
    <comment ref="H201" authorId="0" shapeId="0" xr:uid="{F23BF0CE-7A33-448B-B783-8AD329035D9F}">
      <text>
        <r>
          <rPr>
            <b/>
            <sz val="9"/>
            <color indexed="81"/>
            <rFont val="Tahoma"/>
            <family val="2"/>
          </rPr>
          <t>Author:</t>
        </r>
        <r>
          <rPr>
            <sz val="9"/>
            <color indexed="81"/>
            <rFont val="Tahoma"/>
            <family val="2"/>
          </rPr>
          <t xml:space="preserve">
King County Board of Health standard for off-site structures based on explosion risk
BOH 10.09.050
WAC 173-304-460
WAC 173-350-400
WAC 173-351-200</t>
        </r>
      </text>
    </comment>
    <comment ref="G241" authorId="0" shapeId="0" xr:uid="{00000000-0006-0000-1300-000001000000}">
      <text>
        <r>
          <rPr>
            <b/>
            <sz val="9"/>
            <color indexed="81"/>
            <rFont val="Tahoma"/>
            <family val="2"/>
          </rPr>
          <t>Author:</t>
        </r>
        <r>
          <rPr>
            <sz val="9"/>
            <color indexed="81"/>
            <rFont val="Tahoma"/>
            <family val="2"/>
          </rPr>
          <t xml:space="preserve">
From CLARC.</t>
        </r>
      </text>
    </comment>
    <comment ref="K241" authorId="0" shapeId="0" xr:uid="{00000000-0006-0000-1300-000002000000}">
      <text>
        <r>
          <rPr>
            <b/>
            <sz val="9"/>
            <color indexed="81"/>
            <rFont val="Tahoma"/>
            <family val="2"/>
          </rPr>
          <t>Author:</t>
        </r>
        <r>
          <rPr>
            <sz val="9"/>
            <color indexed="81"/>
            <rFont val="Tahoma"/>
            <family val="2"/>
          </rPr>
          <t xml:space="preserve">
From CLARC.</t>
        </r>
      </text>
    </comment>
    <comment ref="O241" authorId="0" shapeId="0" xr:uid="{1F831BEF-5E4F-4731-A0B7-E5AC747D74DC}">
      <text>
        <r>
          <rPr>
            <b/>
            <sz val="9"/>
            <color indexed="81"/>
            <rFont val="Tahoma"/>
            <family val="2"/>
          </rPr>
          <t>Author:</t>
        </r>
        <r>
          <rPr>
            <sz val="9"/>
            <color indexed="81"/>
            <rFont val="Tahoma"/>
            <family val="2"/>
          </rPr>
          <t xml:space="preserve">
From CLARC</t>
        </r>
      </text>
    </comment>
    <comment ref="G242" authorId="0" shapeId="0" xr:uid="{00000000-0006-0000-1300-000003000000}">
      <text>
        <r>
          <rPr>
            <b/>
            <sz val="9"/>
            <color indexed="81"/>
            <rFont val="Tahoma"/>
            <family val="2"/>
          </rPr>
          <t>Author:</t>
        </r>
        <r>
          <rPr>
            <sz val="9"/>
            <color indexed="81"/>
            <rFont val="Tahoma"/>
            <family val="2"/>
          </rPr>
          <t xml:space="preserve">
From CLARC.</t>
        </r>
      </text>
    </comment>
    <comment ref="K242" authorId="0" shapeId="0" xr:uid="{00000000-0006-0000-1300-000004000000}">
      <text>
        <r>
          <rPr>
            <b/>
            <sz val="9"/>
            <color indexed="81"/>
            <rFont val="Tahoma"/>
            <family val="2"/>
          </rPr>
          <t>Author:</t>
        </r>
        <r>
          <rPr>
            <sz val="9"/>
            <color indexed="81"/>
            <rFont val="Tahoma"/>
            <family val="2"/>
          </rPr>
          <t xml:space="preserve">
From CLARC.</t>
        </r>
      </text>
    </comment>
    <comment ref="O242" authorId="0" shapeId="0" xr:uid="{DCDEBBFE-8B1D-44F6-B9C0-8B5331A4518D}">
      <text>
        <r>
          <rPr>
            <b/>
            <sz val="9"/>
            <color indexed="81"/>
            <rFont val="Tahoma"/>
            <family val="2"/>
          </rPr>
          <t>Author:</t>
        </r>
        <r>
          <rPr>
            <sz val="9"/>
            <color indexed="81"/>
            <rFont val="Tahoma"/>
            <family val="2"/>
          </rPr>
          <t xml:space="preserve">
From CLARC</t>
        </r>
      </text>
    </comment>
    <comment ref="G243" authorId="0" shapeId="0" xr:uid="{08523516-D3E9-4DDF-B06E-DE7FAB45281B}">
      <text>
        <r>
          <rPr>
            <b/>
            <sz val="9"/>
            <color indexed="81"/>
            <rFont val="Tahoma"/>
            <family val="2"/>
          </rPr>
          <t>Author:</t>
        </r>
        <r>
          <rPr>
            <sz val="9"/>
            <color indexed="81"/>
            <rFont val="Tahoma"/>
            <family val="2"/>
          </rPr>
          <t xml:space="preserve">
From CLARC.</t>
        </r>
      </text>
    </comment>
    <comment ref="K243" authorId="0" shapeId="0" xr:uid="{F38F4195-3CC9-4B2A-A82E-7F155D41EF2F}">
      <text>
        <r>
          <rPr>
            <b/>
            <sz val="9"/>
            <color indexed="81"/>
            <rFont val="Tahoma"/>
            <family val="2"/>
          </rPr>
          <t>Author:</t>
        </r>
        <r>
          <rPr>
            <sz val="9"/>
            <color indexed="81"/>
            <rFont val="Tahoma"/>
            <family val="2"/>
          </rPr>
          <t xml:space="preserve">
From CLARC.</t>
        </r>
      </text>
    </comment>
    <comment ref="O243" authorId="0" shapeId="0" xr:uid="{AB9C8FE2-581D-4E27-B398-1D14A7AAE6AA}">
      <text>
        <r>
          <rPr>
            <b/>
            <sz val="9"/>
            <color indexed="81"/>
            <rFont val="Tahoma"/>
            <family val="2"/>
          </rPr>
          <t>Author:</t>
        </r>
        <r>
          <rPr>
            <sz val="9"/>
            <color indexed="81"/>
            <rFont val="Tahoma"/>
            <family val="2"/>
          </rPr>
          <t xml:space="preserve">
From CLARC</t>
        </r>
      </text>
    </comment>
    <comment ref="G244" authorId="0" shapeId="0" xr:uid="{26ED5922-C13A-4D50-A9E5-7D5FE7C14A98}">
      <text>
        <r>
          <rPr>
            <b/>
            <sz val="9"/>
            <color indexed="81"/>
            <rFont val="Tahoma"/>
            <family val="2"/>
          </rPr>
          <t>Author:</t>
        </r>
        <r>
          <rPr>
            <sz val="9"/>
            <color indexed="81"/>
            <rFont val="Tahoma"/>
            <family val="2"/>
          </rPr>
          <t xml:space="preserve">
From CLARC.</t>
        </r>
      </text>
    </comment>
    <comment ref="K244" authorId="0" shapeId="0" xr:uid="{BE4C1032-ABEB-40F2-9858-E7F9FAE01A86}">
      <text>
        <r>
          <rPr>
            <b/>
            <sz val="9"/>
            <color indexed="81"/>
            <rFont val="Tahoma"/>
            <family val="2"/>
          </rPr>
          <t>Author:</t>
        </r>
        <r>
          <rPr>
            <sz val="9"/>
            <color indexed="81"/>
            <rFont val="Tahoma"/>
            <family val="2"/>
          </rPr>
          <t xml:space="preserve">
From CLARC.</t>
        </r>
      </text>
    </comment>
    <comment ref="O244" authorId="0" shapeId="0" xr:uid="{F55C560D-8B99-4241-B590-5BF0B9D2A5FE}">
      <text>
        <r>
          <rPr>
            <b/>
            <sz val="9"/>
            <color indexed="81"/>
            <rFont val="Tahoma"/>
            <family val="2"/>
          </rPr>
          <t>Author:</t>
        </r>
        <r>
          <rPr>
            <sz val="9"/>
            <color indexed="81"/>
            <rFont val="Tahoma"/>
            <family val="2"/>
          </rPr>
          <t xml:space="preserve">
From CLARC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0" authorId="0" shapeId="0" xr:uid="{00000000-0006-0000-1400-000001000000}">
      <text>
        <r>
          <rPr>
            <b/>
            <sz val="9"/>
            <color indexed="81"/>
            <rFont val="Tahoma"/>
            <family val="2"/>
          </rPr>
          <t>Author:</t>
        </r>
        <r>
          <rPr>
            <sz val="9"/>
            <color indexed="81"/>
            <rFont val="Tahoma"/>
            <family val="2"/>
          </rPr>
          <t xml:space="preserve">
Hand-entered from CLARC due to mutagenic mode of action</t>
        </r>
      </text>
    </comment>
    <comment ref="C61" authorId="0" shapeId="0" xr:uid="{6AB671F0-6EBB-4423-856C-BF40B161115B}">
      <text>
        <r>
          <rPr>
            <b/>
            <sz val="9"/>
            <color indexed="81"/>
            <rFont val="Tahoma"/>
            <family val="2"/>
          </rPr>
          <t>Author:</t>
        </r>
        <r>
          <rPr>
            <sz val="9"/>
            <color indexed="81"/>
            <rFont val="Tahoma"/>
            <family val="2"/>
          </rPr>
          <t xml:space="preserve">
Equation values are provided for cPAH TEQ rather than individual cPAHs.</t>
        </r>
      </text>
    </comment>
    <comment ref="D61" authorId="0" shapeId="0" xr:uid="{61DD56CE-36B1-4F47-AF58-BCFB82DB066A}">
      <text>
        <r>
          <rPr>
            <b/>
            <sz val="9"/>
            <color indexed="81"/>
            <rFont val="Tahoma"/>
            <family val="2"/>
          </rPr>
          <t>Author:</t>
        </r>
        <r>
          <rPr>
            <sz val="9"/>
            <color indexed="81"/>
            <rFont val="Tahoma"/>
            <family val="2"/>
          </rPr>
          <t xml:space="preserve">
Equation values are provided for cPAH TEQ rather than individual cPAHs.</t>
        </r>
      </text>
    </comment>
    <comment ref="F77" authorId="0" shapeId="0" xr:uid="{090226AA-2D4C-4F08-B735-5459A4CFA4B9}">
      <text>
        <r>
          <rPr>
            <b/>
            <sz val="9"/>
            <color indexed="81"/>
            <rFont val="Tahoma"/>
            <family val="2"/>
          </rPr>
          <t>Author:</t>
        </r>
        <r>
          <rPr>
            <sz val="9"/>
            <color indexed="81"/>
            <rFont val="Tahoma"/>
            <family val="2"/>
          </rPr>
          <t xml:space="preserve">
Hand-entered from CLARC due to mutagenic mode of action</t>
        </r>
      </text>
    </comment>
    <comment ref="F81" authorId="0" shapeId="0" xr:uid="{00000000-0006-0000-1400-000003000000}">
      <text>
        <r>
          <rPr>
            <b/>
            <sz val="9"/>
            <color indexed="81"/>
            <rFont val="Tahoma"/>
            <family val="2"/>
          </rPr>
          <t>Author:</t>
        </r>
        <r>
          <rPr>
            <sz val="9"/>
            <color indexed="81"/>
            <rFont val="Tahoma"/>
            <family val="2"/>
          </rPr>
          <t xml:space="preserve">
Hand-entered from CLARC due to mutagenic mode of action</t>
        </r>
      </text>
    </comment>
    <comment ref="F135" authorId="0" shapeId="0" xr:uid="{00000000-0006-0000-1400-000004000000}">
      <text>
        <r>
          <rPr>
            <b/>
            <sz val="9"/>
            <color indexed="81"/>
            <rFont val="Tahoma"/>
            <family val="2"/>
          </rPr>
          <t>Author:</t>
        </r>
        <r>
          <rPr>
            <sz val="9"/>
            <color indexed="81"/>
            <rFont val="Tahoma"/>
            <family val="2"/>
          </rPr>
          <t xml:space="preserve">
Hand-entered from CLARC due to mutagenic mode of action</t>
        </r>
      </text>
    </comment>
    <comment ref="F173" authorId="0" shapeId="0" xr:uid="{00000000-0006-0000-1400-000005000000}">
      <text>
        <r>
          <rPr>
            <b/>
            <sz val="9"/>
            <color indexed="81"/>
            <rFont val="Tahoma"/>
            <family val="2"/>
          </rPr>
          <t>Author:</t>
        </r>
        <r>
          <rPr>
            <sz val="9"/>
            <color indexed="81"/>
            <rFont val="Tahoma"/>
            <family val="2"/>
          </rPr>
          <t xml:space="preserve">
Hand-entered from CLARC due to mutagenic mode of action</t>
        </r>
      </text>
    </comment>
    <comment ref="F193" authorId="0" shapeId="0" xr:uid="{00000000-0006-0000-1400-000006000000}">
      <text>
        <r>
          <rPr>
            <b/>
            <sz val="9"/>
            <color indexed="81"/>
            <rFont val="Tahoma"/>
            <family val="2"/>
          </rPr>
          <t>Author:</t>
        </r>
        <r>
          <rPr>
            <sz val="9"/>
            <color indexed="81"/>
            <rFont val="Tahoma"/>
            <family val="2"/>
          </rPr>
          <t xml:space="preserve">
Hand-entered from CLARC due to mutagenic mode of action</t>
        </r>
      </text>
    </comment>
    <comment ref="F196" authorId="0" shapeId="0" xr:uid="{F025064E-DEF0-4A7E-9BF2-8EF583800EAF}">
      <text>
        <r>
          <rPr>
            <b/>
            <sz val="9"/>
            <color indexed="81"/>
            <rFont val="Tahoma"/>
            <family val="2"/>
          </rPr>
          <t>Author:</t>
        </r>
        <r>
          <rPr>
            <sz val="9"/>
            <color indexed="81"/>
            <rFont val="Tahoma"/>
            <family val="2"/>
          </rPr>
          <t xml:space="preserve">
Hand-entered due to mutagenic mode of action</t>
        </r>
      </text>
    </comment>
    <comment ref="F206" authorId="0" shapeId="0" xr:uid="{00000000-0006-0000-1400-000007000000}">
      <text>
        <r>
          <rPr>
            <b/>
            <sz val="9"/>
            <color indexed="81"/>
            <rFont val="Tahoma"/>
            <family val="2"/>
          </rPr>
          <t>Author:</t>
        </r>
        <r>
          <rPr>
            <sz val="9"/>
            <color indexed="81"/>
            <rFont val="Tahoma"/>
            <family val="2"/>
          </rPr>
          <t xml:space="preserve">
Hand-entered from CLARC due to mutagenic mode of action</t>
        </r>
      </text>
    </comment>
    <comment ref="F218" authorId="0" shapeId="0" xr:uid="{00000000-0006-0000-1400-000008000000}">
      <text>
        <r>
          <rPr>
            <b/>
            <sz val="9"/>
            <color indexed="81"/>
            <rFont val="Tahoma"/>
            <family val="2"/>
          </rPr>
          <t>Author:</t>
        </r>
        <r>
          <rPr>
            <sz val="9"/>
            <color indexed="81"/>
            <rFont val="Tahoma"/>
            <family val="2"/>
          </rPr>
          <t xml:space="preserve">
Hand-entered from CLARC due to mutagenic mode of action</t>
        </r>
      </text>
    </comment>
    <comment ref="E241" authorId="0" shapeId="0" xr:uid="{00000000-0006-0000-1400-000009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41" authorId="0" shapeId="0" xr:uid="{00000000-0006-0000-1400-00000A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41" authorId="0" shapeId="0" xr:uid="{00000000-0006-0000-1400-00000B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E242" authorId="0" shapeId="0" xr:uid="{00000000-0006-0000-1400-00000C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42" authorId="0" shapeId="0" xr:uid="{00000000-0006-0000-1400-00000D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42" authorId="0" shapeId="0" xr:uid="{00000000-0006-0000-1400-00000E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E243" authorId="0" shapeId="0" xr:uid="{00000000-0006-0000-1400-00000F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43" authorId="0" shapeId="0" xr:uid="{00000000-0006-0000-1400-000010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43" authorId="0" shapeId="0" xr:uid="{00000000-0006-0000-1400-000011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E244" authorId="0" shapeId="0" xr:uid="{00000000-0006-0000-1400-000012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44" authorId="0" shapeId="0" xr:uid="{00000000-0006-0000-1400-000013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44" authorId="0" shapeId="0" xr:uid="{00000000-0006-0000-1400-000014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4" authorId="0" shapeId="0" xr:uid="{E8D77D7A-8CF0-4DBF-938B-8AE49DBAB00B}">
      <text>
        <r>
          <rPr>
            <b/>
            <sz val="9"/>
            <color indexed="81"/>
            <rFont val="Tahoma"/>
            <family val="2"/>
          </rPr>
          <t>Author:</t>
        </r>
        <r>
          <rPr>
            <sz val="9"/>
            <color indexed="81"/>
            <rFont val="Tahoma"/>
            <family val="2"/>
          </rPr>
          <t xml:space="preserve">
Island County: 13.3
Snohomish County: 13.6</t>
        </r>
      </text>
    </comment>
    <comment ref="J218" authorId="0" shapeId="0" xr:uid="{36371758-2F16-4271-9B9E-829A21D44028}">
      <text>
        <r>
          <rPr>
            <b/>
            <sz val="9"/>
            <color indexed="81"/>
            <rFont val="Tahoma"/>
            <family val="2"/>
          </rPr>
          <t>Author:</t>
        </r>
        <r>
          <rPr>
            <sz val="9"/>
            <color indexed="81"/>
            <rFont val="Tahoma"/>
            <family val="2"/>
          </rPr>
          <t xml:space="preserve">
From Guidance for Evaluating Vapor Intrusion in Washington State
31 ug/L for worker scenario</t>
        </r>
      </text>
    </comment>
    <comment ref="I241" authorId="0" shapeId="0" xr:uid="{9C2F1D8B-DD82-4E79-8D63-F84B0FD6F7CC}">
      <text>
        <r>
          <rPr>
            <b/>
            <sz val="9"/>
            <color indexed="81"/>
            <rFont val="Tahoma"/>
            <family val="2"/>
          </rPr>
          <t>Author:</t>
        </r>
        <r>
          <rPr>
            <sz val="9"/>
            <color indexed="81"/>
            <rFont val="Tahoma"/>
            <family val="2"/>
          </rPr>
          <t xml:space="preserve">
See Table B-1 in vapor intrusion guidance</t>
        </r>
      </text>
    </comment>
    <comment ref="I242" authorId="0" shapeId="0" xr:uid="{27F59B39-223E-4EC0-BF94-9044BF631213}">
      <text>
        <r>
          <rPr>
            <b/>
            <sz val="9"/>
            <color indexed="81"/>
            <rFont val="Tahoma"/>
            <family val="2"/>
          </rPr>
          <t>Author:</t>
        </r>
        <r>
          <rPr>
            <sz val="9"/>
            <color indexed="81"/>
            <rFont val="Tahoma"/>
            <family val="2"/>
          </rPr>
          <t xml:space="preserve">
See Table B-1 in vapor intrusion guidance</t>
        </r>
      </text>
    </comment>
    <comment ref="I243" authorId="0" shapeId="0" xr:uid="{8FBFC965-3C98-4B02-B046-8EC31FB8DB8F}">
      <text>
        <r>
          <rPr>
            <b/>
            <sz val="9"/>
            <color indexed="81"/>
            <rFont val="Tahoma"/>
            <family val="2"/>
          </rPr>
          <t>Author:</t>
        </r>
        <r>
          <rPr>
            <sz val="9"/>
            <color indexed="81"/>
            <rFont val="Tahoma"/>
            <family val="2"/>
          </rPr>
          <t xml:space="preserve">
See Table B-1 in vapor intrusion guidance</t>
        </r>
      </text>
    </comment>
    <comment ref="I244" authorId="0" shapeId="0" xr:uid="{9F9B9C33-88D9-4CDB-BE75-37445BF49672}">
      <text>
        <r>
          <rPr>
            <b/>
            <sz val="9"/>
            <color indexed="81"/>
            <rFont val="Tahoma"/>
            <family val="2"/>
          </rPr>
          <t>Author:</t>
        </r>
        <r>
          <rPr>
            <sz val="9"/>
            <color indexed="81"/>
            <rFont val="Tahoma"/>
            <family val="2"/>
          </rPr>
          <t xml:space="preserve">
See Table B-1 in vapor intrusion guidance</t>
        </r>
      </text>
    </comment>
    <comment ref="I245" authorId="0" shapeId="0" xr:uid="{4D231BA9-85E0-4917-8070-850E2A0D00D2}">
      <text>
        <r>
          <rPr>
            <b/>
            <sz val="9"/>
            <color indexed="81"/>
            <rFont val="Tahoma"/>
            <family val="2"/>
          </rPr>
          <t>Author:</t>
        </r>
        <r>
          <rPr>
            <sz val="9"/>
            <color indexed="81"/>
            <rFont val="Tahoma"/>
            <family val="2"/>
          </rPr>
          <t xml:space="preserve">
See Table B-1 in vapor intrusion guidance</t>
        </r>
      </text>
    </comment>
    <comment ref="I246" authorId="0" shapeId="0" xr:uid="{AB6826DF-4BB1-4CCB-B657-0CBAF153BB3F}">
      <text>
        <r>
          <rPr>
            <b/>
            <sz val="9"/>
            <color indexed="81"/>
            <rFont val="Tahoma"/>
            <family val="2"/>
          </rPr>
          <t>Author:</t>
        </r>
        <r>
          <rPr>
            <sz val="9"/>
            <color indexed="81"/>
            <rFont val="Tahoma"/>
            <family val="2"/>
          </rPr>
          <t xml:space="preserve">
See Table B-1 in vapor intrusion guidance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 authorId="0" shapeId="0" xr:uid="{80769C96-A9C0-43C5-B4A4-7AC1F4763B69}">
      <text>
        <r>
          <rPr>
            <b/>
            <sz val="9"/>
            <color indexed="81"/>
            <rFont val="Tahoma"/>
            <family val="2"/>
          </rPr>
          <t>Author:</t>
        </r>
        <r>
          <rPr>
            <sz val="9"/>
            <color indexed="81"/>
            <rFont val="Tahoma"/>
            <family val="2"/>
          </rPr>
          <t xml:space="preserve">
Use these values if
0.5%&lt;sediment TOC&lt;3.5%.  Otherwise use dry weight values in column D.  For more details refer to Supplemental Information document.</t>
        </r>
      </text>
    </comment>
    <comment ref="F2" authorId="0" shapeId="0" xr:uid="{8603FF66-5AD4-406F-B879-619E2B8FB023}">
      <text>
        <r>
          <rPr>
            <b/>
            <sz val="9"/>
            <color indexed="81"/>
            <rFont val="Tahoma"/>
            <family val="2"/>
          </rPr>
          <t>Author:</t>
        </r>
        <r>
          <rPr>
            <sz val="9"/>
            <color indexed="81"/>
            <rFont val="Tahoma"/>
            <family val="2"/>
          </rPr>
          <t xml:space="preserve">
See the Supplemental Information document for details on partition calculations</t>
        </r>
      </text>
    </comment>
    <comment ref="H2" authorId="0" shapeId="0" xr:uid="{908A2E1A-8856-4A31-8BF8-666319097724}">
      <text>
        <r>
          <rPr>
            <b/>
            <sz val="9"/>
            <color indexed="81"/>
            <rFont val="Tahoma"/>
            <family val="2"/>
          </rPr>
          <t>Author:</t>
        </r>
        <r>
          <rPr>
            <sz val="9"/>
            <color indexed="81"/>
            <rFont val="Tahoma"/>
            <family val="2"/>
          </rPr>
          <t xml:space="preserve">
Direct contact CULs were calculated consistent with SMS except some default parameter values were replaced with site-specific values from the LDW human health risk assessment.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18" authorId="0" shapeId="0" xr:uid="{05CE89E0-6479-4167-9D7D-9D3DDCB23BBA}">
      <text>
        <r>
          <rPr>
            <b/>
            <sz val="9"/>
            <color indexed="81"/>
            <rFont val="Tahoma"/>
            <family val="2"/>
          </rPr>
          <t>Author:</t>
        </r>
        <r>
          <rPr>
            <sz val="9"/>
            <color indexed="81"/>
            <rFont val="Tahoma"/>
            <family val="2"/>
          </rPr>
          <t xml:space="preserve">
From Guidance for Evaluating Vapor Intrusion in Washington State
7.5 ug/L for worker scenario</t>
        </r>
      </text>
    </comment>
    <comment ref="F218" authorId="0" shapeId="0" xr:uid="{829964CD-C9E8-4EC2-9A73-78C9E816A1A4}">
      <text>
        <r>
          <rPr>
            <b/>
            <sz val="9"/>
            <color indexed="81"/>
            <rFont val="Tahoma"/>
            <family val="2"/>
          </rPr>
          <t>Author:</t>
        </r>
        <r>
          <rPr>
            <sz val="9"/>
            <color indexed="81"/>
            <rFont val="Tahoma"/>
            <family val="2"/>
          </rPr>
          <t xml:space="preserve">
From Guidance for Evaluating Vapor Intrusion in Washington State
250 ug/L for worker scenario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0700-000001000000}">
      <text>
        <r>
          <rPr>
            <b/>
            <sz val="9"/>
            <color indexed="81"/>
            <rFont val="Tahoma"/>
            <family val="2"/>
          </rPr>
          <t>Author:</t>
        </r>
        <r>
          <rPr>
            <sz val="9"/>
            <color indexed="81"/>
            <rFont val="Tahoma"/>
            <family val="2"/>
          </rPr>
          <t xml:space="preserve">
Gastrointestinal absorption fraction for converting applied dose to absorbed dose</t>
        </r>
      </text>
    </comment>
    <comment ref="AC2" authorId="0" shapeId="0" xr:uid="{00000000-0006-0000-0700-000002000000}">
      <text>
        <r>
          <rPr>
            <b/>
            <sz val="9"/>
            <color indexed="81"/>
            <rFont val="Tahoma"/>
            <family val="2"/>
          </rPr>
          <t>Author:</t>
        </r>
        <r>
          <rPr>
            <sz val="9"/>
            <color indexed="81"/>
            <rFont val="Tahoma"/>
            <family val="2"/>
          </rPr>
          <t xml:space="preserve">
Dermal absorption from soil</t>
        </r>
      </text>
    </comment>
    <comment ref="AD2" authorId="0" shapeId="0" xr:uid="{00000000-0006-0000-0700-000003000000}">
      <text>
        <r>
          <rPr>
            <b/>
            <sz val="9"/>
            <color indexed="81"/>
            <rFont val="Tahoma"/>
            <family val="2"/>
          </rPr>
          <t>Author:</t>
        </r>
        <r>
          <rPr>
            <sz val="9"/>
            <color indexed="81"/>
            <rFont val="Tahoma"/>
            <family val="2"/>
          </rPr>
          <t xml:space="preserve">
Relative oral bioavailability from soil compared to dosing medium in toxicity study</t>
        </r>
      </text>
    </comment>
    <comment ref="AK4" authorId="0" shapeId="0" xr:uid="{00000000-0006-0000-0700-000004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K5" authorId="0" shapeId="0" xr:uid="{00000000-0006-0000-0700-000005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K6" authorId="0" shapeId="0" xr:uid="{00000000-0006-0000-0700-000006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C8" authorId="0" shapeId="0" xr:uid="{00000000-0006-0000-0700-000007000000}">
      <text>
        <r>
          <rPr>
            <b/>
            <sz val="9"/>
            <color indexed="81"/>
            <rFont val="Tahoma"/>
            <family val="2"/>
          </rPr>
          <t>Author:</t>
        </r>
        <r>
          <rPr>
            <sz val="9"/>
            <color indexed="81"/>
            <rFont val="Tahoma"/>
            <family val="2"/>
          </rPr>
          <t xml:space="preserve">
0.001 may be used on a site-specific basis for soil with foc &gt;10%</t>
        </r>
      </text>
    </comment>
    <comment ref="AL8" authorId="0" shapeId="0" xr:uid="{E9437523-CF7D-403F-9525-E399035B3709}">
      <text>
        <r>
          <rPr>
            <b/>
            <sz val="9"/>
            <color indexed="81"/>
            <rFont val="Tahoma"/>
            <family val="2"/>
          </rPr>
          <t>Author:</t>
        </r>
        <r>
          <rPr>
            <sz val="9"/>
            <color indexed="81"/>
            <rFont val="Tahoma"/>
            <family val="2"/>
          </rPr>
          <t xml:space="preserve">
Ecology's (2010) Implementation Memo 8</t>
        </r>
      </text>
    </comment>
    <comment ref="AC9" authorId="0" shapeId="0" xr:uid="{F20A6368-5690-46B8-A6BB-FB3CD1DB0326}">
      <text>
        <r>
          <rPr>
            <b/>
            <sz val="9"/>
            <color indexed="81"/>
            <rFont val="Tahoma"/>
            <family val="2"/>
          </rPr>
          <t>Author:</t>
        </r>
        <r>
          <rPr>
            <sz val="9"/>
            <color indexed="81"/>
            <rFont val="Tahoma"/>
            <family val="2"/>
          </rPr>
          <t xml:space="preserve">
0.001 may be used on a site-specific basis for soil with foc &gt;10%</t>
        </r>
      </text>
    </comment>
    <comment ref="AC10" authorId="0" shapeId="0" xr:uid="{00000000-0006-0000-0700-000008000000}">
      <text>
        <r>
          <rPr>
            <b/>
            <sz val="9"/>
            <color indexed="81"/>
            <rFont val="Tahoma"/>
            <family val="2"/>
          </rPr>
          <t>Author:</t>
        </r>
        <r>
          <rPr>
            <sz val="9"/>
            <color indexed="81"/>
            <rFont val="Tahoma"/>
            <family val="2"/>
          </rPr>
          <t xml:space="preserve">
0.001 may be used on a site-specific basis for soil with foc &gt;10%</t>
        </r>
      </text>
    </comment>
    <comment ref="AC11" authorId="0" shapeId="0" xr:uid="{00000000-0006-0000-0700-000009000000}">
      <text>
        <r>
          <rPr>
            <b/>
            <sz val="9"/>
            <color indexed="81"/>
            <rFont val="Tahoma"/>
            <family val="2"/>
          </rPr>
          <t>Author:</t>
        </r>
        <r>
          <rPr>
            <sz val="9"/>
            <color indexed="81"/>
            <rFont val="Tahoma"/>
            <family val="2"/>
          </rPr>
          <t xml:space="preserve">
0.001 may be used on a site-specific basis for soil with foc &gt;10%</t>
        </r>
      </text>
    </comment>
    <comment ref="AL23" authorId="0" shapeId="0" xr:uid="{94D4F3C7-0455-4D84-8350-D0A0795EA00E}">
      <text>
        <r>
          <rPr>
            <b/>
            <sz val="9"/>
            <color indexed="81"/>
            <rFont val="Tahoma"/>
            <family val="2"/>
          </rPr>
          <t>Author:</t>
        </r>
        <r>
          <rPr>
            <sz val="9"/>
            <color indexed="81"/>
            <rFont val="Tahoma"/>
            <family val="2"/>
          </rPr>
          <t xml:space="preserve">
State-wide
Insufficient data for regional values</t>
        </r>
      </text>
    </comment>
    <comment ref="AL25" authorId="0" shapeId="0" xr:uid="{13A2E7ED-594C-4683-B78E-F3E601BAF223}">
      <text>
        <r>
          <rPr>
            <b/>
            <sz val="9"/>
            <color indexed="81"/>
            <rFont val="Tahoma"/>
            <family val="2"/>
          </rPr>
          <t>Author:</t>
        </r>
        <r>
          <rPr>
            <sz val="9"/>
            <color indexed="81"/>
            <rFont val="Tahoma"/>
            <family val="2"/>
          </rPr>
          <t xml:space="preserve">
Spokane Basin
Insufficient data for other regions</t>
        </r>
      </text>
    </comment>
    <comment ref="O27" authorId="0" shapeId="0" xr:uid="{00000000-0006-0000-0700-00000D000000}">
      <text>
        <r>
          <rPr>
            <b/>
            <sz val="9"/>
            <color indexed="81"/>
            <rFont val="Tahoma"/>
            <family val="2"/>
          </rPr>
          <t>Author:</t>
        </r>
        <r>
          <rPr>
            <sz val="9"/>
            <color indexed="81"/>
            <rFont val="Tahoma"/>
            <family val="2"/>
          </rPr>
          <t xml:space="preserve">
For soil &amp; surface water
RfD for potable groundwater is hand-entered on PW page</t>
        </r>
      </text>
    </comment>
    <comment ref="AL31" authorId="0" shapeId="0" xr:uid="{6862A809-8BB9-4D0F-9C39-AD76B111332F}">
      <text>
        <r>
          <rPr>
            <b/>
            <sz val="9"/>
            <color indexed="81"/>
            <rFont val="Tahoma"/>
            <family val="2"/>
          </rPr>
          <t>Author:</t>
        </r>
        <r>
          <rPr>
            <sz val="9"/>
            <color indexed="81"/>
            <rFont val="Tahoma"/>
            <family val="2"/>
          </rPr>
          <t xml:space="preserve">
Spokane Basin
Insufficient data for other regions</t>
        </r>
      </text>
    </comment>
    <comment ref="AL40" authorId="0" shapeId="0" xr:uid="{496D4CD4-D8B2-4FAC-8431-DD029CE0F840}">
      <text>
        <r>
          <rPr>
            <b/>
            <sz val="9"/>
            <color indexed="81"/>
            <rFont val="Tahoma"/>
            <family val="2"/>
          </rPr>
          <t>Author:</t>
        </r>
        <r>
          <rPr>
            <sz val="9"/>
            <color indexed="81"/>
            <rFont val="Tahoma"/>
            <family val="2"/>
          </rPr>
          <t xml:space="preserve">
State-wide
Insufficient data for regional values</t>
        </r>
      </text>
    </comment>
    <comment ref="AL41" authorId="0" shapeId="0" xr:uid="{1E2838CB-4E19-490D-B909-ACA7420C8E64}">
      <text>
        <r>
          <rPr>
            <b/>
            <sz val="9"/>
            <color indexed="81"/>
            <rFont val="Tahoma"/>
            <family val="2"/>
          </rPr>
          <t>Author:</t>
        </r>
        <r>
          <rPr>
            <sz val="9"/>
            <color indexed="81"/>
            <rFont val="Tahoma"/>
            <family val="2"/>
          </rPr>
          <t xml:space="preserve">
State-wide
Insufficient data for regional values</t>
        </r>
      </text>
    </comment>
    <comment ref="AL42" authorId="0" shapeId="0" xr:uid="{2353E013-5035-4624-B533-2BD536EE6356}">
      <text>
        <r>
          <rPr>
            <b/>
            <sz val="9"/>
            <color indexed="81"/>
            <rFont val="Tahoma"/>
            <family val="2"/>
          </rPr>
          <t>Author:</t>
        </r>
        <r>
          <rPr>
            <sz val="9"/>
            <color indexed="81"/>
            <rFont val="Tahoma"/>
            <family val="2"/>
          </rPr>
          <t xml:space="preserve">
Not detected in Ecy's background study at 5 mg/kg</t>
        </r>
      </text>
    </comment>
    <comment ref="AL44" authorId="0" shapeId="0" xr:uid="{FAF6439A-0582-47E0-A3C8-20AFB61DD288}">
      <text>
        <r>
          <rPr>
            <b/>
            <sz val="9"/>
            <color indexed="81"/>
            <rFont val="Tahoma"/>
            <family val="2"/>
          </rPr>
          <t>Author:</t>
        </r>
        <r>
          <rPr>
            <sz val="9"/>
            <color indexed="81"/>
            <rFont val="Tahoma"/>
            <family val="2"/>
          </rPr>
          <t xml:space="preserve">
Spokane Basin
Insufficient data for other regions</t>
        </r>
      </text>
    </comment>
    <comment ref="C82" authorId="0" shapeId="0" xr:uid="{6E11E17C-34CA-4EAD-A4CA-A08F546E7606}">
      <text>
        <r>
          <rPr>
            <b/>
            <sz val="9"/>
            <color indexed="81"/>
            <rFont val="Tahoma"/>
            <family val="2"/>
          </rPr>
          <t>Author:</t>
        </r>
        <r>
          <rPr>
            <sz val="9"/>
            <color indexed="81"/>
            <rFont val="Tahoma"/>
            <family val="2"/>
          </rPr>
          <t xml:space="preserve">
pH-dependent
This value is from CLARC and is for approx pH 6.7
See EPA (1996) Table C-2</t>
        </r>
      </text>
    </comment>
    <comment ref="C97" authorId="0" shapeId="0" xr:uid="{0416A924-1E23-4D07-AE46-88202148B131}">
      <text>
        <r>
          <rPr>
            <b/>
            <sz val="9"/>
            <color indexed="81"/>
            <rFont val="Tahoma"/>
            <family val="2"/>
          </rPr>
          <t>Author:</t>
        </r>
        <r>
          <rPr>
            <sz val="9"/>
            <color indexed="81"/>
            <rFont val="Tahoma"/>
            <family val="2"/>
          </rPr>
          <t xml:space="preserve">
pH-dependent
This value is from CLARC and is for approx. pH 6.8
See EPA (1996) Table C-2
</t>
        </r>
      </text>
    </comment>
    <comment ref="C105" authorId="0" shapeId="0" xr:uid="{0A8E7200-DDC3-4281-8B44-C8A1AD74F63F}">
      <text>
        <r>
          <rPr>
            <b/>
            <sz val="9"/>
            <color indexed="81"/>
            <rFont val="Tahoma"/>
            <family val="2"/>
          </rPr>
          <t>Author:</t>
        </r>
        <r>
          <rPr>
            <sz val="9"/>
            <color indexed="81"/>
            <rFont val="Tahoma"/>
            <family val="2"/>
          </rPr>
          <t xml:space="preserve">
pH-dependent
This value is from CLARC and is for approx. pH 6.8
See EPA (1996) Table C-2
</t>
        </r>
      </text>
    </comment>
    <comment ref="C114" authorId="0" shapeId="0" xr:uid="{D35C7594-596F-4093-B840-A2A88BFCD1B0}">
      <text>
        <r>
          <rPr>
            <b/>
            <sz val="9"/>
            <color indexed="81"/>
            <rFont val="Tahoma"/>
            <family val="2"/>
          </rPr>
          <t>Author:</t>
        </r>
        <r>
          <rPr>
            <sz val="9"/>
            <color indexed="81"/>
            <rFont val="Tahoma"/>
            <family val="2"/>
          </rPr>
          <t xml:space="preserve">
pH-dependent
This value is from CLARC and is for approx. pH 7.7
See EPA (1996) Table C-2
</t>
        </r>
      </text>
    </comment>
    <comment ref="C138" authorId="0" shapeId="0" xr:uid="{88B35981-B4C2-4C00-B1E9-DEB44D2CF52F}">
      <text>
        <r>
          <rPr>
            <b/>
            <sz val="9"/>
            <color indexed="81"/>
            <rFont val="Tahoma"/>
            <family val="2"/>
          </rPr>
          <t>Author:</t>
        </r>
        <r>
          <rPr>
            <sz val="9"/>
            <color indexed="81"/>
            <rFont val="Tahoma"/>
            <family val="2"/>
          </rPr>
          <t xml:space="preserve">
pH-dependent
This value is from CLARC and is for approx. pH 6.8
See EPA (1996) Table C-2
</t>
        </r>
      </text>
    </comment>
    <comment ref="C141" authorId="0" shapeId="0" xr:uid="{502D5FE8-E47F-48DB-9647-AFEA339F46DE}">
      <text>
        <r>
          <rPr>
            <b/>
            <sz val="9"/>
            <color indexed="81"/>
            <rFont val="Tahoma"/>
            <family val="2"/>
          </rPr>
          <t>Author:</t>
        </r>
        <r>
          <rPr>
            <sz val="9"/>
            <color indexed="81"/>
            <rFont val="Tahoma"/>
            <family val="2"/>
          </rPr>
          <t xml:space="preserve">
pH-dependent
This value is from EPA (1996) Table C-2 and is for approx. pH 6.8
</t>
        </r>
      </text>
    </comment>
    <comment ref="C142" authorId="0" shapeId="0" xr:uid="{AAEFC559-96FE-40F2-9040-D8F5ABADFCFD}">
      <text>
        <r>
          <rPr>
            <b/>
            <sz val="9"/>
            <color indexed="81"/>
            <rFont val="Tahoma"/>
            <family val="2"/>
          </rPr>
          <t>Author:</t>
        </r>
        <r>
          <rPr>
            <sz val="9"/>
            <color indexed="81"/>
            <rFont val="Tahoma"/>
            <family val="2"/>
          </rPr>
          <t xml:space="preserve">
pH-dependent
This value is from CLARC and is for approx. pH 6.8
See EPA (1996) Table C-2
</t>
        </r>
      </text>
    </comment>
    <comment ref="C144" authorId="0" shapeId="0" xr:uid="{DD2B51A0-3DD0-4114-8A5A-0D496467BD6B}">
      <text>
        <r>
          <rPr>
            <b/>
            <sz val="9"/>
            <color indexed="81"/>
            <rFont val="Tahoma"/>
            <family val="2"/>
          </rPr>
          <t>Author:</t>
        </r>
        <r>
          <rPr>
            <sz val="9"/>
            <color indexed="81"/>
            <rFont val="Tahoma"/>
            <family val="2"/>
          </rPr>
          <t xml:space="preserve">
pH-dependent
This value is from CLARC and is for approx. pH 6.8
See EPA (1996) Table C-2
</t>
        </r>
      </text>
    </comment>
    <comment ref="C145" authorId="0" shapeId="0" xr:uid="{2D696C80-E66C-49EA-A865-CD2A068246B2}">
      <text>
        <r>
          <rPr>
            <b/>
            <sz val="9"/>
            <color indexed="81"/>
            <rFont val="Tahoma"/>
            <family val="2"/>
          </rPr>
          <t>Author:</t>
        </r>
        <r>
          <rPr>
            <sz val="9"/>
            <color indexed="81"/>
            <rFont val="Tahoma"/>
            <family val="2"/>
          </rPr>
          <t xml:space="preserve">
pH-dependent
This value is from CLARC and is for approx. pH 6.8
See EPA (1996) Table C-2
</t>
        </r>
      </text>
    </comment>
    <comment ref="C183" authorId="0" shapeId="0" xr:uid="{00000000-0006-0000-0700-00001B000000}">
      <text>
        <r>
          <rPr>
            <b/>
            <sz val="9"/>
            <color indexed="81"/>
            <rFont val="Tahoma"/>
            <family val="2"/>
          </rPr>
          <t>Author:</t>
        </r>
        <r>
          <rPr>
            <sz val="9"/>
            <color indexed="81"/>
            <rFont val="Tahoma"/>
            <family val="2"/>
          </rPr>
          <t xml:space="preserve">
From cis-1,2-DCE</t>
        </r>
      </text>
    </comment>
    <comment ref="K183" authorId="0" shapeId="0" xr:uid="{00000000-0006-0000-0700-00001C000000}">
      <text>
        <r>
          <rPr>
            <b/>
            <sz val="9"/>
            <color indexed="81"/>
            <rFont val="Tahoma"/>
            <family val="2"/>
          </rPr>
          <t>Author:</t>
        </r>
        <r>
          <rPr>
            <sz val="9"/>
            <color indexed="81"/>
            <rFont val="Tahoma"/>
            <family val="2"/>
          </rPr>
          <t xml:space="preserve">
From trans-1,2-DCE</t>
        </r>
      </text>
    </comment>
    <comment ref="L183" authorId="0" shapeId="0" xr:uid="{00000000-0006-0000-0700-00001D000000}">
      <text>
        <r>
          <rPr>
            <b/>
            <sz val="9"/>
            <color indexed="81"/>
            <rFont val="Tahoma"/>
            <family val="2"/>
          </rPr>
          <t>Author:</t>
        </r>
        <r>
          <rPr>
            <sz val="9"/>
            <color indexed="81"/>
            <rFont val="Tahoma"/>
            <family val="2"/>
          </rPr>
          <t xml:space="preserve">
From trans-1,2-DCE</t>
        </r>
      </text>
    </comment>
    <comment ref="V227" authorId="0" shapeId="0" xr:uid="{D9BFD422-823B-4371-8CC7-792330DB24CD}">
      <text>
        <r>
          <rPr>
            <b/>
            <sz val="9"/>
            <color indexed="81"/>
            <rFont val="Tahoma"/>
            <family val="2"/>
          </rPr>
          <t>Author:</t>
        </r>
        <r>
          <rPr>
            <sz val="9"/>
            <color indexed="81"/>
            <rFont val="Tahoma"/>
            <family val="2"/>
          </rPr>
          <t xml:space="preserve">
This chemical is mutagenic.  CULs are calculated using the more conservative of two CPFs.</t>
        </r>
      </text>
    </comment>
    <comment ref="Z227" authorId="0" shapeId="0" xr:uid="{00000000-0006-0000-0700-00001E000000}">
      <text>
        <r>
          <rPr>
            <b/>
            <sz val="9"/>
            <color indexed="81"/>
            <rFont val="Tahoma"/>
            <family val="2"/>
          </rPr>
          <t xml:space="preserve">Author:
</t>
        </r>
        <r>
          <rPr>
            <sz val="9"/>
            <color indexed="81"/>
            <rFont val="Tahoma"/>
            <family val="2"/>
          </rPr>
          <t>This chemical is mutagenic.  CULs are calculated using the more conservative of two CPFs.</t>
        </r>
      </text>
    </comment>
    <comment ref="AI259" authorId="0" shapeId="0" xr:uid="{00000000-0006-0000-0700-000020000000}">
      <text>
        <r>
          <rPr>
            <b/>
            <sz val="9"/>
            <color indexed="81"/>
            <rFont val="Tahoma"/>
            <family val="2"/>
          </rPr>
          <t>Author:</t>
        </r>
        <r>
          <rPr>
            <sz val="9"/>
            <color indexed="81"/>
            <rFont val="Tahoma"/>
            <family val="2"/>
          </rPr>
          <t xml:space="preserve">
To be consistent with the listing of total DDT as a COC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tc={4433AAF1-0350-4A4A-B66E-C0AB3E030541}</author>
    <author>tc={1FA5DCB9-B4CE-4028-A624-B28D015370DA}</author>
    <author>tc={37320C55-5C9A-4AC8-84C9-A5D1DB20CC64}</author>
    <author>tc={9A9AA00D-B415-4563-AE88-737F85559525}</author>
  </authors>
  <commentList>
    <comment ref="F2" authorId="0" shapeId="0" xr:uid="{B3685E27-DD3C-4604-AB5A-68FA50B98BEF}">
      <text>
        <r>
          <rPr>
            <b/>
            <sz val="9"/>
            <color indexed="81"/>
            <rFont val="Tahoma"/>
            <family val="2"/>
          </rPr>
          <t>Author:</t>
        </r>
        <r>
          <rPr>
            <sz val="9"/>
            <color indexed="81"/>
            <rFont val="Tahoma"/>
            <family val="2"/>
          </rPr>
          <t xml:space="preserve">
For the site-specific TEE, screening levels are required for all detected chemicals, not just those provided in MTCA Table 749-3.  Work with Ecology risk assessors to fill in 
the necessary values.</t>
        </r>
      </text>
    </comment>
    <comment ref="G2" authorId="0" shapeId="0" xr:uid="{79D0AD9F-E434-4589-9D38-AE567121ECDA}">
      <text>
        <r>
          <rPr>
            <b/>
            <sz val="9"/>
            <color indexed="81"/>
            <rFont val="Tahoma"/>
            <family val="2"/>
          </rPr>
          <t>Author:</t>
        </r>
        <r>
          <rPr>
            <sz val="9"/>
            <color indexed="81"/>
            <rFont val="Tahoma"/>
            <family val="2"/>
          </rPr>
          <t xml:space="preserve">
For the site-specific TEE, screening levels are required for all detected chemicals, not just those provided in MTCA Table 749-3.  Work with Ecology risk assessors to fill in the necessary values.</t>
        </r>
      </text>
    </comment>
    <comment ref="H2" authorId="0" shapeId="0" xr:uid="{872612AE-B479-4504-82DE-2930DB2854AE}">
      <text>
        <r>
          <rPr>
            <b/>
            <sz val="9"/>
            <color indexed="81"/>
            <rFont val="Tahoma"/>
            <family val="2"/>
          </rPr>
          <t>Author:</t>
        </r>
        <r>
          <rPr>
            <sz val="9"/>
            <color indexed="81"/>
            <rFont val="Tahoma"/>
            <family val="2"/>
          </rPr>
          <t xml:space="preserve">
For the site-specific TEE, screening levels are required for all detected chemicals, not just those provided in MTCA Table 749-3.  Work with Ecology risk assessors to fill in the necessary values.</t>
        </r>
      </text>
    </comment>
    <comment ref="I2" authorId="0" shapeId="0" xr:uid="{DF082908-71CC-41FA-ABE1-5335F1BA571F}">
      <text>
        <r>
          <rPr>
            <b/>
            <sz val="9"/>
            <color indexed="81"/>
            <rFont val="Tahoma"/>
            <family val="2"/>
          </rPr>
          <t>Author:</t>
        </r>
        <r>
          <rPr>
            <sz val="9"/>
            <color indexed="81"/>
            <rFont val="Tahoma"/>
            <family val="2"/>
          </rPr>
          <t xml:space="preserve">
For the site-specific TEE, screening levels are required for all detected chemicals, not just those provided in MTCA Table 749-3.  Work with Ecology risk assessors to fill the necessary values.</t>
        </r>
      </text>
    </comment>
    <comment ref="J2" authorId="0" shapeId="0" xr:uid="{1D12C991-FCAE-415C-85F9-85EFD77E9336}">
      <text>
        <r>
          <rPr>
            <b/>
            <sz val="9"/>
            <color indexed="81"/>
            <rFont val="Tahoma"/>
            <family val="2"/>
          </rPr>
          <t>Author:</t>
        </r>
        <r>
          <rPr>
            <sz val="9"/>
            <color indexed="81"/>
            <rFont val="Tahoma"/>
            <family val="2"/>
          </rPr>
          <t xml:space="preserve">
For the site-specific TEE, screening levels are required for all detected chemicals, not just those provided in MTCA Table 749-3.  Work with Ecology risk assessors to fill the necessary values.</t>
        </r>
      </text>
    </comment>
    <comment ref="E4" authorId="0" shapeId="0" xr:uid="{00000000-0006-0000-0900-000001000000}">
      <text>
        <r>
          <rPr>
            <b/>
            <sz val="9"/>
            <color indexed="81"/>
            <rFont val="Tahoma"/>
            <family val="2"/>
          </rPr>
          <t>Author:</t>
        </r>
        <r>
          <rPr>
            <sz val="9"/>
            <color indexed="81"/>
            <rFont val="Tahoma"/>
            <family val="2"/>
          </rPr>
          <t xml:space="preserve">
ARAR (TSCA)
Column P</t>
        </r>
      </text>
    </comment>
    <comment ref="O4" authorId="0" shapeId="0" xr:uid="{0F0B753E-366B-4B6C-A732-BCB4D5318EDE}">
      <text>
        <r>
          <rPr>
            <b/>
            <sz val="9"/>
            <color indexed="81"/>
            <rFont val="Tahoma"/>
            <family val="2"/>
          </rPr>
          <t>Author:</t>
        </r>
        <r>
          <rPr>
            <sz val="9"/>
            <color indexed="81"/>
            <rFont val="Tahoma"/>
            <family val="2"/>
          </rPr>
          <t xml:space="preserve">
ARAR (TSCA)
Column Q</t>
        </r>
      </text>
    </comment>
    <comment ref="E5" authorId="0" shapeId="0" xr:uid="{00000000-0006-0000-0900-000002000000}">
      <text>
        <r>
          <rPr>
            <b/>
            <sz val="9"/>
            <color indexed="81"/>
            <rFont val="Tahoma"/>
            <family val="2"/>
          </rPr>
          <t>Author:</t>
        </r>
        <r>
          <rPr>
            <sz val="9"/>
            <color indexed="81"/>
            <rFont val="Tahoma"/>
            <family val="2"/>
          </rPr>
          <t xml:space="preserve">
ARAR (TSCA)
Column P</t>
        </r>
      </text>
    </comment>
    <comment ref="O5" authorId="0" shapeId="0" xr:uid="{1E4C137F-C83D-4C83-BE39-7618C4ED423F}">
      <text>
        <r>
          <rPr>
            <b/>
            <sz val="9"/>
            <color indexed="81"/>
            <rFont val="Tahoma"/>
            <family val="2"/>
          </rPr>
          <t>Author:</t>
        </r>
        <r>
          <rPr>
            <sz val="9"/>
            <color indexed="81"/>
            <rFont val="Tahoma"/>
            <family val="2"/>
          </rPr>
          <t xml:space="preserve">
ARAR (TSCA)
Column Q</t>
        </r>
      </text>
    </comment>
    <comment ref="K23" authorId="0" shapeId="0" xr:uid="{A2284183-3225-4570-84AA-C11AC9B3BA29}">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23" authorId="0" shapeId="0" xr:uid="{003A95D5-43F0-42A2-8DDE-4E1F2C7EF97C}">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F24" authorId="1" shapeId="0" xr:uid="{4433AAF1-0350-4A4A-B66E-C0AB3E030541}">
      <text>
        <t>[Threaded comment]
Your version of Excel allows you to read this threaded comment; however, any edits to it will get removed if the file is opened in a newer version of Excel. Learn more: https://go.microsoft.com/fwlink/?linkid=870924
Comment:
    As III: no value
As V: 10 (unsaturated zone)</t>
      </text>
    </comment>
    <comment ref="G24" authorId="2" shapeId="0" xr:uid="{1FA5DCB9-B4CE-4028-A624-B28D015370DA}">
      <text>
        <t>[Threaded comment]
Your version of Excel allows you to read this threaded comment; however, any edits to it will get removed if the file is opened in a newer version of Excel. Learn more: https://go.microsoft.com/fwlink/?linkid=870924
Comment:
    As III: no value (saturated zone)
As V: 60 (unsaturated zone)</t>
      </text>
    </comment>
    <comment ref="H24" authorId="3" shapeId="0" xr:uid="{37320C55-5C9A-4AC8-84C9-A5D1DB20CC64}">
      <text>
        <t>[Threaded comment]
Your version of Excel allows you to read this threaded comment; however, any edits to it will get removed if the file is opened in a newer version of Excel. Learn more: https://go.microsoft.com/fwlink/?linkid=870924
Comment:
    As III: 7 (saturated zone)
As V: 132 (unsaturated zone)</t>
      </text>
    </comment>
    <comment ref="J24" authorId="4" shapeId="0" xr:uid="{9A9AA00D-B415-4563-AE88-737F85559525}">
      <text>
        <t>[Threaded comment]
Your version of Excel allows you to read this threaded comment; however, any edits to it will get removed if the file is opened in a newer version of Excel. Learn more: https://go.microsoft.com/fwlink/?linkid=870924
Comment:
    As III: 7 (saturated zone)
As V:132 (unsaturated zone)</t>
      </text>
    </comment>
    <comment ref="K24" authorId="0" shapeId="0" xr:uid="{B79F0304-314D-4533-885E-D98783452AD3}">
      <text>
        <r>
          <rPr>
            <b/>
            <sz val="9"/>
            <color indexed="81"/>
            <rFont val="Tahoma"/>
            <family val="2"/>
          </rPr>
          <t>Author:</t>
        </r>
        <r>
          <rPr>
            <sz val="9"/>
            <color indexed="81"/>
            <rFont val="Tahoma"/>
            <family val="2"/>
          </rPr>
          <t xml:space="preserve">
As III: 20 (saturated zone)
As V: 95 (unsaturated zone)</t>
        </r>
      </text>
    </comment>
    <comment ref="L24" authorId="0" shapeId="0" xr:uid="{A628E143-FAD0-4BE8-90D9-32D0A901BB4A}">
      <text>
        <r>
          <rPr>
            <b/>
            <sz val="9"/>
            <color indexed="81"/>
            <rFont val="Tahoma"/>
            <family val="2"/>
          </rPr>
          <t>Author:</t>
        </r>
        <r>
          <rPr>
            <sz val="9"/>
            <color indexed="81"/>
            <rFont val="Tahoma"/>
            <family val="2"/>
          </rPr>
          <t xml:space="preserve">
As III: 20 (saturated zone)
As V: 260 (unsaturated zone)</t>
        </r>
      </text>
    </comment>
    <comment ref="L26" authorId="0" shapeId="0" xr:uid="{D1F8445D-57E7-4A62-85C4-25E294CAFF51}">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K31" authorId="0" shapeId="0" xr:uid="{40472F3D-F595-4645-A23A-6898F1D11B5B}">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31" authorId="0" shapeId="0" xr:uid="{B9349C42-087B-40A7-A572-037E97B2D6A5}">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E34" authorId="0" shapeId="0" xr:uid="{00000000-0006-0000-0900-000003000000}">
      <text>
        <r>
          <rPr>
            <b/>
            <sz val="9"/>
            <color indexed="81"/>
            <rFont val="Tahoma"/>
            <family val="2"/>
          </rPr>
          <t>Author:</t>
        </r>
        <r>
          <rPr>
            <sz val="9"/>
            <color indexed="81"/>
            <rFont val="Tahoma"/>
            <family val="2"/>
          </rPr>
          <t xml:space="preserve">
Method A</t>
        </r>
      </text>
    </comment>
    <comment ref="O34" authorId="0" shapeId="0" xr:uid="{00000000-0006-0000-0900-000004000000}">
      <text>
        <r>
          <rPr>
            <b/>
            <sz val="9"/>
            <color indexed="81"/>
            <rFont val="Tahoma"/>
            <family val="2"/>
          </rPr>
          <t>Author:</t>
        </r>
        <r>
          <rPr>
            <sz val="9"/>
            <color indexed="81"/>
            <rFont val="Tahoma"/>
            <family val="2"/>
          </rPr>
          <t xml:space="preserve">
Method A</t>
        </r>
      </text>
    </comment>
    <comment ref="K35" authorId="0" shapeId="0" xr:uid="{D4528302-7AA2-4BBE-87A8-5B902BD1B8DB}">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K38" authorId="0" shapeId="0" xr:uid="{162EC2FB-6B96-497B-BDFD-14A76DA2DFBD}">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K41" authorId="0" shapeId="0" xr:uid="{690B6F1E-B46F-44E4-8B19-DF3FBFD2A1CE}">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41" authorId="0" shapeId="0" xr:uid="{BD74DB8C-156C-448F-BCB5-FA1B1BE79A45}">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43" authorId="0" shapeId="0" xr:uid="{15EA2242-8ECE-4E27-B7DE-944B887A605B}">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44" authorId="0" shapeId="0" xr:uid="{F52FAC38-CF72-4D07-89EE-F17158D2E23E}">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K53" authorId="0" shapeId="0" xr:uid="{43C75394-D696-46BB-BD7D-9B694D94C5C6}">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53" authorId="0" shapeId="0" xr:uid="{9451F1F9-4AF9-4F3F-94AA-CFC79EE12B8B}">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G74" authorId="0" shapeId="0" xr:uid="{CD0B3FDD-2EC5-429D-8926-52EE1D17149E}">
      <text>
        <r>
          <rPr>
            <b/>
            <sz val="9"/>
            <color indexed="81"/>
            <rFont val="Tahoma"/>
            <family val="2"/>
          </rPr>
          <t>Author:</t>
        </r>
        <r>
          <rPr>
            <sz val="9"/>
            <color indexed="81"/>
            <rFont val="Tahoma"/>
            <family val="2"/>
          </rPr>
          <t xml:space="preserve">
EPA Eco-SSL</t>
        </r>
      </text>
    </comment>
    <comment ref="H74" authorId="0" shapeId="0" xr:uid="{7BBF982F-272C-4632-9432-EE2215D0A5E2}">
      <text>
        <r>
          <rPr>
            <b/>
            <sz val="9"/>
            <color indexed="81"/>
            <rFont val="Tahoma"/>
            <family val="2"/>
          </rPr>
          <t>Author:</t>
        </r>
        <r>
          <rPr>
            <sz val="9"/>
            <color indexed="81"/>
            <rFont val="Tahoma"/>
            <family val="2"/>
          </rPr>
          <t xml:space="preserve">
EPA Eco-SSL</t>
        </r>
      </text>
    </comment>
    <comment ref="G75" authorId="0" shapeId="0" xr:uid="{273BA748-B5AC-4B2D-AF3E-D21359FBA486}">
      <text>
        <r>
          <rPr>
            <b/>
            <sz val="9"/>
            <color indexed="81"/>
            <rFont val="Tahoma"/>
            <family val="2"/>
          </rPr>
          <t>Author:</t>
        </r>
        <r>
          <rPr>
            <sz val="9"/>
            <color indexed="81"/>
            <rFont val="Tahoma"/>
            <family val="2"/>
          </rPr>
          <t xml:space="preserve">
EPA Eco-SSL</t>
        </r>
      </text>
    </comment>
    <comment ref="H75" authorId="0" shapeId="0" xr:uid="{013D5744-3661-4495-ABE9-28FD84B8EEBF}">
      <text>
        <r>
          <rPr>
            <b/>
            <sz val="9"/>
            <color indexed="81"/>
            <rFont val="Tahoma"/>
            <family val="2"/>
          </rPr>
          <t>Author:</t>
        </r>
        <r>
          <rPr>
            <sz val="9"/>
            <color indexed="81"/>
            <rFont val="Tahoma"/>
            <family val="2"/>
          </rPr>
          <t xml:space="preserve">
EPA Eco-SSL</t>
        </r>
      </text>
    </comment>
    <comment ref="K89" authorId="0" shapeId="0" xr:uid="{68F02083-EBA7-437D-ABB3-EEEB131064E9}">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89" authorId="0" shapeId="0" xr:uid="{4371FCFB-5D89-4A37-9921-11ABF1276FA5}">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99" authorId="0" shapeId="0" xr:uid="{878E83E4-B0BF-4901-9E5E-04B23E1AF3C2}">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H233" authorId="0" shapeId="0" xr:uid="{50F8EF76-5B92-4412-A682-FB1690B20BF1}">
      <text>
        <r>
          <rPr>
            <b/>
            <sz val="9"/>
            <color indexed="81"/>
            <rFont val="Tahoma"/>
            <family val="2"/>
          </rPr>
          <t>Author:</t>
        </r>
        <r>
          <rPr>
            <sz val="9"/>
            <color indexed="81"/>
            <rFont val="Tahoma"/>
            <family val="2"/>
          </rPr>
          <t xml:space="preserve">
Ecology (2023) PFAS guidance Table 6</t>
        </r>
      </text>
    </comment>
    <comment ref="H234" authorId="0" shapeId="0" xr:uid="{825B982D-47C8-406A-97C1-AC244EFDDC54}">
      <text>
        <r>
          <rPr>
            <b/>
            <sz val="9"/>
            <color indexed="81"/>
            <rFont val="Tahoma"/>
            <family val="2"/>
          </rPr>
          <t>Author:</t>
        </r>
        <r>
          <rPr>
            <sz val="9"/>
            <color indexed="81"/>
            <rFont val="Tahoma"/>
            <family val="2"/>
          </rPr>
          <t xml:space="preserve">
Ecology (2023) PFAS guidance Table 6</t>
        </r>
      </text>
    </comment>
    <comment ref="H235" authorId="0" shapeId="0" xr:uid="{B7FDE8E5-7290-499A-B148-1156BDA46B7F}">
      <text>
        <r>
          <rPr>
            <b/>
            <sz val="9"/>
            <color indexed="81"/>
            <rFont val="Tahoma"/>
            <family val="2"/>
          </rPr>
          <t>Author:</t>
        </r>
        <r>
          <rPr>
            <sz val="9"/>
            <color indexed="81"/>
            <rFont val="Tahoma"/>
            <family val="2"/>
          </rPr>
          <t xml:space="preserve">
Ecology (2023) PFAS guidance Table 6</t>
        </r>
      </text>
    </comment>
    <comment ref="H236" authorId="0" shapeId="0" xr:uid="{DB4CE3D5-B594-4065-91D1-A77E768B72A7}">
      <text>
        <r>
          <rPr>
            <b/>
            <sz val="9"/>
            <color indexed="81"/>
            <rFont val="Tahoma"/>
            <family val="2"/>
          </rPr>
          <t>Author:</t>
        </r>
        <r>
          <rPr>
            <sz val="9"/>
            <color indexed="81"/>
            <rFont val="Tahoma"/>
            <family val="2"/>
          </rPr>
          <t xml:space="preserve">
Ecology (2023) PFAS guidance Table 6</t>
        </r>
      </text>
    </comment>
    <comment ref="H237" authorId="0" shapeId="0" xr:uid="{88786382-4F3E-4A95-B331-6B77A1FC23A6}">
      <text>
        <r>
          <rPr>
            <b/>
            <sz val="9"/>
            <color indexed="81"/>
            <rFont val="Tahoma"/>
            <family val="2"/>
          </rPr>
          <t>Author:</t>
        </r>
        <r>
          <rPr>
            <sz val="9"/>
            <color indexed="81"/>
            <rFont val="Tahoma"/>
            <family val="2"/>
          </rPr>
          <t xml:space="preserve">
Ecology (2023) PFAS guidance Table 6</t>
        </r>
      </text>
    </comment>
    <comment ref="G238" authorId="0" shapeId="0" xr:uid="{446DB390-28A0-4A16-9CE2-48193EE68E09}">
      <text>
        <r>
          <rPr>
            <b/>
            <sz val="9"/>
            <color indexed="81"/>
            <rFont val="Tahoma"/>
            <family val="2"/>
          </rPr>
          <t>Author:</t>
        </r>
        <r>
          <rPr>
            <sz val="9"/>
            <color indexed="81"/>
            <rFont val="Tahoma"/>
            <family val="2"/>
          </rPr>
          <t xml:space="preserve">
Ecology (2023) PFAS guidance Table 6</t>
        </r>
      </text>
    </comment>
    <comment ref="H238" authorId="0" shapeId="0" xr:uid="{4C24FB4E-B66A-484C-BA9F-F92603E2DCDE}">
      <text>
        <r>
          <rPr>
            <b/>
            <sz val="9"/>
            <color indexed="81"/>
            <rFont val="Tahoma"/>
            <family val="2"/>
          </rPr>
          <t>Author:</t>
        </r>
        <r>
          <rPr>
            <sz val="9"/>
            <color indexed="81"/>
            <rFont val="Tahoma"/>
            <family val="2"/>
          </rPr>
          <t xml:space="preserve">
Ecology (2023) PFAS guidance Table 6</t>
        </r>
      </text>
    </comment>
    <comment ref="F239" authorId="0" shapeId="0" xr:uid="{114C54F2-4C63-4C62-A281-9BBA371489DD}">
      <text>
        <r>
          <rPr>
            <b/>
            <sz val="9"/>
            <color indexed="81"/>
            <rFont val="Tahoma"/>
            <family val="2"/>
          </rPr>
          <t>Author:</t>
        </r>
        <r>
          <rPr>
            <sz val="9"/>
            <color indexed="81"/>
            <rFont val="Tahoma"/>
            <family val="2"/>
          </rPr>
          <t xml:space="preserve">
Ecology (2023) PFAS guidance Table 6</t>
        </r>
      </text>
    </comment>
    <comment ref="G239" authorId="0" shapeId="0" xr:uid="{6040BB06-D5E4-4BD6-928B-45FDE86C0FB6}">
      <text>
        <r>
          <rPr>
            <b/>
            <sz val="9"/>
            <color indexed="81"/>
            <rFont val="Tahoma"/>
            <family val="2"/>
          </rPr>
          <t>Author:</t>
        </r>
        <r>
          <rPr>
            <sz val="9"/>
            <color indexed="81"/>
            <rFont val="Tahoma"/>
            <family val="2"/>
          </rPr>
          <t xml:space="preserve">
Ecology (2023) PFAS guidance Table 6</t>
        </r>
      </text>
    </comment>
    <comment ref="H239" authorId="0" shapeId="0" xr:uid="{DCE6657D-CBD3-4B1E-9722-9A464CA4F4BA}">
      <text>
        <r>
          <rPr>
            <b/>
            <sz val="9"/>
            <color indexed="81"/>
            <rFont val="Tahoma"/>
            <family val="2"/>
          </rPr>
          <t>Author:</t>
        </r>
        <r>
          <rPr>
            <sz val="9"/>
            <color indexed="81"/>
            <rFont val="Tahoma"/>
            <family val="2"/>
          </rPr>
          <t xml:space="preserve">
Ecology (2023) PFAS guidance Table 6</t>
        </r>
      </text>
    </comment>
    <comment ref="C241" authorId="0" shapeId="0" xr:uid="{00000000-0006-0000-0900-000005000000}">
      <text>
        <r>
          <rPr>
            <b/>
            <sz val="9"/>
            <color indexed="81"/>
            <rFont val="Tahoma"/>
            <family val="2"/>
          </rPr>
          <t>Author:</t>
        </r>
        <r>
          <rPr>
            <sz val="9"/>
            <color indexed="81"/>
            <rFont val="Tahoma"/>
            <family val="2"/>
          </rPr>
          <t xml:space="preserve">
Applies to sum of GRO, DRO, and ORO.</t>
        </r>
      </text>
    </comment>
    <comment ref="F241" authorId="0" shapeId="0" xr:uid="{00000000-0006-0000-0900-000006000000}">
      <text>
        <r>
          <rPr>
            <b/>
            <sz val="9"/>
            <color indexed="81"/>
            <rFont val="Tahoma"/>
            <family val="2"/>
          </rPr>
          <t>Author:</t>
        </r>
        <r>
          <rPr>
            <sz val="9"/>
            <color indexed="81"/>
            <rFont val="Tahoma"/>
            <family val="2"/>
          </rPr>
          <t xml:space="preserve">
Implementation Memo 19</t>
        </r>
      </text>
    </comment>
    <comment ref="G241" authorId="0" shapeId="0" xr:uid="{00000000-0006-0000-0900-000007000000}">
      <text>
        <r>
          <rPr>
            <b/>
            <sz val="9"/>
            <color indexed="81"/>
            <rFont val="Tahoma"/>
            <family val="2"/>
          </rPr>
          <t>Author:</t>
        </r>
        <r>
          <rPr>
            <sz val="9"/>
            <color indexed="81"/>
            <rFont val="Tahoma"/>
            <family val="2"/>
          </rPr>
          <t xml:space="preserve">
Implementation Memo 19</t>
        </r>
      </text>
    </comment>
    <comment ref="C242" authorId="0" shapeId="0" xr:uid="{00000000-0006-0000-0900-000008000000}">
      <text>
        <r>
          <rPr>
            <b/>
            <sz val="9"/>
            <color indexed="81"/>
            <rFont val="Tahoma"/>
            <family val="2"/>
          </rPr>
          <t>Author:</t>
        </r>
        <r>
          <rPr>
            <sz val="9"/>
            <color indexed="81"/>
            <rFont val="Tahoma"/>
            <family val="2"/>
          </rPr>
          <t xml:space="preserve">
Applies to sum of GRO, DRO, and ORO.</t>
        </r>
      </text>
    </comment>
    <comment ref="F243" authorId="0" shapeId="0" xr:uid="{00000000-0006-0000-0900-000009000000}">
      <text>
        <r>
          <rPr>
            <b/>
            <sz val="9"/>
            <color indexed="81"/>
            <rFont val="Tahoma"/>
            <family val="2"/>
          </rPr>
          <t>Author:</t>
        </r>
        <r>
          <rPr>
            <sz val="9"/>
            <color indexed="81"/>
            <rFont val="Tahoma"/>
            <family val="2"/>
          </rPr>
          <t xml:space="preserve">
Implementation Memo 19</t>
        </r>
      </text>
    </comment>
    <comment ref="G243" authorId="0" shapeId="0" xr:uid="{00000000-0006-0000-0900-00000A000000}">
      <text>
        <r>
          <rPr>
            <b/>
            <sz val="9"/>
            <color indexed="81"/>
            <rFont val="Tahoma"/>
            <family val="2"/>
          </rPr>
          <t>Author:</t>
        </r>
        <r>
          <rPr>
            <sz val="9"/>
            <color indexed="81"/>
            <rFont val="Tahoma"/>
            <family val="2"/>
          </rPr>
          <t xml:space="preserve">
Implementation Memo 19</t>
        </r>
      </text>
    </comment>
    <comment ref="F244" authorId="0" shapeId="0" xr:uid="{00000000-0006-0000-0900-00000B000000}">
      <text>
        <r>
          <rPr>
            <b/>
            <sz val="9"/>
            <color indexed="81"/>
            <rFont val="Tahoma"/>
            <family val="2"/>
          </rPr>
          <t>Author:</t>
        </r>
        <r>
          <rPr>
            <sz val="9"/>
            <color indexed="81"/>
            <rFont val="Tahoma"/>
            <family val="2"/>
          </rPr>
          <t xml:space="preserve">
Implementation Memo 19</t>
        </r>
      </text>
    </comment>
    <comment ref="G244" authorId="0" shapeId="0" xr:uid="{00000000-0006-0000-0900-00000C000000}">
      <text>
        <r>
          <rPr>
            <b/>
            <sz val="9"/>
            <color indexed="81"/>
            <rFont val="Tahoma"/>
            <family val="2"/>
          </rPr>
          <t>Author:</t>
        </r>
        <r>
          <rPr>
            <sz val="9"/>
            <color indexed="81"/>
            <rFont val="Tahoma"/>
            <family val="2"/>
          </rPr>
          <t xml:space="preserve">
Implementation Memo 19</t>
        </r>
      </text>
    </comment>
    <comment ref="F245" authorId="0" shapeId="0" xr:uid="{00000000-0006-0000-0900-00000D000000}">
      <text>
        <r>
          <rPr>
            <b/>
            <sz val="9"/>
            <color indexed="81"/>
            <rFont val="Tahoma"/>
            <family val="2"/>
          </rPr>
          <t>Author:</t>
        </r>
        <r>
          <rPr>
            <sz val="9"/>
            <color indexed="81"/>
            <rFont val="Tahoma"/>
            <family val="2"/>
          </rPr>
          <t xml:space="preserve">
Implementation Memo 19</t>
        </r>
      </text>
    </comment>
    <comment ref="G245" authorId="0" shapeId="0" xr:uid="{00000000-0006-0000-0900-00000E000000}">
      <text>
        <r>
          <rPr>
            <b/>
            <sz val="9"/>
            <color indexed="81"/>
            <rFont val="Tahoma"/>
            <family val="2"/>
          </rPr>
          <t>Author:</t>
        </r>
        <r>
          <rPr>
            <sz val="9"/>
            <color indexed="81"/>
            <rFont val="Tahoma"/>
            <family val="2"/>
          </rPr>
          <t xml:space="preserve">
Implementation Memo 19</t>
        </r>
      </text>
    </comment>
    <comment ref="F246" authorId="0" shapeId="0" xr:uid="{00000000-0006-0000-0900-00000F000000}">
      <text>
        <r>
          <rPr>
            <b/>
            <sz val="9"/>
            <color indexed="81"/>
            <rFont val="Tahoma"/>
            <family val="2"/>
          </rPr>
          <t>Author:</t>
        </r>
        <r>
          <rPr>
            <sz val="9"/>
            <color indexed="81"/>
            <rFont val="Tahoma"/>
            <family val="2"/>
          </rPr>
          <t xml:space="preserve">
Implementation Memo 19</t>
        </r>
      </text>
    </comment>
    <comment ref="G246" authorId="0" shapeId="0" xr:uid="{00000000-0006-0000-0900-000010000000}">
      <text>
        <r>
          <rPr>
            <b/>
            <sz val="9"/>
            <color indexed="81"/>
            <rFont val="Tahoma"/>
            <family val="2"/>
          </rPr>
          <t>Author:</t>
        </r>
        <r>
          <rPr>
            <sz val="9"/>
            <color indexed="81"/>
            <rFont val="Tahoma"/>
            <family val="2"/>
          </rPr>
          <t xml:space="preserve">
Implementation Memo 19</t>
        </r>
      </text>
    </comment>
    <comment ref="K256" authorId="0" shapeId="0" xr:uid="{55BD052B-C9B6-4237-852F-10125FF25A51}">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256" authorId="0" shapeId="0" xr:uid="{A34CBD17-7D27-4A7F-A978-FC7FFFCDF78E}">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K267" authorId="0" shapeId="0" xr:uid="{0A49B380-A8EA-4B3B-9DBE-25D5609D078D}">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267" authorId="0" shapeId="0" xr:uid="{85B1E502-95A9-47C1-9E8B-02596DB38971}">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H273" authorId="0" shapeId="0" xr:uid="{9E960948-DE49-4649-A40E-E5B1AB11A385}">
      <text>
        <r>
          <rPr>
            <b/>
            <sz val="9"/>
            <color indexed="81"/>
            <rFont val="Tahoma"/>
            <family val="2"/>
          </rPr>
          <t>Author:</t>
        </r>
        <r>
          <rPr>
            <sz val="9"/>
            <color indexed="81"/>
            <rFont val="Tahoma"/>
            <family val="2"/>
          </rPr>
          <t xml:space="preserve">
Applies to the sum of heptachlor and heptachlor epoxide.</t>
        </r>
      </text>
    </comment>
    <comment ref="I273" authorId="0" shapeId="0" xr:uid="{EF14D42E-D09D-4B99-B3A1-626EC7D0654F}">
      <text>
        <r>
          <rPr>
            <b/>
            <sz val="9"/>
            <color indexed="81"/>
            <rFont val="Tahoma"/>
            <family val="2"/>
          </rPr>
          <t>Author:</t>
        </r>
        <r>
          <rPr>
            <sz val="9"/>
            <color indexed="81"/>
            <rFont val="Tahoma"/>
            <family val="2"/>
          </rPr>
          <t xml:space="preserve">
Applies to the sum of heptachlor and heptachlor epoxide.</t>
        </r>
      </text>
    </comment>
    <comment ref="J273" authorId="0" shapeId="0" xr:uid="{350EF9F8-CC1F-40A2-A731-E831D16CFBD6}">
      <text>
        <r>
          <rPr>
            <b/>
            <sz val="9"/>
            <color indexed="81"/>
            <rFont val="Tahoma"/>
            <family val="2"/>
          </rPr>
          <t>Author:</t>
        </r>
        <r>
          <rPr>
            <sz val="9"/>
            <color indexed="81"/>
            <rFont val="Tahoma"/>
            <family val="2"/>
          </rPr>
          <t xml:space="preserve">
Applies to the sum of heptachlor and heptachlor epoxide.</t>
        </r>
      </text>
    </comment>
    <comment ref="K273" authorId="0" shapeId="0" xr:uid="{1BC843B4-0D5E-4AFC-B800-2F54AC456AE3}">
      <text>
        <r>
          <rPr>
            <b/>
            <sz val="9"/>
            <color indexed="81"/>
            <rFont val="Tahoma"/>
            <family val="2"/>
          </rPr>
          <t>Author:</t>
        </r>
        <r>
          <rPr>
            <sz val="9"/>
            <color indexed="81"/>
            <rFont val="Tahoma"/>
            <family val="2"/>
          </rPr>
          <t xml:space="preserve">
Applies to the sum of heptachlor and heptachlor epoxide.</t>
        </r>
      </text>
    </comment>
    <comment ref="L273" authorId="0" shapeId="0" xr:uid="{9380614A-B669-4416-9285-6D0C5C2BCF2F}">
      <text>
        <r>
          <rPr>
            <b/>
            <sz val="9"/>
            <color indexed="81"/>
            <rFont val="Tahoma"/>
            <family val="2"/>
          </rPr>
          <t>Author:</t>
        </r>
        <r>
          <rPr>
            <sz val="9"/>
            <color indexed="81"/>
            <rFont val="Tahoma"/>
            <family val="2"/>
          </rPr>
          <t xml:space="preserve">
Applies to the sum of heptachlor and heptachlor epoxide.</t>
        </r>
      </text>
    </comment>
    <comment ref="H274" authorId="0" shapeId="0" xr:uid="{068016C7-C6A8-488B-839B-9D69B6D28181}">
      <text>
        <r>
          <rPr>
            <b/>
            <sz val="9"/>
            <color indexed="81"/>
            <rFont val="Tahoma"/>
            <family val="2"/>
          </rPr>
          <t>Author:</t>
        </r>
        <r>
          <rPr>
            <sz val="9"/>
            <color indexed="81"/>
            <rFont val="Tahoma"/>
            <family val="2"/>
          </rPr>
          <t xml:space="preserve">
Applies to the sum of heptachlor and heptachlor epoxide.</t>
        </r>
      </text>
    </comment>
    <comment ref="I274" authorId="0" shapeId="0" xr:uid="{B475EA2E-9F02-4F9D-A2A3-1AB46B879B00}">
      <text>
        <r>
          <rPr>
            <b/>
            <sz val="9"/>
            <color indexed="81"/>
            <rFont val="Tahoma"/>
            <family val="2"/>
          </rPr>
          <t>Author:</t>
        </r>
        <r>
          <rPr>
            <sz val="9"/>
            <color indexed="81"/>
            <rFont val="Tahoma"/>
            <family val="2"/>
          </rPr>
          <t xml:space="preserve">
Applies to the sum of heptachlor and heptachlor epoxide.</t>
        </r>
      </text>
    </comment>
    <comment ref="J274" authorId="0" shapeId="0" xr:uid="{E3EEF557-FD01-419D-8A8C-5FA2CCA0F05E}">
      <text>
        <r>
          <rPr>
            <b/>
            <sz val="9"/>
            <color indexed="81"/>
            <rFont val="Tahoma"/>
            <family val="2"/>
          </rPr>
          <t>Author:</t>
        </r>
        <r>
          <rPr>
            <sz val="9"/>
            <color indexed="81"/>
            <rFont val="Tahoma"/>
            <family val="2"/>
          </rPr>
          <t xml:space="preserve">
Applies to the sum of heptachlor and heptachlor epoxide.</t>
        </r>
      </text>
    </comment>
    <comment ref="K274" authorId="0" shapeId="0" xr:uid="{E83AF820-207A-44F5-AACC-A46C689B0133}">
      <text>
        <r>
          <rPr>
            <b/>
            <sz val="9"/>
            <color indexed="81"/>
            <rFont val="Tahoma"/>
            <family val="2"/>
          </rPr>
          <t>Author:</t>
        </r>
        <r>
          <rPr>
            <sz val="9"/>
            <color indexed="81"/>
            <rFont val="Tahoma"/>
            <family val="2"/>
          </rPr>
          <t xml:space="preserve">
Applies to the sum of heptachlor and heptachlor epoxide.</t>
        </r>
      </text>
    </comment>
    <comment ref="L274" authorId="0" shapeId="0" xr:uid="{ED576C73-5496-42FD-B9F5-2FE9E793DCFB}">
      <text>
        <r>
          <rPr>
            <b/>
            <sz val="9"/>
            <color indexed="81"/>
            <rFont val="Tahoma"/>
            <family val="2"/>
          </rPr>
          <t>Author:</t>
        </r>
        <r>
          <rPr>
            <sz val="9"/>
            <color indexed="81"/>
            <rFont val="Tahoma"/>
            <family val="2"/>
          </rPr>
          <t xml:space="preserve">
Applies to the sum of heptachlor and heptachlor epoxide.</t>
        </r>
      </text>
    </comment>
    <comment ref="K280" authorId="0" shapeId="0" xr:uid="{EDF2B377-75F5-4408-A9DC-F0F64C9DFF14}">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 ref="L280" authorId="0" shapeId="0" xr:uid="{7345F8EB-A7AF-4B5D-89A7-8509AF1FC5FF}">
      <text>
        <r>
          <rPr>
            <b/>
            <sz val="9"/>
            <color indexed="81"/>
            <rFont val="Tahoma"/>
            <family val="2"/>
          </rPr>
          <t>Author:</t>
        </r>
        <r>
          <rPr>
            <sz val="9"/>
            <color indexed="81"/>
            <rFont val="Tahoma"/>
            <family val="2"/>
          </rPr>
          <t xml:space="preserve">
Listed in Table 749-2 without a value.  Conduct bioassays per WAC 173-340-7492(2)(c)(ii) or consult with Ecology.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30" authorId="0" shapeId="0" xr:uid="{00000000-0006-0000-0A00-000001000000}">
      <text>
        <r>
          <rPr>
            <b/>
            <sz val="9"/>
            <color indexed="81"/>
            <rFont val="Tahoma"/>
            <family val="2"/>
          </rPr>
          <t>Author:</t>
        </r>
        <r>
          <rPr>
            <sz val="9"/>
            <color indexed="81"/>
            <rFont val="Tahoma"/>
            <family val="2"/>
          </rPr>
          <t xml:space="preserve">
Hand-entered from CLARC due to mutagenic mode of action</t>
        </r>
      </text>
    </comment>
    <comment ref="C61" authorId="0" shapeId="0" xr:uid="{7C1F1291-8CE7-45F4-B33F-E9E35DD8546D}">
      <text>
        <r>
          <rPr>
            <b/>
            <sz val="9"/>
            <color indexed="81"/>
            <rFont val="Tahoma"/>
            <family val="2"/>
          </rPr>
          <t>Author:</t>
        </r>
        <r>
          <rPr>
            <sz val="9"/>
            <color indexed="81"/>
            <rFont val="Tahoma"/>
            <family val="2"/>
          </rPr>
          <t xml:space="preserve">
Equation values are provided for cPAH TEQ rather than individual cPAHs.</t>
        </r>
      </text>
    </comment>
    <comment ref="D61" authorId="0" shapeId="0" xr:uid="{6484779E-9911-4052-94FD-90743BB8E4D3}">
      <text>
        <r>
          <rPr>
            <b/>
            <sz val="9"/>
            <color indexed="81"/>
            <rFont val="Tahoma"/>
            <family val="2"/>
          </rPr>
          <t>Author:</t>
        </r>
        <r>
          <rPr>
            <sz val="9"/>
            <color indexed="81"/>
            <rFont val="Tahoma"/>
            <family val="2"/>
          </rPr>
          <t xml:space="preserve">
Equation values are provided for cPAH TEQ rather than individual cPAHs.</t>
        </r>
      </text>
    </comment>
    <comment ref="G77" authorId="0" shapeId="0" xr:uid="{730F0405-5F21-4DA3-9AFC-7D5770AD68DA}">
      <text>
        <r>
          <rPr>
            <b/>
            <sz val="9"/>
            <color indexed="81"/>
            <rFont val="Tahoma"/>
            <family val="2"/>
          </rPr>
          <t>Author:</t>
        </r>
        <r>
          <rPr>
            <sz val="9"/>
            <color indexed="81"/>
            <rFont val="Tahoma"/>
            <family val="2"/>
          </rPr>
          <t xml:space="preserve">
Hand-entered from CLARC, which incorporates age-dependent adjustment factors for mutagenicity</t>
        </r>
      </text>
    </comment>
    <comment ref="G81" authorId="0" shapeId="0" xr:uid="{00000000-0006-0000-0A00-000003000000}">
      <text>
        <r>
          <rPr>
            <b/>
            <sz val="9"/>
            <color indexed="81"/>
            <rFont val="Tahoma"/>
            <family val="2"/>
          </rPr>
          <t>Author:</t>
        </r>
        <r>
          <rPr>
            <sz val="9"/>
            <color indexed="81"/>
            <rFont val="Tahoma"/>
            <family val="2"/>
          </rPr>
          <t xml:space="preserve">
Hand-entered from CLARC due to mutagenic mode of action</t>
        </r>
      </text>
    </comment>
    <comment ref="G135" authorId="0" shapeId="0" xr:uid="{00000000-0006-0000-0A00-000004000000}">
      <text>
        <r>
          <rPr>
            <b/>
            <sz val="9"/>
            <color indexed="81"/>
            <rFont val="Tahoma"/>
            <family val="2"/>
          </rPr>
          <t>Author:</t>
        </r>
        <r>
          <rPr>
            <sz val="9"/>
            <color indexed="81"/>
            <rFont val="Tahoma"/>
            <family val="2"/>
          </rPr>
          <t xml:space="preserve">
Hand-entered from CLARC due to mutagenic mode of action</t>
        </r>
      </text>
    </comment>
    <comment ref="G173" authorId="0" shapeId="0" xr:uid="{00000000-0006-0000-0A00-000005000000}">
      <text>
        <r>
          <rPr>
            <b/>
            <sz val="9"/>
            <color indexed="81"/>
            <rFont val="Tahoma"/>
            <family val="2"/>
          </rPr>
          <t>Author:</t>
        </r>
        <r>
          <rPr>
            <sz val="9"/>
            <color indexed="81"/>
            <rFont val="Tahoma"/>
            <family val="2"/>
          </rPr>
          <t xml:space="preserve">
Hand-entered from CLARC due to mutagenic mode of action</t>
        </r>
      </text>
    </comment>
    <comment ref="G193" authorId="0" shapeId="0" xr:uid="{00000000-0006-0000-0A00-000006000000}">
      <text>
        <r>
          <rPr>
            <b/>
            <sz val="9"/>
            <color indexed="81"/>
            <rFont val="Tahoma"/>
            <family val="2"/>
          </rPr>
          <t>Author:</t>
        </r>
        <r>
          <rPr>
            <sz val="9"/>
            <color indexed="81"/>
            <rFont val="Tahoma"/>
            <family val="2"/>
          </rPr>
          <t xml:space="preserve">
Hand-entered from CLARC due to mutagenic mode of action</t>
        </r>
      </text>
    </comment>
    <comment ref="G196" authorId="0" shapeId="0" xr:uid="{19583540-2270-4EE6-BB2D-4475A75E8654}">
      <text>
        <r>
          <rPr>
            <b/>
            <sz val="9"/>
            <color indexed="81"/>
            <rFont val="Tahoma"/>
            <family val="2"/>
          </rPr>
          <t>Author:</t>
        </r>
        <r>
          <rPr>
            <sz val="9"/>
            <color indexed="81"/>
            <rFont val="Tahoma"/>
            <family val="2"/>
          </rPr>
          <t xml:space="preserve">
Hand-entered due to mutagenic mode of action</t>
        </r>
      </text>
    </comment>
    <comment ref="G206" authorId="0" shapeId="0" xr:uid="{00000000-0006-0000-0A00-000007000000}">
      <text>
        <r>
          <rPr>
            <sz val="9"/>
            <color indexed="81"/>
            <rFont val="Tahoma"/>
            <family val="2"/>
          </rPr>
          <t>Hand-entered from CLARC due to mutagenic mode of action</t>
        </r>
      </text>
    </comment>
    <comment ref="G218" authorId="0" shapeId="0" xr:uid="{00000000-0006-0000-0A00-000008000000}">
      <text>
        <r>
          <rPr>
            <b/>
            <sz val="9"/>
            <color indexed="81"/>
            <rFont val="Tahoma"/>
            <family val="2"/>
          </rPr>
          <t>Author:</t>
        </r>
        <r>
          <rPr>
            <sz val="9"/>
            <color indexed="81"/>
            <rFont val="Tahoma"/>
            <family val="2"/>
          </rPr>
          <t xml:space="preserve">
Hand-entered from CLARC due to mutagenic mode of action</t>
        </r>
      </text>
    </comment>
    <comment ref="I218" authorId="0" shapeId="0" xr:uid="{00000000-0006-0000-0A00-000009000000}">
      <text>
        <r>
          <rPr>
            <b/>
            <sz val="9"/>
            <color indexed="81"/>
            <rFont val="Tahoma"/>
            <family val="2"/>
          </rPr>
          <t>Author:</t>
        </r>
        <r>
          <rPr>
            <sz val="9"/>
            <color indexed="81"/>
            <rFont val="Tahoma"/>
            <family val="2"/>
          </rPr>
          <t xml:space="preserve">
Hand-entered from CLARC due to complicated toxicology</t>
        </r>
      </text>
    </comment>
    <comment ref="G221" authorId="0" shapeId="0" xr:uid="{00000000-0006-0000-0A00-00000A000000}">
      <text>
        <r>
          <rPr>
            <b/>
            <sz val="9"/>
            <color indexed="81"/>
            <rFont val="Tahoma"/>
            <family val="2"/>
          </rPr>
          <t>Author:</t>
        </r>
        <r>
          <rPr>
            <sz val="9"/>
            <color indexed="81"/>
            <rFont val="Tahoma"/>
            <family val="2"/>
          </rPr>
          <t xml:space="preserve">
Hand-entered from CLARC due to mutagenic mode of action</t>
        </r>
      </text>
    </comment>
    <comment ref="F241" authorId="0" shapeId="0" xr:uid="{00000000-0006-0000-0A00-00000B000000}">
      <text>
        <r>
          <rPr>
            <b/>
            <sz val="9"/>
            <color indexed="81"/>
            <rFont val="Tahoma"/>
            <family val="2"/>
          </rPr>
          <t>Author:</t>
        </r>
        <r>
          <rPr>
            <sz val="9"/>
            <color indexed="81"/>
            <rFont val="Tahoma"/>
            <family val="2"/>
          </rPr>
          <t xml:space="preserve">
Ecology's (2017) Model Remedies for Sites with Petroleum Contaminated Soils
May be replaced by a site-specific calculation using the MTCATPH spreadsheet.</t>
        </r>
      </text>
    </comment>
    <comment ref="H241" authorId="0" shapeId="0" xr:uid="{00000000-0006-0000-0A00-00000C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42" authorId="0" shapeId="0" xr:uid="{00000000-0006-0000-0A00-00000D000000}">
      <text>
        <r>
          <rPr>
            <b/>
            <sz val="9"/>
            <color indexed="81"/>
            <rFont val="Tahoma"/>
            <family val="2"/>
          </rPr>
          <t>Author:</t>
        </r>
        <r>
          <rPr>
            <sz val="9"/>
            <color indexed="81"/>
            <rFont val="Tahoma"/>
            <family val="2"/>
          </rPr>
          <t xml:space="preserve">
Ecology's (2017) Model Remedies for Sites with Petroleum Contaminated Soils
May be replaced by a site-specific calculation using the MTCATPH spreadsheet.</t>
        </r>
      </text>
    </comment>
    <comment ref="H242" authorId="0" shapeId="0" xr:uid="{00000000-0006-0000-0A00-00000E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43" authorId="0" shapeId="0" xr:uid="{00000000-0006-0000-0A00-00000F000000}">
      <text>
        <r>
          <rPr>
            <b/>
            <sz val="9"/>
            <color indexed="81"/>
            <rFont val="Tahoma"/>
            <family val="2"/>
          </rPr>
          <t>Author:</t>
        </r>
        <r>
          <rPr>
            <sz val="9"/>
            <color indexed="81"/>
            <rFont val="Tahoma"/>
            <family val="2"/>
          </rPr>
          <t xml:space="preserve">
May be developed as a site-specific calculation using the MTCATPH spreadsheet.</t>
        </r>
      </text>
    </comment>
    <comment ref="H243" authorId="0" shapeId="0" xr:uid="{00000000-0006-0000-0A00-000010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44" authorId="0" shapeId="0" xr:uid="{00000000-0006-0000-0A00-000011000000}">
      <text>
        <r>
          <rPr>
            <b/>
            <sz val="9"/>
            <color indexed="81"/>
            <rFont val="Tahoma"/>
            <family val="2"/>
          </rPr>
          <t>Author:</t>
        </r>
        <r>
          <rPr>
            <sz val="9"/>
            <color indexed="81"/>
            <rFont val="Tahoma"/>
            <family val="2"/>
          </rPr>
          <t xml:space="preserve">
May be developed as a site-specific calculation using the MTCATPH spreadsheet.</t>
        </r>
      </text>
    </comment>
    <comment ref="H244" authorId="0" shapeId="0" xr:uid="{00000000-0006-0000-0A00-000012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45" authorId="0" shapeId="0" xr:uid="{00000000-0006-0000-0A00-000013000000}">
      <text>
        <r>
          <rPr>
            <b/>
            <sz val="9"/>
            <color indexed="81"/>
            <rFont val="Tahoma"/>
            <family val="2"/>
          </rPr>
          <t>Author:</t>
        </r>
        <r>
          <rPr>
            <sz val="9"/>
            <color indexed="81"/>
            <rFont val="Tahoma"/>
            <family val="2"/>
          </rPr>
          <t xml:space="preserve">
May be developed as a site-specific calculation using the MTCATPH spreadsheet.</t>
        </r>
      </text>
    </comment>
    <comment ref="H245" authorId="0" shapeId="0" xr:uid="{00000000-0006-0000-0A00-000014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46" authorId="0" shapeId="0" xr:uid="{00000000-0006-0000-0A00-000015000000}">
      <text>
        <r>
          <rPr>
            <b/>
            <sz val="9"/>
            <color indexed="81"/>
            <rFont val="Tahoma"/>
            <family val="2"/>
          </rPr>
          <t>Author:</t>
        </r>
        <r>
          <rPr>
            <sz val="9"/>
            <color indexed="81"/>
            <rFont val="Tahoma"/>
            <family val="2"/>
          </rPr>
          <t xml:space="preserve">
May be developed as a site-specific calculation using the MTCATPH spreadsheet.</t>
        </r>
      </text>
    </comment>
    <comment ref="H246" authorId="0" shapeId="0" xr:uid="{00000000-0006-0000-0A00-000016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4" authorId="0" shapeId="0" xr:uid="{00000000-0006-0000-0B00-000001000000}">
      <text>
        <r>
          <rPr>
            <b/>
            <sz val="9"/>
            <color indexed="81"/>
            <rFont val="Tahoma"/>
            <family val="2"/>
          </rPr>
          <t>Author:</t>
        </r>
        <r>
          <rPr>
            <sz val="9"/>
            <color indexed="81"/>
            <rFont val="Tahoma"/>
            <family val="2"/>
          </rPr>
          <t xml:space="preserve">
See note in Table 1.</t>
        </r>
      </text>
    </comment>
    <comment ref="F29" authorId="0" shapeId="0" xr:uid="{A062DCB0-96F7-4215-8DAE-FC27EFC4978B}">
      <text>
        <r>
          <rPr>
            <b/>
            <sz val="9"/>
            <color indexed="81"/>
            <rFont val="Tahoma"/>
            <family val="2"/>
          </rPr>
          <t>Author:</t>
        </r>
        <r>
          <rPr>
            <sz val="9"/>
            <color indexed="81"/>
            <rFont val="Tahoma"/>
            <family val="2"/>
          </rPr>
          <t xml:space="preserve">
Per CLARC July 2024 update</t>
        </r>
      </text>
    </comment>
    <comment ref="G29" authorId="0" shapeId="0" xr:uid="{032922DC-9E17-4842-8D96-B66F328CB379}">
      <text>
        <r>
          <rPr>
            <b/>
            <sz val="9"/>
            <color indexed="81"/>
            <rFont val="Tahoma"/>
            <family val="2"/>
          </rPr>
          <t>Author:</t>
        </r>
        <r>
          <rPr>
            <sz val="9"/>
            <color indexed="81"/>
            <rFont val="Tahoma"/>
            <family val="2"/>
          </rPr>
          <t xml:space="preserve">
Per CLARC July 2024 update</t>
        </r>
      </text>
    </comment>
    <comment ref="F241" authorId="0" shapeId="0" xr:uid="{0648A3A1-B62B-448A-AC3F-F54FC8266544}">
      <text>
        <r>
          <rPr>
            <b/>
            <sz val="9"/>
            <color indexed="81"/>
            <rFont val="Tahoma"/>
            <family val="2"/>
          </rPr>
          <t>Author:</t>
        </r>
        <r>
          <rPr>
            <sz val="9"/>
            <color indexed="81"/>
            <rFont val="Tahoma"/>
            <family val="2"/>
          </rPr>
          <t xml:space="preserve">
Method A</t>
        </r>
      </text>
    </comment>
    <comment ref="G241" authorId="0" shapeId="0" xr:uid="{9CB7001C-FB80-4963-BBFB-446972E6B719}">
      <text>
        <r>
          <rPr>
            <b/>
            <sz val="9"/>
            <color indexed="81"/>
            <rFont val="Tahoma"/>
            <family val="2"/>
          </rPr>
          <t>Author:</t>
        </r>
        <r>
          <rPr>
            <sz val="9"/>
            <color indexed="81"/>
            <rFont val="Tahoma"/>
            <family val="2"/>
          </rPr>
          <t xml:space="preserve">
Method A</t>
        </r>
      </text>
    </comment>
    <comment ref="I241" authorId="0" shapeId="0" xr:uid="{A9C1E156-6934-45DD-9BC2-111F5D342CFC}">
      <text>
        <r>
          <rPr>
            <b/>
            <sz val="9"/>
            <color indexed="81"/>
            <rFont val="Tahoma"/>
            <family val="2"/>
          </rPr>
          <t>Author:</t>
        </r>
        <r>
          <rPr>
            <sz val="9"/>
            <color indexed="81"/>
            <rFont val="Tahoma"/>
            <family val="2"/>
          </rPr>
          <t xml:space="preserve">
Method A</t>
        </r>
      </text>
    </comment>
    <comment ref="J241" authorId="0" shapeId="0" xr:uid="{132B4C71-0939-4293-9614-CF5435A0E032}">
      <text>
        <r>
          <rPr>
            <b/>
            <sz val="9"/>
            <color indexed="81"/>
            <rFont val="Tahoma"/>
            <family val="2"/>
          </rPr>
          <t>Author:</t>
        </r>
        <r>
          <rPr>
            <sz val="9"/>
            <color indexed="81"/>
            <rFont val="Tahoma"/>
            <family val="2"/>
          </rPr>
          <t xml:space="preserve">
Method A</t>
        </r>
      </text>
    </comment>
    <comment ref="F242" authorId="0" shapeId="0" xr:uid="{EE3C2827-9D6C-42F0-9F02-A11CC968BB47}">
      <text>
        <r>
          <rPr>
            <b/>
            <sz val="9"/>
            <color indexed="81"/>
            <rFont val="Tahoma"/>
            <family val="2"/>
          </rPr>
          <t>Author:</t>
        </r>
        <r>
          <rPr>
            <sz val="9"/>
            <color indexed="81"/>
            <rFont val="Tahoma"/>
            <family val="2"/>
          </rPr>
          <t xml:space="preserve">
Method A</t>
        </r>
      </text>
    </comment>
    <comment ref="G242" authorId="0" shapeId="0" xr:uid="{A755833C-78D0-4151-BD5D-B44BB1F4FE6F}">
      <text>
        <r>
          <rPr>
            <b/>
            <sz val="9"/>
            <color indexed="81"/>
            <rFont val="Tahoma"/>
            <family val="2"/>
          </rPr>
          <t>Author:</t>
        </r>
        <r>
          <rPr>
            <sz val="9"/>
            <color indexed="81"/>
            <rFont val="Tahoma"/>
            <family val="2"/>
          </rPr>
          <t xml:space="preserve">
Method A</t>
        </r>
      </text>
    </comment>
    <comment ref="I242" authorId="0" shapeId="0" xr:uid="{F3B99560-8A98-4D65-86FB-79EB3B90DDAD}">
      <text>
        <r>
          <rPr>
            <b/>
            <sz val="9"/>
            <color indexed="81"/>
            <rFont val="Tahoma"/>
            <family val="2"/>
          </rPr>
          <t>Author:</t>
        </r>
        <r>
          <rPr>
            <sz val="9"/>
            <color indexed="81"/>
            <rFont val="Tahoma"/>
            <family val="2"/>
          </rPr>
          <t xml:space="preserve">
Method A</t>
        </r>
      </text>
    </comment>
    <comment ref="J242" authorId="0" shapeId="0" xr:uid="{987D7302-3207-4A52-88A2-0D0AD708F42B}">
      <text>
        <r>
          <rPr>
            <b/>
            <sz val="9"/>
            <color indexed="81"/>
            <rFont val="Tahoma"/>
            <family val="2"/>
          </rPr>
          <t>Author:</t>
        </r>
        <r>
          <rPr>
            <sz val="9"/>
            <color indexed="81"/>
            <rFont val="Tahoma"/>
            <family val="2"/>
          </rPr>
          <t xml:space="preserve">
Method A</t>
        </r>
      </text>
    </comment>
    <comment ref="F243" authorId="0" shapeId="0" xr:uid="{D2401366-7817-4D01-AB93-F2BC17B21ADA}">
      <text>
        <r>
          <rPr>
            <b/>
            <sz val="9"/>
            <color indexed="81"/>
            <rFont val="Tahoma"/>
            <family val="2"/>
          </rPr>
          <t>Author:</t>
        </r>
        <r>
          <rPr>
            <sz val="9"/>
            <color indexed="81"/>
            <rFont val="Tahoma"/>
            <family val="2"/>
          </rPr>
          <t xml:space="preserve">
Method A</t>
        </r>
      </text>
    </comment>
    <comment ref="G243" authorId="0" shapeId="0" xr:uid="{13482C94-4354-4157-A756-4E7D20B79125}">
      <text>
        <r>
          <rPr>
            <b/>
            <sz val="9"/>
            <color indexed="81"/>
            <rFont val="Tahoma"/>
            <family val="2"/>
          </rPr>
          <t>Author:</t>
        </r>
        <r>
          <rPr>
            <sz val="9"/>
            <color indexed="81"/>
            <rFont val="Tahoma"/>
            <family val="2"/>
          </rPr>
          <t xml:space="preserve">
Method A</t>
        </r>
      </text>
    </comment>
    <comment ref="I243" authorId="0" shapeId="0" xr:uid="{0DBEBB8E-110D-4EB2-B9A2-C9287BD9FC82}">
      <text>
        <r>
          <rPr>
            <b/>
            <sz val="9"/>
            <color indexed="81"/>
            <rFont val="Tahoma"/>
            <family val="2"/>
          </rPr>
          <t>Author:</t>
        </r>
        <r>
          <rPr>
            <sz val="9"/>
            <color indexed="81"/>
            <rFont val="Tahoma"/>
            <family val="2"/>
          </rPr>
          <t xml:space="preserve">
Method A</t>
        </r>
      </text>
    </comment>
    <comment ref="J243" authorId="0" shapeId="0" xr:uid="{DACE260F-3429-421D-B294-D8E80A2FC075}">
      <text>
        <r>
          <rPr>
            <b/>
            <sz val="9"/>
            <color indexed="81"/>
            <rFont val="Tahoma"/>
            <family val="2"/>
          </rPr>
          <t>Author:</t>
        </r>
        <r>
          <rPr>
            <sz val="9"/>
            <color indexed="81"/>
            <rFont val="Tahoma"/>
            <family val="2"/>
          </rPr>
          <t xml:space="preserve">
Method A</t>
        </r>
      </text>
    </comment>
    <comment ref="F244" authorId="0" shapeId="0" xr:uid="{E16A7E72-2E94-4DDD-8168-5A29C927EC3B}">
      <text>
        <r>
          <rPr>
            <b/>
            <sz val="9"/>
            <color indexed="81"/>
            <rFont val="Tahoma"/>
            <family val="2"/>
          </rPr>
          <t>Author:</t>
        </r>
        <r>
          <rPr>
            <sz val="9"/>
            <color indexed="81"/>
            <rFont val="Tahoma"/>
            <family val="2"/>
          </rPr>
          <t xml:space="preserve">
Method A</t>
        </r>
      </text>
    </comment>
    <comment ref="G244" authorId="0" shapeId="0" xr:uid="{A3AC806E-D0FE-49DF-928A-EAD5BB6132C0}">
      <text>
        <r>
          <rPr>
            <b/>
            <sz val="9"/>
            <color indexed="81"/>
            <rFont val="Tahoma"/>
            <family val="2"/>
          </rPr>
          <t>Author:</t>
        </r>
        <r>
          <rPr>
            <sz val="9"/>
            <color indexed="81"/>
            <rFont val="Tahoma"/>
            <family val="2"/>
          </rPr>
          <t xml:space="preserve">
Method A</t>
        </r>
      </text>
    </comment>
    <comment ref="I244" authorId="0" shapeId="0" xr:uid="{6A412421-9A41-4666-B623-56ED850E2B36}">
      <text>
        <r>
          <rPr>
            <b/>
            <sz val="9"/>
            <color indexed="81"/>
            <rFont val="Tahoma"/>
            <family val="2"/>
          </rPr>
          <t>Author:</t>
        </r>
        <r>
          <rPr>
            <sz val="9"/>
            <color indexed="81"/>
            <rFont val="Tahoma"/>
            <family val="2"/>
          </rPr>
          <t xml:space="preserve">
Method A</t>
        </r>
      </text>
    </comment>
    <comment ref="J244" authorId="0" shapeId="0" xr:uid="{1D7AAD1B-D078-4CBF-9AAB-FFB01049C4D1}">
      <text>
        <r>
          <rPr>
            <b/>
            <sz val="9"/>
            <color indexed="81"/>
            <rFont val="Tahoma"/>
            <family val="2"/>
          </rPr>
          <t>Author:</t>
        </r>
        <r>
          <rPr>
            <sz val="9"/>
            <color indexed="81"/>
            <rFont val="Tahoma"/>
            <family val="2"/>
          </rPr>
          <t xml:space="preserve">
Method A</t>
        </r>
      </text>
    </comment>
    <comment ref="F245" authorId="0" shapeId="0" xr:uid="{EC0E6731-6630-4700-A7DE-9BB46E57E2E0}">
      <text>
        <r>
          <rPr>
            <b/>
            <sz val="9"/>
            <color indexed="81"/>
            <rFont val="Tahoma"/>
            <family val="2"/>
          </rPr>
          <t>Author:</t>
        </r>
        <r>
          <rPr>
            <sz val="9"/>
            <color indexed="81"/>
            <rFont val="Tahoma"/>
            <family val="2"/>
          </rPr>
          <t xml:space="preserve">
Method A</t>
        </r>
      </text>
    </comment>
    <comment ref="G245" authorId="0" shapeId="0" xr:uid="{FBABB057-4311-4FD5-A6C1-EFC6F7D524C9}">
      <text>
        <r>
          <rPr>
            <b/>
            <sz val="9"/>
            <color indexed="81"/>
            <rFont val="Tahoma"/>
            <family val="2"/>
          </rPr>
          <t>Author:</t>
        </r>
        <r>
          <rPr>
            <sz val="9"/>
            <color indexed="81"/>
            <rFont val="Tahoma"/>
            <family val="2"/>
          </rPr>
          <t xml:space="preserve">
Method A</t>
        </r>
      </text>
    </comment>
    <comment ref="I245" authorId="0" shapeId="0" xr:uid="{3D79C495-3D79-4E73-BA2A-A8C47498FC57}">
      <text>
        <r>
          <rPr>
            <b/>
            <sz val="9"/>
            <color indexed="81"/>
            <rFont val="Tahoma"/>
            <family val="2"/>
          </rPr>
          <t>Author:</t>
        </r>
        <r>
          <rPr>
            <sz val="9"/>
            <color indexed="81"/>
            <rFont val="Tahoma"/>
            <family val="2"/>
          </rPr>
          <t xml:space="preserve">
Method A</t>
        </r>
      </text>
    </comment>
    <comment ref="J245" authorId="0" shapeId="0" xr:uid="{685211A9-3387-416F-AEB3-DD90A3CFCF34}">
      <text>
        <r>
          <rPr>
            <b/>
            <sz val="9"/>
            <color indexed="81"/>
            <rFont val="Tahoma"/>
            <family val="2"/>
          </rPr>
          <t>Author:</t>
        </r>
        <r>
          <rPr>
            <sz val="9"/>
            <color indexed="81"/>
            <rFont val="Tahoma"/>
            <family val="2"/>
          </rPr>
          <t xml:space="preserve">
Method A</t>
        </r>
      </text>
    </comment>
    <comment ref="F246" authorId="0" shapeId="0" xr:uid="{243D04FB-E37C-4040-9855-90F6CD227C88}">
      <text>
        <r>
          <rPr>
            <b/>
            <sz val="9"/>
            <color indexed="81"/>
            <rFont val="Tahoma"/>
            <family val="2"/>
          </rPr>
          <t>Author:</t>
        </r>
        <r>
          <rPr>
            <sz val="9"/>
            <color indexed="81"/>
            <rFont val="Tahoma"/>
            <family val="2"/>
          </rPr>
          <t xml:space="preserve">
Method A</t>
        </r>
      </text>
    </comment>
    <comment ref="G246" authorId="0" shapeId="0" xr:uid="{DF89D1D7-919C-46B2-9395-8DF7ED6F245E}">
      <text>
        <r>
          <rPr>
            <b/>
            <sz val="9"/>
            <color indexed="81"/>
            <rFont val="Tahoma"/>
            <family val="2"/>
          </rPr>
          <t>Author:</t>
        </r>
        <r>
          <rPr>
            <sz val="9"/>
            <color indexed="81"/>
            <rFont val="Tahoma"/>
            <family val="2"/>
          </rPr>
          <t xml:space="preserve">
Method A</t>
        </r>
      </text>
    </comment>
    <comment ref="I246" authorId="0" shapeId="0" xr:uid="{15FE9631-F55F-4E5A-99B8-2775790A2706}">
      <text>
        <r>
          <rPr>
            <b/>
            <sz val="9"/>
            <color indexed="81"/>
            <rFont val="Tahoma"/>
            <family val="2"/>
          </rPr>
          <t>Author:</t>
        </r>
        <r>
          <rPr>
            <sz val="9"/>
            <color indexed="81"/>
            <rFont val="Tahoma"/>
            <family val="2"/>
          </rPr>
          <t xml:space="preserve">
Method A</t>
        </r>
      </text>
    </comment>
    <comment ref="J246" authorId="0" shapeId="0" xr:uid="{27F18101-53CC-4CCC-9E1F-75752C0A160D}">
      <text>
        <r>
          <rPr>
            <b/>
            <sz val="9"/>
            <color indexed="81"/>
            <rFont val="Tahoma"/>
            <family val="2"/>
          </rPr>
          <t>Author:</t>
        </r>
        <r>
          <rPr>
            <sz val="9"/>
            <color indexed="81"/>
            <rFont val="Tahoma"/>
            <family val="2"/>
          </rPr>
          <t xml:space="preserve">
Method 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4" authorId="0" shapeId="0" xr:uid="{B25AA667-059C-4B61-BF0B-9C75D309F8D0}">
      <text>
        <r>
          <rPr>
            <b/>
            <sz val="9"/>
            <color indexed="81"/>
            <rFont val="Tahoma"/>
            <family val="2"/>
          </rPr>
          <t>Author:</t>
        </r>
        <r>
          <rPr>
            <sz val="9"/>
            <color indexed="81"/>
            <rFont val="Tahoma"/>
            <family val="2"/>
          </rPr>
          <t xml:space="preserve">
Secondary MCL</t>
        </r>
      </text>
    </comment>
    <comment ref="F15" authorId="0" shapeId="0" xr:uid="{9D1F40DF-E220-4EFC-978F-9D8BC2031DAB}">
      <text>
        <r>
          <rPr>
            <b/>
            <sz val="9"/>
            <color indexed="81"/>
            <rFont val="Tahoma"/>
            <family val="2"/>
          </rPr>
          <t>Author:</t>
        </r>
        <r>
          <rPr>
            <sz val="9"/>
            <color indexed="81"/>
            <rFont val="Tahoma"/>
            <family val="2"/>
          </rPr>
          <t xml:space="preserve">
Applies to free cyanide</t>
        </r>
      </text>
    </comment>
    <comment ref="E19" authorId="0" shapeId="0" xr:uid="{235AF555-045C-44CB-86EA-95A4D3F42016}">
      <text>
        <r>
          <rPr>
            <b/>
            <sz val="9"/>
            <color indexed="81"/>
            <rFont val="Tahoma"/>
            <family val="2"/>
          </rPr>
          <t>Author:</t>
        </r>
        <r>
          <rPr>
            <sz val="9"/>
            <color indexed="81"/>
            <rFont val="Tahoma"/>
            <family val="2"/>
          </rPr>
          <t xml:space="preserve">
Secondary MCL
</t>
        </r>
      </text>
    </comment>
    <comment ref="N30" authorId="0" shapeId="0" xr:uid="{1F0063AB-81A2-4849-8577-9E0F6F45989F}">
      <text>
        <r>
          <rPr>
            <b/>
            <sz val="9"/>
            <color indexed="81"/>
            <rFont val="Tahoma"/>
            <family val="2"/>
          </rPr>
          <t>Author:</t>
        </r>
        <r>
          <rPr>
            <sz val="9"/>
            <color indexed="81"/>
            <rFont val="Tahoma"/>
            <family val="2"/>
          </rPr>
          <t xml:space="preserve">
Hand-entered from CLARC.  Chemical-specific policy decision to adjust Method B equation value to 1E-5 cancer risk.</t>
        </r>
      </text>
    </comment>
    <comment ref="E33" authorId="0" shapeId="0" xr:uid="{00000000-0006-0000-0C00-000003000000}">
      <text>
        <r>
          <rPr>
            <b/>
            <sz val="9"/>
            <color indexed="81"/>
            <rFont val="Tahoma"/>
            <family val="2"/>
          </rPr>
          <t>Author:</t>
        </r>
        <r>
          <rPr>
            <sz val="9"/>
            <color indexed="81"/>
            <rFont val="Tahoma"/>
            <family val="2"/>
          </rPr>
          <t xml:space="preserve">
Secondary MCL</t>
        </r>
      </text>
    </comment>
    <comment ref="C34" authorId="0" shapeId="0" xr:uid="{34817FE6-1A47-4B12-BD4C-AFD498A7829B}">
      <text>
        <r>
          <rPr>
            <b/>
            <sz val="9"/>
            <color indexed="81"/>
            <rFont val="Tahoma"/>
            <family val="2"/>
          </rPr>
          <t>Author:</t>
        </r>
        <r>
          <rPr>
            <sz val="9"/>
            <color indexed="81"/>
            <rFont val="Tahoma"/>
            <family val="2"/>
          </rPr>
          <t xml:space="preserve">
Action level for treatment</t>
        </r>
      </text>
    </comment>
    <comment ref="E35" authorId="0" shapeId="0" xr:uid="{00000000-0006-0000-0C00-000005000000}">
      <text>
        <r>
          <rPr>
            <b/>
            <sz val="9"/>
            <color indexed="81"/>
            <rFont val="Tahoma"/>
            <family val="2"/>
          </rPr>
          <t>Author:</t>
        </r>
        <r>
          <rPr>
            <sz val="9"/>
            <color indexed="81"/>
            <rFont val="Tahoma"/>
            <family val="2"/>
          </rPr>
          <t xml:space="preserve">
Secondary MCL</t>
        </r>
      </text>
    </comment>
    <comment ref="E41" authorId="0" shapeId="0" xr:uid="{00000000-0006-0000-0C00-000006000000}">
      <text>
        <r>
          <rPr>
            <b/>
            <sz val="9"/>
            <color indexed="81"/>
            <rFont val="Tahoma"/>
            <family val="2"/>
          </rPr>
          <t>Author:</t>
        </r>
        <r>
          <rPr>
            <sz val="9"/>
            <color indexed="81"/>
            <rFont val="Tahoma"/>
            <family val="2"/>
          </rPr>
          <t xml:space="preserve">
Secondary MCL</t>
        </r>
      </text>
    </comment>
    <comment ref="E45" authorId="0" shapeId="0" xr:uid="{00000000-0006-0000-0C00-000007000000}">
      <text>
        <r>
          <rPr>
            <b/>
            <sz val="9"/>
            <color indexed="81"/>
            <rFont val="Tahoma"/>
            <family val="2"/>
          </rPr>
          <t>Author:</t>
        </r>
        <r>
          <rPr>
            <sz val="9"/>
            <color indexed="81"/>
            <rFont val="Tahoma"/>
            <family val="2"/>
          </rPr>
          <t xml:space="preserve">
Secondary MCL</t>
        </r>
      </text>
    </comment>
    <comment ref="C156" authorId="0" shapeId="0" xr:uid="{00000000-0006-0000-0C00-000008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56" authorId="0" shapeId="0" xr:uid="{00000000-0006-0000-0C00-000009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167" authorId="0" shapeId="0" xr:uid="{00000000-0006-0000-0C00-00000A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67" authorId="0" shapeId="0" xr:uid="{00000000-0006-0000-0C00-00000B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172" authorId="0" shapeId="0" xr:uid="{00000000-0006-0000-0C00-00000C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72" authorId="0" shapeId="0" xr:uid="{00000000-0006-0000-0C00-00000D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175" authorId="0" shapeId="0" xr:uid="{00000000-0006-0000-0C00-00000E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75" authorId="0" shapeId="0" xr:uid="{00000000-0006-0000-0C00-00000F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231" authorId="0" shapeId="0" xr:uid="{48A6AEB9-044C-41E5-B0FB-1B74062CB002}">
      <text>
        <r>
          <rPr>
            <b/>
            <sz val="9"/>
            <color indexed="81"/>
            <rFont val="Tahoma"/>
            <family val="2"/>
          </rPr>
          <t>Author:</t>
        </r>
        <r>
          <rPr>
            <sz val="9"/>
            <color indexed="81"/>
            <rFont val="Tahoma"/>
            <family val="2"/>
          </rPr>
          <t xml:space="preserve">
Must calculate a hazard index that includes PFBS, PFHxS, and PFNA.</t>
        </r>
      </text>
    </comment>
    <comment ref="E231" authorId="0" shapeId="0" xr:uid="{AF42D11A-8054-45C5-8080-D50F6CA6EA43}">
      <text>
        <r>
          <rPr>
            <b/>
            <sz val="9"/>
            <color indexed="81"/>
            <rFont val="Tahoma"/>
            <family val="2"/>
          </rPr>
          <t>Author:</t>
        </r>
        <r>
          <rPr>
            <sz val="9"/>
            <color indexed="81"/>
            <rFont val="Tahoma"/>
            <family val="2"/>
          </rPr>
          <t xml:space="preserve">
Must calculate a hazard index that includes PFBS, PFHxS, and PFNA.</t>
        </r>
      </text>
    </comment>
    <comment ref="C233" authorId="0" shapeId="0" xr:uid="{135956B8-BF9C-4C1E-8487-124AC75BE8C0}">
      <text>
        <r>
          <rPr>
            <b/>
            <sz val="9"/>
            <color indexed="81"/>
            <rFont val="Tahoma"/>
            <family val="2"/>
          </rPr>
          <t>Author:</t>
        </r>
        <r>
          <rPr>
            <sz val="9"/>
            <color indexed="81"/>
            <rFont val="Tahoma"/>
            <family val="2"/>
          </rPr>
          <t xml:space="preserve">
Must calculate a hazard index that includes GenX, PFHxS, and PFNA.</t>
        </r>
      </text>
    </comment>
    <comment ref="E233" authorId="0" shapeId="0" xr:uid="{25166767-ECA6-4204-BE9B-03D14AC47CC7}">
      <text>
        <r>
          <rPr>
            <b/>
            <sz val="9"/>
            <color indexed="81"/>
            <rFont val="Tahoma"/>
            <family val="2"/>
          </rPr>
          <t>Author:</t>
        </r>
        <r>
          <rPr>
            <sz val="9"/>
            <color indexed="81"/>
            <rFont val="Tahoma"/>
            <family val="2"/>
          </rPr>
          <t xml:space="preserve">
Must calculate a hazard index that includes GenX, PFHxS, and PFNA.</t>
        </r>
      </text>
    </comment>
    <comment ref="C236" authorId="0" shapeId="0" xr:uid="{E3964372-EA98-480C-B71A-2230D33B0B5B}">
      <text>
        <r>
          <rPr>
            <b/>
            <sz val="9"/>
            <color indexed="81"/>
            <rFont val="Tahoma"/>
            <family val="2"/>
          </rPr>
          <t>Author:</t>
        </r>
        <r>
          <rPr>
            <sz val="9"/>
            <color indexed="81"/>
            <rFont val="Tahoma"/>
            <family val="2"/>
          </rPr>
          <t xml:space="preserve">
Must calculate a hazard index that includes GenX, PFBS, and PFNA.</t>
        </r>
      </text>
    </comment>
    <comment ref="E236" authorId="0" shapeId="0" xr:uid="{52B24282-512A-4F57-BF79-22D3B02C16C6}">
      <text>
        <r>
          <rPr>
            <b/>
            <sz val="9"/>
            <color indexed="81"/>
            <rFont val="Tahoma"/>
            <family val="2"/>
          </rPr>
          <t>Author:</t>
        </r>
        <r>
          <rPr>
            <sz val="9"/>
            <color indexed="81"/>
            <rFont val="Tahoma"/>
            <family val="2"/>
          </rPr>
          <t xml:space="preserve">
Must calculate a hazard index that includes GenX, PFBS, and PFNA.</t>
        </r>
      </text>
    </comment>
    <comment ref="C237" authorId="0" shapeId="0" xr:uid="{C3F974B2-82E7-4A64-B133-C71F8592A836}">
      <text>
        <r>
          <rPr>
            <b/>
            <sz val="9"/>
            <color indexed="81"/>
            <rFont val="Tahoma"/>
            <family val="2"/>
          </rPr>
          <t>Author:</t>
        </r>
        <r>
          <rPr>
            <sz val="9"/>
            <color indexed="81"/>
            <rFont val="Tahoma"/>
            <family val="2"/>
          </rPr>
          <t xml:space="preserve">
Must calculate a hazard index that includes GenX, PFBS, and PFHxS.</t>
        </r>
      </text>
    </comment>
    <comment ref="E237" authorId="0" shapeId="0" xr:uid="{4326717C-410D-476E-9ED8-D35447693CEB}">
      <text>
        <r>
          <rPr>
            <b/>
            <sz val="9"/>
            <color indexed="81"/>
            <rFont val="Tahoma"/>
            <family val="2"/>
          </rPr>
          <t>Author:</t>
        </r>
        <r>
          <rPr>
            <sz val="9"/>
            <color indexed="81"/>
            <rFont val="Tahoma"/>
            <family val="2"/>
          </rPr>
          <t xml:space="preserve">
Must calculate a hazard index that includes GenX, PFBS, and PFHxS.</t>
        </r>
      </text>
    </comment>
    <comment ref="O238" authorId="0" shapeId="0" xr:uid="{0890E6EC-A6AF-4EF1-AD56-C99BB1A6CB87}">
      <text>
        <r>
          <rPr>
            <b/>
            <sz val="9"/>
            <color indexed="81"/>
            <rFont val="Tahoma"/>
            <family val="2"/>
          </rPr>
          <t>Author:</t>
        </r>
        <r>
          <rPr>
            <sz val="9"/>
            <color indexed="81"/>
            <rFont val="Tahoma"/>
            <family val="2"/>
          </rPr>
          <t xml:space="preserve">
Adjusted up to PQL to be consistent with CLARC</t>
        </r>
      </text>
    </comment>
    <comment ref="O239" authorId="0" shapeId="0" xr:uid="{B1552AB8-3265-4112-B185-26FDD7D5669C}">
      <text>
        <r>
          <rPr>
            <b/>
            <sz val="9"/>
            <color indexed="81"/>
            <rFont val="Tahoma"/>
            <family val="2"/>
          </rPr>
          <t>Author:</t>
        </r>
        <r>
          <rPr>
            <sz val="9"/>
            <color indexed="81"/>
            <rFont val="Tahoma"/>
            <family val="2"/>
          </rPr>
          <t xml:space="preserve">
Adjusted up to PQL to be consistent with CLARC</t>
        </r>
      </text>
    </comment>
    <comment ref="G241" authorId="0" shapeId="0" xr:uid="{00000000-0006-0000-0C00-000010000000}">
      <text>
        <r>
          <rPr>
            <b/>
            <sz val="9"/>
            <color indexed="81"/>
            <rFont val="Tahoma"/>
            <family val="2"/>
          </rPr>
          <t>Author:</t>
        </r>
        <r>
          <rPr>
            <sz val="9"/>
            <color indexed="81"/>
            <rFont val="Tahoma"/>
            <family val="2"/>
          </rPr>
          <t xml:space="preserve">
Method A (benzene present)</t>
        </r>
      </text>
    </comment>
    <comment ref="G242" authorId="0" shapeId="0" xr:uid="{00000000-0006-0000-0C00-000011000000}">
      <text>
        <r>
          <rPr>
            <b/>
            <sz val="9"/>
            <color indexed="81"/>
            <rFont val="Tahoma"/>
            <family val="2"/>
          </rPr>
          <t>Author:</t>
        </r>
        <r>
          <rPr>
            <sz val="9"/>
            <color indexed="81"/>
            <rFont val="Tahoma"/>
            <family val="2"/>
          </rPr>
          <t xml:space="preserve">
Method A (no benzene present)</t>
        </r>
      </text>
    </comment>
    <comment ref="G243" authorId="0" shapeId="0" xr:uid="{00000000-0006-0000-0C00-000012000000}">
      <text>
        <r>
          <rPr>
            <b/>
            <sz val="9"/>
            <color indexed="81"/>
            <rFont val="Tahoma"/>
            <family val="2"/>
          </rPr>
          <t>Author:</t>
        </r>
        <r>
          <rPr>
            <sz val="9"/>
            <color indexed="81"/>
            <rFont val="Tahoma"/>
            <family val="2"/>
          </rPr>
          <t xml:space="preserve">
Method A</t>
        </r>
      </text>
    </comment>
    <comment ref="G244" authorId="0" shapeId="0" xr:uid="{00000000-0006-0000-0C00-000013000000}">
      <text>
        <r>
          <rPr>
            <b/>
            <sz val="9"/>
            <color indexed="81"/>
            <rFont val="Tahoma"/>
            <family val="2"/>
          </rPr>
          <t>Author:</t>
        </r>
        <r>
          <rPr>
            <sz val="9"/>
            <color indexed="81"/>
            <rFont val="Tahoma"/>
            <family val="2"/>
          </rPr>
          <t xml:space="preserve">
Method A</t>
        </r>
      </text>
    </comment>
    <comment ref="G245" authorId="0" shapeId="0" xr:uid="{00000000-0006-0000-0C00-000014000000}">
      <text>
        <r>
          <rPr>
            <b/>
            <sz val="9"/>
            <color indexed="81"/>
            <rFont val="Tahoma"/>
            <family val="2"/>
          </rPr>
          <t>Author:</t>
        </r>
        <r>
          <rPr>
            <sz val="9"/>
            <color indexed="81"/>
            <rFont val="Tahoma"/>
            <family val="2"/>
          </rPr>
          <t xml:space="preserve">
Method A</t>
        </r>
      </text>
    </comment>
    <comment ref="G246" authorId="0" shapeId="0" xr:uid="{00000000-0006-0000-0C00-000015000000}">
      <text>
        <r>
          <rPr>
            <b/>
            <sz val="9"/>
            <color indexed="81"/>
            <rFont val="Tahoma"/>
            <family val="2"/>
          </rPr>
          <t>Author:</t>
        </r>
        <r>
          <rPr>
            <sz val="9"/>
            <color indexed="81"/>
            <rFont val="Tahoma"/>
            <family val="2"/>
          </rPr>
          <t xml:space="preserve">
Method A</t>
        </r>
      </text>
    </comment>
  </commentList>
</comments>
</file>

<file path=xl/sharedStrings.xml><?xml version="1.0" encoding="utf-8"?>
<sst xmlns="http://schemas.openxmlformats.org/spreadsheetml/2006/main" count="20113" uniqueCount="2352">
  <si>
    <t>Chemical</t>
  </si>
  <si>
    <t xml:space="preserve">Dioxins/Furans </t>
  </si>
  <si>
    <t>Metals</t>
  </si>
  <si>
    <t>Chromium, hexavalent</t>
  </si>
  <si>
    <t>Benzo(a)pyrene</t>
  </si>
  <si>
    <t>Other SVOCs</t>
  </si>
  <si>
    <t>Benzidine</t>
  </si>
  <si>
    <t>n-Nitrosodimethylamine</t>
  </si>
  <si>
    <t>Pesticides</t>
  </si>
  <si>
    <t>Petroleum Hydrocarbons</t>
  </si>
  <si>
    <t>Volatile Organic Compounds</t>
  </si>
  <si>
    <t>Methylene chloride</t>
  </si>
  <si>
    <t>CAS No.</t>
  </si>
  <si>
    <t>L/kg</t>
  </si>
  <si>
    <t>mg/kg-day</t>
  </si>
  <si>
    <t>RfD</t>
  </si>
  <si>
    <t>Risk</t>
  </si>
  <si>
    <t>unitless</t>
  </si>
  <si>
    <t>ABW</t>
  </si>
  <si>
    <t>kg</t>
  </si>
  <si>
    <t>AT</t>
  </si>
  <si>
    <t>years</t>
  </si>
  <si>
    <t>UCF1</t>
  </si>
  <si>
    <t>ug/mg</t>
  </si>
  <si>
    <t>UCF2</t>
  </si>
  <si>
    <t>Bioconcentration factor</t>
  </si>
  <si>
    <t>BCF</t>
  </si>
  <si>
    <t>FCR</t>
  </si>
  <si>
    <t>g/day</t>
  </si>
  <si>
    <t>FDF</t>
  </si>
  <si>
    <t>ED</t>
  </si>
  <si>
    <t>kg-day/mg</t>
  </si>
  <si>
    <t>HQ</t>
  </si>
  <si>
    <t>Abbreviation</t>
  </si>
  <si>
    <t>SVOCs - Polycyclic Aromatic Hydrocarbons</t>
  </si>
  <si>
    <t>Alternate CAS No.</t>
  </si>
  <si>
    <t>ug/L</t>
  </si>
  <si>
    <t>Oral reference dose</t>
  </si>
  <si>
    <t>g/kg</t>
  </si>
  <si>
    <t>CPF</t>
  </si>
  <si>
    <t>Cancer potency factor</t>
  </si>
  <si>
    <t>mg/kg</t>
  </si>
  <si>
    <t>SIR</t>
  </si>
  <si>
    <t>AB1</t>
  </si>
  <si>
    <t>EF</t>
  </si>
  <si>
    <t>RfDo</t>
  </si>
  <si>
    <t>UCF</t>
  </si>
  <si>
    <t>Hazard quotient, default</t>
  </si>
  <si>
    <t>mg/day</t>
  </si>
  <si>
    <t>CPFo</t>
  </si>
  <si>
    <t>Oral cancer potency factor</t>
  </si>
  <si>
    <t>DWIR</t>
  </si>
  <si>
    <t>L/day</t>
  </si>
  <si>
    <t>DWF</t>
  </si>
  <si>
    <t>mg/ug</t>
  </si>
  <si>
    <t>DF</t>
  </si>
  <si>
    <t>Distribution coefficient</t>
  </si>
  <si>
    <t>Water-filled soil porosity, default</t>
  </si>
  <si>
    <t>Air-filled soil porosity, default</t>
  </si>
  <si>
    <t>Dilution factor, default</t>
  </si>
  <si>
    <t>ml air/ml soil</t>
  </si>
  <si>
    <t>Dry soil bulk density, default</t>
  </si>
  <si>
    <t>kg/L</t>
  </si>
  <si>
    <t>Soil organic carbon-water partitioning coefficient</t>
  </si>
  <si>
    <t>ml/g</t>
  </si>
  <si>
    <t>g/g</t>
  </si>
  <si>
    <t>Average body weight over exposure duration, default</t>
  </si>
  <si>
    <t>Drinking water fraction, default</t>
  </si>
  <si>
    <t>Exposure duration, default</t>
  </si>
  <si>
    <t>INH</t>
  </si>
  <si>
    <t>Acceptable cancer risk level, default</t>
  </si>
  <si>
    <t>Unit conversion factor, default</t>
  </si>
  <si>
    <t>Average body weight, default</t>
  </si>
  <si>
    <t>Averaging time, default</t>
  </si>
  <si>
    <t>Unit conversion factor 1, default</t>
  </si>
  <si>
    <t>Unit conversion factor 2, default</t>
  </si>
  <si>
    <t>Acceptable hazard quotient, default</t>
  </si>
  <si>
    <t>Gastrointestinal absorption fraction, default</t>
  </si>
  <si>
    <t>Exposure frequency, default</t>
  </si>
  <si>
    <t>Drinking water ingestion rate, default</t>
  </si>
  <si>
    <t>Soil ingestion rate, default</t>
  </si>
  <si>
    <t>Soil cleanup level, noncancer</t>
  </si>
  <si>
    <t>Surface water cleanup level, noncancer</t>
  </si>
  <si>
    <t>Surface water cleanup level, cancer</t>
  </si>
  <si>
    <t>Soil cleanup level, cancer</t>
  </si>
  <si>
    <t>Metals - Butyltins</t>
  </si>
  <si>
    <t>PCBs</t>
  </si>
  <si>
    <t>BW</t>
  </si>
  <si>
    <t>days</t>
  </si>
  <si>
    <t>Acceptable cancer risk level</t>
  </si>
  <si>
    <t>days/year</t>
  </si>
  <si>
    <t>Exposure duration</t>
  </si>
  <si>
    <t>IR</t>
  </si>
  <si>
    <t>Sediment ingestion rate</t>
  </si>
  <si>
    <r>
      <t>(mg/kg-day)</t>
    </r>
    <r>
      <rPr>
        <vertAlign val="superscript"/>
        <sz val="9"/>
        <color theme="1"/>
        <rFont val="Arial"/>
        <family val="2"/>
      </rPr>
      <t>-1</t>
    </r>
  </si>
  <si>
    <t>Unit conversion factor</t>
  </si>
  <si>
    <t>SA</t>
  </si>
  <si>
    <t>AF</t>
  </si>
  <si>
    <r>
      <t>mg/cm</t>
    </r>
    <r>
      <rPr>
        <vertAlign val="superscript"/>
        <sz val="9"/>
        <color theme="1"/>
        <rFont val="Arial"/>
        <family val="2"/>
      </rPr>
      <t>2</t>
    </r>
    <r>
      <rPr>
        <sz val="9"/>
        <color theme="1"/>
        <rFont val="Arial"/>
        <family val="2"/>
      </rPr>
      <t>-day</t>
    </r>
  </si>
  <si>
    <t>CPFd</t>
  </si>
  <si>
    <t>ABS</t>
  </si>
  <si>
    <t>Dermal absorption factor</t>
  </si>
  <si>
    <t>Average body weight over exposure duration</t>
  </si>
  <si>
    <t>Synonyms</t>
  </si>
  <si>
    <t>General Parameters</t>
  </si>
  <si>
    <t>Risk-based concentration, sediment, cancer</t>
  </si>
  <si>
    <t>Calculated; see Equation 9-3 below</t>
  </si>
  <si>
    <t>Cancer potency factor, dermal</t>
  </si>
  <si>
    <t>Cancer potency factor, oral</t>
  </si>
  <si>
    <t>GI</t>
  </si>
  <si>
    <t>Gastrointestinal absorption fraction</t>
  </si>
  <si>
    <t>Gastrointestinal absorption conversion factor</t>
  </si>
  <si>
    <t>RfDd</t>
  </si>
  <si>
    <t>Reference dose, dermal</t>
  </si>
  <si>
    <t>Reference dose, oral</t>
  </si>
  <si>
    <t>(mg/kg-day)</t>
  </si>
  <si>
    <t>ACR</t>
  </si>
  <si>
    <t>Risk-based concentration, sediment, noncancer</t>
  </si>
  <si>
    <t>Hazard quotient</t>
  </si>
  <si>
    <t>Dermal reference dose</t>
  </si>
  <si>
    <t>Calculated; see Equation 9-4 below</t>
  </si>
  <si>
    <t>PQL</t>
  </si>
  <si>
    <t>LAET</t>
  </si>
  <si>
    <t>RBC-SED-C</t>
  </si>
  <si>
    <t>Averaging time (cancer)</t>
  </si>
  <si>
    <t>ATc</t>
  </si>
  <si>
    <t>CUL-GW-C</t>
  </si>
  <si>
    <t>CUL-SW-C</t>
  </si>
  <si>
    <t>CUL-S-C</t>
  </si>
  <si>
    <t>CUL-S-GW</t>
  </si>
  <si>
    <t>Saturated</t>
  </si>
  <si>
    <r>
      <t>ρ</t>
    </r>
    <r>
      <rPr>
        <vertAlign val="subscript"/>
        <sz val="9"/>
        <color theme="1"/>
        <rFont val="Arial"/>
        <family val="2"/>
      </rPr>
      <t>b</t>
    </r>
  </si>
  <si>
    <r>
      <t>H</t>
    </r>
    <r>
      <rPr>
        <vertAlign val="subscript"/>
        <sz val="9"/>
        <color theme="1"/>
        <rFont val="Arial"/>
        <family val="2"/>
      </rPr>
      <t>cc</t>
    </r>
  </si>
  <si>
    <r>
      <t>θ</t>
    </r>
    <r>
      <rPr>
        <vertAlign val="subscript"/>
        <sz val="9"/>
        <color theme="1"/>
        <rFont val="Arial"/>
        <family val="2"/>
      </rPr>
      <t>a</t>
    </r>
  </si>
  <si>
    <r>
      <t>θ</t>
    </r>
    <r>
      <rPr>
        <vertAlign val="subscript"/>
        <sz val="9"/>
        <color theme="1"/>
        <rFont val="Arial"/>
        <family val="2"/>
      </rPr>
      <t>w</t>
    </r>
  </si>
  <si>
    <r>
      <t>K</t>
    </r>
    <r>
      <rPr>
        <vertAlign val="subscript"/>
        <sz val="9"/>
        <color theme="1"/>
        <rFont val="Arial"/>
        <family val="2"/>
      </rPr>
      <t>d</t>
    </r>
  </si>
  <si>
    <r>
      <t>K</t>
    </r>
    <r>
      <rPr>
        <vertAlign val="subscript"/>
        <sz val="9"/>
        <color theme="1"/>
        <rFont val="Arial"/>
        <family val="2"/>
      </rPr>
      <t>oc</t>
    </r>
  </si>
  <si>
    <r>
      <t>F</t>
    </r>
    <r>
      <rPr>
        <vertAlign val="subscript"/>
        <sz val="9"/>
        <color theme="1"/>
        <rFont val="Arial"/>
        <family val="2"/>
      </rPr>
      <t>oc</t>
    </r>
  </si>
  <si>
    <t xml:space="preserve">Fish consumption rate, LDW </t>
  </si>
  <si>
    <t>Fish diet fraction, LDW</t>
  </si>
  <si>
    <t>Fish consumption rate, LDW</t>
  </si>
  <si>
    <t>Dilution factor, default (saturated)</t>
  </si>
  <si>
    <t>Water-filled soil porosity, LDW average</t>
  </si>
  <si>
    <t>Distribution coefficient in sediment</t>
  </si>
  <si>
    <t>YES</t>
  </si>
  <si>
    <t>Inhalation correction factor</t>
  </si>
  <si>
    <t>Soil</t>
  </si>
  <si>
    <t>Sediment</t>
  </si>
  <si>
    <t>CLARC</t>
  </si>
  <si>
    <t>RBC-SED</t>
  </si>
  <si>
    <t>Sediment risk-based concentration (Lower Tier Sediment PCUL)</t>
  </si>
  <si>
    <t xml:space="preserve">Dermal cancer potency factor </t>
  </si>
  <si>
    <t>Air cleanup level, noncancer</t>
  </si>
  <si>
    <t>ug/m3</t>
  </si>
  <si>
    <t>RfDi</t>
  </si>
  <si>
    <t>Inhalation reference dose</t>
  </si>
  <si>
    <t>Breathing rate</t>
  </si>
  <si>
    <t>m3/day</t>
  </si>
  <si>
    <t>BR</t>
  </si>
  <si>
    <t>Inhalation absorption fraction, default</t>
  </si>
  <si>
    <t>Air cleanup level, cancer</t>
  </si>
  <si>
    <t>Inhalation cancer potency factor</t>
  </si>
  <si>
    <t>CPFi</t>
  </si>
  <si>
    <t>Chemical Name in CLARC</t>
  </si>
  <si>
    <t>Equation 1 (Vapor Intrusion Guidance 2009, rev. Feb 2016, page 3-6)</t>
  </si>
  <si>
    <t>SL-GW-VI</t>
  </si>
  <si>
    <t>Screening level in groundwater protective of indoor air</t>
  </si>
  <si>
    <t>Indoor air screening level</t>
  </si>
  <si>
    <t>VAF</t>
  </si>
  <si>
    <t>Hcc</t>
  </si>
  <si>
    <t>Henry's Law Constant at 13 degrees C</t>
  </si>
  <si>
    <t>L/m3</t>
  </si>
  <si>
    <r>
      <t>SL</t>
    </r>
    <r>
      <rPr>
        <vertAlign val="subscript"/>
        <sz val="9"/>
        <color theme="1"/>
        <rFont val="Arial"/>
        <family val="2"/>
      </rPr>
      <t>IA</t>
    </r>
  </si>
  <si>
    <t>Equation 2 (Vapor Intrusion Guidance 2009, rev. Feb 2016, page 3-10)</t>
  </si>
  <si>
    <t>SL-SG</t>
  </si>
  <si>
    <t>Screening level in soil gas protective of indoor air</t>
  </si>
  <si>
    <t>Calculated</t>
  </si>
  <si>
    <t>Vapor attenuation factor; default</t>
  </si>
  <si>
    <t>Vapor attenuation factor</t>
  </si>
  <si>
    <t>Shallow soil gas/sub-slab</t>
  </si>
  <si>
    <t>Deep soil gas</t>
  </si>
  <si>
    <t>CUL-GW</t>
  </si>
  <si>
    <t>Selected groundwater CUL</t>
  </si>
  <si>
    <t>ml water/ml soil</t>
  </si>
  <si>
    <t>CUL-GW-SED</t>
  </si>
  <si>
    <t>Groundwater cleanup level, sediment protection</t>
  </si>
  <si>
    <t>AB</t>
  </si>
  <si>
    <t>Henry's law constant at 13 degrees C</t>
  </si>
  <si>
    <t>MTCA-C
Air</t>
  </si>
  <si>
    <t>See Sheet 'Param'</t>
  </si>
  <si>
    <t>Calculated; See Sheet 'Param'</t>
  </si>
  <si>
    <t>From CLARC; See Sheet 'Param'</t>
  </si>
  <si>
    <t>Calculated - see Sheet '720-2'</t>
  </si>
  <si>
    <t>Calculated - see Sheet '720-1'</t>
  </si>
  <si>
    <t>Calculated - see Sheet '730-1'</t>
  </si>
  <si>
    <t>MTCA Equation 730-1 (Method B surface water cleanup level, noncancer)</t>
  </si>
  <si>
    <t>MTCA Equation 730-2 (Method B surface water cleanup level, cancer)</t>
  </si>
  <si>
    <t>Calculated - see Sheet '745-1'</t>
  </si>
  <si>
    <t>MTCA Equation 745-2 (Method C soil cleanup level, cancer)</t>
  </si>
  <si>
    <t>Calculated - see Sheet '745-2'</t>
  </si>
  <si>
    <t>Calculated - see Sheet '747-1'</t>
  </si>
  <si>
    <t xml:space="preserve">Calculated - see Sheet 'GW-Detail' </t>
  </si>
  <si>
    <t>MTCA Equation 747-2 (Kd, distribution coefficient) (not used for metals)</t>
  </si>
  <si>
    <t>Calculated - see Sheet 'Mod. 747-1'</t>
  </si>
  <si>
    <t>Calculated - see Sheet 'SD-Detail'</t>
  </si>
  <si>
    <t>Calculated - see Sheet '750-1'</t>
  </si>
  <si>
    <t>MTCA Equation 750-1 (Method B air cleanup level, noncancer)</t>
  </si>
  <si>
    <t>MTCA Equation 750-2 (Method B air cleanup level, cancer)</t>
  </si>
  <si>
    <t>MTCA Equation 750-1 (Method C air cleanup level, noncancer)</t>
  </si>
  <si>
    <t>MTCA Equation 750-2 (Method C air cleanup level, cancer)</t>
  </si>
  <si>
    <t>Calculated -see Sheet 'Eq. 1 (VI)'</t>
  </si>
  <si>
    <t>SMS SCUM II, Equation 9-3 (CPFd)</t>
  </si>
  <si>
    <t>SMS SCUM II, Equation 9-4 (RFDd)</t>
  </si>
  <si>
    <t>Calculated - see Sheet '730-2'</t>
  </si>
  <si>
    <t>Calculated - see Sheet '740-1'</t>
  </si>
  <si>
    <t>Calculated - see Sheet '740-2'</t>
  </si>
  <si>
    <t>Calculated - see Sheet '750-2'</t>
  </si>
  <si>
    <t>SMS SCUM II, Equation 9-1 (sediment ingestion / direct contact, cancer)</t>
  </si>
  <si>
    <t>SMS SCUM II, Equation 9-2 (sediment ingestion / direct contact, noncancer)</t>
  </si>
  <si>
    <t>TEE</t>
  </si>
  <si>
    <t>Most Stringent ARAR
(including literature values)</t>
  </si>
  <si>
    <t>no</t>
  </si>
  <si>
    <t>Basis</t>
  </si>
  <si>
    <t>State Human Health</t>
  </si>
  <si>
    <t>Noncancer Equation</t>
  </si>
  <si>
    <t>Cancer Equation</t>
  </si>
  <si>
    <t>Federal MCL</t>
  </si>
  <si>
    <t>Federal MCLG</t>
  </si>
  <si>
    <t>State MCL</t>
  </si>
  <si>
    <t>Protect Indoor Air</t>
  </si>
  <si>
    <t>Direct Contact</t>
  </si>
  <si>
    <t>Bank Erosion</t>
  </si>
  <si>
    <t>na</t>
  </si>
  <si>
    <t>Basis for PCUL</t>
  </si>
  <si>
    <t>Does ARAR need adjustment for noncancer health effects?</t>
  </si>
  <si>
    <t>Does ARAR need adjustment for cancer health effects?</t>
  </si>
  <si>
    <t>State Aquatic Life</t>
  </si>
  <si>
    <t>NRWQC Aquatic Life</t>
  </si>
  <si>
    <r>
      <t xml:space="preserve">Soil Kd 
(pH 6.8, 
Foc = 0.1%)
(L/kg)
</t>
    </r>
    <r>
      <rPr>
        <b/>
        <sz val="9"/>
        <color theme="3" tint="0.39997558519241921"/>
        <rFont val="Arial"/>
        <family val="2"/>
      </rPr>
      <t>Param</t>
    </r>
  </si>
  <si>
    <r>
      <t>Hcc at 13</t>
    </r>
    <r>
      <rPr>
        <b/>
        <vertAlign val="superscript"/>
        <sz val="9"/>
        <rFont val="Arial"/>
        <family val="2"/>
      </rPr>
      <t>o</t>
    </r>
    <r>
      <rPr>
        <b/>
        <sz val="9"/>
        <rFont val="Arial"/>
        <family val="2"/>
      </rPr>
      <t xml:space="preserve">C  (unitless)
</t>
    </r>
    <r>
      <rPr>
        <b/>
        <sz val="9"/>
        <color theme="3" tint="0.39997558519241921"/>
        <rFont val="Arial"/>
        <family val="2"/>
      </rPr>
      <t>Param</t>
    </r>
  </si>
  <si>
    <r>
      <t xml:space="preserve">RfDo
(mg/kg-day)
</t>
    </r>
    <r>
      <rPr>
        <b/>
        <sz val="8"/>
        <color theme="3" tint="0.39997558519241921"/>
        <rFont val="Arial"/>
        <family val="2"/>
      </rPr>
      <t>Param</t>
    </r>
  </si>
  <si>
    <r>
      <t>CPFo 
(risk per mg/kg-day)</t>
    </r>
    <r>
      <rPr>
        <b/>
        <vertAlign val="superscript"/>
        <sz val="9"/>
        <rFont val="Arial"/>
        <family val="2"/>
      </rPr>
      <t xml:space="preserve">
</t>
    </r>
    <r>
      <rPr>
        <b/>
        <sz val="8"/>
        <color theme="3" tint="0.39997558519241921"/>
        <rFont val="Arial"/>
        <family val="2"/>
      </rPr>
      <t>Param</t>
    </r>
  </si>
  <si>
    <r>
      <t xml:space="preserve">BCF 
(L/kg)
</t>
    </r>
    <r>
      <rPr>
        <b/>
        <sz val="8"/>
        <color theme="3" tint="0.39997558519241921"/>
        <rFont val="Arial"/>
        <family val="2"/>
      </rPr>
      <t>Param</t>
    </r>
  </si>
  <si>
    <r>
      <t xml:space="preserve">RfDo 
(mg/kg-day)
</t>
    </r>
    <r>
      <rPr>
        <b/>
        <sz val="8"/>
        <color theme="3" tint="0.39997558519241921"/>
        <rFont val="Arial"/>
        <family val="2"/>
      </rPr>
      <t>Param</t>
    </r>
  </si>
  <si>
    <r>
      <t xml:space="preserve">RfDd
(mg/kg-day)
</t>
    </r>
    <r>
      <rPr>
        <b/>
        <sz val="8"/>
        <color theme="3" tint="0.39997558519241921"/>
        <rFont val="Arial"/>
        <family val="2"/>
      </rPr>
      <t>Param</t>
    </r>
  </si>
  <si>
    <r>
      <t xml:space="preserve">ABS (unitless)
</t>
    </r>
    <r>
      <rPr>
        <b/>
        <sz val="8"/>
        <color theme="3" tint="0.39997558519241921"/>
        <rFont val="Arial"/>
        <family val="2"/>
      </rPr>
      <t>Param</t>
    </r>
  </si>
  <si>
    <r>
      <t xml:space="preserve">WA State WQC
Aquatic Life 
Marine-Chronic
</t>
    </r>
    <r>
      <rPr>
        <b/>
        <sz val="9"/>
        <color theme="3" tint="0.39997558519241921"/>
        <rFont val="Arial"/>
        <family val="2"/>
      </rPr>
      <t>WAC 173-201A-240, Table 240</t>
    </r>
  </si>
  <si>
    <r>
      <t xml:space="preserve">NRWQC
Aquatic Life
Marine - Chronic
</t>
    </r>
    <r>
      <rPr>
        <b/>
        <sz val="9"/>
        <color theme="3" tint="0.39997558519241921"/>
        <rFont val="Arial"/>
        <family val="2"/>
      </rPr>
      <t>CWA Section 304</t>
    </r>
  </si>
  <si>
    <r>
      <t xml:space="preserve">Koc 
(L/kg)
</t>
    </r>
    <r>
      <rPr>
        <b/>
        <sz val="9"/>
        <color theme="3" tint="0.39997558519241921"/>
        <rFont val="Arial"/>
        <family val="2"/>
      </rPr>
      <t>CLARC</t>
    </r>
  </si>
  <si>
    <r>
      <t>Hcc at 13</t>
    </r>
    <r>
      <rPr>
        <b/>
        <vertAlign val="superscript"/>
        <sz val="9"/>
        <rFont val="Arial"/>
        <family val="2"/>
      </rPr>
      <t>o</t>
    </r>
    <r>
      <rPr>
        <b/>
        <sz val="9"/>
        <rFont val="Arial"/>
        <family val="2"/>
      </rPr>
      <t xml:space="preserve">C
(unitless)
</t>
    </r>
    <r>
      <rPr>
        <b/>
        <sz val="9"/>
        <color theme="3" tint="0.39997558519241921"/>
        <rFont val="Arial"/>
        <family val="2"/>
      </rPr>
      <t>CLARC</t>
    </r>
  </si>
  <si>
    <r>
      <t>Hcc at 25</t>
    </r>
    <r>
      <rPr>
        <b/>
        <vertAlign val="superscript"/>
        <sz val="9"/>
        <rFont val="Arial"/>
        <family val="2"/>
      </rPr>
      <t>o</t>
    </r>
    <r>
      <rPr>
        <b/>
        <sz val="9"/>
        <rFont val="Arial"/>
        <family val="2"/>
      </rPr>
      <t xml:space="preserve">C
(unitless)
</t>
    </r>
    <r>
      <rPr>
        <b/>
        <sz val="9"/>
        <color theme="3" tint="0.39997558519241921"/>
        <rFont val="Arial"/>
        <family val="2"/>
      </rPr>
      <t>CLARC</t>
    </r>
  </si>
  <si>
    <r>
      <t xml:space="preserve">Selected Hcc
(unitless)
</t>
    </r>
    <r>
      <rPr>
        <b/>
        <sz val="9"/>
        <color theme="3" tint="0.39997558519241921"/>
        <rFont val="Arial"/>
        <family val="2"/>
      </rPr>
      <t>CLARC</t>
    </r>
  </si>
  <si>
    <r>
      <t xml:space="preserve">BCF
(L/kg)
</t>
    </r>
    <r>
      <rPr>
        <b/>
        <sz val="9"/>
        <color theme="3" tint="0.39997558519241921"/>
        <rFont val="Arial"/>
        <family val="2"/>
      </rPr>
      <t>CLARC</t>
    </r>
  </si>
  <si>
    <r>
      <t xml:space="preserve">INH
(unitless)
</t>
    </r>
    <r>
      <rPr>
        <b/>
        <sz val="9"/>
        <color theme="3" tint="0.39997558519241921"/>
        <rFont val="Arial"/>
        <family val="2"/>
      </rPr>
      <t>CLARC</t>
    </r>
  </si>
  <si>
    <r>
      <t xml:space="preserve">PBT List
</t>
    </r>
    <r>
      <rPr>
        <b/>
        <sz val="9"/>
        <color theme="3" tint="0.39997558519241921"/>
        <rFont val="Arial"/>
        <family val="2"/>
      </rPr>
      <t>WAC 173-333-310</t>
    </r>
  </si>
  <si>
    <t>DMMP
List 1 or 2</t>
  </si>
  <si>
    <t>Literat. Aquatic Life</t>
  </si>
  <si>
    <t>Drinking Water</t>
  </si>
  <si>
    <t>Surface Water</t>
  </si>
  <si>
    <t>Indoor Air</t>
  </si>
  <si>
    <t>Nat. Background</t>
  </si>
  <si>
    <r>
      <t xml:space="preserve">LDW ROD
RAO 4 CUL
Ecological
LDW-Wide
0-10 cm
</t>
    </r>
    <r>
      <rPr>
        <b/>
        <sz val="9"/>
        <color theme="3" tint="0.39997558519241921"/>
        <rFont val="Arial"/>
        <family val="2"/>
      </rPr>
      <t xml:space="preserve">LDW ROD
Table 19 </t>
    </r>
  </si>
  <si>
    <r>
      <t xml:space="preserve">LDW COC for Human Consumption of Seafood
</t>
    </r>
    <r>
      <rPr>
        <b/>
        <sz val="9"/>
        <color theme="3" tint="0.39997558519241921"/>
        <rFont val="Arial"/>
        <family val="2"/>
      </rPr>
      <t>RI Table B.7-1</t>
    </r>
  </si>
  <si>
    <r>
      <t xml:space="preserve">Exceeded NOAEL for LDW Higher Trophic Level
</t>
    </r>
    <r>
      <rPr>
        <b/>
        <sz val="9"/>
        <color theme="3" tint="0.39997558519241921"/>
        <rFont val="Arial"/>
        <family val="2"/>
      </rPr>
      <t>RI Table A.8-1</t>
    </r>
  </si>
  <si>
    <r>
      <t xml:space="preserve">User-Defined PCUL
</t>
    </r>
    <r>
      <rPr>
        <b/>
        <sz val="9"/>
        <color theme="3" tint="0.39997558519241921"/>
        <rFont val="Arial"/>
        <family val="2"/>
      </rPr>
      <t>Specify GW #s</t>
    </r>
  </si>
  <si>
    <r>
      <t xml:space="preserve">MTCA-B Soil
Direct Contact
Cancer
</t>
    </r>
    <r>
      <rPr>
        <b/>
        <sz val="9"/>
        <color theme="3" tint="0.39997558519241921"/>
        <rFont val="Arial"/>
        <family val="2"/>
      </rPr>
      <t>SL-Eq</t>
    </r>
  </si>
  <si>
    <r>
      <t xml:space="preserve">MTCA-B Soil Direct Contact Noncancer
</t>
    </r>
    <r>
      <rPr>
        <b/>
        <sz val="9"/>
        <color theme="3" tint="0.39997558519241921"/>
        <rFont val="Arial"/>
        <family val="2"/>
      </rPr>
      <t>SL-Eq</t>
    </r>
  </si>
  <si>
    <r>
      <t xml:space="preserve">MTCA-C Soil
Direct Contact
Noncancer
</t>
    </r>
    <r>
      <rPr>
        <b/>
        <sz val="9"/>
        <color theme="3" tint="0.39997558519241921"/>
        <rFont val="Arial"/>
        <family val="2"/>
      </rPr>
      <t>SL-Eq</t>
    </r>
  </si>
  <si>
    <r>
      <t xml:space="preserve">MTCA-C Soil
Direct Contact
Cancer
</t>
    </r>
    <r>
      <rPr>
        <b/>
        <sz val="9"/>
        <color theme="3" tint="0.39997558519241921"/>
        <rFont val="Arial"/>
        <family val="2"/>
      </rPr>
      <t>SL-Eq</t>
    </r>
  </si>
  <si>
    <r>
      <rPr>
        <b/>
        <sz val="9"/>
        <color theme="3" tint="0.39997558519241921"/>
        <rFont val="Arial"/>
        <family val="2"/>
      </rPr>
      <t>SL-1</t>
    </r>
    <r>
      <rPr>
        <b/>
        <sz val="9"/>
        <rFont val="Arial"/>
        <family val="2"/>
      </rPr>
      <t xml:space="preserve">
MTCA-B Soil Direct Contact
</t>
    </r>
    <r>
      <rPr>
        <b/>
        <sz val="9"/>
        <color theme="3" tint="0.39997558519241921"/>
        <rFont val="Arial"/>
        <family val="2"/>
      </rPr>
      <t>Minimum</t>
    </r>
  </si>
  <si>
    <r>
      <t xml:space="preserve">MTCA-C Soil
Direct Contact
</t>
    </r>
    <r>
      <rPr>
        <b/>
        <sz val="9"/>
        <color theme="3" tint="0.39997558519241921"/>
        <rFont val="Arial"/>
        <family val="2"/>
      </rPr>
      <t>Minimum</t>
    </r>
  </si>
  <si>
    <r>
      <t xml:space="preserve">AB1
(unitless)
</t>
    </r>
    <r>
      <rPr>
        <b/>
        <sz val="8"/>
        <color theme="3" tint="0.39997558519241921"/>
        <rFont val="Arial"/>
        <family val="2"/>
      </rPr>
      <t>Param</t>
    </r>
  </si>
  <si>
    <r>
      <t xml:space="preserve">MTCA-B Soil
Direct Contact
Noncancer
(mg/kg)
</t>
    </r>
    <r>
      <rPr>
        <b/>
        <sz val="8"/>
        <color theme="3" tint="0.39997558519241921"/>
        <rFont val="Arial"/>
        <family val="2"/>
      </rPr>
      <t>MTCA Eq. 740-1</t>
    </r>
  </si>
  <si>
    <r>
      <t xml:space="preserve">MTCA-C Soil
Direct Contact
Cancer
(mg/kg)
</t>
    </r>
    <r>
      <rPr>
        <b/>
        <sz val="8"/>
        <color theme="3" tint="0.39997558519241921"/>
        <rFont val="Arial"/>
        <family val="2"/>
      </rPr>
      <t>MTCA Eq. 745-2</t>
    </r>
  </si>
  <si>
    <r>
      <t>CPFo 
(risk per
mg/kg-day)</t>
    </r>
    <r>
      <rPr>
        <b/>
        <vertAlign val="superscript"/>
        <sz val="9"/>
        <rFont val="Arial"/>
        <family val="2"/>
      </rPr>
      <t xml:space="preserve">
</t>
    </r>
    <r>
      <rPr>
        <b/>
        <sz val="8"/>
        <color theme="3" tint="0.39997558519241921"/>
        <rFont val="Arial"/>
        <family val="2"/>
      </rPr>
      <t>Param</t>
    </r>
  </si>
  <si>
    <r>
      <t xml:space="preserve">MTCA-B
Surface Water
Noncancer
(ug/L)
</t>
    </r>
    <r>
      <rPr>
        <b/>
        <sz val="8"/>
        <color theme="3" tint="0.39997558519241921"/>
        <rFont val="Arial"/>
        <family val="2"/>
      </rPr>
      <t>MTCA Eq. 730-1</t>
    </r>
  </si>
  <si>
    <r>
      <t xml:space="preserve">MTCA-B
Surface Water
Cancer
(ug/L)
</t>
    </r>
    <r>
      <rPr>
        <b/>
        <sz val="8"/>
        <color theme="3" tint="0.39997558519241921"/>
        <rFont val="Arial"/>
        <family val="2"/>
      </rPr>
      <t>MTCA Eq. 730-2</t>
    </r>
  </si>
  <si>
    <r>
      <t>CPFd
(risk per mg/kg-day)</t>
    </r>
    <r>
      <rPr>
        <b/>
        <vertAlign val="superscript"/>
        <sz val="9"/>
        <rFont val="Arial"/>
        <family val="2"/>
      </rPr>
      <t xml:space="preserve">
</t>
    </r>
    <r>
      <rPr>
        <b/>
        <sz val="8"/>
        <color theme="3" tint="0.39997558519241921"/>
        <rFont val="Arial"/>
        <family val="2"/>
      </rPr>
      <t>Param</t>
    </r>
  </si>
  <si>
    <r>
      <t xml:space="preserve">Beach Play (Child)
Risk = 1E-6
</t>
    </r>
    <r>
      <rPr>
        <b/>
        <sz val="9"/>
        <color theme="3" tint="0.39997558519241921"/>
        <rFont val="Arial"/>
        <family val="2"/>
      </rPr>
      <t>SMS Eq. 9-1 Modified</t>
    </r>
  </si>
  <si>
    <r>
      <t xml:space="preserve">Subsistence Clam Digging (Adult)
Risk = 1E-6
</t>
    </r>
    <r>
      <rPr>
        <b/>
        <sz val="9"/>
        <color theme="3" tint="0.39997558519241921"/>
        <rFont val="Arial"/>
        <family val="2"/>
      </rPr>
      <t>SMS Eq. 9-1 Modified</t>
    </r>
  </si>
  <si>
    <r>
      <t xml:space="preserve">Subsistence Netfishing (Adult)
Risk = 1E-6
</t>
    </r>
    <r>
      <rPr>
        <b/>
        <sz val="9"/>
        <color theme="3" tint="0.39997558519241921"/>
        <rFont val="Arial"/>
        <family val="2"/>
      </rPr>
      <t>SMS Eq. 9-1 Modified</t>
    </r>
  </si>
  <si>
    <r>
      <t xml:space="preserve">Beach Play (Child)
Risk = 1E-5
</t>
    </r>
    <r>
      <rPr>
        <b/>
        <sz val="9"/>
        <color theme="3" tint="0.39997558519241921"/>
        <rFont val="Arial"/>
        <family val="2"/>
      </rPr>
      <t>SMS Eq. 9-1 Modified</t>
    </r>
  </si>
  <si>
    <r>
      <t xml:space="preserve">Subsistence Clam Digging (Adult)
Risk = 1E-5
</t>
    </r>
    <r>
      <rPr>
        <b/>
        <sz val="9"/>
        <color theme="3" tint="0.39997558519241921"/>
        <rFont val="Arial"/>
        <family val="2"/>
      </rPr>
      <t>SMS Eq. 9-1 Modified</t>
    </r>
  </si>
  <si>
    <r>
      <t xml:space="preserve">Subsistence Netfishing (Adult)
Risk = 1E-5
</t>
    </r>
    <r>
      <rPr>
        <b/>
        <sz val="9"/>
        <color theme="3" tint="0.39997558519241921"/>
        <rFont val="Arial"/>
        <family val="2"/>
      </rPr>
      <t>SMS Eq. 9-1 Modified</t>
    </r>
  </si>
  <si>
    <r>
      <t xml:space="preserve">Beach Play (Child)
HQ = 1
</t>
    </r>
    <r>
      <rPr>
        <b/>
        <sz val="9"/>
        <color theme="3" tint="0.39997558519241921"/>
        <rFont val="Arial"/>
        <family val="2"/>
      </rPr>
      <t>SMS Eq. 9-2 Modified</t>
    </r>
  </si>
  <si>
    <r>
      <t xml:space="preserve">Subsistence Clam Digging (Adult)
HQ = 1
</t>
    </r>
    <r>
      <rPr>
        <b/>
        <sz val="9"/>
        <color theme="3" tint="0.39997558519241921"/>
        <rFont val="Arial"/>
        <family val="2"/>
      </rPr>
      <t>SMS Eq. 9-2 Modified</t>
    </r>
  </si>
  <si>
    <r>
      <t xml:space="preserve">Subsistence Netfishing (Adult)
HQ = 1
</t>
    </r>
    <r>
      <rPr>
        <b/>
        <sz val="9"/>
        <color theme="3" tint="0.39997558519241921"/>
        <rFont val="Arial"/>
        <family val="2"/>
      </rPr>
      <t>SMS Eq. 9-2 Modified</t>
    </r>
  </si>
  <si>
    <t>Noncancer Eq.</t>
  </si>
  <si>
    <t>MCL Adj. to 1E-5</t>
  </si>
  <si>
    <r>
      <t>LDW ROD
RAO 2 CUL
Human Direct Contact
Beaches
0-45 cm</t>
    </r>
    <r>
      <rPr>
        <b/>
        <sz val="9"/>
        <color theme="3" tint="0.39997558519241921"/>
        <rFont val="Arial"/>
        <family val="2"/>
      </rPr>
      <t xml:space="preserve">
</t>
    </r>
    <r>
      <rPr>
        <b/>
        <sz val="9"/>
        <rFont val="Arial"/>
        <family val="2"/>
      </rPr>
      <t xml:space="preserve"> </t>
    </r>
    <r>
      <rPr>
        <b/>
        <sz val="9"/>
        <color theme="3" tint="0.39997558519241921"/>
        <rFont val="Arial"/>
        <family val="2"/>
      </rPr>
      <t>LDW ROD Table 19</t>
    </r>
  </si>
  <si>
    <r>
      <t>LDW ROD
RAO 2 CUL
Human Direct Contact
Clamming Areas 0-45 cm</t>
    </r>
    <r>
      <rPr>
        <b/>
        <sz val="9"/>
        <color theme="3" tint="0.39997558519241921"/>
        <rFont val="Arial"/>
        <family val="2"/>
      </rPr>
      <t xml:space="preserve">
</t>
    </r>
    <r>
      <rPr>
        <b/>
        <sz val="9"/>
        <rFont val="Arial"/>
        <family val="2"/>
      </rPr>
      <t xml:space="preserve"> </t>
    </r>
    <r>
      <rPr>
        <b/>
        <sz val="9"/>
        <color theme="3" tint="0.39997558519241921"/>
        <rFont val="Arial"/>
        <family val="2"/>
      </rPr>
      <t>LDW ROD Table 19</t>
    </r>
  </si>
  <si>
    <r>
      <t>LDW ROD
RAO 2 CUL
Human Direct Contact
LDW-Wide
0-10 cm</t>
    </r>
    <r>
      <rPr>
        <b/>
        <sz val="9"/>
        <color theme="3" tint="0.39997558519241921"/>
        <rFont val="Arial"/>
        <family val="2"/>
      </rPr>
      <t xml:space="preserve">
</t>
    </r>
    <r>
      <rPr>
        <b/>
        <sz val="9"/>
        <rFont val="Arial"/>
        <family val="2"/>
      </rPr>
      <t xml:space="preserve"> </t>
    </r>
    <r>
      <rPr>
        <b/>
        <sz val="9"/>
        <color theme="3" tint="0.39997558519241921"/>
        <rFont val="Arial"/>
        <family val="2"/>
      </rPr>
      <t>LDW ROD Table 19</t>
    </r>
  </si>
  <si>
    <r>
      <t xml:space="preserve">LDW ROD
RAO 1 CUL
Human Seafood Consumption
LDW-Wide
0-10 cm
</t>
    </r>
    <r>
      <rPr>
        <b/>
        <sz val="9"/>
        <color theme="3" tint="0.39997558519241921"/>
        <rFont val="Arial"/>
        <family val="2"/>
      </rPr>
      <t>LDW ROD Table 19</t>
    </r>
  </si>
  <si>
    <r>
      <t xml:space="preserve">MTCA-B Soil
Direct Contact
Cancer
(mg/kg)
</t>
    </r>
    <r>
      <rPr>
        <b/>
        <sz val="8"/>
        <color theme="3" tint="0.39997558519241921"/>
        <rFont val="Arial"/>
        <family val="2"/>
      </rPr>
      <t>MTCA Eq. 740-2</t>
    </r>
  </si>
  <si>
    <r>
      <t xml:space="preserve">MTCA-C Soil
Direct Contact
Noncancer
(mg/kg)
</t>
    </r>
    <r>
      <rPr>
        <b/>
        <sz val="8"/>
        <color theme="3" tint="0.39997558519241921"/>
        <rFont val="Arial"/>
        <family val="2"/>
      </rPr>
      <t>MTCA Eq. 745-1</t>
    </r>
  </si>
  <si>
    <r>
      <t xml:space="preserve">MTCA-B Air
Noncancer
</t>
    </r>
    <r>
      <rPr>
        <b/>
        <sz val="9"/>
        <color theme="3" tint="0.39997558519241921"/>
        <rFont val="Arial"/>
        <family val="2"/>
      </rPr>
      <t>AR-Eq</t>
    </r>
  </si>
  <si>
    <r>
      <t xml:space="preserve">MTCA-B Air
Cancer
</t>
    </r>
    <r>
      <rPr>
        <b/>
        <sz val="9"/>
        <color theme="3" tint="0.39997558519241921"/>
        <rFont val="Arial"/>
        <family val="2"/>
      </rPr>
      <t>AR-Eq</t>
    </r>
  </si>
  <si>
    <r>
      <rPr>
        <b/>
        <sz val="9"/>
        <color theme="3" tint="0.39997558519241921"/>
        <rFont val="Arial"/>
        <family val="2"/>
      </rPr>
      <t>AR-1</t>
    </r>
    <r>
      <rPr>
        <b/>
        <sz val="9"/>
        <rFont val="Arial"/>
        <family val="2"/>
      </rPr>
      <t xml:space="preserve">
MTCA-B
Air</t>
    </r>
  </si>
  <si>
    <t>Protection of Surface Water
Cancer</t>
  </si>
  <si>
    <t>Protection of Surface Water
Noncancer</t>
  </si>
  <si>
    <t>Protection of Drinking Water
Noncancer</t>
  </si>
  <si>
    <t>Protection of Drinking Water
Cancer</t>
  </si>
  <si>
    <r>
      <t xml:space="preserve">INH
(unitless)
</t>
    </r>
    <r>
      <rPr>
        <b/>
        <sz val="8"/>
        <color theme="3" tint="0.39997558519241921"/>
        <rFont val="Arial"/>
        <family val="2"/>
      </rPr>
      <t>Param</t>
    </r>
  </si>
  <si>
    <r>
      <t xml:space="preserve">MTCA-C Air
Noncancer
</t>
    </r>
    <r>
      <rPr>
        <b/>
        <sz val="9"/>
        <color theme="3" tint="0.39997558519241921"/>
        <rFont val="Arial"/>
        <family val="2"/>
      </rPr>
      <t>AR-Eq</t>
    </r>
  </si>
  <si>
    <r>
      <t xml:space="preserve">MTCA-C Air
Cancer
</t>
    </r>
    <r>
      <rPr>
        <b/>
        <sz val="9"/>
        <color theme="3" tint="0.39997558519241921"/>
        <rFont val="Arial"/>
        <family val="2"/>
      </rPr>
      <t>AR-Eq</t>
    </r>
  </si>
  <si>
    <r>
      <t xml:space="preserve">MTCA-B
Ground Water Noncancer Eq. 720-1
</t>
    </r>
    <r>
      <rPr>
        <b/>
        <sz val="9"/>
        <color theme="3" tint="0.39997558519241921"/>
        <rFont val="Arial"/>
        <family val="2"/>
      </rPr>
      <t>GW-Eq</t>
    </r>
  </si>
  <si>
    <r>
      <t xml:space="preserve">MTCA-B
Ground Water Cancer
Eq. 720-2
</t>
    </r>
    <r>
      <rPr>
        <b/>
        <sz val="9"/>
        <color theme="3" tint="0.39997558519241921"/>
        <rFont val="Arial"/>
        <family val="2"/>
      </rPr>
      <t>GW-Eq</t>
    </r>
  </si>
  <si>
    <t>Calculated - see Sheet 'Sed-Eq'</t>
  </si>
  <si>
    <t>Beach Play (Child)</t>
  </si>
  <si>
    <t>Intermediate Calculations</t>
  </si>
  <si>
    <t>kg-ug-day/mg-L</t>
  </si>
  <si>
    <t>IDWIFc = Risk x ABW x UCF x AT / (DWIR x DWF x ED)</t>
  </si>
  <si>
    <t>IDWIFc</t>
  </si>
  <si>
    <t>IDWIFn = ABW x UCF x HQ x AT / (DWIR x DWF x ED)</t>
  </si>
  <si>
    <t>IDWIFn</t>
  </si>
  <si>
    <t>Intermediate drinking water intake factor, noncancer</t>
  </si>
  <si>
    <t>Intermediate drinking water intake factor, cancer</t>
  </si>
  <si>
    <t>ISWIFn</t>
  </si>
  <si>
    <t>Intermediate surface water intake factor, noncancer</t>
  </si>
  <si>
    <t>ug-day/mg</t>
  </si>
  <si>
    <t>ISWIFc = Risk x ABW x UCF1 x UCF2 x AT / (FCR x FDF x ED)</t>
  </si>
  <si>
    <t>ISWIFc</t>
  </si>
  <si>
    <t>Intermediate surface water intake factor, cancer</t>
  </si>
  <si>
    <t>ISIFrn = ABW x UCF x HQ x AT / (SIR x EF x ED)</t>
  </si>
  <si>
    <t>ISIFrn</t>
  </si>
  <si>
    <t>Intermediate soil intake factor, residential noncancer</t>
  </si>
  <si>
    <t>1/day</t>
  </si>
  <si>
    <t>ISIFrc = Risk x ABW x UCF x AT / (SIR x EF x ED)</t>
  </si>
  <si>
    <t>ISIFrc</t>
  </si>
  <si>
    <t>Intermediate soil intake factor, residential cancer</t>
  </si>
  <si>
    <t>ISIFin = ABW x UCF x HQ x AT / (SIR x EF x ED)</t>
  </si>
  <si>
    <t>ISIFin</t>
  </si>
  <si>
    <t>Intermediate soil intake factor, industrial noncancer</t>
  </si>
  <si>
    <t>ISIFic = Risk x ABW x UCF x AT / (SIR x EF x ED)</t>
  </si>
  <si>
    <t>ISIFic</t>
  </si>
  <si>
    <t>Intermediate soil intake factor, industiral cancer</t>
  </si>
  <si>
    <t>MTCA Equation 740-1 (Method B soil cleanup level, noncancer)</t>
  </si>
  <si>
    <t>MTCA Equation 740-2 (Method B soil cleanup level, cancer)</t>
  </si>
  <si>
    <t>MTCA Equation 745-1 (Method C soil cleanup level, noncancer)</t>
  </si>
  <si>
    <t>CUL-GW-N</t>
  </si>
  <si>
    <t>CUL-SW-N</t>
  </si>
  <si>
    <t>CUL-S-N</t>
  </si>
  <si>
    <t>CUL-A-N</t>
  </si>
  <si>
    <t>ILF1 = UCF x DF</t>
  </si>
  <si>
    <r>
      <t xml:space="preserve">ILF2 = </t>
    </r>
    <r>
      <rPr>
        <sz val="10"/>
        <color theme="1"/>
        <rFont val="Symbol"/>
        <family val="1"/>
        <charset val="2"/>
      </rPr>
      <t>q</t>
    </r>
    <r>
      <rPr>
        <sz val="9"/>
        <color theme="1"/>
        <rFont val="Arial"/>
        <family val="2"/>
      </rPr>
      <t>w /</t>
    </r>
    <r>
      <rPr>
        <sz val="9"/>
        <color theme="1"/>
        <rFont val="Symbol"/>
        <family val="1"/>
        <charset val="2"/>
      </rPr>
      <t xml:space="preserve"> </t>
    </r>
    <r>
      <rPr>
        <sz val="10"/>
        <color theme="1"/>
        <rFont val="Symbol"/>
        <family val="1"/>
        <charset val="2"/>
      </rPr>
      <t>r</t>
    </r>
    <r>
      <rPr>
        <sz val="9"/>
        <color theme="1"/>
        <rFont val="Arial"/>
        <family val="2"/>
      </rPr>
      <t>b</t>
    </r>
  </si>
  <si>
    <r>
      <t xml:space="preserve">ILF3 = </t>
    </r>
    <r>
      <rPr>
        <sz val="10"/>
        <color theme="1"/>
        <rFont val="Symbol"/>
        <family val="1"/>
        <charset val="2"/>
      </rPr>
      <t>q</t>
    </r>
    <r>
      <rPr>
        <sz val="9"/>
        <color theme="1"/>
        <rFont val="Arial"/>
        <family val="2"/>
      </rPr>
      <t xml:space="preserve">a / </t>
    </r>
    <r>
      <rPr>
        <sz val="10"/>
        <color theme="1"/>
        <rFont val="Symbol"/>
        <family val="1"/>
        <charset val="2"/>
      </rPr>
      <t>r</t>
    </r>
    <r>
      <rPr>
        <sz val="9"/>
        <color theme="1"/>
        <rFont val="Arial"/>
        <family val="2"/>
      </rPr>
      <t>b</t>
    </r>
  </si>
  <si>
    <t>CUL-S-FW = GUL-GW x ILF1 ( Kd + ILF2 + ILF3 x Hcc)</t>
  </si>
  <si>
    <t>ILF1s</t>
  </si>
  <si>
    <t>ILF2s</t>
  </si>
  <si>
    <t>IPF1 = UCF x DF</t>
  </si>
  <si>
    <r>
      <t xml:space="preserve">IPF2 = </t>
    </r>
    <r>
      <rPr>
        <sz val="10"/>
        <color theme="1"/>
        <rFont val="Symbol"/>
        <family val="1"/>
        <charset val="2"/>
      </rPr>
      <t>q</t>
    </r>
    <r>
      <rPr>
        <sz val="9"/>
        <color theme="1"/>
        <rFont val="Arial"/>
        <family val="2"/>
      </rPr>
      <t xml:space="preserve">w / </t>
    </r>
    <r>
      <rPr>
        <sz val="10"/>
        <color theme="1"/>
        <rFont val="Symbol"/>
        <family val="1"/>
        <charset val="2"/>
      </rPr>
      <t>r</t>
    </r>
    <r>
      <rPr>
        <sz val="9"/>
        <color theme="1"/>
        <rFont val="Arial"/>
        <family val="2"/>
      </rPr>
      <t>b</t>
    </r>
  </si>
  <si>
    <t>IPF1</t>
  </si>
  <si>
    <t>Intermediate partitioning factor 1</t>
  </si>
  <si>
    <t>IPF2</t>
  </si>
  <si>
    <t>Intermediate partitioning factor 2</t>
  </si>
  <si>
    <t>CUL-GW-SED = RBC-SED / [ IPF1 (Kd + IPF2) ]</t>
  </si>
  <si>
    <t>Intermediate air intake factor, noncancer</t>
  </si>
  <si>
    <t>kg-ug-day/mg-m3</t>
  </si>
  <si>
    <t>Intermediate air intake factor, cancer</t>
  </si>
  <si>
    <t>IAIFrn = ABW x UCF x HQ x AT / (BR x EF x ED)</t>
  </si>
  <si>
    <t>CUL-A-RN</t>
  </si>
  <si>
    <t>IAIFrn</t>
  </si>
  <si>
    <t>CUL-A-RN = RfDi x IAIFrn / ABS</t>
  </si>
  <si>
    <t>IAIFrc = Risk x ABW x UCF x AT / (BR x EF x ED)</t>
  </si>
  <si>
    <t>CUL-A-RC = IAIFrc / (CPFi x ABS)</t>
  </si>
  <si>
    <t>CUL-S-RC</t>
  </si>
  <si>
    <t>IAIFrc</t>
  </si>
  <si>
    <t>IAIFin = ABW x UCF x HQ x AT / (BR x EF x ED)</t>
  </si>
  <si>
    <t>IAIFin</t>
  </si>
  <si>
    <t>Intermediate air intake factor, industrial noncancer</t>
  </si>
  <si>
    <t>IAIFic = Risk x ABW x UCF x AT / (BR x EF x Ed)</t>
  </si>
  <si>
    <t>CUL-A-IC = IAIFic / (CPFi x ABS)</t>
  </si>
  <si>
    <t>CUL-GW-NC = IDWIFn x RfDo / INH</t>
  </si>
  <si>
    <t>CUL-GW-C = IDWIFc / (CPFo x INH)</t>
  </si>
  <si>
    <t>CUL-SW-NC = RfDo x ISWIFn / BCF</t>
  </si>
  <si>
    <t>CUL-SW-C = ISWIFc / (CPFo x BCF)</t>
  </si>
  <si>
    <t>CUL-S-RNC = ISIFrn x RfDo / AB1</t>
  </si>
  <si>
    <t>CUL-S-RC = ISIFrc / (CPFo x AB1)</t>
  </si>
  <si>
    <t>CUL-S-INC = RfDo x ISIFin / AB1</t>
  </si>
  <si>
    <t>CUL-S-IC = ISIFic / (CPFo x AB1)</t>
  </si>
  <si>
    <t>CUL-A-IN = RfDi x IAIFin / ABS</t>
  </si>
  <si>
    <t>IAIFic</t>
  </si>
  <si>
    <t>Intermediate air intake factor, industrial cancer</t>
  </si>
  <si>
    <t>Chemical-specific</t>
  </si>
  <si>
    <t>From SCUM II Appendix E
See Sheet 'Param'</t>
  </si>
  <si>
    <t>Calculated - see Sheet '750-1' &amp; '750-2'</t>
  </si>
  <si>
    <t>ISDIF2</t>
  </si>
  <si>
    <t>ISDIF2 = SA x AF</t>
  </si>
  <si>
    <t>Intermediate sediment intake factor 1, cancer</t>
  </si>
  <si>
    <t>ISDIF1c</t>
  </si>
  <si>
    <r>
      <t>cm</t>
    </r>
    <r>
      <rPr>
        <vertAlign val="superscript"/>
        <sz val="9"/>
        <color theme="1"/>
        <rFont val="Arial"/>
        <family val="2"/>
      </rPr>
      <t>2</t>
    </r>
    <r>
      <rPr>
        <sz val="9"/>
        <color theme="1"/>
        <rFont val="Arial"/>
        <family val="2"/>
      </rPr>
      <t>/day</t>
    </r>
  </si>
  <si>
    <t>mg</t>
  </si>
  <si>
    <t>1E-06 (Lower Tier SCO)
1E-05 (Upper Tier CSL)</t>
  </si>
  <si>
    <t>RBC-SED-N</t>
  </si>
  <si>
    <t>ATn</t>
  </si>
  <si>
    <t>Intermediate sediment intake factor 2</t>
  </si>
  <si>
    <t>Intermediate sediment intake factor 1, noncancer</t>
  </si>
  <si>
    <t>Subsistence Clam Digging (Adult)</t>
  </si>
  <si>
    <t>Subsistence Net Fishing (Adult)</t>
  </si>
  <si>
    <r>
      <t xml:space="preserve">AB
(unitless)
</t>
    </r>
    <r>
      <rPr>
        <b/>
        <sz val="9"/>
        <color theme="3" tint="0.39997558519241921"/>
        <rFont val="Arial"/>
        <family val="2"/>
      </rPr>
      <t>Param</t>
    </r>
  </si>
  <si>
    <t>Cancer Eq.</t>
  </si>
  <si>
    <t>IVEF</t>
  </si>
  <si>
    <t>Intermediate vapor exposure factor</t>
  </si>
  <si>
    <t>m3/L</t>
  </si>
  <si>
    <t>There is no ILF3 for the saturated zone</t>
  </si>
  <si>
    <t>ILF1v</t>
  </si>
  <si>
    <t>ILF2v</t>
  </si>
  <si>
    <t>ILF3v</t>
  </si>
  <si>
    <t xml:space="preserve">Intermediate leaching factor 1, vadose zone </t>
  </si>
  <si>
    <t>Intermediate leaching factor 2, vadose zone</t>
  </si>
  <si>
    <t>Intermediate leaching factor 3, vadose zone</t>
  </si>
  <si>
    <t>Intermediate leaching factor 1, saturated zone</t>
  </si>
  <si>
    <t>Intermediate leaching factor 2, saturated zone</t>
  </si>
  <si>
    <t>Vadose</t>
  </si>
  <si>
    <t>Most Stringent ARAR</t>
  </si>
  <si>
    <r>
      <rPr>
        <b/>
        <sz val="9"/>
        <color theme="3" tint="0.39997558519241921"/>
        <rFont val="Arial"/>
        <family val="2"/>
      </rPr>
      <t>SL-10</t>
    </r>
    <r>
      <rPr>
        <b/>
        <sz val="9"/>
        <rFont val="Arial"/>
        <family val="2"/>
      </rPr>
      <t xml:space="preserve">
Natural Background
</t>
    </r>
    <r>
      <rPr>
        <b/>
        <sz val="9"/>
        <color theme="3" tint="0.39997558519241921"/>
        <rFont val="Arial"/>
        <family val="2"/>
      </rPr>
      <t>Ecology (1994)</t>
    </r>
  </si>
  <si>
    <t>Most Stringent PCUL
Potable Water
GW #s 1-5</t>
  </si>
  <si>
    <t>Most Stringent PCUL
Nonpotable Water
GW #s 2-5</t>
  </si>
  <si>
    <t>Basis - Potable GW</t>
  </si>
  <si>
    <t>Basis - Nonpotable GW</t>
  </si>
  <si>
    <t>Minimum
LDW ROD RAL
Overall</t>
  </si>
  <si>
    <r>
      <t xml:space="preserve">Soil Protect GW at User-Defined GW PCUL
Vadose Zone
(mg/kg)
</t>
    </r>
    <r>
      <rPr>
        <b/>
        <sz val="9"/>
        <color theme="3" tint="0.39997558519241921"/>
        <rFont val="Arial"/>
        <family val="2"/>
      </rPr>
      <t>Eq. 747-1</t>
    </r>
  </si>
  <si>
    <r>
      <t xml:space="preserve">Soil Protect GW at User-Defined GW PCUL
Saturated Zone
(mg/kg)
</t>
    </r>
    <r>
      <rPr>
        <b/>
        <sz val="9"/>
        <color theme="3" tint="0.39997558519241921"/>
        <rFont val="Arial"/>
        <family val="2"/>
      </rPr>
      <t>Eq. 747-1</t>
    </r>
  </si>
  <si>
    <r>
      <rPr>
        <b/>
        <sz val="9"/>
        <color theme="3" tint="0.39997558519241921"/>
        <rFont val="Arial"/>
        <family val="2"/>
      </rPr>
      <t>GW-3</t>
    </r>
    <r>
      <rPr>
        <b/>
        <sz val="9"/>
        <rFont val="Arial"/>
        <family val="2"/>
      </rPr>
      <t xml:space="preserve">
Ground Water PCUL
Protect Sediment
(</t>
    </r>
    <r>
      <rPr>
        <b/>
        <sz val="10"/>
        <rFont val="Symbol"/>
        <family val="1"/>
        <charset val="2"/>
      </rPr>
      <t>m</t>
    </r>
    <r>
      <rPr>
        <b/>
        <sz val="9"/>
        <rFont val="Arial"/>
        <family val="2"/>
      </rPr>
      <t xml:space="preserve">g/L)
</t>
    </r>
    <r>
      <rPr>
        <b/>
        <sz val="9"/>
        <color theme="3" tint="0.39997558519241921"/>
        <rFont val="Arial"/>
        <family val="2"/>
      </rPr>
      <t>Modified Eq. 747-1</t>
    </r>
  </si>
  <si>
    <r>
      <t>Ground Water PCUL
Protect Sediment
SMS Upper Tier
(</t>
    </r>
    <r>
      <rPr>
        <b/>
        <sz val="10"/>
        <rFont val="Symbol"/>
        <family val="1"/>
        <charset val="2"/>
      </rPr>
      <t>m</t>
    </r>
    <r>
      <rPr>
        <b/>
        <sz val="9"/>
        <rFont val="Arial"/>
        <family val="2"/>
      </rPr>
      <t xml:space="preserve">g/L)
</t>
    </r>
    <r>
      <rPr>
        <b/>
        <sz val="9"/>
        <color theme="3" tint="0.39997558519241921"/>
        <rFont val="Arial"/>
        <family val="2"/>
      </rPr>
      <t>Modified Eq. 747-1</t>
    </r>
  </si>
  <si>
    <r>
      <t>Ground Water PCUL
Protect Sediment
Minimum ROD RAL
(</t>
    </r>
    <r>
      <rPr>
        <b/>
        <sz val="10"/>
        <rFont val="Symbol"/>
        <family val="1"/>
        <charset val="2"/>
      </rPr>
      <t>m</t>
    </r>
    <r>
      <rPr>
        <b/>
        <sz val="9"/>
        <rFont val="Arial"/>
        <family val="2"/>
      </rPr>
      <t xml:space="preserve">g/L)
</t>
    </r>
    <r>
      <rPr>
        <b/>
        <sz val="9"/>
        <color theme="3" tint="0.39997558519241921"/>
        <rFont val="Arial"/>
        <family val="2"/>
      </rPr>
      <t>Modified Eq. 747-1</t>
    </r>
  </si>
  <si>
    <r>
      <rPr>
        <b/>
        <sz val="9"/>
        <color theme="3" tint="0.39997558519241921"/>
        <rFont val="Arial"/>
        <family val="2"/>
      </rPr>
      <t>SL-2</t>
    </r>
    <r>
      <rPr>
        <b/>
        <sz val="9"/>
        <rFont val="Arial"/>
        <family val="2"/>
      </rPr>
      <t xml:space="preserve">
Soil Protect Drinking Water
Vadose Zone
(mg/kg)
</t>
    </r>
    <r>
      <rPr>
        <b/>
        <sz val="9"/>
        <color theme="3" tint="0.39997558519241921"/>
        <rFont val="Arial"/>
        <family val="2"/>
      </rPr>
      <t>Eq. 747-1</t>
    </r>
  </si>
  <si>
    <r>
      <rPr>
        <b/>
        <sz val="9"/>
        <color theme="3" tint="0.39997558519241921"/>
        <rFont val="Arial"/>
        <family val="2"/>
      </rPr>
      <t>SL-5</t>
    </r>
    <r>
      <rPr>
        <b/>
        <sz val="9"/>
        <rFont val="Arial"/>
        <family val="2"/>
      </rPr>
      <t xml:space="preserve">
Soil Protect Drinking Water
Saturated Zone
(mg/kg)
</t>
    </r>
    <r>
      <rPr>
        <b/>
        <sz val="9"/>
        <color theme="3" tint="0.39997558519241921"/>
        <rFont val="Arial"/>
        <family val="2"/>
      </rPr>
      <t>Eq. 747-1</t>
    </r>
  </si>
  <si>
    <r>
      <rPr>
        <b/>
        <sz val="9"/>
        <color theme="3" tint="0.39997558519241921"/>
        <rFont val="Arial"/>
        <family val="2"/>
      </rPr>
      <t>SL-3</t>
    </r>
    <r>
      <rPr>
        <b/>
        <sz val="9"/>
        <rFont val="Arial"/>
        <family val="2"/>
      </rPr>
      <t xml:space="preserve">
Soil Protect Surface Water
Vadose Zone
(mg/kg)
</t>
    </r>
    <r>
      <rPr>
        <b/>
        <sz val="9"/>
        <color theme="3" tint="0.39997558519241921"/>
        <rFont val="Arial"/>
        <family val="2"/>
      </rPr>
      <t>Eq. 747-1</t>
    </r>
  </si>
  <si>
    <r>
      <rPr>
        <b/>
        <sz val="9"/>
        <color theme="3" tint="0.39997558519241921"/>
        <rFont val="Arial"/>
        <family val="2"/>
      </rPr>
      <t>SL-6</t>
    </r>
    <r>
      <rPr>
        <b/>
        <sz val="9"/>
        <rFont val="Arial"/>
        <family val="2"/>
      </rPr>
      <t xml:space="preserve">
Soil Protect Surface Water
Saturated Zone
(mg/kg)
</t>
    </r>
    <r>
      <rPr>
        <b/>
        <sz val="9"/>
        <color theme="3" tint="0.39997558519241921"/>
        <rFont val="Arial"/>
        <family val="2"/>
      </rPr>
      <t>Eq. 747-1</t>
    </r>
  </si>
  <si>
    <r>
      <t xml:space="preserve">MTCA-B
Surface Water
Fish Consumption
Noncancer
Eq. 730-1
</t>
    </r>
    <r>
      <rPr>
        <b/>
        <sz val="9"/>
        <color theme="4"/>
        <rFont val="Arial"/>
        <family val="2"/>
      </rPr>
      <t>GW-Eq</t>
    </r>
  </si>
  <si>
    <r>
      <t xml:space="preserve">MTCA-B
Surface Water
Fish Consumption
Cancer
Eq. 730-2
</t>
    </r>
    <r>
      <rPr>
        <b/>
        <sz val="9"/>
        <color theme="3" tint="0.39997558519241921"/>
        <rFont val="Arial"/>
        <family val="2"/>
      </rPr>
      <t>GW-Eq</t>
    </r>
  </si>
  <si>
    <r>
      <rPr>
        <b/>
        <sz val="9"/>
        <color theme="3" tint="0.39997558519241921"/>
        <rFont val="Arial"/>
        <family val="2"/>
      </rPr>
      <t>GW-5</t>
    </r>
    <r>
      <rPr>
        <b/>
        <sz val="9"/>
        <rFont val="Arial"/>
        <family val="2"/>
      </rPr>
      <t xml:space="preserve">
Natural Background</t>
    </r>
  </si>
  <si>
    <r>
      <t xml:space="preserve">MTCA-B
Ground Water
Noncancer
(ug/L)
</t>
    </r>
    <r>
      <rPr>
        <b/>
        <sz val="8"/>
        <color theme="3" tint="0.39997558519241921"/>
        <rFont val="Arial"/>
        <family val="2"/>
      </rPr>
      <t>MTCA Eq. 720-1</t>
    </r>
  </si>
  <si>
    <r>
      <t xml:space="preserve">MTCA-B
Ground Water
Cancer
(ug/L)
</t>
    </r>
    <r>
      <rPr>
        <b/>
        <sz val="8"/>
        <color theme="3" tint="0.39997558519241921"/>
        <rFont val="Arial"/>
        <family val="2"/>
      </rPr>
      <t>MTCA Eq. 720-2</t>
    </r>
  </si>
  <si>
    <r>
      <rPr>
        <b/>
        <sz val="9"/>
        <color theme="3" tint="0.39997558519241921"/>
        <rFont val="Arial"/>
        <family val="2"/>
      </rPr>
      <t>GW-1</t>
    </r>
    <r>
      <rPr>
        <b/>
        <sz val="9"/>
        <rFont val="Arial"/>
        <family val="2"/>
      </rPr>
      <t xml:space="preserve">
Ground Water PCUL
Protect Potable Water
</t>
    </r>
    <r>
      <rPr>
        <b/>
        <sz val="9"/>
        <color theme="3" tint="0.39997558519241921"/>
        <rFont val="Arial"/>
        <family val="2"/>
      </rPr>
      <t xml:space="preserve">minimum </t>
    </r>
  </si>
  <si>
    <r>
      <t xml:space="preserve">User-Defined
Soil PCUL
</t>
    </r>
    <r>
      <rPr>
        <b/>
        <sz val="9"/>
        <color theme="3" tint="0.39997558519241921"/>
        <rFont val="Arial"/>
        <family val="2"/>
      </rPr>
      <t>Specify SL #s</t>
    </r>
  </si>
  <si>
    <t>Basis  - Vadose, Potable GW</t>
  </si>
  <si>
    <t>Basis - Saturated, Potable GW</t>
  </si>
  <si>
    <t>Basis - Vadose, Nonpotable GW</t>
  </si>
  <si>
    <t>Number of Chemicals:</t>
  </si>
  <si>
    <t>Basis SMS Lower Tier</t>
  </si>
  <si>
    <t>Basis SMS Upper Tier</t>
  </si>
  <si>
    <r>
      <t xml:space="preserve">NRWQC
Human Health 
Consumption of Organisms 
</t>
    </r>
    <r>
      <rPr>
        <b/>
        <sz val="9"/>
        <color theme="3" tint="0.39997558519241921"/>
        <rFont val="Arial"/>
        <family val="2"/>
      </rPr>
      <t>CWA Section 304</t>
    </r>
  </si>
  <si>
    <t>--</t>
  </si>
  <si>
    <t>Sort
Order</t>
  </si>
  <si>
    <t>ISWIFn = ABW x UCF1 x UCF2 x HQ x AT / (FCR x FDF x ED)</t>
  </si>
  <si>
    <r>
      <rPr>
        <b/>
        <sz val="9"/>
        <color theme="3" tint="0.39997558519241921"/>
        <rFont val="Arial"/>
        <family val="2"/>
      </rPr>
      <t>GW-2</t>
    </r>
    <r>
      <rPr>
        <b/>
        <sz val="9"/>
        <rFont val="Arial"/>
        <family val="2"/>
      </rPr>
      <t xml:space="preserve">
Ground Water PCUL
Protect
Surface Water
</t>
    </r>
    <r>
      <rPr>
        <b/>
        <sz val="9"/>
        <color theme="3" tint="0.39997558519241921"/>
        <rFont val="Arial"/>
        <family val="2"/>
      </rPr>
      <t xml:space="preserve">minimum </t>
    </r>
  </si>
  <si>
    <t>Basis - Satur., Nonpotable GW</t>
  </si>
  <si>
    <t>Exposure frequency</t>
  </si>
  <si>
    <t>Skin surface area</t>
  </si>
  <si>
    <t>Sediment-to-skin adherence factor</t>
  </si>
  <si>
    <t>Most Stringent
Soil PCUL 
Vadose Zone
Potable GW
SL #s 1-4, 8-10</t>
  </si>
  <si>
    <t>Most Stringent
Soil PCUL
Saturated Zone
Potable GW
SL #s 1, 5-10</t>
  </si>
  <si>
    <t>Most Stringent
Soil PCUL 
Vadose Zone
Nonpotable GW
SL #s 1, 3, 4, 8-10</t>
  </si>
  <si>
    <t>Most Stringent
Soil PCUL
Saturated Zone
Nonpotable GW
SL #s 1, 6-10</t>
  </si>
  <si>
    <r>
      <t xml:space="preserve">Bioaccum-ulative
</t>
    </r>
    <r>
      <rPr>
        <b/>
        <sz val="9"/>
        <color theme="3" tint="0.39997558519241921"/>
        <rFont val="Arial"/>
        <family val="2"/>
      </rPr>
      <t>Param</t>
    </r>
  </si>
  <si>
    <r>
      <t xml:space="preserve">RfDi
(mg/kg-day)
</t>
    </r>
    <r>
      <rPr>
        <b/>
        <sz val="10"/>
        <color theme="3" tint="0.39997558519241921"/>
        <rFont val="Arial"/>
        <family val="2"/>
      </rPr>
      <t>Param</t>
    </r>
  </si>
  <si>
    <r>
      <t>CPFi
(risk per
mg/kd-day)</t>
    </r>
    <r>
      <rPr>
        <b/>
        <vertAlign val="superscript"/>
        <sz val="10"/>
        <rFont val="Arial"/>
        <family val="2"/>
      </rPr>
      <t xml:space="preserve">
</t>
    </r>
    <r>
      <rPr>
        <b/>
        <sz val="10"/>
        <color theme="3" tint="0.39997558519241921"/>
        <rFont val="Arial"/>
        <family val="2"/>
      </rPr>
      <t>Param</t>
    </r>
  </si>
  <si>
    <r>
      <t xml:space="preserve">MTCA-B Air
Noncancer
(ug/m3)
</t>
    </r>
    <r>
      <rPr>
        <b/>
        <sz val="10"/>
        <color theme="3" tint="0.39997558519241921"/>
        <rFont val="Arial"/>
        <family val="2"/>
      </rPr>
      <t>MTCA Eq. 750-1</t>
    </r>
  </si>
  <si>
    <r>
      <t xml:space="preserve">MTCA-B Air 
Cancer
(ug/m3)
</t>
    </r>
    <r>
      <rPr>
        <b/>
        <sz val="10"/>
        <color theme="3" tint="0.39997558519241921"/>
        <rFont val="Arial"/>
        <family val="2"/>
      </rPr>
      <t>MTCA Eq. 750-2</t>
    </r>
  </si>
  <si>
    <r>
      <t xml:space="preserve">MTCA-C Air
Cancer
(ug/m3)
</t>
    </r>
    <r>
      <rPr>
        <b/>
        <sz val="10"/>
        <color theme="3" tint="0.39997558519241921"/>
        <rFont val="Arial"/>
        <family val="2"/>
      </rPr>
      <t>MTCA Eq. 750-2 Modif. for Method C</t>
    </r>
  </si>
  <si>
    <t>Reg. Background</t>
  </si>
  <si>
    <r>
      <t xml:space="preserve">LDW ROD RAL
Subtidal
Shoaled Areas
Top to Navig. Depth + 2 ft
</t>
    </r>
    <r>
      <rPr>
        <b/>
        <sz val="9"/>
        <color theme="3" tint="0.39997558519241921"/>
        <rFont val="Arial"/>
        <family val="2"/>
      </rPr>
      <t>LDW ROD
Table 28
(SCO)</t>
    </r>
  </si>
  <si>
    <t>cPAH TEQ</t>
  </si>
  <si>
    <r>
      <rPr>
        <b/>
        <sz val="10"/>
        <color theme="1"/>
        <rFont val="Calibri"/>
        <family val="2"/>
        <scheme val="minor"/>
      </rPr>
      <t>Select</t>
    </r>
    <r>
      <rPr>
        <sz val="9"/>
        <color theme="1"/>
        <rFont val="Calibri"/>
        <family val="2"/>
        <scheme val="minor"/>
      </rPr>
      <t xml:space="preserve">
Use an 'X' to identify chemicals of interest for filtering</t>
    </r>
  </si>
  <si>
    <t>Body weight</t>
  </si>
  <si>
    <r>
      <t xml:space="preserve">Simplified TEE
Unrestricted Land Use
</t>
    </r>
    <r>
      <rPr>
        <b/>
        <sz val="9"/>
        <color theme="3" tint="0.39997558519241921"/>
        <rFont val="Arial"/>
        <family val="2"/>
      </rPr>
      <t>MTCA</t>
    </r>
    <r>
      <rPr>
        <b/>
        <sz val="9"/>
        <rFont val="Arial"/>
        <family val="2"/>
      </rPr>
      <t xml:space="preserve"> </t>
    </r>
    <r>
      <rPr>
        <b/>
        <sz val="9"/>
        <color theme="3" tint="0.39997558519241921"/>
        <rFont val="Arial"/>
        <family val="2"/>
      </rPr>
      <t>Table 749-2</t>
    </r>
  </si>
  <si>
    <r>
      <t xml:space="preserve">Simplified TEE
Industrial or Commercial Land Use
</t>
    </r>
    <r>
      <rPr>
        <b/>
        <sz val="9"/>
        <color theme="3" tint="0.39997558519241921"/>
        <rFont val="Arial"/>
        <family val="2"/>
      </rPr>
      <t>MTCA</t>
    </r>
    <r>
      <rPr>
        <b/>
        <sz val="9"/>
        <rFont val="Arial"/>
        <family val="2"/>
      </rPr>
      <t xml:space="preserve"> </t>
    </r>
    <r>
      <rPr>
        <b/>
        <sz val="9"/>
        <color theme="3" tint="0.39997558519241921"/>
        <rFont val="Arial"/>
        <family val="2"/>
      </rPr>
      <t>Table 749-2</t>
    </r>
  </si>
  <si>
    <r>
      <t xml:space="preserve">Aquatic Life:
Literature Values
</t>
    </r>
    <r>
      <rPr>
        <b/>
        <sz val="9"/>
        <color theme="3" tint="0.39997558519241921"/>
        <rFont val="Arial"/>
        <family val="2"/>
      </rPr>
      <t xml:space="preserve">Ecology (2016a)
Table 5 </t>
    </r>
  </si>
  <si>
    <t>Dry soil bulk density, from Ecology (2016)</t>
  </si>
  <si>
    <t>Abbrev.</t>
  </si>
  <si>
    <t>Parameter</t>
  </si>
  <si>
    <t>Units</t>
  </si>
  <si>
    <t>RBC-SED-C = ACR x ISDIF1c / (IR x AB x CPFo + ISDIF2 x ABS x CPFd)</t>
  </si>
  <si>
    <t>ISDIF1n</t>
  </si>
  <si>
    <t>ISDIF1n = HQ x BW x ATn x UCF / (EF x ED)</t>
  </si>
  <si>
    <t>ISDIF1c = BW x ATc x UCF / (EF x ED)</t>
  </si>
  <si>
    <t>RBC-SED-N = ISDIF1n / (IR x AB/RfDo + ISDIF2 x ABS/RfDd)</t>
  </si>
  <si>
    <t>Organic carbon fraction</t>
  </si>
  <si>
    <t>Averaging time (noncancer)</t>
  </si>
  <si>
    <t>Sediment foc:</t>
  </si>
  <si>
    <t>Soil foc:</t>
  </si>
  <si>
    <r>
      <t xml:space="preserve">Selected
Soil Kd 
</t>
    </r>
    <r>
      <rPr>
        <b/>
        <sz val="9"/>
        <rFont val="Arial"/>
        <family val="2"/>
      </rPr>
      <t>(L/kg)</t>
    </r>
  </si>
  <si>
    <r>
      <t xml:space="preserve">Selected
Sediment Kd 
</t>
    </r>
    <r>
      <rPr>
        <b/>
        <sz val="9"/>
        <rFont val="Arial"/>
        <family val="2"/>
      </rPr>
      <t>(L/kg)</t>
    </r>
  </si>
  <si>
    <r>
      <t xml:space="preserve">PQL
</t>
    </r>
    <r>
      <rPr>
        <b/>
        <sz val="9"/>
        <color theme="3" tint="0.39997558519241921"/>
        <rFont val="Arial"/>
        <family val="2"/>
      </rPr>
      <t>SCUM
Tables
11-1, D-1</t>
    </r>
  </si>
  <si>
    <t>Listed on CLARC VI Page</t>
  </si>
  <si>
    <t>MTCA Equation 720-1 (Method B ground water cleanup level, noncancer, potable water)</t>
  </si>
  <si>
    <t>MTCA Equation 720-2 (Method B ground water cleanup level, cancer, potable water)</t>
  </si>
  <si>
    <t>Ground water cleanup level, noncancer</t>
  </si>
  <si>
    <t>Ground water cleanup level, cancer</t>
  </si>
  <si>
    <t>MTCA Equation 747-1 (Soil cleanup level for ground water protection)</t>
  </si>
  <si>
    <t>Soil cleanup level, ground water protection</t>
  </si>
  <si>
    <t>Modified MTCA Equation 747-1 (ground water concentration for protection of sediment; from Ecology [2016], Appendix A)</t>
  </si>
  <si>
    <r>
      <t xml:space="preserve">User-Defined Ground Water PCUL
(ug/L)
</t>
    </r>
    <r>
      <rPr>
        <b/>
        <sz val="9"/>
        <color theme="3" tint="0.39997558519241921"/>
        <rFont val="Arial"/>
        <family val="2"/>
      </rPr>
      <t>Specify Source</t>
    </r>
  </si>
  <si>
    <t>Lower Tier
Minimum Direct Contact Scenario</t>
  </si>
  <si>
    <t>Upper Tier
Minimum Direct Contact Scenario</t>
  </si>
  <si>
    <t>Lower Tier
Beach Play
(1E-6 or HQ=1)</t>
  </si>
  <si>
    <t>Lower Tier
Clam Digging
(1E-6 or HQ=1)</t>
  </si>
  <si>
    <t>Lower Tier
Netfishing
(1E-6 or HQ=1)</t>
  </si>
  <si>
    <t>Upper Tier
Beach Play
(1E-5 or HQ=1)</t>
  </si>
  <si>
    <t>Upper Tier
Clam Digging
(1E-5 or HQ=1)</t>
  </si>
  <si>
    <t>Upper Tier
Netfishing
(1E-5 or HQ=1)</t>
  </si>
  <si>
    <t>WTR Human Health</t>
  </si>
  <si>
    <r>
      <t xml:space="preserve">WA Toxics Rule (WTR)
Human Health
Consumption of Organisms 
</t>
    </r>
    <r>
      <rPr>
        <b/>
        <sz val="9"/>
        <color theme="3" tint="0.39997558519241921"/>
        <rFont val="Arial"/>
        <family val="2"/>
      </rPr>
      <t>40 CFR 131.45</t>
    </r>
  </si>
  <si>
    <t>Yellow highlighting indicates parameter values that are set to default but could be made site-specific.</t>
  </si>
  <si>
    <r>
      <t xml:space="preserve">User-Defined Sediment PCUL
(mg/kg DW)
</t>
    </r>
    <r>
      <rPr>
        <b/>
        <sz val="9"/>
        <color theme="3" tint="0.39997558519241921"/>
        <rFont val="Arial"/>
        <family val="2"/>
      </rPr>
      <t>Specify Source</t>
    </r>
  </si>
  <si>
    <r>
      <rPr>
        <b/>
        <sz val="9"/>
        <color theme="3" tint="0.39997558519241921"/>
        <rFont val="Arial"/>
        <family val="2"/>
      </rPr>
      <t>SL-1</t>
    </r>
    <r>
      <rPr>
        <b/>
        <sz val="9"/>
        <rFont val="Arial"/>
        <family val="2"/>
      </rPr>
      <t xml:space="preserve">
Direct Contact
Unrestricted
</t>
    </r>
    <r>
      <rPr>
        <b/>
        <sz val="9"/>
        <color theme="3" tint="0.39997558519241921"/>
        <rFont val="Arial"/>
        <family val="2"/>
      </rPr>
      <t>SL-Det</t>
    </r>
  </si>
  <si>
    <r>
      <rPr>
        <b/>
        <sz val="9"/>
        <color theme="3" tint="0.39997558519241921"/>
        <rFont val="Arial"/>
        <family val="2"/>
      </rPr>
      <t>SL-2</t>
    </r>
    <r>
      <rPr>
        <b/>
        <sz val="9"/>
        <rFont val="Arial"/>
        <family val="2"/>
      </rPr>
      <t xml:space="preserve">
Protect
Drinking Water
Vadose Zone
</t>
    </r>
    <r>
      <rPr>
        <b/>
        <sz val="9"/>
        <color theme="3" tint="0.39997558519241921"/>
        <rFont val="Arial"/>
        <family val="2"/>
      </rPr>
      <t>Leach</t>
    </r>
  </si>
  <si>
    <r>
      <rPr>
        <b/>
        <sz val="9"/>
        <color theme="3" tint="0.39997558519241921"/>
        <rFont val="Arial"/>
        <family val="2"/>
      </rPr>
      <t>SL-3</t>
    </r>
    <r>
      <rPr>
        <b/>
        <sz val="9"/>
        <rFont val="Arial"/>
        <family val="2"/>
      </rPr>
      <t xml:space="preserve">
Protect
Surface Water via
Ground Water
Vadose Zone
</t>
    </r>
    <r>
      <rPr>
        <b/>
        <sz val="9"/>
        <color theme="3" tint="0.39997558519241921"/>
        <rFont val="Arial"/>
        <family val="2"/>
      </rPr>
      <t>Leach</t>
    </r>
  </si>
  <si>
    <r>
      <rPr>
        <b/>
        <sz val="9"/>
        <color theme="3" tint="0.39997558519241921"/>
        <rFont val="Arial"/>
        <family val="2"/>
      </rPr>
      <t>SL-4</t>
    </r>
    <r>
      <rPr>
        <b/>
        <sz val="9"/>
        <rFont val="Arial"/>
        <family val="2"/>
      </rPr>
      <t xml:space="preserve">
Protect Sediment 
via Ground Water
Vadose Zone
</t>
    </r>
    <r>
      <rPr>
        <b/>
        <sz val="9"/>
        <color theme="3" tint="0.39997558519241921"/>
        <rFont val="Arial"/>
        <family val="2"/>
      </rPr>
      <t>Leach</t>
    </r>
  </si>
  <si>
    <r>
      <rPr>
        <b/>
        <sz val="9"/>
        <color theme="3" tint="0.39997558519241921"/>
        <rFont val="Arial"/>
        <family val="2"/>
      </rPr>
      <t>SL-5</t>
    </r>
    <r>
      <rPr>
        <b/>
        <sz val="9"/>
        <rFont val="Arial"/>
        <family val="2"/>
      </rPr>
      <t xml:space="preserve">
Protect
Drinking Water
Saturated Zone
</t>
    </r>
    <r>
      <rPr>
        <b/>
        <sz val="9"/>
        <color theme="3" tint="0.39997558519241921"/>
        <rFont val="Arial"/>
        <family val="2"/>
      </rPr>
      <t>Leach</t>
    </r>
  </si>
  <si>
    <r>
      <rPr>
        <b/>
        <sz val="9"/>
        <color theme="3" tint="0.39997558519241921"/>
        <rFont val="Arial"/>
        <family val="2"/>
      </rPr>
      <t>SL-6</t>
    </r>
    <r>
      <rPr>
        <b/>
        <sz val="9"/>
        <rFont val="Arial"/>
        <family val="2"/>
      </rPr>
      <t xml:space="preserve">
Protect
Surface Water via
Ground Water
Saturated Zone
</t>
    </r>
    <r>
      <rPr>
        <b/>
        <sz val="9"/>
        <color theme="3" tint="0.39997558519241921"/>
        <rFont val="Arial"/>
        <family val="2"/>
      </rPr>
      <t>Leach</t>
    </r>
  </si>
  <si>
    <r>
      <rPr>
        <b/>
        <sz val="9"/>
        <color theme="3" tint="0.39997558519241921"/>
        <rFont val="Arial"/>
        <family val="2"/>
      </rPr>
      <t>SL-7</t>
    </r>
    <r>
      <rPr>
        <b/>
        <sz val="9"/>
        <rFont val="Arial"/>
        <family val="2"/>
      </rPr>
      <t xml:space="preserve">
Protect Sediment 
via Ground Water
Saturated Zone
</t>
    </r>
    <r>
      <rPr>
        <b/>
        <sz val="9"/>
        <color theme="3" tint="0.39997558519241921"/>
        <rFont val="Arial"/>
        <family val="2"/>
      </rPr>
      <t>Leach</t>
    </r>
  </si>
  <si>
    <r>
      <rPr>
        <b/>
        <sz val="9"/>
        <color theme="3" tint="0.39997558519241921"/>
        <rFont val="Arial"/>
        <family val="2"/>
      </rPr>
      <t xml:space="preserve">SL-9
</t>
    </r>
    <r>
      <rPr>
        <b/>
        <sz val="9"/>
        <rFont val="Arial"/>
        <family val="2"/>
      </rPr>
      <t xml:space="preserve">Site-Specific TEE Unrestricted
</t>
    </r>
    <r>
      <rPr>
        <b/>
        <sz val="9"/>
        <color theme="3" tint="0.39997558519241921"/>
        <rFont val="Arial"/>
        <family val="2"/>
      </rPr>
      <t>SL-Det</t>
    </r>
  </si>
  <si>
    <r>
      <rPr>
        <b/>
        <sz val="9"/>
        <color theme="3" tint="0.39997558519241921"/>
        <rFont val="Arial"/>
        <family val="2"/>
      </rPr>
      <t>GW-1</t>
    </r>
    <r>
      <rPr>
        <b/>
        <sz val="9"/>
        <rFont val="Arial"/>
        <family val="2"/>
      </rPr>
      <t xml:space="preserve">
Protect
Drinking Water
</t>
    </r>
    <r>
      <rPr>
        <b/>
        <sz val="9"/>
        <color theme="3" tint="0.39997558519241921"/>
        <rFont val="Arial"/>
        <family val="2"/>
      </rPr>
      <t>PW</t>
    </r>
  </si>
  <si>
    <r>
      <rPr>
        <b/>
        <sz val="9"/>
        <color theme="3" tint="0.39997558519241921"/>
        <rFont val="Arial"/>
        <family val="2"/>
      </rPr>
      <t>GW-2</t>
    </r>
    <r>
      <rPr>
        <b/>
        <sz val="9"/>
        <rFont val="Arial"/>
        <family val="2"/>
      </rPr>
      <t xml:space="preserve">
Protect
Surface Water
</t>
    </r>
    <r>
      <rPr>
        <b/>
        <sz val="9"/>
        <color theme="3" tint="0.39997558519241921"/>
        <rFont val="Arial"/>
        <family val="2"/>
      </rPr>
      <t>SW</t>
    </r>
  </si>
  <si>
    <r>
      <rPr>
        <b/>
        <sz val="9"/>
        <color theme="3" tint="0.39997558519241921"/>
        <rFont val="Arial"/>
        <family val="2"/>
      </rPr>
      <t>GW-3</t>
    </r>
    <r>
      <rPr>
        <b/>
        <sz val="9"/>
        <rFont val="Arial"/>
        <family val="2"/>
      </rPr>
      <t xml:space="preserve">
Protect
Sediment
</t>
    </r>
    <r>
      <rPr>
        <b/>
        <sz val="9"/>
        <color theme="3" tint="0.39997558519241921"/>
        <rFont val="Arial"/>
        <family val="2"/>
      </rPr>
      <t>Partit</t>
    </r>
  </si>
  <si>
    <r>
      <rPr>
        <b/>
        <sz val="9"/>
        <color theme="3" tint="0.39997558519241921"/>
        <rFont val="Arial"/>
        <family val="2"/>
      </rPr>
      <t>GW-4</t>
    </r>
    <r>
      <rPr>
        <b/>
        <sz val="9"/>
        <rFont val="Arial"/>
        <family val="2"/>
      </rPr>
      <t xml:space="preserve">
Ground Water Screening Level
Protect Indoor Air 
</t>
    </r>
    <r>
      <rPr>
        <b/>
        <sz val="9"/>
        <color theme="3" tint="0.39997558519241921"/>
        <rFont val="Arial"/>
        <family val="2"/>
      </rPr>
      <t>VI</t>
    </r>
  </si>
  <si>
    <r>
      <rPr>
        <b/>
        <sz val="9"/>
        <color theme="3" tint="0.39997558519241921"/>
        <rFont val="Arial"/>
        <family val="2"/>
      </rPr>
      <t>AR-1</t>
    </r>
    <r>
      <rPr>
        <b/>
        <sz val="9"/>
        <rFont val="Arial"/>
        <family val="2"/>
      </rPr>
      <t xml:space="preserve">
MTCA-B
Air
(ug/m3)
</t>
    </r>
    <r>
      <rPr>
        <b/>
        <sz val="8"/>
        <color theme="3" tint="0.39997558519241921"/>
        <rFont val="Arial"/>
        <family val="2"/>
      </rPr>
      <t>Air-Det</t>
    </r>
  </si>
  <si>
    <r>
      <t xml:space="preserve">MTCA-C
Air
(ug/m3)
</t>
    </r>
    <r>
      <rPr>
        <b/>
        <sz val="8"/>
        <color theme="3" tint="0.39997558519241921"/>
        <rFont val="Arial"/>
        <family val="2"/>
      </rPr>
      <t>Air-Det</t>
    </r>
  </si>
  <si>
    <r>
      <rPr>
        <b/>
        <sz val="9"/>
        <color theme="3" tint="0.39997558519241921"/>
        <rFont val="Arial"/>
        <family val="2"/>
      </rPr>
      <t>GW-4</t>
    </r>
    <r>
      <rPr>
        <b/>
        <sz val="9"/>
        <rFont val="Arial"/>
        <family val="2"/>
      </rPr>
      <t xml:space="preserve">
MTCA-B
Ground Water
Protect Indoor Air 
(ug/L)
</t>
    </r>
    <r>
      <rPr>
        <b/>
        <sz val="8"/>
        <color theme="3" tint="0.39997558519241921"/>
        <rFont val="Arial"/>
        <family val="2"/>
      </rPr>
      <t>VI Guidance Eq. 1</t>
    </r>
    <r>
      <rPr>
        <b/>
        <sz val="9"/>
        <rFont val="Arial"/>
        <family val="2"/>
      </rPr>
      <t xml:space="preserve"> </t>
    </r>
  </si>
  <si>
    <t>Minimum
LDW ROD RAL
Intertidal
Rec. Cat. 1
(limited)</t>
  </si>
  <si>
    <t>Minimum
LDW ROD RAL
Intertidal
Rec. Cat. 2
(uncertain)</t>
  </si>
  <si>
    <t>Minimum
LDW ROD RAL
Subtidal
Rec. Cat. 1
(limited)</t>
  </si>
  <si>
    <t>Minimum
LDW ROD RAL
Subtidal
Rec. Cat. 2
(uncertain)</t>
  </si>
  <si>
    <r>
      <t xml:space="preserve">LDW ROD RAL
Intertidal
Rec. Cat. 1
(Limited)
0-10 cm
</t>
    </r>
    <r>
      <rPr>
        <b/>
        <sz val="9"/>
        <color theme="3" tint="0.39997558519241921"/>
        <rFont val="Arial"/>
        <family val="2"/>
      </rPr>
      <t>LDW ROD
Table 28
(SCO)</t>
    </r>
  </si>
  <si>
    <r>
      <t xml:space="preserve">LDW ROD RAL
Intertidal
Rec. Cat. 1
(Limited)
0-45 cm
</t>
    </r>
    <r>
      <rPr>
        <b/>
        <sz val="9"/>
        <color theme="3" tint="0.39997558519241921"/>
        <rFont val="Arial"/>
        <family val="2"/>
      </rPr>
      <t>LDW ROD
Table 28
(SCO)</t>
    </r>
  </si>
  <si>
    <r>
      <t xml:space="preserve">LDW ROD RAL
Intertidal
Rec. Cat. 2
(Less Certain)
0-10 cm
</t>
    </r>
    <r>
      <rPr>
        <b/>
        <sz val="9"/>
        <color theme="3" tint="0.39997558519241921"/>
        <rFont val="Arial"/>
        <family val="2"/>
      </rPr>
      <t>LDW ROD
Table 28
(2xSCO)</t>
    </r>
  </si>
  <si>
    <r>
      <t xml:space="preserve">LDW ROD RAL
Intertidal 
Rec. Cat. 2
(Less Certain)
Upper Limit for ENR 0-10 cm
</t>
    </r>
    <r>
      <rPr>
        <b/>
        <sz val="9"/>
        <color theme="3" tint="0.39997558519241921"/>
        <rFont val="Arial"/>
        <family val="2"/>
      </rPr>
      <t>LDW ROD
Table 28
(6xSCO)</t>
    </r>
  </si>
  <si>
    <r>
      <t xml:space="preserve">LDW ROD RAL
Intertidal
Rec. Cat. 2
0-45 cm
</t>
    </r>
    <r>
      <rPr>
        <b/>
        <sz val="9"/>
        <color theme="3" tint="0.39997558519241921"/>
        <rFont val="Arial"/>
        <family val="2"/>
      </rPr>
      <t>LDW ROD
Table 28</t>
    </r>
  </si>
  <si>
    <r>
      <t xml:space="preserve">LDW ROD RAL
Intertidal 
Rec. Cat. 2
Upper Limit for ENR 0-45 cm
</t>
    </r>
    <r>
      <rPr>
        <b/>
        <sz val="9"/>
        <color theme="3" tint="0.39997558519241921"/>
        <rFont val="Arial"/>
        <family val="2"/>
      </rPr>
      <t>LDW ROD
Table 28</t>
    </r>
  </si>
  <si>
    <r>
      <t xml:space="preserve">LDW ROD RAL
Subtidal
Rec. Cat 1
0-10 cm
</t>
    </r>
    <r>
      <rPr>
        <b/>
        <sz val="9"/>
        <color theme="3" tint="0.39997558519241921"/>
        <rFont val="Arial"/>
        <family val="2"/>
      </rPr>
      <t>LDW ROD
Table 28
(SCO)</t>
    </r>
  </si>
  <si>
    <r>
      <t xml:space="preserve">LDW ROD RAL
Subtidal
Rec. Cat 1
0-60 cm
</t>
    </r>
    <r>
      <rPr>
        <b/>
        <sz val="9"/>
        <color theme="3" tint="0.39997558519241921"/>
        <rFont val="Arial"/>
        <family val="2"/>
      </rPr>
      <t>LDW ROD
Table 28
(SCO)</t>
    </r>
  </si>
  <si>
    <r>
      <t xml:space="preserve">LDW ROD RAL
Subtidal
Rec. Cat 2
0-10 cm
</t>
    </r>
    <r>
      <rPr>
        <b/>
        <sz val="9"/>
        <color theme="3" tint="0.39997558519241921"/>
        <rFont val="Arial"/>
        <family val="2"/>
      </rPr>
      <t>LDW ROD
Table 28
(2xSCO)</t>
    </r>
  </si>
  <si>
    <r>
      <t xml:space="preserve">LDW ROD RAL
Subtidal 
Rec. Cat. 2
Upper Limit for ENR 0-10 cm
</t>
    </r>
    <r>
      <rPr>
        <b/>
        <sz val="9"/>
        <color theme="3" tint="0.39997558519241921"/>
        <rFont val="Arial"/>
        <family val="2"/>
      </rPr>
      <t>LDW ROD
Table 28
(6xSCO)</t>
    </r>
  </si>
  <si>
    <r>
      <t xml:space="preserve">LDW ROD RAL
Subtidal
Rec. Cat 2
0-60 cm
</t>
    </r>
    <r>
      <rPr>
        <b/>
        <sz val="9"/>
        <color theme="3" tint="0.39997558519241921"/>
        <rFont val="Arial"/>
        <family val="2"/>
      </rPr>
      <t>LDW ROD
Table 28</t>
    </r>
  </si>
  <si>
    <r>
      <t xml:space="preserve">LDW ROD RAL
Subtidal 
Rec. Cat. 2
Upper Limit for ENR 0-60 cm
</t>
    </r>
    <r>
      <rPr>
        <b/>
        <sz val="9"/>
        <color theme="3" tint="0.39997558519241921"/>
        <rFont val="Arial"/>
        <family val="2"/>
      </rPr>
      <t>LDW ROD
Table 28</t>
    </r>
  </si>
  <si>
    <t>Value</t>
  </si>
  <si>
    <t>Source</t>
  </si>
  <si>
    <t>USEPA (2005)</t>
  </si>
  <si>
    <t>Eq. 1</t>
  </si>
  <si>
    <t>Eq. 2</t>
  </si>
  <si>
    <t>Equations Based on SCUM</t>
  </si>
  <si>
    <t>1)   Age-specific ingestion intake factor: IIF = ED x EF x IR x ADAF / BW</t>
  </si>
  <si>
    <t>Age-Specific Exposure Parameters</t>
  </si>
  <si>
    <t>Age 0-2</t>
  </si>
  <si>
    <t>Age 2-6</t>
  </si>
  <si>
    <t>Ingestion rate</t>
  </si>
  <si>
    <t>Surface area</t>
  </si>
  <si>
    <t>Adherence factor</t>
  </si>
  <si>
    <t>Age-dependent adjustment factor</t>
  </si>
  <si>
    <t>ADAF</t>
  </si>
  <si>
    <t>Age-specific ingestion intake factor</t>
  </si>
  <si>
    <t>IIF</t>
  </si>
  <si>
    <t>Age-specific dermal contact factor</t>
  </si>
  <si>
    <t>Additional Parameters</t>
  </si>
  <si>
    <t>Target cancer risk - SCO</t>
  </si>
  <si>
    <t>ACRs</t>
  </si>
  <si>
    <t>SCUM Table 9-1a</t>
  </si>
  <si>
    <t>Target cancer risk - CSL</t>
  </si>
  <si>
    <t>ACRc</t>
  </si>
  <si>
    <t>Averaging time - cancer</t>
  </si>
  <si>
    <t>Sediment Cleanup Objective (SCO)</t>
  </si>
  <si>
    <t>Cleanup Screening Level (CSL)</t>
  </si>
  <si>
    <t>Ingestion CUL
(mg/kg)</t>
  </si>
  <si>
    <t>Dermal
CUL
(mg/kg)</t>
  </si>
  <si>
    <t>SCO
(mg/kg)</t>
  </si>
  <si>
    <t>CSL
(mg/kg)</t>
  </si>
  <si>
    <t>CPFo
(risk per mg/kg-day)</t>
  </si>
  <si>
    <t>CPFd
(risk per mg/kg-day)</t>
  </si>
  <si>
    <t>AB
(unitless)</t>
  </si>
  <si>
    <t>ABS
(unitless)</t>
  </si>
  <si>
    <t>Eq. 3</t>
  </si>
  <si>
    <t>Eq. 4</t>
  </si>
  <si>
    <t>Eq. 5</t>
  </si>
  <si>
    <t>Eqtn page</t>
  </si>
  <si>
    <t>Param page</t>
  </si>
  <si>
    <t>5)   Final cleanup level: SCO or CSL = 1 / (1/CULi + 1/CULd)</t>
  </si>
  <si>
    <t>3)   Ingestion cleanup level: CULi = ACR x AT x UCF / [AB x CPFo x (sum of IIFs across age groups)]</t>
  </si>
  <si>
    <t>Additional Abbreviations</t>
  </si>
  <si>
    <t>ABS - dermal absorption fraction</t>
  </si>
  <si>
    <t>AB - gastrointestinal absorption fraction</t>
  </si>
  <si>
    <t>CPFd - dermal carcinogenic potency factor</t>
  </si>
  <si>
    <t>CPFo - oral carcinogenic potency factor</t>
  </si>
  <si>
    <t>Reference</t>
  </si>
  <si>
    <t>USEPA.  2005.  Supplemental Guidance for Assessing Susceptibility from Early-Life Exposure to Carcinogens.  EPA/630/R-03/003F.  U.S. Environmental Protection Agency, Washington DC.  March</t>
  </si>
  <si>
    <t>2)   Age-specific dermal contact factor: DCF = ED x EF x SA x AF x ADAF / BW</t>
  </si>
  <si>
    <t>DCF</t>
  </si>
  <si>
    <t>4)   Dermal cleanup level: CULd = ACR x AT x UCF / [ABS x CPFd x (sum of DCFs across age groups)]</t>
  </si>
  <si>
    <t>Mutagenic Chemical</t>
  </si>
  <si>
    <t>SW via GW</t>
  </si>
  <si>
    <t>Sediment
via GW</t>
  </si>
  <si>
    <r>
      <rPr>
        <b/>
        <sz val="9"/>
        <color theme="3" tint="0.39997558519241921"/>
        <rFont val="Arial"/>
        <family val="2"/>
      </rPr>
      <t>GW-2</t>
    </r>
    <r>
      <rPr>
        <b/>
        <sz val="9"/>
        <rFont val="Arial"/>
        <family val="2"/>
      </rPr>
      <t xml:space="preserve">
GW PCUL
Protect Surface Water via GW
(ug/L)
</t>
    </r>
    <r>
      <rPr>
        <b/>
        <sz val="9"/>
        <color theme="3" tint="0.39997558519241921"/>
        <rFont val="Arial"/>
        <family val="2"/>
      </rPr>
      <t>SW</t>
    </r>
  </si>
  <si>
    <r>
      <rPr>
        <b/>
        <sz val="9"/>
        <color theme="3" tint="0.39997558519241921"/>
        <rFont val="Arial"/>
        <family val="2"/>
      </rPr>
      <t>GW-3</t>
    </r>
    <r>
      <rPr>
        <b/>
        <sz val="9"/>
        <rFont val="Arial"/>
        <family val="2"/>
      </rPr>
      <t xml:space="preserve">
GW PCUL
Protect Sediment via GW
(ug/L)
</t>
    </r>
    <r>
      <rPr>
        <b/>
        <sz val="9"/>
        <color theme="3" tint="0.39997558519241921"/>
        <rFont val="Arial"/>
        <family val="2"/>
      </rPr>
      <t>Partit</t>
    </r>
  </si>
  <si>
    <t>To make changes to this page, you must unprotect it.  On the 'Review' ribbon, select 'Unprotect Sheet'.  The password is 'LDW'.</t>
  </si>
  <si>
    <t>Site-Specific Assumptions from LDW ROD</t>
  </si>
  <si>
    <t>Scenario-Specific Parameters</t>
  </si>
  <si>
    <r>
      <rPr>
        <b/>
        <sz val="9"/>
        <color theme="3" tint="0.39997558519241921"/>
        <rFont val="Arial"/>
        <family val="2"/>
      </rPr>
      <t>SG-1</t>
    </r>
    <r>
      <rPr>
        <b/>
        <sz val="9"/>
        <rFont val="Arial"/>
        <family val="2"/>
      </rPr>
      <t xml:space="preserve">
MTCA-B
Soil Gas
Protect Indoor Air
</t>
    </r>
    <r>
      <rPr>
        <b/>
        <sz val="9"/>
        <color theme="3" tint="0.39997558519241921"/>
        <rFont val="Arial"/>
        <family val="2"/>
      </rPr>
      <t>VI Guidance Eq. 2</t>
    </r>
  </si>
  <si>
    <r>
      <rPr>
        <b/>
        <sz val="9"/>
        <color theme="3" tint="0.39997558519241921"/>
        <rFont val="Arial"/>
        <family val="2"/>
      </rPr>
      <t>AR-1</t>
    </r>
    <r>
      <rPr>
        <b/>
        <sz val="9"/>
        <rFont val="Arial"/>
        <family val="2"/>
      </rPr>
      <t xml:space="preserve">
Air PCUL
Unrestricted
</t>
    </r>
    <r>
      <rPr>
        <b/>
        <sz val="9"/>
        <color theme="3" tint="0.39997558519241921"/>
        <rFont val="Arial"/>
        <family val="2"/>
      </rPr>
      <t>Air-Det</t>
    </r>
  </si>
  <si>
    <r>
      <rPr>
        <b/>
        <sz val="9"/>
        <color rgb="FF538DD5"/>
        <rFont val="Arial"/>
        <family val="2"/>
      </rPr>
      <t>SG-1</t>
    </r>
    <r>
      <rPr>
        <b/>
        <sz val="9"/>
        <rFont val="Arial"/>
        <family val="2"/>
      </rPr>
      <t xml:space="preserve">
Soil Gas
Screening Level
Protect Indoor Air
Unrestricted
</t>
    </r>
    <r>
      <rPr>
        <b/>
        <sz val="9"/>
        <color theme="3" tint="0.39997558519241921"/>
        <rFont val="Arial"/>
        <family val="2"/>
      </rPr>
      <t>Air-Det</t>
    </r>
  </si>
  <si>
    <r>
      <t xml:space="preserve">MTCA-C
Soil Gas
Protect Indoor Air
Industrial
</t>
    </r>
    <r>
      <rPr>
        <b/>
        <sz val="9"/>
        <color theme="3" tint="0.39997558519241921"/>
        <rFont val="Arial"/>
        <family val="2"/>
      </rPr>
      <t>VI Guidance Eq. 2</t>
    </r>
  </si>
  <si>
    <r>
      <t xml:space="preserve">MTCA-C Air Noncancer
(ug/m3)
</t>
    </r>
    <r>
      <rPr>
        <b/>
        <sz val="10"/>
        <color theme="3" tint="0.39997558519241921"/>
        <rFont val="Arial"/>
        <family val="2"/>
      </rPr>
      <t>MTCA Eq. 750-1 Modif. for Method C</t>
    </r>
  </si>
  <si>
    <t>MTCA Equation 750-1 (commercial air screening level, noncancer)</t>
  </si>
  <si>
    <t>MTCA Equation 750-2 (commercial air screening level, cancer)</t>
  </si>
  <si>
    <t>Exposure frequency (9 hr/day, 250 dy/yr)</t>
  </si>
  <si>
    <r>
      <t xml:space="preserve">Commercial Air
Noncancer
</t>
    </r>
    <r>
      <rPr>
        <b/>
        <sz val="9"/>
        <color theme="3" tint="0.39997558519241921"/>
        <rFont val="Arial"/>
        <family val="2"/>
      </rPr>
      <t>AR-Eq</t>
    </r>
  </si>
  <si>
    <r>
      <t xml:space="preserve">Commercial Air
Cancer
</t>
    </r>
    <r>
      <rPr>
        <b/>
        <sz val="9"/>
        <color theme="3" tint="0.39997558519241921"/>
        <rFont val="Arial"/>
        <family val="2"/>
      </rPr>
      <t>AR-Eq</t>
    </r>
  </si>
  <si>
    <t>Commercial Air</t>
  </si>
  <si>
    <r>
      <t xml:space="preserve">Commercial
Soil Gas
Protect Indoor Air
</t>
    </r>
    <r>
      <rPr>
        <b/>
        <sz val="9"/>
        <color theme="3" tint="0.39997558519241921"/>
        <rFont val="Arial"/>
        <family val="2"/>
      </rPr>
      <t>VI Guidance Eq. 2</t>
    </r>
  </si>
  <si>
    <r>
      <t xml:space="preserve">Commercial
Air
(ug/m3)
</t>
    </r>
    <r>
      <rPr>
        <b/>
        <sz val="8"/>
        <color theme="3" tint="0.39997558519241921"/>
        <rFont val="Arial"/>
        <family val="2"/>
      </rPr>
      <t>Air-Det</t>
    </r>
  </si>
  <si>
    <r>
      <t xml:space="preserve">MTCA-C
Ground Water
Protect Indoor Air via Vapor Intrusion
(ug/L)
</t>
    </r>
    <r>
      <rPr>
        <b/>
        <sz val="8"/>
        <color theme="3" tint="0.39997558519241921"/>
        <rFont val="Arial"/>
        <family val="2"/>
      </rPr>
      <t>VI Guidance Eq. 1</t>
    </r>
  </si>
  <si>
    <r>
      <t xml:space="preserve">Ground Water
Protect Indoor Air via Vapor Intrusion
Commercial
(ug/L)
</t>
    </r>
    <r>
      <rPr>
        <b/>
        <sz val="8"/>
        <color theme="3" tint="0.39997558519241921"/>
        <rFont val="Arial"/>
        <family val="2"/>
      </rPr>
      <t>VI Guidance Eq. 1</t>
    </r>
  </si>
  <si>
    <r>
      <t xml:space="preserve">RfC
(mg/m3)
</t>
    </r>
    <r>
      <rPr>
        <b/>
        <sz val="9"/>
        <color theme="3" tint="0.39997558519241921"/>
        <rFont val="Arial"/>
        <family val="2"/>
      </rPr>
      <t>CLARC</t>
    </r>
  </si>
  <si>
    <r>
      <t xml:space="preserve">RfDi 
(mg/kg-day)
</t>
    </r>
    <r>
      <rPr>
        <b/>
        <sz val="9"/>
        <color theme="3" tint="0.39997558519241921"/>
        <rFont val="Arial"/>
        <family val="2"/>
      </rPr>
      <t>RfC x
20 m3/day /
70 kg</t>
    </r>
  </si>
  <si>
    <r>
      <t xml:space="preserve">IUR
(risk per ug/m3)
</t>
    </r>
    <r>
      <rPr>
        <b/>
        <sz val="9"/>
        <color theme="3" tint="0.39997558519241921"/>
        <rFont val="Arial"/>
        <family val="2"/>
      </rPr>
      <t>CLARC</t>
    </r>
  </si>
  <si>
    <r>
      <t xml:space="preserve">CPFi 
(risk per
mg/kg-day)
</t>
    </r>
    <r>
      <rPr>
        <b/>
        <sz val="9"/>
        <color theme="3" tint="0.39997558519241921"/>
        <rFont val="Arial"/>
        <family val="2"/>
      </rPr>
      <t>IUR x 70 kg x 1E3 ug/mg / 20 m3/day</t>
    </r>
  </si>
  <si>
    <r>
      <rPr>
        <b/>
        <sz val="9"/>
        <rFont val="Arial"/>
        <family val="2"/>
      </rPr>
      <t>RfDo
(mg/kg-day)</t>
    </r>
    <r>
      <rPr>
        <b/>
        <sz val="9"/>
        <color theme="3" tint="0.39997558519241921"/>
        <rFont val="Arial"/>
        <family val="2"/>
      </rPr>
      <t xml:space="preserve">
CLARC</t>
    </r>
  </si>
  <si>
    <r>
      <t xml:space="preserve">CPFo
(risk per mg/kg-day)
</t>
    </r>
    <r>
      <rPr>
        <b/>
        <sz val="9"/>
        <color theme="3" tint="0.39997558519241921"/>
        <rFont val="Arial"/>
        <family val="2"/>
      </rPr>
      <t>CLARC</t>
    </r>
  </si>
  <si>
    <t>Noted as Mutagen in CLARC</t>
  </si>
  <si>
    <r>
      <t xml:space="preserve">TCE Short-Term Action Level for Cardiac Birth Defects
Commercial Worker
Groundwater (ug/L)
</t>
    </r>
    <r>
      <rPr>
        <b/>
        <sz val="9"/>
        <color theme="3" tint="0.39997558519241921"/>
        <rFont val="Arial"/>
        <family val="2"/>
      </rPr>
      <t>VI Guidance</t>
    </r>
  </si>
  <si>
    <r>
      <t xml:space="preserve">Commercial Air
Noncancer
(ug/m3)
</t>
    </r>
    <r>
      <rPr>
        <b/>
        <sz val="10"/>
        <color theme="3" tint="0.39997558519241921"/>
        <rFont val="Arial"/>
        <family val="2"/>
      </rPr>
      <t>CLARC Guidance</t>
    </r>
  </si>
  <si>
    <r>
      <t xml:space="preserve">Commercial Air
Cancer
(ug/m3)
</t>
    </r>
    <r>
      <rPr>
        <b/>
        <sz val="10"/>
        <color theme="3" tint="0.39997558519241921"/>
        <rFont val="Arial"/>
        <family val="2"/>
      </rPr>
      <t>CLARC Guidance</t>
    </r>
  </si>
  <si>
    <r>
      <t xml:space="preserve">TCE Short-Term Air Action Level for Cardiac Birth Defects
Unrestricted
</t>
    </r>
    <r>
      <rPr>
        <b/>
        <sz val="9"/>
        <color theme="3" tint="0.39997558519241921"/>
        <rFont val="Arial"/>
        <family val="2"/>
      </rPr>
      <t>VI</t>
    </r>
    <r>
      <rPr>
        <b/>
        <sz val="9"/>
        <rFont val="Arial"/>
        <family val="2"/>
      </rPr>
      <t xml:space="preserve"> </t>
    </r>
    <r>
      <rPr>
        <b/>
        <sz val="9"/>
        <color theme="3" tint="0.39997558519241921"/>
        <rFont val="Arial"/>
        <family val="2"/>
      </rPr>
      <t>Guidance</t>
    </r>
  </si>
  <si>
    <r>
      <t xml:space="preserve">TCE Short-Term Soil Gas Action Level for Cardiac Birth Defects
Unrestricted
</t>
    </r>
    <r>
      <rPr>
        <b/>
        <sz val="9"/>
        <color theme="3" tint="0.39997558519241921"/>
        <rFont val="Arial"/>
        <family val="2"/>
      </rPr>
      <t>VI Guidance</t>
    </r>
  </si>
  <si>
    <r>
      <t xml:space="preserve">TCE Short-Term Action Level for Cardiac Birth Defects
Unrestricted
</t>
    </r>
    <r>
      <rPr>
        <b/>
        <sz val="9"/>
        <color theme="3" tint="0.39997558519241921"/>
        <rFont val="Arial"/>
        <family val="2"/>
      </rPr>
      <t>VI Guidance</t>
    </r>
  </si>
  <si>
    <t>Considered Bioaccumulative for Calculating LDW Sediment PCULs</t>
  </si>
  <si>
    <r>
      <t xml:space="preserve">ARAR Evaluation 
</t>
    </r>
    <r>
      <rPr>
        <b/>
        <sz val="9"/>
        <color theme="3" tint="0.39997558519241921"/>
        <rFont val="Arial"/>
        <family val="2"/>
      </rPr>
      <t>Column I / Column J</t>
    </r>
  </si>
  <si>
    <r>
      <t xml:space="preserve">ARAR Evaluation
</t>
    </r>
    <r>
      <rPr>
        <b/>
        <sz val="9"/>
        <color theme="3" tint="0.39997558519241921"/>
        <rFont val="Arial"/>
        <family val="2"/>
      </rPr>
      <t>Column I / Column N</t>
    </r>
  </si>
  <si>
    <t>MCL Adj. HQ=1</t>
  </si>
  <si>
    <t>Most Stringent
Potable Water PCUL
(GW-1, GW-4)</t>
  </si>
  <si>
    <t>Cancer Cleanup Levels for Sediment Contact During Beach Play</t>
  </si>
  <si>
    <r>
      <t xml:space="preserve">User-Defined  Sediment PCUL </t>
    </r>
    <r>
      <rPr>
        <b/>
        <sz val="9"/>
        <color theme="3" tint="0.39997558519241921"/>
        <rFont val="Arial"/>
        <family val="2"/>
      </rPr>
      <t>Specify Source</t>
    </r>
  </si>
  <si>
    <r>
      <t xml:space="preserve">Sediment PCUL
(mg/kg DW)
</t>
    </r>
    <r>
      <rPr>
        <b/>
        <sz val="9"/>
        <color theme="3" tint="0.39997558519241921"/>
        <rFont val="Arial"/>
        <family val="2"/>
      </rPr>
      <t>Sed</t>
    </r>
  </si>
  <si>
    <r>
      <t>Ground Water PCUL
to Protect User-Defined Sediment PCUL
(</t>
    </r>
    <r>
      <rPr>
        <b/>
        <sz val="10"/>
        <rFont val="Symbol"/>
        <family val="1"/>
        <charset val="2"/>
      </rPr>
      <t>m</t>
    </r>
    <r>
      <rPr>
        <b/>
        <sz val="9"/>
        <rFont val="Arial"/>
        <family val="2"/>
      </rPr>
      <t xml:space="preserve">g/L)
</t>
    </r>
    <r>
      <rPr>
        <b/>
        <sz val="9"/>
        <color theme="3" tint="0.39997558519241921"/>
        <rFont val="Arial"/>
        <family val="2"/>
      </rPr>
      <t>Specify Source</t>
    </r>
  </si>
  <si>
    <r>
      <rPr>
        <b/>
        <sz val="9"/>
        <color theme="3" tint="0.39997558519241921"/>
        <rFont val="Arial"/>
        <family val="2"/>
      </rPr>
      <t>GW-1</t>
    </r>
    <r>
      <rPr>
        <b/>
        <sz val="9"/>
        <rFont val="Arial"/>
        <family val="2"/>
      </rPr>
      <t xml:space="preserve">
GW PCUL
Protect Drinking Water
(ug/L)
</t>
    </r>
    <r>
      <rPr>
        <b/>
        <sz val="9"/>
        <color theme="3" tint="0.39997558519241921"/>
        <rFont val="Arial"/>
        <family val="2"/>
      </rPr>
      <t>PW</t>
    </r>
  </si>
  <si>
    <t>WQC Adj. HQ=1</t>
  </si>
  <si>
    <t>WQC Adjust. 1E-5</t>
  </si>
  <si>
    <t>NRWQC Hum Health</t>
  </si>
  <si>
    <r>
      <t xml:space="preserve">Chemical
</t>
    </r>
    <r>
      <rPr>
        <sz val="9"/>
        <rFont val="Arial"/>
        <family val="2"/>
      </rPr>
      <t>(all concentrations in mg/kg)</t>
    </r>
  </si>
  <si>
    <r>
      <t xml:space="preserve">Chemical
</t>
    </r>
    <r>
      <rPr>
        <sz val="9"/>
        <rFont val="Arial"/>
        <family val="2"/>
      </rPr>
      <t>(all concentrations in ug/L)</t>
    </r>
  </si>
  <si>
    <r>
      <t xml:space="preserve">Chemical
</t>
    </r>
    <r>
      <rPr>
        <sz val="9"/>
        <rFont val="Arial"/>
        <family val="2"/>
      </rPr>
      <t>(all concentrations in mg/kg
except as noted)</t>
    </r>
  </si>
  <si>
    <r>
      <t xml:space="preserve">TCE Short-Term Action Level for Cardiac Birth Defects
Commercial Worker
Air
</t>
    </r>
    <r>
      <rPr>
        <b/>
        <sz val="9"/>
        <color theme="3" tint="0.39997558519241921"/>
        <rFont val="Arial"/>
        <family val="2"/>
      </rPr>
      <t>VI Guidance</t>
    </r>
  </si>
  <si>
    <r>
      <t xml:space="preserve">TCE Short-Term Action Level for Cardiac Birth Defects
Commercial Worker
Soil Gas
</t>
    </r>
    <r>
      <rPr>
        <b/>
        <sz val="9"/>
        <color theme="3" tint="0.39997558519241921"/>
        <rFont val="Arial"/>
        <family val="2"/>
      </rPr>
      <t>VI Guidance</t>
    </r>
  </si>
  <si>
    <r>
      <t xml:space="preserve">Chemical
</t>
    </r>
    <r>
      <rPr>
        <sz val="9"/>
        <rFont val="Arial"/>
        <family val="2"/>
      </rPr>
      <t>(All concentrations in mg/kg
dry weight or organic carbon (OC) normalized)</t>
    </r>
  </si>
  <si>
    <r>
      <t xml:space="preserve">Natural Background Marine Sediment
(mg/kg DW)
</t>
    </r>
    <r>
      <rPr>
        <b/>
        <sz val="9"/>
        <color theme="3" tint="0.39997558519241921"/>
        <rFont val="Arial"/>
        <family val="2"/>
      </rPr>
      <t>SCUM Table 10-1</t>
    </r>
  </si>
  <si>
    <t>SMS Benthic</t>
  </si>
  <si>
    <r>
      <t xml:space="preserve">Chemical
</t>
    </r>
    <r>
      <rPr>
        <sz val="9"/>
        <rFont val="Arial"/>
        <family val="2"/>
      </rPr>
      <t>(all concentrations in ug/m</t>
    </r>
    <r>
      <rPr>
        <vertAlign val="superscript"/>
        <sz val="9"/>
        <rFont val="Arial"/>
        <family val="2"/>
      </rPr>
      <t>3</t>
    </r>
    <r>
      <rPr>
        <sz val="9"/>
        <rFont val="Arial"/>
        <family val="2"/>
      </rPr>
      <t>)</t>
    </r>
  </si>
  <si>
    <r>
      <t xml:space="preserve">Chemical
</t>
    </r>
    <r>
      <rPr>
        <sz val="9"/>
        <color theme="1"/>
        <rFont val="Arial"/>
        <family val="2"/>
      </rPr>
      <t>(all concentrations in mg/kg DW,
except as noted)</t>
    </r>
  </si>
  <si>
    <t>Chemicals highlighted yellow are mutagenic</t>
  </si>
  <si>
    <t>Chemicals highlighted yellow in column B are mutagenic</t>
  </si>
  <si>
    <t>Chemicals highlighted yellow are mutagenic.</t>
  </si>
  <si>
    <r>
      <t xml:space="preserve">Natural Background Soil Puget Sound Basin
(mg/kg)
</t>
    </r>
    <r>
      <rPr>
        <b/>
        <sz val="9"/>
        <color theme="3" tint="0.39997558519241921"/>
        <rFont val="Arial"/>
        <family val="2"/>
      </rPr>
      <t>Ecology 1994</t>
    </r>
  </si>
  <si>
    <r>
      <t xml:space="preserve">Federal TSCA
Unrestricted Access
</t>
    </r>
    <r>
      <rPr>
        <b/>
        <sz val="9"/>
        <color theme="3" tint="0.39997558519241921"/>
        <rFont val="Arial"/>
        <family val="2"/>
      </rPr>
      <t>40 CFR 761.61</t>
    </r>
  </si>
  <si>
    <r>
      <t xml:space="preserve">Federal TSCA
Restricted Access
</t>
    </r>
    <r>
      <rPr>
        <b/>
        <sz val="9"/>
        <color theme="3" tint="0.39997558519241921"/>
        <rFont val="Arial"/>
        <family val="2"/>
      </rPr>
      <t>40 CFR 761.62</t>
    </r>
  </si>
  <si>
    <r>
      <t xml:space="preserve">LDW ROD
RAO 3 CUL
Benthic Invertebrates
Dry Weight
</t>
    </r>
    <r>
      <rPr>
        <b/>
        <sz val="9"/>
        <color theme="3" tint="0.39997558519241921"/>
        <rFont val="Arial"/>
        <family val="2"/>
      </rPr>
      <t>LDW ROD
Table 20</t>
    </r>
  </si>
  <si>
    <r>
      <t xml:space="preserve">LDW ROD
RAO 3 CUL
Benthic Invertebrates
OC Normalized
</t>
    </r>
    <r>
      <rPr>
        <b/>
        <sz val="9"/>
        <color theme="3" tint="0.39997558519241921"/>
        <rFont val="Arial"/>
        <family val="2"/>
      </rPr>
      <t>LDW ROD
Table 20</t>
    </r>
  </si>
  <si>
    <t>Minimum LDW ROD CUL
RAOs 1, 2, 4
Dry Weight</t>
  </si>
  <si>
    <t>2nd LAET</t>
  </si>
  <si>
    <t>SMS Direct Contact</t>
  </si>
  <si>
    <t>Basis Min. Sed. PCUL for Partitioning</t>
  </si>
  <si>
    <t>RAO 1 Seafood</t>
  </si>
  <si>
    <t>RAO 2 Direct Contact</t>
  </si>
  <si>
    <t>RAO 3 Benthic</t>
  </si>
  <si>
    <t>RAO 4 Ecological</t>
  </si>
  <si>
    <t>SMS Nat. Background</t>
  </si>
  <si>
    <t>Min. Sediment PCUL for Partition Calcs
RAOs 1-4
Dry Weight
Minimum ROD CUL If Available, Otherwise SMS-Based SCO</t>
  </si>
  <si>
    <t>Site-specific</t>
  </si>
  <si>
    <r>
      <t xml:space="preserve">Natural Background
LDW Sediment 
(mg/kg DW)
</t>
    </r>
    <r>
      <rPr>
        <b/>
        <sz val="9"/>
        <color theme="3" tint="0.39997558519241921"/>
        <rFont val="Arial"/>
        <family val="2"/>
      </rPr>
      <t>ROD Table 19</t>
    </r>
  </si>
  <si>
    <t>llll</t>
  </si>
  <si>
    <r>
      <t xml:space="preserve">Hcc  (unitless)
</t>
    </r>
    <r>
      <rPr>
        <b/>
        <sz val="8"/>
        <color theme="3" tint="0.39997558519241921"/>
        <rFont val="Arial"/>
        <family val="2"/>
      </rPr>
      <t>Param</t>
    </r>
  </si>
  <si>
    <t>Basis - PCUL for Partitioning Calc.</t>
  </si>
  <si>
    <t>SMS Seafood Cons.</t>
  </si>
  <si>
    <t>ROD RAOs 1,2,4</t>
  </si>
  <si>
    <t>ROD RAO 3</t>
  </si>
  <si>
    <t>Natural Bknd</t>
  </si>
  <si>
    <r>
      <t xml:space="preserve">Contact &amp; Bioaccum. for </t>
    </r>
    <r>
      <rPr>
        <b/>
        <sz val="9"/>
        <color theme="3" tint="0.39997558519241921"/>
        <rFont val="Arial"/>
        <family val="2"/>
      </rPr>
      <t>Sed</t>
    </r>
    <r>
      <rPr>
        <b/>
        <sz val="9"/>
        <rFont val="Arial"/>
        <family val="2"/>
      </rPr>
      <t xml:space="preserve"> </t>
    </r>
    <r>
      <rPr>
        <b/>
        <sz val="9"/>
        <color theme="3" tint="0.39997558519241921"/>
        <rFont val="Arial"/>
        <family val="2"/>
      </rPr>
      <t>Data Eval</t>
    </r>
    <r>
      <rPr>
        <b/>
        <sz val="9"/>
        <rFont val="Arial"/>
        <family val="2"/>
      </rPr>
      <t xml:space="preserve">
</t>
    </r>
    <r>
      <rPr>
        <b/>
        <sz val="9"/>
        <color theme="3" tint="0.39997558519241921"/>
        <rFont val="Arial"/>
        <family val="2"/>
      </rPr>
      <t>Dry Weight
SWAC</t>
    </r>
    <r>
      <rPr>
        <b/>
        <sz val="9"/>
        <rFont val="Arial"/>
        <family val="2"/>
      </rPr>
      <t xml:space="preserve">
LDW If Available, Otherwise SMS
Sed #s 1, 2, 4, 5</t>
    </r>
  </si>
  <si>
    <t>Not used because it's not considered bioaccumulative for the LDW</t>
  </si>
  <si>
    <r>
      <t xml:space="preserve">WA State WQC
Human Health Consumption of Organisms 
</t>
    </r>
    <r>
      <rPr>
        <b/>
        <sz val="9"/>
        <color theme="3" tint="0.39997558519241921"/>
        <rFont val="Arial"/>
        <family val="2"/>
      </rPr>
      <t>WAC 173-201A-240, Table 240</t>
    </r>
  </si>
  <si>
    <r>
      <rPr>
        <b/>
        <sz val="9"/>
        <color theme="3" tint="0.39997558519241921"/>
        <rFont val="Arial"/>
        <family val="2"/>
      </rPr>
      <t>GW-4</t>
    </r>
    <r>
      <rPr>
        <b/>
        <sz val="9"/>
        <rFont val="Arial"/>
        <family val="2"/>
      </rPr>
      <t xml:space="preserve">
Screening Level
Protect Ind. Air
Unrestricted
</t>
    </r>
    <r>
      <rPr>
        <b/>
        <sz val="9"/>
        <color theme="3" tint="0.39997558519241921"/>
        <rFont val="Arial"/>
        <family val="2"/>
      </rPr>
      <t>VI</t>
    </r>
  </si>
  <si>
    <r>
      <t xml:space="preserve">Benthic Criterion for </t>
    </r>
    <r>
      <rPr>
        <b/>
        <sz val="9"/>
        <color theme="3" tint="0.39997558519241921"/>
        <rFont val="Arial"/>
        <family val="2"/>
      </rPr>
      <t>Sed</t>
    </r>
    <r>
      <rPr>
        <b/>
        <sz val="9"/>
        <rFont val="Arial"/>
        <family val="2"/>
      </rPr>
      <t xml:space="preserve"> </t>
    </r>
    <r>
      <rPr>
        <b/>
        <sz val="9"/>
        <color theme="3" tint="0.39997558519241921"/>
        <rFont val="Arial"/>
        <family val="2"/>
      </rPr>
      <t>Data Eval</t>
    </r>
    <r>
      <rPr>
        <b/>
        <sz val="9"/>
        <rFont val="Arial"/>
        <family val="2"/>
      </rPr>
      <t xml:space="preserve">
</t>
    </r>
    <r>
      <rPr>
        <b/>
        <sz val="9"/>
        <color theme="3" tint="0.39997558519241921"/>
        <rFont val="Arial"/>
        <family val="2"/>
      </rPr>
      <t>Dry Weight
Point by Point</t>
    </r>
    <r>
      <rPr>
        <b/>
        <sz val="9"/>
        <rFont val="Arial"/>
        <family val="2"/>
      </rPr>
      <t xml:space="preserve">
LDW If Available, Otherwise SMS
Sed # 3a</t>
    </r>
  </si>
  <si>
    <r>
      <t xml:space="preserve">Benthic Criterion for </t>
    </r>
    <r>
      <rPr>
        <b/>
        <sz val="9"/>
        <color theme="3" tint="0.39997558519241921"/>
        <rFont val="Arial"/>
        <family val="2"/>
      </rPr>
      <t>Sed</t>
    </r>
    <r>
      <rPr>
        <b/>
        <sz val="9"/>
        <rFont val="Arial"/>
        <family val="2"/>
      </rPr>
      <t xml:space="preserve"> </t>
    </r>
    <r>
      <rPr>
        <b/>
        <sz val="9"/>
        <color theme="3" tint="0.39997558519241921"/>
        <rFont val="Arial"/>
        <family val="2"/>
      </rPr>
      <t>Data Eval</t>
    </r>
    <r>
      <rPr>
        <b/>
        <sz val="9"/>
        <rFont val="Arial"/>
        <family val="2"/>
      </rPr>
      <t xml:space="preserve">
</t>
    </r>
    <r>
      <rPr>
        <b/>
        <sz val="9"/>
        <color theme="3" tint="0.39997558519241921"/>
        <rFont val="Arial"/>
        <family val="2"/>
      </rPr>
      <t>OC Normalized
Point by Point</t>
    </r>
    <r>
      <rPr>
        <b/>
        <sz val="9"/>
        <rFont val="Arial"/>
        <family val="2"/>
      </rPr>
      <t xml:space="preserve">
LDW If Available, Otherwise SMS
Sed # 3b</t>
    </r>
  </si>
  <si>
    <r>
      <t xml:space="preserve">GI (MTCA)
Absorp. Convers. Factor
(unitless)
</t>
    </r>
    <r>
      <rPr>
        <b/>
        <sz val="9"/>
        <color theme="3" tint="0.39997558519241921"/>
        <rFont val="Arial"/>
        <family val="2"/>
      </rPr>
      <t>CLARC</t>
    </r>
  </si>
  <si>
    <r>
      <t xml:space="preserve">RfDd (MTCA)
(mg/kg-day)
</t>
    </r>
    <r>
      <rPr>
        <b/>
        <sz val="9"/>
        <color theme="3" tint="0.39997558519241921"/>
        <rFont val="Arial"/>
        <family val="2"/>
      </rPr>
      <t>SCUM
Eq. 9-4</t>
    </r>
  </si>
  <si>
    <r>
      <t xml:space="preserve">GIABS (SMS)
Absorp. Convers. Fact.
(unitless)
</t>
    </r>
    <r>
      <rPr>
        <b/>
        <sz val="9"/>
        <color theme="3" tint="0.39997558519241921"/>
        <rFont val="Arial"/>
        <family val="2"/>
      </rPr>
      <t>SCUM Ap. K</t>
    </r>
  </si>
  <si>
    <r>
      <t xml:space="preserve">RfDd (SMS)
(mg/kg-day)
</t>
    </r>
    <r>
      <rPr>
        <b/>
        <sz val="9"/>
        <color theme="3" tint="0.39997558519241921"/>
        <rFont val="Arial"/>
        <family val="2"/>
      </rPr>
      <t>SCUM Eq. 9-4</t>
    </r>
  </si>
  <si>
    <r>
      <t xml:space="preserve">CPFd (MTCA)
(risk per mg/kg-day)
</t>
    </r>
    <r>
      <rPr>
        <b/>
        <sz val="9"/>
        <color theme="3" tint="0.39997558519241921"/>
        <rFont val="Arial"/>
        <family val="2"/>
      </rPr>
      <t>SCUM
Eq. 9-5</t>
    </r>
  </si>
  <si>
    <r>
      <t xml:space="preserve">CPFd (SMS)
(risk per mg/kg-day)
</t>
    </r>
    <r>
      <rPr>
        <b/>
        <sz val="9"/>
        <color theme="3" tint="0.39997558519241921"/>
        <rFont val="Arial"/>
        <family val="2"/>
      </rPr>
      <t>SCUM
Eq. 9-5</t>
    </r>
  </si>
  <si>
    <r>
      <t xml:space="preserve">ABS (MTCA)
Dermal Absorption
(unitless)
</t>
    </r>
    <r>
      <rPr>
        <b/>
        <sz val="9"/>
        <color theme="3" tint="0.39997558519241921"/>
        <rFont val="Arial"/>
        <family val="2"/>
      </rPr>
      <t xml:space="preserve">CLARC </t>
    </r>
  </si>
  <si>
    <r>
      <t xml:space="preserve">ABS (SMS)
Dermal Absorption
(unitless)
</t>
    </r>
    <r>
      <rPr>
        <b/>
        <sz val="9"/>
        <color theme="3" tint="0.39997558519241921"/>
        <rFont val="Arial"/>
        <family val="2"/>
      </rPr>
      <t>SCUM Ap. K</t>
    </r>
  </si>
  <si>
    <r>
      <t xml:space="preserve">AB1 (MTCA)
GI (SCUM)
Relat. Bioavail.
(unitless)
</t>
    </r>
    <r>
      <rPr>
        <b/>
        <sz val="9"/>
        <color theme="3" tint="0.39997558519241921"/>
        <rFont val="Arial"/>
        <family val="2"/>
      </rPr>
      <t>CLARC</t>
    </r>
  </si>
  <si>
    <t>Pink highlighting indicates parameter values that are specific to the LDW site.</t>
  </si>
  <si>
    <t>2)   Age-specific surface water cleanup level:  SWCULage = Risk x UCF1 x UCF2 / (CPF x BCF x FCFage)</t>
  </si>
  <si>
    <t>3)   Final surface water cleanup level:  SWCUL = AT / Sum (ED/SWCULage)</t>
  </si>
  <si>
    <t>1)   Age-specific fish consumption factor:  FCFage = ADAF x FCR / BW</t>
  </si>
  <si>
    <t>Age Range (yr)</t>
  </si>
  <si>
    <t>Exposure Assumption</t>
  </si>
  <si>
    <t>0-2</t>
  </si>
  <si>
    <t>2-6</t>
  </si>
  <si>
    <t>6-16</t>
  </si>
  <si>
    <t>16-70</t>
  </si>
  <si>
    <t>Fish consumption rate</t>
  </si>
  <si>
    <t>Age-specific fish consumption factor</t>
  </si>
  <si>
    <t>FCF</t>
  </si>
  <si>
    <t>g fish /
kg BW - day</t>
  </si>
  <si>
    <t>Additional Parameter Values</t>
  </si>
  <si>
    <t>Target cancer risk</t>
  </si>
  <si>
    <t>Unit conversion factor 1</t>
  </si>
  <si>
    <t>ug chemical / mg chemical</t>
  </si>
  <si>
    <t>Unit conversion factor 2</t>
  </si>
  <si>
    <t>g fish / kg fish</t>
  </si>
  <si>
    <t>Averaging time</t>
  </si>
  <si>
    <t>yr</t>
  </si>
  <si>
    <t>Surface Water Cleanup Levels</t>
  </si>
  <si>
    <t>Mutagen</t>
  </si>
  <si>
    <t>Oral CPF
(risk per
mg/kg-day)</t>
  </si>
  <si>
    <t>BCF
(L/kg)</t>
  </si>
  <si>
    <t>Age-Specific Surface Water CUL (ug/L)</t>
  </si>
  <si>
    <t>Final CUL
(ug/L)</t>
  </si>
  <si>
    <t>References</t>
  </si>
  <si>
    <t>LDWG.  2007.  Lower Duwamish Waterway Remedial Investigation, Remedial Investigation Report Appendix B: Baseline Human Health Risk Assessment.  Prepared by WindWard Environmental LLC.  November 12.</t>
  </si>
  <si>
    <t>SCUM Appendix K: Suquamish Tribe</t>
  </si>
  <si>
    <t>SCUM Appendix K: Tulalip Tribe</t>
  </si>
  <si>
    <t>MTCA Default (Ecology 2021)</t>
  </si>
  <si>
    <t>SCUM - Sediment Cleanup User's Manual</t>
  </si>
  <si>
    <t>CPF - carcinogenic potency factor</t>
  </si>
  <si>
    <t>BCF - fish bioconcentration factor</t>
  </si>
  <si>
    <t xml:space="preserve">Basis: </t>
  </si>
  <si>
    <t xml:space="preserve">Exposure Assumptions </t>
  </si>
  <si>
    <t>LDW Human Health Risk Assmt.</t>
  </si>
  <si>
    <t>LDWG (2007) Tables B.3-7 and B.3-9</t>
  </si>
  <si>
    <t>Ecology.  2021a.  Supporting material for Cleanup Levels and Risk Calculation (CLARC), Guidance for Assessing Risk from Early-Life Exposure to Carcinogens.</t>
  </si>
  <si>
    <t>Ecology.  2021b.  Sediment Cleanup User's Manual (SCUM).  Publ. no. 12-09-057.</t>
  </si>
  <si>
    <t>Ecology (2021a)</t>
  </si>
  <si>
    <t>See right</t>
  </si>
  <si>
    <t>Equations Based on MTCA Eq. 730-2 and Ecology (2021a)</t>
  </si>
  <si>
    <t>Ecology (2021b) Appendix K</t>
  </si>
  <si>
    <t>MTCA Eq. 730-2</t>
  </si>
  <si>
    <t>LDW RI</t>
  </si>
  <si>
    <t>PCULs for Potable Groundwater</t>
  </si>
  <si>
    <t/>
  </si>
  <si>
    <r>
      <rPr>
        <b/>
        <sz val="9"/>
        <color theme="3" tint="0.39997558519241921"/>
        <rFont val="Arial"/>
        <family val="2"/>
      </rPr>
      <t>SL-8</t>
    </r>
    <r>
      <rPr>
        <b/>
        <sz val="9"/>
        <rFont val="Arial"/>
        <family val="2"/>
      </rPr>
      <t xml:space="preserve">
Protect Sediment
via Erosion
Min. Sediment PCUL for Partition Calcs
</t>
    </r>
    <r>
      <rPr>
        <b/>
        <sz val="9"/>
        <color theme="3" tint="0.39997558519241921"/>
        <rFont val="Arial"/>
        <family val="2"/>
      </rPr>
      <t>SD-Det</t>
    </r>
  </si>
  <si>
    <r>
      <t xml:space="preserve">Min. Sediment PCUL for
</t>
    </r>
    <r>
      <rPr>
        <b/>
        <sz val="9"/>
        <color theme="3" tint="0.39997558519241921"/>
        <rFont val="Arial"/>
        <family val="2"/>
      </rPr>
      <t>Partition Calcs</t>
    </r>
    <r>
      <rPr>
        <b/>
        <sz val="9"/>
        <rFont val="Arial"/>
        <family val="2"/>
      </rPr>
      <t xml:space="preserve">
Dry Weight
LDW If Available, Otherwise SMS 
</t>
    </r>
    <r>
      <rPr>
        <b/>
        <sz val="9"/>
        <color theme="3" tint="0.39997558519241921"/>
        <rFont val="Arial"/>
        <family val="2"/>
      </rPr>
      <t>SD-Det</t>
    </r>
  </si>
  <si>
    <r>
      <t xml:space="preserve">Bioaccum-ulative
</t>
    </r>
    <r>
      <rPr>
        <b/>
        <sz val="9"/>
        <color theme="3" tint="0.39997558519241921"/>
        <rFont val="Arial"/>
        <family val="2"/>
      </rPr>
      <t>SD-Det</t>
    </r>
  </si>
  <si>
    <r>
      <rPr>
        <b/>
        <sz val="9"/>
        <color theme="3" tint="0.39997558519241921"/>
        <rFont val="Arial"/>
        <family val="2"/>
      </rPr>
      <t>SD-1</t>
    </r>
    <r>
      <rPr>
        <b/>
        <sz val="9"/>
        <rFont val="Arial"/>
        <family val="2"/>
      </rPr>
      <t xml:space="preserve">
SMS Lower Tier
Direct Contact SCO
Dry Weight
SWAC
</t>
    </r>
    <r>
      <rPr>
        <b/>
        <sz val="9"/>
        <color theme="3" tint="0.39997558519241921"/>
        <rFont val="Arial"/>
        <family val="2"/>
      </rPr>
      <t>SD-Det</t>
    </r>
  </si>
  <si>
    <r>
      <rPr>
        <b/>
        <sz val="9"/>
        <color theme="3" tint="0.39997558519241921"/>
        <rFont val="Arial"/>
        <family val="2"/>
      </rPr>
      <t>SD-2</t>
    </r>
    <r>
      <rPr>
        <b/>
        <sz val="9"/>
        <rFont val="Arial"/>
        <family val="2"/>
      </rPr>
      <t xml:space="preserve">
SMS Lower Tier 
Seafood Consumption SCO
Dry Weight
SWAC
</t>
    </r>
    <r>
      <rPr>
        <b/>
        <sz val="9"/>
        <color theme="3" tint="0.39997558519241921"/>
        <rFont val="Arial"/>
        <family val="2"/>
      </rPr>
      <t>SD-Det</t>
    </r>
  </si>
  <si>
    <r>
      <rPr>
        <b/>
        <sz val="9"/>
        <color theme="3" tint="0.39997558519241921"/>
        <rFont val="Arial"/>
        <family val="2"/>
      </rPr>
      <t>SD-3a</t>
    </r>
    <r>
      <rPr>
        <b/>
        <sz val="9"/>
        <rFont val="Arial"/>
        <family val="2"/>
      </rPr>
      <t xml:space="preserve">
SMS Lower Tier
Marine Benthic SCO
Dry Weight
Point by Point
</t>
    </r>
    <r>
      <rPr>
        <b/>
        <sz val="9"/>
        <color theme="3" tint="0.39997558519241921"/>
        <rFont val="Arial"/>
        <family val="2"/>
      </rPr>
      <t>SD-Det</t>
    </r>
  </si>
  <si>
    <r>
      <rPr>
        <b/>
        <sz val="9"/>
        <color theme="3" tint="0.39997558519241921"/>
        <rFont val="Arial"/>
        <family val="2"/>
      </rPr>
      <t>SD-3b</t>
    </r>
    <r>
      <rPr>
        <b/>
        <sz val="9"/>
        <rFont val="Arial"/>
        <family val="2"/>
      </rPr>
      <t xml:space="preserve">
SMS Lower Tier
Marine Benthic SCO
OC Normalized
Point by Point
</t>
    </r>
    <r>
      <rPr>
        <b/>
        <sz val="9"/>
        <color theme="3" tint="0.39997558519241921"/>
        <rFont val="Arial"/>
        <family val="2"/>
      </rPr>
      <t>SD-Det</t>
    </r>
  </si>
  <si>
    <r>
      <rPr>
        <b/>
        <sz val="9"/>
        <color theme="3" tint="0.39997558519241921"/>
        <rFont val="Arial"/>
        <family val="2"/>
      </rPr>
      <t>SD-1,2-ROD</t>
    </r>
    <r>
      <rPr>
        <b/>
        <sz val="9"/>
        <rFont val="Arial"/>
        <family val="2"/>
      </rPr>
      <t xml:space="preserve">
Min. LDW ROD CUL
RAOs 1, 2, 4
Dry Weight
SWAC
</t>
    </r>
    <r>
      <rPr>
        <b/>
        <sz val="9"/>
        <color theme="3" tint="0.39997558519241921"/>
        <rFont val="Arial"/>
        <family val="2"/>
      </rPr>
      <t>SD-Det</t>
    </r>
  </si>
  <si>
    <r>
      <rPr>
        <b/>
        <sz val="9"/>
        <color theme="3" tint="0.39997558519241921"/>
        <rFont val="Arial"/>
        <family val="2"/>
      </rPr>
      <t>SD-3a-ROD</t>
    </r>
    <r>
      <rPr>
        <b/>
        <sz val="9"/>
        <rFont val="Arial"/>
        <family val="2"/>
      </rPr>
      <t xml:space="preserve">
LDW ROD
Benthic CUL
RAO 3
Dry Weight
Point by Point
</t>
    </r>
    <r>
      <rPr>
        <b/>
        <sz val="9"/>
        <color theme="3" tint="0.39997558519241921"/>
        <rFont val="Arial"/>
        <family val="2"/>
      </rPr>
      <t>SD-Det</t>
    </r>
  </si>
  <si>
    <r>
      <rPr>
        <b/>
        <sz val="9"/>
        <color theme="3" tint="0.39997558519241921"/>
        <rFont val="Arial"/>
        <family val="2"/>
      </rPr>
      <t>SD-3b-ROD</t>
    </r>
    <r>
      <rPr>
        <b/>
        <sz val="9"/>
        <rFont val="Arial"/>
        <family val="2"/>
      </rPr>
      <t xml:space="preserve">
LDW ROD
Benthic CUL
RAO 3
OC Normalized
Point by Point
</t>
    </r>
    <r>
      <rPr>
        <b/>
        <sz val="9"/>
        <color theme="3" tint="0.39997558519241921"/>
        <rFont val="Arial"/>
        <family val="2"/>
      </rPr>
      <t>SD-Det</t>
    </r>
  </si>
  <si>
    <r>
      <rPr>
        <b/>
        <sz val="9"/>
        <color theme="3" tint="0.39997558519241921"/>
        <rFont val="Arial"/>
        <family val="2"/>
      </rPr>
      <t>SD-4</t>
    </r>
    <r>
      <rPr>
        <b/>
        <sz val="9"/>
        <rFont val="Arial"/>
        <family val="2"/>
      </rPr>
      <t xml:space="preserve">
Natural Background
LDW
</t>
    </r>
    <r>
      <rPr>
        <b/>
        <sz val="9"/>
        <color theme="3" tint="0.39997558519241921"/>
        <rFont val="Arial"/>
        <family val="2"/>
      </rPr>
      <t>SD-Det</t>
    </r>
  </si>
  <si>
    <r>
      <rPr>
        <b/>
        <sz val="9"/>
        <color theme="3" tint="0.39997558519241921"/>
        <rFont val="Arial"/>
        <family val="2"/>
      </rPr>
      <t>SD-5</t>
    </r>
    <r>
      <rPr>
        <b/>
        <sz val="9"/>
        <rFont val="Arial"/>
        <family val="2"/>
      </rPr>
      <t xml:space="preserve">
PQL
</t>
    </r>
    <r>
      <rPr>
        <b/>
        <sz val="9"/>
        <color theme="3" tint="0.39997558519241921"/>
        <rFont val="Arial"/>
        <family val="2"/>
      </rPr>
      <t>SD-Det</t>
    </r>
  </si>
  <si>
    <r>
      <t xml:space="preserve">Minimum ROD RAL
(mg/kg DW)
</t>
    </r>
    <r>
      <rPr>
        <b/>
        <sz val="9"/>
        <color theme="3" tint="0.39997558519241921"/>
        <rFont val="Arial"/>
        <family val="2"/>
      </rPr>
      <t>SD</t>
    </r>
  </si>
  <si>
    <t>polychlorinated biphenyls (PCBs)</t>
  </si>
  <si>
    <t>Not in CLARC</t>
  </si>
  <si>
    <t>TCDD;2,3,7,8 (DIOXIN)</t>
  </si>
  <si>
    <t>Dioxin</t>
  </si>
  <si>
    <t>ammonia</t>
  </si>
  <si>
    <t>chloride</t>
  </si>
  <si>
    <t>cyanide</t>
  </si>
  <si>
    <t>fluoride</t>
  </si>
  <si>
    <t>nitrate (measured as nitrogen)</t>
  </si>
  <si>
    <t>nitrite (measured as nitrogen)</t>
  </si>
  <si>
    <t>sulfate</t>
  </si>
  <si>
    <t>aluminum</t>
  </si>
  <si>
    <t>Al</t>
  </si>
  <si>
    <t>antimony</t>
  </si>
  <si>
    <t>Sb</t>
  </si>
  <si>
    <t>arsenic, inorganic</t>
  </si>
  <si>
    <t>As</t>
  </si>
  <si>
    <t>barium and compounds</t>
  </si>
  <si>
    <t>Ba</t>
  </si>
  <si>
    <t>beryllium</t>
  </si>
  <si>
    <t>Be</t>
  </si>
  <si>
    <t>cadmium (potable groundwater and surface water) and cadmium (soil and nonpotable surface water)</t>
  </si>
  <si>
    <t>7440-43-9a</t>
  </si>
  <si>
    <t>Cd</t>
  </si>
  <si>
    <t>chromium (total)</t>
  </si>
  <si>
    <t>Cr</t>
  </si>
  <si>
    <t>CHROMIUM (III)</t>
  </si>
  <si>
    <t>Cr+3, Cr III</t>
  </si>
  <si>
    <t>Trivalent chromium</t>
  </si>
  <si>
    <t>CHROMIUM (VI)</t>
  </si>
  <si>
    <t>Cr+6, Cr VI</t>
  </si>
  <si>
    <t>Hexavalent chromium</t>
  </si>
  <si>
    <t>cobalt</t>
  </si>
  <si>
    <t>Co</t>
  </si>
  <si>
    <t>copper</t>
  </si>
  <si>
    <t>Cu</t>
  </si>
  <si>
    <t>iron</t>
  </si>
  <si>
    <t>Fe</t>
  </si>
  <si>
    <t>lead</t>
  </si>
  <si>
    <t>Pb</t>
  </si>
  <si>
    <t>MANGANESE (Diet - e.g., fish consumption) and
MANGANESE (Non-Diet - e.g., drinking water or soil)</t>
  </si>
  <si>
    <t>Mn</t>
  </si>
  <si>
    <t>mercury</t>
  </si>
  <si>
    <t>Hg</t>
  </si>
  <si>
    <t>methyl mercury</t>
  </si>
  <si>
    <t>22967-92-6</t>
  </si>
  <si>
    <t>Mercury, organic</t>
  </si>
  <si>
    <t>molybdenum</t>
  </si>
  <si>
    <t>Mo</t>
  </si>
  <si>
    <t>nickel soluble salts</t>
  </si>
  <si>
    <t>Ni</t>
  </si>
  <si>
    <t>selenium and compounds</t>
  </si>
  <si>
    <t>Se</t>
  </si>
  <si>
    <t>silver</t>
  </si>
  <si>
    <t>Ag</t>
  </si>
  <si>
    <t>thallium, soluble salts</t>
  </si>
  <si>
    <t>Tl</t>
  </si>
  <si>
    <t>tin</t>
  </si>
  <si>
    <t>Sn</t>
  </si>
  <si>
    <t>vanadium</t>
  </si>
  <si>
    <t>V</t>
  </si>
  <si>
    <t>zinc</t>
  </si>
  <si>
    <t>Zn</t>
  </si>
  <si>
    <t>Butyl tin ion</t>
  </si>
  <si>
    <t>tributyltin</t>
  </si>
  <si>
    <t>tributyltin oxide</t>
  </si>
  <si>
    <t>Tributyl tin ion</t>
  </si>
  <si>
    <t>Tetrabutylstannane</t>
  </si>
  <si>
    <t>acenaphthene</t>
  </si>
  <si>
    <t>anthracene</t>
  </si>
  <si>
    <t>benzo[a]anthracene</t>
  </si>
  <si>
    <t>benzo[b]fluoranthene</t>
  </si>
  <si>
    <t>benzo[k]fluoranthene</t>
  </si>
  <si>
    <t>benzo[a]pyrene</t>
  </si>
  <si>
    <t>BaP</t>
  </si>
  <si>
    <t>chrysene</t>
  </si>
  <si>
    <t>Benzo(a)phenanthrene</t>
  </si>
  <si>
    <t>DIBENZ[a,h]ANTHRACENE</t>
  </si>
  <si>
    <t>dibenzofuran</t>
  </si>
  <si>
    <t>fluoranthene</t>
  </si>
  <si>
    <t>fluorene</t>
  </si>
  <si>
    <t>INDENO[1,2,3-cd]PYRENE</t>
  </si>
  <si>
    <t>Methyl isopropyl phenanthrene</t>
  </si>
  <si>
    <t>methyl naphthalene;1-</t>
  </si>
  <si>
    <t>methyl naphthalene;2-</t>
  </si>
  <si>
    <t>naphthalene</t>
  </si>
  <si>
    <t>pyrene</t>
  </si>
  <si>
    <t>aniline</t>
  </si>
  <si>
    <t>Benzenamine</t>
  </si>
  <si>
    <t>azobenzene</t>
  </si>
  <si>
    <t>Diphenyldiazene</t>
  </si>
  <si>
    <t>benzidine</t>
  </si>
  <si>
    <t>benzoic acid</t>
  </si>
  <si>
    <t>benzyl alcohol</t>
  </si>
  <si>
    <t>bis(2-chloroethoxy)methane</t>
  </si>
  <si>
    <t>bis(2-chloroethyl)ether</t>
  </si>
  <si>
    <t>bis(chloromethyl)ether</t>
  </si>
  <si>
    <t>bis(2-chloro-1-methyl-ethyl)ether</t>
  </si>
  <si>
    <t>2,2'-Oxybis(1-chloropropane),
bis(2-chloroisopropyl)ether</t>
  </si>
  <si>
    <t>2,6-Di-tert-butylphenol</t>
  </si>
  <si>
    <t>bis(2-ethylhexyl) phthalate (DEHP)</t>
  </si>
  <si>
    <t>BEHP, DEHP</t>
  </si>
  <si>
    <t>Di(2-ethylhexyl) phthalate; 1,2-benzenedicarboxylic acid; 1,2-bis(2-ethylhexyl) ester</t>
  </si>
  <si>
    <t>butyl benzyl phthalate (BBP)</t>
  </si>
  <si>
    <t>BBP</t>
  </si>
  <si>
    <t>1,2-Benzenedicarboxylic acid; 1-butyl 2-(phenylmethyl) ester; phthalic acid; benzyl butyl ester</t>
  </si>
  <si>
    <t>chloroaniline;p-</t>
  </si>
  <si>
    <t>p-Chloroaniline; 4-chlorobenzenamine</t>
  </si>
  <si>
    <t>chlorocresol</t>
  </si>
  <si>
    <t>p-Chloro-m-cresol</t>
  </si>
  <si>
    <t>beta-chloronaphthalene</t>
  </si>
  <si>
    <t>PCN-002</t>
  </si>
  <si>
    <t>chlorophenol;2-</t>
  </si>
  <si>
    <t>di-butyl phthalate (DBP)</t>
  </si>
  <si>
    <t>DBP</t>
  </si>
  <si>
    <t>Di-n-butyl phthalate; 1,2-benzenedicarboxylic acid; 1,2-dibutyl ester</t>
  </si>
  <si>
    <t>dichlorobenzene;1,2-</t>
  </si>
  <si>
    <t>o-Dichlorobenzene</t>
  </si>
  <si>
    <t>dichlorobenzene;1,3-</t>
  </si>
  <si>
    <t>m-Dichlorobenzene</t>
  </si>
  <si>
    <t>dichlorobenzene;1,4-</t>
  </si>
  <si>
    <t>p-Dichlorobenzene</t>
  </si>
  <si>
    <t>dichlorobenzidine;3,3'-</t>
  </si>
  <si>
    <t>dichlorophenol;2,4-</t>
  </si>
  <si>
    <t>di(2-ethylhexyl)adipate</t>
  </si>
  <si>
    <t>bis(2-Ethylhexyl) ester; hexanedioic acid</t>
  </si>
  <si>
    <t>diethyl phthalate</t>
  </si>
  <si>
    <t>DEP</t>
  </si>
  <si>
    <t>1,2-Benzenedicarboxylic acid 1,2-diethyl ester; diethyl 1,2-benzenedicarboxylate</t>
  </si>
  <si>
    <t>dimethyl phthalate</t>
  </si>
  <si>
    <t>1,2-Benzenedicarboxylic acid dimethyl ester; 1,2-benzenedicarboxylate</t>
  </si>
  <si>
    <t>dimethylphenol;2,4-</t>
  </si>
  <si>
    <t>dinitrobenzene;o-</t>
  </si>
  <si>
    <t>dinitrobenzene;m-</t>
  </si>
  <si>
    <t>1,3-DNB</t>
  </si>
  <si>
    <t>dinitrobenzene;p-</t>
  </si>
  <si>
    <t>DNOC</t>
  </si>
  <si>
    <t>2-Methyl-4,6-dinitrophenol; 4,5-dinitro-o-cresol, Elgetol 30, Sinox; 4,6-dinitro-2-methylphenol</t>
  </si>
  <si>
    <t>dinitrophenol;2,4-</t>
  </si>
  <si>
    <t>dinitrotoluene;2,4-</t>
  </si>
  <si>
    <t>2,4-DNT</t>
  </si>
  <si>
    <t>dinitrotoluene;2,6-</t>
  </si>
  <si>
    <t>2,6-DNT</t>
  </si>
  <si>
    <t>di-n-octyl phthalate (DNoP)</t>
  </si>
  <si>
    <t>1,2-Benzenedicarboxylic acid; 1,2-dioxtyl ester; DnOP, phthalic acid dioxtyl ester</t>
  </si>
  <si>
    <t>dioxane;1,4-</t>
  </si>
  <si>
    <t>p-Dioxane; 1,4-diethyleneoxide</t>
  </si>
  <si>
    <t>diphenylhydrazine;1,2-</t>
  </si>
  <si>
    <t>hexachlorobenzene</t>
  </si>
  <si>
    <t>HCB</t>
  </si>
  <si>
    <t>Perchlorobenzene; 1,2,3,4,5,6-hexachlorobenzene</t>
  </si>
  <si>
    <t>hexachlorobutadiene</t>
  </si>
  <si>
    <t>1,1,2,3,4,4-Hexachloro-1,3-butadiene; Hexachloro-1,3-butadiene</t>
  </si>
  <si>
    <t>hexachlorocyclopentadiene</t>
  </si>
  <si>
    <t>hexachloroethane</t>
  </si>
  <si>
    <t>isophorone</t>
  </si>
  <si>
    <t>cresol;o-</t>
  </si>
  <si>
    <t>o-Hydroxytoluene</t>
  </si>
  <si>
    <t>cresol;m-</t>
  </si>
  <si>
    <t>1-Hydroxy-3-methylbenzene; 3-methylphenol</t>
  </si>
  <si>
    <t>cresol;p-</t>
  </si>
  <si>
    <t>4-Hydroxytoluene</t>
  </si>
  <si>
    <t>nitroaniline, 2-</t>
  </si>
  <si>
    <t>o-Nitroaniline</t>
  </si>
  <si>
    <t>nitroaniline, 4-</t>
  </si>
  <si>
    <t>p-Nitroaniline</t>
  </si>
  <si>
    <t>nitrobenzene</t>
  </si>
  <si>
    <t>NB</t>
  </si>
  <si>
    <t>nitrosodimethylamine;N-</t>
  </si>
  <si>
    <t>n-Methyl-n-nitrosomethanamine; NDMA</t>
  </si>
  <si>
    <t>nitrosodiphenylamine;N-</t>
  </si>
  <si>
    <t>nitroso-di-n-propylamine;N-</t>
  </si>
  <si>
    <t>Di-n-propylnitrosamine; n-nitrosodipropylamine</t>
  </si>
  <si>
    <t>pentachlorophenol</t>
  </si>
  <si>
    <t>Dowicide 7, PCP</t>
  </si>
  <si>
    <t>phenol</t>
  </si>
  <si>
    <t>Hydroxybenzene; carbolic acid</t>
  </si>
  <si>
    <t>pyridine</t>
  </si>
  <si>
    <t>TETRACHLOROPHENOL;2,3,4,6-</t>
  </si>
  <si>
    <t>trichlorobenzene;1,2,4-</t>
  </si>
  <si>
    <t>trichlorophenol;2,4,5-</t>
  </si>
  <si>
    <t>trichlorophenol;2,4,6-</t>
  </si>
  <si>
    <t>acetone</t>
  </si>
  <si>
    <t>2-Propanone; methyl ketone</t>
  </si>
  <si>
    <t>acetaldehyde</t>
  </si>
  <si>
    <t>acrolein</t>
  </si>
  <si>
    <t>2-Propenal</t>
  </si>
  <si>
    <t>acrylonitrile</t>
  </si>
  <si>
    <t>2-Propenenitrile</t>
  </si>
  <si>
    <t>benzaldehyde</t>
  </si>
  <si>
    <t>benzene</t>
  </si>
  <si>
    <t>bromobenzene</t>
  </si>
  <si>
    <t>bromochloromethane</t>
  </si>
  <si>
    <t>bromoform</t>
  </si>
  <si>
    <t>Tribromomethane</t>
  </si>
  <si>
    <t>bromomethane</t>
  </si>
  <si>
    <t>Methyl bromide</t>
  </si>
  <si>
    <t>ethylene glycol monobutyl ether (EGBE)</t>
  </si>
  <si>
    <t xml:space="preserve"> EGBE</t>
  </si>
  <si>
    <t>butylbenzene; n-</t>
  </si>
  <si>
    <t>Butylbenzene</t>
  </si>
  <si>
    <t>butylbenzene; sec-</t>
  </si>
  <si>
    <t>1-Methylpropylbenzene</t>
  </si>
  <si>
    <t>butylbenzene; tert-</t>
  </si>
  <si>
    <t>carbon disulfide</t>
  </si>
  <si>
    <t>carbon tetrachloride</t>
  </si>
  <si>
    <t>chlorobenzene</t>
  </si>
  <si>
    <t>Monochlorobenzene</t>
  </si>
  <si>
    <t>ethyl chloride</t>
  </si>
  <si>
    <t>chloroform</t>
  </si>
  <si>
    <t>Trichloromethane; methyl trichloride</t>
  </si>
  <si>
    <t>chloromethane</t>
  </si>
  <si>
    <t>Methyl chloride</t>
  </si>
  <si>
    <t>allyl chloride</t>
  </si>
  <si>
    <t>3-Chloropropene</t>
  </si>
  <si>
    <t>chlorotoluene;o-</t>
  </si>
  <si>
    <t>chlorotoluene;p-</t>
  </si>
  <si>
    <t>dibromochloromethane</t>
  </si>
  <si>
    <t>Chlorodibromomethane</t>
  </si>
  <si>
    <t>dibromo-3-chloropropane;1,2-</t>
  </si>
  <si>
    <t>DBCP</t>
  </si>
  <si>
    <t>methylene bromide</t>
  </si>
  <si>
    <t>bromodichloromethane</t>
  </si>
  <si>
    <t>dichloro-2-butene;trans-1,4-</t>
  </si>
  <si>
    <t>dichlorodifluoromethane</t>
  </si>
  <si>
    <t>CFC-12</t>
  </si>
  <si>
    <t>Freon 12</t>
  </si>
  <si>
    <t>dichloroethane;1,1-</t>
  </si>
  <si>
    <t>1,1-DCA</t>
  </si>
  <si>
    <t>dichloroethane;1,2- (EDC)</t>
  </si>
  <si>
    <t>EDC</t>
  </si>
  <si>
    <t>Ethylene dichloride; 1,2-DCA</t>
  </si>
  <si>
    <t>dichloroethylene;1,1-</t>
  </si>
  <si>
    <t>1,1-DCE</t>
  </si>
  <si>
    <t>1,1-Dichloroethene; vinylidene chloride</t>
  </si>
  <si>
    <t>dichloroethylene;cis-1,2-</t>
  </si>
  <si>
    <t>1,2-DCE</t>
  </si>
  <si>
    <t>cis-1,2-Dichloroethene</t>
  </si>
  <si>
    <t>dichloroethylene;trans-1,2-</t>
  </si>
  <si>
    <t>trans-1,2-Dichloroethene</t>
  </si>
  <si>
    <t>dichloropropane;1,2-</t>
  </si>
  <si>
    <t>dichloropropane;1,3-</t>
  </si>
  <si>
    <t>dichloropropene;1,3-</t>
  </si>
  <si>
    <t>diisopropyl ether</t>
  </si>
  <si>
    <t>ethylbenzene</t>
  </si>
  <si>
    <t>ethylene oxide</t>
  </si>
  <si>
    <t>ethyl ether</t>
  </si>
  <si>
    <t>Diethyl ether</t>
  </si>
  <si>
    <t>ethylene dibromide (EDB)</t>
  </si>
  <si>
    <t>EDB</t>
  </si>
  <si>
    <t>1,2-Dibromoethane</t>
  </si>
  <si>
    <t>formaldehyde</t>
  </si>
  <si>
    <t>Methanal; methyl aldehyde</t>
  </si>
  <si>
    <t>hexane;n-</t>
  </si>
  <si>
    <t>hexanone;2-</t>
  </si>
  <si>
    <t>MBK</t>
  </si>
  <si>
    <t>Methyl butyl ketone</t>
  </si>
  <si>
    <t>cumene</t>
  </si>
  <si>
    <t>(1-Methylethyl)-benzene</t>
  </si>
  <si>
    <t>Isopropyltoluene; p-</t>
  </si>
  <si>
    <t>p-Isopropyltoluene</t>
  </si>
  <si>
    <t>methyl ethyl ketone</t>
  </si>
  <si>
    <t>MEK</t>
  </si>
  <si>
    <t>2-Butanone</t>
  </si>
  <si>
    <t>methyl isobutyl ketone</t>
  </si>
  <si>
    <t>MIBK</t>
  </si>
  <si>
    <t>4-Methyl-2-pentanone; hexone</t>
  </si>
  <si>
    <t>methyl tert-butyl ether (MTBE)</t>
  </si>
  <si>
    <t>MTBE</t>
  </si>
  <si>
    <t>Methyl tertiary-butyl ether; 2-Methoxy-2-methylpropane</t>
  </si>
  <si>
    <t>methylene chloride</t>
  </si>
  <si>
    <t>DCM</t>
  </si>
  <si>
    <t>Dichloromethane</t>
  </si>
  <si>
    <t>propylbenzene;n-</t>
  </si>
  <si>
    <t>styrene</t>
  </si>
  <si>
    <t>Ethenylbenzene</t>
  </si>
  <si>
    <t>tetrachloroethane;1,1,1,2-</t>
  </si>
  <si>
    <t>tetrachloroethane;1,1,2,2-</t>
  </si>
  <si>
    <t>1,1,2,2-PCA</t>
  </si>
  <si>
    <t>tetrachloroethylene (PCE)</t>
  </si>
  <si>
    <t>PCE</t>
  </si>
  <si>
    <t>Tetrachloroethene; perchlorotehylene; perc; 1,1,2,2-tetrachloroethene</t>
  </si>
  <si>
    <t>tetrahydrofuran</t>
  </si>
  <si>
    <t>toluene</t>
  </si>
  <si>
    <t>Methylbenzene</t>
  </si>
  <si>
    <t>trichlorobenzene;1,2,3-</t>
  </si>
  <si>
    <t>trichloroethane;1,1,1-</t>
  </si>
  <si>
    <t>1,1,1-TCA</t>
  </si>
  <si>
    <t>trichloroethane;1,1,2-</t>
  </si>
  <si>
    <t>1,1,2-TCA</t>
  </si>
  <si>
    <t>trichloroethylene (TCE)</t>
  </si>
  <si>
    <t>TCE</t>
  </si>
  <si>
    <t>Trichloroethene</t>
  </si>
  <si>
    <t>trichlorofluoromethane</t>
  </si>
  <si>
    <t>CFC-11</t>
  </si>
  <si>
    <t>Freon 11</t>
  </si>
  <si>
    <t>trichloropropane;1,2,3-</t>
  </si>
  <si>
    <t>trichloro-1,2,2-trifluoroethane;1,1,2-</t>
  </si>
  <si>
    <t>CFC-113</t>
  </si>
  <si>
    <t>1,1,2-Trichloro-1,2,2-trifluoroethane; Freon 113</t>
  </si>
  <si>
    <t>trimethylbenzene;1,2,3-</t>
  </si>
  <si>
    <t>trimethylbenzene;1,2,4-</t>
  </si>
  <si>
    <t>trimethylbenzene;1,3,5-</t>
  </si>
  <si>
    <t>vinyl acetate</t>
  </si>
  <si>
    <t>vinyl chloride</t>
  </si>
  <si>
    <t>Chloroethene; chloroethylene</t>
  </si>
  <si>
    <t>xylenes</t>
  </si>
  <si>
    <t>Dimethylbenzenes</t>
  </si>
  <si>
    <t>FLUOROTELOMER SULFONIC ACID;6:2 (6:2 FTS)</t>
  </si>
  <si>
    <t>6:2 FTS</t>
  </si>
  <si>
    <t>HEXAFLUOROPROPYLENE OXIDE DIMER ACID (HFPO-DA; GenX)</t>
  </si>
  <si>
    <t>HFPO-DA</t>
  </si>
  <si>
    <t>PERFLUOROBUTANOIC ACID (PFBA)</t>
  </si>
  <si>
    <t>PFBA</t>
  </si>
  <si>
    <t>PERFLUOROBUTANESULFONIC ACID (PFBS)</t>
  </si>
  <si>
    <t>PFBS</t>
  </si>
  <si>
    <t>PERFLUORODECANOIC ACID (PFDA)</t>
  </si>
  <si>
    <t>PFDA</t>
  </si>
  <si>
    <t>PERFLUOROHEXANOIC ACID (PFHxA)</t>
  </si>
  <si>
    <t>PFHxA</t>
  </si>
  <si>
    <t>PERFLUOROHEXANESULFONIC ACID (PFHxS)</t>
  </si>
  <si>
    <t>PFHxS</t>
  </si>
  <si>
    <t>PERFLUORONONANOIC ACID (PFNA)</t>
  </si>
  <si>
    <t>PFNA</t>
  </si>
  <si>
    <t>PERFLUOROOCTANESULFONIC ACID (PFOS)</t>
  </si>
  <si>
    <t>PFOS</t>
  </si>
  <si>
    <t>PERFLUOROOCTANOIC ACID (PFOA)</t>
  </si>
  <si>
    <t>PFOA</t>
  </si>
  <si>
    <t>tph:gasoline range organics, benzene present</t>
  </si>
  <si>
    <t>TPH-G, GRO</t>
  </si>
  <si>
    <t>tph: gasoline range organics, no detectable benzene</t>
  </si>
  <si>
    <t>tph, diesel range organics</t>
  </si>
  <si>
    <t>TPH-D, DRO</t>
  </si>
  <si>
    <t>tph, heavy oils</t>
  </si>
  <si>
    <t>TPH-O, ORO</t>
  </si>
  <si>
    <t>TPH-D+O</t>
  </si>
  <si>
    <t>aldrin</t>
  </si>
  <si>
    <t>hexachlorocyclohexane;alpha</t>
  </si>
  <si>
    <t>alpha-Hexachlorocyclohexane; alpha-HCH; alpha-benzene hexachloride; alpha-lindane</t>
  </si>
  <si>
    <t>hexachlorocyclohexane;beta-</t>
  </si>
  <si>
    <t>beta-Hexachlorocyclohexane; beta-benzene hexachloride; beta-HCH; beta-lindane</t>
  </si>
  <si>
    <t>hexachlorocyclohexane; delta-</t>
  </si>
  <si>
    <t>delta-Hexachlorocyclohexane; delta-benzene hexachloride; delta-HCH; delta-lindane</t>
  </si>
  <si>
    <t>carbaryl</t>
  </si>
  <si>
    <t>1-naphthyl methylcarbamate</t>
  </si>
  <si>
    <t>chlordane (alpha)</t>
  </si>
  <si>
    <t>alpha-Chlordane</t>
  </si>
  <si>
    <t>chlordane (gamma)</t>
  </si>
  <si>
    <t>beta-Chlordate</t>
  </si>
  <si>
    <t>chlordane</t>
  </si>
  <si>
    <t>12789-03-6</t>
  </si>
  <si>
    <t>Chlordan</t>
  </si>
  <si>
    <t>chlorpyrifos</t>
  </si>
  <si>
    <t>Dursban</t>
  </si>
  <si>
    <t>ddd</t>
  </si>
  <si>
    <t>p,p'-Dichlorodiphenyl dichloroethane</t>
  </si>
  <si>
    <t>dde</t>
  </si>
  <si>
    <t>p,p'-Dichlorodiphenyl dichloroethylene</t>
  </si>
  <si>
    <t>ddt</t>
  </si>
  <si>
    <t>p,p'-Dichlorodiphenyltrichloroethane; Clofenotane; chlorophenothane</t>
  </si>
  <si>
    <t>Dichlorodiphenyl dichloroethanes</t>
  </si>
  <si>
    <t>Dichlorodiphenyl dichloroethylenes</t>
  </si>
  <si>
    <t>Dichlorodiphenyltrichloroethanes</t>
  </si>
  <si>
    <t>diazinon</t>
  </si>
  <si>
    <t>Dimpylate</t>
  </si>
  <si>
    <t>dieldrin</t>
  </si>
  <si>
    <t>HEOD</t>
  </si>
  <si>
    <t>endosulfan;alpha</t>
  </si>
  <si>
    <t>33213-65-9</t>
  </si>
  <si>
    <t>endosulfan sulfate</t>
  </si>
  <si>
    <t>endrin</t>
  </si>
  <si>
    <t>endrin aldehyde</t>
  </si>
  <si>
    <t>delta-Keto 153</t>
  </si>
  <si>
    <t>heptachlor</t>
  </si>
  <si>
    <t>heptachlor epoxide</t>
  </si>
  <si>
    <t>lindane</t>
  </si>
  <si>
    <t>gamma-BHC; gamma-HCH</t>
  </si>
  <si>
    <t>malathion</t>
  </si>
  <si>
    <t>methoxychlor</t>
  </si>
  <si>
    <t>mirex</t>
  </si>
  <si>
    <t>toxaphene</t>
  </si>
  <si>
    <t>Camphechlor</t>
  </si>
  <si>
    <t>dichlorophenoxyacetic acid;2,4-</t>
  </si>
  <si>
    <t>2,4-D</t>
  </si>
  <si>
    <t>2,4-D Acid; Acetic acid, (2,4-dichlorophenoxy)-</t>
  </si>
  <si>
    <t>2,4-DB</t>
  </si>
  <si>
    <t>Butanoic acid, 4-(2,4-dichlorophenoxy)-; Butoxone; 2,4-DB acid</t>
  </si>
  <si>
    <t>tp;2,4,5-</t>
  </si>
  <si>
    <t>2,4,5-TP</t>
  </si>
  <si>
    <t>fenoprop; Silvex</t>
  </si>
  <si>
    <t>trichlorophenoxyacetic acid;2,4,5-</t>
  </si>
  <si>
    <t>2,4,5-T</t>
  </si>
  <si>
    <t>Acetic acid, (2,4,5-trichlorophenoxy)-</t>
  </si>
  <si>
    <t>dalapon, sodium salt</t>
  </si>
  <si>
    <t>DPA</t>
  </si>
  <si>
    <t>Dalapon; Dalapon; Propanoic acid, 2,2-dichloro-</t>
  </si>
  <si>
    <t>dicamba</t>
  </si>
  <si>
    <t>Dicamba; Banvel; Benzoic acid, 3,6-dichloro-2-methoxy-</t>
  </si>
  <si>
    <t>dinoseb</t>
  </si>
  <si>
    <t>DNBP</t>
  </si>
  <si>
    <t>methyl-4-chlorophenoxy-acetic acid;2-</t>
  </si>
  <si>
    <t>MCPA</t>
  </si>
  <si>
    <t>Acetic acid, (4-chloro-2-methylphenoxy)-; MCPA acid</t>
  </si>
  <si>
    <t>propionic acid;(2-methyl-4-chlorophenoxy)2-</t>
  </si>
  <si>
    <t>MCPP</t>
  </si>
  <si>
    <t>Mecoprop; Propanoic acid, 2-(4-chloro-2-methylphenoxy)-</t>
  </si>
  <si>
    <t>Total PCB Aroclors</t>
  </si>
  <si>
    <t>1336-36-3</t>
  </si>
  <si>
    <t>Total PCB congeners</t>
  </si>
  <si>
    <t>Total PCB TEQ</t>
  </si>
  <si>
    <t>Total dioxin/furan TEQ</t>
  </si>
  <si>
    <t>2,3,7,8-TCDD</t>
  </si>
  <si>
    <t>1746-01-6</t>
  </si>
  <si>
    <t>Total chlorinated dioxins</t>
  </si>
  <si>
    <t>Total chlorinated furans</t>
  </si>
  <si>
    <t>Inorganics</t>
  </si>
  <si>
    <t>Ammonia</t>
  </si>
  <si>
    <t>7664-41-7</t>
  </si>
  <si>
    <t>Chloride</t>
  </si>
  <si>
    <t>16887-00-6</t>
  </si>
  <si>
    <t>57-12-5</t>
  </si>
  <si>
    <t>Fluoride</t>
  </si>
  <si>
    <t>16984-48-8</t>
  </si>
  <si>
    <t>Nitrate</t>
  </si>
  <si>
    <t>14797-55-8</t>
  </si>
  <si>
    <t>Nitrite</t>
  </si>
  <si>
    <t>14797-65-0</t>
  </si>
  <si>
    <t>Sulfate</t>
  </si>
  <si>
    <t>14808-79-8</t>
  </si>
  <si>
    <t>Sulfide</t>
  </si>
  <si>
    <t>Aluminum</t>
  </si>
  <si>
    <t>7429-90-5</t>
  </si>
  <si>
    <t>Antimony</t>
  </si>
  <si>
    <t>7440-36-0</t>
  </si>
  <si>
    <t>Arsenic</t>
  </si>
  <si>
    <t>7440-38-2</t>
  </si>
  <si>
    <t>Barium</t>
  </si>
  <si>
    <t>7440-39-3</t>
  </si>
  <si>
    <t>Beryllium</t>
  </si>
  <si>
    <t>7440-41-7</t>
  </si>
  <si>
    <t>Cadmium</t>
  </si>
  <si>
    <t>7440-43-9</t>
  </si>
  <si>
    <t>Chromium, total</t>
  </si>
  <si>
    <t>7440-47-3</t>
  </si>
  <si>
    <t>Chromium, trivalent</t>
  </si>
  <si>
    <t>16065-83-1</t>
  </si>
  <si>
    <t>18540-29-9</t>
  </si>
  <si>
    <t>Cobalt</t>
  </si>
  <si>
    <t>7440-48-4</t>
  </si>
  <si>
    <t>Copper</t>
  </si>
  <si>
    <t>7440-50-8</t>
  </si>
  <si>
    <t>Iron</t>
  </si>
  <si>
    <t>7439-89-6</t>
  </si>
  <si>
    <t>Lead</t>
  </si>
  <si>
    <t>7439-92-1</t>
  </si>
  <si>
    <t>Manganese</t>
  </si>
  <si>
    <t>7439-96-5</t>
  </si>
  <si>
    <t>Mercury, inorganic</t>
  </si>
  <si>
    <t>7439-97-6</t>
  </si>
  <si>
    <t>Methylmercury</t>
  </si>
  <si>
    <t>16056-34-1</t>
  </si>
  <si>
    <t>Molybdenum</t>
  </si>
  <si>
    <t>7439-98-7</t>
  </si>
  <si>
    <t>Nickel</t>
  </si>
  <si>
    <t>7440-02-0</t>
  </si>
  <si>
    <t>Selenium</t>
  </si>
  <si>
    <t>7782-49-2</t>
  </si>
  <si>
    <t>Silver</t>
  </si>
  <si>
    <t>7440-22-4</t>
  </si>
  <si>
    <t>Thallium</t>
  </si>
  <si>
    <t>7440-28-0</t>
  </si>
  <si>
    <t>Tin</t>
  </si>
  <si>
    <t>7440-31-5</t>
  </si>
  <si>
    <t>Vanadium</t>
  </si>
  <si>
    <t>7440-62-2</t>
  </si>
  <si>
    <t>Zinc</t>
  </si>
  <si>
    <t>7440-66-6</t>
  </si>
  <si>
    <t>Monobutyltin</t>
  </si>
  <si>
    <t>78763-54-9</t>
  </si>
  <si>
    <t>Dibutyltin</t>
  </si>
  <si>
    <t>1002-53-5</t>
  </si>
  <si>
    <t>Tributyl tin</t>
  </si>
  <si>
    <t>688-73-3</t>
  </si>
  <si>
    <t>Tributyltin oxide</t>
  </si>
  <si>
    <t>36643-28-4</t>
  </si>
  <si>
    <t>Tetrabutyltin</t>
  </si>
  <si>
    <t>1461-25-2</t>
  </si>
  <si>
    <t>SVOCs - PAHs</t>
  </si>
  <si>
    <t>Acenaphthene</t>
  </si>
  <si>
    <t>83-32-9</t>
  </si>
  <si>
    <t>Acenaphthylene</t>
  </si>
  <si>
    <t>208-96-8</t>
  </si>
  <si>
    <t>Anthracene</t>
  </si>
  <si>
    <t>120-12-7</t>
  </si>
  <si>
    <t>Benzo(a)anthracene</t>
  </si>
  <si>
    <t>56-55-3</t>
  </si>
  <si>
    <t>Benzo(b)fluoranthene</t>
  </si>
  <si>
    <t>205-99-2</t>
  </si>
  <si>
    <t>Benzo(k)fluoranthene</t>
  </si>
  <si>
    <t>207-08-9</t>
  </si>
  <si>
    <t>Total benzofluoranthenes</t>
  </si>
  <si>
    <t>Benzo(g,h,i)perylene</t>
  </si>
  <si>
    <t>191-24-2</t>
  </si>
  <si>
    <t>50-32-8</t>
  </si>
  <si>
    <t>Chrysene</t>
  </si>
  <si>
    <t>218-01-9</t>
  </si>
  <si>
    <t>Dibenz(a,h)anthracene</t>
  </si>
  <si>
    <t>53-70-3</t>
  </si>
  <si>
    <t>Dibenzofuran</t>
  </si>
  <si>
    <t>132-64-9</t>
  </si>
  <si>
    <t>Fluoranthene</t>
  </si>
  <si>
    <t>206-44-0</t>
  </si>
  <si>
    <t>Fluorene</t>
  </si>
  <si>
    <t>86-73-7</t>
  </si>
  <si>
    <t>Indeno(1,2,3-cd)pyrene</t>
  </si>
  <si>
    <t>193-39-5</t>
  </si>
  <si>
    <t>Methyl isopropyl phenanthrene (retene)</t>
  </si>
  <si>
    <t>483-65-8</t>
  </si>
  <si>
    <t>1-Methylnaphthalene</t>
  </si>
  <si>
    <t>90-12-0</t>
  </si>
  <si>
    <t>2-Methylnaphthalene</t>
  </si>
  <si>
    <t>91-57-6</t>
  </si>
  <si>
    <t>Naphthalene</t>
  </si>
  <si>
    <t>91-20-3</t>
  </si>
  <si>
    <t>Phenanthrene</t>
  </si>
  <si>
    <t>85-01-8</t>
  </si>
  <si>
    <t>Pyrene</t>
  </si>
  <si>
    <t>129-00-0</t>
  </si>
  <si>
    <t>Total LPAHs</t>
  </si>
  <si>
    <t>Total HPAHs</t>
  </si>
  <si>
    <t>Total PAHs</t>
  </si>
  <si>
    <t>Total cPAH TEQ</t>
  </si>
  <si>
    <t>Aniline</t>
  </si>
  <si>
    <t>62-53-3</t>
  </si>
  <si>
    <t>Azobenzene</t>
  </si>
  <si>
    <t>103-33-3</t>
  </si>
  <si>
    <t>92-87-5</t>
  </si>
  <si>
    <t>Benzoic acid</t>
  </si>
  <si>
    <t>65-85-0</t>
  </si>
  <si>
    <t>Benzyl alcohol</t>
  </si>
  <si>
    <t>100-51-6</t>
  </si>
  <si>
    <t>Bis(2-chloroethoxy)methane</t>
  </si>
  <si>
    <t>111-91-1</t>
  </si>
  <si>
    <t>Bis(2-chloroethyl)ether</t>
  </si>
  <si>
    <t>111-44-4</t>
  </si>
  <si>
    <t>Bis(chloromethyl)ether</t>
  </si>
  <si>
    <t>542-88-1</t>
  </si>
  <si>
    <t xml:space="preserve">Bis(2-chloro-1-methylethyl)ether </t>
  </si>
  <si>
    <t>108-60-1</t>
  </si>
  <si>
    <t>2,6-Bis(1,1-dimethylethyl) phenol</t>
  </si>
  <si>
    <t>128-39-2</t>
  </si>
  <si>
    <t>Bis(2-ethylhexyl) phthalate</t>
  </si>
  <si>
    <t>117-81-7</t>
  </si>
  <si>
    <t>4-Bromophenyl phenyl ether</t>
  </si>
  <si>
    <t>101-55-3</t>
  </si>
  <si>
    <t>Butyl benzyl phthalate</t>
  </si>
  <si>
    <t>85-68-7</t>
  </si>
  <si>
    <t>Butyl diphenyl phosphate</t>
  </si>
  <si>
    <t>2752-95-6</t>
  </si>
  <si>
    <t>Carbazole</t>
  </si>
  <si>
    <t>86-74-8</t>
  </si>
  <si>
    <t>4-Chloroaniline</t>
  </si>
  <si>
    <t>106-47-8</t>
  </si>
  <si>
    <t>4-Chloro-3-methylphenol (chlorocresol)</t>
  </si>
  <si>
    <t>59-50-7</t>
  </si>
  <si>
    <t>2-Chloronaphthalene (beta-)</t>
  </si>
  <si>
    <t>91-58-7</t>
  </si>
  <si>
    <t>2-Chlorophenol</t>
  </si>
  <si>
    <t>95-57-8</t>
  </si>
  <si>
    <t>4-Chlorophenyl phenyl ether</t>
  </si>
  <si>
    <t>7005-72-3</t>
  </si>
  <si>
    <t>Dibutyl phthalate</t>
  </si>
  <si>
    <t>84-74-2</t>
  </si>
  <si>
    <t>Dibutyl phenyl phosphate</t>
  </si>
  <si>
    <t>2528-36-1</t>
  </si>
  <si>
    <t>1,2-Dichlorobenzene</t>
  </si>
  <si>
    <t>95-50-1</t>
  </si>
  <si>
    <t>1,3-Dichlorobenzene</t>
  </si>
  <si>
    <t>541-73-1</t>
  </si>
  <si>
    <t>1,4-Dichlorobenzene</t>
  </si>
  <si>
    <t>106-46-7</t>
  </si>
  <si>
    <t>3,3'-Dichlorobenzidine</t>
  </si>
  <si>
    <t>91-94-1</t>
  </si>
  <si>
    <t>2,4-Dichlorophenol</t>
  </si>
  <si>
    <t>120-83-2</t>
  </si>
  <si>
    <t>Di(2-ethylhexyl)adipate</t>
  </si>
  <si>
    <t>103-23-1</t>
  </si>
  <si>
    <t>Diethyl phthalate</t>
  </si>
  <si>
    <t>84-66-2</t>
  </si>
  <si>
    <t>Dimethyl phthalate</t>
  </si>
  <si>
    <t>131-11-3</t>
  </si>
  <si>
    <t>2,4-Dimethylphenol</t>
  </si>
  <si>
    <t>105-67-9</t>
  </si>
  <si>
    <t>1,2-Dinitrobenzene</t>
  </si>
  <si>
    <t>528-29-0</t>
  </si>
  <si>
    <t>1,3-Dinitrobenzene</t>
  </si>
  <si>
    <t>99-65-0</t>
  </si>
  <si>
    <t>1,4-Dinitrobenzene</t>
  </si>
  <si>
    <t>100-25-4</t>
  </si>
  <si>
    <t>4,6-Dinitro-o-cresol (DNOC)</t>
  </si>
  <si>
    <t>534-52-1</t>
  </si>
  <si>
    <t>2,4-Dinitrophenol</t>
  </si>
  <si>
    <t>51-28-5</t>
  </si>
  <si>
    <t>2,4-Dinitrotoluene</t>
  </si>
  <si>
    <t>121-14-2</t>
  </si>
  <si>
    <t>2,6-Dinitrotoluene</t>
  </si>
  <si>
    <t>606-20-2</t>
  </si>
  <si>
    <t>Di-n-octyl phthalate</t>
  </si>
  <si>
    <t>117-84-0</t>
  </si>
  <si>
    <t>1,4-Dioxane</t>
  </si>
  <si>
    <t>123-91-1</t>
  </si>
  <si>
    <t>1,2-Diphenylhydrazine</t>
  </si>
  <si>
    <t>122-66-7</t>
  </si>
  <si>
    <t>Hexachlorobenzene</t>
  </si>
  <si>
    <t>118-74-1</t>
  </si>
  <si>
    <t>Hexachlorobutadiene</t>
  </si>
  <si>
    <t>87-68-3</t>
  </si>
  <si>
    <t>Hexachlorocyclopentadiene</t>
  </si>
  <si>
    <t>77-47-4</t>
  </si>
  <si>
    <t>Hexachloroethane</t>
  </si>
  <si>
    <t>67-72-1</t>
  </si>
  <si>
    <t>Isophorone</t>
  </si>
  <si>
    <t>78-59-1</t>
  </si>
  <si>
    <t>2-Methoxynaphthalene</t>
  </si>
  <si>
    <t>93-04-9</t>
  </si>
  <si>
    <t>2-Methylphenol (o-cresol)</t>
  </si>
  <si>
    <t>95-48-7</t>
  </si>
  <si>
    <t>3-Methylphenol (m-cresol)</t>
  </si>
  <si>
    <t>108-39-4</t>
  </si>
  <si>
    <t>4-Methylphenol (p-cresol)</t>
  </si>
  <si>
    <t>106-44-5</t>
  </si>
  <si>
    <t>2-Nitroaniline</t>
  </si>
  <si>
    <t>88-74-4</t>
  </si>
  <si>
    <t>3-Nitroaniline</t>
  </si>
  <si>
    <t>99-09-2</t>
  </si>
  <si>
    <t>4-Nitroaniline</t>
  </si>
  <si>
    <t>100-01-6</t>
  </si>
  <si>
    <t>Nitrobenzene</t>
  </si>
  <si>
    <t>98-95-3</t>
  </si>
  <si>
    <t>2-Nitrophenol</t>
  </si>
  <si>
    <t>88-75-5</t>
  </si>
  <si>
    <t>4-Nitrophenol</t>
  </si>
  <si>
    <t>100-02-7</t>
  </si>
  <si>
    <t>62-75-9</t>
  </si>
  <si>
    <t>n-Nitrosodiphenylamine</t>
  </si>
  <si>
    <t>86-30-6</t>
  </si>
  <si>
    <t>n-Nitrosodi-n-propylamine</t>
  </si>
  <si>
    <t>621-64-7</t>
  </si>
  <si>
    <t>Pentachlorophenol</t>
  </si>
  <si>
    <t>87-86-5</t>
  </si>
  <si>
    <t>Phenol</t>
  </si>
  <si>
    <t>108-95-2</t>
  </si>
  <si>
    <t>Pyridine</t>
  </si>
  <si>
    <t>110-86-1</t>
  </si>
  <si>
    <t>2,3,4,5-Tetrachlorophenol</t>
  </si>
  <si>
    <t>4901-51-3</t>
  </si>
  <si>
    <t>2,3,4,6-Tetrachlorophenol</t>
  </si>
  <si>
    <t>58-90-2</t>
  </si>
  <si>
    <t>1,2,4-Trichlorobenzene</t>
  </si>
  <si>
    <t>120-82-1</t>
  </si>
  <si>
    <t>2,4,5-Trichlorophenol</t>
  </si>
  <si>
    <t>95-95-4</t>
  </si>
  <si>
    <t>2,4,6-Trichlorophenol</t>
  </si>
  <si>
    <t>88-06-2</t>
  </si>
  <si>
    <t>Acetone</t>
  </si>
  <si>
    <t>67-64-1</t>
  </si>
  <si>
    <t>Acetaldehyde</t>
  </si>
  <si>
    <t>75-07-0</t>
  </si>
  <si>
    <t>Acrolein</t>
  </si>
  <si>
    <t>107-02-8</t>
  </si>
  <si>
    <t>Acrylonitrile</t>
  </si>
  <si>
    <t>107-13-1</t>
  </si>
  <si>
    <t>Benzaldehyde</t>
  </si>
  <si>
    <t>100-52-7</t>
  </si>
  <si>
    <t>Benzene</t>
  </si>
  <si>
    <t>71-43-2</t>
  </si>
  <si>
    <t>Bromobenzene</t>
  </si>
  <si>
    <t>108-86-1</t>
  </si>
  <si>
    <t>Bromochloromethane</t>
  </si>
  <si>
    <t>74-97-5</t>
  </si>
  <si>
    <t>Bromoethane</t>
  </si>
  <si>
    <t>74-96-4</t>
  </si>
  <si>
    <t>Bromoform</t>
  </si>
  <si>
    <t>75-25-2</t>
  </si>
  <si>
    <t>Bromomethane</t>
  </si>
  <si>
    <t>74-83-9</t>
  </si>
  <si>
    <t>2-Butoxyethanol (EGBE)</t>
  </si>
  <si>
    <t>111-76-2</t>
  </si>
  <si>
    <t>n-Butylbenzene</t>
  </si>
  <si>
    <t>104-51-8</t>
  </si>
  <si>
    <t>sec-Butylbenzene</t>
  </si>
  <si>
    <t>135-98-8</t>
  </si>
  <si>
    <t>tert-Butylbenzene</t>
  </si>
  <si>
    <t>98-06-6</t>
  </si>
  <si>
    <t>Carbon disulfide</t>
  </si>
  <si>
    <t>75-15-0</t>
  </si>
  <si>
    <t>Carbon tetrachloride</t>
  </si>
  <si>
    <t>56-23-5</t>
  </si>
  <si>
    <t>Chlorobenzene</t>
  </si>
  <si>
    <t>108-90-7</t>
  </si>
  <si>
    <t>Chloroethane</t>
  </si>
  <si>
    <t>75-00-3</t>
  </si>
  <si>
    <t>2-Chloroethyl vinyl ether</t>
  </si>
  <si>
    <t>110-75-8</t>
  </si>
  <si>
    <t>Chloroform</t>
  </si>
  <si>
    <t>67-66-3</t>
  </si>
  <si>
    <t>Chloromethane</t>
  </si>
  <si>
    <t>74-87-3</t>
  </si>
  <si>
    <t>3-Chloro-1-propene (allyl chloride)</t>
  </si>
  <si>
    <t>107-05-1</t>
  </si>
  <si>
    <t>2-Chlorotoluene</t>
  </si>
  <si>
    <t>95-49-8</t>
  </si>
  <si>
    <t>4-Chlorotoluene</t>
  </si>
  <si>
    <t>106-43-4</t>
  </si>
  <si>
    <t>Dibromochloromethane</t>
  </si>
  <si>
    <t>124-48-1</t>
  </si>
  <si>
    <t>1,2-Dibromo-3-chloropropane</t>
  </si>
  <si>
    <t>96-12-8</t>
  </si>
  <si>
    <t>Dibromomethane</t>
  </si>
  <si>
    <t>74-95-3</t>
  </si>
  <si>
    <t>Dichlorobromomethane</t>
  </si>
  <si>
    <t>75-27-4</t>
  </si>
  <si>
    <t>trans-1,4-Dichloro-2-butene</t>
  </si>
  <si>
    <t>110-57-6</t>
  </si>
  <si>
    <t>Dichlorodifluoromethane</t>
  </si>
  <si>
    <t>75-71-8</t>
  </si>
  <si>
    <t>1,1-Dichloroethane</t>
  </si>
  <si>
    <t>75-34-3</t>
  </si>
  <si>
    <t>1,2-Dichloroethane (EDC)</t>
  </si>
  <si>
    <t>107-06-2</t>
  </si>
  <si>
    <t>1,1-Dichloroethylene</t>
  </si>
  <si>
    <t>75-35-4</t>
  </si>
  <si>
    <t>cis-1,2-Dichloroethylene</t>
  </si>
  <si>
    <t>156-59-2</t>
  </si>
  <si>
    <t>trans-1,2-Dichloroethylene</t>
  </si>
  <si>
    <t>156-60-5</t>
  </si>
  <si>
    <t>1,2-Dichloroethylene (mixed isomers)</t>
  </si>
  <si>
    <t>540-59-0</t>
  </si>
  <si>
    <t>1,2-Dichloropropane</t>
  </si>
  <si>
    <t>78-87-5</t>
  </si>
  <si>
    <t>1,3-Dichloropropane</t>
  </si>
  <si>
    <t>142-28-9</t>
  </si>
  <si>
    <t>2,2-Dichloropropane</t>
  </si>
  <si>
    <t>594-20-7</t>
  </si>
  <si>
    <t>1,1-Dichloropropene</t>
  </si>
  <si>
    <t>563-58-6</t>
  </si>
  <si>
    <t>cis-1,3-Dichloropropene</t>
  </si>
  <si>
    <t>10061-01-5</t>
  </si>
  <si>
    <t>trans-1,3-Dichloropropene</t>
  </si>
  <si>
    <t>10061-02-6</t>
  </si>
  <si>
    <t>Diisopropyl ether</t>
  </si>
  <si>
    <t>108-20-3</t>
  </si>
  <si>
    <t>Ethane</t>
  </si>
  <si>
    <t>74-84-0</t>
  </si>
  <si>
    <t>Ethylbenzene</t>
  </si>
  <si>
    <t>100-41-4</t>
  </si>
  <si>
    <t>Ethylene oxide</t>
  </si>
  <si>
    <t>74-85-1</t>
  </si>
  <si>
    <t>Ethyl ether</t>
  </si>
  <si>
    <t>60-29-7</t>
  </si>
  <si>
    <t>Ethylene dibromide (EDB)</t>
  </si>
  <si>
    <t>106-93-4</t>
  </si>
  <si>
    <t>Formaldehyde</t>
  </si>
  <si>
    <t>50-00-0</t>
  </si>
  <si>
    <t>n-Hexane</t>
  </si>
  <si>
    <t>110-54-3</t>
  </si>
  <si>
    <t>2-Hexanone</t>
  </si>
  <si>
    <t>591-78-6</t>
  </si>
  <si>
    <t>Isopropylbenzene (cumene)</t>
  </si>
  <si>
    <t>98-82-8</t>
  </si>
  <si>
    <t>4-Isopropyltoluene (p-isopropyltoluene)</t>
  </si>
  <si>
    <t>99-87-6</t>
  </si>
  <si>
    <t>Methane</t>
  </si>
  <si>
    <t>74-82-8</t>
  </si>
  <si>
    <t>Methyl ethyl ketone (2-butanone)</t>
  </si>
  <si>
    <t>78-93-3</t>
  </si>
  <si>
    <t>Methyl iodide</t>
  </si>
  <si>
    <t>74-88-4</t>
  </si>
  <si>
    <t>Methyl isobutyl ketone</t>
  </si>
  <si>
    <t>108-10-1</t>
  </si>
  <si>
    <t>Methyl tert-butyl ether (MTBE)</t>
  </si>
  <si>
    <t>1634-04-4</t>
  </si>
  <si>
    <t>75-09-2</t>
  </si>
  <si>
    <t>2-Pentanone</t>
  </si>
  <si>
    <t>107-87-9</t>
  </si>
  <si>
    <t>n-Propylbenzene</t>
  </si>
  <si>
    <t>103-65-1</t>
  </si>
  <si>
    <t>Styrene</t>
  </si>
  <si>
    <t>100-42-5</t>
  </si>
  <si>
    <t>1,1,1,2-Tetrachloroethane</t>
  </si>
  <si>
    <t>630-20-6</t>
  </si>
  <si>
    <t>1,1,2,2-Tetrachloroethane</t>
  </si>
  <si>
    <t>79-34-5</t>
  </si>
  <si>
    <t>Tetrachloroethylene (PCE)</t>
  </si>
  <si>
    <t>127-18-4</t>
  </si>
  <si>
    <t>Tetrahydrofuran</t>
  </si>
  <si>
    <t>109-99-9</t>
  </si>
  <si>
    <t>Toluene</t>
  </si>
  <si>
    <t>108-88-3</t>
  </si>
  <si>
    <t>1,2,3-Trichlorobenzene</t>
  </si>
  <si>
    <t>87-61-6</t>
  </si>
  <si>
    <t>1,1,1-Trichloroethane</t>
  </si>
  <si>
    <t>71-55-6</t>
  </si>
  <si>
    <t>1,1,2-Trichloroethane</t>
  </si>
  <si>
    <t>79-00-5</t>
  </si>
  <si>
    <t>Trichloroethylene (TCE)</t>
  </si>
  <si>
    <t>79-01-6</t>
  </si>
  <si>
    <t>Trichlorofluoroethane</t>
  </si>
  <si>
    <t>27154-33-2</t>
  </si>
  <si>
    <t>Trichlorofluoromethane</t>
  </si>
  <si>
    <t>75-69-4</t>
  </si>
  <si>
    <t>1,2,3-Trichloropropane</t>
  </si>
  <si>
    <t>96-18-4</t>
  </si>
  <si>
    <t>Trichlorotrifluoroethane</t>
  </si>
  <si>
    <t>76-13-1</t>
  </si>
  <si>
    <t>1,2,3-Trimethylbenzene</t>
  </si>
  <si>
    <t>526-73-8</t>
  </si>
  <si>
    <t>1,2,4-Trimethylbenzene</t>
  </si>
  <si>
    <t>95-63-6</t>
  </si>
  <si>
    <t>1,3,5-Trimethylbenzene</t>
  </si>
  <si>
    <t>108-67-8</t>
  </si>
  <si>
    <t>Vinyl acetate</t>
  </si>
  <si>
    <t>108-05-4</t>
  </si>
  <si>
    <t>Vinyl chloride</t>
  </si>
  <si>
    <t>75-01-4</t>
  </si>
  <si>
    <t>Total xylenes</t>
  </si>
  <si>
    <t>1330-20-7</t>
  </si>
  <si>
    <t>PFAS</t>
  </si>
  <si>
    <t>6:2 Fluorotelomer sulfonic acid (6:2 FTS)</t>
  </si>
  <si>
    <t>27619-97-2</t>
  </si>
  <si>
    <t>GenX (HFPO-DA)</t>
  </si>
  <si>
    <t>13252-13-6</t>
  </si>
  <si>
    <t>Perfluorobutanoic acid (PFBA)</t>
  </si>
  <si>
    <t>375-22-4</t>
  </si>
  <si>
    <t>Perfluorobutanesulfonic acid (PFBS)</t>
  </si>
  <si>
    <t>375-73-5</t>
  </si>
  <si>
    <t>Perfluorodecanoic acid (PFDA)</t>
  </si>
  <si>
    <t>335-76-2</t>
  </si>
  <si>
    <t>Perfluorohexanoic acid (PFHxA)</t>
  </si>
  <si>
    <t>307-24-4</t>
  </si>
  <si>
    <t>Perfluorohexanesulfonic acid (PFHxS)</t>
  </si>
  <si>
    <t>355-46-4</t>
  </si>
  <si>
    <t>Perfluorononanoic acid (PFNA)</t>
  </si>
  <si>
    <t>375-95-1</t>
  </si>
  <si>
    <t>Perfluorooctanesulfonic acid (PFOS)</t>
  </si>
  <si>
    <t>1763-23-1</t>
  </si>
  <si>
    <t>Perfluorooctanoic acid (PFOA)</t>
  </si>
  <si>
    <t>335-67-1</t>
  </si>
  <si>
    <t>Gasoline range hydrocarbons, fresh</t>
  </si>
  <si>
    <t>Gasoline range hydrocarbons, weathered</t>
  </si>
  <si>
    <t>Diesel range hydrocarbons, fresh</t>
  </si>
  <si>
    <t>Diesel range hydrocarbons, weathered</t>
  </si>
  <si>
    <t>Oil range hydrocarbons</t>
  </si>
  <si>
    <t>Total diesel &amp; oil range hydrocarbons</t>
  </si>
  <si>
    <t>Aldrin</t>
  </si>
  <si>
    <t>309-00-2</t>
  </si>
  <si>
    <t>alpha-BHC (alpha-HCH)</t>
  </si>
  <si>
    <t>319-84-6</t>
  </si>
  <si>
    <t>beta-BHC (beta-HCH)</t>
  </si>
  <si>
    <t>319-85-7</t>
  </si>
  <si>
    <t>delta-BHC (delta-HCH)</t>
  </si>
  <si>
    <t>319-86-8</t>
  </si>
  <si>
    <t>Carbaryl</t>
  </si>
  <si>
    <t>63-25-2</t>
  </si>
  <si>
    <t>cis-Chlordane (alpha)</t>
  </si>
  <si>
    <t>5103-71-9</t>
  </si>
  <si>
    <t>trans-Chlordane (gamma)</t>
  </si>
  <si>
    <t>5103-74-2</t>
  </si>
  <si>
    <t>Chlordane</t>
  </si>
  <si>
    <t>57-74-9</t>
  </si>
  <si>
    <t>Chlorpyrifos</t>
  </si>
  <si>
    <t>2921-88-2</t>
  </si>
  <si>
    <t>4,4'-DDD</t>
  </si>
  <si>
    <t>72-54-8</t>
  </si>
  <si>
    <t>4,4'-DDE</t>
  </si>
  <si>
    <t>72-55-9</t>
  </si>
  <si>
    <t>4,4'-DDT</t>
  </si>
  <si>
    <t>50-29-3</t>
  </si>
  <si>
    <t xml:space="preserve">Total DDD </t>
  </si>
  <si>
    <t>Total DDE</t>
  </si>
  <si>
    <t>Total DDT</t>
  </si>
  <si>
    <t>Diazinon</t>
  </si>
  <si>
    <t>333-41-5</t>
  </si>
  <si>
    <t>Dieldrin</t>
  </si>
  <si>
    <t>60-57-1</t>
  </si>
  <si>
    <t>959-98-8</t>
  </si>
  <si>
    <t>Endosulfan sulfate</t>
  </si>
  <si>
    <t>1031-07-8</t>
  </si>
  <si>
    <t>Endrin</t>
  </si>
  <si>
    <t>72-20-8</t>
  </si>
  <si>
    <t>Endrin aldehyde</t>
  </si>
  <si>
    <t>7421-93-4</t>
  </si>
  <si>
    <t>Endrin ketone</t>
  </si>
  <si>
    <t>53494-70-5</t>
  </si>
  <si>
    <t>Heptachlor</t>
  </si>
  <si>
    <t>76-44-8</t>
  </si>
  <si>
    <t>Heptachlor epoxide</t>
  </si>
  <si>
    <t>1024-57-3</t>
  </si>
  <si>
    <t>Lindane (gamma-BHC)</t>
  </si>
  <si>
    <t>58-89-9</t>
  </si>
  <si>
    <t>Malathion</t>
  </si>
  <si>
    <t>121-75-5</t>
  </si>
  <si>
    <t>Methoxychlor</t>
  </si>
  <si>
    <t>72-43-5</t>
  </si>
  <si>
    <t>Mirex</t>
  </si>
  <si>
    <t>2385-85-5</t>
  </si>
  <si>
    <t>Nonachlor</t>
  </si>
  <si>
    <t>3734-49-4</t>
  </si>
  <si>
    <t>Toxaphene</t>
  </si>
  <si>
    <t>8001-35-2</t>
  </si>
  <si>
    <t>Herbicides</t>
  </si>
  <si>
    <t>2,4-Dichlorophenoxyacetic acid (2,4-D)</t>
  </si>
  <si>
    <t>94-75-7</t>
  </si>
  <si>
    <t>4-(2,4-Dichlorophenoxy)butanoic acid 2,4-DB</t>
  </si>
  <si>
    <t>94-82-6</t>
  </si>
  <si>
    <t>2-(2,4,5-Trichlorophenoxy)propionic acid (2,4,5-TP)</t>
  </si>
  <si>
    <t>93-72-1</t>
  </si>
  <si>
    <t>2,4,5-Trichlorophenoxyacetic acid (2,4,5-T)</t>
  </si>
  <si>
    <t>93-76-5</t>
  </si>
  <si>
    <t>Dalapon</t>
  </si>
  <si>
    <t>75-99-0</t>
  </si>
  <si>
    <t>Dicamba</t>
  </si>
  <si>
    <t>1918-00-9</t>
  </si>
  <si>
    <t>Dichloroprop</t>
  </si>
  <si>
    <t>120-36-5</t>
  </si>
  <si>
    <t>Dinoseb</t>
  </si>
  <si>
    <t>88-85-7</t>
  </si>
  <si>
    <t>2-Methyl-4-chlorophenoxy acetic acid (MCPA)</t>
  </si>
  <si>
    <t>94-74-6</t>
  </si>
  <si>
    <t>(2-Methyl-4-chlorophenol)2-propionic acid (MCPP)</t>
  </si>
  <si>
    <t>93-65-2</t>
  </si>
  <si>
    <t>Soil PCUL Summary for LDW Sites</t>
  </si>
  <si>
    <t>Groundwater PCUL Summary for LDW Sites</t>
  </si>
  <si>
    <t>Sediment PCUL Summary for LDW Sites</t>
  </si>
  <si>
    <t>Air PCUL Summary</t>
  </si>
  <si>
    <t>PCUL Chemicals, CAS Numbers, and Synonyms</t>
  </si>
  <si>
    <t>Chemical-Specific Parameters for LDW PCULs</t>
  </si>
  <si>
    <t>PCUL Workbook Equations</t>
  </si>
  <si>
    <t>Soil PCUL Details for LDW Sites</t>
  </si>
  <si>
    <t>PCULs for Soil Contact</t>
  </si>
  <si>
    <t>Soil Leaching PCULs for LDW Sites</t>
  </si>
  <si>
    <t>Groundwater PCULs for Protection of Surface Water at LDW Sites</t>
  </si>
  <si>
    <t>Equation Values for Groundwater PCULs at LDW Sites</t>
  </si>
  <si>
    <t>Equation 730-2 Values for Mutagens at LDW Sites</t>
  </si>
  <si>
    <t>Groundwater PCULs for Protection of Sediment at LDW Sites</t>
  </si>
  <si>
    <t>Groundwater Screening Levels for Vapor Intrusion</t>
  </si>
  <si>
    <t>Sediment PCUL Details for LDW Sites</t>
  </si>
  <si>
    <t>PCULs for Sediment Contact at LDW Sites</t>
  </si>
  <si>
    <t>Air PCUL Details</t>
  </si>
  <si>
    <t>Air Equation Values for PCULs</t>
  </si>
  <si>
    <t>Sediment Contact PCULs for Mutagens at LDW Sites</t>
  </si>
  <si>
    <r>
      <rPr>
        <b/>
        <sz val="9"/>
        <color theme="3" tint="0.39997558519241921"/>
        <rFont val="Arial"/>
        <family val="2"/>
      </rPr>
      <t>SL-4</t>
    </r>
    <r>
      <rPr>
        <b/>
        <sz val="9"/>
        <rFont val="Arial"/>
        <family val="2"/>
      </rPr>
      <t xml:space="preserve">
Soil Protect Sediment
Vadose Zone
(mg/kg)
</t>
    </r>
    <r>
      <rPr>
        <b/>
        <sz val="9"/>
        <color theme="3" tint="0.39997558519241921"/>
        <rFont val="Arial"/>
        <family val="2"/>
      </rPr>
      <t>Eq. 747-1</t>
    </r>
  </si>
  <si>
    <r>
      <rPr>
        <b/>
        <sz val="9"/>
        <color theme="3" tint="0.39997558519241921"/>
        <rFont val="Arial"/>
        <family val="2"/>
      </rPr>
      <t>SL-7</t>
    </r>
    <r>
      <rPr>
        <b/>
        <sz val="9"/>
        <rFont val="Arial"/>
        <family val="2"/>
      </rPr>
      <t xml:space="preserve">
Soil Protect Sediment
Saturated Zone
(mg/kg)
</t>
    </r>
    <r>
      <rPr>
        <b/>
        <sz val="9"/>
        <color theme="3" tint="0.39997558519241921"/>
        <rFont val="Arial"/>
        <family val="2"/>
      </rPr>
      <t>Eq. 747-1</t>
    </r>
  </si>
  <si>
    <r>
      <t xml:space="preserve">Noncancer ARAR Evaluation
</t>
    </r>
    <r>
      <rPr>
        <b/>
        <sz val="9"/>
        <color theme="3" tint="0.39997558519241921"/>
        <rFont val="Arial"/>
        <family val="2"/>
      </rPr>
      <t>Column F / Column G</t>
    </r>
  </si>
  <si>
    <r>
      <t xml:space="preserve">Cancer ARAR Evaluation
</t>
    </r>
    <r>
      <rPr>
        <b/>
        <sz val="9"/>
        <color theme="3" tint="0.39997558519241921"/>
        <rFont val="Arial"/>
        <family val="2"/>
      </rPr>
      <t>Column F / Column K</t>
    </r>
  </si>
  <si>
    <r>
      <t>Kd Organics
at Soil F</t>
    </r>
    <r>
      <rPr>
        <b/>
        <vertAlign val="subscript"/>
        <sz val="9"/>
        <rFont val="Arial"/>
        <family val="2"/>
      </rPr>
      <t>oc</t>
    </r>
    <r>
      <rPr>
        <b/>
        <sz val="9"/>
        <rFont val="Arial"/>
        <family val="2"/>
      </rPr>
      <t xml:space="preserve">
(L/kg)
</t>
    </r>
    <r>
      <rPr>
        <b/>
        <sz val="9"/>
        <color theme="3" tint="0.39997558519241921"/>
        <rFont val="Arial"/>
        <family val="2"/>
      </rPr>
      <t>MTCA Eq. 747-2</t>
    </r>
  </si>
  <si>
    <r>
      <t>Kd Organics
at Sediment F</t>
    </r>
    <r>
      <rPr>
        <b/>
        <vertAlign val="subscript"/>
        <sz val="9"/>
        <rFont val="Arial"/>
        <family val="2"/>
      </rPr>
      <t>oc</t>
    </r>
    <r>
      <rPr>
        <b/>
        <sz val="9"/>
        <rFont val="Arial"/>
        <family val="2"/>
      </rPr>
      <t xml:space="preserve">
(L/kg)
</t>
    </r>
    <r>
      <rPr>
        <b/>
        <sz val="9"/>
        <color theme="3" tint="0.39997558519241921"/>
        <rFont val="Arial"/>
        <family val="2"/>
      </rPr>
      <t>MTCA Eq. 747-2</t>
    </r>
  </si>
  <si>
    <r>
      <t xml:space="preserve">Kd Inorganics
at Soil pH 6.8
(L/kg)
</t>
    </r>
    <r>
      <rPr>
        <b/>
        <sz val="9"/>
        <color theme="3" tint="0.39997558519241921"/>
        <rFont val="Arial"/>
        <family val="2"/>
      </rPr>
      <t>CLARC</t>
    </r>
  </si>
  <si>
    <r>
      <t xml:space="preserve">Koc
Ionizing Organics
at Sediment pH 8
(L/kg)
</t>
    </r>
    <r>
      <rPr>
        <b/>
        <sz val="9"/>
        <color theme="3" tint="0.39997558519241921"/>
        <rFont val="Arial"/>
        <family val="2"/>
      </rPr>
      <t>EPA (1996) Tbl C-2</t>
    </r>
  </si>
  <si>
    <r>
      <t xml:space="preserve">Kd Inorganics 
at Sediment pH 8
(L/kg)
</t>
    </r>
    <r>
      <rPr>
        <b/>
        <sz val="9"/>
        <color theme="3" tint="0.39997558519241921"/>
        <rFont val="Arial"/>
        <family val="2"/>
      </rPr>
      <t>EPA (1996) Tbl C-4</t>
    </r>
  </si>
  <si>
    <r>
      <t xml:space="preserve">Site-Specific TEE
Eco. Indicator
Soil Conc.
Plants
</t>
    </r>
    <r>
      <rPr>
        <b/>
        <sz val="9"/>
        <color theme="3" tint="0.39997558519241921"/>
        <rFont val="Arial"/>
        <family val="2"/>
      </rPr>
      <t>MTCA Table 749-3</t>
    </r>
  </si>
  <si>
    <r>
      <t xml:space="preserve">Site-Specific TEE
Eco. Indicator
Soil Conc.
Soil Biota
</t>
    </r>
    <r>
      <rPr>
        <b/>
        <sz val="9"/>
        <color theme="3" tint="0.39997558519241921"/>
        <rFont val="Arial"/>
        <family val="2"/>
      </rPr>
      <t>MTCA Table 749-3</t>
    </r>
  </si>
  <si>
    <r>
      <t xml:space="preserve">Site-Specific TEE
Eco. Indicator
Soil Conc.
Wildlife
</t>
    </r>
    <r>
      <rPr>
        <b/>
        <sz val="9"/>
        <color theme="3" tint="0.39997558519241921"/>
        <rFont val="Arial"/>
        <family val="2"/>
      </rPr>
      <t>MTCA Table 749-3</t>
    </r>
  </si>
  <si>
    <r>
      <rPr>
        <b/>
        <sz val="9"/>
        <color theme="3" tint="0.39997558519241921"/>
        <rFont val="Arial"/>
        <family val="2"/>
      </rPr>
      <t>SL-9</t>
    </r>
    <r>
      <rPr>
        <b/>
        <sz val="9"/>
        <rFont val="Arial"/>
        <family val="2"/>
      </rPr>
      <t xml:space="preserve">
Site-Specific TEE
Eco. Indicator
Soil Conc.
Unrestricted Land Use</t>
    </r>
  </si>
  <si>
    <t>Site-Specific TEE
Eco. Indicator
Soil Conc.
Industrial/Commercial Land Use</t>
  </si>
  <si>
    <r>
      <t xml:space="preserve">Federal MCL
</t>
    </r>
    <r>
      <rPr>
        <b/>
        <sz val="9"/>
        <color theme="3" tint="0.39997558519241921"/>
        <rFont val="Arial"/>
        <family val="2"/>
      </rPr>
      <t>40 CFR 141</t>
    </r>
  </si>
  <si>
    <r>
      <t xml:space="preserve">Federal MCLG
</t>
    </r>
    <r>
      <rPr>
        <b/>
        <sz val="9"/>
        <color theme="3" tint="0.39997558519241921"/>
        <rFont val="Arial"/>
        <family val="2"/>
      </rPr>
      <t>40 CFR 141</t>
    </r>
  </si>
  <si>
    <r>
      <t xml:space="preserve">WA State MCL
</t>
    </r>
    <r>
      <rPr>
        <b/>
        <sz val="9"/>
        <color theme="3" tint="0.39997558519241921"/>
        <rFont val="Arial"/>
        <family val="2"/>
      </rPr>
      <t>WAC 246-290</t>
    </r>
  </si>
  <si>
    <r>
      <t xml:space="preserve">Sediment Kd
(L/kg)
</t>
    </r>
    <r>
      <rPr>
        <b/>
        <sz val="9"/>
        <color theme="3" tint="0.39997558519241921"/>
        <rFont val="Arial"/>
        <family val="2"/>
      </rPr>
      <t>Param</t>
    </r>
  </si>
  <si>
    <r>
      <t xml:space="preserve">SMS Upper Tier
Sediment PCUL
(mg/kg DW)
</t>
    </r>
    <r>
      <rPr>
        <b/>
        <sz val="9"/>
        <color theme="3" tint="0.39997558519241921"/>
        <rFont val="Arial"/>
        <family val="2"/>
      </rPr>
      <t>Sed</t>
    </r>
  </si>
  <si>
    <r>
      <t xml:space="preserve">Listed on CLARC VI Pages
</t>
    </r>
    <r>
      <rPr>
        <b/>
        <sz val="8"/>
        <color theme="3" tint="0.39997558519241921"/>
        <rFont val="Arial"/>
        <family val="2"/>
      </rPr>
      <t>Param</t>
    </r>
  </si>
  <si>
    <t>Listed on CLARC VI Pages</t>
  </si>
  <si>
    <r>
      <t xml:space="preserve">SMS
Lower Tier SCO
Marine Benthic Criterion
OC Normalized 
</t>
    </r>
    <r>
      <rPr>
        <b/>
        <sz val="9"/>
        <color theme="3" tint="0.39997558519241921"/>
        <rFont val="Arial"/>
        <family val="2"/>
      </rPr>
      <t>SCUM Table 8-1</t>
    </r>
  </si>
  <si>
    <r>
      <t xml:space="preserve">SMS
Lower Tier SCO
Marine Benthic
LAET Criterion
Dry Weight
</t>
    </r>
    <r>
      <rPr>
        <b/>
        <sz val="9"/>
        <color theme="3" tint="0.39997558519241921"/>
        <rFont val="Arial"/>
        <family val="2"/>
      </rPr>
      <t>SCUM Table 8-1</t>
    </r>
  </si>
  <si>
    <r>
      <t xml:space="preserve">SMS
Upper Tier CSL
Marine Benthic Criterion
OC Normalized
</t>
    </r>
    <r>
      <rPr>
        <b/>
        <sz val="9"/>
        <color theme="3" tint="0.39997558519241921"/>
        <rFont val="Arial"/>
        <family val="2"/>
      </rPr>
      <t>SCUM Table 8-1</t>
    </r>
  </si>
  <si>
    <r>
      <t xml:space="preserve">SMS
Upper Tier CSL
Marine Benthic
2nd LAET Criterion
Dry Weight
</t>
    </r>
    <r>
      <rPr>
        <b/>
        <sz val="9"/>
        <color theme="3" tint="0.39997558519241921"/>
        <rFont val="Arial"/>
        <family val="2"/>
      </rPr>
      <t>SCUM Table 8-1</t>
    </r>
  </si>
  <si>
    <r>
      <t xml:space="preserve">SMS
Lower Tier SCO
Seafood Consumption
Dry Weight
</t>
    </r>
    <r>
      <rPr>
        <b/>
        <sz val="9"/>
        <color theme="3" tint="0.39997558519241921"/>
        <rFont val="Arial"/>
        <family val="2"/>
      </rPr>
      <t>Natural Background, PQL</t>
    </r>
  </si>
  <si>
    <r>
      <t xml:space="preserve">SMS
Upper Tier CSL
Seafood Consumption
Dry Weight
</t>
    </r>
    <r>
      <rPr>
        <b/>
        <sz val="9"/>
        <color theme="3" tint="0.39997558519241921"/>
        <rFont val="Arial"/>
        <family val="2"/>
      </rPr>
      <t>Regional Background, PQL</t>
    </r>
  </si>
  <si>
    <r>
      <t>SMS</t>
    </r>
    <r>
      <rPr>
        <b/>
        <sz val="9"/>
        <color theme="3" tint="0.39997558519241921"/>
        <rFont val="Arial"/>
        <family val="2"/>
      </rPr>
      <t xml:space="preserve">
</t>
    </r>
    <r>
      <rPr>
        <b/>
        <sz val="9"/>
        <rFont val="Arial"/>
        <family val="2"/>
      </rPr>
      <t>Lower Tier SCO
Benthic &amp; Human Health
for Partition Calculations</t>
    </r>
  </si>
  <si>
    <r>
      <t>SMS</t>
    </r>
    <r>
      <rPr>
        <b/>
        <sz val="9"/>
        <color theme="3" tint="0.39997558519241921"/>
        <rFont val="Arial"/>
        <family val="2"/>
      </rPr>
      <t xml:space="preserve">
</t>
    </r>
    <r>
      <rPr>
        <b/>
        <sz val="9"/>
        <rFont val="Arial"/>
        <family val="2"/>
      </rPr>
      <t>Upper Tier CSL
Benthic &amp; Human Health
for Partition
Calculations</t>
    </r>
  </si>
  <si>
    <r>
      <t xml:space="preserve">Lower Tier SCO
Natural Background
LDW or SCUM
</t>
    </r>
    <r>
      <rPr>
        <b/>
        <sz val="9"/>
        <color theme="3" tint="0.39997558519241921"/>
        <rFont val="Arial"/>
        <family val="2"/>
      </rPr>
      <t>Param</t>
    </r>
  </si>
  <si>
    <r>
      <t xml:space="preserve">Upper Tier CSL
Regional Background
</t>
    </r>
    <r>
      <rPr>
        <b/>
        <sz val="9"/>
        <color theme="3" tint="0.39997558519241921"/>
        <rFont val="Arial"/>
        <family val="2"/>
      </rPr>
      <t>Not Developed</t>
    </r>
  </si>
  <si>
    <r>
      <t xml:space="preserve">SMS
Lower Tier SCO
Human 
Direct Contact
</t>
    </r>
    <r>
      <rPr>
        <b/>
        <sz val="9"/>
        <color theme="3" tint="0.39997558519241921"/>
        <rFont val="Arial"/>
        <family val="2"/>
      </rPr>
      <t>SD-Eq</t>
    </r>
  </si>
  <si>
    <r>
      <t xml:space="preserve">SMS
Upper Tier CSL
Human 
Direct Contact
</t>
    </r>
    <r>
      <rPr>
        <b/>
        <sz val="9"/>
        <color theme="3" tint="0.39997558519241921"/>
        <rFont val="Arial"/>
        <family val="2"/>
      </rPr>
      <t>SD-Eq</t>
    </r>
  </si>
  <si>
    <r>
      <t xml:space="preserve">LAET Values in Dry Weight for RAO 3 CULs Expressed as OC Normalized
</t>
    </r>
    <r>
      <rPr>
        <b/>
        <sz val="9"/>
        <color theme="3" tint="0.39997558519241921"/>
        <rFont val="Arial"/>
        <family val="2"/>
      </rPr>
      <t>SCUM Table 8-1</t>
    </r>
  </si>
  <si>
    <t>Bioaccum-
ulative</t>
  </si>
  <si>
    <t>Cyanide (multiple forms, see notes)</t>
  </si>
  <si>
    <t>alpha-Endosulfan</t>
  </si>
  <si>
    <t>beta-Endosulfan</t>
  </si>
  <si>
    <t>endosulfan;beta</t>
  </si>
  <si>
    <t>Endosulfan I</t>
  </si>
  <si>
    <t>Sum of alpha and beta endosuflan</t>
  </si>
  <si>
    <t>Sum of alpha, beta, and endosulfan sulfate</t>
  </si>
  <si>
    <t>Endosulfan II</t>
  </si>
  <si>
    <t>endosulfan</t>
  </si>
  <si>
    <t>PCUL Modifications since March 10, 2017</t>
  </si>
  <si>
    <t>Date</t>
  </si>
  <si>
    <t>Page</t>
  </si>
  <si>
    <t>Chemical/Parameter
Modified</t>
  </si>
  <si>
    <t>Modification</t>
  </si>
  <si>
    <t>Consequences</t>
  </si>
  <si>
    <t>February 11, 2026</t>
  </si>
  <si>
    <t>All</t>
  </si>
  <si>
    <t>This change did not impact PCULs.</t>
  </si>
  <si>
    <t>SW</t>
  </si>
  <si>
    <t>Corrected aquatic life literature value to 78.</t>
  </si>
  <si>
    <t>SL-Det</t>
  </si>
  <si>
    <t>Simplified TEE</t>
  </si>
  <si>
    <t>Added notation for chemicals listed in Table 749-2 without values advising the user to conduct bioassays per WAC 173-340-7492(2)(c)(ii) or consult with Ecology.</t>
  </si>
  <si>
    <t>Numerical PCULs didn't change.</t>
  </si>
  <si>
    <t>Benzo(a)pyrene, cPAH TEQ</t>
  </si>
  <si>
    <t>Modified so that soil and sediment contact CULs are calculated for cPAH TEQ only, not benzo(a)pyrene, per WAC 173-340-708(8)(e).</t>
  </si>
  <si>
    <r>
      <t xml:space="preserve">Now there are no soil or sediment contact PCULs for </t>
    </r>
    <r>
      <rPr>
        <b/>
        <sz val="11"/>
        <color rgb="FFFF0000"/>
        <rFont val="Calibri"/>
        <family val="2"/>
        <scheme val="minor"/>
      </rPr>
      <t>benzo(a)pyrene</t>
    </r>
    <r>
      <rPr>
        <sz val="11"/>
        <color theme="1"/>
        <rFont val="Calibri"/>
        <family val="2"/>
        <scheme val="minor"/>
      </rPr>
      <t xml:space="preserve">.  There are still PCULs for benzo(a)pyrene in cases where there are ARARs (MCL, WQC, benthic criteria, TEE).  PCULs for cPAH TEQ didn't change.  </t>
    </r>
  </si>
  <si>
    <t>Param</t>
  </si>
  <si>
    <t>Mercury</t>
  </si>
  <si>
    <t>Updated GIABS (SCUM) to 1, based on mercury, instead of 0.07 for mercuric chloride.</t>
  </si>
  <si>
    <t>Sediment PCULs didn't change because there isn't a direct contact PCUL for mercury due to lack of oral toxicity data.</t>
  </si>
  <si>
    <t>Ionizing organics</t>
  </si>
  <si>
    <t>Added new column for Koc values for ionizing organics in sediment, where pH is typically different from soil.  Populated from EPA's (1996) Soil Screening Guidance Table C-2.</t>
  </si>
  <si>
    <r>
      <t xml:space="preserve">Most stringent groundwater PCUL for </t>
    </r>
    <r>
      <rPr>
        <b/>
        <sz val="11"/>
        <color rgb="FFFF0000"/>
        <rFont val="Calibri"/>
        <family val="2"/>
        <scheme val="minor"/>
      </rPr>
      <t>benzoic acid</t>
    </r>
    <r>
      <rPr>
        <sz val="11"/>
        <color theme="1"/>
        <rFont val="Calibri"/>
        <family val="2"/>
        <scheme val="minor"/>
      </rPr>
      <t xml:space="preserve"> in the PCUL-LDW and PCUL-Marine workbooks increased by factors of 1.8 and 2.7, respectively, but it didn't change in the PCUL-Fresh workbook.  Most stringent PCULs for other ionizing organics didn't change because they're driven by protection of surface water.</t>
    </r>
  </si>
  <si>
    <t>DW</t>
  </si>
  <si>
    <t xml:space="preserve">Updated the state MCLs to be consistent with the federal MCLs per rule-making by the state Board of Health.  </t>
  </si>
  <si>
    <t>AR-Det</t>
  </si>
  <si>
    <t>Petroleum analytes</t>
  </si>
  <si>
    <t>Corrected Method C air CULs.</t>
  </si>
  <si>
    <t>Method C air CULs decreased from 1,500 to 46 ug/m3.  Soil gas SLs didn't change.</t>
  </si>
  <si>
    <t>Corrected NRWQC for human health from 0.0013 to 0.013 ug/L.</t>
  </si>
  <si>
    <t>SW-FW</t>
  </si>
  <si>
    <t>Linked ARAR values to benzo(a)pyrene line to be consistent with approach on marine page (SW).</t>
  </si>
  <si>
    <t>Surface water PCUL decreased from 9.69E-3 to 1.6E-5 ug/L.</t>
  </si>
  <si>
    <t>Eqtn</t>
  </si>
  <si>
    <t>FCRs</t>
  </si>
  <si>
    <t>New page calculates Eq. 730-2 values for mutagens using FCRs specific to children for ages 0-6, based on discussions with the Policy Unit.  Previously, adult FCRs were used for all ages.  Exposure assumptions are available for LDW sites, the Suquamish Tribe, and the Tulalip Tribe.  Results are called into the GW-Eq page.  See more details on line above.</t>
  </si>
  <si>
    <t>February 21, 2025</t>
  </si>
  <si>
    <t>SW, SW-FW</t>
  </si>
  <si>
    <t>State WQC Human Health 
WAC 173-201A-240, Table 240</t>
  </si>
  <si>
    <t>Updated all values based on December 2024 WQC update.</t>
  </si>
  <si>
    <t>The values in the December 2024 WQC updates were taken from the Washington Toxics Rule (40 CFR 131.45), which is located in the next column.  Minimum ARARs and surface water PCULs didn't change.</t>
  </si>
  <si>
    <t>SL-Eq, GW-Eq, AR-Eq</t>
  </si>
  <si>
    <t>Chromium VI</t>
  </si>
  <si>
    <t>Hand-entered cancer equation values from CLARC because it's mutagenic.  This was an oversight from the previous PCUL update.</t>
  </si>
  <si>
    <t>Most stringent soil and groundwater PCULs increased by a factor of 3.  Air PCUL increased by a factor of 7.7.  Most stringent sediment PCULs didn't change.</t>
  </si>
  <si>
    <t>February
5, 2025</t>
  </si>
  <si>
    <t>Added new PFAS to workbook per CLARC update.</t>
  </si>
  <si>
    <t>There are now PCULs for PFDA.</t>
  </si>
  <si>
    <t>TBT</t>
  </si>
  <si>
    <t>Split the TBT oxide line into two lines: TBT and TBT oxide.</t>
  </si>
  <si>
    <t>Some of the PCULs that were previously reported on the TBT oxide line have been moved to the TBT line.  Values haven't changed.</t>
  </si>
  <si>
    <t>Multiple</t>
  </si>
  <si>
    <t>Sulfate, 4-isopropyltoluene, delta-BHC</t>
  </si>
  <si>
    <t>Incorporated CLARC updates to toxicity parameters and chemical properties.</t>
  </si>
  <si>
    <t>There are now soil and groundwater PCULs for all three chemicals and air and soil gas PCULs for 4-isopropyltoluene.</t>
  </si>
  <si>
    <t>Modified site-specific TEE values to reflect As V, which is the most common form in soils, per advice from Policy.</t>
  </si>
  <si>
    <t>Site-specific TEE value increased from 7 to 132 mg/kg.</t>
  </si>
  <si>
    <t>Total low and high MW PAHs</t>
  </si>
  <si>
    <t>Added EPA's Eco-SSLs to site-specific TEE columns based on advice from Policy.</t>
  </si>
  <si>
    <t>There are now site-specific TEE CULs for these PAH groups.</t>
  </si>
  <si>
    <t>Hard-pH</t>
  </si>
  <si>
    <t>Deleted page to reduce level of effort for updates.  Use the Water Quality Program's spreadsheet to calculate site-specific values.</t>
  </si>
  <si>
    <t>No PCULs changed.</t>
  </si>
  <si>
    <t>Moved entry of 0.24 ug/L from NRWQC aquatic life column to State human health column to correct an error.</t>
  </si>
  <si>
    <t>Surface water PCUL didn't change.</t>
  </si>
  <si>
    <t>Added CWA human health criterion to correct oversight.</t>
  </si>
  <si>
    <t>There is now a marine surface water PCUL for 2,4,5-TP.</t>
  </si>
  <si>
    <t xml:space="preserve">Called drinking water PCULs (GW-1) from the PW page into the SW-FW page.  The PCUL for protection of surface water (GW-2) is now the minimum of the surface water PCUL for noncancer effects (column M), the surface water PCUL for cancer effects (column Q), and the drinking water PCUL (GW-1, column R).  This corrects an oversight in the original design of the page. </t>
  </si>
  <si>
    <t>PCULs for protection of surface water (GW-2) didn't change for 112 chemicals.  PCULs decreased for 31 chemicals, including arsenic (factor of 0.71), cadmium (0.58), copper (0.16), nickel (0.21), silver (0.053), zinc (0.24), naphthalene (0.12), and several PFAS.  There are now PCULs for 84 chemicals that didn't have them before.</t>
  </si>
  <si>
    <t>Updated state criteria for aquatic life and added Clean Water Act aquatic life criteria for PFOS and PFOA, per CLARC update.</t>
  </si>
  <si>
    <t>The aquatic life criteria previously listed for tributyltin oxide were moved to the newly listed tributyltin.  The marine surface water PCUL for silver decreased by a factor of 0.48.  Fresh surface water PCULs for the following chemicals decreased: cyanide (factor of 0.48), cadmium (0.58), trivalent chromium (0.82), copper (0.11), nickel (0.21), selenium (0.3), silver (0.053),  zinc (0.24), and PFOS (0.11).</t>
  </si>
  <si>
    <t>SedMMA, SedMMA-FW</t>
  </si>
  <si>
    <t xml:space="preserve">Eliminated sediment contact calculations for mutagens that aren't bioaccumulative.  For the LDW, the only mutagens that are considered bioaccumulative are cPAHs.  For non-LDW sites, chromium VI is also considered bioaccumulative. </t>
  </si>
  <si>
    <t>No PCULs changed because sediment contact PCULs weren't being reported for chemicals that aren't bioaccumulative.</t>
  </si>
  <si>
    <t>SedEq, SedEqFW</t>
  </si>
  <si>
    <t>Revised calculations for sediment contact scenarios so they occur only if a chemical is bioaccumulative.</t>
  </si>
  <si>
    <t>Fewer chemicals have calculated sediment contact PCULs.  But nothing on the Sed and SedFW pages changed because sediment contact PCULs were not being reported for chemicals that aren't bioaccumulative.</t>
  </si>
  <si>
    <t>Target organs</t>
  </si>
  <si>
    <t>Eliminated the columns for oral and inhalation target organs to reduce the level of effort for updates.</t>
  </si>
  <si>
    <t>Corrected Koc value.</t>
  </si>
  <si>
    <t>Soil leaching PCULs increased by a factor of 6.</t>
  </si>
  <si>
    <t>Arsenic, PFHxS</t>
  </si>
  <si>
    <t>Updated oral toxicity values per IRIS update that occurred after the January 2025 CLARC update.</t>
  </si>
  <si>
    <t>Most stringent PCULs for arsenic didn't change because they default to natural background, PQLs, or benthic criteria that didn't change.  Most stringent PCULs for PFHxS in potable groundwater and soil that leaches to potable groundwater decreased by a factor of 0.00064.  Most stringent PCULs for PFHxS in soil that leaches to nonpotable groundwater decreased by a factor of 0.00092.</t>
  </si>
  <si>
    <t>Updated entries for BCF and IUR to draw from the benzo(a)pyrene row.</t>
  </si>
  <si>
    <t>There are now PCULs for surface water and air.</t>
  </si>
  <si>
    <t>Corrected error in calculation of Kd.</t>
  </si>
  <si>
    <t>There are now soil leaching PCULs.</t>
  </si>
  <si>
    <t>Chromium VI, formaldehyde, chloroform</t>
  </si>
  <si>
    <t>Updated all chromium VI toxicity values and inhalation toxicity values for formaldehyde and chloroform per CLARC update.</t>
  </si>
  <si>
    <t>Most stringent PCULs for chromium VI didn't change.  Air and groundwater vapor intrusion SL didn't change for chloroform because they're driven by the cancer toxicity value which didn't change.  The air PCUL for formaldehyde increased by a factor of 1.8.</t>
  </si>
  <si>
    <t>Hexachloroethane, PFBA, PFBS</t>
  </si>
  <si>
    <t>Updated Hcc values per CLARC update.</t>
  </si>
  <si>
    <t>Groundwater vapor intrusion SL for hexachloroethane increased by a factor of 2.7.  There are no VI SLs for PFAS.</t>
  </si>
  <si>
    <t>Listed as mutagenic per CLAR update.  Hand-entered Method B cancer equation values from CLARC for soil contact, groundwater ingestion, and air inhalation.</t>
  </si>
  <si>
    <t>Most stringent soil PCULs decreased by a factor of 0.26 for potable groundwater and 0.19 for nonpotable.  Most stringent groundwater PCUL for potable water decreased by a factor of 0.26.  Air PCUL decreased by a factor of 0.46.</t>
  </si>
  <si>
    <t>July 2024</t>
  </si>
  <si>
    <t>PFOS &amp; PFOA</t>
  </si>
  <si>
    <t>Updated oral RfDs and CPFs consistent with the values developed by EPA's Office of Drinking Water for MCLs per CLARC update.</t>
  </si>
  <si>
    <t>Soil direct contact CULs for PFOS decreased by a factor of 0.03 and for PFOA by a factor of 0.00014.</t>
  </si>
  <si>
    <t>PW</t>
  </si>
  <si>
    <t>GenX, PFBS, PFHxS, PFNA, PFOS, PFOA</t>
  </si>
  <si>
    <t>Retired state action levels and input EPA's MCLs per CLARC update.</t>
  </si>
  <si>
    <t>Groundwater CULs to protect drinking water decreased by the following factors: GenX 0.4, PFHxS 0.15, PFOS 0.11, and PFOA 0.003.  CULs increased for PFNA and PFBS increased by factors of 1.1 and 14, respectively.  Although the calculated groundwater CUL for PFBS is 4.8 ug/L, the MCL requirement to meet an HI of 1 for GenX, PFBS, PFHxS, and PFNA will require PFBS concentrations to be no higher than 2 ug/L.  No changes to CULs for PFBA and PFHxA.</t>
  </si>
  <si>
    <t>TCDD TEQ</t>
  </si>
  <si>
    <t>Added the natural soil background concentration of 5.2 ng/kg from Ecology's (2010) Implementation Memo 8.</t>
  </si>
  <si>
    <t>Most stringent soil PCULs now adjust up to natural background.</t>
  </si>
  <si>
    <t>Column Q</t>
  </si>
  <si>
    <t>Added TSCA CUL for PCBs in restricted access areas, which is used for industrial soil CULs.</t>
  </si>
  <si>
    <t>Direct contact soil CUL for industrial sites decreased from 66 to 10 mg/kg.</t>
  </si>
  <si>
    <t>Added Kd values for pH 6.8 and 8.0 from MTCA Table 747-2.</t>
  </si>
  <si>
    <t>There are now leaching and partitioning CULs for 2,3,4,5-tetrachlorophenol.</t>
  </si>
  <si>
    <t>Natural Background
Freshwater Sediment</t>
  </si>
  <si>
    <t>Added new column, which is the minimum of marine natural background (column AR) and soil natural background (column AQ).</t>
  </si>
  <si>
    <t>The freshwater sediment PCUL for partitioning calculations for selenium increased from 0.1 mg/kg (based on PQL) to 0.78 mg/kg (based on natural background).</t>
  </si>
  <si>
    <t>Ammonia, chloride, fluoride</t>
  </si>
  <si>
    <t>Added three new chemicals.</t>
  </si>
  <si>
    <t>These three chemicals now have PCULs.</t>
  </si>
  <si>
    <t>Checked all water quality criteria (WQC) against CLARC and updated/corrected multiple values.</t>
  </si>
  <si>
    <t>Groundwater CULs to protect marine surface water changed for lead, DDD, DDE, diazinon, and dieldrin.  Groundwater CULs to protect fresh water changed for cyanide, bis(chloromethyl)ether, nitrate, and aluminum.</t>
  </si>
  <si>
    <t>SedDet, SedDetFW</t>
  </si>
  <si>
    <t>Restructured page to 1) remove direct contact CULs for nonbioaccumulative chemicals per advice from Policy to be consistent with SCUM and 2) focus on deriving dry weight PCULs that can be used for partitioning calculations.</t>
  </si>
  <si>
    <t>These combined changes corrected an error in the March 2024 version, where the minimum sediment PCUL on the Sed page didn't match the minimum sediment PCUL on the SedDet page.  
There are now no sediment PCULs for chemicals that are not bioaccumulative and do not have benthic criteria.</t>
  </si>
  <si>
    <t>Sed, SedFW</t>
  </si>
  <si>
    <t>Restructured page to 1) provide dry weight PCULs that can be used for partitioning calculations and 2) provide three categories of PCULs for evaluating sediment data.  The three categories are: human health (contact and bioaccumulative) for SWAC comparisons; benthic dry weight for point by point comparisons; and benthic OC normalized for point by point comparisons (marine only).</t>
  </si>
  <si>
    <t>alpha-BHC/alpha-HCH</t>
  </si>
  <si>
    <t>Added RfD per CLARC update.</t>
  </si>
  <si>
    <t>No changes to PCULs because they're driven by cancer effects.</t>
  </si>
  <si>
    <t>Added Kd value per CLARC update.</t>
  </si>
  <si>
    <t>There are now leaching PCULs for total chromium.</t>
  </si>
  <si>
    <t>Chromium, VI</t>
  </si>
  <si>
    <t>Adjusted drinking water PCUL from 0.046 to 0.46 ug/L per CLARC update.  This reflects a Policy decision to use a cancer risk of 1E-5.</t>
  </si>
  <si>
    <t>Most stringent groundwater PCUL for potable groundwater increased from 0.046 ug/L (based on protection of drinking water) to 0.36 ug/L (based on protection of surface water).</t>
  </si>
  <si>
    <t>Added inhalation RfD and updated oral CPF per CLARC update.</t>
  </si>
  <si>
    <t>The PCUL for potable groundwater and the most stringent soil PCULs for potable groundwater decreased by a factor of 0.57.  The most stringent soil PCUL for nonpotable groundwater and the saturated zone increased by a factor of 10 because there are now no sediment PCULs (see discussion above re changes to sediment pages).</t>
  </si>
  <si>
    <t>Corrected RfDo to be consistent with CLARC.</t>
  </si>
  <si>
    <t>Soil contact PCUL decreased from 720 to 400 mg/kg.  Drinking water PCUL decreased from 140 to 80 ug/L.</t>
  </si>
  <si>
    <t>cis- and trans-1,3-Dichloropropene, dibromomethane</t>
  </si>
  <si>
    <t>Corrected Hcc values to be consistent with CLARC.</t>
  </si>
  <si>
    <t>Groundwater screening levels for VI increased from 1.6 to 8 ug/L.</t>
  </si>
  <si>
    <t>2-Butoxyethanol</t>
  </si>
  <si>
    <t>Corrected INH value to be consistent with CLARC.</t>
  </si>
  <si>
    <t>Drinking water PCUL increased from 800 to 1,600 ug/L.</t>
  </si>
  <si>
    <t>Noncancer target organs</t>
  </si>
  <si>
    <t>Updated multiple entries per CLARC update.</t>
  </si>
  <si>
    <t>No changes to PCULs.</t>
  </si>
  <si>
    <t>Corrected Koc to be consistent with CLARC.</t>
  </si>
  <si>
    <t>The groundwater PCUL for protection of sediment increased from 1.4E6 to 2.4E6 mg/kg.  The soil leaching PCUL to protect drinking water (vadose zone) decreased from 0.42 to 0.36 mg/kg.  Minor change to the soil leaching PCUL in the saturated zone (0.028 to 0.025 mg/kg).</t>
  </si>
  <si>
    <t>Updated entry in column AK (Listed on CLARC VI Page) to YES per CLARC update.</t>
  </si>
  <si>
    <t>A groundwater VI screening level is now available.</t>
  </si>
  <si>
    <t>March 2024</t>
  </si>
  <si>
    <t>Acetaldehyde, PFHxA, carbaryl</t>
  </si>
  <si>
    <t>Added new chemicals to all pages.</t>
  </si>
  <si>
    <t>PCULs available for three new chemicals.</t>
  </si>
  <si>
    <t>alpha-BHC (alpha-HCH)
Acrylonitrile
Nickel</t>
  </si>
  <si>
    <t>Removed oral RfD for alpha-BHC per CLARC update in August 2023.  Updated oral RfD for acrylonitrile and RfC for nickel per CLARC update in February 2024.</t>
  </si>
  <si>
    <t>Most stringent PCULs didn't change.</t>
  </si>
  <si>
    <t>GenX</t>
  </si>
  <si>
    <t>Updated Koc based on February 2024 CLARC update.</t>
  </si>
  <si>
    <t>Most stringent soil PCULs based on potable groundwater increased.  Most stringent soil PCUL for saturated zone based on nonpotable groundwater decreased.</t>
  </si>
  <si>
    <t>Mercury, hexachloroethane, 1-methylnaphthalene, PFOS, phenol, pyridine, styrene, 1,2,3-trichloropropane, vinyl acetate</t>
  </si>
  <si>
    <t>Updated Hcc values per CLARC update in August 2023.</t>
  </si>
  <si>
    <t>Groundwater SLs for VI decreased as follows (all in ug/L): mercury 1.1 to 0.29, hexachloroethane 3.8 to 1.4, 1,2,3-trichloropropane 21 to 20.  Groundwater SLs for VI increased as follows (all in ug/L): styrene 8.2E3 to 8.5E3, vinyl acetate 7.8E3 to 8.1E3. Others don't have SLs for VI.</t>
  </si>
  <si>
    <t>4,4'-DDT and total DDT</t>
  </si>
  <si>
    <t>Changed ABS to 0.1 and GI to 0.5 per CLARC update in August 2023.</t>
  </si>
  <si>
    <t>No changes to most stringent PCULs.</t>
  </si>
  <si>
    <t>Removed Hcc at 13 oF per CLARC update in August 2023.</t>
  </si>
  <si>
    <t>Groundwater SL for VI decreased from 3.8 to 1.4 ug/L.</t>
  </si>
  <si>
    <t>New columns AQ through AV</t>
  </si>
  <si>
    <r>
      <t xml:space="preserve">Added new columns for natural background soil and sediment and regional background sediment.  Linked Sed, SedFW, SL, and SL-FW pages to appropriate columns.  Obtained natural background soil concentrations from Chapter 11 of Ecology's (1994) </t>
    </r>
    <r>
      <rPr>
        <i/>
        <sz val="11"/>
        <color theme="1"/>
        <rFont val="Calibri"/>
        <family val="2"/>
        <scheme val="minor"/>
      </rPr>
      <t>Natural Background Soil Metals Concentrations in Washington State</t>
    </r>
    <r>
      <rPr>
        <sz val="11"/>
        <color theme="1"/>
        <rFont val="Calibri"/>
        <family val="2"/>
        <scheme val="minor"/>
      </rPr>
      <t xml:space="preserve"> rather than from summary tables in Executive Summary or Chapter 6.</t>
    </r>
  </si>
  <si>
    <t xml:space="preserve">Natural background concentration of soil lead increased from 17 to 24 mg/kg.  Natural background concentration of soil nickel increased from 38 to 48 mg/kg.  </t>
  </si>
  <si>
    <t>Cyanide</t>
  </si>
  <si>
    <t>Removed aquatic life criteria under 173-201A WAC per CLARC update in August 2023.</t>
  </si>
  <si>
    <t>Removed aquatic life criteria under CWA per CLARC update in August 2023.</t>
  </si>
  <si>
    <t>There is now no groundwater PCUL for protection of fresh surface water.</t>
  </si>
  <si>
    <t>Updated target organs to be consistent with current version of CLARC.</t>
  </si>
  <si>
    <t>Corrected INH values to 1 for all PFAS except GenX and PFBA</t>
  </si>
  <si>
    <t>Drinking water PCULs decreased by a factor of 2 for PFAS without state action levels.  PCULs for PFAS with state action levels didn't change.</t>
  </si>
  <si>
    <t>SL-Det, SW, SW-FW</t>
  </si>
  <si>
    <t>Added concentrations protective of ecological receptors.</t>
  </si>
  <si>
    <t xml:space="preserve">Most stringent soil and groundwater PCULs based on potable groundwater didn't change.  Most stringent soil and groundwater PCULs based on nonpotable groundwater decreased to levels similar to those based on potable groundwater. </t>
  </si>
  <si>
    <t>New columns AG and AH</t>
  </si>
  <si>
    <t xml:space="preserve">Added new columns to deal with differences in default values for dermal and gastrointestinal absorption between MTCA and SMS.  Original column Q provides GI values for MTCA, used to calculate dermal RfDs and CPFs for MTCA soil and water CULs.  The dermal pathway is rarely considered under MTCA.  New column S provides GI values for SMS, used to calculate dermal RfDs and CPFs for SMS sediment CULs.  The dermal pathway is routinely considered under SMS.  Column AG provides dermal absorption (ABS) values for MTCA soil CULs, again rarely used.  Column AI provides ABS values for SMS sediment CULs, used routinely. </t>
  </si>
  <si>
    <t>The most stringent sediment PCULs for 151 chemicals increased by factors up to 4; 56 remained the same; and 2 decreased by factors up to 0.1.  Bioaccumulative PCULs, which default to natural background or PQL, and benthic criteria are usually lower than direct contact PCULs, which explains the most stringent sediment PCULs that didn't change.</t>
  </si>
  <si>
    <t>Corrected decision logic in column Y (MCL Adj. HQ=1).</t>
  </si>
  <si>
    <t>Added new column AB to identify cases where the WQC needs to be adjusted to achieve HQ=1.</t>
  </si>
  <si>
    <t>Multiple Sed sheets</t>
  </si>
  <si>
    <t>Renamed Sed to SedDet and SedFW to SedFW-Det.  These sheets provide the details of sediment PCUL derivation.  Created new sheets Sed and SedFW which show only the final PCULs.  Sed and SedFW sheets show the minimum dry weight PCULs and OC-normalized benthic criteria.</t>
  </si>
  <si>
    <t>February 2023</t>
  </si>
  <si>
    <t>Updated the supplemental information document to include discussions of the South Lake Union version of the PCUL workbook and how to develop PCULs for marine sediment sites outside the LDW.</t>
  </si>
  <si>
    <t>No  changes to PCULs.</t>
  </si>
  <si>
    <t>GI and ABS</t>
  </si>
  <si>
    <t>Updated all values consistent with CLARC revisions released in September 2022.  For SVOCs and herbicides not listed in CLARC, assumed default values of 0.8 for GI and 0.03 for ABS.  For VOCs not listed in CLARC, assumed default values of 0.5 for GI and 0.1 for ABS.</t>
  </si>
  <si>
    <t>Minor or no noticeable changes to PCULs.</t>
  </si>
  <si>
    <t>AR-Eq</t>
  </si>
  <si>
    <t>Gasoline and diesel range hydrocarbons</t>
  </si>
  <si>
    <t>Corrected Method C air noncancer values to 1,500 ug/m3 and commercial worker noncancer values to 390 ug/m3.</t>
  </si>
  <si>
    <t>Method C air CULs increased by a factor of 30.  There are now commercial worker screening levels.</t>
  </si>
  <si>
    <t>gamma-BHC</t>
  </si>
  <si>
    <t>Eliminated this chemical because it's redundant with lindane.</t>
  </si>
  <si>
    <t>Removed state MCL because it has been withdrawn.</t>
  </si>
  <si>
    <t>The drinking water PCUL for nickel increased from 100 to 320 ug/L.</t>
  </si>
  <si>
    <t>PW and SW</t>
  </si>
  <si>
    <t>Set minimum ARAR value equal to minimum ARAR for benzo(a)pyrene based on advice from Policy</t>
  </si>
  <si>
    <t>The drinking water PCUL for cPAH TEQ increased from 0.023 to 0.2 ug/L.  The surface water PCUL decreased from 0.0097 to 1.6E-5 ug/L.</t>
  </si>
  <si>
    <t>Leach</t>
  </si>
  <si>
    <t>Added 8 ug/L (natural background concentration) in the User Defined column and linked the leaching PCULs for protection of drinking water and surface water into the SL page.</t>
  </si>
  <si>
    <t>Vadose zone leaching PCULs increased from 0.34 and 0.082 mg/kg (protect drinking and surface water, respectively) to 4.67 mg/kg.  Saturated zone leaching PCULs increased from 0.017 and 0.0041 mg/kg (protect drinking water and surface water, respectively) to 0.234 mg/kg.  Arsenic soil PCULs ultimately adjust up to the natural background concentration of 7.3 mg/kg, so there's no change in the most stringent PCULs.</t>
  </si>
  <si>
    <t>Added new chemical to all pages.</t>
  </si>
  <si>
    <t>There are now PCULs for PFBA.</t>
  </si>
  <si>
    <t>DDD, DDE, cis-1,2-DCE</t>
  </si>
  <si>
    <t>Updated toxicity values consistent with CLARC updates.</t>
  </si>
  <si>
    <t>DDD and DDE PCULs are driven by cancer effects so most stringent PCULs didn't change.  There are now cis-1,2-DCE PCULs for air and vapor intrusion.</t>
  </si>
  <si>
    <t>August 2022</t>
  </si>
  <si>
    <t>Updated values for 1,2,3-trichloropropane, 1,4-dioxane, and sulfide from 'no' to 'YES' consistent with CLARC.</t>
  </si>
  <si>
    <t>Soil vapor screening levels now calculate for these chemicals.</t>
  </si>
  <si>
    <t>Correction: there are no MCLs for this chemical.</t>
  </si>
  <si>
    <t>Groundwater PCUL for drinking water increased from 6 to 7,200 ug/L.</t>
  </si>
  <si>
    <t>AR</t>
  </si>
  <si>
    <t>Corrected a copy-down error.</t>
  </si>
  <si>
    <t>Air &amp; soil vapor PCULs decreased by a factor of about 2.</t>
  </si>
  <si>
    <t>AR-Eq, AR-Det</t>
  </si>
  <si>
    <t>All chemicals</t>
  </si>
  <si>
    <t>Added commercial VI screening levels consistent with CLARC guidance.</t>
  </si>
  <si>
    <t>These screening levels aren't called into the AR summary page but they are available for site-specific evaluations.</t>
  </si>
  <si>
    <t>Lindane, PFBS, PFHxS, PFOS, PFOA, PFNA, GenX</t>
  </si>
  <si>
    <t>PCULs are now calculated for 7 new chemicals.</t>
  </si>
  <si>
    <t>AR-Det, AR, VI</t>
  </si>
  <si>
    <t>Added new columns for short-term action levels to protect against cardiac birth defects for both unrestricted and commercial worker scenarios, consistent with VI Guidance Appendix A.</t>
  </si>
  <si>
    <t>Use the action levels to determine whether immediate action (further sampling or mitigation) is needed per VI Guidance Appendix A.  The action levels do not replace cleanup levels.</t>
  </si>
  <si>
    <t>Updated toxicity and chemical property values for cis and trans forms to be consistent with CLARC.  Previously, the cis and trans forms weren't in CLARC and the PCUL spreadsheet used the values for chlordane.</t>
  </si>
  <si>
    <t>No changes to most stringent groundwater PCULs.  Most stringent soil PCULs for saturated zone increased by a factor of 1.3.  Air PCULs are no longer being calculated because there are no inhalation toxicity values.</t>
  </si>
  <si>
    <t>Updated ABS values to be consistent with CLARC.</t>
  </si>
  <si>
    <t>Changes to some sediment PCULs for chemicals not included in the LDW ROD.</t>
  </si>
  <si>
    <t>Removed ABS value to be consistent with CLARC.</t>
  </si>
  <si>
    <t>Updated toxicity and chemical property values to be consistent with CLARC.</t>
  </si>
  <si>
    <t>Soil and groundwater PCULs are now being calculated.</t>
  </si>
  <si>
    <t>Revised oral RfD to 4.67E-2 mg/kg-day for nondietary exposures (drinking water, soil, and sediment) to be consistent with the notes in CLARC.  The dietary RfD of 1.4E-1 mg/kg-day is hard-entered into the calculation for Equation 730-1 on the GW-Eq page.  However this calculation can't be performed because there is no BCF value.</t>
  </si>
  <si>
    <t>Mutagens</t>
  </si>
  <si>
    <t>Added column indicating whether the chemical is listed as a mutagen in CLARC.  PCULs for mutagens were already hand-entered from CLARC to ensure the adjustments for mutagenicity were included</t>
  </si>
  <si>
    <t xml:space="preserve">Added RfCs and IURs and calculated inhalation RfDs and CPFs.  Previously, inhalation RfDs and CPFs were hand-entered from CLARC.  </t>
  </si>
  <si>
    <t>The calculated values for inhalation RfDs and CPFs look the same as the hand-entered values used previously when presented with three significant digits, but there are differences beyond the third digit that affect downstream calculations.  PCULs calculated using MTCA equations now match CLARC more closely.</t>
  </si>
  <si>
    <t>AR-Det, AR</t>
  </si>
  <si>
    <t>Removed deep soil gas screening levels and re-named shallow soil gas screening levels to simply soil gas screening levels, consistent with Ecology's (2022) updated vapor intrusion guidance.</t>
  </si>
  <si>
    <t>All soil gas results will be screened against the same screening levels regardless of depth.</t>
  </si>
  <si>
    <t>January 2022</t>
  </si>
  <si>
    <t>SL, GW, Sed, AR</t>
  </si>
  <si>
    <t>Multiple chemicals</t>
  </si>
  <si>
    <t>Net result of multiple modifications noted below for chemicals of particular interest.</t>
  </si>
  <si>
    <t>PCULs for hexavalent chromium decreased up to 4 orders of magnitude due to addition of new oral CPF and classification as a mutagen.  Sediment PCULs for cPAH TEQ increased by factor of 6.5 due to EPA's Explanation of Significant Differences.  Soil PCULs for PCBs decreased five-fold due to increase in the Koc.</t>
  </si>
  <si>
    <t>diisopropyl ether, tetrahydrofuran</t>
  </si>
  <si>
    <t>Added two new chemicals.</t>
  </si>
  <si>
    <t>There are now PCULs for these two chemicals.</t>
  </si>
  <si>
    <t>PCB TEQ</t>
  </si>
  <si>
    <t>Removed MCL because it applies only to TCDD, not TEQ.</t>
  </si>
  <si>
    <t>Most stringent PCUL didn't change because it's driven by protection of surface water.</t>
  </si>
  <si>
    <t>Mutagenic chemicals</t>
  </si>
  <si>
    <t>Hand-entered soil, groundwater, and air equation values from July CLARC for hexavalent chromium, benzidine, n-nitrosodimethylamine, and 1,2-dibromo-3-chloropropane.  These CULs have adjustments to account for higher cancer risk during childhood because they cause cancer via a mutagenic mode of action.  Equation values for additional mutagens had been hand-entered during previous updates.</t>
  </si>
  <si>
    <t>Air CULs decreased by a factor of 3.8.  Soil contact CULs decreased but most stringent soil PCULs are driven by leaching.  Most stringent groundwater PCULs didn't change for some of the mutagens because they were driven by water quality criteria that didn't change.  Most stringent groundwater PCULs for n-nitrosodimethylamine, 1,2-dibromo-3-propane, and ethylene oxide decreased.  Most stringent groundwater PCUL for chromium VI decreased primarily because there is now an oral CPF (see other modifications made in this version).</t>
  </si>
  <si>
    <t>SedMMA</t>
  </si>
  <si>
    <t>New page that calculates sediment CULs for beach play scenario for mutagenic chemicals hexavalent chromium, benzo(a)pyrene, benzidine, n-nitrosodimethylamine, 1,2-dibromo-3-chloropropane, ethylene oxide, methylene chloride, trichloroethene, and 1,2,3-trichloropropane.</t>
  </si>
  <si>
    <t>Sediment PCUL for benzo(a)pyrene didn't change because the LDW CUL is preferred.  Sediment PCULs for other mutagens decreased by factor of 5.3.</t>
  </si>
  <si>
    <t>Changed values for ABS and AB1 to be consistent with dioxins.</t>
  </si>
  <si>
    <t>Most stringent soil PCULs decreased by 75%.  Most stringent groundwater and sediment PCULs didn't change.</t>
  </si>
  <si>
    <t>Per July CLARC update, revised Hcc for about 75 chemicals, Koc or Kd for about 25 chemicals, and INH for about 30 chemicals.</t>
  </si>
  <si>
    <t>Many leaching and VI PCULs changed.</t>
  </si>
  <si>
    <t>Sed</t>
  </si>
  <si>
    <t>PCP, dibenzofuran, n-nitrosodiphenylamine</t>
  </si>
  <si>
    <t>Corrected unit errors on benthic criteria.</t>
  </si>
  <si>
    <t>Most stringent PCULs didn't change because the LDW ROD CULs were entered correctly and they take precedence.</t>
  </si>
  <si>
    <t>Added oral CPF per July CLARC update.</t>
  </si>
  <si>
    <t>There are now cancer-based CULs for chromium via oral exposure pathways (soil contact, drinking water, and surface water).</t>
  </si>
  <si>
    <t>Deleted inhalation RfD per November RSL update.</t>
  </si>
  <si>
    <t>There is now no air CUL for acetone.</t>
  </si>
  <si>
    <t>Added a row for 2,3,7,8-TCDD because MCLs and WQC are for this congener only.</t>
  </si>
  <si>
    <t>Air PCULs and most stringent soil PCULs are the same for dioxin/furan TEQ and TCDD.  Sediment PCULs and most stringent groundwater PCULs are different.</t>
  </si>
  <si>
    <t>Added new columns H for organic carbon-normalized benthic SCOs and K for organic carbon-normalized benthic CSLs.  These columns are for information only and are not used for calculating groundwater partitioning to sediment.</t>
  </si>
  <si>
    <t>Corrected previous error by adding oral RfD.</t>
  </si>
  <si>
    <t>There are now equation values for groundwater and soil.</t>
  </si>
  <si>
    <t>Updated CULs &amp; RALs based on the LDW Explanation of Significant Difference.</t>
  </si>
  <si>
    <t>Minimum sediment CUL increased from 0.09 to 0.59 mg/kg.</t>
  </si>
  <si>
    <t>Corrected typo in CUL for RAO 3 from 0.036 to 0.035 mg/kg.</t>
  </si>
  <si>
    <t>Sediment PCUL decreased slightly.</t>
  </si>
  <si>
    <t>Updated ARARs to be consistent with CLARC.</t>
  </si>
  <si>
    <t>Most stringent ARAR didn't change.</t>
  </si>
  <si>
    <t>For nonbioaccumulative chemicals, revised lower tier (column Q) and upper tier (column R) risk-based concentrations to adjust up to PQL (column F) when the risk-based concentration falls below the PQL.</t>
  </si>
  <si>
    <t>Some  sediment PCULs increased.</t>
  </si>
  <si>
    <t>Added 31 mg/kg for simplified TEE columns K and L.</t>
  </si>
  <si>
    <t>Most stringent PCUL didn't change.</t>
  </si>
  <si>
    <t>SL</t>
  </si>
  <si>
    <t>Lead &amp; nickel</t>
  </si>
  <si>
    <t xml:space="preserve">Corrected natural background concentrations (SL-10 in column Q) to 24 mg/kg for lead and 48 mg/kg for nickel.  </t>
  </si>
  <si>
    <t>Most stringent PCUL didn't change for lead but increased for nickel.</t>
  </si>
  <si>
    <t>May 2021</t>
  </si>
  <si>
    <t>GW, SW</t>
  </si>
  <si>
    <t>Removed columns indicating which aquatic life WQC are for the dissolved fraction because program policy is to use total analyses even when the WQC is based on the dissolved fraction.</t>
  </si>
  <si>
    <t>No PCULs changed</t>
  </si>
  <si>
    <t>Added state WQC.</t>
  </si>
  <si>
    <t>Minimum ARAR didn't change.</t>
  </si>
  <si>
    <t>Aquatic Life Literature Values</t>
  </si>
  <si>
    <t>Added values for BTEX from Implementation Memo 23.</t>
  </si>
  <si>
    <t>No changes to PCULs for benzene or ethylbenzene.  PCUL to protect surface water for toluene decreased from 130 to 102 ug/L.  There is now a PCUL to protect surface water for xylenes.</t>
  </si>
  <si>
    <t>GW-Eq</t>
  </si>
  <si>
    <t>Weathered gas</t>
  </si>
  <si>
    <t>Corrected a typo in the Method B surface water equation value based on Method A: from 100 to 1,000 ug/L.</t>
  </si>
  <si>
    <t>Most stringent PCUL for weathered gas increased from 100 to 1,000 ug/L.</t>
  </si>
  <si>
    <t>GRO, DRO, ORO</t>
  </si>
  <si>
    <t>Copied PCULs for SL-2 to SL-3 and PCULs for SL-5 to SL-6.</t>
  </si>
  <si>
    <t>There are now soil leaching PCULs for protection of surface water.</t>
  </si>
  <si>
    <t>Individual cPAHs</t>
  </si>
  <si>
    <t>Eliminated soil CULs for individual cPAHs.  TCP policy is to set soil CULs only for cPAH TEQ.</t>
  </si>
  <si>
    <t>There are now no soil PCULs for individual cPAHs.  The soil PCULs for cPAH TEQ did not change.  There is an individual TEE PCUL for benzo(a)pyrene, but it is higher than the most stringent cPAH TEQ PCUL.  In most cases, the cPAH TEQ PCUL will over-ride the benzo(a)pyrene TEE PCUL.</t>
  </si>
  <si>
    <t>Updated the following toxicity data consistent with the February 2021 CLARC update: RfDo value for 1,3-dichloropropane; RfDi values for bromochloromethane, trans-1,2-dichloroethene, and molybdenum; CWA aquatic life criteria for lead and methylmercury.</t>
  </si>
  <si>
    <t xml:space="preserve">There are now soil, ground water, and sediment PCULs for 1,3-dichloropropane.  Ground water PCULs for lead decreased from 8.1 to 5.6 ug/L. There is now an air PCUL for moybdenum (it's not volatile so the PCUL would apply to airborne dust).  There are now air and VI PCULs for trans-1,2-DCE. </t>
  </si>
  <si>
    <t>Reclassified multiple chemicals as to whether they are subject to vapor intrusion based on the February 2021 CLARC update.</t>
  </si>
  <si>
    <t xml:space="preserve">The list of chemicals that have values on the AR page changed.  This affects ground water PCULs for vapor intrusion.  The ground water PCULs for hexachlorocyclopentadiene decreased from 1 to 0.22 ug/L.  The nonpotable ground water PCUL for acetone decreased from 3.6E8 to 1.5E7 ug/L.  The ground water PCULs for trans-1,2-dichloroethylene decreased from 100 ug/L (potable) and 1,000 ug/L (nonpotable) both to 80 ug/L.  There are now nonpotable ground water PCULs for dibromomethane, n-propylbenzene, and 1,3,5-trimethylbenzene.  </t>
  </si>
  <si>
    <t>Updated Koc and Hcc values consistent with the February CLARC update.</t>
  </si>
  <si>
    <t>Many Koc and Hcc values changed, some barely noticeably.  About 60 chemicals have Koc values for the first time, allowing leaching PCULs to be calculated, including cyanide, TBT, benzyl alcohol, dimethylphthalate, and 1,4-dioxane.</t>
  </si>
  <si>
    <t>September 2020</t>
  </si>
  <si>
    <t>SW, GW</t>
  </si>
  <si>
    <t>New columns</t>
  </si>
  <si>
    <t>New columns indicate which aquatic life WQC apply to dissolved fraction and the cases where the surface water PCUL is driven by aquatic life WQC that apply to dissolved fraction.</t>
  </si>
  <si>
    <t>Removed because it's redundant with dioxin/furan TEQ.</t>
  </si>
  <si>
    <t>Dioxin/furan TEQ PCULs didn't change.</t>
  </si>
  <si>
    <t>Sulfide, n-hexane, weathered gas</t>
  </si>
  <si>
    <t>Added new chemicals.</t>
  </si>
  <si>
    <t>PCULs are available for three new chemicals.  PCULs for gasoline range hydrocarbons now differentiate between fresh and weathered.</t>
  </si>
  <si>
    <t>Upper Tier Risk-Based Concentration for Bioaccumulatives</t>
  </si>
  <si>
    <t>Added new column to incorporate regional background into calculation for bioaccumulatives or default to natural background if regional not available.  Revised logic in SMS Upper Tier Sediment PCUL to point to new column.</t>
  </si>
  <si>
    <t>No PCULs changed because there are no regional background concentrations.</t>
  </si>
  <si>
    <t>Made the following updates consistent with CLARC: new RfDi for antimony; revised Kd/Koc values for PCBs, benzene, bis-2-chloroethyl ether, chloroform, 1,1-dichloroethane, 1,3-dichloropropene, diethyl phthalate, and TCE; revised Hcc values for mercury, 1-methylnaphthalene, and total xylenes.</t>
  </si>
  <si>
    <t>The mercury PCUL for vapor intrusion increased by a factor of 2.8.  Other PCULs did not change by noticeable amounts.</t>
  </si>
  <si>
    <t>Sed-Eq</t>
  </si>
  <si>
    <t>Reorganized columns to show sediment contact PCULs for each scenario (beach play, clamming, and netfishing) as well as the overall minimum scenario.</t>
  </si>
  <si>
    <t>SL-Eq</t>
  </si>
  <si>
    <t>Revised Method C cancer calculation to use default CPFo of 1.5 per mg/kg-day rather than the hand-entered CPFo of 0.75 per mg/kg-day.  The previous CPFo assumed that no pregnant women would be present in industrial workplaces.</t>
  </si>
  <si>
    <t>Method C soil direct contact PCUL for vinyl chloride decreased by 2.</t>
  </si>
  <si>
    <t>Site-specific TEE for ORO</t>
  </si>
  <si>
    <t>Added 1,600 mg/kg for plants and 260 mg/kg for soil biota under the site-specific TEE for ORO alone per advice from Policy.</t>
  </si>
  <si>
    <t>The most stringent soil PCUL for ORO decreased from 2,000 to 260 mg/kg.</t>
  </si>
  <si>
    <t>May 2020</t>
  </si>
  <si>
    <t>Sheet name</t>
  </si>
  <si>
    <t>Changed several sheet names to shorten and/or clarify.</t>
  </si>
  <si>
    <t xml:space="preserve">New column that indicates whether a chemical is considered volatile for the purpose of calculating ground water and soil vapor VI screening levels.  The VI and AR-Det pages link to this column. </t>
  </si>
  <si>
    <t>Some chemicals that had VI screening levels before do not have screening levels now and vice versa.</t>
  </si>
  <si>
    <t>MCL, MCLG</t>
  </si>
  <si>
    <t xml:space="preserve">Based on advice from Policy, deleted federal secondary MCLs and added state secondary MCLs.  </t>
  </si>
  <si>
    <t>Potable ground water PCUL for aluminum increased from 50 to 16,000 ug/L; associated soil leaching PCULs also increased.  No other ground water PCULs changed.</t>
  </si>
  <si>
    <t>SL, GW</t>
  </si>
  <si>
    <t>Protect Sediment is 'TBD'</t>
  </si>
  <si>
    <t>Eliminated column because only four chemicals had X's in this column and it wasn't adding much useful information.</t>
  </si>
  <si>
    <t>Method C direct contact CULs for all petroleum mixtures</t>
  </si>
  <si>
    <t>Added 29,000 mg/kg based on MTCATPH11 calculation for most toxic fraction (aromatics EC &gt;10-12).</t>
  </si>
  <si>
    <t>Method C direct contact soil PCULs now available for petroleum mixtures, but concentrations this high are likely to be greater than residual saturation, in which case the PCUL must default to residual saturation.</t>
  </si>
  <si>
    <t>Hand-entered CULs from SCUM Table 9-3 because SCUM includes adjustments for early life exposures to mutagens.</t>
  </si>
  <si>
    <t>The PCULs for sediment contact changed, but the sediment PCUL for cPAH TEQ is based on the ROD value so it didn't change.</t>
  </si>
  <si>
    <t>Natural Background</t>
  </si>
  <si>
    <r>
      <t xml:space="preserve">Previous values came from the executive summary of Ecology's (1994) </t>
    </r>
    <r>
      <rPr>
        <i/>
        <sz val="11"/>
        <color theme="1"/>
        <rFont val="Calibri"/>
        <family val="2"/>
        <scheme val="minor"/>
      </rPr>
      <t>Natural Background Soil Metals Concentrations in Washington State</t>
    </r>
    <r>
      <rPr>
        <sz val="11"/>
        <color theme="1"/>
        <rFont val="Calibri"/>
        <family val="2"/>
        <scheme val="minor"/>
      </rPr>
      <t>.  Updated values to the 90th percentile values found in Table 7, which is considered more accurate.</t>
    </r>
  </si>
  <si>
    <t>Background concentrations changed as follows: arsenic increased from 7 to 7.3 mg/kg; cadmium decreased from 0.8 to 0.77 mg/kg; lead decreased from 24 to 16.83 mg/kg; and nickel decreased from 48 to 38 mg/kg.</t>
  </si>
  <si>
    <t>PBT and DMMP</t>
  </si>
  <si>
    <t>Corrected benzo(g,h,i)perylene to indicate bioaccumulative under PBT.  Updated  cadmium, copper, nickel, silver, and zinc to indicate not bioaccumulative under 2018 edition of DMMP.</t>
  </si>
  <si>
    <t>No impacts for LDW sites because these chemicals were not considered bioaccumulative based on results of EPA's human health and ecological risk assessments.</t>
  </si>
  <si>
    <t>Changed dermal absorption from the default values in MTCA Eq. 740-3 to the default values in EPA's Risk Assessment Guidance for Superfund Vol. 1 Part E text and Exhibit 3-4 to be consistent with SCUM.</t>
  </si>
  <si>
    <t>Combined results of these two changes:
Sediment PCULsfor 44 chemicals didn't change.
PCULs for 61 chemicals increased by a factor of less than 1.2.
PCULs for 13 chemicals increased by a factor of 1.6.
PCULs for 4,4'-DDD and total DDD increased by a factor of 1.9.
PCULs for 4,4'-DDE and total DDE increased by a factor of 2.5.</t>
  </si>
  <si>
    <t>Changed the default gastrointestinal absorption fraction (AB1 in MTCA, GI in SCUM) (aka relative bioavailability) for certain metals to chemical-specific values in EPA's Risk Assessment Guidance for Superfund Vol. 1 Part E Exhibit 4-1.</t>
  </si>
  <si>
    <t>SL-Eq, GW-Eq, SW-Eq, AR-Eq</t>
  </si>
  <si>
    <t>Methylene chloride, 1,2,3-trichloropropane</t>
  </si>
  <si>
    <t>Updated Method B cancer equation values by hand-entering from CLARC to include age-dependent adjustment factors because these chemicals are mutagenic.  Adjusted the surface water value to account for the LDW fish consumption rate of 97.5 g/day.</t>
  </si>
  <si>
    <t>Air PCUL for methylene chloride decreased from 250 to 66 ug/m3 but most stringent soil and ground water PCULs didn't change.  Most stringent soil PCULs for 1,2,3-trichloropropane decreased from 0.033 to 0.0063 mg/kg, most stringent ground water PCULs from 0.0015 to 0.00038 ug/L.</t>
  </si>
  <si>
    <t>Added oral CPF from the January 2020 CLARC update.</t>
  </si>
  <si>
    <t>The most stringent soil PCUL decreased from 320 to 50 mg/kg.  The most stringent ground water PCUL decreased from 64 to 4.4 ug/L.</t>
  </si>
  <si>
    <t xml:space="preserve">Ethylene </t>
  </si>
  <si>
    <t>Changed listing to ethylene oxide and input toxicity values from CLARC.</t>
  </si>
  <si>
    <t>There are now PCULs for ethylene oxide.</t>
  </si>
  <si>
    <t>SCOs and CSLs</t>
  </si>
  <si>
    <t>Added the regular SCO and CSL benthic criteria (in addition to AETs) for use in developing site-specific CULs.  No calculations key off these columns.</t>
  </si>
  <si>
    <t>Removed benthic criteria because they don't apply to total congeners.</t>
  </si>
  <si>
    <t>Sediment PCUL didn't change because it was based on natural background due to bioaccumulation.</t>
  </si>
  <si>
    <t>RfDi for arsenic</t>
  </si>
  <si>
    <t>Updated to 4.29E-6 mg/kg-day per CLARC.</t>
  </si>
  <si>
    <t>Noncancer PCULs decreased by a factor of 0.13, but arsenic PCULs are driven by natural background so no change in final PCULs.</t>
  </si>
  <si>
    <t>cis and trans 1,3-Dichloropropene</t>
  </si>
  <si>
    <t>Added values for Washington Toxics Rule.</t>
  </si>
  <si>
    <t>ground water PCULs decreased from 2 to 1.2 ug/L.</t>
  </si>
  <si>
    <t>PW
SW
Leach</t>
  </si>
  <si>
    <t>cPAHs</t>
  </si>
  <si>
    <t>Removed MCLs and WQC for cPAH TEQ because they are specific to individual cPAHs rather than TEQ.  Based on advice from Policy, eliminated leaching calculations for individual cPAHs.  Set the ground water PCUL for protection of surface water for cPAH TEQ to the PCUL for benzo(a)pyrene.</t>
  </si>
  <si>
    <t>cPAH TEQ PCULs for drinking water and ground water to surface water are now calculated based on Method B equations rather than ARARs.  The TEQ drinking water CUL decreased from 0.2 to 0.0023 ug/L.  The TEQ ground water PCUL to protect surface water increased from 1.6E-5 to 1.19E-2 ug/L.  However, the PCULs to protect surface water for individual cPAHs range from 1.6E-5 to 1.6E-2 ug/L.  There is a soil PCUL for protection of surface water via ground water for cPAH TEQ but not for individual cPAHs.</t>
  </si>
  <si>
    <t>INH for mercury</t>
  </si>
  <si>
    <t>Changed to 1 because the vapor pressure is less than benzene.</t>
  </si>
  <si>
    <t>The potable ground water PCUL for mercury increased by a factor of 2.</t>
  </si>
  <si>
    <t>CPFi for arsenic</t>
  </si>
  <si>
    <t>Updated the value from 2.1 to 15.</t>
  </si>
  <si>
    <t>The air PCUL for arsenic decreased by approximately a factor of 7.</t>
  </si>
  <si>
    <t>Added 2,3,4,5-tetrachlorophenol, bis(chloromethyl)ether, cyanide, sulfates, nitrates, and weathered diesel.  Added 10 new chemicals in Method 8151A (chlorinated herbicides): 2,4-D, 2,4,-DB, 2,4,5-TP, 2,4,5-T, dalapon, dicamba, dichloroprop, dinoseb, MCPA, MCPP.</t>
  </si>
  <si>
    <t>PCULs available for 15 new chemicals.  New distinction between fresh &amp; weathered diesel for protection of aquatic life.  Pentachlorophenol and 4-nitrophenol are also on 8151 analyte list, but were already covered in the SVOC section.</t>
  </si>
  <si>
    <t>Soil foc and sediment foc</t>
  </si>
  <si>
    <t>Added cells at top of page which are linked to Eqtn page.  Calculation of Kd for organics is keyed to these cells, except for ionizing organics which are hand-entered in the Kd inorganics column.</t>
  </si>
  <si>
    <t>Used ARARs for dioxin/furan TEQ instead of PCB Aroclors.</t>
  </si>
  <si>
    <t>PCUL to protect surface water decreased from 7E-6 to 4.4E-9 ug/L.</t>
  </si>
  <si>
    <t>Petroleum</t>
  </si>
  <si>
    <t>Added values from Implementation Memo 23 in the Aquatic Life: Literature Values column.  Added Method A values in WA State WQC Human Health column [WAC 173-340-730(3)(b)(iii)(C)].</t>
  </si>
  <si>
    <t xml:space="preserve">Ground water PCULs for protection of surface water are now available. </t>
  </si>
  <si>
    <t>Soil Koc and Kd</t>
  </si>
  <si>
    <t xml:space="preserve">For ionizing organics, transferred values in Kd column to Koc column </t>
  </si>
  <si>
    <t>Total Aroclors</t>
  </si>
  <si>
    <t>Added average PQL from SCUM Appendix D.</t>
  </si>
  <si>
    <t>Allows PQL to be used as sediment PCUL instead of defaulting to text message "PQL".</t>
  </si>
  <si>
    <t>June 2019</t>
  </si>
  <si>
    <t>TPH-G</t>
  </si>
  <si>
    <r>
      <t xml:space="preserve">Added 1,500 mg/kg default direct contact PCUL from </t>
    </r>
    <r>
      <rPr>
        <i/>
        <sz val="11"/>
        <color theme="1"/>
        <rFont val="Calibri"/>
        <family val="2"/>
        <scheme val="minor"/>
      </rPr>
      <t>Model Remedies for Sites with Petroleum Contaminated Soils</t>
    </r>
    <r>
      <rPr>
        <sz val="11"/>
        <color theme="1"/>
        <rFont val="Calibri"/>
        <family val="2"/>
        <scheme val="minor"/>
      </rPr>
      <t>.</t>
    </r>
  </si>
  <si>
    <t>Most stringent soil PCUL didn't change because it's driven by the leaching pathway.</t>
  </si>
  <si>
    <t>747-1</t>
  </si>
  <si>
    <t>TPH rows</t>
  </si>
  <si>
    <t>Added 30 mg/kg as leaching PCUL for TPH-G in vadose and saturated zones to protect drinking water.  Added 2,000 mg/kg as leaching PCUL for all other petroleum rows in vadose and saturated zones to protect drinking water.  There are no leaching PCULs to protect surface water.</t>
  </si>
  <si>
    <t>The most stringent TPH-G soil PCUL for nonpotable ground water increased from 30 mg/kg to 120 mg/kg.  There are now no PCULs for TPH-O for nonpotable ground water.</t>
  </si>
  <si>
    <t>Added column on far right that allows specific chemicals of interest to be identified for easy filtering.</t>
  </si>
  <si>
    <t>Mods</t>
  </si>
  <si>
    <t>Re-ordered list of modifications to show most recent modifications first.</t>
  </si>
  <si>
    <t>Chems</t>
  </si>
  <si>
    <t>multiple</t>
  </si>
  <si>
    <t>Added additional synonyms from May 2019 CLARC update.</t>
  </si>
  <si>
    <t>GW-Eq
Sed-Eq</t>
  </si>
  <si>
    <t>Hand-entered the cancer-based CULs for surface water and beach play scenario to include age-dependent adjustment factors because cPAHs are mutagenic.  Calculations are shown in Attachment 1a and 1b of the supplemental information paper.</t>
  </si>
  <si>
    <r>
      <t xml:space="preserve">Surface water PCULs decreased from 0.060 to 0.012 </t>
    </r>
    <r>
      <rPr>
        <sz val="11"/>
        <color theme="1"/>
        <rFont val="Symbol"/>
        <family val="1"/>
        <charset val="2"/>
      </rPr>
      <t>m</t>
    </r>
    <r>
      <rPr>
        <sz val="11"/>
        <color theme="1"/>
        <rFont val="Calibri"/>
        <family val="2"/>
        <scheme val="minor"/>
      </rPr>
      <t xml:space="preserve">g/L, but ground water PCULs for protection of surface water didn't change because they're driven by the WQC of 1.6E-5 </t>
    </r>
    <r>
      <rPr>
        <sz val="11"/>
        <color theme="1"/>
        <rFont val="Symbol"/>
        <family val="1"/>
        <charset val="2"/>
      </rPr>
      <t>m</t>
    </r>
    <r>
      <rPr>
        <sz val="11"/>
        <color theme="1"/>
        <rFont val="Calibri"/>
        <family val="2"/>
        <scheme val="minor"/>
      </rPr>
      <t>g/L.  SMS CUL for benzo(a)pyrene decreased from 0.85 to 0.27 mg/kg, but sediment PCUL didn't change because it prefers LDW ROD CUL of 1.6 mg/kg.  SMS CUL for cPAH TEQ remained unchanged at 9E-3 mg/kg, based on PQL, because cPAHs are bioaccumulative.</t>
    </r>
  </si>
  <si>
    <t>Added oral RfD of 6E-3 mg/kg-day from EPA's May 2019 regional screening level update.</t>
  </si>
  <si>
    <t>The most stringent soil PCUL changed from no value to 480 mg/kg.  No changes to ground water or air PCULs.</t>
  </si>
  <si>
    <t xml:space="preserve">Replaced toxicity values for vanadium with those for vanadium pentoxide because the latter come from higher quality sources.  Vanadium is unlikely to be present in metallic form in the environment.  </t>
  </si>
  <si>
    <t>No change in the most stringent soil PCULs.  Most stringent PCUL for potable ground water increased from 80 ug/L to 140 ug/L.  Sediment PCUL increased from 1,100 mg/kg to 1,970 mg/kg.</t>
  </si>
  <si>
    <t>Revised oral RfD from 0.14 to 0.0467 mg/kg-day; a modifying factor of 3 was included to account for nondietary exposures per CLARC.  The full RfD of 0.14 mg/kg-day would be used to calculate surface water CULs, but such a calculation isn't possible due to a lack of BCF.</t>
  </si>
  <si>
    <t>No change in most stringent PCULs for ground water.  PCULs for soil decreased from 1,200 to 1,100 mg/kg due to a revision in natural background rather than the change in the RfD.</t>
  </si>
  <si>
    <t>Added oral CPF from the May 2019 CLARC update.</t>
  </si>
  <si>
    <t>Potable ground water PCUL decreased from 800 to 11 ug/L.  All of the soil PCULs decreased from 8,000 to 250 mg/kg.</t>
  </si>
  <si>
    <t>Added new columns for target organs for oral and inhalation exposures per the May 2019 CLARC update.</t>
  </si>
  <si>
    <t>No PCULs changed.  The target organs can be used for evaluating additive hazards.</t>
  </si>
  <si>
    <t>DDD, DDE</t>
  </si>
  <si>
    <t>Added oral RfDs from the May 2019 CLARC update.</t>
  </si>
  <si>
    <t>No PCULs changed because they are driven by cancer effects.</t>
  </si>
  <si>
    <t>Dibromochloro-methane</t>
  </si>
  <si>
    <t>Removed inhalation CPF because it's not in the May 2019 CLARC update.</t>
  </si>
  <si>
    <t>There are now no PCULs for air or soil vapor.</t>
  </si>
  <si>
    <t>PCUL for potable ground water decreased from 1,600 to 2.1 ug/L.  All soil PCULs decreased from 16,000 to 48 mg/kg.</t>
  </si>
  <si>
    <t>Added Koc and Hcc from the May 2019 CLARC update.</t>
  </si>
  <si>
    <t>No change in ground water PCULs.  It's now possible to calculate soil leaching PCULs.  The most stringent soil PCUL for the vadose zone, potable ground water, decreased from 640 mg/kg (direct contact) to 0.56 mg/kg (leaching).  The most stringent soil PCUL for the saturated zone, potable ground water, decreased from 640 to 0.033 mg/kg.</t>
  </si>
  <si>
    <t>Added oral RfD from the May 2019 CLARC update.</t>
  </si>
  <si>
    <t>There are now PCULs for soil and potable ground water.</t>
  </si>
  <si>
    <t>Trichlorotrifluoro-ethane; 1,2,4-trimethylbenzene</t>
  </si>
  <si>
    <t>Changed the references for toxicity values per the May 2019 CLARC update.</t>
  </si>
  <si>
    <t>Natural background</t>
  </si>
  <si>
    <t>Corrected natural background concentrations for iron and manganese from the body of Ecology's 1994 report.  The values in the executive summary have typos.</t>
  </si>
  <si>
    <t>The PCULs for iron didn't change because they weren't adjusted to background.  The PCULs for manganese decreased from 1,200 mg/kg to 1,100 mg/kg.</t>
  </si>
  <si>
    <t>Diesel &amp; oil range hydrocarbons</t>
  </si>
  <si>
    <t>Added a row for total diesel and oil range hydrocarbons because the Method A soil and ground water CULs apply to the sum of diesel and oil.</t>
  </si>
  <si>
    <t>PCULs are now expressed for diesel alone, oil alone, and diesel plus oil combined.</t>
  </si>
  <si>
    <t>Xylenes</t>
  </si>
  <si>
    <t>Removed rows for m-, m,p-, and o-xylenes so that only total xylenes is listed.  The MCL is specified for total xylenes, so it doesn't make sense to screen individual isomers.</t>
  </si>
  <si>
    <t xml:space="preserve">PCULs are available only for total xylenes.  </t>
  </si>
  <si>
    <t>April 2019</t>
  </si>
  <si>
    <t>Di(2-ethylhexyl)adipate; 1,2-, 1,3-, and 1,4-dinitrobenzene; 3-methylphenol; and 2,3,4,6-tetrachlorophenol</t>
  </si>
  <si>
    <t>Added 6 new chemicals detected at LDW sites.</t>
  </si>
  <si>
    <t>PCULs now available for 6 new chemicals</t>
  </si>
  <si>
    <t>Chromium</t>
  </si>
  <si>
    <t>Added a new line to separate total and trivalent chromium.</t>
  </si>
  <si>
    <t>Separate PCULs are provided for total and trivalent chromium</t>
  </si>
  <si>
    <t>Removed the RfDs for benzo(a)pyrene from the cPAH TEQ line per advice from Jim White.</t>
  </si>
  <si>
    <t>Soil and ground water PCULs were not affected because they're driven by the cancer endpoint.  Air and soil vapor PCULs for cPAH TEQ increased because they were driven by the noncancer endpoint.</t>
  </si>
  <si>
    <t>December 2018</t>
  </si>
  <si>
    <t>RfDo for toxaphene</t>
  </si>
  <si>
    <t>Updated from "na" to 9E-5 mg/kg-day based on EPA's November 2018 Regional Screening Level update.</t>
  </si>
  <si>
    <t>PCULs now available for noncancer effects, but PCULs for cancer effects are lower so no change in most stringent PCULs.</t>
  </si>
  <si>
    <t>Added a reference to Table 1, where issues related to natural background concentrations are discussed.</t>
  </si>
  <si>
    <t>Deleted this column on all sheets except 'Chems' to save space.</t>
  </si>
  <si>
    <t>SMS Upper Tier
(columns R and BB)</t>
  </si>
  <si>
    <t>Corrected coding to use regional background rather than natural background</t>
  </si>
  <si>
    <t>There are no established regional background concentrations so no PCULs changed.</t>
  </si>
  <si>
    <t>GW-VI</t>
  </si>
  <si>
    <t>Column C</t>
  </si>
  <si>
    <t>Updated title of column from Ecology's 2009 guidance document to the CLARC vapor intrusion web page and updated values to be consistent with that page.</t>
  </si>
  <si>
    <t>GW-Detail-PW</t>
  </si>
  <si>
    <t>Federal MCLs</t>
  </si>
  <si>
    <r>
      <t xml:space="preserve">Added secondary MCLs per the 2001 </t>
    </r>
    <r>
      <rPr>
        <i/>
        <sz val="11"/>
        <color theme="1"/>
        <rFont val="Calibri"/>
        <family val="2"/>
        <scheme val="minor"/>
      </rPr>
      <t>Concise Explanatory Statement</t>
    </r>
    <r>
      <rPr>
        <sz val="11"/>
        <color theme="1"/>
        <rFont val="Calibri"/>
        <family val="2"/>
        <scheme val="minor"/>
      </rPr>
      <t xml:space="preserve"> (page 173). </t>
    </r>
  </si>
  <si>
    <t>The potable water PCUL for aluminum decreased from 16,000 to 50 ug/L.  Iron decreased from 11,000 to 300 ug/L.  Manganese decreased from 2,200 to 50 ug/L.</t>
  </si>
  <si>
    <r>
      <t xml:space="preserve">Modified values to be consistent with the number of significant digits in the executive summary of Ecology's ( 1994) </t>
    </r>
    <r>
      <rPr>
        <i/>
        <sz val="11"/>
        <color theme="1"/>
        <rFont val="Calibri"/>
        <family val="2"/>
        <scheme val="minor"/>
      </rPr>
      <t>Natural Background Soil Metals Concentrations in Washington State</t>
    </r>
    <r>
      <rPr>
        <sz val="11"/>
        <color theme="1"/>
        <rFont val="Calibri"/>
        <family val="2"/>
        <scheme val="minor"/>
      </rPr>
      <t>.</t>
    </r>
  </si>
  <si>
    <t>Small changes in the significant digits to soil PCULs adjusted to natural background.</t>
  </si>
  <si>
    <t>June 2018</t>
  </si>
  <si>
    <t>Representative PQLs</t>
  </si>
  <si>
    <t>Eliminated PQL columns on all pages except Sed page.  Changed PQL column on Sed page from a link to a hard entry.</t>
  </si>
  <si>
    <t>Miscellaneous editing and formatting to keep spreadsheet and white paper clear and internally consistent.</t>
  </si>
  <si>
    <t>Corrected calculation of CPFi from inhalation unit risk.</t>
  </si>
  <si>
    <t>CPFi decreased by a factor of 10.  Air and soil gas PCULs increased 10X.</t>
  </si>
  <si>
    <t>Updated the references for the RfDs to CLARC because toxicity data have been removed from EPA's regional screening levels but not from CLARC.</t>
  </si>
  <si>
    <t>bis(2-Chloro-1-methylethyl) ether</t>
  </si>
  <si>
    <t xml:space="preserve">Removed CPFs and RfDi because they've been removed from EPA's regional screening levels </t>
  </si>
  <si>
    <t>Soil and ground water PCULs increased by factors ranging 2.7 to 508.  PCULs no longer available for air or soil gas.</t>
  </si>
  <si>
    <t>Surface water CULs for TCE</t>
  </si>
  <si>
    <t>Over-wrote calculated values with values from CLARC guidance.</t>
  </si>
  <si>
    <t>Surface water equation value increased by a factor of 4, but the PCUL didn't change because the ARAR is lower.</t>
  </si>
  <si>
    <t>GW</t>
  </si>
  <si>
    <t>Natural background for arsenic</t>
  </si>
  <si>
    <r>
      <t xml:space="preserve">Method A CUL replaced by the 90th percentile for the Puget Sound Basin in Ecology's (2013) draft </t>
    </r>
    <r>
      <rPr>
        <i/>
        <sz val="11"/>
        <color theme="1"/>
        <rFont val="Calibri"/>
        <family val="2"/>
        <scheme val="minor"/>
      </rPr>
      <t>Ambient Ground Water Arsenic Concentrations in Washington State.</t>
    </r>
  </si>
  <si>
    <t>Most stringent ground water PCULs increased from 5 ug/L to 8 ug/L.  Soil leaching PCULs increased accordingly.</t>
  </si>
  <si>
    <t>SL-Detail</t>
  </si>
  <si>
    <t>GRO and DRO</t>
  </si>
  <si>
    <t>Updated ecological indicator soil concentrations for protection of plants and soil biota from Ecology's (2017) Implementation Memo 17.</t>
  </si>
  <si>
    <t>Minimum TEE PCULs increased slightly.  The increased TEE PCUL for DRO is the most stringent soil PCUL.</t>
  </si>
  <si>
    <t>Added Method B and C noncancer air PCUL of 140 ug/m3 from Implementation Memo 18 (Ecology 2018).</t>
  </si>
  <si>
    <t>Air PCULs and soil gas PCULs are now available for GRO and DRO.</t>
  </si>
  <si>
    <t>The Method C cancer calculation had been using a hand-entered CPFi for exposures during adulthood only.  It was modified to use the CPFi for exposures from childhood to account for the possibility of a pregnant woman being exposed in the workplace.</t>
  </si>
  <si>
    <t>The Method C air PCUL for vinyl chloride decreased by a factor of 2.  The ground water and soil gas screening levels decreased accordingly.</t>
  </si>
  <si>
    <t>December 2017</t>
  </si>
  <si>
    <t>Re-named soil gas PCULs for vapor intrusion to SG-1 and SG-2 and re-labed them as screening levels rather than PCULs.  No changes to PCUL or screening level values.</t>
  </si>
  <si>
    <t>GW
GW-Detail-PW</t>
  </si>
  <si>
    <t>Re-labeled ground water PCUL for vapor intrusion to a screening level rather than a PCUL.  No changes to PCUL or screening level values.</t>
  </si>
  <si>
    <t>LDW COC for human consump seafood</t>
  </si>
  <si>
    <t>Changed entry for 4,4'-DDT from "no" to "YES" to be consistent with the entry for total DDT.</t>
  </si>
  <si>
    <t>Sediment PCUL for 4,4'-DDT now defaults to the PQL.</t>
  </si>
  <si>
    <t>Added oral RfDs for 4,4'-DDD and 4,4'-DDE based on the November 2017 regional screening level update.</t>
  </si>
  <si>
    <t>Noncancer PCULs now calculated for 4,4'-DDD and 4,4'-DDE.  The soil direct contact PCUL for 4,4'-DDD is driven by the new noncancer value.</t>
  </si>
  <si>
    <t>PQLs for total DDD, DDE, DDT</t>
  </si>
  <si>
    <t>Copied down PQLs from 4,4'- analytes for consistency.</t>
  </si>
  <si>
    <t>Sediment PCUL for total DDT now has a numerical value based on the PQL instead of the text message "PQL."</t>
  </si>
  <si>
    <t>October 2017</t>
  </si>
  <si>
    <t>Carcinogenic PAHs</t>
  </si>
  <si>
    <t>Updated the Koc values to be consistent with Table 2 of Implementation Memo 10 (2015).</t>
  </si>
  <si>
    <t>PCULs didn't change noticeably.</t>
  </si>
  <si>
    <t>Removed the CPFi value because Ecology decided not to treat ethylbenzene as a carcinogen.</t>
  </si>
  <si>
    <t>Air PCUL and VI screening levels increased because the cancer calculation was removed.</t>
  </si>
  <si>
    <t>SL-Detail
SL</t>
  </si>
  <si>
    <t>TEE screening levels</t>
  </si>
  <si>
    <t>Added site-specific TEE screening levels to the SL-Detail page and linked the minimum into the SL summary page instead of the simplified TEE screening levels, because the site-specific screening levels are more conservative.  Double-checked and corrected the simplified TEE screening levels on the SL-Detail page.</t>
  </si>
  <si>
    <t>Many TEE PCULs decreased.</t>
  </si>
  <si>
    <t>September 2017</t>
  </si>
  <si>
    <t xml:space="preserve">Changed INH value to 2.  </t>
  </si>
  <si>
    <t>No change to the drinking water PCUL because it's driven by the MCL.</t>
  </si>
  <si>
    <t xml:space="preserve">Hand-entered new Method B carcinogen equation values to account for early life stage exposures because cPAHs are mutagenic.  Method C carcinogen equation values weren't updated because they assume industrial land use where children aren't exposed.  </t>
  </si>
  <si>
    <t>Soil direct contact CULs decreased by a factor of 5.</t>
  </si>
  <si>
    <t xml:space="preserve">Hand-entered new Method B drinking water carcinogen equation values to account for early life stage exposures because cPAHs are mutagenic.  Method B carcinogen equation values for surface water weren't updated due to a lack of fish consumption rates for appropriate child age ranges.  </t>
  </si>
  <si>
    <t>No changes to drinking water PCULs because they're driven by the MCL.
Surface water PCULs wouldn't change even if the equation values were updated because they would be driven by the WQC.</t>
  </si>
  <si>
    <t>Air-Eq</t>
  </si>
  <si>
    <t xml:space="preserve">Hand-entered new Method B carcinogen equation values to account for early life stage exposures because cPAHs are mutagenic.   Method C carcinogen equation values weren't updated because they'll be used primarily at industrial sites where children aren't exposed.  </t>
  </si>
  <si>
    <t>No changes to air CULs, soil gas SLs, or ground water SLs for VI because they're driven by the noncancer values.</t>
  </si>
  <si>
    <t>Hand-entered an oral CPF of 0.75 per mg/kg-day in the Method C carcinogen equation to account for lack of childhood exposure at industrial sites.  Vinyl chloride is considered mutagenic.</t>
  </si>
  <si>
    <t>Soil direct contact CUL increased by a factor of 2.</t>
  </si>
  <si>
    <t>Hand-entered an inhalation CPF of 0.0155 per mg/kg-day in the Method C carcinogen equation to account for lack of childhood exposure at industrial sites.  Vinyl chloride is considered mutagenic.</t>
  </si>
  <si>
    <t>Air CUL increased by a factor of 2.</t>
  </si>
  <si>
    <t>August 2017</t>
  </si>
  <si>
    <t>Method C CUL (column J)</t>
  </si>
  <si>
    <t xml:space="preserve">Entered the Method A industrial land use CUL.  </t>
  </si>
  <si>
    <t>There is now a Method C direct contact CUL for lead.</t>
  </si>
  <si>
    <t>Eq.1(VI)</t>
  </si>
  <si>
    <t>Listed in Table B-1
Ecology (2009) VI Guidance?</t>
  </si>
  <si>
    <t xml:space="preserve">Added this new column and populated it according to Ecology's updated VI guidance.  Ground water PCULs to protect indoor air via vapor intrusion for both Method B (GW-4, Column G) and Method C (Column I) occur only when the answer in this new column is "Yes."  </t>
  </si>
  <si>
    <t>Decreased the number of chemicals for which PCUL GW-4 was calculated.</t>
  </si>
  <si>
    <t xml:space="preserve">Copied Koc and BCF from Total PCB Aroclors and Total PCB congeners.  </t>
  </si>
  <si>
    <t>Leaching PCULs now calculated for PCB TEQ.</t>
  </si>
  <si>
    <t>GW-Detail-SW</t>
  </si>
  <si>
    <t xml:space="preserve">Copied the ARARs from PCBs rather than dioxin/furan TEQ, per recommendation of Jim White.  </t>
  </si>
  <si>
    <t>No effect on ground water PCULs.</t>
  </si>
  <si>
    <t>July 2017</t>
  </si>
  <si>
    <t>SL
GW</t>
  </si>
  <si>
    <t xml:space="preserve">Added horizontal lines in "Basis" columns to aid in read-across.  </t>
  </si>
  <si>
    <t xml:space="preserve">Corrected typo in heading for Column M. </t>
  </si>
  <si>
    <t xml:space="preserve">Corrected typos in headings for Columns L and P. </t>
  </si>
  <si>
    <t>Chem Class</t>
  </si>
  <si>
    <t>Eliminated columns because it wasn't being used.</t>
  </si>
  <si>
    <t>Unhid Columns A (sort order), updated values,  corrected links, and corrected borders.</t>
  </si>
  <si>
    <t>Toxicity values</t>
  </si>
  <si>
    <t>The following chemicals and parameters were updated consistent with USEPA's revised Regional Screening Levels, June 2017.  
123-, 124-, and 135-Trimethylbenzene: RfDo and RfDi
Trichlorotrifluoroethane: RfDi
12-Dichloropropane: RfDo, CPFo, and CPFi</t>
  </si>
  <si>
    <t>Associated PCULs on multiple pages changed.</t>
  </si>
  <si>
    <t>June 2017</t>
  </si>
  <si>
    <t>Added BCF of 5,000 (from 2,3,7,8-TCDD).</t>
  </si>
  <si>
    <t>Surface water PCUL now calculated for dioxin/furan TEQ.</t>
  </si>
  <si>
    <t>40 CFR 131.45</t>
  </si>
  <si>
    <t xml:space="preserve">Changed name to Washington Toxics Rule per discussion with Water Quality Program.  </t>
  </si>
  <si>
    <t xml:space="preserve">In cases where EPA approved Washington's modified WQC for human health (Aug 2016), removed the (duplicate) values from the WA Toxics Rule column.  </t>
  </si>
  <si>
    <t>These values remain in the WA State column, so no PCULs changed.</t>
  </si>
  <si>
    <t>40 CFR 131.36</t>
  </si>
  <si>
    <t xml:space="preserve">Removed column because it's no longer applicable per discussion with Water Quality Program.  </t>
  </si>
  <si>
    <t>These values were present in other aquatic life columns, so no PCULs changed.</t>
  </si>
  <si>
    <t xml:space="preserve">Corrected oral carcinogenic potency factor from 1 to 1.5 per mg/kg-day.  </t>
  </si>
  <si>
    <t>All PCULs for arsenic changed.</t>
  </si>
  <si>
    <t>May 2017</t>
  </si>
  <si>
    <t xml:space="preserve">Hand-entered Method C cancer PCUL for soil contact from CLARC guidance.  Other soil PCULs were entered correctly from the guidance.  </t>
  </si>
  <si>
    <t>Method C direct contact soil PCULs for TCE changed.</t>
  </si>
  <si>
    <t xml:space="preserve">Hand-entered Method B and C, noncancer and cancer, PCULs for air from CLARC guidance.  PCULs were being calculated per default equation which is incorrect for TCE.  </t>
  </si>
  <si>
    <t>Method B and C air PCULs for TCE changed.</t>
  </si>
  <si>
    <t>April 2017</t>
  </si>
  <si>
    <t>Added to all pages</t>
  </si>
  <si>
    <t>Developed three separate versions of the PCUL workbook, PCUL-LDW for LDW sites, PCUL-Fresh for sites potentially impacting fresh surface water, and PCUL-Marine for sites potentially impacting marine surface water outside the LDW.</t>
  </si>
  <si>
    <t>Surface water PCUL increased from 10 to 78 ug/L.  Most stringent groundwater PCUL didn't change because it's driven by drinking water.</t>
  </si>
  <si>
    <t>SL-Eq, SedEq</t>
  </si>
  <si>
    <t>Endosulfan analytes</t>
  </si>
  <si>
    <t>Restructured workbook by creating five separate lines for alpha-endosulfan, beta-endosulfan, sum of alpha and beta endosulfan, endosulfan sulfate, and sum of alpha, beta, and endosulfan sulfate.  This accomodates differences in how ARARs are expressed and how the oral RfD was developed.  The PCULs are structured to be consistent with the CLARC notes on endosulfan.</t>
  </si>
  <si>
    <t>There are now five separate lines for endosulfan analytes.  Multiple PCULs changed as a result of this restructuring.</t>
  </si>
  <si>
    <t>PCULs didn't change because we were already using EPA's MCLs.</t>
  </si>
  <si>
    <t>Most stringent PCUL increased from 0.0013 to 0.0016 ug/L in PCUL-Fresh.</t>
  </si>
  <si>
    <t xml:space="preserve">For the PCUL-LDW workbook, updated body weights, exposure durations, and child fish consumption rates (used for mutagenic chemicals only) to be consistent with the LDW human health risk assessment.  Based on discussions with the Policy Unit, for the PCUL-Fresh and PCUL-Marine workbooks, used Suquamish Tribe exposure assumptions from SCUM Appendix K to represent sites south of Everett.  For sites in and north of Everett, Tulalip Tribe exposure assumptions may be substituted; these are available in the Fresh and Marine workbooks.  </t>
  </si>
  <si>
    <t>Because of the way surface water PCULs are developed (see Supplemental Information document for details), many surface water PCULs are not affected by changing fish consumption rates.  The PCULs for chromium VI increased by factors of 1.2 in PCUL-Fresh and 1.4 in PCUL-LDW and PCUL-Marine.  There were no other changes in PCUL-LDW.  PCULs for 12 chemicals in PCUL-Fresh and 21 chemicals in PCUL-Marine decreased.  The most significant decreases were by a factor of 0.2 for PCB TEQ, arsenic, thallium, and 1,4-dichlorobenzene in both PCUL-Fresh and PCUL-Marine; and beryllium, bis(2-chloro-1-methylethyl) ether, bromomethane, chloroform, and lindane in PCUL-Marine only.</t>
  </si>
  <si>
    <t>SW-MMA</t>
  </si>
  <si>
    <t>Updated the federal MCL to 10 ug/L.</t>
  </si>
  <si>
    <t>The drinking water PCUL for lead decreased from 15 to 10 ug/L.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</si>
</sst>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000"/>
    <numFmt numFmtId="165" formatCode="0.0E+00"/>
    <numFmt numFmtId="166" formatCode="0.0"/>
    <numFmt numFmtId="167" formatCode="#,##0.000"/>
    <numFmt numFmtId="168" formatCode="0.000"/>
    <numFmt numFmtId="169" formatCode="0E+00"/>
    <numFmt numFmtId="170" formatCode="#,##0.0"/>
    <numFmt numFmtId="171" formatCode="0.0%"/>
    <numFmt numFmtId="172" formatCode="0.00000"/>
    <numFmt numFmtId="173" formatCode="0.E+00"/>
  </numFmts>
  <fonts count="107" x14ac:knownFonts="1">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0"/>
      <color indexed="12"/>
      <name val="Arial"/>
      <family val="2"/>
    </font>
    <font>
      <sz val="10"/>
      <name val="Arial"/>
      <family val="2"/>
    </font>
    <font>
      <sz val="10"/>
      <color theme="1"/>
      <name val="Arial"/>
      <family val="2"/>
    </font>
    <font>
      <b/>
      <sz val="9"/>
      <color theme="1"/>
      <name val="Arial"/>
      <family val="2"/>
    </font>
    <font>
      <b/>
      <i/>
      <sz val="9"/>
      <color theme="1"/>
      <name val="Arial"/>
      <family val="2"/>
    </font>
    <font>
      <sz val="9"/>
      <name val="Arial"/>
      <family val="2"/>
    </font>
    <font>
      <b/>
      <sz val="9"/>
      <name val="Arial"/>
      <family val="2"/>
    </font>
    <font>
      <b/>
      <i/>
      <sz val="9"/>
      <name val="Arial"/>
      <family val="2"/>
    </font>
    <font>
      <i/>
      <sz val="9"/>
      <color theme="1"/>
      <name val="Arial"/>
      <family val="2"/>
    </font>
    <font>
      <sz val="10"/>
      <color indexed="8"/>
      <name val="Arial"/>
      <family val="2"/>
    </font>
    <font>
      <sz val="9"/>
      <color rgb="FFFF0000"/>
      <name val="Arial"/>
      <family val="2"/>
    </font>
    <font>
      <sz val="11"/>
      <color theme="1"/>
      <name val="Calibri"/>
      <family val="2"/>
      <scheme val="minor"/>
    </font>
    <font>
      <sz val="11"/>
      <color theme="1"/>
      <name val="Calibri"/>
      <family val="2"/>
    </font>
    <font>
      <sz val="10"/>
      <name val="Arial"/>
      <family val="2"/>
    </font>
    <font>
      <sz val="10"/>
      <color rgb="FFFF0000"/>
      <name val="Arial"/>
      <family val="2"/>
    </font>
    <font>
      <b/>
      <vertAlign val="superscript"/>
      <sz val="9"/>
      <name val="Arial"/>
      <family val="2"/>
    </font>
    <font>
      <vertAlign val="superscript"/>
      <sz val="9"/>
      <name val="Arial"/>
      <family val="2"/>
    </font>
    <font>
      <sz val="11"/>
      <color rgb="FF009242"/>
      <name val="Calibri"/>
      <family val="2"/>
      <scheme val="minor"/>
    </font>
    <font>
      <sz val="9"/>
      <color theme="1"/>
      <name val="Calibri"/>
      <family val="2"/>
      <scheme val="minor"/>
    </font>
    <font>
      <i/>
      <sz val="9"/>
      <color theme="1"/>
      <name val="Calibri"/>
      <family val="2"/>
      <scheme val="minor"/>
    </font>
    <font>
      <sz val="9"/>
      <name val="Calibri"/>
      <family val="2"/>
      <scheme val="minor"/>
    </font>
    <font>
      <i/>
      <sz val="9"/>
      <color rgb="FF7030A0"/>
      <name val="Arial"/>
      <family val="2"/>
    </font>
    <font>
      <i/>
      <sz val="11"/>
      <color rgb="FF7030A0"/>
      <name val="Calibri"/>
      <family val="2"/>
      <scheme val="minor"/>
    </font>
    <font>
      <vertAlign val="subscript"/>
      <sz val="9"/>
      <color theme="1"/>
      <name val="Arial"/>
      <family val="2"/>
    </font>
    <font>
      <b/>
      <sz val="9"/>
      <color rgb="FF0070C0"/>
      <name val="Arial"/>
      <family val="2"/>
    </font>
    <font>
      <b/>
      <i/>
      <sz val="9"/>
      <color theme="0" tint="-4.9989318521683403E-2"/>
      <name val="Arial"/>
      <family val="2"/>
    </font>
    <font>
      <b/>
      <sz val="9"/>
      <color theme="0" tint="-4.9989318521683403E-2"/>
      <name val="Arial"/>
      <family val="2"/>
    </font>
    <font>
      <sz val="11"/>
      <color rgb="FFFF0000"/>
      <name val="Calibri"/>
      <family val="2"/>
      <scheme val="minor"/>
    </font>
    <font>
      <u/>
      <sz val="11"/>
      <color theme="10"/>
      <name val="Calibri"/>
      <family val="2"/>
      <scheme val="minor"/>
    </font>
    <font>
      <b/>
      <sz val="9"/>
      <color rgb="FFFF0000"/>
      <name val="Arial"/>
      <family val="2"/>
    </font>
    <font>
      <vertAlign val="superscript"/>
      <sz val="9"/>
      <color theme="1"/>
      <name val="Arial"/>
      <family val="2"/>
    </font>
    <font>
      <sz val="9"/>
      <color theme="8" tint="-0.249977111117893"/>
      <name val="Calibri"/>
      <family val="2"/>
      <scheme val="minor"/>
    </font>
    <font>
      <sz val="9"/>
      <color theme="0" tint="-4.9989318521683403E-2"/>
      <name val="Arial"/>
      <family val="2"/>
    </font>
    <font>
      <b/>
      <sz val="11"/>
      <color theme="1"/>
      <name val="Arial"/>
      <family val="2"/>
    </font>
    <font>
      <b/>
      <i/>
      <sz val="4"/>
      <color theme="0" tint="-4.9989318521683403E-2"/>
      <name val="Arial"/>
      <family val="2"/>
    </font>
    <font>
      <b/>
      <sz val="11"/>
      <name val="Arial"/>
      <family val="2"/>
    </font>
    <font>
      <b/>
      <sz val="8"/>
      <color theme="3" tint="0.39997558519241921"/>
      <name val="Arial"/>
      <family val="2"/>
    </font>
    <font>
      <b/>
      <vertAlign val="subscript"/>
      <sz val="9"/>
      <name val="Arial"/>
      <family val="2"/>
    </font>
    <font>
      <b/>
      <sz val="9"/>
      <color theme="3" tint="0.39997558519241921"/>
      <name val="Arial"/>
      <family val="2"/>
    </font>
    <font>
      <b/>
      <sz val="9"/>
      <color rgb="FF538DD5"/>
      <name val="Arial"/>
      <family val="2"/>
    </font>
    <font>
      <b/>
      <sz val="11"/>
      <color rgb="FFFF0000"/>
      <name val="Arial"/>
      <family val="2"/>
    </font>
    <font>
      <sz val="9"/>
      <color indexed="81"/>
      <name val="Tahoma"/>
      <family val="2"/>
    </font>
    <font>
      <b/>
      <sz val="9"/>
      <color indexed="81"/>
      <name val="Tahoma"/>
      <family val="2"/>
    </font>
    <font>
      <b/>
      <sz val="9"/>
      <color theme="1"/>
      <name val="Calibri"/>
      <family val="2"/>
      <scheme val="minor"/>
    </font>
    <font>
      <b/>
      <sz val="10"/>
      <name val="Symbol"/>
      <family val="1"/>
      <charset val="2"/>
    </font>
    <font>
      <b/>
      <sz val="8"/>
      <color theme="1"/>
      <name val="Arial"/>
      <family val="2"/>
    </font>
    <font>
      <b/>
      <sz val="8"/>
      <name val="Arial"/>
      <family val="2"/>
    </font>
    <font>
      <sz val="11"/>
      <name val="Calibri"/>
      <family val="2"/>
      <scheme val="minor"/>
    </font>
    <font>
      <b/>
      <sz val="8"/>
      <color theme="1"/>
      <name val="Calibri"/>
      <family val="2"/>
    </font>
    <font>
      <b/>
      <sz val="9"/>
      <color theme="4"/>
      <name val="Arial"/>
      <family val="2"/>
    </font>
    <font>
      <sz val="10"/>
      <color theme="1"/>
      <name val="Symbol"/>
      <family val="1"/>
      <charset val="2"/>
    </font>
    <font>
      <sz val="9"/>
      <color theme="1"/>
      <name val="Symbol"/>
      <family val="1"/>
      <charset val="2"/>
    </font>
    <font>
      <b/>
      <sz val="10"/>
      <name val="Arial"/>
      <family val="2"/>
    </font>
    <font>
      <b/>
      <i/>
      <sz val="10"/>
      <name val="Arial"/>
      <family val="2"/>
    </font>
    <font>
      <sz val="9"/>
      <color rgb="FF009242"/>
      <name val="Arial"/>
      <family val="2"/>
    </font>
    <font>
      <sz val="11"/>
      <color theme="1"/>
      <name val="Arial"/>
      <family val="2"/>
    </font>
    <font>
      <b/>
      <sz val="10"/>
      <color theme="3" tint="0.39997558519241921"/>
      <name val="Arial"/>
      <family val="2"/>
    </font>
    <font>
      <b/>
      <vertAlign val="superscript"/>
      <sz val="10"/>
      <name val="Arial"/>
      <family val="2"/>
    </font>
    <font>
      <b/>
      <sz val="10"/>
      <color theme="1"/>
      <name val="Calibri"/>
      <family val="2"/>
      <scheme val="minor"/>
    </font>
    <font>
      <sz val="8"/>
      <color theme="1"/>
      <name val="Arial"/>
      <family val="2"/>
    </font>
    <font>
      <sz val="8"/>
      <name val="Arial"/>
      <family val="2"/>
    </font>
    <font>
      <b/>
      <i/>
      <sz val="9"/>
      <color rgb="FFFF0000"/>
      <name val="Arial"/>
      <family val="2"/>
    </font>
    <font>
      <b/>
      <i/>
      <sz val="11"/>
      <color theme="1"/>
      <name val="Calibri"/>
      <family val="2"/>
      <scheme val="minor"/>
    </font>
    <font>
      <b/>
      <sz val="9"/>
      <color rgb="FF00B050"/>
      <name val="Arial"/>
      <family val="2"/>
    </font>
    <font>
      <sz val="8"/>
      <name val="Calibri"/>
      <family val="2"/>
      <scheme val="minor"/>
    </font>
    <font>
      <sz val="11"/>
      <name val="Arial"/>
      <family val="2"/>
    </font>
    <font>
      <b/>
      <i/>
      <sz val="9"/>
      <color theme="0" tint="-0.14999847407452621"/>
      <name val="Arial"/>
      <family val="2"/>
    </font>
    <font>
      <b/>
      <sz val="9"/>
      <color theme="0" tint="-0.14999847407452621"/>
      <name val="Arial"/>
      <family val="2"/>
    </font>
    <font>
      <sz val="11"/>
      <color theme="0" tint="-4.9989318521683403E-2"/>
      <name val="Calibri"/>
      <family val="2"/>
      <scheme val="minor"/>
    </font>
    <font>
      <b/>
      <sz val="10"/>
      <color theme="4" tint="-0.499984740745262"/>
      <name val="Arial"/>
      <family val="2"/>
    </font>
    <font>
      <b/>
      <sz val="10"/>
      <color rgb="FF00B050"/>
      <name val="Arial"/>
      <family val="2"/>
    </font>
    <font>
      <b/>
      <sz val="10"/>
      <color theme="1"/>
      <name val="Arial"/>
      <family val="2"/>
    </font>
    <font>
      <b/>
      <sz val="10"/>
      <color theme="4" tint="-0.249977111117893"/>
      <name val="Arial"/>
      <family val="2"/>
    </font>
    <font>
      <sz val="10"/>
      <color rgb="FF00B050"/>
      <name val="Arial"/>
      <family val="2"/>
    </font>
    <font>
      <sz val="10"/>
      <color theme="4" tint="-0.499984740745262"/>
      <name val="Arial"/>
      <family val="2"/>
    </font>
    <font>
      <b/>
      <sz val="11"/>
      <color theme="1"/>
      <name val="Calibri"/>
      <family val="2"/>
      <scheme val="minor"/>
    </font>
    <font>
      <b/>
      <sz val="14"/>
      <color theme="1"/>
      <name val="Calibri"/>
      <family val="2"/>
      <scheme val="minor"/>
    </font>
    <font>
      <b/>
      <sz val="11"/>
      <color rgb="FFFF0000"/>
      <name val="Calibri"/>
      <family val="2"/>
      <scheme val="minor"/>
    </font>
    <font>
      <i/>
      <sz val="11"/>
      <color theme="1"/>
      <name val="Calibri"/>
      <family val="2"/>
      <scheme val="minor"/>
    </font>
    <font>
      <sz val="11"/>
      <color theme="1"/>
      <name val="Symbol"/>
      <family val="1"/>
      <charset val="2"/>
    </font>
  </fonts>
  <fills count="2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CCCC"/>
        <bgColor indexed="64"/>
      </patternFill>
    </fill>
    <fill>
      <patternFill patternType="solid">
        <fgColor rgb="FFFFFF9F"/>
        <bgColor indexed="64"/>
      </patternFill>
    </fill>
    <fill>
      <patternFill patternType="solid">
        <fgColor rgb="FFFFFF00"/>
        <bgColor indexed="64"/>
      </patternFill>
    </fill>
    <fill>
      <patternFill patternType="solid">
        <fgColor theme="3" tint="0.89999084444715716"/>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8" tint="0.79998168889431442"/>
        <bgColor indexed="64"/>
      </patternFill>
    </fill>
  </fills>
  <borders count="121">
    <border>
      <left/>
      <right/>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auto="1"/>
      </left>
      <right style="thin">
        <color auto="1"/>
      </right>
      <top style="hair">
        <color auto="1"/>
      </top>
      <bottom style="thin">
        <color indexed="64"/>
      </bottom>
      <diagonal/>
    </border>
    <border>
      <left style="thin">
        <color auto="1"/>
      </left>
      <right style="thin">
        <color auto="1"/>
      </right>
      <top style="hair">
        <color auto="1"/>
      </top>
      <bottom style="thin">
        <color indexed="64"/>
      </bottom>
      <diagonal/>
    </border>
    <border>
      <left style="thin">
        <color auto="1"/>
      </left>
      <right style="thin">
        <color auto="1"/>
      </right>
      <top/>
      <bottom style="hair">
        <color auto="1"/>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diagonal/>
    </border>
    <border>
      <left style="thin">
        <color auto="1"/>
      </left>
      <right style="thin">
        <color auto="1"/>
      </right>
      <top style="hair">
        <color auto="1"/>
      </top>
      <bottom/>
      <diagonal/>
    </border>
    <border>
      <left style="double">
        <color auto="1"/>
      </left>
      <right style="thin">
        <color indexed="64"/>
      </right>
      <top style="hair">
        <color indexed="64"/>
      </top>
      <bottom style="double">
        <color auto="1"/>
      </bottom>
      <diagonal/>
    </border>
    <border>
      <left style="thin">
        <color indexed="64"/>
      </left>
      <right style="thin">
        <color indexed="64"/>
      </right>
      <top style="hair">
        <color indexed="64"/>
      </top>
      <bottom style="double">
        <color indexed="64"/>
      </bottom>
      <diagonal/>
    </border>
    <border>
      <left style="thin">
        <color auto="1"/>
      </left>
      <right style="thin">
        <color auto="1"/>
      </right>
      <top/>
      <bottom style="thin">
        <color indexed="64"/>
      </bottom>
      <diagonal/>
    </border>
    <border>
      <left/>
      <right style="thin">
        <color auto="1"/>
      </right>
      <top style="hair">
        <color auto="1"/>
      </top>
      <bottom style="thin">
        <color indexed="64"/>
      </bottom>
      <diagonal/>
    </border>
    <border>
      <left/>
      <right style="thin">
        <color auto="1"/>
      </right>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right style="thin">
        <color indexed="64"/>
      </right>
      <top style="hair">
        <color indexed="64"/>
      </top>
      <bottom style="double">
        <color auto="1"/>
      </bottom>
      <diagonal/>
    </border>
    <border>
      <left style="thin">
        <color auto="1"/>
      </left>
      <right style="double">
        <color auto="1"/>
      </right>
      <top style="hair">
        <color auto="1"/>
      </top>
      <bottom style="hair">
        <color auto="1"/>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style="hair">
        <color indexed="64"/>
      </top>
      <bottom style="double">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indexed="64"/>
      </top>
      <bottom style="thin">
        <color auto="1"/>
      </bottom>
      <diagonal/>
    </border>
    <border>
      <left/>
      <right/>
      <top/>
      <bottom style="thin">
        <color auto="1"/>
      </bottom>
      <diagonal/>
    </border>
    <border>
      <left style="thin">
        <color auto="1"/>
      </left>
      <right style="double">
        <color auto="1"/>
      </right>
      <top/>
      <bottom style="double">
        <color auto="1"/>
      </bottom>
      <diagonal/>
    </border>
    <border>
      <left style="thin">
        <color auto="1"/>
      </left>
      <right/>
      <top/>
      <bottom style="hair">
        <color auto="1"/>
      </bottom>
      <diagonal/>
    </border>
    <border>
      <left style="thin">
        <color indexed="64"/>
      </left>
      <right/>
      <top style="hair">
        <color indexed="64"/>
      </top>
      <bottom style="double">
        <color indexed="64"/>
      </bottom>
      <diagonal/>
    </border>
    <border>
      <left style="thin">
        <color auto="1"/>
      </left>
      <right/>
      <top style="hair">
        <color auto="1"/>
      </top>
      <bottom style="hair">
        <color auto="1"/>
      </bottom>
      <diagonal/>
    </border>
    <border>
      <left style="thin">
        <color auto="1"/>
      </left>
      <right/>
      <top style="hair">
        <color auto="1"/>
      </top>
      <bottom/>
      <diagonal/>
    </border>
    <border>
      <left/>
      <right style="double">
        <color auto="1"/>
      </right>
      <top/>
      <bottom style="hair">
        <color auto="1"/>
      </bottom>
      <diagonal/>
    </border>
    <border>
      <left/>
      <right style="double">
        <color auto="1"/>
      </right>
      <top style="hair">
        <color auto="1"/>
      </top>
      <bottom style="hair">
        <color auto="1"/>
      </bottom>
      <diagonal/>
    </border>
    <border>
      <left/>
      <right style="double">
        <color auto="1"/>
      </right>
      <top style="hair">
        <color auto="1"/>
      </top>
      <bottom/>
      <diagonal/>
    </border>
    <border>
      <left style="thin">
        <color indexed="64"/>
      </left>
      <right/>
      <top style="thin">
        <color indexed="64"/>
      </top>
      <bottom style="thin">
        <color auto="1"/>
      </bottom>
      <diagonal/>
    </border>
    <border>
      <left/>
      <right/>
      <top style="double">
        <color auto="1"/>
      </top>
      <bottom/>
      <diagonal/>
    </border>
    <border>
      <left/>
      <right/>
      <top style="hair">
        <color indexed="64"/>
      </top>
      <bottom style="thin">
        <color auto="1"/>
      </bottom>
      <diagonal/>
    </border>
    <border>
      <left style="thin">
        <color indexed="64"/>
      </left>
      <right/>
      <top style="hair">
        <color indexed="64"/>
      </top>
      <bottom style="thin">
        <color auto="1"/>
      </bottom>
      <diagonal/>
    </border>
    <border>
      <left style="double">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double">
        <color indexed="64"/>
      </right>
      <top style="hair">
        <color auto="1"/>
      </top>
      <bottom style="thin">
        <color auto="1"/>
      </bottom>
      <diagonal/>
    </border>
    <border>
      <left style="thin">
        <color auto="1"/>
      </left>
      <right style="double">
        <color indexed="64"/>
      </right>
      <top style="hair">
        <color auto="1"/>
      </top>
      <bottom style="double">
        <color indexed="64"/>
      </bottom>
      <diagonal/>
    </border>
    <border>
      <left style="thin">
        <color auto="1"/>
      </left>
      <right style="double">
        <color auto="1"/>
      </right>
      <top style="hair">
        <color auto="1"/>
      </top>
      <bottom/>
      <diagonal/>
    </border>
    <border>
      <left style="thin">
        <color auto="1"/>
      </left>
      <right style="double">
        <color auto="1"/>
      </right>
      <top/>
      <bottom style="hair">
        <color auto="1"/>
      </bottom>
      <diagonal/>
    </border>
    <border>
      <left/>
      <right style="thin">
        <color indexed="64"/>
      </right>
      <top style="thin">
        <color indexed="64"/>
      </top>
      <bottom style="hair">
        <color indexed="64"/>
      </bottom>
      <diagonal/>
    </border>
    <border>
      <left style="thin">
        <color indexed="64"/>
      </left>
      <right style="double">
        <color indexed="64"/>
      </right>
      <top/>
      <bottom/>
      <diagonal/>
    </border>
    <border>
      <left/>
      <right style="double">
        <color indexed="64"/>
      </right>
      <top style="double">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style="double">
        <color indexed="64"/>
      </left>
      <right/>
      <top/>
      <bottom style="thin">
        <color indexed="64"/>
      </bottom>
      <diagonal/>
    </border>
    <border>
      <left style="double">
        <color auto="1"/>
      </left>
      <right style="thin">
        <color auto="1"/>
      </right>
      <top/>
      <bottom style="double">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diagonal/>
    </border>
    <border>
      <left style="thin">
        <color indexed="64"/>
      </left>
      <right style="thin">
        <color indexed="64"/>
      </right>
      <top/>
      <bottom style="thin">
        <color theme="0" tint="-0.24994659260841701"/>
      </bottom>
      <diagonal/>
    </border>
    <border>
      <left style="thin">
        <color indexed="64"/>
      </left>
      <right style="double">
        <color indexed="64"/>
      </right>
      <top style="double">
        <color auto="1"/>
      </top>
      <bottom style="double">
        <color indexed="64"/>
      </bottom>
      <diagonal/>
    </border>
    <border>
      <left style="thin">
        <color indexed="64"/>
      </left>
      <right style="thin">
        <color indexed="64"/>
      </right>
      <top style="double">
        <color auto="1"/>
      </top>
      <bottom style="double">
        <color indexed="64"/>
      </bottom>
      <diagonal/>
    </border>
    <border>
      <left style="double">
        <color indexed="64"/>
      </left>
      <right style="thin">
        <color indexed="64"/>
      </right>
      <top style="double">
        <color auto="1"/>
      </top>
      <bottom style="double">
        <color indexed="64"/>
      </bottom>
      <diagonal/>
    </border>
    <border>
      <left style="double">
        <color auto="1"/>
      </left>
      <right/>
      <top/>
      <bottom style="hair">
        <color auto="1"/>
      </bottom>
      <diagonal/>
    </border>
    <border>
      <left style="double">
        <color auto="1"/>
      </left>
      <right/>
      <top style="hair">
        <color auto="1"/>
      </top>
      <bottom style="hair">
        <color auto="1"/>
      </bottom>
      <diagonal/>
    </border>
    <border>
      <left style="double">
        <color auto="1"/>
      </left>
      <right/>
      <top style="hair">
        <color auto="1"/>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auto="1"/>
      </left>
      <right style="thin">
        <color auto="1"/>
      </right>
      <top style="thin">
        <color auto="1"/>
      </top>
      <bottom/>
      <diagonal/>
    </border>
    <border>
      <left style="thin">
        <color auto="1"/>
      </left>
      <right/>
      <top/>
      <bottom style="double">
        <color auto="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auto="1"/>
      </right>
      <top style="double">
        <color auto="1"/>
      </top>
      <bottom style="double">
        <color auto="1"/>
      </bottom>
      <diagonal/>
    </border>
    <border>
      <left/>
      <right/>
      <top style="double">
        <color auto="1"/>
      </top>
      <bottom style="double">
        <color auto="1"/>
      </bottom>
      <diagonal/>
    </border>
    <border>
      <left style="thin">
        <color auto="1"/>
      </left>
      <right/>
      <top style="double">
        <color auto="1"/>
      </top>
      <bottom style="double">
        <color auto="1"/>
      </bottom>
      <diagonal/>
    </border>
    <border>
      <left style="thin">
        <color indexed="64"/>
      </left>
      <right/>
      <top/>
      <bottom style="thin">
        <color auto="1"/>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auto="1"/>
      </left>
      <right style="double">
        <color auto="1"/>
      </right>
      <top style="double">
        <color auto="1"/>
      </top>
      <bottom style="thin">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thin">
        <color auto="1"/>
      </top>
      <bottom/>
      <diagonal/>
    </border>
    <border>
      <left style="double">
        <color auto="1"/>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thin">
        <color indexed="64"/>
      </top>
      <bottom style="thin">
        <color indexed="64"/>
      </bottom>
      <diagonal/>
    </border>
    <border>
      <left style="thin">
        <color auto="1"/>
      </left>
      <right style="double">
        <color indexed="64"/>
      </right>
      <top/>
      <bottom style="thin">
        <color auto="1"/>
      </bottom>
      <diagonal/>
    </border>
    <border>
      <left/>
      <right style="thin">
        <color auto="1"/>
      </right>
      <top/>
      <bottom style="thin">
        <color indexed="64"/>
      </bottom>
      <diagonal/>
    </border>
    <border>
      <left style="double">
        <color indexed="64"/>
      </left>
      <right style="thin">
        <color indexed="64"/>
      </right>
      <top/>
      <bottom style="thin">
        <color indexed="64"/>
      </bottom>
      <diagonal/>
    </border>
    <border>
      <left style="thin">
        <color indexed="64"/>
      </left>
      <right/>
      <top style="thin">
        <color auto="1"/>
      </top>
      <bottom/>
      <diagonal/>
    </border>
    <border>
      <left style="double">
        <color indexed="64"/>
      </left>
      <right/>
      <top style="hair">
        <color indexed="64"/>
      </top>
      <bottom style="thin">
        <color indexed="64"/>
      </bottom>
      <diagonal/>
    </border>
    <border>
      <left style="double">
        <color auto="1"/>
      </left>
      <right style="double">
        <color indexed="64"/>
      </right>
      <top/>
      <bottom style="thin">
        <color indexed="64"/>
      </bottom>
      <diagonal/>
    </border>
    <border>
      <left style="thin">
        <color indexed="64"/>
      </left>
      <right style="double">
        <color indexed="64"/>
      </right>
      <top style="thin">
        <color auto="1"/>
      </top>
      <bottom/>
      <diagonal/>
    </border>
    <border>
      <left style="double">
        <color indexed="64"/>
      </left>
      <right style="double">
        <color indexed="64"/>
      </right>
      <top style="thin">
        <color indexed="64"/>
      </top>
      <bottom/>
      <diagonal/>
    </border>
    <border>
      <left style="double">
        <color auto="1"/>
      </left>
      <right style="thin">
        <color auto="1"/>
      </right>
      <top style="thin">
        <color indexed="64"/>
      </top>
      <bottom style="thin">
        <color auto="1"/>
      </bottom>
      <diagonal/>
    </border>
    <border>
      <left style="double">
        <color auto="1"/>
      </left>
      <right style="thin">
        <color auto="1"/>
      </right>
      <top/>
      <bottom style="hair">
        <color auto="1"/>
      </bottom>
      <diagonal/>
    </border>
    <border>
      <left style="thin">
        <color auto="1"/>
      </left>
      <right/>
      <top style="double">
        <color indexed="64"/>
      </top>
      <bottom style="hair">
        <color auto="1"/>
      </bottom>
      <diagonal/>
    </border>
    <border>
      <left/>
      <right/>
      <top style="double">
        <color indexed="64"/>
      </top>
      <bottom style="hair">
        <color indexed="64"/>
      </bottom>
      <diagonal/>
    </border>
    <border>
      <left style="thin">
        <color auto="1"/>
      </left>
      <right style="double">
        <color auto="1"/>
      </right>
      <top style="thin">
        <color auto="1"/>
      </top>
      <bottom style="thin">
        <color auto="1"/>
      </bottom>
      <diagonal/>
    </border>
    <border>
      <left/>
      <right style="double">
        <color indexed="64"/>
      </right>
      <top style="double">
        <color indexed="64"/>
      </top>
      <bottom/>
      <diagonal/>
    </border>
    <border>
      <left style="double">
        <color auto="1"/>
      </left>
      <right/>
      <top style="double">
        <color auto="1"/>
      </top>
      <bottom/>
      <diagonal/>
    </border>
    <border>
      <left style="double">
        <color indexed="64"/>
      </left>
      <right style="thin">
        <color auto="1"/>
      </right>
      <top style="thin">
        <color auto="1"/>
      </top>
      <bottom/>
      <diagonal/>
    </border>
    <border>
      <left/>
      <right style="double">
        <color auto="1"/>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auto="1"/>
      </left>
      <right style="double">
        <color indexed="64"/>
      </right>
      <top style="thin">
        <color auto="1"/>
      </top>
      <bottom style="double">
        <color auto="1"/>
      </bottom>
      <diagonal/>
    </border>
  </borders>
  <cellStyleXfs count="28937">
    <xf numFmtId="0" fontId="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6" fillId="0" borderId="0"/>
    <xf numFmtId="0" fontId="36" fillId="0" borderId="0"/>
    <xf numFmtId="0" fontId="28" fillId="0" borderId="0"/>
    <xf numFmtId="0" fontId="38" fillId="0" borderId="0"/>
    <xf numFmtId="0" fontId="28" fillId="0" borderId="0"/>
    <xf numFmtId="0" fontId="38" fillId="0" borderId="0"/>
    <xf numFmtId="0" fontId="29" fillId="0" borderId="0"/>
    <xf numFmtId="0" fontId="38" fillId="0" borderId="0"/>
    <xf numFmtId="0" fontId="38" fillId="0" borderId="0"/>
    <xf numFmtId="0" fontId="38" fillId="0" borderId="0"/>
    <xf numFmtId="0" fontId="39" fillId="0" borderId="0"/>
    <xf numFmtId="0" fontId="40" fillId="0" borderId="0"/>
    <xf numFmtId="0" fontId="38" fillId="0" borderId="0"/>
    <xf numFmtId="9" fontId="28" fillId="0" borderId="0" applyFont="0" applyFill="0" applyBorder="0" applyAlignment="0" applyProtection="0"/>
    <xf numFmtId="0" fontId="28" fillId="0" borderId="0"/>
    <xf numFmtId="43" fontId="38" fillId="0" borderId="0" applyFont="0" applyFill="0" applyBorder="0" applyAlignment="0" applyProtection="0"/>
    <xf numFmtId="0" fontId="23" fillId="0" borderId="0"/>
    <xf numFmtId="0" fontId="38" fillId="0" borderId="0"/>
    <xf numFmtId="0" fontId="23" fillId="0" borderId="0"/>
    <xf numFmtId="0" fontId="55" fillId="0" borderId="0" applyNumberFormat="0" applyFill="0" applyBorder="0" applyAlignment="0" applyProtection="0"/>
    <xf numFmtId="0" fontId="11" fillId="0" borderId="0"/>
    <xf numFmtId="0" fontId="11" fillId="0" borderId="0"/>
  </cellStyleXfs>
  <cellXfs count="2683">
    <xf numFmtId="0" fontId="0" fillId="0" borderId="0" xfId="0"/>
    <xf numFmtId="0" fontId="32" fillId="0" borderId="21" xfId="28915" applyFont="1" applyBorder="1" applyAlignment="1">
      <alignment horizontal="center" vertical="center" wrapText="1"/>
    </xf>
    <xf numFmtId="0" fontId="45" fillId="0" borderId="0" xfId="0" applyFont="1"/>
    <xf numFmtId="0" fontId="46" fillId="0" borderId="0" xfId="0" applyFont="1"/>
    <xf numFmtId="0" fontId="45" fillId="0" borderId="0" xfId="0" applyFont="1" applyAlignment="1">
      <alignment horizontal="center" vertical="center"/>
    </xf>
    <xf numFmtId="0" fontId="25" fillId="0" borderId="0" xfId="0" applyFont="1" applyAlignment="1">
      <alignment horizontal="center" vertical="center"/>
    </xf>
    <xf numFmtId="0" fontId="45" fillId="0" borderId="0" xfId="0" applyFont="1" applyAlignment="1">
      <alignment horizontal="left"/>
    </xf>
    <xf numFmtId="0" fontId="47" fillId="0" borderId="0" xfId="0" applyFont="1"/>
    <xf numFmtId="0" fontId="30" fillId="0" borderId="0" xfId="0" applyFont="1"/>
    <xf numFmtId="0" fontId="24" fillId="0" borderId="0" xfId="0" applyFont="1"/>
    <xf numFmtId="11" fontId="32" fillId="0" borderId="0" xfId="28255" applyNumberFormat="1" applyFont="1" applyAlignment="1">
      <alignment horizontal="center" vertical="center"/>
    </xf>
    <xf numFmtId="11" fontId="0" fillId="0" borderId="0" xfId="0" applyNumberFormat="1" applyAlignment="1">
      <alignment horizontal="center" vertical="center"/>
    </xf>
    <xf numFmtId="0" fontId="24" fillId="0" borderId="0" xfId="0" applyFont="1" applyAlignment="1">
      <alignment horizontal="right"/>
    </xf>
    <xf numFmtId="0" fontId="24" fillId="0" borderId="0" xfId="0" applyFont="1" applyAlignment="1">
      <alignment wrapText="1"/>
    </xf>
    <xf numFmtId="0" fontId="24" fillId="0" borderId="0" xfId="0" applyFont="1" applyAlignment="1">
      <alignment horizontal="left" wrapText="1"/>
    </xf>
    <xf numFmtId="0" fontId="24" fillId="0" borderId="0" xfId="0" applyFont="1" applyAlignment="1">
      <alignment vertical="center"/>
    </xf>
    <xf numFmtId="0" fontId="24" fillId="0" borderId="0" xfId="0" quotePrefix="1" applyFont="1" applyAlignment="1">
      <alignment wrapText="1"/>
    </xf>
    <xf numFmtId="11" fontId="24" fillId="0" borderId="13" xfId="0" applyNumberFormat="1" applyFont="1" applyBorder="1" applyAlignment="1">
      <alignment horizontal="center" vertical="center"/>
    </xf>
    <xf numFmtId="0" fontId="23" fillId="0" borderId="0" xfId="0" quotePrefix="1" applyFont="1" applyAlignment="1">
      <alignment horizontal="right"/>
    </xf>
    <xf numFmtId="0" fontId="23" fillId="0" borderId="0" xfId="0" applyFont="1" applyAlignment="1">
      <alignment vertical="center"/>
    </xf>
    <xf numFmtId="0" fontId="23" fillId="0" borderId="0" xfId="0" applyFont="1"/>
    <xf numFmtId="0" fontId="32" fillId="0" borderId="22" xfId="28255" applyFont="1" applyBorder="1" applyAlignment="1">
      <alignment horizontal="center" vertical="center"/>
    </xf>
    <xf numFmtId="0" fontId="32" fillId="0" borderId="20" xfId="28915" applyFont="1" applyBorder="1" applyAlignment="1">
      <alignment horizontal="center" vertical="center"/>
    </xf>
    <xf numFmtId="0" fontId="32" fillId="0" borderId="20" xfId="28915" applyFont="1" applyBorder="1" applyAlignment="1">
      <alignment horizontal="center" vertical="center" wrapText="1"/>
    </xf>
    <xf numFmtId="0" fontId="32" fillId="0" borderId="21" xfId="28915" applyFont="1" applyBorder="1" applyAlignment="1">
      <alignment horizontal="center" vertical="center"/>
    </xf>
    <xf numFmtId="0" fontId="32" fillId="0" borderId="22" xfId="28915" applyFont="1" applyBorder="1" applyAlignment="1">
      <alignment horizontal="center" vertical="center" wrapText="1"/>
    </xf>
    <xf numFmtId="0" fontId="34" fillId="2" borderId="36" xfId="28255" applyFont="1" applyFill="1" applyBorder="1" applyAlignment="1">
      <alignment vertical="center"/>
    </xf>
    <xf numFmtId="11" fontId="32" fillId="0" borderId="21" xfId="28916" applyNumberFormat="1" applyFont="1" applyBorder="1" applyAlignment="1">
      <alignment horizontal="center" vertical="center" wrapText="1"/>
    </xf>
    <xf numFmtId="0" fontId="52" fillId="2" borderId="30" xfId="28255" applyFont="1" applyFill="1" applyBorder="1" applyAlignment="1">
      <alignment horizontal="center" vertical="center"/>
    </xf>
    <xf numFmtId="0" fontId="53" fillId="2" borderId="30" xfId="28255" applyFont="1" applyFill="1" applyBorder="1" applyAlignment="1">
      <alignment horizontal="center" vertical="center"/>
    </xf>
    <xf numFmtId="11" fontId="0" fillId="0" borderId="0" xfId="0" applyNumberFormat="1" applyAlignment="1">
      <alignment horizontal="center"/>
    </xf>
    <xf numFmtId="11" fontId="52" fillId="2" borderId="30" xfId="0" applyNumberFormat="1" applyFont="1" applyFill="1" applyBorder="1" applyAlignment="1">
      <alignment horizontal="center" vertical="center"/>
    </xf>
    <xf numFmtId="11" fontId="0" fillId="0" borderId="0" xfId="0" applyNumberFormat="1"/>
    <xf numFmtId="0" fontId="19" fillId="0" borderId="0" xfId="0" quotePrefix="1" applyFont="1" applyAlignment="1">
      <alignment horizontal="right"/>
    </xf>
    <xf numFmtId="11" fontId="33" fillId="2" borderId="30" xfId="28255" applyNumberFormat="1" applyFont="1" applyFill="1" applyBorder="1" applyAlignment="1">
      <alignment horizontal="center" vertical="center"/>
    </xf>
    <xf numFmtId="0" fontId="15" fillId="0" borderId="0" xfId="0" applyFont="1" applyAlignment="1">
      <alignment horizontal="left"/>
    </xf>
    <xf numFmtId="0" fontId="37" fillId="0" borderId="0" xfId="0" applyFont="1"/>
    <xf numFmtId="0" fontId="14" fillId="0" borderId="0" xfId="0" applyFont="1"/>
    <xf numFmtId="11" fontId="32" fillId="0" borderId="11" xfId="28915" applyNumberFormat="1" applyFont="1" applyBorder="1" applyAlignment="1">
      <alignment horizontal="center" vertical="center" wrapText="1"/>
    </xf>
    <xf numFmtId="11" fontId="24" fillId="0" borderId="0" xfId="0" applyNumberFormat="1" applyFont="1"/>
    <xf numFmtId="0" fontId="13" fillId="0" borderId="0" xfId="0" applyFont="1" applyAlignment="1">
      <alignment horizontal="right"/>
    </xf>
    <xf numFmtId="0" fontId="31" fillId="0" borderId="0" xfId="0" applyFont="1"/>
    <xf numFmtId="165" fontId="0" fillId="0" borderId="0" xfId="0" applyNumberFormat="1"/>
    <xf numFmtId="165" fontId="53" fillId="2" borderId="30" xfId="28255" applyNumberFormat="1" applyFont="1" applyFill="1" applyBorder="1" applyAlignment="1">
      <alignment horizontal="center" vertical="center"/>
    </xf>
    <xf numFmtId="11" fontId="59" fillId="2" borderId="30" xfId="0" applyNumberFormat="1" applyFont="1" applyFill="1" applyBorder="1" applyAlignment="1">
      <alignment horizontal="center"/>
    </xf>
    <xf numFmtId="11" fontId="32" fillId="0" borderId="21" xfId="28915" applyNumberFormat="1" applyFont="1" applyBorder="1" applyAlignment="1">
      <alignment horizontal="center" vertical="center" wrapText="1"/>
    </xf>
    <xf numFmtId="11" fontId="32" fillId="0" borderId="20" xfId="28915" applyNumberFormat="1" applyFont="1" applyBorder="1" applyAlignment="1">
      <alignment horizontal="center" vertical="center" wrapText="1"/>
    </xf>
    <xf numFmtId="11" fontId="32" fillId="0" borderId="22" xfId="28915" applyNumberFormat="1" applyFont="1" applyBorder="1" applyAlignment="1">
      <alignment horizontal="center" vertical="center" wrapText="1"/>
    </xf>
    <xf numFmtId="11" fontId="33" fillId="0" borderId="0" xfId="0" applyNumberFormat="1" applyFont="1" applyAlignment="1">
      <alignment horizontal="center" vertical="center"/>
    </xf>
    <xf numFmtId="0" fontId="62" fillId="0" borderId="0" xfId="28255" applyFont="1" applyAlignment="1">
      <alignment horizontal="centerContinuous"/>
    </xf>
    <xf numFmtId="0" fontId="24" fillId="0" borderId="0" xfId="0" applyFont="1" applyAlignment="1">
      <alignment horizontal="centerContinuous" vertical="center" wrapText="1"/>
    </xf>
    <xf numFmtId="0" fontId="24" fillId="0" borderId="0" xfId="0" applyFont="1" applyAlignment="1">
      <alignment horizontal="centerContinuous" vertical="center"/>
    </xf>
    <xf numFmtId="0" fontId="60" fillId="0" borderId="0" xfId="0" applyFont="1" applyAlignment="1">
      <alignment horizontal="left" vertical="center"/>
    </xf>
    <xf numFmtId="0" fontId="52" fillId="2" borderId="38" xfId="28255" applyFont="1" applyFill="1" applyBorder="1" applyAlignment="1">
      <alignment horizontal="center" vertical="center"/>
    </xf>
    <xf numFmtId="165" fontId="52" fillId="2" borderId="30" xfId="28255" applyNumberFormat="1" applyFont="1" applyFill="1" applyBorder="1" applyAlignment="1">
      <alignment horizontal="center" vertical="center"/>
    </xf>
    <xf numFmtId="11" fontId="59" fillId="2" borderId="37" xfId="0" applyNumberFormat="1" applyFont="1" applyFill="1" applyBorder="1" applyAlignment="1">
      <alignment horizontal="center"/>
    </xf>
    <xf numFmtId="0" fontId="9" fillId="0" borderId="0" xfId="0" applyFont="1" applyAlignment="1">
      <alignment horizontal="right"/>
    </xf>
    <xf numFmtId="0" fontId="8" fillId="0" borderId="0" xfId="0" applyFont="1"/>
    <xf numFmtId="0" fontId="8" fillId="0" borderId="0" xfId="0" applyFont="1" applyAlignment="1">
      <alignment horizontal="right"/>
    </xf>
    <xf numFmtId="0" fontId="10" fillId="0" borderId="65" xfId="0" applyFont="1" applyBorder="1" applyAlignment="1">
      <alignment vertical="center"/>
    </xf>
    <xf numFmtId="0" fontId="13" fillId="0" borderId="65" xfId="0" applyFont="1" applyBorder="1" applyAlignment="1">
      <alignment vertical="center" wrapText="1"/>
    </xf>
    <xf numFmtId="0" fontId="13" fillId="0" borderId="65" xfId="0" applyFont="1" applyBorder="1" applyAlignment="1">
      <alignment vertical="center"/>
    </xf>
    <xf numFmtId="0" fontId="13" fillId="0" borderId="66" xfId="0" applyFont="1" applyBorder="1" applyAlignment="1">
      <alignment vertical="center"/>
    </xf>
    <xf numFmtId="0" fontId="14" fillId="0" borderId="66" xfId="0" applyFont="1" applyBorder="1" applyAlignment="1">
      <alignment vertical="center" wrapText="1"/>
    </xf>
    <xf numFmtId="0" fontId="24" fillId="0" borderId="66" xfId="0" applyFont="1" applyBorder="1" applyAlignment="1">
      <alignment vertical="center"/>
    </xf>
    <xf numFmtId="0" fontId="8" fillId="0" borderId="66" xfId="0" applyFont="1" applyBorder="1" applyAlignment="1">
      <alignment vertical="center"/>
    </xf>
    <xf numFmtId="0" fontId="13" fillId="0" borderId="66" xfId="0" applyFont="1" applyBorder="1" applyAlignment="1">
      <alignment vertical="center" wrapText="1"/>
    </xf>
    <xf numFmtId="0" fontId="23" fillId="0" borderId="66" xfId="0" applyFont="1" applyBorder="1" applyAlignment="1">
      <alignment vertical="center"/>
    </xf>
    <xf numFmtId="0" fontId="8" fillId="0" borderId="66" xfId="0" applyFont="1" applyBorder="1" applyAlignment="1">
      <alignment horizontal="right" vertical="center" wrapText="1"/>
    </xf>
    <xf numFmtId="0" fontId="14" fillId="0" borderId="66" xfId="0" applyFont="1" applyBorder="1" applyAlignment="1">
      <alignment vertical="center"/>
    </xf>
    <xf numFmtId="0" fontId="8" fillId="0" borderId="66" xfId="0" applyFont="1" applyBorder="1" applyAlignment="1">
      <alignment horizontal="left" vertical="center" wrapText="1"/>
    </xf>
    <xf numFmtId="0" fontId="14" fillId="0" borderId="66" xfId="0" applyFont="1" applyBorder="1"/>
    <xf numFmtId="0" fontId="14" fillId="0" borderId="66" xfId="0" applyFont="1" applyBorder="1" applyAlignment="1">
      <alignment wrapText="1"/>
    </xf>
    <xf numFmtId="0" fontId="14" fillId="0" borderId="67" xfId="0" applyFont="1" applyBorder="1"/>
    <xf numFmtId="0" fontId="14" fillId="0" borderId="67" xfId="0" applyFont="1" applyBorder="1" applyAlignment="1">
      <alignment vertical="center"/>
    </xf>
    <xf numFmtId="3" fontId="23" fillId="0" borderId="66" xfId="0" applyNumberFormat="1" applyFont="1" applyBorder="1" applyAlignment="1">
      <alignment horizontal="left" vertical="center" wrapText="1"/>
    </xf>
    <xf numFmtId="0" fontId="24" fillId="0" borderId="66" xfId="0" applyFont="1" applyBorder="1" applyAlignment="1">
      <alignment horizontal="left" vertical="center" wrapText="1"/>
    </xf>
    <xf numFmtId="0" fontId="23" fillId="0" borderId="66" xfId="0" applyFont="1" applyBorder="1" applyAlignment="1">
      <alignment horizontal="left" vertical="center" wrapText="1"/>
    </xf>
    <xf numFmtId="0" fontId="8" fillId="0" borderId="65" xfId="0" applyFont="1" applyBorder="1" applyAlignment="1">
      <alignment vertical="center"/>
    </xf>
    <xf numFmtId="0" fontId="13" fillId="0" borderId="67" xfId="0" applyFont="1" applyBorder="1" applyAlignment="1">
      <alignment vertical="center"/>
    </xf>
    <xf numFmtId="0" fontId="13" fillId="0" borderId="67" xfId="0" applyFont="1" applyBorder="1" applyAlignment="1">
      <alignment vertical="center" wrapText="1"/>
    </xf>
    <xf numFmtId="0" fontId="13" fillId="0" borderId="67" xfId="0" applyFont="1" applyBorder="1" applyAlignment="1">
      <alignment horizontal="left" vertical="center" wrapText="1"/>
    </xf>
    <xf numFmtId="0" fontId="14" fillId="0" borderId="65" xfId="0" applyFont="1" applyBorder="1" applyAlignment="1">
      <alignment vertical="center"/>
    </xf>
    <xf numFmtId="0" fontId="13" fillId="0" borderId="65" xfId="0" applyFont="1" applyBorder="1" applyAlignment="1">
      <alignment horizontal="left" vertical="center" wrapText="1"/>
    </xf>
    <xf numFmtId="11" fontId="32" fillId="0" borderId="29" xfId="28915" applyNumberFormat="1" applyFont="1" applyBorder="1" applyAlignment="1">
      <alignment horizontal="center" vertical="center" wrapText="1"/>
    </xf>
    <xf numFmtId="0" fontId="17" fillId="0" borderId="65" xfId="0" applyFont="1" applyBorder="1" applyAlignment="1">
      <alignment vertical="center" wrapText="1"/>
    </xf>
    <xf numFmtId="0" fontId="23" fillId="0" borderId="65" xfId="0" applyFont="1" applyBorder="1" applyAlignment="1">
      <alignment vertical="center"/>
    </xf>
    <xf numFmtId="0" fontId="32" fillId="0" borderId="65" xfId="0" applyFont="1" applyBorder="1" applyAlignment="1">
      <alignment horizontal="left" vertical="center" wrapText="1"/>
    </xf>
    <xf numFmtId="0" fontId="23" fillId="0" borderId="66" xfId="0" applyFont="1" applyBorder="1" applyAlignment="1">
      <alignment vertical="center" wrapText="1"/>
    </xf>
    <xf numFmtId="0" fontId="18" fillId="0" borderId="66" xfId="0" applyFont="1" applyBorder="1" applyAlignment="1">
      <alignment vertical="center" wrapText="1"/>
    </xf>
    <xf numFmtId="0" fontId="8" fillId="0" borderId="66" xfId="0" applyFont="1" applyBorder="1" applyAlignment="1">
      <alignment vertical="center" wrapText="1"/>
    </xf>
    <xf numFmtId="0" fontId="18" fillId="0" borderId="66" xfId="0" applyFont="1" applyBorder="1" applyAlignment="1">
      <alignment horizontal="left" vertical="center" wrapText="1"/>
    </xf>
    <xf numFmtId="0" fontId="23" fillId="0" borderId="67" xfId="0" applyFont="1" applyBorder="1" applyAlignment="1">
      <alignment vertical="center"/>
    </xf>
    <xf numFmtId="0" fontId="23" fillId="0" borderId="67" xfId="0" applyFont="1" applyBorder="1" applyAlignment="1">
      <alignment vertical="center" wrapText="1"/>
    </xf>
    <xf numFmtId="0" fontId="23" fillId="0" borderId="67" xfId="0" applyFont="1" applyBorder="1" applyAlignment="1">
      <alignment horizontal="left" vertical="center" wrapText="1"/>
    </xf>
    <xf numFmtId="0" fontId="23" fillId="0" borderId="65" xfId="0" applyFont="1" applyBorder="1" applyAlignment="1">
      <alignment vertical="center" wrapText="1"/>
    </xf>
    <xf numFmtId="0" fontId="24" fillId="0" borderId="66" xfId="0" applyFont="1" applyBorder="1" applyAlignment="1">
      <alignment vertical="center" wrapText="1"/>
    </xf>
    <xf numFmtId="0" fontId="8" fillId="0" borderId="0" xfId="0" quotePrefix="1" applyFont="1" applyAlignment="1">
      <alignment horizontal="right"/>
    </xf>
    <xf numFmtId="11" fontId="24" fillId="0" borderId="66" xfId="0" applyNumberFormat="1" applyFont="1" applyBorder="1" applyAlignment="1">
      <alignment horizontal="left" vertical="center" wrapText="1"/>
    </xf>
    <xf numFmtId="0" fontId="18" fillId="0" borderId="68" xfId="0" applyFont="1" applyBorder="1" applyAlignment="1">
      <alignment vertical="center"/>
    </xf>
    <xf numFmtId="0" fontId="24" fillId="0" borderId="65" xfId="0" applyFont="1" applyBorder="1" applyAlignment="1">
      <alignment vertical="center" wrapText="1"/>
    </xf>
    <xf numFmtId="0" fontId="24" fillId="0" borderId="65" xfId="0" applyFont="1" applyBorder="1" applyAlignment="1">
      <alignment vertical="center"/>
    </xf>
    <xf numFmtId="0" fontId="24" fillId="0" borderId="67" xfId="0" applyFont="1" applyBorder="1" applyAlignment="1">
      <alignment vertical="center"/>
    </xf>
    <xf numFmtId="0" fontId="24" fillId="0" borderId="67" xfId="0" applyFont="1" applyBorder="1" applyAlignment="1">
      <alignment vertical="center" wrapText="1"/>
    </xf>
    <xf numFmtId="0" fontId="24" fillId="0" borderId="67" xfId="0" applyFont="1" applyBorder="1" applyAlignment="1">
      <alignment horizontal="left" vertical="center" wrapText="1"/>
    </xf>
    <xf numFmtId="0" fontId="19" fillId="0" borderId="65" xfId="0" applyFont="1" applyBorder="1" applyAlignment="1">
      <alignment vertical="center"/>
    </xf>
    <xf numFmtId="0" fontId="20" fillId="0" borderId="66" xfId="0" applyFont="1" applyBorder="1" applyAlignment="1">
      <alignment vertical="center"/>
    </xf>
    <xf numFmtId="0" fontId="20" fillId="0" borderId="66" xfId="0" applyFont="1" applyBorder="1" applyAlignment="1">
      <alignment vertical="center" wrapText="1"/>
    </xf>
    <xf numFmtId="0" fontId="19" fillId="0" borderId="66" xfId="0" applyFont="1" applyBorder="1" applyAlignment="1">
      <alignment horizontal="left" vertical="center" wrapText="1"/>
    </xf>
    <xf numFmtId="0" fontId="16" fillId="0" borderId="66" xfId="0" applyFont="1" applyBorder="1" applyAlignment="1">
      <alignment horizontal="left" vertical="center" wrapText="1"/>
    </xf>
    <xf numFmtId="0" fontId="20" fillId="0" borderId="66" xfId="0" applyFont="1" applyBorder="1" applyAlignment="1">
      <alignment horizontal="left" vertical="center" wrapText="1"/>
    </xf>
    <xf numFmtId="0" fontId="8" fillId="0" borderId="67" xfId="0" applyFont="1" applyBorder="1" applyAlignment="1">
      <alignment vertical="center"/>
    </xf>
    <xf numFmtId="0" fontId="20" fillId="0" borderId="67" xfId="0" applyFont="1" applyBorder="1" applyAlignment="1">
      <alignment vertical="center" wrapText="1"/>
    </xf>
    <xf numFmtId="0" fontId="20" fillId="0" borderId="67" xfId="0" applyFont="1" applyBorder="1" applyAlignment="1">
      <alignment vertical="center"/>
    </xf>
    <xf numFmtId="0" fontId="20" fillId="0" borderId="68" xfId="0" applyFont="1" applyBorder="1" applyAlignment="1">
      <alignment vertical="center"/>
    </xf>
    <xf numFmtId="0" fontId="20" fillId="0" borderId="25" xfId="0" applyFont="1" applyBorder="1" applyAlignment="1">
      <alignment vertical="center"/>
    </xf>
    <xf numFmtId="0" fontId="20" fillId="0" borderId="69" xfId="0" applyFont="1" applyBorder="1" applyAlignment="1">
      <alignment vertical="center"/>
    </xf>
    <xf numFmtId="0" fontId="8" fillId="0" borderId="68" xfId="0" applyFont="1" applyBorder="1" applyAlignment="1">
      <alignment vertical="center"/>
    </xf>
    <xf numFmtId="0" fontId="16" fillId="0" borderId="25" xfId="0" applyFont="1" applyBorder="1" applyAlignment="1">
      <alignment vertical="center"/>
    </xf>
    <xf numFmtId="0" fontId="16" fillId="0" borderId="69" xfId="0" applyFont="1" applyBorder="1" applyAlignment="1">
      <alignment vertical="center"/>
    </xf>
    <xf numFmtId="11" fontId="52" fillId="2" borderId="7" xfId="0" applyNumberFormat="1" applyFont="1" applyFill="1" applyBorder="1" applyAlignment="1">
      <alignment horizontal="center" vertical="center"/>
    </xf>
    <xf numFmtId="0" fontId="8" fillId="0" borderId="66" xfId="0" quotePrefix="1" applyFont="1" applyBorder="1" applyAlignment="1">
      <alignment horizontal="left" vertical="center" wrapText="1"/>
    </xf>
    <xf numFmtId="0" fontId="34" fillId="2" borderId="63" xfId="28255" applyFont="1" applyFill="1" applyBorder="1" applyAlignment="1">
      <alignment vertical="center"/>
    </xf>
    <xf numFmtId="11" fontId="32" fillId="0" borderId="10" xfId="28915" applyNumberFormat="1" applyFont="1" applyBorder="1" applyAlignment="1">
      <alignment horizontal="center" vertical="center" wrapText="1"/>
    </xf>
    <xf numFmtId="11" fontId="24" fillId="0" borderId="0" xfId="0" applyNumberFormat="1" applyFont="1" applyAlignment="1">
      <alignment horizontal="center" vertical="center"/>
    </xf>
    <xf numFmtId="11" fontId="24" fillId="2" borderId="38" xfId="0" applyNumberFormat="1" applyFont="1" applyFill="1" applyBorder="1" applyAlignment="1">
      <alignment horizontal="center" vertical="center"/>
    </xf>
    <xf numFmtId="11" fontId="24" fillId="2" borderId="3" xfId="0" applyNumberFormat="1" applyFont="1" applyFill="1" applyBorder="1" applyAlignment="1">
      <alignment horizontal="center" vertical="center"/>
    </xf>
    <xf numFmtId="11" fontId="59" fillId="2" borderId="30" xfId="0" applyNumberFormat="1" applyFont="1" applyFill="1" applyBorder="1" applyAlignment="1">
      <alignment horizontal="center" vertical="center"/>
    </xf>
    <xf numFmtId="11" fontId="33" fillId="0" borderId="0" xfId="28255" applyNumberFormat="1" applyFont="1" applyAlignment="1">
      <alignment horizontal="center" wrapText="1"/>
    </xf>
    <xf numFmtId="11" fontId="52" fillId="0" borderId="0" xfId="0" applyNumberFormat="1" applyFont="1" applyAlignment="1">
      <alignment horizontal="center" vertical="center"/>
    </xf>
    <xf numFmtId="11" fontId="0" fillId="0" borderId="0" xfId="0" applyNumberFormat="1" applyAlignment="1">
      <alignment vertical="center"/>
    </xf>
    <xf numFmtId="11" fontId="8" fillId="0" borderId="0" xfId="0" applyNumberFormat="1" applyFont="1" applyAlignment="1">
      <alignment horizontal="center" vertical="center"/>
    </xf>
    <xf numFmtId="11" fontId="24" fillId="0" borderId="24" xfId="0" applyNumberFormat="1" applyFont="1" applyBorder="1" applyAlignment="1">
      <alignment horizontal="center" vertical="center"/>
    </xf>
    <xf numFmtId="11" fontId="59" fillId="0" borderId="0" xfId="0" applyNumberFormat="1" applyFont="1" applyAlignment="1">
      <alignment horizontal="center" vertical="center"/>
    </xf>
    <xf numFmtId="11" fontId="13" fillId="0" borderId="0" xfId="0" applyNumberFormat="1" applyFont="1" applyAlignment="1">
      <alignment horizontal="center" vertical="center"/>
    </xf>
    <xf numFmtId="0" fontId="22" fillId="0" borderId="0" xfId="0" applyFont="1" applyAlignment="1">
      <alignment vertical="center"/>
    </xf>
    <xf numFmtId="11" fontId="22" fillId="0" borderId="0" xfId="0" applyNumberFormat="1" applyFont="1" applyAlignment="1">
      <alignment horizontal="center" vertical="center"/>
    </xf>
    <xf numFmtId="0" fontId="32" fillId="0" borderId="0" xfId="28915" applyFont="1" applyAlignment="1">
      <alignment horizontal="left" vertical="center" wrapText="1"/>
    </xf>
    <xf numFmtId="0" fontId="32" fillId="0" borderId="0" xfId="28915" applyFont="1" applyAlignment="1">
      <alignment horizontal="center" vertical="center" wrapText="1"/>
    </xf>
    <xf numFmtId="11" fontId="32" fillId="0" borderId="0" xfId="28915" applyNumberFormat="1" applyFont="1" applyAlignment="1">
      <alignment horizontal="center" vertical="center" wrapText="1"/>
    </xf>
    <xf numFmtId="11" fontId="22" fillId="0" borderId="48" xfId="0" applyNumberFormat="1" applyFont="1" applyBorder="1" applyAlignment="1">
      <alignment horizontal="center" vertical="center"/>
    </xf>
    <xf numFmtId="11" fontId="10" fillId="0" borderId="0" xfId="0" applyNumberFormat="1" applyFont="1" applyAlignment="1">
      <alignment horizontal="center" vertical="center"/>
    </xf>
    <xf numFmtId="0" fontId="25" fillId="0" borderId="13" xfId="0" applyFont="1" applyBorder="1" applyAlignment="1">
      <alignment horizontal="center" vertical="center"/>
    </xf>
    <xf numFmtId="0" fontId="32" fillId="0" borderId="0" xfId="0" applyFont="1"/>
    <xf numFmtId="11" fontId="32" fillId="0" borderId="0" xfId="0" applyNumberFormat="1" applyFont="1"/>
    <xf numFmtId="0" fontId="7" fillId="0" borderId="66" xfId="0" applyFont="1" applyBorder="1" applyAlignment="1">
      <alignment vertical="center" wrapText="1"/>
    </xf>
    <xf numFmtId="0" fontId="32" fillId="0" borderId="0" xfId="0" quotePrefix="1" applyFont="1"/>
    <xf numFmtId="0" fontId="7" fillId="0" borderId="67" xfId="0" applyFont="1" applyBorder="1" applyAlignment="1">
      <alignment wrapText="1"/>
    </xf>
    <xf numFmtId="0" fontId="7" fillId="0" borderId="66" xfId="0" applyFont="1" applyBorder="1" applyAlignment="1">
      <alignment vertical="center"/>
    </xf>
    <xf numFmtId="0" fontId="7" fillId="0" borderId="0" xfId="0" quotePrefix="1" applyFont="1" applyAlignment="1">
      <alignment horizontal="right"/>
    </xf>
    <xf numFmtId="0" fontId="6" fillId="0" borderId="65" xfId="0" applyFont="1" applyBorder="1" applyAlignment="1">
      <alignment vertical="center"/>
    </xf>
    <xf numFmtId="0" fontId="6" fillId="0" borderId="65" xfId="0" applyFont="1" applyBorder="1" applyAlignment="1">
      <alignment vertical="center" wrapText="1"/>
    </xf>
    <xf numFmtId="0" fontId="5" fillId="0" borderId="66" xfId="0" applyFont="1" applyBorder="1" applyAlignment="1">
      <alignment vertical="center"/>
    </xf>
    <xf numFmtId="0" fontId="5" fillId="0" borderId="66" xfId="0" applyFont="1" applyBorder="1" applyAlignment="1">
      <alignment vertical="center" wrapText="1"/>
    </xf>
    <xf numFmtId="0" fontId="5" fillId="0" borderId="68" xfId="0" applyFont="1" applyBorder="1" applyAlignment="1">
      <alignment vertical="center"/>
    </xf>
    <xf numFmtId="0" fontId="5" fillId="0" borderId="67" xfId="0" applyFont="1" applyBorder="1" applyAlignment="1">
      <alignment vertical="center" wrapText="1"/>
    </xf>
    <xf numFmtId="0" fontId="5" fillId="0" borderId="0" xfId="0" quotePrefix="1" applyFont="1" applyAlignment="1">
      <alignment horizontal="right"/>
    </xf>
    <xf numFmtId="0" fontId="5" fillId="0" borderId="65" xfId="0" applyFont="1" applyBorder="1" applyAlignment="1">
      <alignment vertical="center" wrapText="1"/>
    </xf>
    <xf numFmtId="0" fontId="5" fillId="0" borderId="65" xfId="0" applyFont="1" applyBorder="1" applyAlignment="1">
      <alignment vertical="center"/>
    </xf>
    <xf numFmtId="0" fontId="32" fillId="0" borderId="20" xfId="28915" applyFont="1" applyBorder="1" applyAlignment="1">
      <alignment horizontal="left" vertical="center" wrapText="1"/>
    </xf>
    <xf numFmtId="0" fontId="32" fillId="0" borderId="21" xfId="28915" applyFont="1" applyBorder="1" applyAlignment="1">
      <alignment horizontal="left" vertical="center" wrapText="1"/>
    </xf>
    <xf numFmtId="0" fontId="32" fillId="0" borderId="22" xfId="28915" applyFont="1" applyBorder="1" applyAlignment="1">
      <alignment horizontal="left" vertical="center" wrapText="1"/>
    </xf>
    <xf numFmtId="0" fontId="5" fillId="0" borderId="66" xfId="0" applyFont="1" applyBorder="1" applyAlignment="1">
      <alignment horizontal="left" vertical="center" wrapText="1"/>
    </xf>
    <xf numFmtId="0" fontId="5" fillId="0" borderId="67" xfId="0" applyFont="1" applyBorder="1" applyAlignment="1">
      <alignment vertical="center"/>
    </xf>
    <xf numFmtId="165" fontId="4" fillId="0" borderId="0" xfId="0" applyNumberFormat="1" applyFont="1" applyAlignment="1">
      <alignment horizontal="center"/>
    </xf>
    <xf numFmtId="165" fontId="30" fillId="0" borderId="0" xfId="0" applyNumberFormat="1" applyFont="1" applyAlignment="1">
      <alignment horizontal="center" vertical="center"/>
    </xf>
    <xf numFmtId="165" fontId="53" fillId="2" borderId="37" xfId="28255" applyNumberFormat="1" applyFont="1" applyFill="1" applyBorder="1" applyAlignment="1">
      <alignment horizontal="center" vertical="center"/>
    </xf>
    <xf numFmtId="0" fontId="4" fillId="0" borderId="0" xfId="0" applyFont="1"/>
    <xf numFmtId="0" fontId="4" fillId="0" borderId="65" xfId="0" applyFont="1" applyBorder="1" applyAlignment="1">
      <alignment vertical="center"/>
    </xf>
    <xf numFmtId="0" fontId="4" fillId="0" borderId="65" xfId="0" applyFont="1" applyBorder="1" applyAlignment="1">
      <alignment vertical="center" wrapText="1"/>
    </xf>
    <xf numFmtId="0" fontId="4" fillId="0" borderId="66" xfId="0" applyFont="1" applyBorder="1" applyAlignment="1">
      <alignment vertical="center" wrapText="1"/>
    </xf>
    <xf numFmtId="0" fontId="4" fillId="0" borderId="67" xfId="0" applyFont="1" applyBorder="1" applyAlignment="1">
      <alignment vertical="center"/>
    </xf>
    <xf numFmtId="0" fontId="4" fillId="0" borderId="66" xfId="0" applyFont="1" applyBorder="1" applyAlignment="1">
      <alignment horizontal="right" vertical="center" wrapText="1"/>
    </xf>
    <xf numFmtId="0" fontId="4" fillId="0" borderId="67" xfId="0" applyFont="1" applyBorder="1" applyAlignment="1">
      <alignment horizontal="right" vertical="center" wrapText="1"/>
    </xf>
    <xf numFmtId="0" fontId="3" fillId="0" borderId="66" xfId="0" applyFont="1" applyBorder="1" applyAlignment="1">
      <alignment vertical="center" wrapText="1"/>
    </xf>
    <xf numFmtId="0" fontId="20" fillId="0" borderId="65" xfId="0" applyFont="1" applyBorder="1" applyAlignment="1">
      <alignment vertical="center" wrapText="1"/>
    </xf>
    <xf numFmtId="0" fontId="20" fillId="0" borderId="65" xfId="0" applyFont="1" applyBorder="1" applyAlignment="1">
      <alignment vertical="center"/>
    </xf>
    <xf numFmtId="0" fontId="8" fillId="0" borderId="65" xfId="0" applyFont="1" applyBorder="1" applyAlignment="1">
      <alignment horizontal="left" vertical="center" wrapText="1"/>
    </xf>
    <xf numFmtId="0" fontId="3" fillId="0" borderId="66" xfId="0" applyFont="1" applyBorder="1" applyAlignment="1">
      <alignment horizontal="right" vertical="center" wrapText="1"/>
    </xf>
    <xf numFmtId="0" fontId="3" fillId="0" borderId="67" xfId="0" applyFont="1" applyBorder="1" applyAlignment="1">
      <alignment horizontal="right" vertical="center" wrapText="1"/>
    </xf>
    <xf numFmtId="0" fontId="8" fillId="0" borderId="25" xfId="0" applyFont="1" applyBorder="1" applyAlignment="1">
      <alignment vertical="center"/>
    </xf>
    <xf numFmtId="0" fontId="8" fillId="0" borderId="18" xfId="0" applyFont="1" applyBorder="1" applyAlignment="1">
      <alignment vertical="center"/>
    </xf>
    <xf numFmtId="167" fontId="3" fillId="0" borderId="81" xfId="0" applyNumberFormat="1" applyFont="1" applyBorder="1" applyAlignment="1">
      <alignment horizontal="left" vertical="center" wrapText="1"/>
    </xf>
    <xf numFmtId="0" fontId="3" fillId="0" borderId="0" xfId="0" quotePrefix="1" applyFont="1" applyAlignment="1">
      <alignment horizontal="right"/>
    </xf>
    <xf numFmtId="0" fontId="3" fillId="0" borderId="65" xfId="0" applyFont="1" applyBorder="1" applyAlignment="1">
      <alignment vertical="center"/>
    </xf>
    <xf numFmtId="0" fontId="3" fillId="0" borderId="65" xfId="0" applyFont="1" applyBorder="1" applyAlignment="1">
      <alignment vertical="center" wrapText="1"/>
    </xf>
    <xf numFmtId="0" fontId="3" fillId="0" borderId="66" xfId="0" applyFont="1" applyBorder="1" applyAlignment="1">
      <alignment vertical="center"/>
    </xf>
    <xf numFmtId="0" fontId="30" fillId="0" borderId="0" xfId="0" applyFont="1" applyAlignment="1">
      <alignment horizontal="center" vertical="center"/>
    </xf>
    <xf numFmtId="0" fontId="32" fillId="0" borderId="22" xfId="28255" applyFont="1" applyBorder="1" applyAlignment="1">
      <alignment horizontal="left" vertical="center" wrapText="1"/>
    </xf>
    <xf numFmtId="0" fontId="45" fillId="0" borderId="0" xfId="0" applyFont="1" applyAlignment="1">
      <alignment horizontal="left" vertical="center" wrapText="1"/>
    </xf>
    <xf numFmtId="0" fontId="32" fillId="0" borderId="15" xfId="28915" applyFont="1" applyBorder="1" applyAlignment="1">
      <alignment horizontal="center" vertical="center" wrapText="1"/>
    </xf>
    <xf numFmtId="0" fontId="2" fillId="0" borderId="66" xfId="0" applyFont="1" applyBorder="1" applyAlignment="1">
      <alignment vertical="center" wrapText="1"/>
    </xf>
    <xf numFmtId="0" fontId="2" fillId="0" borderId="0" xfId="0" applyFont="1"/>
    <xf numFmtId="165" fontId="2" fillId="0" borderId="0" xfId="0" applyNumberFormat="1" applyFont="1"/>
    <xf numFmtId="165" fontId="32" fillId="6" borderId="40" xfId="28915" applyNumberFormat="1" applyFont="1" applyFill="1" applyBorder="1" applyAlignment="1">
      <alignment horizontal="center" vertical="center" wrapText="1"/>
    </xf>
    <xf numFmtId="0" fontId="2" fillId="0" borderId="66" xfId="0" applyFont="1" applyBorder="1" applyAlignment="1">
      <alignment horizontal="left" vertical="center" wrapText="1"/>
    </xf>
    <xf numFmtId="0" fontId="2" fillId="0" borderId="65" xfId="0" applyFont="1" applyBorder="1" applyAlignment="1">
      <alignment horizontal="left" vertical="center" wrapText="1"/>
    </xf>
    <xf numFmtId="0" fontId="2" fillId="0" borderId="66" xfId="0" applyFont="1" applyBorder="1" applyAlignment="1">
      <alignment vertical="center"/>
    </xf>
    <xf numFmtId="0" fontId="1" fillId="0" borderId="66" xfId="0" applyFont="1" applyBorder="1" applyAlignment="1">
      <alignment vertical="center"/>
    </xf>
    <xf numFmtId="0" fontId="1" fillId="0" borderId="0" xfId="0" applyFont="1"/>
    <xf numFmtId="1" fontId="24" fillId="0" borderId="0" xfId="0" applyNumberFormat="1" applyFont="1" applyAlignment="1">
      <alignment horizontal="center" vertical="center"/>
    </xf>
    <xf numFmtId="1" fontId="52" fillId="2" borderId="30" xfId="28255" applyNumberFormat="1" applyFont="1" applyFill="1" applyBorder="1" applyAlignment="1">
      <alignment horizontal="left" vertical="center"/>
    </xf>
    <xf numFmtId="1" fontId="24" fillId="2" borderId="38" xfId="0" applyNumberFormat="1" applyFont="1" applyFill="1" applyBorder="1" applyAlignment="1">
      <alignment horizontal="center" vertical="center"/>
    </xf>
    <xf numFmtId="0" fontId="1" fillId="0" borderId="0" xfId="0" quotePrefix="1" applyFont="1" applyAlignment="1">
      <alignment horizontal="right"/>
    </xf>
    <xf numFmtId="0" fontId="1" fillId="0" borderId="66" xfId="0" applyFont="1" applyBorder="1" applyAlignment="1">
      <alignment horizontal="left" vertical="center" wrapText="1"/>
    </xf>
    <xf numFmtId="0" fontId="1" fillId="0" borderId="0" xfId="0" quotePrefix="1" applyFont="1"/>
    <xf numFmtId="0" fontId="1" fillId="0" borderId="0" xfId="0" quotePrefix="1" applyFont="1" applyAlignment="1">
      <alignment wrapText="1"/>
    </xf>
    <xf numFmtId="11" fontId="34" fillId="2" borderId="38" xfId="28255" applyNumberFormat="1" applyFont="1" applyFill="1" applyBorder="1" applyAlignment="1">
      <alignment horizontal="center" vertical="center"/>
    </xf>
    <xf numFmtId="165" fontId="52" fillId="2" borderId="38" xfId="28255" applyNumberFormat="1" applyFont="1" applyFill="1" applyBorder="1" applyAlignment="1">
      <alignment horizontal="center" vertical="center"/>
    </xf>
    <xf numFmtId="0" fontId="53" fillId="2" borderId="38" xfId="28255" applyFont="1" applyFill="1" applyBorder="1" applyAlignment="1">
      <alignment horizontal="center" vertical="center"/>
    </xf>
    <xf numFmtId="11" fontId="34" fillId="2" borderId="38" xfId="0" applyNumberFormat="1" applyFont="1" applyFill="1" applyBorder="1" applyAlignment="1">
      <alignment horizontal="center" vertical="center"/>
    </xf>
    <xf numFmtId="11" fontId="33" fillId="2" borderId="38" xfId="28255" applyNumberFormat="1" applyFont="1" applyFill="1" applyBorder="1" applyAlignment="1">
      <alignment horizontal="center" vertical="center"/>
    </xf>
    <xf numFmtId="11" fontId="52" fillId="2" borderId="38" xfId="0" applyNumberFormat="1" applyFont="1" applyFill="1" applyBorder="1" applyAlignment="1">
      <alignment horizontal="center" vertical="center"/>
    </xf>
    <xf numFmtId="11" fontId="52" fillId="2" borderId="3" xfId="0" applyNumberFormat="1" applyFont="1" applyFill="1" applyBorder="1" applyAlignment="1">
      <alignment horizontal="center" vertical="center"/>
    </xf>
    <xf numFmtId="11" fontId="59" fillId="2" borderId="38" xfId="0" applyNumberFormat="1" applyFont="1" applyFill="1" applyBorder="1" applyAlignment="1">
      <alignment horizontal="center" vertical="center"/>
    </xf>
    <xf numFmtId="11" fontId="59" fillId="2" borderId="38" xfId="0" applyNumberFormat="1" applyFont="1" applyFill="1" applyBorder="1" applyAlignment="1">
      <alignment horizontal="center"/>
    </xf>
    <xf numFmtId="11" fontId="59" fillId="2" borderId="3" xfId="0" applyNumberFormat="1" applyFont="1" applyFill="1" applyBorder="1" applyAlignment="1">
      <alignment horizontal="center"/>
    </xf>
    <xf numFmtId="11" fontId="32" fillId="6" borderId="21" xfId="28915" applyNumberFormat="1" applyFont="1" applyFill="1" applyBorder="1" applyAlignment="1">
      <alignment horizontal="center" vertical="center"/>
    </xf>
    <xf numFmtId="11" fontId="32" fillId="6" borderId="11" xfId="28915" applyNumberFormat="1" applyFont="1" applyFill="1" applyBorder="1" applyAlignment="1">
      <alignment horizontal="center" vertical="center"/>
    </xf>
    <xf numFmtId="11" fontId="32" fillId="6" borderId="13" xfId="28915" applyNumberFormat="1" applyFont="1" applyFill="1" applyBorder="1" applyAlignment="1">
      <alignment horizontal="center" vertical="center"/>
    </xf>
    <xf numFmtId="11" fontId="32" fillId="6" borderId="13" xfId="28255" applyNumberFormat="1" applyFont="1" applyFill="1" applyBorder="1" applyAlignment="1">
      <alignment horizontal="center" vertical="center"/>
    </xf>
    <xf numFmtId="11" fontId="32" fillId="6" borderId="13" xfId="28915" applyNumberFormat="1" applyFont="1" applyFill="1" applyBorder="1" applyAlignment="1">
      <alignment horizontal="center" vertical="center" wrapText="1"/>
    </xf>
    <xf numFmtId="165" fontId="32" fillId="6" borderId="42" xfId="28915" applyNumberFormat="1" applyFont="1" applyFill="1" applyBorder="1" applyAlignment="1">
      <alignment horizontal="center" vertical="center" wrapText="1"/>
    </xf>
    <xf numFmtId="165" fontId="32" fillId="6" borderId="43" xfId="28255" applyNumberFormat="1" applyFont="1" applyFill="1" applyBorder="1" applyAlignment="1">
      <alignment horizontal="center" vertical="center"/>
    </xf>
    <xf numFmtId="165" fontId="32" fillId="6" borderId="43" xfId="28915" applyNumberFormat="1" applyFont="1" applyFill="1" applyBorder="1" applyAlignment="1">
      <alignment horizontal="center" vertical="center" wrapText="1"/>
    </xf>
    <xf numFmtId="165" fontId="32" fillId="6" borderId="40" xfId="28915" applyNumberFormat="1" applyFont="1" applyFill="1" applyBorder="1" applyAlignment="1">
      <alignment horizontal="center" vertical="center"/>
    </xf>
    <xf numFmtId="165" fontId="32" fillId="6" borderId="42" xfId="28915" applyNumberFormat="1" applyFont="1" applyFill="1" applyBorder="1" applyAlignment="1">
      <alignment horizontal="center" vertical="center"/>
    </xf>
    <xf numFmtId="165" fontId="32" fillId="6" borderId="50" xfId="28915" applyNumberFormat="1" applyFont="1" applyFill="1" applyBorder="1" applyAlignment="1">
      <alignment horizontal="center" vertical="center" wrapText="1"/>
    </xf>
    <xf numFmtId="165" fontId="32" fillId="6" borderId="42" xfId="28916" applyNumberFormat="1" applyFont="1" applyFill="1" applyBorder="1" applyAlignment="1">
      <alignment horizontal="center" vertical="center" wrapText="1"/>
    </xf>
    <xf numFmtId="165" fontId="32" fillId="6" borderId="43" xfId="28916" applyNumberFormat="1" applyFont="1" applyFill="1" applyBorder="1" applyAlignment="1">
      <alignment horizontal="center" vertical="center" wrapText="1"/>
    </xf>
    <xf numFmtId="165" fontId="32" fillId="6" borderId="41" xfId="28915" applyNumberFormat="1" applyFont="1" applyFill="1" applyBorder="1" applyAlignment="1">
      <alignment horizontal="center" vertical="center" wrapText="1"/>
    </xf>
    <xf numFmtId="165" fontId="32" fillId="8" borderId="13" xfId="28915" applyNumberFormat="1" applyFont="1" applyFill="1" applyBorder="1" applyAlignment="1">
      <alignment horizontal="center" vertical="center" wrapText="1"/>
    </xf>
    <xf numFmtId="165" fontId="32" fillId="8" borderId="15" xfId="28915" applyNumberFormat="1" applyFont="1" applyFill="1" applyBorder="1" applyAlignment="1">
      <alignment horizontal="center" vertical="center" wrapText="1"/>
    </xf>
    <xf numFmtId="165" fontId="32" fillId="8" borderId="11" xfId="28915" applyNumberFormat="1" applyFont="1" applyFill="1" applyBorder="1" applyAlignment="1">
      <alignment horizontal="center" vertical="center" wrapText="1"/>
    </xf>
    <xf numFmtId="165" fontId="32" fillId="8" borderId="13" xfId="28916" applyNumberFormat="1" applyFont="1" applyFill="1" applyBorder="1" applyAlignment="1">
      <alignment horizontal="center" vertical="center" wrapText="1"/>
    </xf>
    <xf numFmtId="11" fontId="22" fillId="0" borderId="59" xfId="0" applyNumberFormat="1" applyFont="1" applyBorder="1" applyAlignment="1">
      <alignment horizontal="center" vertical="center"/>
    </xf>
    <xf numFmtId="11" fontId="22" fillId="0" borderId="25" xfId="0" applyNumberFormat="1" applyFont="1" applyBorder="1" applyAlignment="1">
      <alignment horizontal="center" vertical="center"/>
    </xf>
    <xf numFmtId="11" fontId="22" fillId="0" borderId="76" xfId="0" applyNumberFormat="1" applyFont="1" applyBorder="1" applyAlignment="1">
      <alignment horizontal="center" vertical="center"/>
    </xf>
    <xf numFmtId="11" fontId="22" fillId="0" borderId="39" xfId="0" applyNumberFormat="1" applyFont="1" applyBorder="1" applyAlignment="1">
      <alignment horizontal="center" vertical="center"/>
    </xf>
    <xf numFmtId="11" fontId="30" fillId="0" borderId="0" xfId="0" applyNumberFormat="1" applyFont="1" applyAlignment="1">
      <alignment horizontal="center" vertical="center"/>
    </xf>
    <xf numFmtId="0" fontId="1" fillId="0" borderId="0" xfId="0" applyFont="1" applyAlignment="1">
      <alignment vertical="center"/>
    </xf>
    <xf numFmtId="165" fontId="45" fillId="0" borderId="0" xfId="0" applyNumberFormat="1" applyFont="1"/>
    <xf numFmtId="165" fontId="1" fillId="0" borderId="0" xfId="0" applyNumberFormat="1" applyFont="1"/>
    <xf numFmtId="165" fontId="1" fillId="0" borderId="0" xfId="0" applyNumberFormat="1" applyFont="1" applyAlignment="1">
      <alignment horizontal="center"/>
    </xf>
    <xf numFmtId="11" fontId="33" fillId="2" borderId="38" xfId="28255" applyNumberFormat="1" applyFont="1" applyFill="1" applyBorder="1" applyAlignment="1">
      <alignment vertical="center"/>
    </xf>
    <xf numFmtId="11" fontId="26" fillId="0" borderId="0" xfId="0" applyNumberFormat="1" applyFont="1" applyAlignment="1">
      <alignment vertical="center"/>
    </xf>
    <xf numFmtId="11" fontId="56" fillId="0" borderId="0" xfId="0" applyNumberFormat="1" applyFont="1" applyAlignment="1">
      <alignment horizontal="center" vertical="center"/>
    </xf>
    <xf numFmtId="11" fontId="1" fillId="0" borderId="0" xfId="0" applyNumberFormat="1" applyFont="1" applyAlignment="1">
      <alignment vertical="center"/>
    </xf>
    <xf numFmtId="11" fontId="30" fillId="0" borderId="0" xfId="0" applyNumberFormat="1" applyFont="1" applyAlignment="1">
      <alignment horizontal="left" vertical="center"/>
    </xf>
    <xf numFmtId="11" fontId="30" fillId="0" borderId="0" xfId="0" applyNumberFormat="1" applyFont="1" applyAlignment="1">
      <alignment horizontal="center" vertical="center" wrapText="1"/>
    </xf>
    <xf numFmtId="11" fontId="34" fillId="2" borderId="63" xfId="28255" applyNumberFormat="1" applyFont="1" applyFill="1" applyBorder="1" applyAlignment="1">
      <alignment vertical="center"/>
    </xf>
    <xf numFmtId="11" fontId="52" fillId="2" borderId="38" xfId="28255" applyNumberFormat="1" applyFont="1" applyFill="1" applyBorder="1" applyAlignment="1">
      <alignment horizontal="center" vertical="center"/>
    </xf>
    <xf numFmtId="11" fontId="35" fillId="0" borderId="0" xfId="0" applyNumberFormat="1" applyFont="1" applyAlignment="1">
      <alignment vertical="center"/>
    </xf>
    <xf numFmtId="11" fontId="32" fillId="6" borderId="52" xfId="28915" applyNumberFormat="1" applyFont="1" applyFill="1" applyBorder="1" applyAlignment="1">
      <alignment horizontal="center" vertical="center" wrapText="1"/>
    </xf>
    <xf numFmtId="11" fontId="32" fillId="6" borderId="11" xfId="28915" applyNumberFormat="1" applyFont="1" applyFill="1" applyBorder="1" applyAlignment="1">
      <alignment horizontal="center" vertical="center" wrapText="1"/>
    </xf>
    <xf numFmtId="11" fontId="22" fillId="0" borderId="0" xfId="0" applyNumberFormat="1" applyFont="1" applyAlignment="1">
      <alignment vertical="center"/>
    </xf>
    <xf numFmtId="11" fontId="32" fillId="6" borderId="15" xfId="28915" applyNumberFormat="1" applyFont="1" applyFill="1" applyBorder="1" applyAlignment="1">
      <alignment horizontal="center" vertical="center" wrapText="1"/>
    </xf>
    <xf numFmtId="11" fontId="32" fillId="6" borderId="10" xfId="28915" applyNumberFormat="1" applyFont="1" applyFill="1" applyBorder="1" applyAlignment="1">
      <alignment horizontal="center" vertical="center" wrapText="1"/>
    </xf>
    <xf numFmtId="11" fontId="34" fillId="2" borderId="36" xfId="28255" applyNumberFormat="1" applyFont="1" applyFill="1" applyBorder="1" applyAlignment="1">
      <alignment vertical="center"/>
    </xf>
    <xf numFmtId="11" fontId="52" fillId="2" borderId="30" xfId="28255" applyNumberFormat="1" applyFont="1" applyFill="1" applyBorder="1" applyAlignment="1">
      <alignment horizontal="center" vertical="center"/>
    </xf>
    <xf numFmtId="11" fontId="32" fillId="0" borderId="0" xfId="0" applyNumberFormat="1" applyFont="1" applyAlignment="1">
      <alignment vertical="center"/>
    </xf>
    <xf numFmtId="11" fontId="32" fillId="6" borderId="52" xfId="28916" applyNumberFormat="1" applyFont="1" applyFill="1" applyBorder="1" applyAlignment="1">
      <alignment horizontal="center" vertical="center" wrapText="1"/>
    </xf>
    <xf numFmtId="11" fontId="32" fillId="0" borderId="20" xfId="28916" applyNumberFormat="1" applyFont="1" applyBorder="1" applyAlignment="1">
      <alignment horizontal="center" vertical="center" wrapText="1"/>
    </xf>
    <xf numFmtId="11" fontId="32" fillId="6" borderId="13" xfId="28916" applyNumberFormat="1" applyFont="1" applyFill="1" applyBorder="1" applyAlignment="1">
      <alignment horizontal="center" vertical="center" wrapText="1"/>
    </xf>
    <xf numFmtId="11" fontId="22" fillId="0" borderId="26" xfId="0" applyNumberFormat="1" applyFont="1" applyBorder="1" applyAlignment="1">
      <alignment horizontal="center" vertical="center"/>
    </xf>
    <xf numFmtId="11" fontId="32" fillId="6" borderId="17" xfId="28915" applyNumberFormat="1" applyFont="1" applyFill="1" applyBorder="1" applyAlignment="1">
      <alignment horizontal="center" vertical="center" wrapText="1"/>
    </xf>
    <xf numFmtId="11" fontId="32" fillId="0" borderId="0" xfId="28915" applyNumberFormat="1" applyFont="1" applyAlignment="1">
      <alignment horizontal="left" vertical="center" wrapText="1"/>
    </xf>
    <xf numFmtId="11" fontId="1" fillId="0" borderId="0" xfId="0" applyNumberFormat="1" applyFont="1" applyAlignment="1">
      <alignment horizontal="center" vertical="center"/>
    </xf>
    <xf numFmtId="11" fontId="51" fillId="2" borderId="38" xfId="28255" applyNumberFormat="1" applyFont="1" applyFill="1" applyBorder="1" applyAlignment="1">
      <alignment horizontal="center" vertical="center"/>
    </xf>
    <xf numFmtId="11" fontId="22" fillId="2" borderId="38" xfId="0" applyNumberFormat="1" applyFont="1" applyFill="1" applyBorder="1" applyAlignment="1">
      <alignment horizontal="center" vertical="center"/>
    </xf>
    <xf numFmtId="11" fontId="32" fillId="6" borderId="20" xfId="28915" applyNumberFormat="1" applyFont="1" applyFill="1" applyBorder="1" applyAlignment="1">
      <alignment horizontal="center" vertical="center" wrapText="1"/>
    </xf>
    <xf numFmtId="11" fontId="32" fillId="6" borderId="21" xfId="28915" applyNumberFormat="1" applyFont="1" applyFill="1" applyBorder="1" applyAlignment="1">
      <alignment horizontal="center" vertical="center" wrapText="1"/>
    </xf>
    <xf numFmtId="11" fontId="32" fillId="6" borderId="22" xfId="28915" applyNumberFormat="1" applyFont="1" applyFill="1" applyBorder="1" applyAlignment="1">
      <alignment horizontal="center" vertical="center" wrapText="1"/>
    </xf>
    <xf numFmtId="11" fontId="32" fillId="0" borderId="13" xfId="28915" applyNumberFormat="1" applyFont="1" applyBorder="1" applyAlignment="1">
      <alignment horizontal="center" vertical="center"/>
    </xf>
    <xf numFmtId="11" fontId="32" fillId="6" borderId="19" xfId="28915" applyNumberFormat="1" applyFont="1" applyFill="1" applyBorder="1" applyAlignment="1">
      <alignment horizontal="center" vertical="center" wrapText="1"/>
    </xf>
    <xf numFmtId="11" fontId="32" fillId="6" borderId="21" xfId="28916" applyNumberFormat="1" applyFont="1" applyFill="1" applyBorder="1" applyAlignment="1">
      <alignment horizontal="center" vertical="center" wrapText="1"/>
    </xf>
    <xf numFmtId="11" fontId="22" fillId="0" borderId="64" xfId="0" applyNumberFormat="1" applyFont="1" applyBorder="1" applyAlignment="1">
      <alignment horizontal="center" vertical="center"/>
    </xf>
    <xf numFmtId="11" fontId="28" fillId="0" borderId="0" xfId="28255" applyNumberFormat="1" applyAlignment="1">
      <alignment vertical="center"/>
    </xf>
    <xf numFmtId="11" fontId="32" fillId="0" borderId="48" xfId="28255" applyNumberFormat="1" applyFont="1" applyBorder="1" applyAlignment="1">
      <alignment vertical="center"/>
    </xf>
    <xf numFmtId="11" fontId="22" fillId="0" borderId="48" xfId="0" applyNumberFormat="1" applyFont="1" applyBorder="1" applyAlignment="1">
      <alignment vertical="center"/>
    </xf>
    <xf numFmtId="11" fontId="32" fillId="0" borderId="0" xfId="28255" applyNumberFormat="1" applyFont="1" applyAlignment="1">
      <alignment vertical="center"/>
    </xf>
    <xf numFmtId="11" fontId="12" fillId="0" borderId="0" xfId="0" applyNumberFormat="1" applyFont="1" applyAlignment="1">
      <alignment vertical="center"/>
    </xf>
    <xf numFmtId="11" fontId="8" fillId="0" borderId="0" xfId="0" applyNumberFormat="1" applyFont="1" applyAlignment="1">
      <alignment vertical="center"/>
    </xf>
    <xf numFmtId="11" fontId="45" fillId="0" borderId="0" xfId="0" applyNumberFormat="1" applyFont="1" applyAlignment="1">
      <alignment vertical="center"/>
    </xf>
    <xf numFmtId="11" fontId="24" fillId="0" borderId="0" xfId="0" applyNumberFormat="1" applyFont="1" applyAlignment="1">
      <alignment vertical="center"/>
    </xf>
    <xf numFmtId="11" fontId="32" fillId="6" borderId="22" xfId="28915" applyNumberFormat="1" applyFont="1" applyFill="1" applyBorder="1" applyAlignment="1">
      <alignment horizontal="center" vertical="center"/>
    </xf>
    <xf numFmtId="11" fontId="32" fillId="6" borderId="58" xfId="28915" applyNumberFormat="1" applyFont="1" applyFill="1" applyBorder="1" applyAlignment="1">
      <alignment horizontal="center" vertical="center"/>
    </xf>
    <xf numFmtId="11" fontId="32" fillId="6" borderId="20" xfId="28915" applyNumberFormat="1" applyFont="1" applyFill="1" applyBorder="1" applyAlignment="1">
      <alignment horizontal="center" vertical="center"/>
    </xf>
    <xf numFmtId="11" fontId="32" fillId="6" borderId="21" xfId="28255" applyNumberFormat="1" applyFont="1" applyFill="1" applyBorder="1" applyAlignment="1">
      <alignment horizontal="center" vertical="center"/>
    </xf>
    <xf numFmtId="11" fontId="1" fillId="6" borderId="13" xfId="0" applyNumberFormat="1" applyFont="1" applyFill="1" applyBorder="1" applyAlignment="1">
      <alignment horizontal="center" vertical="center"/>
    </xf>
    <xf numFmtId="11" fontId="32" fillId="6" borderId="10" xfId="28915" applyNumberFormat="1" applyFont="1" applyFill="1" applyBorder="1" applyAlignment="1">
      <alignment horizontal="center" vertical="center"/>
    </xf>
    <xf numFmtId="11" fontId="32" fillId="6" borderId="19" xfId="28915" applyNumberFormat="1" applyFont="1" applyFill="1" applyBorder="1" applyAlignment="1">
      <alignment horizontal="center" vertical="center"/>
    </xf>
    <xf numFmtId="11" fontId="32" fillId="6" borderId="23" xfId="28915" applyNumberFormat="1" applyFont="1" applyFill="1" applyBorder="1" applyAlignment="1">
      <alignment horizontal="center" vertical="center"/>
    </xf>
    <xf numFmtId="11" fontId="48" fillId="0" borderId="0" xfId="0" applyNumberFormat="1" applyFont="1" applyAlignment="1">
      <alignment horizontal="center" vertical="center" wrapText="1"/>
    </xf>
    <xf numFmtId="11" fontId="49" fillId="0" borderId="0" xfId="0" applyNumberFormat="1" applyFont="1" applyAlignment="1">
      <alignment vertical="center" wrapText="1"/>
    </xf>
    <xf numFmtId="11" fontId="32" fillId="0" borderId="0" xfId="0" applyNumberFormat="1" applyFont="1" applyAlignment="1">
      <alignment horizontal="center" vertical="center"/>
    </xf>
    <xf numFmtId="11" fontId="45" fillId="0" borderId="0" xfId="0" applyNumberFormat="1" applyFont="1" applyAlignment="1">
      <alignment horizontal="center" vertical="center"/>
    </xf>
    <xf numFmtId="11" fontId="53" fillId="2" borderId="30" xfId="28255" applyNumberFormat="1" applyFont="1" applyFill="1" applyBorder="1" applyAlignment="1">
      <alignment horizontal="center" vertical="center"/>
    </xf>
    <xf numFmtId="11" fontId="32" fillId="0" borderId="11" xfId="28915" applyNumberFormat="1" applyFont="1" applyBorder="1" applyAlignment="1">
      <alignment horizontal="center" vertical="center"/>
    </xf>
    <xf numFmtId="11" fontId="32" fillId="0" borderId="13" xfId="28255" applyNumberFormat="1" applyFont="1" applyBorder="1" applyAlignment="1">
      <alignment horizontal="center" vertical="center"/>
    </xf>
    <xf numFmtId="11" fontId="32" fillId="3" borderId="13" xfId="28915" applyNumberFormat="1" applyFont="1" applyFill="1" applyBorder="1" applyAlignment="1">
      <alignment horizontal="center" vertical="center" wrapText="1"/>
    </xf>
    <xf numFmtId="11" fontId="32" fillId="0" borderId="17" xfId="28915" applyNumberFormat="1" applyFont="1" applyBorder="1" applyAlignment="1">
      <alignment horizontal="center" vertical="center"/>
    </xf>
    <xf numFmtId="11" fontId="10" fillId="0" borderId="0" xfId="0" applyNumberFormat="1" applyFont="1" applyAlignment="1">
      <alignment vertical="center"/>
    </xf>
    <xf numFmtId="11" fontId="52" fillId="2" borderId="85" xfId="28255" applyNumberFormat="1" applyFont="1" applyFill="1" applyBorder="1" applyAlignment="1">
      <alignment horizontal="center" vertical="center"/>
    </xf>
    <xf numFmtId="11" fontId="4" fillId="0" borderId="0" xfId="0" applyNumberFormat="1" applyFont="1" applyAlignment="1">
      <alignment vertical="center"/>
    </xf>
    <xf numFmtId="11" fontId="5" fillId="0" borderId="52" xfId="0" applyNumberFormat="1" applyFont="1" applyBorder="1" applyAlignment="1">
      <alignment horizontal="center" vertical="center"/>
    </xf>
    <xf numFmtId="11" fontId="5" fillId="0" borderId="13" xfId="0" applyNumberFormat="1" applyFont="1" applyBorder="1" applyAlignment="1">
      <alignment horizontal="center" vertical="center"/>
    </xf>
    <xf numFmtId="11" fontId="20" fillId="0" borderId="13" xfId="0" applyNumberFormat="1" applyFont="1" applyBorder="1" applyAlignment="1">
      <alignment horizontal="center" vertical="center"/>
    </xf>
    <xf numFmtId="11" fontId="21" fillId="0" borderId="13" xfId="0" applyNumberFormat="1" applyFont="1" applyBorder="1" applyAlignment="1">
      <alignment horizontal="center" vertical="center"/>
    </xf>
    <xf numFmtId="11" fontId="4" fillId="0" borderId="0" xfId="0" applyNumberFormat="1" applyFont="1" applyAlignment="1">
      <alignment horizontal="center" vertical="center"/>
    </xf>
    <xf numFmtId="11" fontId="0" fillId="0" borderId="0" xfId="0" quotePrefix="1" applyNumberFormat="1" applyAlignment="1">
      <alignment vertical="center"/>
    </xf>
    <xf numFmtId="11" fontId="52" fillId="2" borderId="30" xfId="28255" applyNumberFormat="1" applyFont="1" applyFill="1" applyBorder="1" applyAlignment="1">
      <alignment horizontal="left" vertical="center"/>
    </xf>
    <xf numFmtId="11" fontId="61" fillId="2" borderId="30" xfId="28255" applyNumberFormat="1" applyFont="1" applyFill="1" applyBorder="1" applyAlignment="1">
      <alignment horizontal="left" vertical="center"/>
    </xf>
    <xf numFmtId="11" fontId="54" fillId="0" borderId="0" xfId="0" applyNumberFormat="1" applyFont="1" applyAlignment="1">
      <alignment vertical="center"/>
    </xf>
    <xf numFmtId="11" fontId="2" fillId="0" borderId="0" xfId="0" applyNumberFormat="1" applyFont="1" applyAlignment="1">
      <alignment vertical="center"/>
    </xf>
    <xf numFmtId="11" fontId="44" fillId="0" borderId="0" xfId="0" applyNumberFormat="1" applyFont="1" applyAlignment="1">
      <alignment vertical="center"/>
    </xf>
    <xf numFmtId="11" fontId="32" fillId="4" borderId="11" xfId="28915" applyNumberFormat="1" applyFont="1" applyFill="1" applyBorder="1" applyAlignment="1">
      <alignment horizontal="center" vertical="center"/>
    </xf>
    <xf numFmtId="11" fontId="32" fillId="4" borderId="13" xfId="28915" applyNumberFormat="1" applyFont="1" applyFill="1" applyBorder="1" applyAlignment="1">
      <alignment horizontal="center" vertical="center"/>
    </xf>
    <xf numFmtId="11" fontId="2" fillId="0" borderId="0" xfId="0" applyNumberFormat="1" applyFont="1" applyAlignment="1">
      <alignment horizontal="left" vertical="center"/>
    </xf>
    <xf numFmtId="11" fontId="41" fillId="0" borderId="0" xfId="28255" applyNumberFormat="1" applyFont="1" applyAlignment="1">
      <alignment horizontal="center" vertical="center" wrapText="1"/>
    </xf>
    <xf numFmtId="11" fontId="4" fillId="0" borderId="0" xfId="0" applyNumberFormat="1" applyFont="1" applyAlignment="1">
      <alignment horizontal="center"/>
    </xf>
    <xf numFmtId="11" fontId="52" fillId="2" borderId="7" xfId="28255" applyNumberFormat="1" applyFont="1" applyFill="1" applyBorder="1" applyAlignment="1">
      <alignment horizontal="center" vertical="center"/>
    </xf>
    <xf numFmtId="11" fontId="8" fillId="0" borderId="0" xfId="0" applyNumberFormat="1" applyFont="1" applyAlignment="1">
      <alignment horizontal="center"/>
    </xf>
    <xf numFmtId="11" fontId="53" fillId="2" borderId="30" xfId="28255" applyNumberFormat="1" applyFont="1" applyFill="1" applyBorder="1" applyAlignment="1">
      <alignment horizontal="right" vertical="center"/>
    </xf>
    <xf numFmtId="11" fontId="4" fillId="2" borderId="38" xfId="0" applyNumberFormat="1" applyFont="1" applyFill="1" applyBorder="1" applyAlignment="1">
      <alignment horizontal="center"/>
    </xf>
    <xf numFmtId="168" fontId="28" fillId="0" borderId="0" xfId="28255" applyNumberFormat="1" applyAlignment="1">
      <alignment horizontal="center" vertical="center"/>
    </xf>
    <xf numFmtId="168" fontId="52" fillId="2" borderId="38" xfId="28255" applyNumberFormat="1" applyFont="1" applyFill="1" applyBorder="1" applyAlignment="1">
      <alignment horizontal="center" vertical="center"/>
    </xf>
    <xf numFmtId="168" fontId="52" fillId="2" borderId="30" xfId="28255" applyNumberFormat="1" applyFont="1" applyFill="1" applyBorder="1" applyAlignment="1">
      <alignment horizontal="center" vertical="center"/>
    </xf>
    <xf numFmtId="168" fontId="32" fillId="0" borderId="0" xfId="28255" applyNumberFormat="1" applyFont="1" applyAlignment="1">
      <alignment horizontal="center" vertical="center"/>
    </xf>
    <xf numFmtId="168" fontId="0" fillId="0" borderId="0" xfId="0" applyNumberFormat="1" applyAlignment="1">
      <alignment horizontal="center" vertical="center"/>
    </xf>
    <xf numFmtId="11" fontId="32" fillId="3" borderId="11" xfId="28915" applyNumberFormat="1" applyFont="1" applyFill="1" applyBorder="1" applyAlignment="1">
      <alignment horizontal="center" vertical="center" wrapText="1"/>
    </xf>
    <xf numFmtId="11" fontId="0" fillId="2" borderId="38" xfId="0" applyNumberFormat="1" applyFill="1" applyBorder="1" applyAlignment="1">
      <alignment vertical="center"/>
    </xf>
    <xf numFmtId="11" fontId="0" fillId="2" borderId="3" xfId="0" applyNumberFormat="1" applyFill="1" applyBorder="1" applyAlignment="1">
      <alignment vertical="center"/>
    </xf>
    <xf numFmtId="11" fontId="32" fillId="3" borderId="25" xfId="28915" applyNumberFormat="1" applyFont="1" applyFill="1" applyBorder="1" applyAlignment="1">
      <alignment horizontal="center" vertical="center" wrapText="1"/>
    </xf>
    <xf numFmtId="11" fontId="32" fillId="2" borderId="38" xfId="28255" applyNumberFormat="1" applyFont="1" applyFill="1" applyBorder="1" applyAlignment="1">
      <alignment horizontal="center" vertical="center"/>
    </xf>
    <xf numFmtId="11" fontId="1" fillId="0" borderId="48" xfId="0" applyNumberFormat="1" applyFont="1" applyBorder="1" applyAlignment="1">
      <alignment horizontal="center" vertical="center"/>
    </xf>
    <xf numFmtId="11" fontId="37" fillId="0" borderId="0" xfId="0" applyNumberFormat="1" applyFont="1" applyAlignment="1">
      <alignment horizontal="center" vertical="center"/>
    </xf>
    <xf numFmtId="11" fontId="32" fillId="9" borderId="11" xfId="28915" applyNumberFormat="1" applyFont="1" applyFill="1" applyBorder="1" applyAlignment="1">
      <alignment horizontal="center" vertical="center"/>
    </xf>
    <xf numFmtId="11" fontId="32" fillId="9" borderId="13" xfId="28915" applyNumberFormat="1" applyFont="1" applyFill="1" applyBorder="1" applyAlignment="1">
      <alignment horizontal="center" vertical="center"/>
    </xf>
    <xf numFmtId="11" fontId="32" fillId="9" borderId="13" xfId="28255" applyNumberFormat="1" applyFont="1" applyFill="1" applyBorder="1" applyAlignment="1">
      <alignment horizontal="center" vertical="center"/>
    </xf>
    <xf numFmtId="11" fontId="32" fillId="9" borderId="17" xfId="28915" applyNumberFormat="1" applyFont="1" applyFill="1" applyBorder="1" applyAlignment="1">
      <alignment horizontal="center" vertical="center"/>
    </xf>
    <xf numFmtId="11" fontId="32" fillId="9" borderId="42" xfId="28915" applyNumberFormat="1" applyFont="1" applyFill="1" applyBorder="1" applyAlignment="1">
      <alignment horizontal="center" vertical="center"/>
    </xf>
    <xf numFmtId="11" fontId="32" fillId="9" borderId="15" xfId="28915" applyNumberFormat="1" applyFont="1" applyFill="1" applyBorder="1" applyAlignment="1">
      <alignment horizontal="center" vertical="center"/>
    </xf>
    <xf numFmtId="11" fontId="32" fillId="9" borderId="13" xfId="28915" applyNumberFormat="1" applyFont="1" applyFill="1" applyBorder="1" applyAlignment="1">
      <alignment horizontal="center" vertical="center" wrapText="1"/>
    </xf>
    <xf numFmtId="11" fontId="32" fillId="9" borderId="10" xfId="28915" applyNumberFormat="1" applyFont="1" applyFill="1" applyBorder="1" applyAlignment="1">
      <alignment horizontal="center" vertical="center"/>
    </xf>
    <xf numFmtId="0" fontId="32" fillId="0" borderId="13" xfId="28255" applyFont="1" applyBorder="1" applyAlignment="1">
      <alignment horizontal="center" vertical="center"/>
    </xf>
    <xf numFmtId="0" fontId="32" fillId="0" borderId="13" xfId="28255" applyFont="1" applyBorder="1" applyAlignment="1">
      <alignment horizontal="left" vertical="center" wrapText="1"/>
    </xf>
    <xf numFmtId="0" fontId="32" fillId="0" borderId="10" xfId="28255" applyFont="1" applyBorder="1" applyAlignment="1">
      <alignment horizontal="center" vertical="center"/>
    </xf>
    <xf numFmtId="11" fontId="1" fillId="0" borderId="13" xfId="0" applyNumberFormat="1" applyFont="1" applyBorder="1" applyAlignment="1">
      <alignment horizontal="center" vertical="center"/>
    </xf>
    <xf numFmtId="166" fontId="24" fillId="0" borderId="0" xfId="0" applyNumberFormat="1" applyFont="1" applyAlignment="1">
      <alignment horizontal="center" vertical="center"/>
    </xf>
    <xf numFmtId="166" fontId="24" fillId="2" borderId="38" xfId="0" applyNumberFormat="1" applyFont="1" applyFill="1" applyBorder="1" applyAlignment="1">
      <alignment horizontal="center" vertical="center"/>
    </xf>
    <xf numFmtId="166" fontId="52" fillId="2" borderId="30" xfId="28255" applyNumberFormat="1" applyFont="1" applyFill="1" applyBorder="1" applyAlignment="1">
      <alignment horizontal="left" vertical="center"/>
    </xf>
    <xf numFmtId="166" fontId="61" fillId="2" borderId="30" xfId="28255" applyNumberFormat="1" applyFont="1" applyFill="1" applyBorder="1" applyAlignment="1">
      <alignment horizontal="left" vertical="center"/>
    </xf>
    <xf numFmtId="1" fontId="34" fillId="2" borderId="38" xfId="28255" applyNumberFormat="1" applyFont="1" applyFill="1" applyBorder="1" applyAlignment="1">
      <alignment horizontal="center" vertical="center"/>
    </xf>
    <xf numFmtId="1" fontId="32" fillId="0" borderId="0" xfId="28255" applyNumberFormat="1" applyFont="1" applyAlignment="1">
      <alignment horizontal="center" vertical="center"/>
    </xf>
    <xf numFmtId="11" fontId="32" fillId="3" borderId="10" xfId="28915" applyNumberFormat="1" applyFont="1" applyFill="1" applyBorder="1" applyAlignment="1">
      <alignment horizontal="center" vertical="center" wrapText="1"/>
    </xf>
    <xf numFmtId="11" fontId="33" fillId="0" borderId="0" xfId="28255" applyNumberFormat="1" applyFont="1" applyAlignment="1">
      <alignment horizontal="center"/>
    </xf>
    <xf numFmtId="11" fontId="45" fillId="0" borderId="0" xfId="0" applyNumberFormat="1" applyFont="1" applyAlignment="1">
      <alignment horizontal="center"/>
    </xf>
    <xf numFmtId="11" fontId="45" fillId="0" borderId="0" xfId="0" applyNumberFormat="1" applyFont="1"/>
    <xf numFmtId="11" fontId="30" fillId="0" borderId="0" xfId="0" applyNumberFormat="1" applyFont="1" applyAlignment="1">
      <alignment vertical="center"/>
    </xf>
    <xf numFmtId="11" fontId="1" fillId="3" borderId="13" xfId="0" applyNumberFormat="1" applyFont="1" applyFill="1" applyBorder="1" applyAlignment="1">
      <alignment horizontal="center" vertical="center"/>
    </xf>
    <xf numFmtId="11" fontId="1" fillId="0" borderId="0" xfId="0" applyNumberFormat="1" applyFont="1"/>
    <xf numFmtId="11" fontId="1" fillId="0" borderId="0" xfId="0" applyNumberFormat="1" applyFont="1" applyAlignment="1">
      <alignment horizontal="center"/>
    </xf>
    <xf numFmtId="11" fontId="1" fillId="0" borderId="26" xfId="0" applyNumberFormat="1" applyFont="1" applyBorder="1" applyAlignment="1">
      <alignment horizontal="center" vertical="center"/>
    </xf>
    <xf numFmtId="11" fontId="1" fillId="0" borderId="25" xfId="0" applyNumberFormat="1" applyFont="1" applyBorder="1" applyAlignment="1">
      <alignment horizontal="center" vertical="center"/>
    </xf>
    <xf numFmtId="11" fontId="1" fillId="0" borderId="59" xfId="0" applyNumberFormat="1" applyFont="1" applyBorder="1" applyAlignment="1">
      <alignment horizontal="center" vertical="center"/>
    </xf>
    <xf numFmtId="0" fontId="1" fillId="0" borderId="13" xfId="0" applyFont="1" applyBorder="1" applyAlignment="1">
      <alignment horizontal="center"/>
    </xf>
    <xf numFmtId="11" fontId="1" fillId="0" borderId="24" xfId="0" applyNumberFormat="1" applyFont="1" applyBorder="1" applyAlignment="1">
      <alignment horizontal="center" vertical="center"/>
    </xf>
    <xf numFmtId="0" fontId="1" fillId="0" borderId="15" xfId="0" applyFont="1" applyBorder="1" applyAlignment="1">
      <alignment horizontal="center"/>
    </xf>
    <xf numFmtId="11" fontId="1" fillId="2" borderId="38" xfId="0" applyNumberFormat="1" applyFont="1" applyFill="1" applyBorder="1" applyAlignment="1">
      <alignment horizontal="center" vertical="center"/>
    </xf>
    <xf numFmtId="11" fontId="1" fillId="2" borderId="3" xfId="0" applyNumberFormat="1" applyFont="1" applyFill="1" applyBorder="1" applyAlignment="1">
      <alignment horizontal="center" vertical="center"/>
    </xf>
    <xf numFmtId="0" fontId="1" fillId="0" borderId="0" xfId="0" applyFont="1" applyAlignment="1">
      <alignment horizontal="center" vertical="center"/>
    </xf>
    <xf numFmtId="1" fontId="1" fillId="0" borderId="0" xfId="0" applyNumberFormat="1" applyFont="1" applyAlignment="1">
      <alignment horizontal="center" vertical="center"/>
    </xf>
    <xf numFmtId="11" fontId="35" fillId="0" borderId="0" xfId="0" applyNumberFormat="1" applyFont="1"/>
    <xf numFmtId="1" fontId="32" fillId="0" borderId="0" xfId="28255" applyNumberFormat="1" applyFont="1" applyAlignment="1">
      <alignment vertical="center"/>
    </xf>
    <xf numFmtId="1" fontId="74" fillId="0" borderId="0" xfId="0" applyNumberFormat="1" applyFont="1" applyAlignment="1">
      <alignment vertical="center"/>
    </xf>
    <xf numFmtId="1" fontId="32" fillId="0" borderId="0" xfId="0" applyNumberFormat="1" applyFont="1" applyAlignment="1">
      <alignment horizontal="center" vertical="center" wrapText="1"/>
    </xf>
    <xf numFmtId="1" fontId="32" fillId="0" borderId="0" xfId="0" applyNumberFormat="1" applyFont="1" applyAlignment="1">
      <alignment horizontal="center" vertical="center"/>
    </xf>
    <xf numFmtId="1" fontId="74" fillId="0" borderId="0" xfId="0" applyNumberFormat="1" applyFont="1" applyAlignment="1">
      <alignment vertical="center" wrapText="1"/>
    </xf>
    <xf numFmtId="1" fontId="74" fillId="0" borderId="0" xfId="0" applyNumberFormat="1" applyFont="1" applyAlignment="1">
      <alignment horizontal="right" vertical="center" wrapText="1"/>
    </xf>
    <xf numFmtId="11" fontId="74" fillId="0" borderId="0" xfId="0" applyNumberFormat="1" applyFont="1" applyAlignment="1">
      <alignment vertical="center"/>
    </xf>
    <xf numFmtId="11" fontId="32" fillId="0" borderId="0" xfId="0" applyNumberFormat="1" applyFont="1" applyAlignment="1">
      <alignment horizontal="center" vertical="center" wrapText="1"/>
    </xf>
    <xf numFmtId="11" fontId="74" fillId="0" borderId="0" xfId="0" applyNumberFormat="1" applyFont="1" applyAlignment="1">
      <alignment vertical="center" wrapText="1"/>
    </xf>
    <xf numFmtId="11" fontId="74" fillId="0" borderId="0" xfId="0" applyNumberFormat="1" applyFont="1" applyAlignment="1">
      <alignment horizontal="right" vertical="center" wrapText="1"/>
    </xf>
    <xf numFmtId="11" fontId="32" fillId="9" borderId="21" xfId="28915" applyNumberFormat="1" applyFont="1" applyFill="1" applyBorder="1" applyAlignment="1">
      <alignment horizontal="center" vertical="center" wrapText="1"/>
    </xf>
    <xf numFmtId="11" fontId="32" fillId="9" borderId="19" xfId="28915" applyNumberFormat="1" applyFont="1" applyFill="1" applyBorder="1" applyAlignment="1">
      <alignment horizontal="center" vertical="center" wrapText="1"/>
    </xf>
    <xf numFmtId="11" fontId="32" fillId="9" borderId="20" xfId="28255" applyNumberFormat="1" applyFont="1" applyFill="1" applyBorder="1" applyAlignment="1">
      <alignment horizontal="center" vertical="center"/>
    </xf>
    <xf numFmtId="11" fontId="32" fillId="9" borderId="20" xfId="28915" applyNumberFormat="1" applyFont="1" applyFill="1" applyBorder="1" applyAlignment="1">
      <alignment horizontal="center" vertical="center" wrapText="1"/>
    </xf>
    <xf numFmtId="11" fontId="32" fillId="9" borderId="22" xfId="28255" applyNumberFormat="1" applyFont="1" applyFill="1" applyBorder="1" applyAlignment="1">
      <alignment horizontal="center" vertical="center"/>
    </xf>
    <xf numFmtId="11" fontId="32" fillId="9" borderId="29" xfId="28915" applyNumberFormat="1" applyFont="1" applyFill="1" applyBorder="1" applyAlignment="1">
      <alignment horizontal="center" vertical="center" wrapText="1"/>
    </xf>
    <xf numFmtId="11" fontId="32" fillId="9" borderId="21" xfId="28255" applyNumberFormat="1" applyFont="1" applyFill="1" applyBorder="1" applyAlignment="1">
      <alignment horizontal="center" vertical="center"/>
    </xf>
    <xf numFmtId="11" fontId="32" fillId="9" borderId="10" xfId="28255" applyNumberFormat="1" applyFont="1" applyFill="1" applyBorder="1" applyAlignment="1">
      <alignment horizontal="center" vertical="center"/>
    </xf>
    <xf numFmtId="11" fontId="32" fillId="9" borderId="22" xfId="28915" applyNumberFormat="1" applyFont="1" applyFill="1" applyBorder="1" applyAlignment="1">
      <alignment horizontal="center" vertical="center" wrapText="1"/>
    </xf>
    <xf numFmtId="11" fontId="32" fillId="9" borderId="52" xfId="28915" applyNumberFormat="1" applyFont="1" applyFill="1" applyBorder="1" applyAlignment="1">
      <alignment horizontal="center" vertical="center" wrapText="1"/>
    </xf>
    <xf numFmtId="11" fontId="32" fillId="9" borderId="21" xfId="28915" applyNumberFormat="1" applyFont="1" applyFill="1" applyBorder="1" applyAlignment="1">
      <alignment horizontal="center" vertical="center"/>
    </xf>
    <xf numFmtId="11" fontId="32" fillId="9" borderId="20" xfId="28915" applyNumberFormat="1" applyFont="1" applyFill="1" applyBorder="1" applyAlignment="1">
      <alignment horizontal="center" vertical="center"/>
    </xf>
    <xf numFmtId="11" fontId="32" fillId="9" borderId="52" xfId="28916" applyNumberFormat="1" applyFont="1" applyFill="1" applyBorder="1" applyAlignment="1">
      <alignment horizontal="center" vertical="center" wrapText="1"/>
    </xf>
    <xf numFmtId="11" fontId="32" fillId="9" borderId="13" xfId="28916" applyNumberFormat="1" applyFont="1" applyFill="1" applyBorder="1" applyAlignment="1">
      <alignment horizontal="center" vertical="center" wrapText="1"/>
    </xf>
    <xf numFmtId="11" fontId="32" fillId="9" borderId="21" xfId="28916" applyNumberFormat="1" applyFont="1" applyFill="1" applyBorder="1" applyAlignment="1">
      <alignment horizontal="center" vertical="center" wrapText="1"/>
    </xf>
    <xf numFmtId="11" fontId="32" fillId="9" borderId="23" xfId="28915" applyNumberFormat="1" applyFont="1" applyFill="1" applyBorder="1" applyAlignment="1">
      <alignment horizontal="center" vertical="center" wrapText="1"/>
    </xf>
    <xf numFmtId="11" fontId="32" fillId="8" borderId="21" xfId="28915" applyNumberFormat="1" applyFont="1" applyFill="1" applyBorder="1" applyAlignment="1">
      <alignment horizontal="center" vertical="center" wrapText="1"/>
    </xf>
    <xf numFmtId="11" fontId="32" fillId="8" borderId="19" xfId="28915" applyNumberFormat="1" applyFont="1" applyFill="1" applyBorder="1" applyAlignment="1">
      <alignment horizontal="center" vertical="center" wrapText="1"/>
    </xf>
    <xf numFmtId="11" fontId="32" fillId="8" borderId="21" xfId="28255" applyNumberFormat="1" applyFont="1" applyFill="1" applyBorder="1" applyAlignment="1">
      <alignment horizontal="center" vertical="center"/>
    </xf>
    <xf numFmtId="11" fontId="32" fillId="8" borderId="20" xfId="28915" applyNumberFormat="1" applyFont="1" applyFill="1" applyBorder="1" applyAlignment="1">
      <alignment horizontal="center" vertical="center" wrapText="1"/>
    </xf>
    <xf numFmtId="11" fontId="32" fillId="8" borderId="22" xfId="28915" applyNumberFormat="1" applyFont="1" applyFill="1" applyBorder="1" applyAlignment="1">
      <alignment horizontal="center" vertical="center" wrapText="1"/>
    </xf>
    <xf numFmtId="11" fontId="32" fillId="8" borderId="52" xfId="28915" applyNumberFormat="1" applyFont="1" applyFill="1" applyBorder="1" applyAlignment="1">
      <alignment horizontal="center" vertical="center" wrapText="1"/>
    </xf>
    <xf numFmtId="11" fontId="32" fillId="8" borderId="13" xfId="28915" applyNumberFormat="1" applyFont="1" applyFill="1" applyBorder="1" applyAlignment="1">
      <alignment horizontal="center" vertical="center" wrapText="1"/>
    </xf>
    <xf numFmtId="11" fontId="32" fillId="8" borderId="21" xfId="28915" applyNumberFormat="1" applyFont="1" applyFill="1" applyBorder="1" applyAlignment="1">
      <alignment horizontal="center" vertical="center"/>
    </xf>
    <xf numFmtId="11" fontId="32" fillId="8" borderId="20" xfId="28915" applyNumberFormat="1" applyFont="1" applyFill="1" applyBorder="1" applyAlignment="1">
      <alignment horizontal="center" vertical="center"/>
    </xf>
    <xf numFmtId="11" fontId="32" fillId="8" borderId="52" xfId="28916" applyNumberFormat="1" applyFont="1" applyFill="1" applyBorder="1" applyAlignment="1">
      <alignment horizontal="center" vertical="center" wrapText="1"/>
    </xf>
    <xf numFmtId="11" fontId="32" fillId="8" borderId="13" xfId="28916" applyNumberFormat="1" applyFont="1" applyFill="1" applyBorder="1" applyAlignment="1">
      <alignment horizontal="center" vertical="center" wrapText="1"/>
    </xf>
    <xf numFmtId="11" fontId="32" fillId="8" borderId="21" xfId="28916" applyNumberFormat="1" applyFont="1" applyFill="1" applyBorder="1" applyAlignment="1">
      <alignment horizontal="center" vertical="center" wrapText="1"/>
    </xf>
    <xf numFmtId="11" fontId="32" fillId="10" borderId="13" xfId="28915" applyNumberFormat="1" applyFont="1" applyFill="1" applyBorder="1" applyAlignment="1">
      <alignment horizontal="center" vertical="center" wrapText="1"/>
    </xf>
    <xf numFmtId="11" fontId="32" fillId="10" borderId="10" xfId="28915" applyNumberFormat="1" applyFont="1" applyFill="1" applyBorder="1" applyAlignment="1">
      <alignment horizontal="center" vertical="center" wrapText="1"/>
    </xf>
    <xf numFmtId="11" fontId="32" fillId="10" borderId="21" xfId="28255" applyNumberFormat="1" applyFont="1" applyFill="1" applyBorder="1" applyAlignment="1">
      <alignment horizontal="center" vertical="center"/>
    </xf>
    <xf numFmtId="11" fontId="32" fillId="10" borderId="11" xfId="28915" applyNumberFormat="1" applyFont="1" applyFill="1" applyBorder="1" applyAlignment="1">
      <alignment horizontal="center" vertical="center" wrapText="1"/>
    </xf>
    <xf numFmtId="11" fontId="32" fillId="10" borderId="52" xfId="28915" applyNumberFormat="1" applyFont="1" applyFill="1" applyBorder="1" applyAlignment="1">
      <alignment horizontal="center" vertical="center" wrapText="1"/>
    </xf>
    <xf numFmtId="11" fontId="32" fillId="10" borderId="15" xfId="28915" applyNumberFormat="1" applyFont="1" applyFill="1" applyBorder="1" applyAlignment="1">
      <alignment horizontal="center" vertical="center" wrapText="1"/>
    </xf>
    <xf numFmtId="11" fontId="32" fillId="10" borderId="13" xfId="28915" applyNumberFormat="1" applyFont="1" applyFill="1" applyBorder="1" applyAlignment="1">
      <alignment horizontal="center" vertical="center"/>
    </xf>
    <xf numFmtId="11" fontId="32" fillId="10" borderId="11" xfId="28915" applyNumberFormat="1" applyFont="1" applyFill="1" applyBorder="1" applyAlignment="1">
      <alignment horizontal="center" vertical="center"/>
    </xf>
    <xf numFmtId="11" fontId="32" fillId="10" borderId="52" xfId="28916" applyNumberFormat="1" applyFont="1" applyFill="1" applyBorder="1" applyAlignment="1">
      <alignment horizontal="center" vertical="center" wrapText="1"/>
    </xf>
    <xf numFmtId="11" fontId="32" fillId="10" borderId="13" xfId="28916" applyNumberFormat="1" applyFont="1" applyFill="1" applyBorder="1" applyAlignment="1">
      <alignment horizontal="center" vertical="center" wrapText="1"/>
    </xf>
    <xf numFmtId="11" fontId="1" fillId="9" borderId="15" xfId="0" applyNumberFormat="1" applyFont="1" applyFill="1" applyBorder="1" applyAlignment="1">
      <alignment horizontal="center"/>
    </xf>
    <xf numFmtId="11" fontId="1" fillId="9" borderId="13" xfId="0" applyNumberFormat="1" applyFont="1" applyFill="1" applyBorder="1" applyAlignment="1">
      <alignment horizontal="center"/>
    </xf>
    <xf numFmtId="11" fontId="1" fillId="9" borderId="17" xfId="0" applyNumberFormat="1" applyFont="1" applyFill="1" applyBorder="1" applyAlignment="1">
      <alignment horizontal="center"/>
    </xf>
    <xf numFmtId="11" fontId="32" fillId="12" borderId="21" xfId="28915" applyNumberFormat="1" applyFont="1" applyFill="1" applyBorder="1" applyAlignment="1">
      <alignment horizontal="center" vertical="center" wrapText="1"/>
    </xf>
    <xf numFmtId="11" fontId="32" fillId="12" borderId="13" xfId="28915" applyNumberFormat="1" applyFont="1" applyFill="1" applyBorder="1" applyAlignment="1">
      <alignment horizontal="center" vertical="center" wrapText="1"/>
    </xf>
    <xf numFmtId="11" fontId="32" fillId="12" borderId="22" xfId="28915" applyNumberFormat="1" applyFont="1" applyFill="1" applyBorder="1" applyAlignment="1">
      <alignment horizontal="center" vertical="center" wrapText="1"/>
    </xf>
    <xf numFmtId="11" fontId="32" fillId="12" borderId="15" xfId="28915" applyNumberFormat="1" applyFont="1" applyFill="1" applyBorder="1" applyAlignment="1">
      <alignment horizontal="center" vertical="center" wrapText="1"/>
    </xf>
    <xf numFmtId="11" fontId="32" fillId="12" borderId="17" xfId="28915" applyNumberFormat="1" applyFont="1" applyFill="1" applyBorder="1" applyAlignment="1">
      <alignment horizontal="center" vertical="center" wrapText="1"/>
    </xf>
    <xf numFmtId="11" fontId="32" fillId="12" borderId="19" xfId="28915" applyNumberFormat="1" applyFont="1" applyFill="1" applyBorder="1" applyAlignment="1">
      <alignment horizontal="center" vertical="center" wrapText="1"/>
    </xf>
    <xf numFmtId="11" fontId="32" fillId="12" borderId="21" xfId="28255" applyNumberFormat="1" applyFont="1" applyFill="1" applyBorder="1" applyAlignment="1">
      <alignment horizontal="center" vertical="center"/>
    </xf>
    <xf numFmtId="11" fontId="32" fillId="12" borderId="20" xfId="28915" applyNumberFormat="1" applyFont="1" applyFill="1" applyBorder="1" applyAlignment="1">
      <alignment horizontal="center" vertical="center" wrapText="1"/>
    </xf>
    <xf numFmtId="11" fontId="32" fillId="12" borderId="11" xfId="28915" applyNumberFormat="1" applyFont="1" applyFill="1" applyBorder="1" applyAlignment="1">
      <alignment horizontal="center" vertical="center" wrapText="1"/>
    </xf>
    <xf numFmtId="11" fontId="32" fillId="12" borderId="52" xfId="28915" applyNumberFormat="1" applyFont="1" applyFill="1" applyBorder="1" applyAlignment="1">
      <alignment horizontal="center" vertical="center" wrapText="1"/>
    </xf>
    <xf numFmtId="11" fontId="32" fillId="12" borderId="13" xfId="28915" applyNumberFormat="1" applyFont="1" applyFill="1" applyBorder="1" applyAlignment="1">
      <alignment horizontal="center" vertical="center"/>
    </xf>
    <xf numFmtId="11" fontId="32" fillId="12" borderId="11" xfId="28915" applyNumberFormat="1" applyFont="1" applyFill="1" applyBorder="1" applyAlignment="1">
      <alignment horizontal="center" vertical="center"/>
    </xf>
    <xf numFmtId="11" fontId="32" fillId="12" borderId="52" xfId="28916" applyNumberFormat="1" applyFont="1" applyFill="1" applyBorder="1" applyAlignment="1">
      <alignment horizontal="center" vertical="center" wrapText="1"/>
    </xf>
    <xf numFmtId="11" fontId="32" fillId="12" borderId="13" xfId="28916" applyNumberFormat="1" applyFont="1" applyFill="1" applyBorder="1" applyAlignment="1">
      <alignment horizontal="center" vertical="center" wrapText="1"/>
    </xf>
    <xf numFmtId="1" fontId="32" fillId="11" borderId="13" xfId="28915" applyNumberFormat="1" applyFont="1" applyFill="1" applyBorder="1" applyAlignment="1">
      <alignment horizontal="center" vertical="center" wrapText="1"/>
    </xf>
    <xf numFmtId="1" fontId="32" fillId="11" borderId="10" xfId="28915" applyNumberFormat="1" applyFont="1" applyFill="1" applyBorder="1" applyAlignment="1">
      <alignment horizontal="center" vertical="center" wrapText="1"/>
    </xf>
    <xf numFmtId="1" fontId="32" fillId="11" borderId="21" xfId="28255" applyNumberFormat="1" applyFont="1" applyFill="1" applyBorder="1" applyAlignment="1">
      <alignment horizontal="center" vertical="center"/>
    </xf>
    <xf numFmtId="1" fontId="32" fillId="11" borderId="52" xfId="28915" applyNumberFormat="1" applyFont="1" applyFill="1" applyBorder="1" applyAlignment="1">
      <alignment horizontal="center" vertical="center" wrapText="1"/>
    </xf>
    <xf numFmtId="1" fontId="32" fillId="11" borderId="11" xfId="28915" applyNumberFormat="1" applyFont="1" applyFill="1" applyBorder="1" applyAlignment="1">
      <alignment horizontal="center" vertical="center" wrapText="1"/>
    </xf>
    <xf numFmtId="1" fontId="32" fillId="11" borderId="15" xfId="28915" applyNumberFormat="1" applyFont="1" applyFill="1" applyBorder="1" applyAlignment="1">
      <alignment horizontal="center" vertical="center" wrapText="1"/>
    </xf>
    <xf numFmtId="1" fontId="32" fillId="11" borderId="13" xfId="28915" applyNumberFormat="1" applyFont="1" applyFill="1" applyBorder="1" applyAlignment="1">
      <alignment horizontal="center" vertical="center"/>
    </xf>
    <xf numFmtId="1" fontId="32" fillId="11" borderId="11" xfId="28915" applyNumberFormat="1" applyFont="1" applyFill="1" applyBorder="1" applyAlignment="1">
      <alignment horizontal="center" vertical="center"/>
    </xf>
    <xf numFmtId="1" fontId="32" fillId="11" borderId="52" xfId="28916" applyNumberFormat="1" applyFont="1" applyFill="1" applyBorder="1" applyAlignment="1">
      <alignment horizontal="center" vertical="center" wrapText="1"/>
    </xf>
    <xf numFmtId="1" fontId="32" fillId="11" borderId="13" xfId="28916" applyNumberFormat="1" applyFont="1" applyFill="1" applyBorder="1" applyAlignment="1">
      <alignment horizontal="center" vertical="center" wrapText="1"/>
    </xf>
    <xf numFmtId="11" fontId="32" fillId="9" borderId="42" xfId="28915" applyNumberFormat="1" applyFont="1" applyFill="1" applyBorder="1" applyAlignment="1">
      <alignment horizontal="center" vertical="center" wrapText="1"/>
    </xf>
    <xf numFmtId="11" fontId="32" fillId="9" borderId="50" xfId="28915" applyNumberFormat="1" applyFont="1" applyFill="1" applyBorder="1" applyAlignment="1">
      <alignment horizontal="center" vertical="center" wrapText="1"/>
    </xf>
    <xf numFmtId="11" fontId="32" fillId="9" borderId="43" xfId="28915" applyNumberFormat="1" applyFont="1" applyFill="1" applyBorder="1" applyAlignment="1">
      <alignment horizontal="center" vertical="center" wrapText="1"/>
    </xf>
    <xf numFmtId="11" fontId="32" fillId="9" borderId="40" xfId="28915" applyNumberFormat="1" applyFont="1" applyFill="1" applyBorder="1" applyAlignment="1">
      <alignment horizontal="center" vertical="center" wrapText="1"/>
    </xf>
    <xf numFmtId="11" fontId="32" fillId="9" borderId="28" xfId="28915" applyNumberFormat="1" applyFont="1" applyFill="1" applyBorder="1" applyAlignment="1">
      <alignment horizontal="center" vertical="center" wrapText="1"/>
    </xf>
    <xf numFmtId="11" fontId="32" fillId="9" borderId="61" xfId="28915" applyNumberFormat="1" applyFont="1" applyFill="1" applyBorder="1" applyAlignment="1">
      <alignment horizontal="center" vertical="center" wrapText="1"/>
    </xf>
    <xf numFmtId="11" fontId="32" fillId="9" borderId="61" xfId="28916" applyNumberFormat="1" applyFont="1" applyFill="1" applyBorder="1" applyAlignment="1">
      <alignment horizontal="center" vertical="center" wrapText="1"/>
    </xf>
    <xf numFmtId="11" fontId="32" fillId="9" borderId="40" xfId="28916" applyNumberFormat="1" applyFont="1" applyFill="1" applyBorder="1" applyAlignment="1">
      <alignment horizontal="center" vertical="center" wrapText="1"/>
    </xf>
    <xf numFmtId="11" fontId="32" fillId="9" borderId="42" xfId="28916" applyNumberFormat="1" applyFont="1" applyFill="1" applyBorder="1" applyAlignment="1">
      <alignment horizontal="center" vertical="center" wrapText="1"/>
    </xf>
    <xf numFmtId="11" fontId="1" fillId="8" borderId="11" xfId="0" applyNumberFormat="1" applyFont="1" applyFill="1" applyBorder="1" applyAlignment="1">
      <alignment horizontal="center"/>
    </xf>
    <xf numFmtId="11" fontId="32" fillId="8" borderId="13" xfId="0" applyNumberFormat="1" applyFont="1" applyFill="1" applyBorder="1" applyAlignment="1">
      <alignment horizontal="center"/>
    </xf>
    <xf numFmtId="11" fontId="1" fillId="8" borderId="15" xfId="0" applyNumberFormat="1" applyFont="1" applyFill="1" applyBorder="1" applyAlignment="1">
      <alignment horizontal="center"/>
    </xf>
    <xf numFmtId="11" fontId="1" fillId="8" borderId="13" xfId="0" applyNumberFormat="1" applyFont="1" applyFill="1" applyBorder="1" applyAlignment="1">
      <alignment horizontal="center"/>
    </xf>
    <xf numFmtId="11" fontId="1" fillId="8" borderId="17" xfId="0" applyNumberFormat="1" applyFont="1" applyFill="1" applyBorder="1" applyAlignment="1">
      <alignment horizontal="center"/>
    </xf>
    <xf numFmtId="165" fontId="32" fillId="3" borderId="13" xfId="28915" applyNumberFormat="1" applyFont="1" applyFill="1" applyBorder="1" applyAlignment="1">
      <alignment horizontal="center" vertical="center" wrapText="1"/>
    </xf>
    <xf numFmtId="165" fontId="32" fillId="3" borderId="13" xfId="28915" applyNumberFormat="1" applyFont="1" applyFill="1" applyBorder="1" applyAlignment="1">
      <alignment horizontal="center" vertical="center"/>
    </xf>
    <xf numFmtId="165" fontId="32" fillId="3" borderId="13" xfId="28916" applyNumberFormat="1" applyFont="1" applyFill="1" applyBorder="1" applyAlignment="1">
      <alignment horizontal="center" vertical="center" wrapText="1"/>
    </xf>
    <xf numFmtId="165" fontId="32" fillId="3" borderId="17" xfId="28915" applyNumberFormat="1" applyFont="1" applyFill="1" applyBorder="1" applyAlignment="1">
      <alignment horizontal="center" vertical="center" wrapText="1"/>
    </xf>
    <xf numFmtId="165" fontId="32" fillId="9" borderId="40" xfId="28915" applyNumberFormat="1" applyFont="1" applyFill="1" applyBorder="1" applyAlignment="1">
      <alignment horizontal="center" vertical="center" wrapText="1"/>
    </xf>
    <xf numFmtId="165" fontId="32" fillId="9" borderId="28" xfId="28915" applyNumberFormat="1" applyFont="1" applyFill="1" applyBorder="1" applyAlignment="1">
      <alignment horizontal="center" vertical="center" wrapText="1"/>
    </xf>
    <xf numFmtId="165" fontId="32" fillId="8" borderId="52" xfId="28915" applyNumberFormat="1" applyFont="1" applyFill="1" applyBorder="1" applyAlignment="1">
      <alignment horizontal="center" vertical="center" wrapText="1"/>
    </xf>
    <xf numFmtId="165" fontId="32" fillId="8" borderId="10" xfId="28915" applyNumberFormat="1" applyFont="1" applyFill="1" applyBorder="1" applyAlignment="1">
      <alignment horizontal="center" vertical="center" wrapText="1"/>
    </xf>
    <xf numFmtId="165" fontId="32" fillId="8" borderId="18" xfId="28915" applyNumberFormat="1" applyFont="1" applyFill="1" applyBorder="1" applyAlignment="1">
      <alignment horizontal="center" vertical="center" wrapText="1"/>
    </xf>
    <xf numFmtId="165" fontId="32" fillId="8" borderId="52" xfId="28916" applyNumberFormat="1" applyFont="1" applyFill="1" applyBorder="1" applyAlignment="1">
      <alignment horizontal="center" vertical="center" wrapText="1"/>
    </xf>
    <xf numFmtId="165" fontId="32" fillId="8" borderId="17" xfId="28915" applyNumberFormat="1" applyFont="1" applyFill="1" applyBorder="1" applyAlignment="1">
      <alignment horizontal="center" vertical="center" wrapText="1"/>
    </xf>
    <xf numFmtId="165" fontId="32" fillId="6" borderId="52" xfId="28915" applyNumberFormat="1" applyFont="1" applyFill="1" applyBorder="1" applyAlignment="1">
      <alignment horizontal="center" vertical="center" wrapText="1"/>
    </xf>
    <xf numFmtId="165" fontId="32" fillId="6" borderId="11" xfId="28915" applyNumberFormat="1" applyFont="1" applyFill="1" applyBorder="1" applyAlignment="1">
      <alignment horizontal="center" vertical="center" wrapText="1"/>
    </xf>
    <xf numFmtId="165" fontId="32" fillId="6" borderId="13" xfId="28915" applyNumberFormat="1" applyFont="1" applyFill="1" applyBorder="1" applyAlignment="1">
      <alignment horizontal="center" vertical="center" wrapText="1"/>
    </xf>
    <xf numFmtId="165" fontId="32" fillId="6" borderId="10" xfId="28915" applyNumberFormat="1" applyFont="1" applyFill="1" applyBorder="1" applyAlignment="1">
      <alignment horizontal="center" vertical="center" wrapText="1"/>
    </xf>
    <xf numFmtId="165" fontId="32" fillId="6" borderId="15" xfId="28915" applyNumberFormat="1" applyFont="1" applyFill="1" applyBorder="1" applyAlignment="1">
      <alignment horizontal="center" vertical="center" wrapText="1"/>
    </xf>
    <xf numFmtId="165" fontId="32" fillId="6" borderId="18" xfId="28915" applyNumberFormat="1" applyFont="1" applyFill="1" applyBorder="1" applyAlignment="1">
      <alignment horizontal="center" vertical="center" wrapText="1"/>
    </xf>
    <xf numFmtId="165" fontId="32" fillId="6" borderId="52" xfId="28916" applyNumberFormat="1" applyFont="1" applyFill="1" applyBorder="1" applyAlignment="1">
      <alignment horizontal="center" vertical="center" wrapText="1"/>
    </xf>
    <xf numFmtId="165" fontId="32" fillId="6" borderId="13" xfId="28916" applyNumberFormat="1" applyFont="1" applyFill="1" applyBorder="1" applyAlignment="1">
      <alignment horizontal="center" vertical="center" wrapText="1"/>
    </xf>
    <xf numFmtId="165" fontId="32" fillId="6" borderId="17" xfId="28915" applyNumberFormat="1" applyFont="1" applyFill="1" applyBorder="1" applyAlignment="1">
      <alignment horizontal="center" vertical="center" wrapText="1"/>
    </xf>
    <xf numFmtId="165" fontId="32" fillId="12" borderId="22" xfId="28915" applyNumberFormat="1" applyFont="1" applyFill="1" applyBorder="1" applyAlignment="1">
      <alignment horizontal="center" vertical="center"/>
    </xf>
    <xf numFmtId="165" fontId="32" fillId="12" borderId="22" xfId="28255" applyNumberFormat="1" applyFont="1" applyFill="1" applyBorder="1" applyAlignment="1">
      <alignment horizontal="center" vertical="center"/>
    </xf>
    <xf numFmtId="165" fontId="32" fillId="12" borderId="21" xfId="28915" applyNumberFormat="1" applyFont="1" applyFill="1" applyBorder="1" applyAlignment="1">
      <alignment horizontal="center" vertical="center"/>
    </xf>
    <xf numFmtId="165" fontId="32" fillId="12" borderId="20" xfId="28915" applyNumberFormat="1" applyFont="1" applyFill="1" applyBorder="1" applyAlignment="1">
      <alignment horizontal="center" vertical="center"/>
    </xf>
    <xf numFmtId="165" fontId="32" fillId="12" borderId="29" xfId="28915" applyNumberFormat="1" applyFont="1" applyFill="1" applyBorder="1" applyAlignment="1">
      <alignment horizontal="center" vertical="center"/>
    </xf>
    <xf numFmtId="165" fontId="32" fillId="12" borderId="21" xfId="28915" applyNumberFormat="1" applyFont="1" applyFill="1" applyBorder="1" applyAlignment="1">
      <alignment horizontal="center" vertical="center" wrapText="1"/>
    </xf>
    <xf numFmtId="165" fontId="32" fillId="12" borderId="21" xfId="28255" applyNumberFormat="1" applyFont="1" applyFill="1" applyBorder="1" applyAlignment="1">
      <alignment horizontal="center" vertical="center"/>
    </xf>
    <xf numFmtId="165" fontId="32" fillId="12" borderId="19" xfId="28915" applyNumberFormat="1" applyFont="1" applyFill="1" applyBorder="1" applyAlignment="1">
      <alignment horizontal="center" vertical="center"/>
    </xf>
    <xf numFmtId="165" fontId="32" fillId="12" borderId="22" xfId="28915" applyNumberFormat="1" applyFont="1" applyFill="1" applyBorder="1" applyAlignment="1">
      <alignment horizontal="center" vertical="center" wrapText="1"/>
    </xf>
    <xf numFmtId="165" fontId="32" fillId="10" borderId="13" xfId="28915" applyNumberFormat="1" applyFont="1" applyFill="1" applyBorder="1" applyAlignment="1">
      <alignment horizontal="center" vertical="center" wrapText="1"/>
    </xf>
    <xf numFmtId="165" fontId="32" fillId="10" borderId="15" xfId="28915" applyNumberFormat="1" applyFont="1" applyFill="1" applyBorder="1" applyAlignment="1">
      <alignment horizontal="center" vertical="center" wrapText="1"/>
    </xf>
    <xf numFmtId="165" fontId="32" fillId="10" borderId="11" xfId="28915" applyNumberFormat="1" applyFont="1" applyFill="1" applyBorder="1" applyAlignment="1">
      <alignment horizontal="center" vertical="center" wrapText="1"/>
    </xf>
    <xf numFmtId="165" fontId="32" fillId="10" borderId="13" xfId="28916" applyNumberFormat="1" applyFont="1" applyFill="1" applyBorder="1" applyAlignment="1">
      <alignment horizontal="center" vertical="center" wrapText="1"/>
    </xf>
    <xf numFmtId="165" fontId="32" fillId="3" borderId="15" xfId="28915" applyNumberFormat="1" applyFont="1" applyFill="1" applyBorder="1" applyAlignment="1">
      <alignment horizontal="center" vertical="center" wrapText="1"/>
    </xf>
    <xf numFmtId="165" fontId="32" fillId="3" borderId="11" xfId="28915" applyNumberFormat="1" applyFont="1" applyFill="1" applyBorder="1" applyAlignment="1">
      <alignment horizontal="center" vertical="center" wrapText="1"/>
    </xf>
    <xf numFmtId="165" fontId="32" fillId="3" borderId="11" xfId="28915" applyNumberFormat="1" applyFont="1" applyFill="1" applyBorder="1" applyAlignment="1">
      <alignment horizontal="center" vertical="center"/>
    </xf>
    <xf numFmtId="165" fontId="32" fillId="3" borderId="10" xfId="28915" applyNumberFormat="1" applyFont="1" applyFill="1" applyBorder="1" applyAlignment="1">
      <alignment horizontal="center" vertical="center" wrapText="1"/>
    </xf>
    <xf numFmtId="165" fontId="32" fillId="3" borderId="15" xfId="28916" applyNumberFormat="1" applyFont="1" applyFill="1" applyBorder="1" applyAlignment="1">
      <alignment horizontal="center" vertical="center" wrapText="1"/>
    </xf>
    <xf numFmtId="165" fontId="32" fillId="9" borderId="13" xfId="28915" applyNumberFormat="1" applyFont="1" applyFill="1" applyBorder="1" applyAlignment="1">
      <alignment horizontal="center" vertical="center" wrapText="1"/>
    </xf>
    <xf numFmtId="165" fontId="32" fillId="9" borderId="15" xfId="28915" applyNumberFormat="1" applyFont="1" applyFill="1" applyBorder="1" applyAlignment="1">
      <alignment horizontal="center" vertical="center" wrapText="1"/>
    </xf>
    <xf numFmtId="165" fontId="32" fillId="9" borderId="11" xfId="28915" applyNumberFormat="1" applyFont="1" applyFill="1" applyBorder="1" applyAlignment="1">
      <alignment horizontal="center" vertical="center" wrapText="1"/>
    </xf>
    <xf numFmtId="165" fontId="32" fillId="9" borderId="11" xfId="28915" applyNumberFormat="1" applyFont="1" applyFill="1" applyBorder="1" applyAlignment="1">
      <alignment horizontal="center" vertical="center"/>
    </xf>
    <xf numFmtId="165" fontId="32" fillId="9" borderId="13" xfId="28915" applyNumberFormat="1" applyFont="1" applyFill="1" applyBorder="1" applyAlignment="1">
      <alignment horizontal="center" vertical="center"/>
    </xf>
    <xf numFmtId="165" fontId="32" fillId="9" borderId="10" xfId="28915" applyNumberFormat="1" applyFont="1" applyFill="1" applyBorder="1" applyAlignment="1">
      <alignment horizontal="center" vertical="center" wrapText="1"/>
    </xf>
    <xf numFmtId="165" fontId="32" fillId="9" borderId="13" xfId="28916" applyNumberFormat="1" applyFont="1" applyFill="1" applyBorder="1" applyAlignment="1">
      <alignment horizontal="center" vertical="center" wrapText="1"/>
    </xf>
    <xf numFmtId="165" fontId="32" fillId="9" borderId="15" xfId="28916" applyNumberFormat="1" applyFont="1" applyFill="1" applyBorder="1" applyAlignment="1">
      <alignment horizontal="center" vertical="center" wrapText="1"/>
    </xf>
    <xf numFmtId="165" fontId="32" fillId="9" borderId="52" xfId="28915" applyNumberFormat="1" applyFont="1" applyFill="1" applyBorder="1" applyAlignment="1">
      <alignment horizontal="center" vertical="center" wrapText="1"/>
    </xf>
    <xf numFmtId="165" fontId="32" fillId="9" borderId="17" xfId="28915" applyNumberFormat="1" applyFont="1" applyFill="1" applyBorder="1" applyAlignment="1">
      <alignment horizontal="center" vertical="center" wrapText="1"/>
    </xf>
    <xf numFmtId="165" fontId="32" fillId="8" borderId="32" xfId="28915" applyNumberFormat="1" applyFont="1" applyFill="1" applyBorder="1" applyAlignment="1">
      <alignment horizontal="center" vertical="center" wrapText="1"/>
    </xf>
    <xf numFmtId="165" fontId="32" fillId="8" borderId="33" xfId="28915" applyNumberFormat="1" applyFont="1" applyFill="1" applyBorder="1" applyAlignment="1">
      <alignment horizontal="center" vertical="center" wrapText="1"/>
    </xf>
    <xf numFmtId="165" fontId="32" fillId="8" borderId="31" xfId="28915" applyNumberFormat="1" applyFont="1" applyFill="1" applyBorder="1" applyAlignment="1">
      <alignment horizontal="center" vertical="center" wrapText="1"/>
    </xf>
    <xf numFmtId="165" fontId="32" fillId="8" borderId="31" xfId="28915" applyNumberFormat="1" applyFont="1" applyFill="1" applyBorder="1" applyAlignment="1">
      <alignment horizontal="center" vertical="center"/>
    </xf>
    <xf numFmtId="165" fontId="32" fillId="8" borderId="32" xfId="28915" applyNumberFormat="1" applyFont="1" applyFill="1" applyBorder="1" applyAlignment="1">
      <alignment horizontal="center" vertical="center"/>
    </xf>
    <xf numFmtId="165" fontId="32" fillId="8" borderId="49" xfId="28915" applyNumberFormat="1" applyFont="1" applyFill="1" applyBorder="1" applyAlignment="1">
      <alignment horizontal="center" vertical="center" wrapText="1"/>
    </xf>
    <xf numFmtId="165" fontId="32" fillId="8" borderId="32" xfId="28916" applyNumberFormat="1" applyFont="1" applyFill="1" applyBorder="1" applyAlignment="1">
      <alignment horizontal="center" vertical="center" wrapText="1"/>
    </xf>
    <xf numFmtId="165" fontId="32" fillId="8" borderId="33" xfId="28916" applyNumberFormat="1" applyFont="1" applyFill="1" applyBorder="1" applyAlignment="1">
      <alignment horizontal="center" vertical="center" wrapText="1"/>
    </xf>
    <xf numFmtId="165" fontId="32" fillId="8" borderId="34" xfId="28915" applyNumberFormat="1" applyFont="1" applyFill="1" applyBorder="1" applyAlignment="1">
      <alignment horizontal="center" vertical="center" wrapText="1"/>
    </xf>
    <xf numFmtId="165" fontId="32" fillId="12" borderId="42" xfId="28915" applyNumberFormat="1" applyFont="1" applyFill="1" applyBorder="1" applyAlignment="1">
      <alignment horizontal="center" vertical="center" wrapText="1"/>
    </xf>
    <xf numFmtId="165" fontId="32" fillId="12" borderId="43" xfId="28255" applyNumberFormat="1" applyFont="1" applyFill="1" applyBorder="1" applyAlignment="1">
      <alignment horizontal="center" vertical="center"/>
    </xf>
    <xf numFmtId="165" fontId="32" fillId="12" borderId="43" xfId="28915" applyNumberFormat="1" applyFont="1" applyFill="1" applyBorder="1" applyAlignment="1">
      <alignment horizontal="center" vertical="center" wrapText="1"/>
    </xf>
    <xf numFmtId="165" fontId="32" fillId="12" borderId="40" xfId="28915" applyNumberFormat="1" applyFont="1" applyFill="1" applyBorder="1" applyAlignment="1">
      <alignment horizontal="center" vertical="center" wrapText="1"/>
    </xf>
    <xf numFmtId="165" fontId="32" fillId="12" borderId="40" xfId="28915" applyNumberFormat="1" applyFont="1" applyFill="1" applyBorder="1" applyAlignment="1">
      <alignment horizontal="center" vertical="center"/>
    </xf>
    <xf numFmtId="165" fontId="32" fillId="12" borderId="42" xfId="28915" applyNumberFormat="1" applyFont="1" applyFill="1" applyBorder="1" applyAlignment="1">
      <alignment horizontal="center" vertical="center"/>
    </xf>
    <xf numFmtId="165" fontId="32" fillId="12" borderId="50" xfId="28915" applyNumberFormat="1" applyFont="1" applyFill="1" applyBorder="1" applyAlignment="1">
      <alignment horizontal="center" vertical="center" wrapText="1"/>
    </xf>
    <xf numFmtId="165" fontId="32" fillId="12" borderId="42" xfId="28916" applyNumberFormat="1" applyFont="1" applyFill="1" applyBorder="1" applyAlignment="1">
      <alignment horizontal="center" vertical="center" wrapText="1"/>
    </xf>
    <xf numFmtId="165" fontId="32" fillId="12" borderId="43" xfId="28916" applyNumberFormat="1" applyFont="1" applyFill="1" applyBorder="1" applyAlignment="1">
      <alignment horizontal="center" vertical="center" wrapText="1"/>
    </xf>
    <xf numFmtId="165" fontId="32" fillId="12" borderId="41" xfId="28915" applyNumberFormat="1" applyFont="1" applyFill="1" applyBorder="1" applyAlignment="1">
      <alignment horizontal="center" vertical="center" wrapText="1"/>
    </xf>
    <xf numFmtId="11" fontId="32" fillId="9" borderId="33" xfId="28915" applyNumberFormat="1" applyFont="1" applyFill="1" applyBorder="1" applyAlignment="1">
      <alignment horizontal="center" vertical="center" wrapText="1"/>
    </xf>
    <xf numFmtId="11" fontId="32" fillId="9" borderId="11" xfId="28915" applyNumberFormat="1" applyFont="1" applyFill="1" applyBorder="1" applyAlignment="1">
      <alignment horizontal="center" vertical="center" wrapText="1"/>
    </xf>
    <xf numFmtId="11" fontId="32" fillId="9" borderId="15" xfId="28915" applyNumberFormat="1" applyFont="1" applyFill="1" applyBorder="1" applyAlignment="1">
      <alignment horizontal="center" vertical="center" wrapText="1"/>
    </xf>
    <xf numFmtId="11" fontId="32" fillId="9" borderId="10" xfId="28915" applyNumberFormat="1" applyFont="1" applyFill="1" applyBorder="1" applyAlignment="1">
      <alignment horizontal="center" vertical="center" wrapText="1"/>
    </xf>
    <xf numFmtId="11" fontId="32" fillId="9" borderId="25" xfId="28915" applyNumberFormat="1" applyFont="1" applyFill="1" applyBorder="1" applyAlignment="1">
      <alignment horizontal="center" vertical="center" wrapText="1"/>
    </xf>
    <xf numFmtId="11" fontId="32" fillId="9" borderId="32" xfId="28915" applyNumberFormat="1" applyFont="1" applyFill="1" applyBorder="1" applyAlignment="1">
      <alignment horizontal="center" vertical="center" wrapText="1"/>
    </xf>
    <xf numFmtId="11" fontId="32" fillId="9" borderId="49" xfId="28915" applyNumberFormat="1" applyFont="1" applyFill="1" applyBorder="1" applyAlignment="1">
      <alignment horizontal="center" vertical="center" wrapText="1"/>
    </xf>
    <xf numFmtId="11" fontId="32" fillId="9" borderId="32" xfId="28916" applyNumberFormat="1" applyFont="1" applyFill="1" applyBorder="1" applyAlignment="1">
      <alignment horizontal="center" vertical="center" wrapText="1"/>
    </xf>
    <xf numFmtId="11" fontId="32" fillId="9" borderId="31" xfId="28915" applyNumberFormat="1" applyFont="1" applyFill="1" applyBorder="1" applyAlignment="1">
      <alignment horizontal="center" vertical="center" wrapText="1"/>
    </xf>
    <xf numFmtId="11" fontId="32" fillId="9" borderId="32" xfId="28915" applyNumberFormat="1" applyFont="1" applyFill="1" applyBorder="1" applyAlignment="1">
      <alignment horizontal="center" vertical="center"/>
    </xf>
    <xf numFmtId="11" fontId="32" fillId="9" borderId="17" xfId="28915" applyNumberFormat="1" applyFont="1" applyFill="1" applyBorder="1" applyAlignment="1">
      <alignment horizontal="center" vertical="center" wrapText="1"/>
    </xf>
    <xf numFmtId="11" fontId="32" fillId="9" borderId="34" xfId="28915" applyNumberFormat="1" applyFont="1" applyFill="1" applyBorder="1" applyAlignment="1">
      <alignment horizontal="center" vertical="center" wrapText="1"/>
    </xf>
    <xf numFmtId="11" fontId="32" fillId="8" borderId="29" xfId="28915" applyNumberFormat="1" applyFont="1" applyFill="1" applyBorder="1" applyAlignment="1">
      <alignment horizontal="center" vertical="center" wrapText="1"/>
    </xf>
    <xf numFmtId="11" fontId="32" fillId="8" borderId="10" xfId="28915" applyNumberFormat="1" applyFont="1" applyFill="1" applyBorder="1" applyAlignment="1">
      <alignment horizontal="center" vertical="center" wrapText="1"/>
    </xf>
    <xf numFmtId="11" fontId="32" fillId="8" borderId="57" xfId="28915" applyNumberFormat="1" applyFont="1" applyFill="1" applyBorder="1" applyAlignment="1">
      <alignment horizontal="center" vertical="center" wrapText="1"/>
    </xf>
    <xf numFmtId="11" fontId="32" fillId="8" borderId="54" xfId="28915" applyNumberFormat="1" applyFont="1" applyFill="1" applyBorder="1" applyAlignment="1">
      <alignment horizontal="center" vertical="center" wrapText="1"/>
    </xf>
    <xf numFmtId="11" fontId="32" fillId="9" borderId="15" xfId="28255" applyNumberFormat="1" applyFont="1" applyFill="1" applyBorder="1" applyAlignment="1">
      <alignment horizontal="center" vertical="center"/>
    </xf>
    <xf numFmtId="11" fontId="32" fillId="9" borderId="15" xfId="28916" applyNumberFormat="1" applyFont="1" applyFill="1" applyBorder="1" applyAlignment="1">
      <alignment horizontal="center" vertical="center" wrapText="1"/>
    </xf>
    <xf numFmtId="11" fontId="32" fillId="9" borderId="22" xfId="28916" applyNumberFormat="1" applyFont="1" applyFill="1" applyBorder="1" applyAlignment="1">
      <alignment horizontal="center" vertical="center" wrapText="1"/>
    </xf>
    <xf numFmtId="11" fontId="32" fillId="8" borderId="22" xfId="28916" applyNumberFormat="1" applyFont="1" applyFill="1" applyBorder="1" applyAlignment="1">
      <alignment horizontal="center" vertical="center" wrapText="1"/>
    </xf>
    <xf numFmtId="11" fontId="32" fillId="8" borderId="13" xfId="28915" applyNumberFormat="1" applyFont="1" applyFill="1" applyBorder="1" applyAlignment="1">
      <alignment horizontal="center" vertical="center"/>
    </xf>
    <xf numFmtId="11" fontId="32" fillId="12" borderId="10" xfId="28915" applyNumberFormat="1" applyFont="1" applyFill="1" applyBorder="1" applyAlignment="1">
      <alignment horizontal="center" vertical="center" wrapText="1"/>
    </xf>
    <xf numFmtId="11" fontId="24" fillId="9" borderId="13" xfId="0" applyNumberFormat="1" applyFont="1" applyFill="1" applyBorder="1" applyAlignment="1">
      <alignment horizontal="center" vertical="center"/>
    </xf>
    <xf numFmtId="11" fontId="32" fillId="9" borderId="22" xfId="28915" applyNumberFormat="1" applyFont="1" applyFill="1" applyBorder="1" applyAlignment="1">
      <alignment horizontal="center" vertical="center"/>
    </xf>
    <xf numFmtId="11" fontId="32" fillId="9" borderId="52" xfId="28915" applyNumberFormat="1" applyFont="1" applyFill="1" applyBorder="1" applyAlignment="1">
      <alignment horizontal="center" vertical="center"/>
    </xf>
    <xf numFmtId="11" fontId="32" fillId="9" borderId="58" xfId="28915" applyNumberFormat="1" applyFont="1" applyFill="1" applyBorder="1" applyAlignment="1">
      <alignment horizontal="center" vertical="center"/>
    </xf>
    <xf numFmtId="11" fontId="24" fillId="9" borderId="15" xfId="0" applyNumberFormat="1" applyFont="1" applyFill="1" applyBorder="1" applyAlignment="1">
      <alignment horizontal="center" vertical="center"/>
    </xf>
    <xf numFmtId="11" fontId="1" fillId="9" borderId="13" xfId="0" applyNumberFormat="1" applyFont="1" applyFill="1" applyBorder="1" applyAlignment="1">
      <alignment horizontal="center" vertical="center"/>
    </xf>
    <xf numFmtId="11" fontId="1" fillId="9" borderId="10" xfId="0" applyNumberFormat="1" applyFont="1" applyFill="1" applyBorder="1" applyAlignment="1">
      <alignment horizontal="center" vertical="center"/>
    </xf>
    <xf numFmtId="11" fontId="32" fillId="9" borderId="19" xfId="28915" applyNumberFormat="1" applyFont="1" applyFill="1" applyBorder="1" applyAlignment="1">
      <alignment horizontal="center" vertical="center"/>
    </xf>
    <xf numFmtId="11" fontId="32" fillId="9" borderId="23" xfId="28915" applyNumberFormat="1" applyFont="1" applyFill="1" applyBorder="1" applyAlignment="1">
      <alignment horizontal="center" vertical="center"/>
    </xf>
    <xf numFmtId="11" fontId="24" fillId="9" borderId="17" xfId="0" applyNumberFormat="1" applyFont="1" applyFill="1" applyBorder="1" applyAlignment="1">
      <alignment horizontal="center" vertical="center"/>
    </xf>
    <xf numFmtId="11" fontId="32" fillId="8" borderId="22" xfId="28915" applyNumberFormat="1" applyFont="1" applyFill="1" applyBorder="1" applyAlignment="1">
      <alignment horizontal="center" vertical="center"/>
    </xf>
    <xf numFmtId="11" fontId="32" fillId="8" borderId="10" xfId="28915" applyNumberFormat="1" applyFont="1" applyFill="1" applyBorder="1" applyAlignment="1">
      <alignment horizontal="center" vertical="center"/>
    </xf>
    <xf numFmtId="11" fontId="32" fillId="8" borderId="58" xfId="28915" applyNumberFormat="1" applyFont="1" applyFill="1" applyBorder="1" applyAlignment="1">
      <alignment horizontal="center" vertical="center"/>
    </xf>
    <xf numFmtId="11" fontId="32" fillId="8" borderId="19" xfId="28915" applyNumberFormat="1" applyFont="1" applyFill="1" applyBorder="1" applyAlignment="1">
      <alignment horizontal="center" vertical="center"/>
    </xf>
    <xf numFmtId="11" fontId="32" fillId="8" borderId="23" xfId="28915" applyNumberFormat="1" applyFont="1" applyFill="1" applyBorder="1" applyAlignment="1">
      <alignment horizontal="center" vertical="center"/>
    </xf>
    <xf numFmtId="11" fontId="32" fillId="8" borderId="11" xfId="28915" applyNumberFormat="1" applyFont="1" applyFill="1" applyBorder="1" applyAlignment="1">
      <alignment horizontal="center" vertical="center"/>
    </xf>
    <xf numFmtId="11" fontId="32" fillId="8" borderId="13" xfId="28255" applyNumberFormat="1" applyFont="1" applyFill="1" applyBorder="1" applyAlignment="1">
      <alignment horizontal="center" vertical="center"/>
    </xf>
    <xf numFmtId="11" fontId="32" fillId="12" borderId="13" xfId="28255" applyNumberFormat="1" applyFont="1" applyFill="1" applyBorder="1" applyAlignment="1">
      <alignment horizontal="center" vertical="center"/>
    </xf>
    <xf numFmtId="11" fontId="32" fillId="4" borderId="13" xfId="28255" applyNumberFormat="1" applyFont="1" applyFill="1" applyBorder="1" applyAlignment="1">
      <alignment horizontal="center" vertical="center"/>
    </xf>
    <xf numFmtId="11" fontId="5" fillId="3" borderId="52" xfId="0" applyNumberFormat="1" applyFont="1" applyFill="1" applyBorder="1" applyAlignment="1">
      <alignment horizontal="center" vertical="center"/>
    </xf>
    <xf numFmtId="11" fontId="4" fillId="3" borderId="52" xfId="0" applyNumberFormat="1" applyFont="1" applyFill="1" applyBorder="1" applyAlignment="1">
      <alignment horizontal="center" vertical="center"/>
    </xf>
    <xf numFmtId="11" fontId="5" fillId="3" borderId="13" xfId="0" applyNumberFormat="1" applyFont="1" applyFill="1" applyBorder="1" applyAlignment="1">
      <alignment horizontal="center" vertical="center"/>
    </xf>
    <xf numFmtId="11" fontId="4" fillId="3" borderId="13" xfId="0" applyNumberFormat="1" applyFont="1" applyFill="1" applyBorder="1" applyAlignment="1">
      <alignment horizontal="center" vertical="center"/>
    </xf>
    <xf numFmtId="11" fontId="24" fillId="3" borderId="13" xfId="0" applyNumberFormat="1" applyFont="1" applyFill="1" applyBorder="1" applyAlignment="1">
      <alignment horizontal="center" vertical="center"/>
    </xf>
    <xf numFmtId="11" fontId="20" fillId="3" borderId="13" xfId="0" applyNumberFormat="1" applyFont="1" applyFill="1" applyBorder="1" applyAlignment="1">
      <alignment horizontal="center" vertical="center"/>
    </xf>
    <xf numFmtId="11" fontId="21" fillId="3" borderId="13" xfId="0" applyNumberFormat="1" applyFont="1" applyFill="1" applyBorder="1" applyAlignment="1">
      <alignment horizontal="center" vertical="center"/>
    </xf>
    <xf numFmtId="11" fontId="4" fillId="3" borderId="17" xfId="0" applyNumberFormat="1" applyFont="1" applyFill="1" applyBorder="1" applyAlignment="1">
      <alignment horizontal="center" vertical="center"/>
    </xf>
    <xf numFmtId="11" fontId="1" fillId="8" borderId="10" xfId="0" applyNumberFormat="1" applyFont="1" applyFill="1" applyBorder="1" applyAlignment="1">
      <alignment horizontal="center"/>
    </xf>
    <xf numFmtId="11" fontId="1" fillId="6" borderId="15" xfId="0" applyNumberFormat="1" applyFont="1" applyFill="1" applyBorder="1" applyAlignment="1">
      <alignment horizontal="center" vertical="center"/>
    </xf>
    <xf numFmtId="11" fontId="1" fillId="6" borderId="17" xfId="0" applyNumberFormat="1" applyFont="1" applyFill="1" applyBorder="1" applyAlignment="1">
      <alignment horizontal="center" vertical="center"/>
    </xf>
    <xf numFmtId="11" fontId="1" fillId="8" borderId="13" xfId="0" applyNumberFormat="1" applyFont="1" applyFill="1" applyBorder="1" applyAlignment="1">
      <alignment horizontal="center" vertical="center"/>
    </xf>
    <xf numFmtId="11" fontId="1" fillId="8" borderId="10" xfId="0" applyNumberFormat="1" applyFont="1" applyFill="1" applyBorder="1" applyAlignment="1">
      <alignment horizontal="center" vertical="center"/>
    </xf>
    <xf numFmtId="11" fontId="1" fillId="12" borderId="13" xfId="0" applyNumberFormat="1" applyFont="1" applyFill="1" applyBorder="1" applyAlignment="1">
      <alignment horizontal="center" vertical="center"/>
    </xf>
    <xf numFmtId="11" fontId="1" fillId="12" borderId="15" xfId="0" applyNumberFormat="1" applyFont="1" applyFill="1" applyBorder="1" applyAlignment="1">
      <alignment horizontal="center" vertical="center"/>
    </xf>
    <xf numFmtId="11" fontId="1" fillId="12" borderId="17" xfId="0" applyNumberFormat="1" applyFont="1" applyFill="1" applyBorder="1" applyAlignment="1">
      <alignment horizontal="center" vertical="center"/>
    </xf>
    <xf numFmtId="11" fontId="32" fillId="12" borderId="10" xfId="28915" applyNumberFormat="1" applyFont="1" applyFill="1" applyBorder="1" applyAlignment="1">
      <alignment horizontal="center" vertical="center"/>
    </xf>
    <xf numFmtId="168" fontId="32" fillId="9" borderId="15" xfId="28915" applyNumberFormat="1" applyFont="1" applyFill="1" applyBorder="1" applyAlignment="1">
      <alignment horizontal="center" vertical="center" wrapText="1"/>
    </xf>
    <xf numFmtId="11" fontId="24" fillId="9" borderId="10" xfId="0" applyNumberFormat="1" applyFont="1" applyFill="1" applyBorder="1" applyAlignment="1">
      <alignment horizontal="center" vertical="center"/>
    </xf>
    <xf numFmtId="11" fontId="32" fillId="9" borderId="58" xfId="28915" applyNumberFormat="1" applyFont="1" applyFill="1" applyBorder="1" applyAlignment="1">
      <alignment horizontal="center" vertical="center" wrapText="1"/>
    </xf>
    <xf numFmtId="11" fontId="24" fillId="9" borderId="52" xfId="0" applyNumberFormat="1" applyFont="1" applyFill="1" applyBorder="1" applyAlignment="1">
      <alignment horizontal="center" vertical="center"/>
    </xf>
    <xf numFmtId="168" fontId="32" fillId="9" borderId="15" xfId="28255" applyNumberFormat="1" applyFont="1" applyFill="1" applyBorder="1" applyAlignment="1">
      <alignment horizontal="center" vertical="center"/>
    </xf>
    <xf numFmtId="168" fontId="32" fillId="9" borderId="13" xfId="28255" applyNumberFormat="1" applyFont="1" applyFill="1" applyBorder="1" applyAlignment="1">
      <alignment horizontal="center" vertical="center"/>
    </xf>
    <xf numFmtId="168" fontId="32" fillId="9" borderId="10" xfId="28255" applyNumberFormat="1" applyFont="1" applyFill="1" applyBorder="1" applyAlignment="1">
      <alignment horizontal="center" vertical="center"/>
    </xf>
    <xf numFmtId="168" fontId="32" fillId="9" borderId="11" xfId="28915" applyNumberFormat="1" applyFont="1" applyFill="1" applyBorder="1" applyAlignment="1">
      <alignment horizontal="center" vertical="center" wrapText="1"/>
    </xf>
    <xf numFmtId="168" fontId="32" fillId="9" borderId="13" xfId="28915" applyNumberFormat="1" applyFont="1" applyFill="1" applyBorder="1" applyAlignment="1">
      <alignment horizontal="center" vertical="center" wrapText="1"/>
    </xf>
    <xf numFmtId="168" fontId="32" fillId="9" borderId="52" xfId="28915" applyNumberFormat="1" applyFont="1" applyFill="1" applyBorder="1" applyAlignment="1">
      <alignment horizontal="center" vertical="center" wrapText="1"/>
    </xf>
    <xf numFmtId="168" fontId="32" fillId="9" borderId="13" xfId="28915" applyNumberFormat="1" applyFont="1" applyFill="1" applyBorder="1" applyAlignment="1">
      <alignment horizontal="center" vertical="center"/>
    </xf>
    <xf numFmtId="168" fontId="32" fillId="9" borderId="52" xfId="28916" applyNumberFormat="1" applyFont="1" applyFill="1" applyBorder="1" applyAlignment="1">
      <alignment horizontal="center" vertical="center" wrapText="1"/>
    </xf>
    <xf numFmtId="168" fontId="32" fillId="9" borderId="13" xfId="28916" applyNumberFormat="1" applyFont="1" applyFill="1" applyBorder="1" applyAlignment="1">
      <alignment horizontal="center" vertical="center" wrapText="1"/>
    </xf>
    <xf numFmtId="168" fontId="32" fillId="9" borderId="17" xfId="28915" applyNumberFormat="1" applyFont="1" applyFill="1" applyBorder="1" applyAlignment="1">
      <alignment horizontal="center" vertical="center" wrapText="1"/>
    </xf>
    <xf numFmtId="11" fontId="24" fillId="8" borderId="13" xfId="0" applyNumberFormat="1" applyFont="1" applyFill="1" applyBorder="1" applyAlignment="1">
      <alignment horizontal="center" vertical="center"/>
    </xf>
    <xf numFmtId="11" fontId="13" fillId="8" borderId="13" xfId="0" applyNumberFormat="1" applyFont="1" applyFill="1" applyBorder="1" applyAlignment="1">
      <alignment horizontal="center" vertical="center"/>
    </xf>
    <xf numFmtId="11" fontId="10" fillId="8" borderId="13" xfId="0" applyNumberFormat="1" applyFont="1" applyFill="1" applyBorder="1" applyAlignment="1">
      <alignment horizontal="center" vertical="center"/>
    </xf>
    <xf numFmtId="11" fontId="13" fillId="8" borderId="10" xfId="0" applyNumberFormat="1" applyFont="1" applyFill="1" applyBorder="1" applyAlignment="1">
      <alignment horizontal="center" vertical="center"/>
    </xf>
    <xf numFmtId="11" fontId="13" fillId="8" borderId="52" xfId="0" applyNumberFormat="1" applyFont="1" applyFill="1" applyBorder="1" applyAlignment="1">
      <alignment horizontal="center" vertical="center"/>
    </xf>
    <xf numFmtId="11" fontId="24" fillId="8" borderId="52" xfId="0" applyNumberFormat="1" applyFont="1" applyFill="1" applyBorder="1" applyAlignment="1">
      <alignment horizontal="center" vertical="center"/>
    </xf>
    <xf numFmtId="11" fontId="24" fillId="8" borderId="15" xfId="0" applyNumberFormat="1" applyFont="1" applyFill="1" applyBorder="1" applyAlignment="1">
      <alignment horizontal="center" vertical="center"/>
    </xf>
    <xf numFmtId="11" fontId="24" fillId="8" borderId="10" xfId="0" applyNumberFormat="1" applyFont="1" applyFill="1" applyBorder="1" applyAlignment="1">
      <alignment horizontal="center" vertical="center"/>
    </xf>
    <xf numFmtId="11" fontId="24" fillId="8" borderId="17" xfId="0" applyNumberFormat="1" applyFont="1" applyFill="1" applyBorder="1" applyAlignment="1">
      <alignment horizontal="center" vertical="center"/>
    </xf>
    <xf numFmtId="11" fontId="24" fillId="6" borderId="42" xfId="0" applyNumberFormat="1" applyFont="1" applyFill="1" applyBorder="1" applyAlignment="1">
      <alignment horizontal="center" vertical="center"/>
    </xf>
    <xf numFmtId="11" fontId="24" fillId="6" borderId="24" xfId="0" applyNumberFormat="1" applyFont="1" applyFill="1" applyBorder="1" applyAlignment="1">
      <alignment horizontal="center" vertical="center"/>
    </xf>
    <xf numFmtId="11" fontId="24" fillId="6" borderId="53" xfId="0" applyNumberFormat="1" applyFont="1" applyFill="1" applyBorder="1" applyAlignment="1">
      <alignment horizontal="center" vertical="center"/>
    </xf>
    <xf numFmtId="11" fontId="24" fillId="6" borderId="43" xfId="0" applyNumberFormat="1" applyFont="1" applyFill="1" applyBorder="1" applyAlignment="1">
      <alignment horizontal="center" vertical="center"/>
    </xf>
    <xf numFmtId="11" fontId="24" fillId="6" borderId="56" xfId="0" applyNumberFormat="1" applyFont="1" applyFill="1" applyBorder="1" applyAlignment="1">
      <alignment horizontal="center" vertical="center"/>
    </xf>
    <xf numFmtId="11" fontId="1" fillId="6" borderId="24" xfId="0" applyNumberFormat="1" applyFont="1" applyFill="1" applyBorder="1" applyAlignment="1">
      <alignment horizontal="center" vertical="center"/>
    </xf>
    <xf numFmtId="11" fontId="1" fillId="6" borderId="54" xfId="0" applyNumberFormat="1" applyFont="1" applyFill="1" applyBorder="1" applyAlignment="1">
      <alignment horizontal="center" vertical="center"/>
    </xf>
    <xf numFmtId="11" fontId="24" fillId="6" borderId="50" xfId="0" applyNumberFormat="1" applyFont="1" applyFill="1" applyBorder="1" applyAlignment="1">
      <alignment horizontal="center" vertical="center"/>
    </xf>
    <xf numFmtId="11" fontId="24" fillId="6" borderId="54" xfId="0" applyNumberFormat="1" applyFont="1" applyFill="1" applyBorder="1" applyAlignment="1">
      <alignment horizontal="center" vertical="center"/>
    </xf>
    <xf numFmtId="11" fontId="24" fillId="6" borderId="61" xfId="0" applyNumberFormat="1" applyFont="1" applyFill="1" applyBorder="1" applyAlignment="1">
      <alignment horizontal="center" vertical="center"/>
    </xf>
    <xf numFmtId="11" fontId="1" fillId="6" borderId="11" xfId="0" applyNumberFormat="1" applyFont="1" applyFill="1" applyBorder="1" applyAlignment="1">
      <alignment horizontal="center" vertical="center"/>
    </xf>
    <xf numFmtId="11" fontId="24" fillId="9" borderId="13" xfId="0" applyNumberFormat="1" applyFont="1" applyFill="1" applyBorder="1" applyAlignment="1">
      <alignment horizontal="center"/>
    </xf>
    <xf numFmtId="11" fontId="24" fillId="9" borderId="10" xfId="0" applyNumberFormat="1" applyFont="1" applyFill="1" applyBorder="1" applyAlignment="1">
      <alignment horizontal="center"/>
    </xf>
    <xf numFmtId="11" fontId="24" fillId="9" borderId="52" xfId="0" applyNumberFormat="1" applyFont="1" applyFill="1" applyBorder="1" applyAlignment="1">
      <alignment horizontal="center"/>
    </xf>
    <xf numFmtId="11" fontId="24" fillId="9" borderId="15" xfId="0" applyNumberFormat="1" applyFont="1" applyFill="1" applyBorder="1" applyAlignment="1">
      <alignment horizontal="center"/>
    </xf>
    <xf numFmtId="11" fontId="24" fillId="9" borderId="17" xfId="0" applyNumberFormat="1" applyFont="1" applyFill="1" applyBorder="1" applyAlignment="1">
      <alignment horizontal="center"/>
    </xf>
    <xf numFmtId="11" fontId="5" fillId="8" borderId="13" xfId="0" applyNumberFormat="1" applyFont="1" applyFill="1" applyBorder="1" applyAlignment="1">
      <alignment horizontal="center" vertical="center"/>
    </xf>
    <xf numFmtId="11" fontId="4" fillId="8" borderId="21" xfId="0" applyNumberFormat="1" applyFont="1" applyFill="1" applyBorder="1" applyAlignment="1">
      <alignment horizontal="center"/>
    </xf>
    <xf numFmtId="11" fontId="5" fillId="8" borderId="15" xfId="0" applyNumberFormat="1" applyFont="1" applyFill="1" applyBorder="1" applyAlignment="1">
      <alignment horizontal="center" vertical="center"/>
    </xf>
    <xf numFmtId="11" fontId="4" fillId="8" borderId="22" xfId="0" applyNumberFormat="1" applyFont="1" applyFill="1" applyBorder="1" applyAlignment="1">
      <alignment horizontal="center"/>
    </xf>
    <xf numFmtId="11" fontId="20" fillId="8" borderId="13" xfId="0" applyNumberFormat="1" applyFont="1" applyFill="1" applyBorder="1" applyAlignment="1">
      <alignment horizontal="center" vertical="center"/>
    </xf>
    <xf numFmtId="11" fontId="21" fillId="8" borderId="13" xfId="0" applyNumberFormat="1" applyFont="1" applyFill="1" applyBorder="1" applyAlignment="1">
      <alignment horizontal="center" vertical="center"/>
    </xf>
    <xf numFmtId="11" fontId="4" fillId="8" borderId="23" xfId="0" applyNumberFormat="1" applyFont="1" applyFill="1" applyBorder="1" applyAlignment="1">
      <alignment horizontal="center"/>
    </xf>
    <xf numFmtId="165" fontId="32" fillId="3" borderId="40" xfId="28915" applyNumberFormat="1" applyFont="1" applyFill="1" applyBorder="1" applyAlignment="1">
      <alignment horizontal="center" vertical="center" wrapText="1"/>
    </xf>
    <xf numFmtId="165" fontId="32" fillId="3" borderId="28" xfId="28915" applyNumberFormat="1" applyFont="1" applyFill="1" applyBorder="1" applyAlignment="1">
      <alignment horizontal="center" vertical="center" wrapText="1"/>
    </xf>
    <xf numFmtId="165" fontId="32" fillId="3" borderId="40" xfId="28915" applyNumberFormat="1" applyFont="1" applyFill="1" applyBorder="1" applyAlignment="1">
      <alignment horizontal="center" vertical="center"/>
    </xf>
    <xf numFmtId="165" fontId="32" fillId="3" borderId="40" xfId="28916" applyNumberFormat="1" applyFont="1" applyFill="1" applyBorder="1" applyAlignment="1">
      <alignment horizontal="center" vertical="center" wrapText="1"/>
    </xf>
    <xf numFmtId="0" fontId="52" fillId="2" borderId="38" xfId="28255" applyFont="1" applyFill="1" applyBorder="1" applyAlignment="1">
      <alignment horizontal="left" vertical="center" wrapText="1"/>
    </xf>
    <xf numFmtId="0" fontId="34" fillId="2" borderId="38" xfId="28255" applyFont="1" applyFill="1" applyBorder="1" applyAlignment="1">
      <alignment horizontal="center" vertical="center"/>
    </xf>
    <xf numFmtId="0" fontId="52" fillId="2" borderId="30" xfId="28255" applyFont="1" applyFill="1" applyBorder="1" applyAlignment="1">
      <alignment horizontal="left" vertical="center" wrapText="1"/>
    </xf>
    <xf numFmtId="0" fontId="34" fillId="2" borderId="30" xfId="28255" applyFont="1" applyFill="1" applyBorder="1" applyAlignment="1">
      <alignment horizontal="center" vertical="center"/>
    </xf>
    <xf numFmtId="11" fontId="32" fillId="7" borderId="11" xfId="28915" applyNumberFormat="1" applyFont="1" applyFill="1" applyBorder="1" applyAlignment="1">
      <alignment horizontal="center" vertical="center"/>
    </xf>
    <xf numFmtId="11" fontId="32" fillId="7" borderId="13" xfId="28915" applyNumberFormat="1" applyFont="1" applyFill="1" applyBorder="1" applyAlignment="1">
      <alignment horizontal="center" vertical="center"/>
    </xf>
    <xf numFmtId="11" fontId="32" fillId="7" borderId="13" xfId="28255" applyNumberFormat="1" applyFont="1" applyFill="1" applyBorder="1" applyAlignment="1">
      <alignment horizontal="center" vertical="center"/>
    </xf>
    <xf numFmtId="11" fontId="32" fillId="10" borderId="13" xfId="28255" applyNumberFormat="1" applyFont="1" applyFill="1" applyBorder="1" applyAlignment="1">
      <alignment horizontal="center" vertical="center"/>
    </xf>
    <xf numFmtId="11" fontId="52" fillId="2" borderId="85" xfId="0" applyNumberFormat="1" applyFont="1" applyFill="1" applyBorder="1" applyAlignment="1">
      <alignment horizontal="center" vertical="center"/>
    </xf>
    <xf numFmtId="11" fontId="52" fillId="2" borderId="47" xfId="0" applyNumberFormat="1" applyFont="1" applyFill="1" applyBorder="1" applyAlignment="1">
      <alignment horizontal="center" vertical="center"/>
    </xf>
    <xf numFmtId="11" fontId="52" fillId="2" borderId="37" xfId="0" applyNumberFormat="1" applyFont="1" applyFill="1" applyBorder="1" applyAlignment="1">
      <alignment horizontal="center" vertical="center"/>
    </xf>
    <xf numFmtId="11" fontId="1" fillId="8" borderId="15" xfId="0" applyNumberFormat="1" applyFont="1" applyFill="1" applyBorder="1" applyAlignment="1">
      <alignment horizontal="center" vertical="center"/>
    </xf>
    <xf numFmtId="11" fontId="1" fillId="8" borderId="17" xfId="0" applyNumberFormat="1" applyFont="1" applyFill="1" applyBorder="1" applyAlignment="1">
      <alignment horizontal="center" vertical="center"/>
    </xf>
    <xf numFmtId="11" fontId="32" fillId="0" borderId="15" xfId="28915" applyNumberFormat="1" applyFont="1" applyBorder="1" applyAlignment="1">
      <alignment horizontal="center" vertical="center"/>
    </xf>
    <xf numFmtId="11" fontId="1" fillId="9" borderId="11" xfId="0" applyNumberFormat="1" applyFont="1" applyFill="1" applyBorder="1" applyAlignment="1">
      <alignment horizontal="center"/>
    </xf>
    <xf numFmtId="11" fontId="1" fillId="12" borderId="11" xfId="0" applyNumberFormat="1" applyFont="1" applyFill="1" applyBorder="1" applyAlignment="1">
      <alignment horizontal="center" vertical="center"/>
    </xf>
    <xf numFmtId="11" fontId="52" fillId="2" borderId="8" xfId="0" applyNumberFormat="1" applyFont="1" applyFill="1" applyBorder="1" applyAlignment="1">
      <alignment horizontal="center" vertical="center"/>
    </xf>
    <xf numFmtId="11" fontId="32" fillId="6" borderId="15" xfId="28916" applyNumberFormat="1" applyFont="1" applyFill="1" applyBorder="1" applyAlignment="1">
      <alignment horizontal="center" vertical="center" wrapText="1"/>
    </xf>
    <xf numFmtId="11" fontId="32" fillId="6" borderId="11" xfId="28255" applyNumberFormat="1" applyFont="1" applyFill="1" applyBorder="1" applyAlignment="1">
      <alignment horizontal="center" vertical="center"/>
    </xf>
    <xf numFmtId="11" fontId="32" fillId="6" borderId="11" xfId="28916" applyNumberFormat="1" applyFont="1" applyFill="1" applyBorder="1" applyAlignment="1">
      <alignment horizontal="center" vertical="center" wrapText="1"/>
    </xf>
    <xf numFmtId="11" fontId="1" fillId="9" borderId="15" xfId="0" applyNumberFormat="1" applyFont="1" applyFill="1" applyBorder="1" applyAlignment="1">
      <alignment horizontal="center" vertical="center"/>
    </xf>
    <xf numFmtId="11" fontId="1" fillId="9" borderId="17" xfId="0" applyNumberFormat="1" applyFont="1" applyFill="1" applyBorder="1" applyAlignment="1">
      <alignment horizontal="center" vertical="center"/>
    </xf>
    <xf numFmtId="11" fontId="1" fillId="6" borderId="42" xfId="0" applyNumberFormat="1" applyFont="1" applyFill="1" applyBorder="1" applyAlignment="1">
      <alignment horizontal="center" vertical="center"/>
    </xf>
    <xf numFmtId="11" fontId="1" fillId="6" borderId="50" xfId="0" applyNumberFormat="1" applyFont="1" applyFill="1" applyBorder="1" applyAlignment="1">
      <alignment horizontal="center" vertical="center"/>
    </xf>
    <xf numFmtId="11" fontId="24" fillId="12" borderId="13" xfId="0" applyNumberFormat="1" applyFont="1" applyFill="1" applyBorder="1" applyAlignment="1">
      <alignment horizontal="center"/>
    </xf>
    <xf numFmtId="11" fontId="13" fillId="12" borderId="13" xfId="0" applyNumberFormat="1" applyFont="1" applyFill="1" applyBorder="1" applyAlignment="1">
      <alignment horizontal="center"/>
    </xf>
    <xf numFmtId="11" fontId="13" fillId="12" borderId="10" xfId="0" applyNumberFormat="1" applyFont="1" applyFill="1" applyBorder="1" applyAlignment="1">
      <alignment horizontal="center"/>
    </xf>
    <xf numFmtId="11" fontId="24" fillId="12" borderId="52" xfId="0" applyNumberFormat="1" applyFont="1" applyFill="1" applyBorder="1" applyAlignment="1">
      <alignment horizontal="center"/>
    </xf>
    <xf numFmtId="11" fontId="24" fillId="12" borderId="15" xfId="0" applyNumberFormat="1" applyFont="1" applyFill="1" applyBorder="1" applyAlignment="1">
      <alignment horizontal="center"/>
    </xf>
    <xf numFmtId="11" fontId="24" fillId="12" borderId="10" xfId="0" applyNumberFormat="1" applyFont="1" applyFill="1" applyBorder="1" applyAlignment="1">
      <alignment horizontal="center"/>
    </xf>
    <xf numFmtId="11" fontId="13" fillId="12" borderId="52" xfId="0" applyNumberFormat="1" applyFont="1" applyFill="1" applyBorder="1" applyAlignment="1">
      <alignment horizontal="center"/>
    </xf>
    <xf numFmtId="11" fontId="24" fillId="12" borderId="17" xfId="0" applyNumberFormat="1" applyFont="1" applyFill="1" applyBorder="1" applyAlignment="1">
      <alignment horizontal="center"/>
    </xf>
    <xf numFmtId="166" fontId="24" fillId="9" borderId="42" xfId="0" applyNumberFormat="1" applyFont="1" applyFill="1" applyBorder="1" applyAlignment="1">
      <alignment horizontal="center" vertical="center"/>
    </xf>
    <xf numFmtId="166" fontId="24" fillId="9" borderId="50" xfId="0" applyNumberFormat="1" applyFont="1" applyFill="1" applyBorder="1" applyAlignment="1">
      <alignment horizontal="center" vertical="center"/>
    </xf>
    <xf numFmtId="166" fontId="24" fillId="9" borderId="61" xfId="0" applyNumberFormat="1" applyFont="1" applyFill="1" applyBorder="1" applyAlignment="1">
      <alignment horizontal="center" vertical="center"/>
    </xf>
    <xf numFmtId="166" fontId="24" fillId="9" borderId="43" xfId="0" applyNumberFormat="1" applyFont="1" applyFill="1" applyBorder="1" applyAlignment="1">
      <alignment horizontal="center" vertical="center"/>
    </xf>
    <xf numFmtId="166" fontId="1" fillId="9" borderId="13" xfId="0" applyNumberFormat="1" applyFont="1" applyFill="1" applyBorder="1" applyAlignment="1">
      <alignment horizontal="center" vertical="center"/>
    </xf>
    <xf numFmtId="1" fontId="24" fillId="9" borderId="42" xfId="0" applyNumberFormat="1" applyFont="1" applyFill="1" applyBorder="1" applyAlignment="1">
      <alignment horizontal="center" vertical="center"/>
    </xf>
    <xf numFmtId="1" fontId="24" fillId="9" borderId="50" xfId="0" applyNumberFormat="1" applyFont="1" applyFill="1" applyBorder="1" applyAlignment="1">
      <alignment horizontal="center" vertical="center"/>
    </xf>
    <xf numFmtId="1" fontId="24" fillId="9" borderId="61" xfId="0" applyNumberFormat="1" applyFont="1" applyFill="1" applyBorder="1" applyAlignment="1">
      <alignment horizontal="center" vertical="center"/>
    </xf>
    <xf numFmtId="1" fontId="24" fillId="9" borderId="43" xfId="0" applyNumberFormat="1" applyFont="1" applyFill="1" applyBorder="1" applyAlignment="1">
      <alignment horizontal="center" vertical="center"/>
    </xf>
    <xf numFmtId="1" fontId="1" fillId="9" borderId="13" xfId="0" applyNumberFormat="1" applyFont="1" applyFill="1" applyBorder="1" applyAlignment="1">
      <alignment horizontal="center" vertical="center"/>
    </xf>
    <xf numFmtId="1" fontId="1" fillId="9" borderId="10" xfId="0" applyNumberFormat="1" applyFont="1" applyFill="1" applyBorder="1" applyAlignment="1">
      <alignment horizontal="center" vertical="center"/>
    </xf>
    <xf numFmtId="11" fontId="32" fillId="9" borderId="58" xfId="28916" applyNumberFormat="1" applyFont="1" applyFill="1" applyBorder="1" applyAlignment="1">
      <alignment horizontal="center" vertical="center" wrapText="1"/>
    </xf>
    <xf numFmtId="1" fontId="24" fillId="9" borderId="41" xfId="0" applyNumberFormat="1" applyFont="1" applyFill="1" applyBorder="1" applyAlignment="1">
      <alignment horizontal="center" vertical="center"/>
    </xf>
    <xf numFmtId="11" fontId="1" fillId="9" borderId="52" xfId="0" applyNumberFormat="1" applyFont="1" applyFill="1" applyBorder="1" applyAlignment="1">
      <alignment horizontal="center" vertical="center"/>
    </xf>
    <xf numFmtId="11" fontId="24" fillId="8" borderId="42" xfId="0" applyNumberFormat="1" applyFont="1" applyFill="1" applyBorder="1" applyAlignment="1">
      <alignment horizontal="center" vertical="center"/>
    </xf>
    <xf numFmtId="11" fontId="24" fillId="8" borderId="50" xfId="0" applyNumberFormat="1" applyFont="1" applyFill="1" applyBorder="1" applyAlignment="1">
      <alignment horizontal="center" vertical="center"/>
    </xf>
    <xf numFmtId="11" fontId="24" fillId="8" borderId="61" xfId="0" applyNumberFormat="1" applyFont="1" applyFill="1" applyBorder="1" applyAlignment="1">
      <alignment horizontal="center" vertical="center"/>
    </xf>
    <xf numFmtId="11" fontId="24" fillId="8" borderId="43" xfId="0" applyNumberFormat="1" applyFont="1" applyFill="1" applyBorder="1" applyAlignment="1">
      <alignment horizontal="center" vertical="center"/>
    </xf>
    <xf numFmtId="11" fontId="24" fillId="8" borderId="41" xfId="0" applyNumberFormat="1" applyFont="1" applyFill="1" applyBorder="1" applyAlignment="1">
      <alignment horizontal="center" vertical="center"/>
    </xf>
    <xf numFmtId="11" fontId="1" fillId="8" borderId="42" xfId="0" applyNumberFormat="1" applyFont="1" applyFill="1" applyBorder="1" applyAlignment="1">
      <alignment horizontal="center" vertical="center"/>
    </xf>
    <xf numFmtId="11" fontId="1" fillId="8" borderId="50" xfId="0" applyNumberFormat="1" applyFont="1" applyFill="1" applyBorder="1" applyAlignment="1">
      <alignment horizontal="center" vertical="center"/>
    </xf>
    <xf numFmtId="11" fontId="1" fillId="8" borderId="52" xfId="0" applyNumberFormat="1" applyFont="1" applyFill="1" applyBorder="1" applyAlignment="1">
      <alignment horizontal="center" vertical="center"/>
    </xf>
    <xf numFmtId="11" fontId="5" fillId="0" borderId="61" xfId="0" applyNumberFormat="1" applyFont="1" applyBorder="1" applyAlignment="1">
      <alignment horizontal="center" vertical="center"/>
    </xf>
    <xf numFmtId="11" fontId="5" fillId="0" borderId="42" xfId="0" applyNumberFormat="1" applyFont="1" applyBorder="1" applyAlignment="1">
      <alignment horizontal="center" vertical="center"/>
    </xf>
    <xf numFmtId="11" fontId="24" fillId="0" borderId="42" xfId="0" applyNumberFormat="1" applyFont="1" applyBorder="1" applyAlignment="1">
      <alignment horizontal="center" vertical="center"/>
    </xf>
    <xf numFmtId="11" fontId="1" fillId="0" borderId="42" xfId="0" applyNumberFormat="1" applyFont="1" applyBorder="1" applyAlignment="1">
      <alignment horizontal="center" vertical="center"/>
    </xf>
    <xf numFmtId="11" fontId="20" fillId="0" borderId="42" xfId="0" applyNumberFormat="1" applyFont="1" applyBorder="1" applyAlignment="1">
      <alignment horizontal="center" vertical="center"/>
    </xf>
    <xf numFmtId="11" fontId="21" fillId="0" borderId="42" xfId="0" applyNumberFormat="1" applyFont="1" applyBorder="1" applyAlignment="1">
      <alignment horizontal="center" vertical="center"/>
    </xf>
    <xf numFmtId="11" fontId="4" fillId="0" borderId="52" xfId="0" applyNumberFormat="1" applyFont="1" applyBorder="1" applyAlignment="1">
      <alignment horizontal="center" vertical="center"/>
    </xf>
    <xf numFmtId="11" fontId="4" fillId="0" borderId="13" xfId="0" applyNumberFormat="1" applyFont="1" applyBorder="1" applyAlignment="1">
      <alignment horizontal="center" vertical="center"/>
    </xf>
    <xf numFmtId="11" fontId="4" fillId="0" borderId="17" xfId="0" applyNumberFormat="1" applyFont="1" applyBorder="1" applyAlignment="1">
      <alignment horizontal="center" vertical="center"/>
    </xf>
    <xf numFmtId="11" fontId="24" fillId="0" borderId="43" xfId="0" applyNumberFormat="1" applyFont="1" applyBorder="1" applyAlignment="1">
      <alignment horizontal="center" vertical="center"/>
    </xf>
    <xf numFmtId="11" fontId="24" fillId="0" borderId="54" xfId="0" applyNumberFormat="1" applyFont="1" applyBorder="1" applyAlignment="1">
      <alignment horizontal="center" vertical="center"/>
    </xf>
    <xf numFmtId="11" fontId="24" fillId="0" borderId="40" xfId="0" applyNumberFormat="1" applyFont="1" applyBorder="1" applyAlignment="1">
      <alignment horizontal="center" vertical="center"/>
    </xf>
    <xf numFmtId="11" fontId="24" fillId="0" borderId="53" xfId="0" applyNumberFormat="1" applyFont="1" applyBorder="1" applyAlignment="1">
      <alignment horizontal="center" vertical="center"/>
    </xf>
    <xf numFmtId="11" fontId="24" fillId="0" borderId="56" xfId="0" applyNumberFormat="1" applyFont="1" applyBorder="1" applyAlignment="1">
      <alignment horizontal="center" vertical="center"/>
    </xf>
    <xf numFmtId="11" fontId="24" fillId="0" borderId="61" xfId="0" applyNumberFormat="1" applyFont="1" applyBorder="1" applyAlignment="1">
      <alignment horizontal="center" vertical="center"/>
    </xf>
    <xf numFmtId="11" fontId="24" fillId="0" borderId="50" xfId="0" applyNumberFormat="1" applyFont="1" applyBorder="1" applyAlignment="1">
      <alignment horizontal="center" vertical="center"/>
    </xf>
    <xf numFmtId="11" fontId="24" fillId="0" borderId="41" xfId="0" applyNumberFormat="1" applyFont="1" applyBorder="1" applyAlignment="1">
      <alignment horizontal="center" vertical="center"/>
    </xf>
    <xf numFmtId="11" fontId="2" fillId="0" borderId="11" xfId="0" applyNumberFormat="1" applyFont="1" applyBorder="1" applyAlignment="1">
      <alignment horizontal="center"/>
    </xf>
    <xf numFmtId="11" fontId="2" fillId="0" borderId="57" xfId="0" applyNumberFormat="1" applyFont="1" applyBorder="1" applyAlignment="1">
      <alignment horizontal="center"/>
    </xf>
    <xf numFmtId="11" fontId="2" fillId="0" borderId="13" xfId="0" applyNumberFormat="1" applyFont="1" applyBorder="1" applyAlignment="1">
      <alignment horizontal="center"/>
    </xf>
    <xf numFmtId="11" fontId="2" fillId="0" borderId="24" xfId="0" applyNumberFormat="1" applyFont="1" applyBorder="1" applyAlignment="1">
      <alignment horizontal="center"/>
    </xf>
    <xf numFmtId="11" fontId="2" fillId="0" borderId="15" xfId="0" applyNumberFormat="1" applyFont="1" applyBorder="1" applyAlignment="1">
      <alignment horizontal="center"/>
    </xf>
    <xf numFmtId="11" fontId="2" fillId="0" borderId="56" xfId="0" applyNumberFormat="1" applyFont="1" applyBorder="1" applyAlignment="1">
      <alignment horizontal="center"/>
    </xf>
    <xf numFmtId="11" fontId="1" fillId="0" borderId="13" xfId="0" applyNumberFormat="1" applyFont="1" applyBorder="1" applyAlignment="1">
      <alignment horizontal="center"/>
    </xf>
    <xf numFmtId="11" fontId="1" fillId="0" borderId="24" xfId="0" applyNumberFormat="1" applyFont="1" applyBorder="1" applyAlignment="1">
      <alignment horizontal="center"/>
    </xf>
    <xf numFmtId="11" fontId="1" fillId="0" borderId="15" xfId="0" applyNumberFormat="1" applyFont="1" applyBorder="1" applyAlignment="1">
      <alignment horizontal="center"/>
    </xf>
    <xf numFmtId="11" fontId="1" fillId="0" borderId="56" xfId="0" applyNumberFormat="1" applyFont="1" applyBorder="1" applyAlignment="1">
      <alignment horizontal="center"/>
    </xf>
    <xf numFmtId="11" fontId="2" fillId="0" borderId="17" xfId="0" applyNumberFormat="1" applyFont="1" applyBorder="1" applyAlignment="1">
      <alignment horizontal="center"/>
    </xf>
    <xf numFmtId="11" fontId="2" fillId="0" borderId="55" xfId="0" applyNumberFormat="1" applyFont="1" applyBorder="1" applyAlignment="1">
      <alignment horizontal="center"/>
    </xf>
    <xf numFmtId="11" fontId="1" fillId="0" borderId="11" xfId="0" applyNumberFormat="1" applyFont="1" applyBorder="1" applyAlignment="1">
      <alignment horizontal="center" vertical="center"/>
    </xf>
    <xf numFmtId="11" fontId="1" fillId="0" borderId="57" xfId="0" applyNumberFormat="1" applyFont="1" applyBorder="1" applyAlignment="1">
      <alignment horizontal="center" vertical="center"/>
    </xf>
    <xf numFmtId="11" fontId="1" fillId="0" borderId="15" xfId="0" applyNumberFormat="1" applyFont="1" applyBorder="1" applyAlignment="1">
      <alignment horizontal="center" vertical="center"/>
    </xf>
    <xf numFmtId="11" fontId="1" fillId="0" borderId="56" xfId="0" applyNumberFormat="1" applyFont="1" applyBorder="1" applyAlignment="1">
      <alignment horizontal="center" vertical="center"/>
    </xf>
    <xf numFmtId="11" fontId="1" fillId="0" borderId="17" xfId="0" applyNumberFormat="1" applyFont="1" applyBorder="1" applyAlignment="1">
      <alignment horizontal="center" vertical="center"/>
    </xf>
    <xf numFmtId="11" fontId="1" fillId="0" borderId="55" xfId="0" applyNumberFormat="1" applyFont="1" applyBorder="1" applyAlignment="1">
      <alignment horizontal="center" vertical="center"/>
    </xf>
    <xf numFmtId="11" fontId="2" fillId="0" borderId="40" xfId="0" applyNumberFormat="1" applyFont="1" applyBorder="1" applyAlignment="1">
      <alignment horizontal="center"/>
    </xf>
    <xf numFmtId="11" fontId="2" fillId="0" borderId="42" xfId="0" applyNumberFormat="1" applyFont="1" applyBorder="1" applyAlignment="1">
      <alignment horizontal="center"/>
    </xf>
    <xf numFmtId="11" fontId="2" fillId="0" borderId="43" xfId="0" applyNumberFormat="1" applyFont="1" applyBorder="1" applyAlignment="1">
      <alignment horizontal="center"/>
    </xf>
    <xf numFmtId="11" fontId="1" fillId="0" borderId="43" xfId="0" applyNumberFormat="1" applyFont="1" applyBorder="1" applyAlignment="1">
      <alignment horizontal="center"/>
    </xf>
    <xf numFmtId="11" fontId="8" fillId="0" borderId="25" xfId="0" applyNumberFormat="1" applyFont="1" applyBorder="1" applyAlignment="1">
      <alignment horizontal="center"/>
    </xf>
    <xf numFmtId="11" fontId="32" fillId="0" borderId="10" xfId="28915" applyNumberFormat="1" applyFont="1" applyBorder="1" applyAlignment="1">
      <alignment horizontal="center" vertical="center"/>
    </xf>
    <xf numFmtId="11" fontId="2" fillId="0" borderId="41" xfId="0" applyNumberFormat="1" applyFont="1" applyBorder="1" applyAlignment="1">
      <alignment horizontal="center"/>
    </xf>
    <xf numFmtId="11" fontId="4" fillId="0" borderId="24" xfId="0" applyNumberFormat="1" applyFont="1" applyBorder="1" applyAlignment="1">
      <alignment horizontal="center"/>
    </xf>
    <xf numFmtId="11" fontId="5" fillId="0" borderId="15" xfId="0" applyNumberFormat="1" applyFont="1" applyBorder="1" applyAlignment="1">
      <alignment horizontal="center" vertical="center"/>
    </xf>
    <xf numFmtId="11" fontId="4" fillId="0" borderId="56" xfId="0" applyNumberFormat="1" applyFont="1" applyBorder="1" applyAlignment="1">
      <alignment horizontal="center"/>
    </xf>
    <xf numFmtId="11" fontId="1" fillId="0" borderId="10" xfId="0" applyNumberFormat="1" applyFont="1" applyBorder="1" applyAlignment="1">
      <alignment horizontal="center" vertical="center"/>
    </xf>
    <xf numFmtId="11" fontId="1" fillId="0" borderId="54" xfId="0" applyNumberFormat="1" applyFont="1" applyBorder="1" applyAlignment="1">
      <alignment horizontal="center"/>
    </xf>
    <xf numFmtId="11" fontId="4" fillId="0" borderId="55" xfId="0" applyNumberFormat="1" applyFont="1" applyBorder="1" applyAlignment="1">
      <alignment horizontal="center"/>
    </xf>
    <xf numFmtId="11" fontId="1" fillId="0" borderId="54" xfId="0" applyNumberFormat="1" applyFont="1" applyBorder="1" applyAlignment="1">
      <alignment horizontal="center" vertical="center"/>
    </xf>
    <xf numFmtId="11" fontId="1" fillId="0" borderId="50" xfId="0" applyNumberFormat="1" applyFont="1" applyBorder="1" applyAlignment="1">
      <alignment horizontal="center" vertical="center"/>
    </xf>
    <xf numFmtId="11" fontId="0" fillId="2" borderId="38" xfId="0" applyNumberFormat="1" applyFill="1" applyBorder="1" applyAlignment="1">
      <alignment horizontal="center" vertical="center"/>
    </xf>
    <xf numFmtId="11" fontId="70" fillId="5" borderId="87" xfId="0" applyNumberFormat="1" applyFont="1" applyFill="1" applyBorder="1" applyAlignment="1">
      <alignment horizontal="center" textRotation="90"/>
    </xf>
    <xf numFmtId="11" fontId="70" fillId="5" borderId="86" xfId="0" applyNumberFormat="1" applyFont="1" applyFill="1" applyBorder="1" applyAlignment="1">
      <alignment horizontal="center" textRotation="90"/>
    </xf>
    <xf numFmtId="11" fontId="70" fillId="5" borderId="87" xfId="0" applyNumberFormat="1" applyFont="1" applyFill="1" applyBorder="1" applyAlignment="1">
      <alignment horizontal="center" textRotation="90" wrapText="1"/>
    </xf>
    <xf numFmtId="11" fontId="70" fillId="5" borderId="88" xfId="0" applyNumberFormat="1" applyFont="1" applyFill="1" applyBorder="1" applyAlignment="1">
      <alignment horizontal="center" textRotation="90" wrapText="1"/>
    </xf>
    <xf numFmtId="11" fontId="33" fillId="0" borderId="0" xfId="28255" applyNumberFormat="1" applyFont="1"/>
    <xf numFmtId="11" fontId="32" fillId="0" borderId="0" xfId="28255" applyNumberFormat="1" applyFont="1"/>
    <xf numFmtId="0" fontId="67" fillId="0" borderId="0" xfId="0" applyFont="1" applyAlignment="1">
      <alignment horizontal="left" wrapText="1"/>
    </xf>
    <xf numFmtId="0" fontId="37" fillId="0" borderId="0" xfId="0" applyFont="1" applyAlignment="1">
      <alignment horizontal="left"/>
    </xf>
    <xf numFmtId="0" fontId="24" fillId="0" borderId="0" xfId="0" applyFont="1" applyAlignment="1">
      <alignment horizontal="left"/>
    </xf>
    <xf numFmtId="11" fontId="24" fillId="0" borderId="0" xfId="0" applyNumberFormat="1" applyFont="1" applyAlignment="1">
      <alignment horizontal="left"/>
    </xf>
    <xf numFmtId="164" fontId="24" fillId="0" borderId="0" xfId="0" applyNumberFormat="1" applyFont="1" applyAlignment="1">
      <alignment horizontal="left"/>
    </xf>
    <xf numFmtId="0" fontId="24" fillId="0" borderId="0" xfId="0" applyFont="1" applyAlignment="1">
      <alignment horizontal="left" vertical="center"/>
    </xf>
    <xf numFmtId="166" fontId="24" fillId="0" borderId="0" xfId="0" applyNumberFormat="1" applyFont="1" applyAlignment="1">
      <alignment horizontal="left"/>
    </xf>
    <xf numFmtId="168" fontId="24" fillId="0" borderId="0" xfId="0" applyNumberFormat="1" applyFont="1" applyAlignment="1">
      <alignment horizontal="left"/>
    </xf>
    <xf numFmtId="2" fontId="24" fillId="0" borderId="0" xfId="0" applyNumberFormat="1" applyFont="1" applyAlignment="1">
      <alignment horizontal="left"/>
    </xf>
    <xf numFmtId="0" fontId="16" fillId="0" borderId="0" xfId="0" applyFont="1" applyAlignment="1">
      <alignment horizontal="left"/>
    </xf>
    <xf numFmtId="0" fontId="8" fillId="0" borderId="0" xfId="0" applyFont="1" applyAlignment="1">
      <alignment horizontal="left"/>
    </xf>
    <xf numFmtId="11" fontId="4" fillId="0" borderId="24" xfId="0" applyNumberFormat="1" applyFont="1" applyBorder="1" applyAlignment="1">
      <alignment horizontal="center" vertical="center"/>
    </xf>
    <xf numFmtId="11" fontId="4" fillId="0" borderId="55" xfId="0" applyNumberFormat="1" applyFont="1" applyBorder="1" applyAlignment="1">
      <alignment horizontal="center" vertical="center"/>
    </xf>
    <xf numFmtId="11" fontId="1" fillId="0" borderId="65" xfId="0" applyNumberFormat="1" applyFont="1" applyBorder="1" applyAlignment="1">
      <alignment horizontal="left" vertical="center" wrapText="1"/>
    </xf>
    <xf numFmtId="0" fontId="31" fillId="5" borderId="47" xfId="0" applyFont="1" applyFill="1" applyBorder="1" applyAlignment="1">
      <alignment vertical="center"/>
    </xf>
    <xf numFmtId="0" fontId="18" fillId="5" borderId="30" xfId="0" applyFont="1" applyFill="1" applyBorder="1" applyAlignment="1">
      <alignment vertical="center" wrapText="1"/>
    </xf>
    <xf numFmtId="0" fontId="24" fillId="5" borderId="30" xfId="0" applyFont="1" applyFill="1" applyBorder="1" applyAlignment="1">
      <alignment vertical="center"/>
    </xf>
    <xf numFmtId="11" fontId="14" fillId="5" borderId="35" xfId="0" applyNumberFormat="1" applyFont="1" applyFill="1" applyBorder="1" applyAlignment="1">
      <alignment horizontal="left" vertical="center" wrapText="1"/>
    </xf>
    <xf numFmtId="0" fontId="31" fillId="5" borderId="47" xfId="0" applyFont="1" applyFill="1" applyBorder="1"/>
    <xf numFmtId="0" fontId="1" fillId="0" borderId="0" xfId="0" applyFont="1" applyAlignment="1">
      <alignment wrapText="1"/>
    </xf>
    <xf numFmtId="0" fontId="1" fillId="5" borderId="30" xfId="0" applyFont="1" applyFill="1" applyBorder="1" applyAlignment="1">
      <alignment wrapText="1"/>
    </xf>
    <xf numFmtId="0" fontId="14" fillId="5" borderId="30" xfId="0" applyFont="1" applyFill="1" applyBorder="1"/>
    <xf numFmtId="0" fontId="1" fillId="0" borderId="65" xfId="0" applyFont="1" applyBorder="1" applyAlignment="1">
      <alignment vertical="center" wrapText="1"/>
    </xf>
    <xf numFmtId="0" fontId="1" fillId="0" borderId="65" xfId="0" applyFont="1" applyBorder="1" applyAlignment="1">
      <alignment vertical="center"/>
    </xf>
    <xf numFmtId="0" fontId="1" fillId="0" borderId="27" xfId="0" applyFont="1" applyBorder="1" applyAlignment="1">
      <alignment vertical="center"/>
    </xf>
    <xf numFmtId="0" fontId="1" fillId="0" borderId="27" xfId="0" applyFont="1" applyBorder="1" applyAlignment="1">
      <alignment vertical="center" wrapText="1"/>
    </xf>
    <xf numFmtId="11" fontId="24" fillId="0" borderId="27" xfId="28930" applyNumberFormat="1" applyFont="1" applyBorder="1" applyAlignment="1">
      <alignment horizontal="left"/>
    </xf>
    <xf numFmtId="0" fontId="1" fillId="0" borderId="27" xfId="0" applyFont="1" applyBorder="1"/>
    <xf numFmtId="0" fontId="1" fillId="0" borderId="27" xfId="0" applyFont="1" applyBorder="1" applyAlignment="1">
      <alignment wrapText="1"/>
    </xf>
    <xf numFmtId="11" fontId="24" fillId="0" borderId="27" xfId="0" applyNumberFormat="1" applyFont="1" applyBorder="1" applyAlignment="1">
      <alignment horizontal="left"/>
    </xf>
    <xf numFmtId="0" fontId="1" fillId="0" borderId="27" xfId="0" applyFont="1" applyBorder="1" applyAlignment="1">
      <alignment horizontal="left"/>
    </xf>
    <xf numFmtId="0" fontId="1" fillId="0" borderId="27" xfId="0" quotePrefix="1" applyFont="1" applyBorder="1"/>
    <xf numFmtId="0" fontId="1" fillId="0" borderId="78" xfId="0" applyFont="1" applyBorder="1"/>
    <xf numFmtId="0" fontId="1" fillId="0" borderId="78" xfId="0" applyFont="1" applyBorder="1" applyAlignment="1">
      <alignment wrapText="1"/>
    </xf>
    <xf numFmtId="11" fontId="24" fillId="0" borderId="78" xfId="0" applyNumberFormat="1" applyFont="1" applyBorder="1" applyAlignment="1">
      <alignment horizontal="left"/>
    </xf>
    <xf numFmtId="0" fontId="1" fillId="0" borderId="25" xfId="0" applyFont="1" applyBorder="1"/>
    <xf numFmtId="0" fontId="1" fillId="0" borderId="25" xfId="0" applyFont="1" applyBorder="1" applyAlignment="1">
      <alignment wrapText="1"/>
    </xf>
    <xf numFmtId="11" fontId="24" fillId="0" borderId="25" xfId="0" applyNumberFormat="1" applyFont="1" applyBorder="1" applyAlignment="1">
      <alignment horizontal="left"/>
    </xf>
    <xf numFmtId="0" fontId="1" fillId="0" borderId="18" xfId="0" applyFont="1" applyBorder="1"/>
    <xf numFmtId="0" fontId="1" fillId="0" borderId="18" xfId="0" applyFont="1" applyBorder="1" applyAlignment="1">
      <alignment wrapText="1"/>
    </xf>
    <xf numFmtId="11" fontId="24" fillId="0" borderId="18" xfId="0" applyNumberFormat="1" applyFont="1" applyBorder="1" applyAlignment="1">
      <alignment horizontal="left"/>
    </xf>
    <xf numFmtId="0" fontId="24" fillId="0" borderId="68" xfId="0" applyFont="1" applyBorder="1" applyAlignment="1">
      <alignment horizontal="left"/>
    </xf>
    <xf numFmtId="4" fontId="24" fillId="0" borderId="18" xfId="0" applyNumberFormat="1" applyFont="1" applyBorder="1" applyAlignment="1">
      <alignment horizontal="left"/>
    </xf>
    <xf numFmtId="11" fontId="1" fillId="0" borderId="66" xfId="0" applyNumberFormat="1" applyFont="1" applyBorder="1" applyAlignment="1">
      <alignment horizontal="left" vertical="center" wrapText="1"/>
    </xf>
    <xf numFmtId="167" fontId="1" fillId="0" borderId="67" xfId="0" applyNumberFormat="1" applyFont="1" applyBorder="1" applyAlignment="1">
      <alignment horizontal="left" vertical="center" wrapText="1"/>
    </xf>
    <xf numFmtId="0" fontId="1" fillId="0" borderId="66" xfId="0" applyFont="1" applyBorder="1" applyAlignment="1">
      <alignment horizontal="left" wrapText="1"/>
    </xf>
    <xf numFmtId="11" fontId="24" fillId="0" borderId="78" xfId="0" applyNumberFormat="1" applyFont="1" applyBorder="1" applyAlignment="1">
      <alignment horizontal="left" wrapText="1"/>
    </xf>
    <xf numFmtId="11" fontId="24" fillId="0" borderId="18" xfId="0" applyNumberFormat="1" applyFont="1" applyBorder="1" applyAlignment="1">
      <alignment horizontal="left" wrapText="1"/>
    </xf>
    <xf numFmtId="169" fontId="24" fillId="0" borderId="66" xfId="0" applyNumberFormat="1" applyFont="1" applyBorder="1" applyAlignment="1">
      <alignment horizontal="left" wrapText="1"/>
    </xf>
    <xf numFmtId="1" fontId="13" fillId="0" borderId="66" xfId="0" quotePrefix="1" applyNumberFormat="1" applyFont="1" applyBorder="1" applyAlignment="1">
      <alignment horizontal="left" vertical="center" wrapText="1"/>
    </xf>
    <xf numFmtId="0" fontId="10" fillId="0" borderId="80" xfId="0" applyFont="1" applyBorder="1" applyAlignment="1">
      <alignment vertical="center"/>
    </xf>
    <xf numFmtId="0" fontId="10" fillId="0" borderId="0" xfId="0" applyFont="1" applyAlignment="1">
      <alignment horizontal="right" vertical="center" wrapText="1"/>
    </xf>
    <xf numFmtId="0" fontId="10" fillId="0" borderId="0" xfId="0" applyFont="1" applyAlignment="1">
      <alignment vertical="center"/>
    </xf>
    <xf numFmtId="0" fontId="13" fillId="0" borderId="0" xfId="0" quotePrefix="1" applyFont="1" applyAlignment="1">
      <alignment horizontal="left" vertical="center" wrapText="1"/>
    </xf>
    <xf numFmtId="11" fontId="24" fillId="9" borderId="11" xfId="0" applyNumberFormat="1" applyFont="1" applyFill="1" applyBorder="1" applyAlignment="1">
      <alignment horizontal="center"/>
    </xf>
    <xf numFmtId="11" fontId="24" fillId="9" borderId="25" xfId="0" applyNumberFormat="1" applyFont="1" applyFill="1" applyBorder="1" applyAlignment="1">
      <alignment horizontal="center"/>
    </xf>
    <xf numFmtId="11" fontId="1" fillId="12" borderId="52" xfId="0" applyNumberFormat="1" applyFont="1" applyFill="1" applyBorder="1" applyAlignment="1">
      <alignment horizontal="center"/>
    </xf>
    <xf numFmtId="11" fontId="1" fillId="12" borderId="13" xfId="0" applyNumberFormat="1" applyFont="1" applyFill="1" applyBorder="1" applyAlignment="1">
      <alignment horizontal="center"/>
    </xf>
    <xf numFmtId="11" fontId="1" fillId="12" borderId="10" xfId="0" applyNumberFormat="1" applyFont="1" applyFill="1" applyBorder="1" applyAlignment="1">
      <alignment horizontal="center"/>
    </xf>
    <xf numFmtId="0" fontId="24" fillId="0" borderId="27" xfId="0" applyFont="1" applyBorder="1" applyAlignment="1">
      <alignment horizontal="left" wrapText="1"/>
    </xf>
    <xf numFmtId="0" fontId="1" fillId="0" borderId="66" xfId="0" applyFont="1" applyBorder="1" applyAlignment="1">
      <alignment horizontal="right" vertical="center" wrapText="1"/>
    </xf>
    <xf numFmtId="165" fontId="32" fillId="10" borderId="10" xfId="28915" applyNumberFormat="1" applyFont="1" applyFill="1" applyBorder="1" applyAlignment="1">
      <alignment horizontal="center" vertical="center" wrapText="1"/>
    </xf>
    <xf numFmtId="165" fontId="32" fillId="10" borderId="52" xfId="28915" applyNumberFormat="1" applyFont="1" applyFill="1" applyBorder="1" applyAlignment="1">
      <alignment horizontal="center" vertical="center" wrapText="1"/>
    </xf>
    <xf numFmtId="11" fontId="13" fillId="0" borderId="13" xfId="0" applyNumberFormat="1" applyFont="1" applyBorder="1" applyAlignment="1">
      <alignment horizontal="center" vertical="center"/>
    </xf>
    <xf numFmtId="11" fontId="10" fillId="0" borderId="13" xfId="0" applyNumberFormat="1" applyFont="1" applyBorder="1" applyAlignment="1">
      <alignment horizontal="center" vertical="center"/>
    </xf>
    <xf numFmtId="11" fontId="13" fillId="0" borderId="42" xfId="0" applyNumberFormat="1" applyFont="1" applyBorder="1" applyAlignment="1">
      <alignment horizontal="center" vertical="center"/>
    </xf>
    <xf numFmtId="11" fontId="13" fillId="0" borderId="10" xfId="0" applyNumberFormat="1" applyFont="1" applyBorder="1" applyAlignment="1">
      <alignment horizontal="center" vertical="center"/>
    </xf>
    <xf numFmtId="11" fontId="13" fillId="0" borderId="50" xfId="0" applyNumberFormat="1" applyFont="1" applyBorder="1" applyAlignment="1">
      <alignment horizontal="center" vertical="center"/>
    </xf>
    <xf numFmtId="11" fontId="13" fillId="0" borderId="52" xfId="0" applyNumberFormat="1" applyFont="1" applyBorder="1" applyAlignment="1">
      <alignment horizontal="center" vertical="center"/>
    </xf>
    <xf numFmtId="11" fontId="24" fillId="0" borderId="15" xfId="0" applyNumberFormat="1" applyFont="1" applyBorder="1" applyAlignment="1">
      <alignment horizontal="center" vertical="center"/>
    </xf>
    <xf numFmtId="11" fontId="13" fillId="0" borderId="61" xfId="0" applyNumberFormat="1" applyFont="1" applyBorder="1" applyAlignment="1">
      <alignment horizontal="center" vertical="center"/>
    </xf>
    <xf numFmtId="11" fontId="24" fillId="0" borderId="10" xfId="0" applyNumberFormat="1" applyFont="1" applyBorder="1" applyAlignment="1">
      <alignment horizontal="center" vertical="center"/>
    </xf>
    <xf numFmtId="11" fontId="24" fillId="0" borderId="52" xfId="0" applyNumberFormat="1" applyFont="1" applyBorder="1" applyAlignment="1">
      <alignment horizontal="center" vertical="center"/>
    </xf>
    <xf numFmtId="11" fontId="1" fillId="0" borderId="52" xfId="0" applyNumberFormat="1" applyFont="1" applyBorder="1" applyAlignment="1">
      <alignment horizontal="center" vertical="center"/>
    </xf>
    <xf numFmtId="11" fontId="1" fillId="0" borderId="61" xfId="0" applyNumberFormat="1" applyFont="1" applyBorder="1" applyAlignment="1">
      <alignment horizontal="center" vertical="center"/>
    </xf>
    <xf numFmtId="11" fontId="24" fillId="0" borderId="17" xfId="0" applyNumberFormat="1" applyFont="1" applyBorder="1" applyAlignment="1">
      <alignment horizontal="center" vertical="center"/>
    </xf>
    <xf numFmtId="1" fontId="22" fillId="0" borderId="0" xfId="0" applyNumberFormat="1" applyFont="1" applyAlignment="1">
      <alignment horizontal="center" vertical="center"/>
    </xf>
    <xf numFmtId="1" fontId="74" fillId="0" borderId="0" xfId="0" applyNumberFormat="1" applyFont="1" applyAlignment="1">
      <alignment horizontal="center" vertical="center"/>
    </xf>
    <xf numFmtId="0" fontId="0" fillId="0" borderId="0" xfId="0" applyAlignment="1">
      <alignment horizontal="right"/>
    </xf>
    <xf numFmtId="0" fontId="1" fillId="0" borderId="0" xfId="0" applyFont="1" applyAlignment="1">
      <alignment horizontal="right"/>
    </xf>
    <xf numFmtId="11" fontId="1" fillId="0" borderId="0" xfId="0" applyNumberFormat="1" applyFont="1" applyAlignment="1">
      <alignment horizontal="right" vertical="center"/>
    </xf>
    <xf numFmtId="1" fontId="74" fillId="0" borderId="0" xfId="0" applyNumberFormat="1" applyFont="1" applyAlignment="1">
      <alignment horizontal="right" vertical="center"/>
    </xf>
    <xf numFmtId="1" fontId="10" fillId="0" borderId="0" xfId="0" applyNumberFormat="1" applyFont="1" applyAlignment="1">
      <alignment horizontal="center" vertical="center"/>
    </xf>
    <xf numFmtId="0" fontId="1" fillId="0" borderId="12" xfId="0" applyFont="1" applyBorder="1" applyAlignment="1">
      <alignment horizontal="center"/>
    </xf>
    <xf numFmtId="0" fontId="1" fillId="0" borderId="24" xfId="0" applyFont="1" applyBorder="1" applyAlignment="1">
      <alignment horizontal="center"/>
    </xf>
    <xf numFmtId="0" fontId="1" fillId="0" borderId="14" xfId="0" applyFont="1" applyBorder="1" applyAlignment="1">
      <alignment horizontal="center"/>
    </xf>
    <xf numFmtId="0" fontId="1" fillId="0" borderId="56" xfId="0" applyFont="1" applyBorder="1" applyAlignment="1">
      <alignment horizontal="center"/>
    </xf>
    <xf numFmtId="0" fontId="32" fillId="0" borderId="0" xfId="28255" applyFont="1" applyAlignment="1">
      <alignment horizontal="center"/>
    </xf>
    <xf numFmtId="0" fontId="45" fillId="0" borderId="0" xfId="0" applyFont="1" applyAlignment="1">
      <alignment horizontal="center"/>
    </xf>
    <xf numFmtId="1" fontId="32" fillId="0" borderId="0" xfId="28255" applyNumberFormat="1" applyFont="1" applyAlignment="1">
      <alignment horizontal="center"/>
    </xf>
    <xf numFmtId="1" fontId="1" fillId="0" borderId="0" xfId="0" applyNumberFormat="1" applyFont="1" applyAlignment="1">
      <alignment horizontal="center"/>
    </xf>
    <xf numFmtId="0" fontId="34" fillId="2" borderId="30" xfId="28255" applyFont="1" applyFill="1" applyBorder="1" applyAlignment="1">
      <alignment horizontal="left" vertical="center"/>
    </xf>
    <xf numFmtId="0" fontId="34" fillId="2" borderId="30" xfId="28255" applyFont="1" applyFill="1" applyBorder="1" applyAlignment="1">
      <alignment vertical="center"/>
    </xf>
    <xf numFmtId="0" fontId="32" fillId="0" borderId="75" xfId="28915" applyFont="1" applyBorder="1" applyAlignment="1">
      <alignment horizontal="center" vertical="center" wrapText="1"/>
    </xf>
    <xf numFmtId="0" fontId="32" fillId="0" borderId="73" xfId="28255" applyFont="1" applyBorder="1" applyAlignment="1">
      <alignment horizontal="center" vertical="center"/>
    </xf>
    <xf numFmtId="0" fontId="32" fillId="0" borderId="75" xfId="28255" applyFont="1" applyBorder="1" applyAlignment="1">
      <alignment horizontal="center" vertical="center"/>
    </xf>
    <xf numFmtId="0" fontId="32" fillId="0" borderId="1" xfId="28255" applyFont="1" applyBorder="1" applyAlignment="1">
      <alignment horizontal="center" vertical="center"/>
    </xf>
    <xf numFmtId="0" fontId="32" fillId="0" borderId="73" xfId="28915" applyFont="1" applyBorder="1" applyAlignment="1">
      <alignment horizontal="center" vertical="center" wrapText="1"/>
    </xf>
    <xf numFmtId="0" fontId="32" fillId="0" borderId="74" xfId="28915" applyFont="1" applyBorder="1" applyAlignment="1">
      <alignment horizontal="center" vertical="center" wrapText="1"/>
    </xf>
    <xf numFmtId="0" fontId="32" fillId="0" borderId="73" xfId="28915" applyFont="1" applyBorder="1" applyAlignment="1">
      <alignment horizontal="center" vertical="center"/>
    </xf>
    <xf numFmtId="11" fontId="34" fillId="2" borderId="7" xfId="28255" applyNumberFormat="1" applyFont="1" applyFill="1" applyBorder="1" applyAlignment="1">
      <alignment vertical="center"/>
    </xf>
    <xf numFmtId="11" fontId="34" fillId="2" borderId="30" xfId="28255" applyNumberFormat="1" applyFont="1" applyFill="1" applyBorder="1" applyAlignment="1">
      <alignment vertical="center"/>
    </xf>
    <xf numFmtId="11" fontId="32" fillId="0" borderId="13" xfId="28255" applyNumberFormat="1" applyFont="1" applyBorder="1" applyAlignment="1">
      <alignment vertical="center"/>
    </xf>
    <xf numFmtId="11" fontId="32" fillId="0" borderId="15" xfId="28255" applyNumberFormat="1" applyFont="1" applyBorder="1" applyAlignment="1">
      <alignment vertical="center"/>
    </xf>
    <xf numFmtId="11" fontId="32" fillId="0" borderId="42" xfId="28255" applyNumberFormat="1" applyFont="1" applyBorder="1" applyAlignment="1">
      <alignment vertical="center"/>
    </xf>
    <xf numFmtId="11" fontId="32" fillId="0" borderId="43" xfId="28255" applyNumberFormat="1" applyFont="1" applyBorder="1" applyAlignment="1">
      <alignment vertical="center"/>
    </xf>
    <xf numFmtId="11" fontId="32" fillId="0" borderId="13" xfId="28915" applyNumberFormat="1" applyFont="1" applyBorder="1" applyAlignment="1">
      <alignment vertical="center" wrapText="1"/>
    </xf>
    <xf numFmtId="11" fontId="32" fillId="0" borderId="13" xfId="28915" applyNumberFormat="1" applyFont="1" applyBorder="1" applyAlignment="1">
      <alignment vertical="center"/>
    </xf>
    <xf numFmtId="11" fontId="32" fillId="0" borderId="13" xfId="28915" applyNumberFormat="1" applyFont="1" applyBorder="1" applyAlignment="1">
      <alignment horizontal="left" vertical="center" wrapText="1"/>
    </xf>
    <xf numFmtId="11" fontId="32" fillId="0" borderId="15" xfId="28915" applyNumberFormat="1" applyFont="1" applyBorder="1" applyAlignment="1">
      <alignment horizontal="left" vertical="center" wrapText="1"/>
    </xf>
    <xf numFmtId="11" fontId="32" fillId="0" borderId="15" xfId="28915" applyNumberFormat="1" applyFont="1" applyBorder="1" applyAlignment="1">
      <alignment vertical="center" wrapText="1"/>
    </xf>
    <xf numFmtId="11" fontId="32" fillId="0" borderId="52" xfId="28915" applyNumberFormat="1" applyFont="1" applyBorder="1" applyAlignment="1">
      <alignment vertical="center" wrapText="1"/>
    </xf>
    <xf numFmtId="11" fontId="32" fillId="0" borderId="52" xfId="28916" applyNumberFormat="1" applyFont="1" applyBorder="1" applyAlignment="1">
      <alignment vertical="center" wrapText="1"/>
    </xf>
    <xf numFmtId="11" fontId="32" fillId="0" borderId="13" xfId="28916" applyNumberFormat="1" applyFont="1" applyBorder="1" applyAlignment="1">
      <alignment vertical="center" wrapText="1"/>
    </xf>
    <xf numFmtId="11" fontId="32" fillId="0" borderId="40" xfId="28255" applyNumberFormat="1" applyFont="1" applyBorder="1" applyAlignment="1">
      <alignment vertical="center"/>
    </xf>
    <xf numFmtId="11" fontId="32" fillId="0" borderId="40" xfId="28915" applyNumberFormat="1" applyFont="1" applyBorder="1" applyAlignment="1">
      <alignment vertical="center" wrapText="1"/>
    </xf>
    <xf numFmtId="11" fontId="32" fillId="0" borderId="42" xfId="28915" applyNumberFormat="1" applyFont="1" applyBorder="1" applyAlignment="1">
      <alignment vertical="center" wrapText="1"/>
    </xf>
    <xf numFmtId="11" fontId="32" fillId="0" borderId="42" xfId="28915" applyNumberFormat="1" applyFont="1" applyBorder="1" applyAlignment="1">
      <alignment vertical="center"/>
    </xf>
    <xf numFmtId="11" fontId="32" fillId="0" borderId="42" xfId="28915" applyNumberFormat="1" applyFont="1" applyBorder="1" applyAlignment="1">
      <alignment horizontal="left" vertical="center" wrapText="1"/>
    </xf>
    <xf numFmtId="11" fontId="32" fillId="0" borderId="43" xfId="28915" applyNumberFormat="1" applyFont="1" applyBorder="1" applyAlignment="1">
      <alignment horizontal="left" vertical="center" wrapText="1"/>
    </xf>
    <xf numFmtId="11" fontId="32" fillId="0" borderId="61" xfId="28915" applyNumberFormat="1" applyFont="1" applyBorder="1" applyAlignment="1">
      <alignment horizontal="left" vertical="center" wrapText="1"/>
    </xf>
    <xf numFmtId="11" fontId="32" fillId="0" borderId="43" xfId="28915" applyNumberFormat="1" applyFont="1" applyBorder="1" applyAlignment="1">
      <alignment vertical="center" wrapText="1"/>
    </xf>
    <xf numFmtId="11" fontId="32" fillId="0" borderId="61" xfId="28915" applyNumberFormat="1" applyFont="1" applyBorder="1" applyAlignment="1">
      <alignment vertical="center" wrapText="1"/>
    </xf>
    <xf numFmtId="11" fontId="32" fillId="0" borderId="40" xfId="28915" applyNumberFormat="1" applyFont="1" applyBorder="1" applyAlignment="1">
      <alignment vertical="center"/>
    </xf>
    <xf numFmtId="11" fontId="32" fillId="0" borderId="61" xfId="28916" applyNumberFormat="1" applyFont="1" applyBorder="1" applyAlignment="1">
      <alignment vertical="center" wrapText="1"/>
    </xf>
    <xf numFmtId="11" fontId="32" fillId="0" borderId="42" xfId="28916" applyNumberFormat="1" applyFont="1" applyBorder="1" applyAlignment="1">
      <alignment vertical="center" wrapText="1"/>
    </xf>
    <xf numFmtId="11" fontId="32" fillId="0" borderId="43" xfId="28916" applyNumberFormat="1" applyFont="1" applyBorder="1" applyAlignment="1">
      <alignment vertical="center" wrapText="1"/>
    </xf>
    <xf numFmtId="11" fontId="34" fillId="2" borderId="38" xfId="28255" applyNumberFormat="1" applyFont="1" applyFill="1" applyBorder="1" applyAlignment="1">
      <alignment vertical="center"/>
    </xf>
    <xf numFmtId="11" fontId="32" fillId="0" borderId="28" xfId="28915" applyNumberFormat="1" applyFont="1" applyBorder="1" applyAlignment="1">
      <alignment horizontal="left" vertical="center" wrapText="1"/>
    </xf>
    <xf numFmtId="11" fontId="32" fillId="0" borderId="11" xfId="28915" applyNumberFormat="1" applyFont="1" applyBorder="1" applyAlignment="1">
      <alignment horizontal="left" vertical="center" wrapText="1"/>
    </xf>
    <xf numFmtId="11" fontId="32" fillId="0" borderId="10" xfId="28915" applyNumberFormat="1" applyFont="1" applyBorder="1" applyAlignment="1">
      <alignment horizontal="left" vertical="center" wrapText="1"/>
    </xf>
    <xf numFmtId="11" fontId="32" fillId="0" borderId="13" xfId="28916" applyNumberFormat="1" applyFont="1" applyBorder="1" applyAlignment="1">
      <alignment horizontal="left" vertical="center" wrapText="1"/>
    </xf>
    <xf numFmtId="11" fontId="32" fillId="0" borderId="13" xfId="28915" applyNumberFormat="1" applyFont="1" applyBorder="1" applyAlignment="1">
      <alignment horizontal="left" vertical="center"/>
    </xf>
    <xf numFmtId="1" fontId="0" fillId="0" borderId="0" xfId="0" applyNumberFormat="1" applyAlignment="1">
      <alignment horizontal="center" vertical="center"/>
    </xf>
    <xf numFmtId="11" fontId="32" fillId="0" borderId="52" xfId="28255" applyNumberFormat="1" applyFont="1" applyBorder="1" applyAlignment="1">
      <alignment vertical="center"/>
    </xf>
    <xf numFmtId="11" fontId="32" fillId="0" borderId="10" xfId="28255" applyNumberFormat="1" applyFont="1" applyBorder="1" applyAlignment="1">
      <alignment vertical="center"/>
    </xf>
    <xf numFmtId="11" fontId="32" fillId="0" borderId="10" xfId="28915" applyNumberFormat="1" applyFont="1" applyBorder="1" applyAlignment="1">
      <alignment vertical="center" wrapText="1"/>
    </xf>
    <xf numFmtId="1" fontId="34" fillId="2" borderId="38" xfId="28255" applyNumberFormat="1" applyFont="1" applyFill="1" applyBorder="1" applyAlignment="1">
      <alignment horizontal="left" vertical="center"/>
    </xf>
    <xf numFmtId="1" fontId="34" fillId="2" borderId="30" xfId="28255" applyNumberFormat="1" applyFont="1" applyFill="1" applyBorder="1" applyAlignment="1">
      <alignment horizontal="left" vertical="center"/>
    </xf>
    <xf numFmtId="11" fontId="1" fillId="0" borderId="0" xfId="0" applyNumberFormat="1" applyFont="1" applyAlignment="1">
      <alignment horizontal="left"/>
    </xf>
    <xf numFmtId="11" fontId="45" fillId="0" borderId="0" xfId="0" applyNumberFormat="1" applyFont="1" applyAlignment="1">
      <alignment horizontal="left"/>
    </xf>
    <xf numFmtId="1" fontId="32" fillId="0" borderId="52" xfId="28915" applyNumberFormat="1" applyFont="1" applyBorder="1" applyAlignment="1">
      <alignment horizontal="left" vertical="center"/>
    </xf>
    <xf numFmtId="1" fontId="32" fillId="0" borderId="13" xfId="28915" applyNumberFormat="1" applyFont="1" applyBorder="1" applyAlignment="1">
      <alignment horizontal="left" vertical="center"/>
    </xf>
    <xf numFmtId="1" fontId="32" fillId="0" borderId="15" xfId="28915" applyNumberFormat="1" applyFont="1" applyBorder="1" applyAlignment="1">
      <alignment horizontal="left" vertical="center"/>
    </xf>
    <xf numFmtId="1" fontId="32" fillId="0" borderId="52" xfId="28916" applyNumberFormat="1" applyFont="1" applyBorder="1" applyAlignment="1">
      <alignment horizontal="left" vertical="center"/>
    </xf>
    <xf numFmtId="1" fontId="32" fillId="0" borderId="13" xfId="28916" applyNumberFormat="1" applyFont="1" applyBorder="1" applyAlignment="1">
      <alignment horizontal="left" vertical="center"/>
    </xf>
    <xf numFmtId="1" fontId="32" fillId="0" borderId="15" xfId="28916" applyNumberFormat="1" applyFont="1" applyBorder="1" applyAlignment="1">
      <alignment horizontal="left" vertical="center"/>
    </xf>
    <xf numFmtId="1" fontId="80" fillId="2" borderId="38" xfId="28255" applyNumberFormat="1" applyFont="1" applyFill="1" applyBorder="1" applyAlignment="1">
      <alignment horizontal="left" vertical="center"/>
    </xf>
    <xf numFmtId="1" fontId="80" fillId="2" borderId="30" xfId="28255" applyNumberFormat="1" applyFont="1" applyFill="1" applyBorder="1" applyAlignment="1">
      <alignment horizontal="left" vertical="center"/>
    </xf>
    <xf numFmtId="1" fontId="30" fillId="0" borderId="0" xfId="0" applyNumberFormat="1" applyFont="1" applyAlignment="1">
      <alignment horizontal="center" vertical="center"/>
    </xf>
    <xf numFmtId="0" fontId="1" fillId="0" borderId="13" xfId="0" applyFont="1" applyBorder="1"/>
    <xf numFmtId="11" fontId="32" fillId="0" borderId="15" xfId="28916" applyNumberFormat="1" applyFont="1" applyBorder="1" applyAlignment="1">
      <alignment horizontal="left" vertical="center" wrapText="1"/>
    </xf>
    <xf numFmtId="11" fontId="32" fillId="0" borderId="15" xfId="28915" applyNumberFormat="1" applyFont="1" applyBorder="1" applyAlignment="1">
      <alignment vertical="center"/>
    </xf>
    <xf numFmtId="0" fontId="1" fillId="0" borderId="15" xfId="0" applyFont="1" applyBorder="1"/>
    <xf numFmtId="11" fontId="32" fillId="0" borderId="11" xfId="28915" applyNumberFormat="1" applyFont="1" applyBorder="1" applyAlignment="1">
      <alignment vertical="center"/>
    </xf>
    <xf numFmtId="11" fontId="32" fillId="0" borderId="11" xfId="28916" applyNumberFormat="1" applyFont="1" applyBorder="1" applyAlignment="1">
      <alignment horizontal="left" vertical="center" wrapText="1"/>
    </xf>
    <xf numFmtId="11" fontId="32" fillId="0" borderId="11" xfId="28915" applyNumberFormat="1" applyFont="1" applyBorder="1" applyAlignment="1">
      <alignment vertical="center" wrapText="1"/>
    </xf>
    <xf numFmtId="0" fontId="32" fillId="2" borderId="36" xfId="28255" applyFont="1" applyFill="1" applyBorder="1" applyAlignment="1">
      <alignment horizontal="center" vertical="center"/>
    </xf>
    <xf numFmtId="0" fontId="32" fillId="2" borderId="63" xfId="28255" applyFont="1" applyFill="1" applyBorder="1" applyAlignment="1">
      <alignment horizontal="center" vertical="center"/>
    </xf>
    <xf numFmtId="1" fontId="34" fillId="2" borderId="7" xfId="28255" applyNumberFormat="1" applyFont="1" applyFill="1" applyBorder="1" applyAlignment="1">
      <alignment horizontal="left" vertical="center"/>
    </xf>
    <xf numFmtId="11" fontId="24" fillId="9" borderId="21" xfId="0" applyNumberFormat="1" applyFont="1" applyFill="1" applyBorder="1" applyAlignment="1">
      <alignment horizontal="center" vertical="center"/>
    </xf>
    <xf numFmtId="11" fontId="24" fillId="9" borderId="19" xfId="0" applyNumberFormat="1" applyFont="1" applyFill="1" applyBorder="1" applyAlignment="1">
      <alignment horizontal="center" vertical="center"/>
    </xf>
    <xf numFmtId="11" fontId="24" fillId="9" borderId="58" xfId="0" applyNumberFormat="1" applyFont="1" applyFill="1" applyBorder="1" applyAlignment="1">
      <alignment horizontal="center" vertical="center"/>
    </xf>
    <xf numFmtId="11" fontId="24" fillId="9" borderId="22" xfId="0" applyNumberFormat="1" applyFont="1" applyFill="1" applyBorder="1" applyAlignment="1">
      <alignment horizontal="center" vertical="center"/>
    </xf>
    <xf numFmtId="11" fontId="1" fillId="9" borderId="21" xfId="0" applyNumberFormat="1" applyFont="1" applyFill="1" applyBorder="1" applyAlignment="1">
      <alignment horizontal="center" vertical="center"/>
    </xf>
    <xf numFmtId="11" fontId="1" fillId="9" borderId="19" xfId="0" applyNumberFormat="1" applyFont="1" applyFill="1" applyBorder="1" applyAlignment="1">
      <alignment horizontal="center" vertical="center"/>
    </xf>
    <xf numFmtId="11" fontId="24" fillId="9" borderId="23" xfId="0" applyNumberFormat="1" applyFont="1" applyFill="1" applyBorder="1" applyAlignment="1">
      <alignment horizontal="center" vertical="center"/>
    </xf>
    <xf numFmtId="1" fontId="32" fillId="0" borderId="13" xfId="28255" applyNumberFormat="1" applyFont="1" applyBorder="1" applyAlignment="1">
      <alignment horizontal="left" vertical="center"/>
    </xf>
    <xf numFmtId="1" fontId="32" fillId="0" borderId="15" xfId="28255" applyNumberFormat="1" applyFont="1" applyBorder="1" applyAlignment="1">
      <alignment horizontal="left" vertical="center"/>
    </xf>
    <xf numFmtId="1" fontId="32" fillId="0" borderId="11" xfId="28255" applyNumberFormat="1" applyFont="1" applyBorder="1" applyAlignment="1">
      <alignment horizontal="left" vertical="center"/>
    </xf>
    <xf numFmtId="11" fontId="32" fillId="0" borderId="0" xfId="28255" applyNumberFormat="1" applyFont="1" applyAlignment="1">
      <alignment horizontal="left" vertical="center"/>
    </xf>
    <xf numFmtId="11" fontId="28" fillId="0" borderId="0" xfId="28255" applyNumberFormat="1" applyAlignment="1">
      <alignment horizontal="left" vertical="center"/>
    </xf>
    <xf numFmtId="11" fontId="44" fillId="0" borderId="0" xfId="0" applyNumberFormat="1" applyFont="1" applyAlignment="1">
      <alignment horizontal="left" vertical="center"/>
    </xf>
    <xf numFmtId="11" fontId="0" fillId="0" borderId="0" xfId="0" applyNumberFormat="1" applyAlignment="1">
      <alignment horizontal="left" vertical="center"/>
    </xf>
    <xf numFmtId="1" fontId="32" fillId="0" borderId="52" xfId="28255" applyNumberFormat="1" applyFont="1" applyBorder="1" applyAlignment="1">
      <alignment horizontal="left" vertical="center"/>
    </xf>
    <xf numFmtId="11" fontId="4" fillId="9" borderId="21" xfId="0" applyNumberFormat="1" applyFont="1" applyFill="1" applyBorder="1" applyAlignment="1">
      <alignment horizontal="center"/>
    </xf>
    <xf numFmtId="11" fontId="4" fillId="9" borderId="22" xfId="0" applyNumberFormat="1" applyFont="1" applyFill="1" applyBorder="1" applyAlignment="1">
      <alignment horizontal="center"/>
    </xf>
    <xf numFmtId="11" fontId="1" fillId="9" borderId="21" xfId="0" applyNumberFormat="1" applyFont="1" applyFill="1" applyBorder="1" applyAlignment="1">
      <alignment horizontal="center"/>
    </xf>
    <xf numFmtId="11" fontId="4" fillId="9" borderId="29" xfId="0" applyNumberFormat="1" applyFont="1" applyFill="1" applyBorder="1" applyAlignment="1">
      <alignment horizontal="center"/>
    </xf>
    <xf numFmtId="11" fontId="4" fillId="9" borderId="19" xfId="0" applyNumberFormat="1" applyFont="1" applyFill="1" applyBorder="1" applyAlignment="1">
      <alignment horizontal="center"/>
    </xf>
    <xf numFmtId="11" fontId="4" fillId="9" borderId="20" xfId="0" applyNumberFormat="1" applyFont="1" applyFill="1" applyBorder="1" applyAlignment="1">
      <alignment horizontal="center"/>
    </xf>
    <xf numFmtId="11" fontId="4" fillId="9" borderId="23" xfId="0" applyNumberFormat="1" applyFont="1" applyFill="1" applyBorder="1" applyAlignment="1">
      <alignment horizontal="center"/>
    </xf>
    <xf numFmtId="1" fontId="32" fillId="0" borderId="13" xfId="28255" applyNumberFormat="1" applyFont="1" applyBorder="1" applyAlignment="1">
      <alignment horizontal="left"/>
    </xf>
    <xf numFmtId="1" fontId="32" fillId="0" borderId="11" xfId="28255" applyNumberFormat="1" applyFont="1" applyBorder="1" applyAlignment="1">
      <alignment horizontal="left"/>
    </xf>
    <xf numFmtId="1" fontId="32" fillId="0" borderId="15" xfId="28255" applyNumberFormat="1" applyFont="1" applyBorder="1" applyAlignment="1">
      <alignment horizontal="left"/>
    </xf>
    <xf numFmtId="1" fontId="34" fillId="2" borderId="30" xfId="28255" applyNumberFormat="1" applyFont="1" applyFill="1" applyBorder="1" applyAlignment="1">
      <alignment horizontal="left"/>
    </xf>
    <xf numFmtId="11" fontId="32" fillId="9" borderId="21" xfId="28915" quotePrefix="1" applyNumberFormat="1" applyFont="1" applyFill="1" applyBorder="1" applyAlignment="1">
      <alignment horizontal="center" vertical="center"/>
    </xf>
    <xf numFmtId="1" fontId="4" fillId="0" borderId="11" xfId="0" applyNumberFormat="1" applyFont="1" applyBorder="1" applyAlignment="1">
      <alignment horizontal="left" vertical="center"/>
    </xf>
    <xf numFmtId="1" fontId="4" fillId="0" borderId="13" xfId="0" applyNumberFormat="1" applyFont="1" applyBorder="1" applyAlignment="1">
      <alignment horizontal="left" vertical="center"/>
    </xf>
    <xf numFmtId="1" fontId="4" fillId="0" borderId="15" xfId="0" applyNumberFormat="1" applyFont="1" applyBorder="1" applyAlignment="1">
      <alignment horizontal="left" vertical="center"/>
    </xf>
    <xf numFmtId="1" fontId="31" fillId="2" borderId="30" xfId="0" applyNumberFormat="1" applyFont="1" applyFill="1" applyBorder="1" applyAlignment="1">
      <alignment horizontal="left" vertical="center"/>
    </xf>
    <xf numFmtId="1" fontId="1" fillId="0" borderId="11" xfId="0" applyNumberFormat="1" applyFont="1" applyBorder="1" applyAlignment="1">
      <alignment horizontal="left"/>
    </xf>
    <xf numFmtId="1" fontId="1" fillId="0" borderId="13" xfId="0" applyNumberFormat="1" applyFont="1" applyBorder="1" applyAlignment="1">
      <alignment horizontal="left"/>
    </xf>
    <xf numFmtId="1" fontId="1" fillId="0" borderId="15" xfId="0" applyNumberFormat="1" applyFont="1" applyBorder="1" applyAlignment="1">
      <alignment horizontal="left"/>
    </xf>
    <xf numFmtId="1" fontId="31" fillId="2" borderId="30" xfId="0" applyNumberFormat="1" applyFont="1" applyFill="1" applyBorder="1" applyAlignment="1">
      <alignment horizontal="left"/>
    </xf>
    <xf numFmtId="11" fontId="81" fillId="0" borderId="0" xfId="0" applyNumberFormat="1" applyFont="1" applyAlignment="1">
      <alignment vertical="center"/>
    </xf>
    <xf numFmtId="0" fontId="82" fillId="0" borderId="0" xfId="0" applyFont="1"/>
    <xf numFmtId="165" fontId="32" fillId="3" borderId="21" xfId="28915" applyNumberFormat="1" applyFont="1" applyFill="1" applyBorder="1" applyAlignment="1">
      <alignment horizontal="center" vertical="center" wrapText="1"/>
    </xf>
    <xf numFmtId="165" fontId="32" fillId="3" borderId="21" xfId="28915" applyNumberFormat="1" applyFont="1" applyFill="1" applyBorder="1" applyAlignment="1">
      <alignment horizontal="center" vertical="center"/>
    </xf>
    <xf numFmtId="165" fontId="32" fillId="3" borderId="21" xfId="28916" applyNumberFormat="1" applyFont="1" applyFill="1" applyBorder="1" applyAlignment="1">
      <alignment horizontal="center" vertical="center" wrapText="1"/>
    </xf>
    <xf numFmtId="165" fontId="32" fillId="3" borderId="23" xfId="28915" applyNumberFormat="1" applyFont="1" applyFill="1" applyBorder="1" applyAlignment="1">
      <alignment horizontal="center" vertical="center" wrapText="1"/>
    </xf>
    <xf numFmtId="0" fontId="1" fillId="0" borderId="11" xfId="0" applyFont="1" applyBorder="1" applyAlignment="1">
      <alignment horizontal="left"/>
    </xf>
    <xf numFmtId="0" fontId="1" fillId="0" borderId="13" xfId="0" applyFont="1" applyBorder="1" applyAlignment="1">
      <alignment horizontal="left"/>
    </xf>
    <xf numFmtId="0" fontId="1" fillId="0" borderId="15" xfId="0" applyFont="1" applyBorder="1" applyAlignment="1">
      <alignment horizontal="left"/>
    </xf>
    <xf numFmtId="0" fontId="31" fillId="2" borderId="30" xfId="0" applyFont="1" applyFill="1" applyBorder="1" applyAlignment="1">
      <alignment horizontal="left"/>
    </xf>
    <xf numFmtId="165" fontId="32" fillId="3" borderId="22" xfId="28915" applyNumberFormat="1" applyFont="1" applyFill="1" applyBorder="1" applyAlignment="1">
      <alignment horizontal="center" vertical="center" wrapText="1"/>
    </xf>
    <xf numFmtId="165" fontId="32" fillId="3" borderId="19" xfId="28915" applyNumberFormat="1" applyFont="1" applyFill="1" applyBorder="1" applyAlignment="1">
      <alignment horizontal="center" vertical="center" wrapText="1"/>
    </xf>
    <xf numFmtId="165" fontId="32" fillId="3" borderId="20" xfId="28915" applyNumberFormat="1" applyFont="1" applyFill="1" applyBorder="1" applyAlignment="1">
      <alignment horizontal="center" vertical="center" wrapText="1"/>
    </xf>
    <xf numFmtId="165" fontId="32" fillId="3" borderId="20" xfId="28915" applyNumberFormat="1" applyFont="1" applyFill="1" applyBorder="1" applyAlignment="1">
      <alignment horizontal="center" vertical="center"/>
    </xf>
    <xf numFmtId="165" fontId="32" fillId="3" borderId="22" xfId="28916" applyNumberFormat="1" applyFont="1" applyFill="1" applyBorder="1" applyAlignment="1">
      <alignment horizontal="center" vertical="center" wrapText="1"/>
    </xf>
    <xf numFmtId="165" fontId="5" fillId="9" borderId="21" xfId="0" applyNumberFormat="1" applyFont="1" applyFill="1" applyBorder="1" applyAlignment="1">
      <alignment horizontal="center" vertical="center"/>
    </xf>
    <xf numFmtId="165" fontId="24" fillId="9" borderId="21" xfId="0" applyNumberFormat="1" applyFont="1" applyFill="1" applyBorder="1" applyAlignment="1">
      <alignment horizontal="center" vertical="center"/>
    </xf>
    <xf numFmtId="165" fontId="20" fillId="9" borderId="21" xfId="0" applyNumberFormat="1" applyFont="1" applyFill="1" applyBorder="1" applyAlignment="1">
      <alignment horizontal="center" vertical="center"/>
    </xf>
    <xf numFmtId="165" fontId="21" fillId="9" borderId="21" xfId="0" applyNumberFormat="1" applyFont="1" applyFill="1" applyBorder="1" applyAlignment="1">
      <alignment horizontal="center" vertical="center"/>
    </xf>
    <xf numFmtId="0" fontId="4" fillId="0" borderId="11" xfId="0" applyFont="1" applyBorder="1" applyAlignment="1">
      <alignment horizontal="left"/>
    </xf>
    <xf numFmtId="0" fontId="4" fillId="0" borderId="13" xfId="0" applyFont="1" applyBorder="1" applyAlignment="1">
      <alignment horizontal="left"/>
    </xf>
    <xf numFmtId="0" fontId="4" fillId="0" borderId="15" xfId="0" applyFont="1" applyBorder="1" applyAlignment="1">
      <alignment horizontal="left"/>
    </xf>
    <xf numFmtId="1" fontId="1" fillId="2" borderId="38" xfId="0" applyNumberFormat="1" applyFont="1" applyFill="1" applyBorder="1" applyAlignment="1">
      <alignment horizontal="center"/>
    </xf>
    <xf numFmtId="11" fontId="32" fillId="6" borderId="29" xfId="28915" applyNumberFormat="1" applyFont="1" applyFill="1" applyBorder="1" applyAlignment="1">
      <alignment horizontal="center" vertical="center" wrapText="1"/>
    </xf>
    <xf numFmtId="0" fontId="1" fillId="0" borderId="0" xfId="0" applyFont="1" applyAlignment="1">
      <alignment horizontal="center"/>
    </xf>
    <xf numFmtId="165" fontId="53" fillId="2" borderId="3" xfId="28255" applyNumberFormat="1" applyFont="1" applyFill="1" applyBorder="1" applyAlignment="1">
      <alignment horizontal="center" vertical="center"/>
    </xf>
    <xf numFmtId="165" fontId="32" fillId="4" borderId="24" xfId="28915" applyNumberFormat="1" applyFont="1" applyFill="1" applyBorder="1" applyAlignment="1">
      <alignment horizontal="center" vertical="center" wrapText="1"/>
    </xf>
    <xf numFmtId="165" fontId="32" fillId="4" borderId="24" xfId="28915" applyNumberFormat="1" applyFont="1" applyFill="1" applyBorder="1" applyAlignment="1">
      <alignment horizontal="center" vertical="center"/>
    </xf>
    <xf numFmtId="165" fontId="32" fillId="4" borderId="24" xfId="28916" applyNumberFormat="1" applyFont="1" applyFill="1" applyBorder="1" applyAlignment="1">
      <alignment horizontal="center" vertical="center" wrapText="1"/>
    </xf>
    <xf numFmtId="165" fontId="32" fillId="4" borderId="55" xfId="28915" applyNumberFormat="1" applyFont="1" applyFill="1" applyBorder="1" applyAlignment="1">
      <alignment horizontal="center" vertical="center" wrapText="1"/>
    </xf>
    <xf numFmtId="165" fontId="32" fillId="4" borderId="56" xfId="28915" applyNumberFormat="1" applyFont="1" applyFill="1" applyBorder="1" applyAlignment="1">
      <alignment horizontal="center" vertical="center" wrapText="1"/>
    </xf>
    <xf numFmtId="165" fontId="32" fillId="4" borderId="57" xfId="28915" applyNumberFormat="1" applyFont="1" applyFill="1" applyBorder="1" applyAlignment="1">
      <alignment horizontal="center" vertical="center" wrapText="1"/>
    </xf>
    <xf numFmtId="0" fontId="1" fillId="2" borderId="30" xfId="0" applyFont="1" applyFill="1" applyBorder="1"/>
    <xf numFmtId="0" fontId="1" fillId="2" borderId="37" xfId="0" applyFont="1" applyFill="1" applyBorder="1"/>
    <xf numFmtId="0" fontId="1" fillId="0" borderId="51" xfId="0" applyFont="1" applyBorder="1" applyAlignment="1">
      <alignment horizontal="center"/>
    </xf>
    <xf numFmtId="0" fontId="1" fillId="0" borderId="52" xfId="0" applyFont="1" applyBorder="1" applyAlignment="1">
      <alignment horizontal="center"/>
    </xf>
    <xf numFmtId="0" fontId="1" fillId="0" borderId="53" xfId="0" applyFont="1" applyBorder="1" applyAlignment="1">
      <alignment horizontal="center"/>
    </xf>
    <xf numFmtId="0" fontId="1" fillId="0" borderId="48" xfId="0" applyFont="1" applyBorder="1" applyAlignment="1">
      <alignment horizont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0" borderId="0" xfId="0" applyFont="1" applyAlignment="1">
      <alignment horizontal="left"/>
    </xf>
    <xf numFmtId="0" fontId="0" fillId="0" borderId="97" xfId="0" applyBorder="1"/>
    <xf numFmtId="0" fontId="0" fillId="0" borderId="98" xfId="0" applyBorder="1"/>
    <xf numFmtId="0" fontId="0" fillId="2" borderId="99" xfId="0" applyFill="1" applyBorder="1"/>
    <xf numFmtId="0" fontId="1" fillId="0" borderId="61" xfId="0" applyFont="1" applyBorder="1" applyAlignment="1">
      <alignment horizontal="center"/>
    </xf>
    <xf numFmtId="0" fontId="1" fillId="0" borderId="42" xfId="0" applyFont="1" applyBorder="1" applyAlignment="1">
      <alignment horizontal="center"/>
    </xf>
    <xf numFmtId="0" fontId="1" fillId="0" borderId="43" xfId="0" applyFont="1" applyBorder="1" applyAlignment="1">
      <alignment horizontal="center"/>
    </xf>
    <xf numFmtId="0" fontId="32" fillId="0" borderId="50" xfId="28255" applyFont="1" applyBorder="1" applyAlignment="1">
      <alignment horizontal="left" vertical="center"/>
    </xf>
    <xf numFmtId="0" fontId="32" fillId="0" borderId="50" xfId="28255" applyFont="1" applyBorder="1" applyAlignment="1">
      <alignment horizontal="center" vertical="center"/>
    </xf>
    <xf numFmtId="0" fontId="32" fillId="0" borderId="50" xfId="28255" quotePrefix="1" applyFont="1" applyBorder="1" applyAlignment="1">
      <alignment horizontal="left" vertical="center" wrapText="1"/>
    </xf>
    <xf numFmtId="11" fontId="32" fillId="10" borderId="18" xfId="28916" applyNumberFormat="1" applyFont="1" applyFill="1" applyBorder="1" applyAlignment="1">
      <alignment horizontal="center" vertical="center" wrapText="1"/>
    </xf>
    <xf numFmtId="1" fontId="32" fillId="11" borderId="18" xfId="28916" applyNumberFormat="1" applyFont="1" applyFill="1" applyBorder="1" applyAlignment="1">
      <alignment horizontal="center" vertical="center" wrapText="1"/>
    </xf>
    <xf numFmtId="11" fontId="32" fillId="0" borderId="18" xfId="28916" applyNumberFormat="1" applyFont="1" applyBorder="1" applyAlignment="1">
      <alignment vertical="center" wrapText="1"/>
    </xf>
    <xf numFmtId="11" fontId="24" fillId="9" borderId="18" xfId="0" applyNumberFormat="1" applyFont="1" applyFill="1" applyBorder="1" applyAlignment="1">
      <alignment horizontal="center" vertical="center"/>
    </xf>
    <xf numFmtId="166" fontId="24" fillId="9" borderId="85" xfId="0" applyNumberFormat="1" applyFont="1" applyFill="1" applyBorder="1" applyAlignment="1">
      <alignment horizontal="center" vertical="center"/>
    </xf>
    <xf numFmtId="11" fontId="24" fillId="8" borderId="85" xfId="0" applyNumberFormat="1" applyFont="1" applyFill="1" applyBorder="1" applyAlignment="1">
      <alignment horizontal="center" vertical="center"/>
    </xf>
    <xf numFmtId="11" fontId="24" fillId="0" borderId="85" xfId="0" applyNumberFormat="1" applyFont="1" applyBorder="1" applyAlignment="1">
      <alignment horizontal="center" vertical="center"/>
    </xf>
    <xf numFmtId="11" fontId="24" fillId="0" borderId="100" xfId="0" applyNumberFormat="1" applyFont="1" applyBorder="1" applyAlignment="1">
      <alignment horizontal="center" vertical="center"/>
    </xf>
    <xf numFmtId="11" fontId="24" fillId="9" borderId="101" xfId="0" applyNumberFormat="1" applyFont="1" applyFill="1" applyBorder="1" applyAlignment="1">
      <alignment horizontal="center" vertical="center"/>
    </xf>
    <xf numFmtId="11" fontId="32" fillId="9" borderId="101" xfId="28916" applyNumberFormat="1" applyFont="1" applyFill="1" applyBorder="1" applyAlignment="1">
      <alignment horizontal="center" vertical="center" wrapText="1"/>
    </xf>
    <xf numFmtId="1" fontId="24" fillId="9" borderId="85" xfId="0" applyNumberFormat="1" applyFont="1" applyFill="1" applyBorder="1" applyAlignment="1">
      <alignment horizontal="center" vertical="center"/>
    </xf>
    <xf numFmtId="11" fontId="24" fillId="6" borderId="85" xfId="0" applyNumberFormat="1" applyFont="1" applyFill="1" applyBorder="1" applyAlignment="1">
      <alignment horizontal="center" vertical="center"/>
    </xf>
    <xf numFmtId="11" fontId="24" fillId="6" borderId="100" xfId="0" applyNumberFormat="1" applyFont="1" applyFill="1" applyBorder="1" applyAlignment="1">
      <alignment horizontal="center" vertical="center"/>
    </xf>
    <xf numFmtId="11" fontId="32" fillId="9" borderId="20" xfId="28916" applyNumberFormat="1" applyFont="1" applyFill="1" applyBorder="1" applyAlignment="1">
      <alignment horizontal="center" vertical="center" wrapText="1"/>
    </xf>
    <xf numFmtId="11" fontId="24" fillId="9" borderId="18" xfId="0" applyNumberFormat="1" applyFont="1" applyFill="1" applyBorder="1" applyAlignment="1">
      <alignment horizontal="center"/>
    </xf>
    <xf numFmtId="168" fontId="32" fillId="9" borderId="11" xfId="28916" applyNumberFormat="1" applyFont="1" applyFill="1" applyBorder="1" applyAlignment="1">
      <alignment horizontal="center" vertical="center" wrapText="1"/>
    </xf>
    <xf numFmtId="11" fontId="24" fillId="8" borderId="18" xfId="0" applyNumberFormat="1" applyFont="1" applyFill="1" applyBorder="1" applyAlignment="1">
      <alignment horizontal="center" vertical="center"/>
    </xf>
    <xf numFmtId="11" fontId="24" fillId="0" borderId="18" xfId="0" applyNumberFormat="1" applyFont="1" applyBorder="1" applyAlignment="1">
      <alignment horizontal="center" vertical="center"/>
    </xf>
    <xf numFmtId="11" fontId="24" fillId="0" borderId="28" xfId="0" applyNumberFormat="1" applyFont="1" applyBorder="1" applyAlignment="1">
      <alignment horizontal="center" vertical="center"/>
    </xf>
    <xf numFmtId="11" fontId="24" fillId="12" borderId="18" xfId="0" applyNumberFormat="1" applyFont="1" applyFill="1" applyBorder="1" applyAlignment="1">
      <alignment horizontal="center"/>
    </xf>
    <xf numFmtId="11" fontId="1" fillId="9" borderId="18" xfId="0" applyNumberFormat="1" applyFont="1" applyFill="1" applyBorder="1" applyAlignment="1">
      <alignment horizontal="center" vertical="center"/>
    </xf>
    <xf numFmtId="11" fontId="1" fillId="8" borderId="18" xfId="0" applyNumberFormat="1" applyFont="1" applyFill="1" applyBorder="1" applyAlignment="1">
      <alignment horizontal="center" vertical="center"/>
    </xf>
    <xf numFmtId="11" fontId="32" fillId="9" borderId="18" xfId="28916" applyNumberFormat="1" applyFont="1" applyFill="1" applyBorder="1" applyAlignment="1">
      <alignment horizontal="center" vertical="center" wrapText="1"/>
    </xf>
    <xf numFmtId="165" fontId="32" fillId="8" borderId="18" xfId="28916" applyNumberFormat="1" applyFont="1" applyFill="1" applyBorder="1" applyAlignment="1">
      <alignment horizontal="center" vertical="center" wrapText="1"/>
    </xf>
    <xf numFmtId="165" fontId="32" fillId="6" borderId="18" xfId="28916" applyNumberFormat="1" applyFont="1" applyFill="1" applyBorder="1" applyAlignment="1">
      <alignment horizontal="center" vertical="center" wrapText="1"/>
    </xf>
    <xf numFmtId="0" fontId="32" fillId="0" borderId="13" xfId="28915" applyFont="1" applyBorder="1" applyAlignment="1">
      <alignment horizontal="center" vertical="center" wrapText="1"/>
    </xf>
    <xf numFmtId="0" fontId="62" fillId="0" borderId="0" xfId="28255" applyFont="1" applyAlignment="1">
      <alignment horizontal="center" wrapText="1"/>
    </xf>
    <xf numFmtId="0" fontId="34" fillId="2" borderId="3" xfId="28255" applyFont="1" applyFill="1" applyBorder="1" applyAlignment="1">
      <alignment horizontal="left" vertical="center" wrapText="1"/>
    </xf>
    <xf numFmtId="0" fontId="32" fillId="0" borderId="46" xfId="28915" applyFont="1" applyBorder="1" applyAlignment="1">
      <alignment horizontal="left" vertical="center" wrapText="1"/>
    </xf>
    <xf numFmtId="0" fontId="34" fillId="2" borderId="37" xfId="28255" applyFont="1" applyFill="1" applyBorder="1" applyAlignment="1">
      <alignment horizontal="left" vertical="center" wrapText="1"/>
    </xf>
    <xf numFmtId="0" fontId="32" fillId="0" borderId="46" xfId="28255" applyFont="1" applyBorder="1" applyAlignment="1">
      <alignment horizontal="left" vertical="center" wrapText="1"/>
    </xf>
    <xf numFmtId="0" fontId="32" fillId="0" borderId="24" xfId="28255" applyFont="1" applyBorder="1" applyAlignment="1">
      <alignment horizontal="left" vertical="center" wrapText="1"/>
    </xf>
    <xf numFmtId="0" fontId="32" fillId="0" borderId="54" xfId="28255" applyFont="1" applyBorder="1" applyAlignment="1">
      <alignment horizontal="left" vertical="center" wrapText="1"/>
    </xf>
    <xf numFmtId="0" fontId="32" fillId="0" borderId="44" xfId="28915" applyFont="1" applyBorder="1" applyAlignment="1">
      <alignment horizontal="left" vertical="center" wrapText="1"/>
    </xf>
    <xf numFmtId="0" fontId="32" fillId="0" borderId="45" xfId="28915" applyFont="1" applyBorder="1" applyAlignment="1">
      <alignment horizontal="left" vertical="center" wrapText="1"/>
    </xf>
    <xf numFmtId="0" fontId="25" fillId="0" borderId="0" xfId="0" applyFont="1" applyAlignment="1">
      <alignment horizontal="left" wrapText="1"/>
    </xf>
    <xf numFmtId="11" fontId="1" fillId="8" borderId="85" xfId="0" applyNumberFormat="1" applyFont="1" applyFill="1" applyBorder="1" applyAlignment="1">
      <alignment horizontal="center" vertical="center"/>
    </xf>
    <xf numFmtId="0" fontId="0" fillId="0" borderId="0" xfId="0" applyAlignment="1">
      <alignment horizontal="center"/>
    </xf>
    <xf numFmtId="0" fontId="88" fillId="0" borderId="0" xfId="0" applyFont="1"/>
    <xf numFmtId="169" fontId="23" fillId="0" borderId="66" xfId="0" applyNumberFormat="1" applyFont="1" applyBorder="1" applyAlignment="1">
      <alignment horizontal="left" vertical="center" wrapText="1"/>
    </xf>
    <xf numFmtId="169" fontId="24" fillId="0" borderId="66" xfId="0" applyNumberFormat="1" applyFont="1" applyBorder="1" applyAlignment="1">
      <alignment horizontal="left" vertical="center" wrapText="1"/>
    </xf>
    <xf numFmtId="169" fontId="23" fillId="0" borderId="67" xfId="0" applyNumberFormat="1" applyFont="1" applyBorder="1" applyAlignment="1">
      <alignment horizontal="left" vertical="center" wrapText="1"/>
    </xf>
    <xf numFmtId="0" fontId="1" fillId="0" borderId="80" xfId="0" applyFont="1" applyBorder="1" applyAlignment="1">
      <alignment vertical="center" wrapText="1"/>
    </xf>
    <xf numFmtId="0" fontId="14" fillId="0" borderId="65" xfId="0" applyFont="1" applyBorder="1" applyAlignment="1">
      <alignment vertical="center" wrapText="1"/>
    </xf>
    <xf numFmtId="0" fontId="24" fillId="0" borderId="65" xfId="0" applyFont="1" applyBorder="1" applyAlignment="1">
      <alignment horizontal="left" vertical="center" wrapText="1"/>
    </xf>
    <xf numFmtId="0" fontId="1" fillId="0" borderId="66" xfId="0" applyFont="1" applyBorder="1" applyAlignment="1">
      <alignment vertical="center" wrapText="1"/>
    </xf>
    <xf numFmtId="0" fontId="1" fillId="0" borderId="66" xfId="0" applyFont="1" applyBorder="1" applyAlignment="1">
      <alignment wrapText="1"/>
    </xf>
    <xf numFmtId="0" fontId="1" fillId="0" borderId="66" xfId="0" applyFont="1" applyBorder="1"/>
    <xf numFmtId="3" fontId="24" fillId="0" borderId="66" xfId="0" applyNumberFormat="1" applyFont="1" applyBorder="1" applyAlignment="1">
      <alignment horizontal="left" wrapText="1"/>
    </xf>
    <xf numFmtId="0" fontId="1" fillId="0" borderId="67" xfId="0" applyFont="1" applyBorder="1" applyAlignment="1">
      <alignment wrapText="1"/>
    </xf>
    <xf numFmtId="0" fontId="24" fillId="0" borderId="67" xfId="0" applyFont="1" applyBorder="1" applyAlignment="1">
      <alignment horizontal="left" wrapText="1"/>
    </xf>
    <xf numFmtId="11" fontId="32" fillId="0" borderId="0" xfId="28255" applyNumberFormat="1" applyFont="1" applyAlignment="1">
      <alignment horizontal="right"/>
    </xf>
    <xf numFmtId="171" fontId="1" fillId="0" borderId="0" xfId="0" applyNumberFormat="1" applyFont="1" applyAlignment="1">
      <alignment horizontal="left" vertical="center"/>
    </xf>
    <xf numFmtId="171" fontId="32" fillId="0" borderId="0" xfId="28255" applyNumberFormat="1" applyFont="1" applyAlignment="1">
      <alignment horizontal="left"/>
    </xf>
    <xf numFmtId="0" fontId="10" fillId="0" borderId="66" xfId="0" applyFont="1" applyBorder="1" applyAlignment="1">
      <alignment vertical="center" wrapText="1"/>
    </xf>
    <xf numFmtId="0" fontId="1" fillId="0" borderId="67" xfId="0" applyFont="1" applyBorder="1" applyAlignment="1">
      <alignment vertical="center" wrapText="1"/>
    </xf>
    <xf numFmtId="11" fontId="33" fillId="2" borderId="3" xfId="28255" applyNumberFormat="1" applyFont="1" applyFill="1" applyBorder="1" applyAlignment="1">
      <alignment horizontal="center" vertical="center"/>
    </xf>
    <xf numFmtId="11" fontId="32" fillId="0" borderId="24" xfId="28915" applyNumberFormat="1" applyFont="1" applyBorder="1" applyAlignment="1">
      <alignment horizontal="center" vertical="center"/>
    </xf>
    <xf numFmtId="11" fontId="33" fillId="2" borderId="3" xfId="28255" applyNumberFormat="1" applyFont="1" applyFill="1" applyBorder="1" applyAlignment="1">
      <alignment vertical="center"/>
    </xf>
    <xf numFmtId="11" fontId="32" fillId="3" borderId="57" xfId="28915" applyNumberFormat="1" applyFont="1" applyFill="1" applyBorder="1" applyAlignment="1">
      <alignment horizontal="center" vertical="center"/>
    </xf>
    <xf numFmtId="11" fontId="32" fillId="3" borderId="56" xfId="28915" applyNumberFormat="1" applyFont="1" applyFill="1" applyBorder="1" applyAlignment="1">
      <alignment horizontal="center" vertical="center"/>
    </xf>
    <xf numFmtId="11" fontId="32" fillId="3" borderId="59" xfId="28915" applyNumberFormat="1" applyFont="1" applyFill="1" applyBorder="1" applyAlignment="1">
      <alignment horizontal="center" vertical="center"/>
    </xf>
    <xf numFmtId="11" fontId="32" fillId="3" borderId="24" xfId="28915" applyNumberFormat="1" applyFont="1" applyFill="1" applyBorder="1" applyAlignment="1">
      <alignment horizontal="center" vertical="center"/>
    </xf>
    <xf numFmtId="11" fontId="32" fillId="3" borderId="54" xfId="28915" applyNumberFormat="1" applyFont="1" applyFill="1" applyBorder="1" applyAlignment="1">
      <alignment horizontal="center" vertical="center"/>
    </xf>
    <xf numFmtId="11" fontId="32" fillId="3" borderId="57" xfId="28255" applyNumberFormat="1" applyFont="1" applyFill="1" applyBorder="1" applyAlignment="1">
      <alignment horizontal="center" vertical="center"/>
    </xf>
    <xf numFmtId="11" fontId="32" fillId="3" borderId="24" xfId="28255" applyNumberFormat="1" applyFont="1" applyFill="1" applyBorder="1" applyAlignment="1">
      <alignment horizontal="center" vertical="center"/>
    </xf>
    <xf numFmtId="11" fontId="32" fillId="3" borderId="55" xfId="28915" applyNumberFormat="1" applyFont="1" applyFill="1" applyBorder="1" applyAlignment="1">
      <alignment horizontal="center" vertical="center"/>
    </xf>
    <xf numFmtId="0" fontId="0" fillId="2" borderId="89" xfId="0" applyFill="1" applyBorder="1" applyAlignment="1">
      <alignment horizontal="center"/>
    </xf>
    <xf numFmtId="0" fontId="0" fillId="0" borderId="97" xfId="0" applyBorder="1" applyAlignment="1">
      <alignment horizontal="center"/>
    </xf>
    <xf numFmtId="0" fontId="0" fillId="2" borderId="99" xfId="0" applyFill="1" applyBorder="1" applyAlignment="1">
      <alignment horizontal="center"/>
    </xf>
    <xf numFmtId="0" fontId="1" fillId="0" borderId="97" xfId="0" applyFont="1" applyBorder="1" applyAlignment="1">
      <alignment horizontal="center"/>
    </xf>
    <xf numFmtId="0" fontId="0" fillId="0" borderId="98" xfId="0" applyBorder="1" applyAlignment="1">
      <alignment horizontal="center"/>
    </xf>
    <xf numFmtId="0" fontId="2" fillId="0" borderId="0" xfId="0" applyFont="1" applyAlignment="1">
      <alignment horizontal="center"/>
    </xf>
    <xf numFmtId="0" fontId="4" fillId="0" borderId="0" xfId="0" applyFont="1" applyAlignment="1">
      <alignment horizontal="center"/>
    </xf>
    <xf numFmtId="11" fontId="55" fillId="0" borderId="0" xfId="28934" applyNumberFormat="1" applyAlignment="1">
      <alignment horizontal="center" vertical="center"/>
    </xf>
    <xf numFmtId="0" fontId="32" fillId="0" borderId="74" xfId="28255" applyFont="1" applyBorder="1" applyAlignment="1">
      <alignment horizontal="center" vertical="center"/>
    </xf>
    <xf numFmtId="0" fontId="32" fillId="0" borderId="15" xfId="28255" applyFont="1" applyBorder="1" applyAlignment="1">
      <alignment horizontal="center" vertical="center"/>
    </xf>
    <xf numFmtId="0" fontId="32" fillId="0" borderId="15" xfId="28255" applyFont="1" applyBorder="1" applyAlignment="1">
      <alignment horizontal="left" vertical="center" wrapText="1"/>
    </xf>
    <xf numFmtId="0" fontId="32" fillId="0" borderId="56" xfId="28255" applyFont="1" applyBorder="1" applyAlignment="1">
      <alignment horizontal="left" vertical="center" wrapText="1"/>
    </xf>
    <xf numFmtId="0" fontId="32" fillId="2" borderId="30" xfId="28255" applyFont="1" applyFill="1" applyBorder="1" applyAlignment="1">
      <alignment horizontal="center" vertical="center"/>
    </xf>
    <xf numFmtId="0" fontId="32" fillId="2" borderId="30" xfId="28255" applyFont="1" applyFill="1" applyBorder="1" applyAlignment="1">
      <alignment horizontal="left" vertical="center" wrapText="1"/>
    </xf>
    <xf numFmtId="0" fontId="32" fillId="2" borderId="37" xfId="28255" applyFont="1" applyFill="1" applyBorder="1" applyAlignment="1">
      <alignment horizontal="left" vertical="center" wrapText="1"/>
    </xf>
    <xf numFmtId="0" fontId="32" fillId="0" borderId="42" xfId="28255" applyFont="1" applyBorder="1" applyAlignment="1">
      <alignment horizontal="left" vertical="center"/>
    </xf>
    <xf numFmtId="0" fontId="32" fillId="0" borderId="43" xfId="28255" applyFont="1" applyBorder="1" applyAlignment="1">
      <alignment horizontal="left" vertical="center"/>
    </xf>
    <xf numFmtId="0" fontId="32" fillId="0" borderId="42" xfId="28255" applyFont="1" applyBorder="1" applyAlignment="1">
      <alignment horizontal="left" vertical="center" wrapText="1"/>
    </xf>
    <xf numFmtId="0" fontId="32" fillId="0" borderId="43" xfId="28255" applyFont="1" applyBorder="1" applyAlignment="1">
      <alignment horizontal="left" vertical="center" wrapText="1"/>
    </xf>
    <xf numFmtId="0" fontId="32" fillId="0" borderId="50" xfId="28255" applyFont="1" applyBorder="1" applyAlignment="1">
      <alignment horizontal="left" vertical="center" wrapText="1"/>
    </xf>
    <xf numFmtId="0" fontId="32" fillId="0" borderId="42" xfId="28255" applyFont="1" applyBorder="1" applyAlignment="1">
      <alignment horizontal="center" vertical="center"/>
    </xf>
    <xf numFmtId="0" fontId="32" fillId="0" borderId="43" xfId="28255" applyFont="1" applyBorder="1" applyAlignment="1">
      <alignment horizontal="center" vertical="center"/>
    </xf>
    <xf numFmtId="0" fontId="32" fillId="0" borderId="43" xfId="28915" applyFont="1" applyBorder="1" applyAlignment="1">
      <alignment horizontal="left" vertical="center" wrapText="1"/>
    </xf>
    <xf numFmtId="0" fontId="32" fillId="0" borderId="40" xfId="28915" applyFont="1" applyBorder="1" applyAlignment="1">
      <alignment horizontal="left" vertical="center" wrapText="1"/>
    </xf>
    <xf numFmtId="0" fontId="32" fillId="0" borderId="42" xfId="28915" applyFont="1" applyBorder="1" applyAlignment="1">
      <alignment horizontal="left" vertical="center" wrapText="1"/>
    </xf>
    <xf numFmtId="0" fontId="32" fillId="0" borderId="40" xfId="28915" applyFont="1" applyBorder="1" applyAlignment="1">
      <alignment horizontal="left" vertical="center"/>
    </xf>
    <xf numFmtId="0" fontId="32" fillId="0" borderId="42" xfId="28915" applyFont="1" applyBorder="1" applyAlignment="1">
      <alignment horizontal="left" vertical="center"/>
    </xf>
    <xf numFmtId="0" fontId="32" fillId="0" borderId="78" xfId="28915" applyFont="1" applyBorder="1" applyAlignment="1">
      <alignment horizontal="center" vertical="center" wrapText="1"/>
    </xf>
    <xf numFmtId="0" fontId="32" fillId="0" borderId="52" xfId="28915" applyFont="1" applyBorder="1" applyAlignment="1">
      <alignment horizontal="center" vertical="center" wrapText="1"/>
    </xf>
    <xf numFmtId="0" fontId="32" fillId="0" borderId="11" xfId="28915" applyFont="1" applyBorder="1" applyAlignment="1">
      <alignment horizontal="center" vertical="center" wrapText="1"/>
    </xf>
    <xf numFmtId="0" fontId="32" fillId="0" borderId="11" xfId="28915" applyFont="1" applyBorder="1" applyAlignment="1">
      <alignment horizontal="center" vertical="center"/>
    </xf>
    <xf numFmtId="0" fontId="32" fillId="0" borderId="13" xfId="28915" applyFont="1" applyBorder="1" applyAlignment="1">
      <alignment horizontal="center" vertical="center"/>
    </xf>
    <xf numFmtId="1" fontId="32" fillId="11" borderId="13" xfId="28255" applyNumberFormat="1" applyFont="1" applyFill="1" applyBorder="1" applyAlignment="1">
      <alignment horizontal="center" vertical="center"/>
    </xf>
    <xf numFmtId="11" fontId="32" fillId="8" borderId="10" xfId="28255" applyNumberFormat="1" applyFont="1" applyFill="1" applyBorder="1" applyAlignment="1">
      <alignment horizontal="center" vertical="center"/>
    </xf>
    <xf numFmtId="11" fontId="32" fillId="6" borderId="10" xfId="28255" applyNumberFormat="1" applyFont="1" applyFill="1" applyBorder="1" applyAlignment="1">
      <alignment horizontal="center" vertical="center"/>
    </xf>
    <xf numFmtId="11" fontId="32" fillId="12" borderId="10" xfId="28255" applyNumberFormat="1" applyFont="1" applyFill="1" applyBorder="1" applyAlignment="1">
      <alignment horizontal="center" vertical="center"/>
    </xf>
    <xf numFmtId="11" fontId="32" fillId="10" borderId="10" xfId="28255" applyNumberFormat="1" applyFont="1" applyFill="1" applyBorder="1" applyAlignment="1">
      <alignment horizontal="center" vertical="center"/>
    </xf>
    <xf numFmtId="1" fontId="32" fillId="11" borderId="10" xfId="28255" applyNumberFormat="1" applyFont="1" applyFill="1" applyBorder="1" applyAlignment="1">
      <alignment horizontal="center" vertical="center"/>
    </xf>
    <xf numFmtId="11" fontId="32" fillId="0" borderId="11" xfId="28255" applyNumberFormat="1" applyFont="1" applyBorder="1" applyAlignment="1">
      <alignment vertical="center"/>
    </xf>
    <xf numFmtId="11" fontId="32" fillId="9" borderId="11" xfId="28255" applyNumberFormat="1" applyFont="1" applyFill="1" applyBorder="1" applyAlignment="1">
      <alignment horizontal="center" vertical="center"/>
    </xf>
    <xf numFmtId="11" fontId="32" fillId="8" borderId="11" xfId="28255" applyNumberFormat="1" applyFont="1" applyFill="1" applyBorder="1" applyAlignment="1">
      <alignment horizontal="center" vertical="center"/>
    </xf>
    <xf numFmtId="11" fontId="32" fillId="12" borderId="11" xfId="28255" applyNumberFormat="1" applyFont="1" applyFill="1" applyBorder="1" applyAlignment="1">
      <alignment horizontal="center" vertical="center"/>
    </xf>
    <xf numFmtId="11" fontId="32" fillId="10" borderId="11" xfId="28255" applyNumberFormat="1" applyFont="1" applyFill="1" applyBorder="1" applyAlignment="1">
      <alignment horizontal="center" vertical="center"/>
    </xf>
    <xf numFmtId="1" fontId="32" fillId="11" borderId="11" xfId="28255" applyNumberFormat="1" applyFont="1" applyFill="1" applyBorder="1" applyAlignment="1">
      <alignment horizontal="center" vertical="center"/>
    </xf>
    <xf numFmtId="166" fontId="1" fillId="9" borderId="15" xfId="0" applyNumberFormat="1" applyFont="1" applyFill="1" applyBorder="1" applyAlignment="1">
      <alignment horizontal="center" vertical="center"/>
    </xf>
    <xf numFmtId="11" fontId="32" fillId="8" borderId="52" xfId="28255" applyNumberFormat="1" applyFont="1" applyFill="1" applyBorder="1" applyAlignment="1">
      <alignment horizontal="center" vertical="center"/>
    </xf>
    <xf numFmtId="11" fontId="32" fillId="4" borderId="10" xfId="28255" applyNumberFormat="1" applyFont="1" applyFill="1" applyBorder="1" applyAlignment="1">
      <alignment horizontal="center" vertical="center"/>
    </xf>
    <xf numFmtId="11" fontId="32" fillId="0" borderId="10" xfId="28255" applyNumberFormat="1" applyFont="1" applyBorder="1" applyAlignment="1">
      <alignment horizontal="center" vertical="center"/>
    </xf>
    <xf numFmtId="11" fontId="32" fillId="7" borderId="10" xfId="28255" applyNumberFormat="1" applyFont="1" applyFill="1" applyBorder="1" applyAlignment="1">
      <alignment horizontal="center" vertical="center"/>
    </xf>
    <xf numFmtId="11" fontId="0" fillId="0" borderId="51" xfId="0" applyNumberFormat="1" applyBorder="1" applyAlignment="1">
      <alignment horizontal="center" vertical="center"/>
    </xf>
    <xf numFmtId="11" fontId="0" fillId="0" borderId="52" xfId="0" applyNumberFormat="1" applyBorder="1" applyAlignment="1">
      <alignment horizontal="center" vertical="center"/>
    </xf>
    <xf numFmtId="11" fontId="0" fillId="0" borderId="53" xfId="0" applyNumberFormat="1" applyBorder="1" applyAlignment="1">
      <alignment horizontal="center" vertical="center"/>
    </xf>
    <xf numFmtId="11" fontId="0" fillId="0" borderId="12" xfId="0" applyNumberFormat="1" applyBorder="1" applyAlignment="1">
      <alignment horizontal="center" vertical="center"/>
    </xf>
    <xf numFmtId="11" fontId="0" fillId="0" borderId="13" xfId="0" applyNumberFormat="1" applyBorder="1" applyAlignment="1">
      <alignment horizontal="center" vertical="center"/>
    </xf>
    <xf numFmtId="11" fontId="0" fillId="0" borderId="24" xfId="0" applyNumberFormat="1" applyBorder="1" applyAlignment="1">
      <alignment horizontal="center" vertical="center"/>
    </xf>
    <xf numFmtId="11" fontId="0" fillId="0" borderId="9" xfId="0" applyNumberFormat="1" applyBorder="1" applyAlignment="1">
      <alignment horizontal="center" vertical="center"/>
    </xf>
    <xf numFmtId="11" fontId="0" fillId="0" borderId="10" xfId="0" applyNumberFormat="1" applyBorder="1" applyAlignment="1">
      <alignment horizontal="center" vertical="center"/>
    </xf>
    <xf numFmtId="11" fontId="0" fillId="0" borderId="54" xfId="0" applyNumberFormat="1" applyBorder="1" applyAlignment="1">
      <alignment horizontal="center" vertical="center"/>
    </xf>
    <xf numFmtId="11" fontId="24" fillId="9" borderId="11" xfId="0" applyNumberFormat="1" applyFont="1" applyFill="1" applyBorder="1" applyAlignment="1">
      <alignment horizontal="center" vertical="center"/>
    </xf>
    <xf numFmtId="11" fontId="34" fillId="2" borderId="47" xfId="28255" applyNumberFormat="1" applyFont="1" applyFill="1" applyBorder="1" applyAlignment="1">
      <alignment vertical="center"/>
    </xf>
    <xf numFmtId="0" fontId="1" fillId="0" borderId="9" xfId="0" applyFont="1" applyBorder="1" applyAlignment="1">
      <alignment horizontal="center"/>
    </xf>
    <xf numFmtId="0" fontId="32" fillId="0" borderId="85" xfId="28915" applyFont="1" applyBorder="1" applyAlignment="1">
      <alignment horizontal="left" vertical="center" wrapText="1"/>
    </xf>
    <xf numFmtId="0" fontId="32" fillId="0" borderId="18" xfId="28915" applyFont="1" applyBorder="1" applyAlignment="1">
      <alignment horizontal="center" vertical="center" wrapText="1"/>
    </xf>
    <xf numFmtId="0" fontId="32" fillId="0" borderId="101" xfId="28915" applyFont="1" applyBorder="1" applyAlignment="1">
      <alignment horizontal="left" vertical="center" wrapText="1"/>
    </xf>
    <xf numFmtId="0" fontId="32" fillId="0" borderId="101" xfId="28915" applyFont="1" applyBorder="1" applyAlignment="1">
      <alignment horizontal="center" vertical="center" wrapText="1"/>
    </xf>
    <xf numFmtId="0" fontId="32" fillId="0" borderId="3" xfId="28915" applyFont="1" applyBorder="1" applyAlignment="1">
      <alignment horizontal="left" vertical="center" wrapText="1"/>
    </xf>
    <xf numFmtId="0" fontId="34" fillId="2" borderId="30" xfId="28915" applyFont="1" applyFill="1" applyBorder="1" applyAlignment="1">
      <alignment horizontal="left" vertical="center" wrapText="1"/>
    </xf>
    <xf numFmtId="0" fontId="32" fillId="2" borderId="30" xfId="28915" applyFont="1" applyFill="1" applyBorder="1" applyAlignment="1">
      <alignment horizontal="center" vertical="center" wrapText="1"/>
    </xf>
    <xf numFmtId="0" fontId="32" fillId="2" borderId="35" xfId="28915" applyFont="1" applyFill="1" applyBorder="1" applyAlignment="1">
      <alignment horizontal="left" vertical="center" wrapText="1"/>
    </xf>
    <xf numFmtId="0" fontId="32" fillId="2" borderId="35" xfId="28915" applyFont="1" applyFill="1" applyBorder="1" applyAlignment="1">
      <alignment horizontal="center" vertical="center" wrapText="1"/>
    </xf>
    <xf numFmtId="0" fontId="32" fillId="2" borderId="37" xfId="28915" applyFont="1" applyFill="1" applyBorder="1" applyAlignment="1">
      <alignment horizontal="left" vertical="center" wrapText="1"/>
    </xf>
    <xf numFmtId="11" fontId="32" fillId="0" borderId="0" xfId="28915" applyNumberFormat="1" applyFont="1" applyAlignment="1">
      <alignment vertical="center" wrapText="1"/>
    </xf>
    <xf numFmtId="0" fontId="1" fillId="2" borderId="30" xfId="0" applyFont="1" applyFill="1" applyBorder="1" applyAlignment="1">
      <alignment horizontal="center"/>
    </xf>
    <xf numFmtId="11" fontId="34" fillId="2" borderId="47" xfId="28915" applyNumberFormat="1" applyFont="1" applyFill="1" applyBorder="1" applyAlignment="1">
      <alignment vertical="center" wrapText="1"/>
    </xf>
    <xf numFmtId="11" fontId="32" fillId="9" borderId="78" xfId="28915" applyNumberFormat="1" applyFont="1" applyFill="1" applyBorder="1" applyAlignment="1">
      <alignment horizontal="center" vertical="center" wrapText="1"/>
    </xf>
    <xf numFmtId="11" fontId="32" fillId="8" borderId="17" xfId="28915" applyNumberFormat="1" applyFont="1" applyFill="1" applyBorder="1" applyAlignment="1">
      <alignment horizontal="center" vertical="center" wrapText="1"/>
    </xf>
    <xf numFmtId="0" fontId="0" fillId="0" borderId="105" xfId="0" applyBorder="1" applyAlignment="1">
      <alignment horizontal="center"/>
    </xf>
    <xf numFmtId="11" fontId="34" fillId="2" borderId="30" xfId="28915" applyNumberFormat="1" applyFont="1" applyFill="1" applyBorder="1" applyAlignment="1">
      <alignment vertical="center" wrapText="1"/>
    </xf>
    <xf numFmtId="166" fontId="24" fillId="9" borderId="52" xfId="0" applyNumberFormat="1" applyFont="1" applyFill="1" applyBorder="1" applyAlignment="1">
      <alignment horizontal="center" vertical="center"/>
    </xf>
    <xf numFmtId="166" fontId="24" fillId="9" borderId="13" xfId="0" applyNumberFormat="1" applyFont="1" applyFill="1" applyBorder="1" applyAlignment="1">
      <alignment horizontal="center" vertical="center"/>
    </xf>
    <xf numFmtId="166" fontId="24" fillId="9" borderId="17" xfId="0" applyNumberFormat="1" applyFont="1" applyFill="1" applyBorder="1" applyAlignment="1">
      <alignment horizontal="center" vertical="center"/>
    </xf>
    <xf numFmtId="1" fontId="32" fillId="0" borderId="10" xfId="28255" applyNumberFormat="1" applyFont="1" applyBorder="1" applyAlignment="1">
      <alignment horizontal="left" vertical="center"/>
    </xf>
    <xf numFmtId="1" fontId="34" fillId="2" borderId="27" xfId="28255" applyNumberFormat="1" applyFont="1" applyFill="1" applyBorder="1" applyAlignment="1">
      <alignment horizontal="left" vertical="center"/>
    </xf>
    <xf numFmtId="11" fontId="24" fillId="6" borderId="52" xfId="0" applyNumberFormat="1" applyFont="1" applyFill="1" applyBorder="1" applyAlignment="1">
      <alignment horizontal="center" vertical="center"/>
    </xf>
    <xf numFmtId="11" fontId="24" fillId="6" borderId="13" xfId="0" applyNumberFormat="1" applyFont="1" applyFill="1" applyBorder="1" applyAlignment="1">
      <alignment horizontal="center" vertical="center"/>
    </xf>
    <xf numFmtId="11" fontId="24" fillId="6" borderId="17" xfId="0" applyNumberFormat="1" applyFont="1" applyFill="1" applyBorder="1" applyAlignment="1">
      <alignment horizontal="center" vertical="center"/>
    </xf>
    <xf numFmtId="168" fontId="32" fillId="9" borderId="10" xfId="28915" applyNumberFormat="1" applyFont="1" applyFill="1" applyBorder="1" applyAlignment="1">
      <alignment horizontal="center" vertical="center" wrapText="1"/>
    </xf>
    <xf numFmtId="1" fontId="1" fillId="0" borderId="10" xfId="0" applyNumberFormat="1" applyFont="1" applyBorder="1" applyAlignment="1">
      <alignment horizontal="left"/>
    </xf>
    <xf numFmtId="1" fontId="31" fillId="2" borderId="27" xfId="0" applyNumberFormat="1" applyFont="1" applyFill="1" applyBorder="1" applyAlignment="1">
      <alignment horizontal="left"/>
    </xf>
    <xf numFmtId="11" fontId="32" fillId="0" borderId="19" xfId="28915" applyNumberFormat="1" applyFont="1" applyBorder="1" applyAlignment="1">
      <alignment horizontal="center" vertical="center" wrapText="1"/>
    </xf>
    <xf numFmtId="11" fontId="34" fillId="2" borderId="27" xfId="28915" applyNumberFormat="1" applyFont="1" applyFill="1" applyBorder="1" applyAlignment="1">
      <alignment vertical="center" wrapText="1"/>
    </xf>
    <xf numFmtId="11" fontId="32" fillId="8" borderId="53" xfId="28915" applyNumberFormat="1" applyFont="1" applyFill="1" applyBorder="1" applyAlignment="1">
      <alignment horizontal="center" vertical="center" wrapText="1"/>
    </xf>
    <xf numFmtId="11" fontId="32" fillId="0" borderId="10" xfId="28915" applyNumberFormat="1" applyFont="1" applyBorder="1" applyAlignment="1">
      <alignment vertical="center"/>
    </xf>
    <xf numFmtId="11" fontId="89" fillId="2" borderId="36" xfId="0" applyNumberFormat="1" applyFont="1" applyFill="1" applyBorder="1" applyAlignment="1">
      <alignment horizontal="left" vertical="center"/>
    </xf>
    <xf numFmtId="11" fontId="32" fillId="0" borderId="0" xfId="28915" applyNumberFormat="1" applyFont="1" applyAlignment="1">
      <alignment horizontal="center" vertical="center"/>
    </xf>
    <xf numFmtId="11" fontId="32" fillId="4" borderId="10" xfId="28915" applyNumberFormat="1" applyFont="1" applyFill="1" applyBorder="1" applyAlignment="1">
      <alignment horizontal="center" vertical="center"/>
    </xf>
    <xf numFmtId="11" fontId="32" fillId="7" borderId="10" xfId="28915" applyNumberFormat="1" applyFont="1" applyFill="1" applyBorder="1" applyAlignment="1">
      <alignment horizontal="center" vertical="center"/>
    </xf>
    <xf numFmtId="1" fontId="4" fillId="0" borderId="10" xfId="0" applyNumberFormat="1" applyFont="1" applyBorder="1" applyAlignment="1">
      <alignment horizontal="left" vertical="center"/>
    </xf>
    <xf numFmtId="11" fontId="21" fillId="3" borderId="10" xfId="0" applyNumberFormat="1" applyFont="1" applyFill="1" applyBorder="1" applyAlignment="1">
      <alignment horizontal="center" vertical="center"/>
    </xf>
    <xf numFmtId="11" fontId="4" fillId="3" borderId="10" xfId="0" applyNumberFormat="1" applyFont="1" applyFill="1" applyBorder="1" applyAlignment="1">
      <alignment horizontal="center" vertical="center"/>
    </xf>
    <xf numFmtId="11" fontId="21" fillId="0" borderId="10" xfId="0" applyNumberFormat="1" applyFont="1" applyBorder="1" applyAlignment="1">
      <alignment horizontal="center" vertical="center"/>
    </xf>
    <xf numFmtId="11" fontId="21" fillId="0" borderId="50" xfId="0" applyNumberFormat="1" applyFont="1" applyBorder="1" applyAlignment="1">
      <alignment horizontal="center" vertical="center"/>
    </xf>
    <xf numFmtId="11" fontId="4" fillId="0" borderId="10" xfId="0" applyNumberFormat="1" applyFont="1" applyBorder="1" applyAlignment="1">
      <alignment horizontal="center" vertical="center"/>
    </xf>
    <xf numFmtId="1" fontId="31" fillId="2" borderId="27" xfId="0" applyNumberFormat="1" applyFont="1" applyFill="1" applyBorder="1" applyAlignment="1">
      <alignment horizontal="left" vertical="center"/>
    </xf>
    <xf numFmtId="11" fontId="24" fillId="3" borderId="17" xfId="0" applyNumberFormat="1" applyFont="1" applyFill="1" applyBorder="1" applyAlignment="1">
      <alignment horizontal="center" vertical="center"/>
    </xf>
    <xf numFmtId="0" fontId="1" fillId="0" borderId="10" xfId="0" applyFont="1" applyBorder="1" applyAlignment="1">
      <alignment horizontal="left"/>
    </xf>
    <xf numFmtId="165" fontId="32" fillId="3" borderId="50" xfId="28915" applyNumberFormat="1" applyFont="1" applyFill="1" applyBorder="1" applyAlignment="1">
      <alignment horizontal="center" vertical="center" wrapText="1"/>
    </xf>
    <xf numFmtId="165" fontId="32" fillId="9" borderId="50" xfId="28915" applyNumberFormat="1" applyFont="1" applyFill="1" applyBorder="1" applyAlignment="1">
      <alignment horizontal="center" vertical="center" wrapText="1"/>
    </xf>
    <xf numFmtId="165" fontId="32" fillId="4" borderId="54" xfId="28915" applyNumberFormat="1" applyFont="1" applyFill="1" applyBorder="1" applyAlignment="1">
      <alignment horizontal="center" vertical="center" wrapText="1"/>
    </xf>
    <xf numFmtId="0" fontId="31" fillId="2" borderId="27" xfId="0" applyFont="1" applyFill="1" applyBorder="1" applyAlignment="1">
      <alignment horizontal="left"/>
    </xf>
    <xf numFmtId="0" fontId="1" fillId="0" borderId="10" xfId="0" applyFont="1" applyBorder="1" applyAlignment="1">
      <alignment horizontal="center"/>
    </xf>
    <xf numFmtId="0" fontId="1" fillId="0" borderId="50" xfId="0" applyFont="1" applyBorder="1" applyAlignment="1">
      <alignment horizontal="center"/>
    </xf>
    <xf numFmtId="0" fontId="1" fillId="0" borderId="54" xfId="0" applyFont="1" applyBorder="1" applyAlignment="1">
      <alignment horizontal="center"/>
    </xf>
    <xf numFmtId="0" fontId="31" fillId="2" borderId="36" xfId="0" applyFont="1" applyFill="1" applyBorder="1" applyAlignment="1">
      <alignment horizontal="left"/>
    </xf>
    <xf numFmtId="11" fontId="21" fillId="8" borderId="10" xfId="0" applyNumberFormat="1" applyFont="1" applyFill="1" applyBorder="1" applyAlignment="1">
      <alignment horizontal="center" vertical="center"/>
    </xf>
    <xf numFmtId="11" fontId="4" fillId="8" borderId="19" xfId="0" applyNumberFormat="1" applyFont="1" applyFill="1" applyBorder="1" applyAlignment="1">
      <alignment horizontal="center"/>
    </xf>
    <xf numFmtId="1" fontId="32" fillId="0" borderId="10" xfId="28255" applyNumberFormat="1" applyFont="1" applyBorder="1" applyAlignment="1">
      <alignment horizontal="left"/>
    </xf>
    <xf numFmtId="11" fontId="2" fillId="0" borderId="50" xfId="0" applyNumberFormat="1" applyFont="1" applyBorder="1" applyAlignment="1">
      <alignment horizontal="center"/>
    </xf>
    <xf numFmtId="11" fontId="2" fillId="0" borderId="10" xfId="0" applyNumberFormat="1" applyFont="1" applyBorder="1" applyAlignment="1">
      <alignment horizontal="center"/>
    </xf>
    <xf numFmtId="11" fontId="2" fillId="0" borderId="54" xfId="0" applyNumberFormat="1" applyFont="1" applyBorder="1" applyAlignment="1">
      <alignment horizontal="center"/>
    </xf>
    <xf numFmtId="1" fontId="34" fillId="2" borderId="27" xfId="28255" applyNumberFormat="1" applyFont="1" applyFill="1" applyBorder="1" applyAlignment="1">
      <alignment horizontal="left"/>
    </xf>
    <xf numFmtId="11" fontId="22" fillId="0" borderId="102" xfId="0" applyNumberFormat="1" applyFont="1" applyBorder="1" applyAlignment="1">
      <alignment horizontal="center" vertical="center"/>
    </xf>
    <xf numFmtId="11" fontId="22" fillId="0" borderId="18" xfId="0" applyNumberFormat="1" applyFont="1" applyBorder="1" applyAlignment="1">
      <alignment horizontal="center" vertical="center"/>
    </xf>
    <xf numFmtId="11" fontId="22" fillId="0" borderId="100" xfId="0" applyNumberFormat="1" applyFont="1" applyBorder="1" applyAlignment="1">
      <alignment horizontal="center" vertical="center"/>
    </xf>
    <xf numFmtId="11" fontId="31" fillId="2" borderId="36" xfId="0" applyNumberFormat="1" applyFont="1" applyFill="1" applyBorder="1" applyAlignment="1">
      <alignment horizontal="left" vertical="center"/>
    </xf>
    <xf numFmtId="1" fontId="32" fillId="0" borderId="10" xfId="28915" applyNumberFormat="1" applyFont="1" applyBorder="1" applyAlignment="1">
      <alignment horizontal="left" vertical="center"/>
    </xf>
    <xf numFmtId="11" fontId="1" fillId="9" borderId="10" xfId="0" applyNumberFormat="1" applyFont="1" applyFill="1" applyBorder="1" applyAlignment="1">
      <alignment horizontal="center"/>
    </xf>
    <xf numFmtId="11" fontId="1" fillId="6" borderId="10" xfId="0" applyNumberFormat="1" applyFont="1" applyFill="1" applyBorder="1" applyAlignment="1">
      <alignment horizontal="center" vertical="center"/>
    </xf>
    <xf numFmtId="11" fontId="1" fillId="12" borderId="10" xfId="0" applyNumberFormat="1" applyFont="1" applyFill="1" applyBorder="1" applyAlignment="1">
      <alignment horizontal="center" vertical="center"/>
    </xf>
    <xf numFmtId="1" fontId="32" fillId="0" borderId="11" xfId="28915" applyNumberFormat="1" applyFont="1" applyBorder="1" applyAlignment="1">
      <alignment horizontal="left" vertical="center"/>
    </xf>
    <xf numFmtId="1" fontId="34" fillId="2" borderId="27" xfId="28915" applyNumberFormat="1" applyFont="1" applyFill="1" applyBorder="1" applyAlignment="1">
      <alignment horizontal="left" vertical="center"/>
    </xf>
    <xf numFmtId="165" fontId="32" fillId="3" borderId="52" xfId="28915" applyNumberFormat="1" applyFont="1" applyFill="1" applyBorder="1" applyAlignment="1">
      <alignment horizontal="center" vertical="center" wrapText="1"/>
    </xf>
    <xf numFmtId="165" fontId="32" fillId="12" borderId="23" xfId="28915" applyNumberFormat="1" applyFont="1" applyFill="1" applyBorder="1" applyAlignment="1">
      <alignment horizontal="center" vertical="center" wrapText="1"/>
    </xf>
    <xf numFmtId="0" fontId="4" fillId="2" borderId="99" xfId="0" applyFont="1" applyFill="1" applyBorder="1" applyAlignment="1">
      <alignment horizontal="center"/>
    </xf>
    <xf numFmtId="0" fontId="4" fillId="0" borderId="97" xfId="0" applyFont="1" applyBorder="1" applyAlignment="1">
      <alignment horizontal="center"/>
    </xf>
    <xf numFmtId="165" fontId="20" fillId="9" borderId="23" xfId="0" applyNumberFormat="1" applyFont="1" applyFill="1" applyBorder="1" applyAlignment="1">
      <alignment horizontal="center" vertical="center"/>
    </xf>
    <xf numFmtId="0" fontId="32" fillId="2" borderId="36" xfId="28915" applyFont="1" applyFill="1" applyBorder="1" applyAlignment="1">
      <alignment horizontal="center" vertical="center" wrapText="1"/>
    </xf>
    <xf numFmtId="0" fontId="32" fillId="2" borderId="108" xfId="28915" applyFont="1" applyFill="1" applyBorder="1" applyAlignment="1">
      <alignment horizontal="center" vertical="center" wrapText="1"/>
    </xf>
    <xf numFmtId="0" fontId="32" fillId="0" borderId="93" xfId="28915" applyFont="1" applyBorder="1" applyAlignment="1">
      <alignment horizontal="center" vertical="center" wrapText="1"/>
    </xf>
    <xf numFmtId="11" fontId="32" fillId="6" borderId="23" xfId="28915" applyNumberFormat="1" applyFont="1" applyFill="1" applyBorder="1" applyAlignment="1">
      <alignment horizontal="center" vertical="center" wrapText="1"/>
    </xf>
    <xf numFmtId="11" fontId="32" fillId="0" borderId="23" xfId="28915" applyNumberFormat="1" applyFont="1" applyBorder="1" applyAlignment="1">
      <alignment horizontal="center" vertical="center" wrapText="1"/>
    </xf>
    <xf numFmtId="11" fontId="32" fillId="8" borderId="55" xfId="28915" applyNumberFormat="1" applyFont="1" applyFill="1" applyBorder="1" applyAlignment="1">
      <alignment horizontal="center" vertical="center" wrapText="1"/>
    </xf>
    <xf numFmtId="0" fontId="60" fillId="0" borderId="4" xfId="0" applyFont="1" applyBorder="1" applyAlignment="1">
      <alignment horizontal="left" vertical="center"/>
    </xf>
    <xf numFmtId="0" fontId="4" fillId="0" borderId="98" xfId="0" applyFont="1" applyBorder="1" applyAlignment="1">
      <alignment horizontal="center"/>
    </xf>
    <xf numFmtId="11" fontId="32" fillId="9" borderId="18" xfId="28915" applyNumberFormat="1" applyFont="1" applyFill="1" applyBorder="1" applyAlignment="1">
      <alignment horizontal="center" vertical="center"/>
    </xf>
    <xf numFmtId="11" fontId="32" fillId="9" borderId="18" xfId="28915" applyNumberFormat="1" applyFont="1" applyFill="1" applyBorder="1" applyAlignment="1">
      <alignment horizontal="center" vertical="center" wrapText="1"/>
    </xf>
    <xf numFmtId="11" fontId="32" fillId="8" borderId="18" xfId="28915" applyNumberFormat="1" applyFont="1" applyFill="1" applyBorder="1" applyAlignment="1">
      <alignment horizontal="center" vertical="center"/>
    </xf>
    <xf numFmtId="11" fontId="32" fillId="6" borderId="18" xfId="28915" applyNumberFormat="1" applyFont="1" applyFill="1" applyBorder="1" applyAlignment="1">
      <alignment horizontal="center" vertical="center"/>
    </xf>
    <xf numFmtId="11" fontId="32" fillId="3" borderId="100" xfId="28915" applyNumberFormat="1" applyFont="1" applyFill="1" applyBorder="1" applyAlignment="1">
      <alignment horizontal="center" vertical="center"/>
    </xf>
    <xf numFmtId="165" fontId="32" fillId="12" borderId="58" xfId="28915" applyNumberFormat="1" applyFont="1" applyFill="1" applyBorder="1" applyAlignment="1">
      <alignment horizontal="center" vertical="center" wrapText="1"/>
    </xf>
    <xf numFmtId="165" fontId="32" fillId="10" borderId="17" xfId="28915" applyNumberFormat="1" applyFont="1" applyFill="1" applyBorder="1" applyAlignment="1">
      <alignment horizontal="center" vertical="center" wrapText="1"/>
    </xf>
    <xf numFmtId="11" fontId="32" fillId="10" borderId="17" xfId="28915" applyNumberFormat="1" applyFont="1" applyFill="1" applyBorder="1" applyAlignment="1">
      <alignment horizontal="center" vertical="center" wrapText="1"/>
    </xf>
    <xf numFmtId="1" fontId="32" fillId="11" borderId="17" xfId="28915" applyNumberFormat="1" applyFont="1" applyFill="1" applyBorder="1" applyAlignment="1">
      <alignment horizontal="center" vertical="center" wrapText="1"/>
    </xf>
    <xf numFmtId="0" fontId="1" fillId="0" borderId="52" xfId="0" applyFont="1" applyBorder="1" applyAlignment="1">
      <alignment horizontal="left"/>
    </xf>
    <xf numFmtId="165" fontId="32" fillId="3" borderId="58" xfId="28915" applyNumberFormat="1" applyFont="1" applyFill="1" applyBorder="1" applyAlignment="1">
      <alignment horizontal="center" vertical="center" wrapText="1"/>
    </xf>
    <xf numFmtId="165" fontId="32" fillId="3" borderId="61" xfId="28915" applyNumberFormat="1" applyFont="1" applyFill="1" applyBorder="1" applyAlignment="1">
      <alignment horizontal="center" vertical="center" wrapText="1"/>
    </xf>
    <xf numFmtId="165" fontId="32" fillId="3" borderId="62" xfId="28915" applyNumberFormat="1" applyFont="1" applyFill="1" applyBorder="1" applyAlignment="1">
      <alignment horizontal="center" vertical="center" wrapText="1"/>
    </xf>
    <xf numFmtId="165" fontId="32" fillId="9" borderId="61" xfId="28915" applyNumberFormat="1" applyFont="1" applyFill="1" applyBorder="1" applyAlignment="1">
      <alignment horizontal="center" vertical="center" wrapText="1"/>
    </xf>
    <xf numFmtId="165" fontId="32" fillId="4" borderId="53" xfId="28915" applyNumberFormat="1" applyFont="1" applyFill="1" applyBorder="1" applyAlignment="1">
      <alignment horizontal="center" vertical="center" wrapText="1"/>
    </xf>
    <xf numFmtId="165" fontId="32" fillId="3" borderId="42" xfId="28915" applyNumberFormat="1" applyFont="1" applyFill="1" applyBorder="1" applyAlignment="1">
      <alignment horizontal="center" vertical="center" wrapText="1"/>
    </xf>
    <xf numFmtId="165" fontId="32" fillId="3" borderId="32" xfId="28915" applyNumberFormat="1" applyFont="1" applyFill="1" applyBorder="1" applyAlignment="1">
      <alignment horizontal="center" vertical="center" wrapText="1"/>
    </xf>
    <xf numFmtId="165" fontId="32" fillId="9" borderId="42" xfId="28915" applyNumberFormat="1" applyFont="1" applyFill="1" applyBorder="1" applyAlignment="1">
      <alignment horizontal="center" vertical="center" wrapText="1"/>
    </xf>
    <xf numFmtId="165" fontId="32" fillId="3" borderId="41" xfId="28915" applyNumberFormat="1" applyFont="1" applyFill="1" applyBorder="1" applyAlignment="1">
      <alignment horizontal="center" vertical="center" wrapText="1"/>
    </xf>
    <xf numFmtId="165" fontId="32" fillId="3" borderId="34" xfId="28915" applyNumberFormat="1" applyFont="1" applyFill="1" applyBorder="1" applyAlignment="1">
      <alignment horizontal="center" vertical="center" wrapText="1"/>
    </xf>
    <xf numFmtId="165" fontId="32" fillId="9" borderId="41" xfId="28915" applyNumberFormat="1" applyFont="1" applyFill="1" applyBorder="1" applyAlignment="1">
      <alignment horizontal="center" vertical="center" wrapText="1"/>
    </xf>
    <xf numFmtId="165" fontId="32" fillId="8" borderId="62" xfId="28915" applyNumberFormat="1" applyFont="1" applyFill="1" applyBorder="1" applyAlignment="1">
      <alignment horizontal="center" vertical="center" wrapText="1"/>
    </xf>
    <xf numFmtId="165" fontId="32" fillId="6" borderId="61" xfId="28915" applyNumberFormat="1" applyFont="1" applyFill="1" applyBorder="1" applyAlignment="1">
      <alignment horizontal="center" vertical="center" wrapText="1"/>
    </xf>
    <xf numFmtId="165" fontId="32" fillId="12" borderId="61" xfId="28915" applyNumberFormat="1" applyFont="1" applyFill="1" applyBorder="1" applyAlignment="1">
      <alignment horizontal="center" vertical="center" wrapText="1"/>
    </xf>
    <xf numFmtId="11" fontId="24" fillId="0" borderId="58" xfId="0" applyNumberFormat="1" applyFont="1" applyBorder="1" applyAlignment="1">
      <alignment horizontal="center" vertical="center"/>
    </xf>
    <xf numFmtId="11" fontId="24" fillId="0" borderId="21" xfId="0" applyNumberFormat="1" applyFont="1" applyBorder="1" applyAlignment="1">
      <alignment horizontal="center" vertical="center"/>
    </xf>
    <xf numFmtId="11" fontId="24" fillId="0" borderId="23" xfId="0" applyNumberFormat="1" applyFont="1" applyBorder="1" applyAlignment="1">
      <alignment horizontal="center" vertical="center"/>
    </xf>
    <xf numFmtId="11" fontId="24" fillId="0" borderId="55" xfId="0" applyNumberFormat="1" applyFont="1" applyBorder="1" applyAlignment="1">
      <alignment horizontal="center" vertical="center"/>
    </xf>
    <xf numFmtId="11" fontId="1" fillId="0" borderId="41" xfId="0" applyNumberFormat="1" applyFont="1" applyBorder="1" applyAlignment="1">
      <alignment horizontal="center" vertical="center"/>
    </xf>
    <xf numFmtId="11" fontId="24" fillId="6" borderId="55" xfId="0" applyNumberFormat="1" applyFont="1" applyFill="1" applyBorder="1" applyAlignment="1">
      <alignment horizontal="center" vertical="center"/>
    </xf>
    <xf numFmtId="11" fontId="2" fillId="0" borderId="45" xfId="0" applyNumberFormat="1" applyFont="1" applyBorder="1" applyAlignment="1">
      <alignment horizontal="center"/>
    </xf>
    <xf numFmtId="11" fontId="2" fillId="0" borderId="94" xfId="0" applyNumberFormat="1" applyFont="1" applyBorder="1" applyAlignment="1">
      <alignment horizontal="center"/>
    </xf>
    <xf numFmtId="11" fontId="2" fillId="0" borderId="53" xfId="0" applyNumberFormat="1" applyFont="1" applyBorder="1" applyAlignment="1">
      <alignment horizontal="center"/>
    </xf>
    <xf numFmtId="165" fontId="21" fillId="9" borderId="22" xfId="0" applyNumberFormat="1" applyFont="1" applyFill="1" applyBorder="1" applyAlignment="1">
      <alignment horizontal="center" vertical="center"/>
    </xf>
    <xf numFmtId="11" fontId="24" fillId="12" borderId="13" xfId="0" applyNumberFormat="1" applyFont="1" applyFill="1" applyBorder="1" applyAlignment="1">
      <alignment horizontal="center" vertical="center"/>
    </xf>
    <xf numFmtId="2" fontId="33" fillId="0" borderId="0" xfId="28255" applyNumberFormat="1" applyFont="1" applyAlignment="1">
      <alignment horizontal="center"/>
    </xf>
    <xf numFmtId="2" fontId="34" fillId="2" borderId="38" xfId="28255" applyNumberFormat="1" applyFont="1" applyFill="1" applyBorder="1" applyAlignment="1">
      <alignment horizontal="center" vertical="center"/>
    </xf>
    <xf numFmtId="2" fontId="32" fillId="11" borderId="13" xfId="28915" applyNumberFormat="1" applyFont="1" applyFill="1" applyBorder="1" applyAlignment="1">
      <alignment horizontal="center" vertical="center" wrapText="1"/>
    </xf>
    <xf numFmtId="2" fontId="32" fillId="11" borderId="10" xfId="28915" applyNumberFormat="1" applyFont="1" applyFill="1" applyBorder="1" applyAlignment="1">
      <alignment horizontal="center" vertical="center" wrapText="1"/>
    </xf>
    <xf numFmtId="2" fontId="32" fillId="11" borderId="11" xfId="28255" applyNumberFormat="1" applyFont="1" applyFill="1" applyBorder="1" applyAlignment="1">
      <alignment horizontal="center" vertical="center"/>
    </xf>
    <xf numFmtId="2" fontId="32" fillId="11" borderId="21" xfId="28255" applyNumberFormat="1" applyFont="1" applyFill="1" applyBorder="1" applyAlignment="1">
      <alignment horizontal="center" vertical="center"/>
    </xf>
    <xf numFmtId="2" fontId="32" fillId="11" borderId="13" xfId="28255" applyNumberFormat="1" applyFont="1" applyFill="1" applyBorder="1" applyAlignment="1">
      <alignment horizontal="center" vertical="center"/>
    </xf>
    <xf numFmtId="2" fontId="32" fillId="11" borderId="10" xfId="28255" applyNumberFormat="1" applyFont="1" applyFill="1" applyBorder="1" applyAlignment="1">
      <alignment horizontal="center" vertical="center"/>
    </xf>
    <xf numFmtId="2" fontId="32" fillId="11" borderId="11" xfId="28915" applyNumberFormat="1" applyFont="1" applyFill="1" applyBorder="1" applyAlignment="1">
      <alignment horizontal="center" vertical="center" wrapText="1"/>
    </xf>
    <xf numFmtId="2" fontId="32" fillId="11" borderId="52" xfId="28915" applyNumberFormat="1" applyFont="1" applyFill="1" applyBorder="1" applyAlignment="1">
      <alignment horizontal="center" vertical="center" wrapText="1"/>
    </xf>
    <xf numFmtId="2" fontId="32" fillId="11" borderId="15" xfId="28915" applyNumberFormat="1" applyFont="1" applyFill="1" applyBorder="1" applyAlignment="1">
      <alignment horizontal="center" vertical="center" wrapText="1"/>
    </xf>
    <xf numFmtId="2" fontId="32" fillId="11" borderId="52" xfId="28916" applyNumberFormat="1" applyFont="1" applyFill="1" applyBorder="1" applyAlignment="1">
      <alignment horizontal="center" vertical="center" wrapText="1"/>
    </xf>
    <xf numFmtId="2" fontId="32" fillId="11" borderId="13" xfId="28916" applyNumberFormat="1" applyFont="1" applyFill="1" applyBorder="1" applyAlignment="1">
      <alignment horizontal="center" vertical="center" wrapText="1"/>
    </xf>
    <xf numFmtId="2" fontId="32" fillId="11" borderId="17" xfId="28915" applyNumberFormat="1" applyFont="1" applyFill="1" applyBorder="1" applyAlignment="1">
      <alignment horizontal="center" vertical="center" wrapText="1"/>
    </xf>
    <xf numFmtId="2" fontId="32" fillId="0" borderId="0" xfId="28255" applyNumberFormat="1" applyFont="1" applyAlignment="1">
      <alignment horizontal="center" vertical="center"/>
    </xf>
    <xf numFmtId="2" fontId="1" fillId="0" borderId="0" xfId="0" applyNumberFormat="1" applyFont="1" applyAlignment="1">
      <alignment horizontal="center" vertical="center"/>
    </xf>
    <xf numFmtId="168" fontId="32" fillId="11" borderId="11" xfId="28915" applyNumberFormat="1" applyFont="1" applyFill="1" applyBorder="1" applyAlignment="1">
      <alignment horizontal="center" vertical="center" wrapText="1"/>
    </xf>
    <xf numFmtId="2" fontId="32" fillId="11" borderId="42" xfId="28915" applyNumberFormat="1" applyFont="1" applyFill="1" applyBorder="1" applyAlignment="1">
      <alignment horizontal="center" vertical="center" wrapText="1"/>
    </xf>
    <xf numFmtId="2" fontId="32" fillId="11" borderId="50" xfId="28915" applyNumberFormat="1" applyFont="1" applyFill="1" applyBorder="1" applyAlignment="1">
      <alignment horizontal="center" vertical="center" wrapText="1"/>
    </xf>
    <xf numFmtId="2" fontId="32" fillId="11" borderId="40" xfId="28915" applyNumberFormat="1" applyFont="1" applyFill="1" applyBorder="1" applyAlignment="1">
      <alignment horizontal="center" vertical="center" wrapText="1"/>
    </xf>
    <xf numFmtId="2" fontId="32" fillId="11" borderId="61" xfId="28915" applyNumberFormat="1" applyFont="1" applyFill="1" applyBorder="1" applyAlignment="1">
      <alignment horizontal="center" vertical="center" wrapText="1"/>
    </xf>
    <xf numFmtId="2" fontId="32" fillId="11" borderId="43" xfId="28915" applyNumberFormat="1" applyFont="1" applyFill="1" applyBorder="1" applyAlignment="1">
      <alignment horizontal="center" vertical="center" wrapText="1"/>
    </xf>
    <xf numFmtId="2" fontId="32" fillId="11" borderId="42" xfId="28915" applyNumberFormat="1" applyFont="1" applyFill="1" applyBorder="1" applyAlignment="1">
      <alignment horizontal="center" vertical="center"/>
    </xf>
    <xf numFmtId="2" fontId="32" fillId="11" borderId="61" xfId="28916" applyNumberFormat="1" applyFont="1" applyFill="1" applyBorder="1" applyAlignment="1">
      <alignment horizontal="center" vertical="center" wrapText="1"/>
    </xf>
    <xf numFmtId="2" fontId="32" fillId="11" borderId="42" xfId="28916" applyNumberFormat="1" applyFont="1" applyFill="1" applyBorder="1" applyAlignment="1">
      <alignment horizontal="center" vertical="center" wrapText="1"/>
    </xf>
    <xf numFmtId="2" fontId="32" fillId="11" borderId="28" xfId="28915" applyNumberFormat="1" applyFont="1" applyFill="1" applyBorder="1" applyAlignment="1">
      <alignment horizontal="center" vertical="center" wrapText="1"/>
    </xf>
    <xf numFmtId="11" fontId="33" fillId="0" borderId="0" xfId="28255" applyNumberFormat="1" applyFont="1" applyAlignment="1">
      <alignment horizontal="left"/>
    </xf>
    <xf numFmtId="11" fontId="32" fillId="12" borderId="21" xfId="28915" applyNumberFormat="1" applyFont="1" applyFill="1" applyBorder="1" applyAlignment="1">
      <alignment horizontal="center" vertical="center"/>
    </xf>
    <xf numFmtId="11" fontId="32" fillId="12" borderId="20" xfId="28915" applyNumberFormat="1" applyFont="1" applyFill="1" applyBorder="1" applyAlignment="1">
      <alignment horizontal="center" vertical="center"/>
    </xf>
    <xf numFmtId="11" fontId="32" fillId="12" borderId="21" xfId="28916" applyNumberFormat="1" applyFont="1" applyFill="1" applyBorder="1" applyAlignment="1">
      <alignment horizontal="center" vertical="center" wrapText="1"/>
    </xf>
    <xf numFmtId="11" fontId="32" fillId="12" borderId="58" xfId="28915" applyNumberFormat="1" applyFont="1" applyFill="1" applyBorder="1" applyAlignment="1">
      <alignment horizontal="center" vertical="center" wrapText="1"/>
    </xf>
    <xf numFmtId="11" fontId="32" fillId="12" borderId="23" xfId="28915" applyNumberFormat="1" applyFont="1" applyFill="1" applyBorder="1" applyAlignment="1">
      <alignment horizontal="center" vertical="center" wrapText="1"/>
    </xf>
    <xf numFmtId="11" fontId="32" fillId="10" borderId="42" xfId="28915" applyNumberFormat="1" applyFont="1" applyFill="1" applyBorder="1" applyAlignment="1">
      <alignment horizontal="center" vertical="center" wrapText="1"/>
    </xf>
    <xf numFmtId="11" fontId="32" fillId="10" borderId="50" xfId="28915" applyNumberFormat="1" applyFont="1" applyFill="1" applyBorder="1" applyAlignment="1">
      <alignment horizontal="center" vertical="center" wrapText="1"/>
    </xf>
    <xf numFmtId="11" fontId="32" fillId="10" borderId="40" xfId="28915" applyNumberFormat="1" applyFont="1" applyFill="1" applyBorder="1" applyAlignment="1">
      <alignment horizontal="center" vertical="center" wrapText="1"/>
    </xf>
    <xf numFmtId="11" fontId="32" fillId="10" borderId="43" xfId="28915" applyNumberFormat="1" applyFont="1" applyFill="1" applyBorder="1" applyAlignment="1">
      <alignment horizontal="center" vertical="center" wrapText="1"/>
    </xf>
    <xf numFmtId="11" fontId="32" fillId="10" borderId="61" xfId="28915" applyNumberFormat="1" applyFont="1" applyFill="1" applyBorder="1" applyAlignment="1">
      <alignment horizontal="center" vertical="center" wrapText="1"/>
    </xf>
    <xf numFmtId="11" fontId="32" fillId="10" borderId="42" xfId="28915" applyNumberFormat="1" applyFont="1" applyFill="1" applyBorder="1" applyAlignment="1">
      <alignment horizontal="center" vertical="center"/>
    </xf>
    <xf numFmtId="11" fontId="32" fillId="10" borderId="40" xfId="28915" applyNumberFormat="1" applyFont="1" applyFill="1" applyBorder="1" applyAlignment="1">
      <alignment horizontal="center" vertical="center"/>
    </xf>
    <xf numFmtId="11" fontId="32" fillId="10" borderId="61" xfId="28916" applyNumberFormat="1" applyFont="1" applyFill="1" applyBorder="1" applyAlignment="1">
      <alignment horizontal="center" vertical="center" wrapText="1"/>
    </xf>
    <xf numFmtId="11" fontId="32" fillId="10" borderId="42" xfId="28916" applyNumberFormat="1" applyFont="1" applyFill="1" applyBorder="1" applyAlignment="1">
      <alignment horizontal="center" vertical="center" wrapText="1"/>
    </xf>
    <xf numFmtId="1" fontId="1" fillId="14" borderId="61" xfId="0" applyNumberFormat="1" applyFont="1" applyFill="1" applyBorder="1" applyAlignment="1">
      <alignment horizontal="center"/>
    </xf>
    <xf numFmtId="1" fontId="1" fillId="14" borderId="32" xfId="0" applyNumberFormat="1" applyFont="1" applyFill="1" applyBorder="1" applyAlignment="1">
      <alignment horizontal="center"/>
    </xf>
    <xf numFmtId="1" fontId="1" fillId="14" borderId="33" xfId="0" applyNumberFormat="1" applyFont="1" applyFill="1" applyBorder="1" applyAlignment="1">
      <alignment horizontal="center"/>
    </xf>
    <xf numFmtId="1" fontId="1" fillId="14" borderId="31" xfId="0" applyNumberFormat="1" applyFont="1" applyFill="1" applyBorder="1" applyAlignment="1">
      <alignment horizontal="center"/>
    </xf>
    <xf numFmtId="1" fontId="1" fillId="14" borderId="49" xfId="0" applyNumberFormat="1" applyFont="1" applyFill="1" applyBorder="1" applyAlignment="1">
      <alignment horizontal="center"/>
    </xf>
    <xf numFmtId="1" fontId="1" fillId="14" borderId="34" xfId="0" applyNumberFormat="1" applyFont="1" applyFill="1" applyBorder="1" applyAlignment="1">
      <alignment horizontal="center"/>
    </xf>
    <xf numFmtId="11" fontId="32" fillId="9" borderId="19" xfId="28255" applyNumberFormat="1" applyFont="1" applyFill="1" applyBorder="1" applyAlignment="1">
      <alignment horizontal="center" vertical="center"/>
    </xf>
    <xf numFmtId="11" fontId="32" fillId="9" borderId="62" xfId="28915" applyNumberFormat="1" applyFont="1" applyFill="1" applyBorder="1" applyAlignment="1">
      <alignment horizontal="center" vertical="center" wrapText="1"/>
    </xf>
    <xf numFmtId="11" fontId="32" fillId="9" borderId="62" xfId="28916" applyNumberFormat="1" applyFont="1" applyFill="1" applyBorder="1" applyAlignment="1">
      <alignment horizontal="center" vertical="center" wrapText="1"/>
    </xf>
    <xf numFmtId="11" fontId="32" fillId="9" borderId="0" xfId="28915" applyNumberFormat="1" applyFont="1" applyFill="1" applyAlignment="1">
      <alignment horizontal="center" vertical="center" wrapText="1"/>
    </xf>
    <xf numFmtId="1" fontId="1" fillId="14" borderId="52" xfId="0" applyNumberFormat="1" applyFont="1" applyFill="1" applyBorder="1" applyAlignment="1">
      <alignment horizontal="center"/>
    </xf>
    <xf numFmtId="1" fontId="1" fillId="14" borderId="13" xfId="0" applyNumberFormat="1" applyFont="1" applyFill="1" applyBorder="1" applyAlignment="1">
      <alignment horizontal="center"/>
    </xf>
    <xf numFmtId="1" fontId="1" fillId="14" borderId="15" xfId="0" applyNumberFormat="1" applyFont="1" applyFill="1" applyBorder="1" applyAlignment="1">
      <alignment horizontal="center"/>
    </xf>
    <xf numFmtId="1" fontId="1" fillId="14" borderId="78" xfId="0" applyNumberFormat="1" applyFont="1" applyFill="1" applyBorder="1" applyAlignment="1">
      <alignment horizontal="center"/>
    </xf>
    <xf numFmtId="1" fontId="1" fillId="14" borderId="11" xfId="0" applyNumberFormat="1" applyFont="1" applyFill="1" applyBorder="1" applyAlignment="1">
      <alignment horizontal="center"/>
    </xf>
    <xf numFmtId="1" fontId="1" fillId="14" borderId="10" xfId="0" applyNumberFormat="1" applyFont="1" applyFill="1" applyBorder="1" applyAlignment="1">
      <alignment horizontal="center"/>
    </xf>
    <xf numFmtId="1" fontId="1" fillId="14" borderId="17" xfId="0" applyNumberFormat="1" applyFont="1" applyFill="1" applyBorder="1" applyAlignment="1">
      <alignment horizontal="center"/>
    </xf>
    <xf numFmtId="11" fontId="32" fillId="14" borderId="52" xfId="28915" applyNumberFormat="1" applyFont="1" applyFill="1" applyBorder="1" applyAlignment="1">
      <alignment horizontal="center" vertical="center" wrapText="1"/>
    </xf>
    <xf numFmtId="11" fontId="32" fillId="14" borderId="15" xfId="28915" applyNumberFormat="1" applyFont="1" applyFill="1" applyBorder="1" applyAlignment="1">
      <alignment horizontal="center" vertical="center" wrapText="1"/>
    </xf>
    <xf numFmtId="11" fontId="32" fillId="14" borderId="13" xfId="28915" applyNumberFormat="1" applyFont="1" applyFill="1" applyBorder="1" applyAlignment="1">
      <alignment horizontal="center" vertical="center" wrapText="1"/>
    </xf>
    <xf numFmtId="11" fontId="32" fillId="14" borderId="11" xfId="28915" applyNumberFormat="1" applyFont="1" applyFill="1" applyBorder="1" applyAlignment="1">
      <alignment horizontal="center" vertical="center" wrapText="1"/>
    </xf>
    <xf numFmtId="11" fontId="32" fillId="14" borderId="11" xfId="28915" applyNumberFormat="1" applyFont="1" applyFill="1" applyBorder="1" applyAlignment="1">
      <alignment horizontal="center" vertical="center"/>
    </xf>
    <xf numFmtId="11" fontId="32" fillId="14" borderId="13" xfId="28915" applyNumberFormat="1" applyFont="1" applyFill="1" applyBorder="1" applyAlignment="1">
      <alignment horizontal="center" vertical="center"/>
    </xf>
    <xf numFmtId="11" fontId="32" fillId="14" borderId="13" xfId="28916" applyNumberFormat="1" applyFont="1" applyFill="1" applyBorder="1" applyAlignment="1">
      <alignment horizontal="center" vertical="center" wrapText="1"/>
    </xf>
    <xf numFmtId="11" fontId="32" fillId="14" borderId="15" xfId="28916" applyNumberFormat="1" applyFont="1" applyFill="1" applyBorder="1" applyAlignment="1">
      <alignment horizontal="center" vertical="center" wrapText="1"/>
    </xf>
    <xf numFmtId="11" fontId="32" fillId="14" borderId="10" xfId="28915" applyNumberFormat="1" applyFont="1" applyFill="1" applyBorder="1" applyAlignment="1">
      <alignment horizontal="center" vertical="center" wrapText="1"/>
    </xf>
    <xf numFmtId="11" fontId="32" fillId="14" borderId="17" xfId="28915" applyNumberFormat="1" applyFont="1" applyFill="1" applyBorder="1" applyAlignment="1">
      <alignment horizontal="center" vertical="center" wrapText="1"/>
    </xf>
    <xf numFmtId="11" fontId="32" fillId="9" borderId="41" xfId="28915" applyNumberFormat="1" applyFont="1" applyFill="1" applyBorder="1" applyAlignment="1">
      <alignment horizontal="center" vertical="center" wrapText="1"/>
    </xf>
    <xf numFmtId="0" fontId="1" fillId="0" borderId="0" xfId="0" applyFont="1" applyAlignment="1">
      <alignment vertical="center" wrapText="1"/>
    </xf>
    <xf numFmtId="11" fontId="24" fillId="0" borderId="0" xfId="28930" applyNumberFormat="1" applyFont="1" applyBorder="1" applyAlignment="1">
      <alignment horizontal="left"/>
    </xf>
    <xf numFmtId="0" fontId="4" fillId="0" borderId="0" xfId="0" applyFont="1" applyAlignment="1">
      <alignment horizontal="right" vertical="center" wrapText="1"/>
    </xf>
    <xf numFmtId="0" fontId="4" fillId="0" borderId="0" xfId="0" applyFont="1" applyAlignment="1">
      <alignment vertical="center"/>
    </xf>
    <xf numFmtId="4" fontId="24" fillId="0" borderId="0" xfId="0" applyNumberFormat="1" applyFont="1" applyAlignment="1">
      <alignment horizontal="left"/>
    </xf>
    <xf numFmtId="11" fontId="24" fillId="0" borderId="0" xfId="0" applyNumberFormat="1" applyFont="1" applyAlignment="1">
      <alignment horizontal="left" wrapText="1"/>
    </xf>
    <xf numFmtId="0" fontId="8" fillId="0" borderId="0" xfId="0" applyFont="1" applyAlignment="1">
      <alignment vertical="center"/>
    </xf>
    <xf numFmtId="0" fontId="3" fillId="0" borderId="0" xfId="0" applyFont="1" applyAlignment="1">
      <alignment horizontal="right" vertical="center" wrapText="1"/>
    </xf>
    <xf numFmtId="0" fontId="20" fillId="0" borderId="0" xfId="0" applyFont="1" applyAlignment="1">
      <alignment vertical="center"/>
    </xf>
    <xf numFmtId="167" fontId="3" fillId="0" borderId="0" xfId="0" applyNumberFormat="1" applyFont="1" applyAlignment="1">
      <alignment horizontal="left" vertical="center" wrapText="1"/>
    </xf>
    <xf numFmtId="165" fontId="32" fillId="6" borderId="11" xfId="28916" applyNumberFormat="1" applyFont="1" applyFill="1" applyBorder="1" applyAlignment="1">
      <alignment horizontal="center" vertical="center" wrapText="1"/>
    </xf>
    <xf numFmtId="11" fontId="32" fillId="9" borderId="11" xfId="28916" applyNumberFormat="1" applyFont="1" applyFill="1" applyBorder="1" applyAlignment="1">
      <alignment horizontal="center" vertical="center" wrapText="1"/>
    </xf>
    <xf numFmtId="0" fontId="32" fillId="0" borderId="12" xfId="28255" applyFont="1" applyBorder="1" applyAlignment="1">
      <alignment horizontal="center" vertical="center"/>
    </xf>
    <xf numFmtId="0" fontId="32" fillId="0" borderId="9" xfId="28255" applyFont="1" applyBorder="1" applyAlignment="1">
      <alignment horizontal="center" vertical="center"/>
    </xf>
    <xf numFmtId="166" fontId="1" fillId="9" borderId="10" xfId="0" applyNumberFormat="1" applyFont="1" applyFill="1" applyBorder="1" applyAlignment="1">
      <alignment horizontal="center" vertical="center"/>
    </xf>
    <xf numFmtId="11" fontId="24" fillId="9" borderId="20" xfId="0" applyNumberFormat="1" applyFont="1" applyFill="1" applyBorder="1" applyAlignment="1">
      <alignment horizontal="center" vertical="center"/>
    </xf>
    <xf numFmtId="11" fontId="1" fillId="9" borderId="11" xfId="0" applyNumberFormat="1" applyFont="1" applyFill="1" applyBorder="1" applyAlignment="1">
      <alignment horizontal="center" vertical="center"/>
    </xf>
    <xf numFmtId="11" fontId="24" fillId="8" borderId="11" xfId="0" applyNumberFormat="1" applyFont="1" applyFill="1" applyBorder="1" applyAlignment="1">
      <alignment horizontal="center" vertical="center"/>
    </xf>
    <xf numFmtId="11" fontId="1" fillId="8" borderId="11" xfId="0" applyNumberFormat="1" applyFont="1" applyFill="1" applyBorder="1" applyAlignment="1">
      <alignment horizontal="center" vertical="center"/>
    </xf>
    <xf numFmtId="11" fontId="24" fillId="0" borderId="11" xfId="0" applyNumberFormat="1" applyFont="1" applyBorder="1" applyAlignment="1">
      <alignment horizontal="center" vertical="center"/>
    </xf>
    <xf numFmtId="11" fontId="32" fillId="0" borderId="13" xfId="28915" applyNumberFormat="1" applyFont="1" applyBorder="1" applyAlignment="1">
      <alignment horizontal="center" vertical="center" wrapText="1"/>
    </xf>
    <xf numFmtId="11" fontId="32" fillId="8" borderId="24" xfId="28915" applyNumberFormat="1" applyFont="1" applyFill="1" applyBorder="1" applyAlignment="1">
      <alignment horizontal="center" vertical="center" wrapText="1"/>
    </xf>
    <xf numFmtId="11" fontId="0" fillId="0" borderId="92" xfId="0" applyNumberFormat="1" applyBorder="1" applyAlignment="1">
      <alignment horizontal="center" vertical="center"/>
    </xf>
    <xf numFmtId="11" fontId="0" fillId="0" borderId="74" xfId="0" applyNumberFormat="1" applyBorder="1" applyAlignment="1">
      <alignment horizontal="center" vertical="center"/>
    </xf>
    <xf numFmtId="11" fontId="0" fillId="0" borderId="104" xfId="0" applyNumberFormat="1" applyBorder="1" applyAlignment="1">
      <alignment horizontal="center" vertical="center"/>
    </xf>
    <xf numFmtId="11" fontId="89" fillId="2" borderId="63" xfId="0" applyNumberFormat="1" applyFont="1" applyFill="1" applyBorder="1" applyAlignment="1">
      <alignment horizontal="left" vertical="center"/>
    </xf>
    <xf numFmtId="11" fontId="1" fillId="3" borderId="10" xfId="0" applyNumberFormat="1" applyFont="1" applyFill="1" applyBorder="1" applyAlignment="1">
      <alignment horizontal="center" vertical="center"/>
    </xf>
    <xf numFmtId="11" fontId="0" fillId="0" borderId="14" xfId="0" applyNumberFormat="1" applyBorder="1" applyAlignment="1">
      <alignment horizontal="center" vertical="center"/>
    </xf>
    <xf numFmtId="11" fontId="0" fillId="0" borderId="15" xfId="0" applyNumberFormat="1" applyBorder="1" applyAlignment="1">
      <alignment horizontal="center" vertical="center"/>
    </xf>
    <xf numFmtId="11" fontId="0" fillId="0" borderId="56" xfId="0" applyNumberFormat="1" applyBorder="1" applyAlignment="1">
      <alignment horizontal="center" vertical="center"/>
    </xf>
    <xf numFmtId="11" fontId="1" fillId="0" borderId="12" xfId="0" applyNumberFormat="1" applyFont="1" applyBorder="1" applyAlignment="1">
      <alignment horizontal="center" vertical="center"/>
    </xf>
    <xf numFmtId="11" fontId="1" fillId="0" borderId="14" xfId="0" applyNumberFormat="1" applyFont="1" applyBorder="1" applyAlignment="1">
      <alignment horizontal="center" vertical="center"/>
    </xf>
    <xf numFmtId="11" fontId="0" fillId="0" borderId="16" xfId="0" applyNumberFormat="1" applyBorder="1" applyAlignment="1">
      <alignment horizontal="center" vertical="center"/>
    </xf>
    <xf numFmtId="11" fontId="0" fillId="0" borderId="17" xfId="0" applyNumberFormat="1" applyBorder="1" applyAlignment="1">
      <alignment horizontal="center" vertical="center"/>
    </xf>
    <xf numFmtId="11" fontId="0" fillId="0" borderId="55" xfId="0" applyNumberFormat="1" applyBorder="1" applyAlignment="1">
      <alignment horizontal="center" vertical="center"/>
    </xf>
    <xf numFmtId="11" fontId="4" fillId="8" borderId="13" xfId="0" applyNumberFormat="1" applyFont="1" applyFill="1" applyBorder="1" applyAlignment="1">
      <alignment horizontal="center"/>
    </xf>
    <xf numFmtId="11" fontId="5" fillId="8" borderId="10" xfId="0" applyNumberFormat="1" applyFont="1" applyFill="1" applyBorder="1" applyAlignment="1">
      <alignment horizontal="center" vertical="center"/>
    </xf>
    <xf numFmtId="11" fontId="4" fillId="8" borderId="10" xfId="0" applyNumberFormat="1" applyFont="1" applyFill="1" applyBorder="1" applyAlignment="1">
      <alignment horizontal="center"/>
    </xf>
    <xf numFmtId="11" fontId="5" fillId="0" borderId="10" xfId="0" applyNumberFormat="1" applyFont="1" applyBorder="1" applyAlignment="1">
      <alignment horizontal="center" vertical="center"/>
    </xf>
    <xf numFmtId="1" fontId="32" fillId="0" borderId="18" xfId="28255" applyNumberFormat="1" applyFont="1" applyBorder="1" applyAlignment="1">
      <alignment horizontal="left"/>
    </xf>
    <xf numFmtId="11" fontId="1" fillId="9" borderId="18" xfId="0" applyNumberFormat="1" applyFont="1" applyFill="1" applyBorder="1" applyAlignment="1">
      <alignment horizontal="center"/>
    </xf>
    <xf numFmtId="11" fontId="32" fillId="12" borderId="18" xfId="28255" applyNumberFormat="1" applyFont="1" applyFill="1" applyBorder="1" applyAlignment="1">
      <alignment horizontal="center" vertical="center"/>
    </xf>
    <xf numFmtId="11" fontId="32" fillId="0" borderId="18" xfId="28255" applyNumberFormat="1" applyFont="1" applyBorder="1" applyAlignment="1">
      <alignment horizontal="center" vertical="center"/>
    </xf>
    <xf numFmtId="11" fontId="1" fillId="0" borderId="18" xfId="0" applyNumberFormat="1" applyFont="1" applyBorder="1" applyAlignment="1">
      <alignment horizontal="center"/>
    </xf>
    <xf numFmtId="11" fontId="1" fillId="0" borderId="100" xfId="0" applyNumberFormat="1" applyFont="1" applyBorder="1" applyAlignment="1">
      <alignment horizontal="center"/>
    </xf>
    <xf numFmtId="11" fontId="1" fillId="0" borderId="10" xfId="0" applyNumberFormat="1" applyFont="1" applyBorder="1" applyAlignment="1">
      <alignment horizontal="center"/>
    </xf>
    <xf numFmtId="11" fontId="1" fillId="0" borderId="109" xfId="0" applyNumberFormat="1" applyFont="1" applyBorder="1" applyAlignment="1">
      <alignment horizontal="center" vertical="center"/>
    </xf>
    <xf numFmtId="11" fontId="1" fillId="0" borderId="9" xfId="0" applyNumberFormat="1" applyFont="1" applyBorder="1" applyAlignment="1">
      <alignment horizontal="center" vertical="center"/>
    </xf>
    <xf numFmtId="1" fontId="32" fillId="0" borderId="11" xfId="28916" applyNumberFormat="1" applyFont="1" applyBorder="1" applyAlignment="1">
      <alignment horizontal="left" vertical="center"/>
    </xf>
    <xf numFmtId="165" fontId="32" fillId="12" borderId="13" xfId="28255" applyNumberFormat="1" applyFont="1" applyFill="1" applyBorder="1" applyAlignment="1">
      <alignment horizontal="center" vertical="center"/>
    </xf>
    <xf numFmtId="165" fontId="32" fillId="12" borderId="10" xfId="28255" applyNumberFormat="1" applyFont="1" applyFill="1" applyBorder="1" applyAlignment="1">
      <alignment horizontal="center" vertical="center"/>
    </xf>
    <xf numFmtId="165" fontId="32" fillId="8" borderId="11" xfId="28916" applyNumberFormat="1" applyFont="1" applyFill="1" applyBorder="1" applyAlignment="1">
      <alignment horizontal="center" vertical="center" wrapText="1"/>
    </xf>
    <xf numFmtId="0" fontId="1" fillId="0" borderId="109" xfId="0" applyFont="1" applyBorder="1" applyAlignment="1">
      <alignment horizontal="center"/>
    </xf>
    <xf numFmtId="0" fontId="1" fillId="0" borderId="11" xfId="0" applyFont="1" applyBorder="1" applyAlignment="1">
      <alignment horizontal="center"/>
    </xf>
    <xf numFmtId="0" fontId="1" fillId="0" borderId="40" xfId="0" applyFont="1" applyBorder="1" applyAlignment="1">
      <alignment horizontal="center"/>
    </xf>
    <xf numFmtId="0" fontId="1" fillId="0" borderId="57" xfId="0" applyFont="1" applyBorder="1" applyAlignment="1">
      <alignment horizontal="center"/>
    </xf>
    <xf numFmtId="165" fontId="32" fillId="6" borderId="13" xfId="28255" applyNumberFormat="1" applyFont="1" applyFill="1" applyBorder="1" applyAlignment="1">
      <alignment horizontal="center" vertical="center"/>
    </xf>
    <xf numFmtId="165" fontId="32" fillId="6" borderId="10" xfId="28255" applyNumberFormat="1"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24"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54" xfId="0" applyFont="1" applyBorder="1" applyAlignment="1">
      <alignment horizontal="center" vertical="center"/>
    </xf>
    <xf numFmtId="0" fontId="1" fillId="0" borderId="51" xfId="0" applyFont="1" applyBorder="1" applyAlignment="1">
      <alignment horizontal="center" vertical="center"/>
    </xf>
    <xf numFmtId="0" fontId="1" fillId="0" borderId="52" xfId="0" applyFont="1" applyBorder="1" applyAlignment="1">
      <alignment horizontal="center" vertical="center"/>
    </xf>
    <xf numFmtId="0" fontId="1" fillId="0" borderId="53" xfId="0" applyFont="1" applyBorder="1" applyAlignment="1">
      <alignment horizontal="center" vertical="center"/>
    </xf>
    <xf numFmtId="0" fontId="31" fillId="2" borderId="63" xfId="0" applyFont="1" applyFill="1" applyBorder="1" applyAlignment="1">
      <alignment horizontal="left" vertical="center"/>
    </xf>
    <xf numFmtId="0" fontId="1" fillId="0" borderId="109" xfId="0" applyFont="1" applyBorder="1" applyAlignment="1">
      <alignment horizontal="center" vertical="center"/>
    </xf>
    <xf numFmtId="0" fontId="1" fillId="0" borderId="11" xfId="0" applyFont="1" applyBorder="1" applyAlignment="1">
      <alignment horizontal="center" vertical="center"/>
    </xf>
    <xf numFmtId="0" fontId="1" fillId="0" borderId="57" xfId="0" applyFont="1" applyBorder="1" applyAlignment="1">
      <alignment horizontal="center" vertical="center"/>
    </xf>
    <xf numFmtId="165" fontId="5" fillId="9" borderId="13" xfId="0" applyNumberFormat="1" applyFont="1" applyFill="1" applyBorder="1" applyAlignment="1">
      <alignment horizontal="center" vertical="center"/>
    </xf>
    <xf numFmtId="0" fontId="4" fillId="0" borderId="10" xfId="0" applyFont="1" applyBorder="1" applyAlignment="1">
      <alignment horizontal="left"/>
    </xf>
    <xf numFmtId="165" fontId="5" fillId="9" borderId="10" xfId="0" applyNumberFormat="1" applyFont="1" applyFill="1" applyBorder="1" applyAlignment="1">
      <alignment horizontal="center" vertical="center"/>
    </xf>
    <xf numFmtId="11" fontId="24" fillId="0" borderId="42" xfId="0" applyNumberFormat="1" applyFont="1" applyBorder="1" applyAlignment="1">
      <alignment horizontal="center"/>
    </xf>
    <xf numFmtId="11" fontId="24" fillId="0" borderId="24" xfId="0" applyNumberFormat="1" applyFont="1" applyBorder="1" applyAlignment="1">
      <alignment horizontal="center"/>
    </xf>
    <xf numFmtId="11" fontId="13" fillId="0" borderId="42" xfId="0" applyNumberFormat="1" applyFont="1" applyBorder="1" applyAlignment="1">
      <alignment horizontal="center"/>
    </xf>
    <xf numFmtId="11" fontId="13" fillId="0" borderId="24" xfId="0" applyNumberFormat="1" applyFont="1" applyBorder="1" applyAlignment="1">
      <alignment horizontal="center"/>
    </xf>
    <xf numFmtId="11" fontId="13" fillId="0" borderId="50" xfId="0" applyNumberFormat="1" applyFont="1" applyBorder="1" applyAlignment="1">
      <alignment horizontal="center"/>
    </xf>
    <xf numFmtId="11" fontId="13" fillId="0" borderId="54" xfId="0" applyNumberFormat="1" applyFont="1" applyBorder="1" applyAlignment="1">
      <alignment horizontal="center"/>
    </xf>
    <xf numFmtId="11" fontId="24" fillId="0" borderId="43" xfId="0" applyNumberFormat="1" applyFont="1" applyBorder="1" applyAlignment="1">
      <alignment horizontal="center"/>
    </xf>
    <xf numFmtId="11" fontId="24" fillId="0" borderId="56" xfId="0" applyNumberFormat="1" applyFont="1" applyBorder="1" applyAlignment="1">
      <alignment horizontal="center"/>
    </xf>
    <xf numFmtId="11" fontId="24" fillId="0" borderId="50" xfId="0" applyNumberFormat="1" applyFont="1" applyBorder="1" applyAlignment="1">
      <alignment horizontal="center"/>
    </xf>
    <xf numFmtId="11" fontId="24" fillId="0" borderId="54" xfId="0" applyNumberFormat="1" applyFont="1" applyBorder="1" applyAlignment="1">
      <alignment horizontal="center"/>
    </xf>
    <xf numFmtId="11" fontId="13" fillId="0" borderId="61" xfId="0" applyNumberFormat="1" applyFont="1" applyBorder="1" applyAlignment="1">
      <alignment horizontal="center"/>
    </xf>
    <xf numFmtId="11" fontId="13" fillId="0" borderId="53" xfId="0" applyNumberFormat="1" applyFont="1" applyBorder="1" applyAlignment="1">
      <alignment horizontal="center"/>
    </xf>
    <xf numFmtId="11" fontId="24" fillId="0" borderId="61" xfId="0" applyNumberFormat="1" applyFont="1" applyBorder="1" applyAlignment="1">
      <alignment horizontal="center"/>
    </xf>
    <xf numFmtId="11" fontId="24" fillId="0" borderId="53" xfId="0" applyNumberFormat="1" applyFont="1" applyBorder="1" applyAlignment="1">
      <alignment horizontal="center"/>
    </xf>
    <xf numFmtId="11" fontId="1" fillId="0" borderId="61" xfId="0" applyNumberFormat="1" applyFont="1" applyBorder="1" applyAlignment="1">
      <alignment horizontal="center"/>
    </xf>
    <xf numFmtId="11" fontId="1" fillId="0" borderId="53" xfId="0" applyNumberFormat="1" applyFont="1" applyBorder="1" applyAlignment="1">
      <alignment horizontal="center"/>
    </xf>
    <xf numFmtId="11" fontId="1" fillId="0" borderId="42" xfId="0" applyNumberFormat="1" applyFont="1" applyBorder="1" applyAlignment="1">
      <alignment horizontal="center"/>
    </xf>
    <xf numFmtId="11" fontId="1" fillId="0" borderId="50" xfId="0" applyNumberFormat="1" applyFont="1" applyBorder="1" applyAlignment="1">
      <alignment horizontal="center"/>
    </xf>
    <xf numFmtId="11" fontId="24" fillId="0" borderId="85" xfId="0" applyNumberFormat="1" applyFont="1" applyBorder="1" applyAlignment="1">
      <alignment horizontal="center"/>
    </xf>
    <xf numFmtId="11" fontId="24" fillId="0" borderId="100" xfId="0" applyNumberFormat="1" applyFont="1" applyBorder="1" applyAlignment="1">
      <alignment horizontal="center"/>
    </xf>
    <xf numFmtId="11" fontId="24" fillId="0" borderId="41" xfId="0" applyNumberFormat="1" applyFont="1" applyBorder="1" applyAlignment="1">
      <alignment horizontal="center"/>
    </xf>
    <xf numFmtId="11" fontId="24" fillId="0" borderId="55" xfId="0" applyNumberFormat="1" applyFont="1" applyBorder="1" applyAlignment="1">
      <alignment horizontal="center"/>
    </xf>
    <xf numFmtId="11" fontId="24" fillId="3" borderId="42" xfId="0" applyNumberFormat="1" applyFont="1" applyFill="1" applyBorder="1" applyAlignment="1">
      <alignment horizontal="center"/>
    </xf>
    <xf numFmtId="11" fontId="24" fillId="3" borderId="41" xfId="0" applyNumberFormat="1" applyFont="1" applyFill="1" applyBorder="1" applyAlignment="1">
      <alignment horizontal="center"/>
    </xf>
    <xf numFmtId="11" fontId="13" fillId="3" borderId="42" xfId="0" applyNumberFormat="1" applyFont="1" applyFill="1" applyBorder="1" applyAlignment="1">
      <alignment horizontal="center"/>
    </xf>
    <xf numFmtId="11" fontId="13" fillId="3" borderId="50" xfId="0" applyNumberFormat="1" applyFont="1" applyFill="1" applyBorder="1" applyAlignment="1">
      <alignment horizontal="center"/>
    </xf>
    <xf numFmtId="11" fontId="24" fillId="3" borderId="43" xfId="0" applyNumberFormat="1" applyFont="1" applyFill="1" applyBorder="1" applyAlignment="1">
      <alignment horizontal="center"/>
    </xf>
    <xf numFmtId="11" fontId="24" fillId="3" borderId="50" xfId="0" applyNumberFormat="1" applyFont="1" applyFill="1" applyBorder="1" applyAlignment="1">
      <alignment horizontal="center"/>
    </xf>
    <xf numFmtId="11" fontId="13" fillId="3" borderId="61" xfId="0" applyNumberFormat="1" applyFont="1" applyFill="1" applyBorder="1" applyAlignment="1">
      <alignment horizontal="center"/>
    </xf>
    <xf numFmtId="11" fontId="24" fillId="3" borderId="61" xfId="0" applyNumberFormat="1" applyFont="1" applyFill="1" applyBorder="1" applyAlignment="1">
      <alignment horizontal="center"/>
    </xf>
    <xf numFmtId="11" fontId="24" fillId="3" borderId="42" xfId="0" applyNumberFormat="1" applyFont="1" applyFill="1" applyBorder="1" applyAlignment="1">
      <alignment horizontal="center" vertical="center"/>
    </xf>
    <xf numFmtId="11" fontId="1" fillId="3" borderId="61" xfId="0" applyNumberFormat="1" applyFont="1" applyFill="1" applyBorder="1" applyAlignment="1">
      <alignment horizontal="center"/>
    </xf>
    <xf numFmtId="11" fontId="1" fillId="3" borderId="42" xfId="0" applyNumberFormat="1" applyFont="1" applyFill="1" applyBorder="1" applyAlignment="1">
      <alignment horizontal="center"/>
    </xf>
    <xf numFmtId="11" fontId="1" fillId="3" borderId="50" xfId="0" applyNumberFormat="1" applyFont="1" applyFill="1" applyBorder="1" applyAlignment="1">
      <alignment horizontal="center"/>
    </xf>
    <xf numFmtId="11" fontId="24" fillId="3" borderId="85" xfId="0" applyNumberFormat="1" applyFont="1" applyFill="1" applyBorder="1" applyAlignment="1">
      <alignment horizontal="center"/>
    </xf>
    <xf numFmtId="11" fontId="24" fillId="6" borderId="42" xfId="0" applyNumberFormat="1" applyFont="1" applyFill="1" applyBorder="1" applyAlignment="1">
      <alignment horizontal="center"/>
    </xf>
    <xf numFmtId="11" fontId="13" fillId="6" borderId="42" xfId="0" applyNumberFormat="1" applyFont="1" applyFill="1" applyBorder="1" applyAlignment="1">
      <alignment horizontal="center"/>
    </xf>
    <xf numFmtId="11" fontId="13" fillId="6" borderId="50" xfId="0" applyNumberFormat="1" applyFont="1" applyFill="1" applyBorder="1" applyAlignment="1">
      <alignment horizontal="center"/>
    </xf>
    <xf numFmtId="11" fontId="24" fillId="6" borderId="43" xfId="0" applyNumberFormat="1" applyFont="1" applyFill="1" applyBorder="1" applyAlignment="1">
      <alignment horizontal="center"/>
    </xf>
    <xf numFmtId="11" fontId="24" fillId="6" borderId="50" xfId="0" applyNumberFormat="1" applyFont="1" applyFill="1" applyBorder="1" applyAlignment="1">
      <alignment horizontal="center"/>
    </xf>
    <xf numFmtId="11" fontId="13" fillId="6" borderId="61" xfId="0" applyNumberFormat="1" applyFont="1" applyFill="1" applyBorder="1" applyAlignment="1">
      <alignment horizontal="center"/>
    </xf>
    <xf numFmtId="11" fontId="24" fillId="6" borderId="61" xfId="0" applyNumberFormat="1" applyFont="1" applyFill="1" applyBorder="1" applyAlignment="1">
      <alignment horizontal="center"/>
    </xf>
    <xf numFmtId="11" fontId="1" fillId="6" borderId="61" xfId="0" applyNumberFormat="1" applyFont="1" applyFill="1" applyBorder="1" applyAlignment="1">
      <alignment horizontal="center"/>
    </xf>
    <xf numFmtId="11" fontId="1" fillId="6" borderId="42" xfId="0" applyNumberFormat="1" applyFont="1" applyFill="1" applyBorder="1" applyAlignment="1">
      <alignment horizontal="center"/>
    </xf>
    <xf numFmtId="11" fontId="1" fillId="6" borderId="50" xfId="0" applyNumberFormat="1" applyFont="1" applyFill="1" applyBorder="1" applyAlignment="1">
      <alignment horizontal="center"/>
    </xf>
    <xf numFmtId="11" fontId="24" fillId="6" borderId="85" xfId="0" applyNumberFormat="1" applyFont="1" applyFill="1" applyBorder="1" applyAlignment="1">
      <alignment horizontal="center"/>
    </xf>
    <xf numFmtId="11" fontId="24" fillId="6" borderId="41" xfId="0" applyNumberFormat="1" applyFont="1" applyFill="1" applyBorder="1" applyAlignment="1">
      <alignment horizontal="center"/>
    </xf>
    <xf numFmtId="11" fontId="24" fillId="12" borderId="11" xfId="0" applyNumberFormat="1" applyFont="1" applyFill="1" applyBorder="1" applyAlignment="1">
      <alignment horizontal="center"/>
    </xf>
    <xf numFmtId="11" fontId="24" fillId="6" borderId="40" xfId="0" applyNumberFormat="1" applyFont="1" applyFill="1" applyBorder="1" applyAlignment="1">
      <alignment horizontal="center"/>
    </xf>
    <xf numFmtId="11" fontId="24" fillId="3" borderId="40" xfId="0" applyNumberFormat="1" applyFont="1" applyFill="1" applyBorder="1" applyAlignment="1">
      <alignment horizontal="center"/>
    </xf>
    <xf numFmtId="11" fontId="24" fillId="0" borderId="40" xfId="0" applyNumberFormat="1" applyFont="1" applyBorder="1" applyAlignment="1">
      <alignment horizontal="center"/>
    </xf>
    <xf numFmtId="11" fontId="24" fillId="0" borderId="57" xfId="0" applyNumberFormat="1" applyFont="1" applyBorder="1" applyAlignment="1">
      <alignment horizontal="center"/>
    </xf>
    <xf numFmtId="0" fontId="1" fillId="15" borderId="0" xfId="0" applyFont="1" applyFill="1"/>
    <xf numFmtId="167" fontId="3" fillId="15" borderId="66" xfId="0" applyNumberFormat="1" applyFont="1" applyFill="1" applyBorder="1" applyAlignment="1">
      <alignment horizontal="left" vertical="center" wrapText="1"/>
    </xf>
    <xf numFmtId="0" fontId="16" fillId="15" borderId="66" xfId="0" applyFont="1" applyFill="1" applyBorder="1" applyAlignment="1">
      <alignment horizontal="left" vertical="center" wrapText="1"/>
    </xf>
    <xf numFmtId="0" fontId="20" fillId="15" borderId="66" xfId="0" applyFont="1" applyFill="1" applyBorder="1" applyAlignment="1">
      <alignment horizontal="left" vertical="center" wrapText="1"/>
    </xf>
    <xf numFmtId="0" fontId="23" fillId="15" borderId="67" xfId="0" applyFont="1" applyFill="1" applyBorder="1" applyAlignment="1">
      <alignment horizontal="left" vertical="center" wrapText="1"/>
    </xf>
    <xf numFmtId="11" fontId="1" fillId="0" borderId="52" xfId="0" applyNumberFormat="1" applyFont="1" applyBorder="1" applyAlignment="1">
      <alignment horizontal="center"/>
    </xf>
    <xf numFmtId="165" fontId="32" fillId="12" borderId="11" xfId="28915" applyNumberFormat="1" applyFont="1" applyFill="1" applyBorder="1" applyAlignment="1">
      <alignment horizontal="center" vertical="center"/>
    </xf>
    <xf numFmtId="165" fontId="32" fillId="12" borderId="10" xfId="28915" applyNumberFormat="1" applyFont="1" applyFill="1" applyBorder="1" applyAlignment="1">
      <alignment horizontal="center" vertical="center"/>
    </xf>
    <xf numFmtId="165" fontId="32" fillId="12" borderId="13" xfId="28915" applyNumberFormat="1" applyFont="1" applyFill="1" applyBorder="1" applyAlignment="1">
      <alignment horizontal="center" vertical="center"/>
    </xf>
    <xf numFmtId="11" fontId="32" fillId="0" borderId="61" xfId="28255" applyNumberFormat="1" applyFont="1" applyBorder="1" applyAlignment="1">
      <alignment vertical="center"/>
    </xf>
    <xf numFmtId="11" fontId="32" fillId="9" borderId="58" xfId="28255" applyNumberFormat="1" applyFont="1" applyFill="1" applyBorder="1" applyAlignment="1">
      <alignment horizontal="center" vertical="center"/>
    </xf>
    <xf numFmtId="11" fontId="32" fillId="8" borderId="58" xfId="28255" applyNumberFormat="1" applyFont="1" applyFill="1" applyBorder="1" applyAlignment="1">
      <alignment horizontal="center" vertical="center"/>
    </xf>
    <xf numFmtId="11" fontId="32" fillId="6" borderId="58" xfId="28255" applyNumberFormat="1" applyFont="1" applyFill="1" applyBorder="1" applyAlignment="1">
      <alignment horizontal="center" vertical="center"/>
    </xf>
    <xf numFmtId="11" fontId="32" fillId="12" borderId="58" xfId="28255" applyNumberFormat="1" applyFont="1" applyFill="1" applyBorder="1" applyAlignment="1">
      <alignment horizontal="center" vertical="center"/>
    </xf>
    <xf numFmtId="11" fontId="32" fillId="10" borderId="61" xfId="28255" applyNumberFormat="1" applyFont="1" applyFill="1" applyBorder="1" applyAlignment="1">
      <alignment horizontal="center" vertical="center"/>
    </xf>
    <xf numFmtId="11" fontId="32" fillId="10" borderId="52" xfId="28255" applyNumberFormat="1" applyFont="1" applyFill="1" applyBorder="1" applyAlignment="1">
      <alignment horizontal="center" vertical="center"/>
    </xf>
    <xf numFmtId="1" fontId="32" fillId="11" borderId="52" xfId="28255" applyNumberFormat="1" applyFont="1" applyFill="1" applyBorder="1" applyAlignment="1">
      <alignment horizontal="center" vertical="center"/>
    </xf>
    <xf numFmtId="2" fontId="32" fillId="11" borderId="52" xfId="28255" applyNumberFormat="1" applyFont="1" applyFill="1" applyBorder="1" applyAlignment="1">
      <alignment horizontal="center" vertical="center"/>
    </xf>
    <xf numFmtId="2" fontId="32" fillId="11" borderId="61" xfId="28255" applyNumberFormat="1" applyFont="1" applyFill="1" applyBorder="1" applyAlignment="1">
      <alignment horizontal="center" vertical="center"/>
    </xf>
    <xf numFmtId="11" fontId="32" fillId="9" borderId="62" xfId="28255" applyNumberFormat="1" applyFont="1" applyFill="1" applyBorder="1" applyAlignment="1">
      <alignment horizontal="center" vertical="center"/>
    </xf>
    <xf numFmtId="11" fontId="32" fillId="9" borderId="61" xfId="28255" applyNumberFormat="1" applyFont="1" applyFill="1" applyBorder="1" applyAlignment="1">
      <alignment horizontal="center" vertical="center"/>
    </xf>
    <xf numFmtId="11" fontId="32" fillId="10" borderId="32" xfId="28255" applyNumberFormat="1" applyFont="1" applyFill="1" applyBorder="1" applyAlignment="1">
      <alignment horizontal="center" vertical="center"/>
    </xf>
    <xf numFmtId="2" fontId="32" fillId="11" borderId="32" xfId="28255" applyNumberFormat="1" applyFont="1" applyFill="1" applyBorder="1" applyAlignment="1">
      <alignment horizontal="center" vertical="center"/>
    </xf>
    <xf numFmtId="11" fontId="32" fillId="9" borderId="32" xfId="28255" applyNumberFormat="1" applyFont="1" applyFill="1" applyBorder="1" applyAlignment="1">
      <alignment horizontal="center" vertical="center"/>
    </xf>
    <xf numFmtId="11" fontId="32" fillId="0" borderId="50" xfId="28255" applyNumberFormat="1" applyFont="1" applyBorder="1" applyAlignment="1">
      <alignment vertical="center"/>
    </xf>
    <xf numFmtId="11" fontId="32" fillId="8" borderId="19" xfId="28255" applyNumberFormat="1" applyFont="1" applyFill="1" applyBorder="1" applyAlignment="1">
      <alignment horizontal="center" vertical="center"/>
    </xf>
    <xf numFmtId="11" fontId="32" fillId="6" borderId="19" xfId="28255" applyNumberFormat="1" applyFont="1" applyFill="1" applyBorder="1" applyAlignment="1">
      <alignment horizontal="center" vertical="center"/>
    </xf>
    <xf numFmtId="11" fontId="32" fillId="12" borderId="19" xfId="28255" applyNumberFormat="1" applyFont="1" applyFill="1" applyBorder="1" applyAlignment="1">
      <alignment horizontal="center" vertical="center"/>
    </xf>
    <xf numFmtId="11" fontId="32" fillId="10" borderId="19" xfId="28255" applyNumberFormat="1" applyFont="1" applyFill="1" applyBorder="1" applyAlignment="1">
      <alignment horizontal="center" vertical="center"/>
    </xf>
    <xf numFmtId="1" fontId="32" fillId="11" borderId="19" xfId="28255" applyNumberFormat="1" applyFont="1" applyFill="1" applyBorder="1" applyAlignment="1">
      <alignment horizontal="center" vertical="center"/>
    </xf>
    <xf numFmtId="2" fontId="32" fillId="11" borderId="19" xfId="28255" applyNumberFormat="1" applyFont="1" applyFill="1" applyBorder="1" applyAlignment="1">
      <alignment horizontal="center" vertical="center"/>
    </xf>
    <xf numFmtId="11" fontId="32" fillId="9" borderId="42" xfId="28255" applyNumberFormat="1" applyFont="1" applyFill="1" applyBorder="1" applyAlignment="1">
      <alignment horizontal="center" vertical="center"/>
    </xf>
    <xf numFmtId="11" fontId="32" fillId="10" borderId="42" xfId="28255" applyNumberFormat="1" applyFont="1" applyFill="1" applyBorder="1" applyAlignment="1">
      <alignment horizontal="center" vertical="center"/>
    </xf>
    <xf numFmtId="11" fontId="0" fillId="0" borderId="109" xfId="0" applyNumberFormat="1" applyBorder="1" applyAlignment="1">
      <alignment horizontal="center" vertical="center"/>
    </xf>
    <xf numFmtId="11" fontId="0" fillId="0" borderId="11" xfId="0" applyNumberFormat="1" applyBorder="1" applyAlignment="1">
      <alignment horizontal="center" vertical="center"/>
    </xf>
    <xf numFmtId="11" fontId="0" fillId="0" borderId="57" xfId="0" applyNumberFormat="1" applyBorder="1" applyAlignment="1">
      <alignment horizontal="center" vertical="center"/>
    </xf>
    <xf numFmtId="11" fontId="0" fillId="0" borderId="73" xfId="0" applyNumberFormat="1" applyBorder="1" applyAlignment="1">
      <alignment horizontal="center" vertical="center"/>
    </xf>
    <xf numFmtId="11" fontId="1" fillId="0" borderId="11" xfId="0" applyNumberFormat="1" applyFont="1" applyBorder="1" applyAlignment="1">
      <alignment horizontal="center"/>
    </xf>
    <xf numFmtId="11" fontId="1" fillId="0" borderId="57" xfId="0" applyNumberFormat="1" applyFont="1" applyBorder="1" applyAlignment="1">
      <alignment horizontal="center"/>
    </xf>
    <xf numFmtId="0" fontId="90" fillId="0" borderId="0" xfId="0" applyFont="1" applyAlignment="1">
      <alignment horizontal="left"/>
    </xf>
    <xf numFmtId="0" fontId="90" fillId="0" borderId="0" xfId="0" applyFont="1"/>
    <xf numFmtId="0" fontId="74" fillId="0" borderId="0" xfId="0" applyFont="1"/>
    <xf numFmtId="11" fontId="1" fillId="5" borderId="47" xfId="0" applyNumberFormat="1" applyFont="1" applyFill="1" applyBorder="1" applyAlignment="1">
      <alignment horizontal="left" wrapText="1"/>
    </xf>
    <xf numFmtId="0" fontId="1" fillId="5" borderId="47" xfId="0" applyFont="1" applyFill="1" applyBorder="1" applyAlignment="1">
      <alignment horizontal="left" wrapText="1"/>
    </xf>
    <xf numFmtId="11" fontId="24" fillId="0" borderId="103" xfId="0" applyNumberFormat="1" applyFont="1" applyBorder="1" applyAlignment="1">
      <alignment horizontal="left" wrapText="1"/>
    </xf>
    <xf numFmtId="11" fontId="24" fillId="0" borderId="85" xfId="0" applyNumberFormat="1" applyFont="1" applyBorder="1" applyAlignment="1">
      <alignment horizontal="left" wrapText="1"/>
    </xf>
    <xf numFmtId="0" fontId="14" fillId="0" borderId="85" xfId="0" applyFont="1" applyBorder="1"/>
    <xf numFmtId="0" fontId="7" fillId="0" borderId="38" xfId="0" applyFont="1" applyBorder="1" applyAlignment="1">
      <alignment wrapText="1"/>
    </xf>
    <xf numFmtId="0" fontId="14" fillId="0" borderId="38" xfId="0" applyFont="1" applyBorder="1" applyAlignment="1">
      <alignment vertical="center"/>
    </xf>
    <xf numFmtId="0" fontId="13" fillId="0" borderId="68" xfId="0" applyFont="1" applyBorder="1" applyAlignment="1">
      <alignment horizontal="left" wrapText="1"/>
    </xf>
    <xf numFmtId="0" fontId="13" fillId="0" borderId="85" xfId="0" applyFont="1" applyBorder="1" applyAlignment="1">
      <alignment vertical="center"/>
    </xf>
    <xf numFmtId="0" fontId="13" fillId="0" borderId="38" xfId="0" applyFont="1" applyBorder="1" applyAlignment="1">
      <alignment vertical="center" wrapText="1"/>
    </xf>
    <xf numFmtId="0" fontId="13" fillId="0" borderId="38" xfId="0" applyFont="1" applyBorder="1" applyAlignment="1">
      <alignment vertical="center"/>
    </xf>
    <xf numFmtId="0" fontId="30" fillId="9" borderId="0" xfId="0" applyFont="1" applyFill="1"/>
    <xf numFmtId="0" fontId="24" fillId="9" borderId="0" xfId="0" applyFont="1" applyFill="1" applyAlignment="1">
      <alignment wrapText="1"/>
    </xf>
    <xf numFmtId="0" fontId="24" fillId="9" borderId="0" xfId="0" applyFont="1" applyFill="1"/>
    <xf numFmtId="0" fontId="24" fillId="9" borderId="0" xfId="0" applyFont="1" applyFill="1" applyAlignment="1">
      <alignment horizontal="left" wrapText="1"/>
    </xf>
    <xf numFmtId="11" fontId="1" fillId="0" borderId="43" xfId="0" applyNumberFormat="1" applyFont="1" applyBorder="1" applyAlignment="1">
      <alignment horizontal="center" vertical="center"/>
    </xf>
    <xf numFmtId="11" fontId="1" fillId="0" borderId="40" xfId="0" applyNumberFormat="1" applyFont="1" applyBorder="1" applyAlignment="1">
      <alignment horizontal="center" vertical="center"/>
    </xf>
    <xf numFmtId="11" fontId="1" fillId="0" borderId="85" xfId="0" applyNumberFormat="1" applyFont="1" applyBorder="1" applyAlignment="1">
      <alignment horizontal="center" vertical="center"/>
    </xf>
    <xf numFmtId="11" fontId="52" fillId="2" borderId="0" xfId="28255" applyNumberFormat="1" applyFont="1" applyFill="1" applyAlignment="1">
      <alignment horizontal="center" vertical="center"/>
    </xf>
    <xf numFmtId="11" fontId="4" fillId="0" borderId="21" xfId="0" applyNumberFormat="1" applyFont="1" applyBorder="1" applyAlignment="1">
      <alignment horizontal="center" vertical="center"/>
    </xf>
    <xf numFmtId="11" fontId="1" fillId="0" borderId="21" xfId="0" applyNumberFormat="1" applyFont="1" applyBorder="1" applyAlignment="1">
      <alignment horizontal="center" vertical="center"/>
    </xf>
    <xf numFmtId="11" fontId="4" fillId="0" borderId="23" xfId="0" applyNumberFormat="1" applyFont="1" applyBorder="1" applyAlignment="1">
      <alignment horizontal="center" vertical="center"/>
    </xf>
    <xf numFmtId="11" fontId="4" fillId="0" borderId="22" xfId="0" applyNumberFormat="1" applyFont="1" applyBorder="1" applyAlignment="1">
      <alignment horizontal="center" vertical="center"/>
    </xf>
    <xf numFmtId="11" fontId="4" fillId="0" borderId="15" xfId="0" applyNumberFormat="1" applyFont="1" applyBorder="1" applyAlignment="1">
      <alignment horizontal="center" vertical="center"/>
    </xf>
    <xf numFmtId="11" fontId="4" fillId="0" borderId="56" xfId="0" applyNumberFormat="1" applyFont="1" applyBorder="1" applyAlignment="1">
      <alignment horizontal="center" vertical="center"/>
    </xf>
    <xf numFmtId="11" fontId="1" fillId="0" borderId="22" xfId="0" applyNumberFormat="1" applyFont="1" applyBorder="1" applyAlignment="1">
      <alignment horizontal="center" vertical="center"/>
    </xf>
    <xf numFmtId="11" fontId="4" fillId="0" borderId="20" xfId="0" applyNumberFormat="1" applyFont="1" applyBorder="1" applyAlignment="1">
      <alignment horizontal="center" vertical="center"/>
    </xf>
    <xf numFmtId="11" fontId="4" fillId="0" borderId="11" xfId="0" applyNumberFormat="1" applyFont="1" applyBorder="1" applyAlignment="1">
      <alignment horizontal="center" vertical="center"/>
    </xf>
    <xf numFmtId="11" fontId="4" fillId="0" borderId="57" xfId="0" applyNumberFormat="1" applyFont="1" applyBorder="1" applyAlignment="1">
      <alignment horizontal="center" vertical="center"/>
    </xf>
    <xf numFmtId="11" fontId="1" fillId="0" borderId="20" xfId="0" applyNumberFormat="1" applyFont="1" applyBorder="1" applyAlignment="1">
      <alignment horizontal="center" vertical="center"/>
    </xf>
    <xf numFmtId="11" fontId="52" fillId="2" borderId="8" xfId="28255" applyNumberFormat="1" applyFont="1" applyFill="1" applyBorder="1" applyAlignment="1">
      <alignment horizontal="center" vertical="center"/>
    </xf>
    <xf numFmtId="11" fontId="4" fillId="0" borderId="61" xfId="0" applyNumberFormat="1" applyFont="1" applyBorder="1" applyAlignment="1">
      <alignment horizontal="center"/>
    </xf>
    <xf numFmtId="11" fontId="4" fillId="0" borderId="42" xfId="0" applyNumberFormat="1" applyFont="1" applyBorder="1" applyAlignment="1">
      <alignment horizontal="center"/>
    </xf>
    <xf numFmtId="11" fontId="4" fillId="0" borderId="43" xfId="0" applyNumberFormat="1" applyFont="1" applyBorder="1" applyAlignment="1">
      <alignment horizontal="center"/>
    </xf>
    <xf numFmtId="11" fontId="4" fillId="0" borderId="50" xfId="0" applyNumberFormat="1" applyFont="1" applyBorder="1" applyAlignment="1">
      <alignment horizontal="center"/>
    </xf>
    <xf numFmtId="11" fontId="4" fillId="0" borderId="41" xfId="0" applyNumberFormat="1" applyFont="1" applyBorder="1" applyAlignment="1">
      <alignment horizontal="center"/>
    </xf>
    <xf numFmtId="11" fontId="4" fillId="0" borderId="13" xfId="0" applyNumberFormat="1" applyFont="1" applyBorder="1" applyAlignment="1">
      <alignment horizontal="center"/>
    </xf>
    <xf numFmtId="11" fontId="4" fillId="0" borderId="17" xfId="0" applyNumberFormat="1" applyFont="1" applyBorder="1" applyAlignment="1">
      <alignment horizontal="center"/>
    </xf>
    <xf numFmtId="11" fontId="4" fillId="0" borderId="15" xfId="0" applyNumberFormat="1" applyFont="1" applyBorder="1" applyAlignment="1">
      <alignment horizontal="center"/>
    </xf>
    <xf numFmtId="11" fontId="4" fillId="0" borderId="11" xfId="0" applyNumberFormat="1" applyFont="1" applyBorder="1" applyAlignment="1">
      <alignment horizontal="center"/>
    </xf>
    <xf numFmtId="11" fontId="4" fillId="0" borderId="57" xfId="0" applyNumberFormat="1" applyFont="1" applyBorder="1" applyAlignment="1">
      <alignment horizontal="center"/>
    </xf>
    <xf numFmtId="11" fontId="4" fillId="2" borderId="7" xfId="0" applyNumberFormat="1" applyFont="1" applyFill="1" applyBorder="1" applyAlignment="1">
      <alignment horizontal="center"/>
    </xf>
    <xf numFmtId="11" fontId="4" fillId="2" borderId="8" xfId="0" applyNumberFormat="1" applyFont="1" applyFill="1" applyBorder="1" applyAlignment="1">
      <alignment horizontal="center"/>
    </xf>
    <xf numFmtId="165" fontId="4" fillId="8" borderId="42" xfId="0" applyNumberFormat="1" applyFont="1" applyFill="1" applyBorder="1" applyAlignment="1">
      <alignment horizontal="center"/>
    </xf>
    <xf numFmtId="165" fontId="4" fillId="8" borderId="50" xfId="0" applyNumberFormat="1" applyFont="1" applyFill="1" applyBorder="1" applyAlignment="1">
      <alignment horizontal="center"/>
    </xf>
    <xf numFmtId="165" fontId="4" fillId="8" borderId="43" xfId="0" applyNumberFormat="1" applyFont="1" applyFill="1" applyBorder="1" applyAlignment="1">
      <alignment horizontal="center"/>
    </xf>
    <xf numFmtId="165" fontId="4" fillId="8" borderId="41" xfId="0" applyNumberFormat="1" applyFont="1" applyFill="1" applyBorder="1" applyAlignment="1">
      <alignment horizontal="center"/>
    </xf>
    <xf numFmtId="165" fontId="52" fillId="2" borderId="37" xfId="28255" applyNumberFormat="1" applyFont="1" applyFill="1" applyBorder="1" applyAlignment="1">
      <alignment horizontal="center" vertical="center"/>
    </xf>
    <xf numFmtId="165" fontId="52" fillId="2" borderId="8" xfId="28255" applyNumberFormat="1" applyFont="1" applyFill="1" applyBorder="1" applyAlignment="1">
      <alignment horizontal="center" vertical="center"/>
    </xf>
    <xf numFmtId="165" fontId="32" fillId="12" borderId="42" xfId="28255" applyNumberFormat="1" applyFont="1" applyFill="1" applyBorder="1" applyAlignment="1">
      <alignment horizontal="center" vertical="center"/>
    </xf>
    <xf numFmtId="165" fontId="32" fillId="12" borderId="50" xfId="28255" applyNumberFormat="1" applyFont="1" applyFill="1" applyBorder="1" applyAlignment="1">
      <alignment horizontal="center" vertical="center"/>
    </xf>
    <xf numFmtId="11" fontId="4" fillId="0" borderId="61" xfId="0" applyNumberFormat="1" applyFont="1" applyBorder="1" applyAlignment="1">
      <alignment horizontal="center" vertical="center"/>
    </xf>
    <xf numFmtId="11" fontId="4" fillId="0" borderId="42" xfId="0" applyNumberFormat="1" applyFont="1" applyBorder="1" applyAlignment="1">
      <alignment horizontal="center" vertical="center"/>
    </xf>
    <xf numFmtId="11" fontId="4" fillId="0" borderId="43" xfId="0" applyNumberFormat="1" applyFont="1" applyBorder="1" applyAlignment="1">
      <alignment horizontal="center" vertical="center"/>
    </xf>
    <xf numFmtId="11" fontId="4" fillId="0" borderId="40" xfId="0" applyNumberFormat="1" applyFont="1" applyBorder="1" applyAlignment="1">
      <alignment horizontal="center" vertical="center"/>
    </xf>
    <xf numFmtId="11" fontId="4" fillId="0" borderId="41" xfId="0" applyNumberFormat="1" applyFont="1" applyBorder="1" applyAlignment="1">
      <alignment horizontal="center" vertical="center"/>
    </xf>
    <xf numFmtId="11" fontId="52" fillId="2" borderId="112" xfId="28255" applyNumberFormat="1" applyFont="1" applyFill="1" applyBorder="1" applyAlignment="1">
      <alignment horizontal="center" vertical="center"/>
    </xf>
    <xf numFmtId="11" fontId="4" fillId="0" borderId="40" xfId="0" applyNumberFormat="1" applyFont="1" applyBorder="1" applyAlignment="1">
      <alignment horizontal="center"/>
    </xf>
    <xf numFmtId="11" fontId="1" fillId="0" borderId="53" xfId="0" applyNumberFormat="1" applyFont="1" applyBorder="1" applyAlignment="1">
      <alignment horizontal="center" vertical="center"/>
    </xf>
    <xf numFmtId="11" fontId="32" fillId="12" borderId="52" xfId="28255" applyNumberFormat="1" applyFont="1" applyFill="1" applyBorder="1" applyAlignment="1">
      <alignment horizontal="center" vertical="center"/>
    </xf>
    <xf numFmtId="11" fontId="32" fillId="12" borderId="10" xfId="28916" applyNumberFormat="1" applyFont="1" applyFill="1" applyBorder="1" applyAlignment="1">
      <alignment horizontal="center" vertical="center" wrapText="1"/>
    </xf>
    <xf numFmtId="11" fontId="32" fillId="10" borderId="28" xfId="28916" applyNumberFormat="1" applyFont="1" applyFill="1" applyBorder="1" applyAlignment="1">
      <alignment horizontal="center" vertical="center" wrapText="1"/>
    </xf>
    <xf numFmtId="11" fontId="32" fillId="10" borderId="41" xfId="28915" applyNumberFormat="1" applyFont="1" applyFill="1" applyBorder="1" applyAlignment="1">
      <alignment horizontal="center" vertical="center" wrapText="1"/>
    </xf>
    <xf numFmtId="166" fontId="24" fillId="9" borderId="10" xfId="0" applyNumberFormat="1" applyFont="1" applyFill="1" applyBorder="1" applyAlignment="1">
      <alignment horizontal="center" vertical="center"/>
    </xf>
    <xf numFmtId="1" fontId="24" fillId="9" borderId="13" xfId="0" applyNumberFormat="1" applyFont="1" applyFill="1" applyBorder="1" applyAlignment="1">
      <alignment horizontal="center" vertical="center"/>
    </xf>
    <xf numFmtId="1" fontId="24" fillId="9" borderId="10" xfId="0" applyNumberFormat="1" applyFont="1" applyFill="1" applyBorder="1" applyAlignment="1">
      <alignment horizontal="center" vertical="center"/>
    </xf>
    <xf numFmtId="11" fontId="24" fillId="6" borderId="10" xfId="0" applyNumberFormat="1" applyFont="1" applyFill="1" applyBorder="1" applyAlignment="1">
      <alignment horizontal="center" vertical="center"/>
    </xf>
    <xf numFmtId="11" fontId="1" fillId="6" borderId="13" xfId="0" applyNumberFormat="1" applyFont="1" applyFill="1" applyBorder="1" applyAlignment="1">
      <alignment horizontal="center"/>
    </xf>
    <xf numFmtId="11" fontId="1" fillId="3" borderId="13" xfId="0" applyNumberFormat="1" applyFont="1" applyFill="1" applyBorder="1" applyAlignment="1">
      <alignment horizontal="center"/>
    </xf>
    <xf numFmtId="11" fontId="1" fillId="6" borderId="10" xfId="0" applyNumberFormat="1" applyFont="1" applyFill="1" applyBorder="1" applyAlignment="1">
      <alignment horizontal="center"/>
    </xf>
    <xf numFmtId="11" fontId="1" fillId="3" borderId="10" xfId="0" applyNumberFormat="1" applyFont="1" applyFill="1" applyBorder="1" applyAlignment="1">
      <alignment horizontal="center"/>
    </xf>
    <xf numFmtId="1" fontId="1" fillId="0" borderId="52" xfId="0" applyNumberFormat="1" applyFont="1" applyBorder="1" applyAlignment="1">
      <alignment horizontal="left"/>
    </xf>
    <xf numFmtId="11" fontId="32" fillId="0" borderId="52" xfId="28915" applyNumberFormat="1" applyFont="1" applyBorder="1" applyAlignment="1">
      <alignment vertical="center"/>
    </xf>
    <xf numFmtId="11" fontId="5" fillId="3" borderId="10" xfId="0" applyNumberFormat="1" applyFont="1" applyFill="1" applyBorder="1" applyAlignment="1">
      <alignment horizontal="center" vertical="center"/>
    </xf>
    <xf numFmtId="11" fontId="4" fillId="0" borderId="54" xfId="0" applyNumberFormat="1" applyFont="1" applyBorder="1" applyAlignment="1">
      <alignment horizontal="center" vertical="center"/>
    </xf>
    <xf numFmtId="11" fontId="4" fillId="0" borderId="10" xfId="0" applyNumberFormat="1" applyFont="1" applyBorder="1" applyAlignment="1">
      <alignment horizontal="center"/>
    </xf>
    <xf numFmtId="11" fontId="4" fillId="0" borderId="54" xfId="0" applyNumberFormat="1" applyFont="1" applyBorder="1" applyAlignment="1">
      <alignment horizontal="center"/>
    </xf>
    <xf numFmtId="1" fontId="32" fillId="0" borderId="52" xfId="28255" applyNumberFormat="1" applyFont="1" applyBorder="1" applyAlignment="1">
      <alignment horizontal="left"/>
    </xf>
    <xf numFmtId="11" fontId="4" fillId="9" borderId="13" xfId="0" applyNumberFormat="1" applyFont="1" applyFill="1" applyBorder="1" applyAlignment="1">
      <alignment horizontal="center"/>
    </xf>
    <xf numFmtId="11" fontId="4" fillId="9" borderId="10" xfId="0" applyNumberFormat="1" applyFont="1" applyFill="1" applyBorder="1" applyAlignment="1">
      <alignment horizontal="center"/>
    </xf>
    <xf numFmtId="11" fontId="32" fillId="3" borderId="52" xfId="28915" applyNumberFormat="1" applyFont="1" applyFill="1" applyBorder="1" applyAlignment="1">
      <alignment horizontal="center" vertical="center" wrapText="1"/>
    </xf>
    <xf numFmtId="11" fontId="22" fillId="0" borderId="12" xfId="0" applyNumberFormat="1" applyFont="1" applyBorder="1" applyAlignment="1">
      <alignment horizontal="center" vertical="center"/>
    </xf>
    <xf numFmtId="11" fontId="22" fillId="0" borderId="13" xfId="0" applyNumberFormat="1" applyFont="1" applyBorder="1" applyAlignment="1">
      <alignment horizontal="center" vertical="center"/>
    </xf>
    <xf numFmtId="11" fontId="22" fillId="0" borderId="24" xfId="0" applyNumberFormat="1" applyFont="1" applyBorder="1" applyAlignment="1">
      <alignment horizontal="center" vertical="center"/>
    </xf>
    <xf numFmtId="11" fontId="22" fillId="0" borderId="9" xfId="0" applyNumberFormat="1" applyFont="1" applyBorder="1" applyAlignment="1">
      <alignment horizontal="center" vertical="center"/>
    </xf>
    <xf numFmtId="11" fontId="22" fillId="0" borderId="10" xfId="0" applyNumberFormat="1" applyFont="1" applyBorder="1" applyAlignment="1">
      <alignment horizontal="center" vertical="center"/>
    </xf>
    <xf numFmtId="11" fontId="22" fillId="0" borderId="54" xfId="0" applyNumberFormat="1" applyFont="1" applyBorder="1" applyAlignment="1">
      <alignment horizontal="center" vertical="center"/>
    </xf>
    <xf numFmtId="11" fontId="1" fillId="8" borderId="52" xfId="0" applyNumberFormat="1" applyFont="1" applyFill="1" applyBorder="1" applyAlignment="1">
      <alignment horizontal="center"/>
    </xf>
    <xf numFmtId="11" fontId="1" fillId="6" borderId="52" xfId="0" applyNumberFormat="1" applyFont="1" applyFill="1" applyBorder="1" applyAlignment="1">
      <alignment horizontal="center" vertical="center"/>
    </xf>
    <xf numFmtId="11" fontId="1" fillId="12" borderId="52" xfId="0" applyNumberFormat="1" applyFont="1" applyFill="1" applyBorder="1" applyAlignment="1">
      <alignment horizontal="center" vertical="center"/>
    </xf>
    <xf numFmtId="165" fontId="32" fillId="12" borderId="13" xfId="28915" applyNumberFormat="1" applyFont="1" applyFill="1" applyBorder="1" applyAlignment="1">
      <alignment horizontal="center" vertical="center" wrapText="1"/>
    </xf>
    <xf numFmtId="165" fontId="32" fillId="12" borderId="10" xfId="28915" applyNumberFormat="1" applyFont="1" applyFill="1" applyBorder="1" applyAlignment="1">
      <alignment horizontal="center" vertical="center" wrapText="1"/>
    </xf>
    <xf numFmtId="165" fontId="4" fillId="8" borderId="13" xfId="0" applyNumberFormat="1" applyFont="1" applyFill="1" applyBorder="1" applyAlignment="1">
      <alignment horizontal="center"/>
    </xf>
    <xf numFmtId="165" fontId="4" fillId="8" borderId="10" xfId="0" applyNumberFormat="1" applyFont="1" applyFill="1" applyBorder="1" applyAlignment="1">
      <alignment horizontal="center"/>
    </xf>
    <xf numFmtId="172" fontId="24" fillId="0" borderId="0" xfId="0" applyNumberFormat="1" applyFont="1" applyAlignment="1">
      <alignment horizontal="center" vertical="center"/>
    </xf>
    <xf numFmtId="164" fontId="32" fillId="11" borderId="13" xfId="28915" applyNumberFormat="1" applyFont="1" applyFill="1" applyBorder="1" applyAlignment="1">
      <alignment horizontal="center" vertical="center" wrapText="1"/>
    </xf>
    <xf numFmtId="164" fontId="32" fillId="11" borderId="11" xfId="28915" applyNumberFormat="1" applyFont="1" applyFill="1" applyBorder="1" applyAlignment="1">
      <alignment horizontal="center" vertical="center" wrapText="1"/>
    </xf>
    <xf numFmtId="164" fontId="32" fillId="11" borderId="13" xfId="28915" applyNumberFormat="1" applyFont="1" applyFill="1" applyBorder="1" applyAlignment="1">
      <alignment horizontal="center" vertical="center"/>
    </xf>
    <xf numFmtId="164" fontId="32" fillId="11" borderId="15" xfId="28915" applyNumberFormat="1" applyFont="1" applyFill="1" applyBorder="1" applyAlignment="1">
      <alignment horizontal="center" vertical="center" wrapText="1"/>
    </xf>
    <xf numFmtId="11" fontId="87" fillId="0" borderId="42" xfId="28915" applyNumberFormat="1" applyFont="1" applyBorder="1" applyAlignment="1">
      <alignment vertical="center" wrapText="1"/>
    </xf>
    <xf numFmtId="11" fontId="87" fillId="0" borderId="41" xfId="28915" applyNumberFormat="1" applyFont="1" applyBorder="1" applyAlignment="1">
      <alignment vertical="center" wrapText="1"/>
    </xf>
    <xf numFmtId="0" fontId="86" fillId="0" borderId="13" xfId="0" applyFont="1" applyBorder="1" applyAlignment="1">
      <alignment horizontal="left"/>
    </xf>
    <xf numFmtId="0" fontId="86" fillId="0" borderId="17" xfId="0" applyFont="1" applyBorder="1" applyAlignment="1">
      <alignment horizontal="left"/>
    </xf>
    <xf numFmtId="1" fontId="87" fillId="0" borderId="13" xfId="28255" applyNumberFormat="1" applyFont="1" applyBorder="1" applyAlignment="1">
      <alignment horizontal="left" vertical="center"/>
    </xf>
    <xf numFmtId="1" fontId="87" fillId="0" borderId="17" xfId="28255" applyNumberFormat="1" applyFont="1" applyBorder="1" applyAlignment="1">
      <alignment horizontal="left" vertical="center"/>
    </xf>
    <xf numFmtId="0" fontId="86" fillId="0" borderId="0" xfId="0" applyFont="1" applyAlignment="1">
      <alignment horizontal="left"/>
    </xf>
    <xf numFmtId="0" fontId="86" fillId="0" borderId="4" xfId="0" applyFont="1" applyBorder="1" applyAlignment="1">
      <alignment horizontal="left"/>
    </xf>
    <xf numFmtId="11" fontId="87" fillId="0" borderId="15" xfId="28915" applyNumberFormat="1" applyFont="1" applyBorder="1" applyAlignment="1">
      <alignment vertical="center"/>
    </xf>
    <xf numFmtId="11" fontId="87" fillId="0" borderId="17" xfId="28915" applyNumberFormat="1" applyFont="1" applyBorder="1" applyAlignment="1">
      <alignment vertical="center"/>
    </xf>
    <xf numFmtId="11" fontId="87" fillId="0" borderId="32" xfId="28915" applyNumberFormat="1" applyFont="1" applyBorder="1" applyAlignment="1">
      <alignment vertical="center"/>
    </xf>
    <xf numFmtId="11" fontId="87" fillId="0" borderId="34" xfId="28915" applyNumberFormat="1" applyFont="1" applyBorder="1" applyAlignment="1">
      <alignment vertical="center"/>
    </xf>
    <xf numFmtId="1" fontId="87" fillId="0" borderId="13" xfId="28915" applyNumberFormat="1" applyFont="1" applyBorder="1" applyAlignment="1">
      <alignment horizontal="left" vertical="center"/>
    </xf>
    <xf numFmtId="1" fontId="87" fillId="0" borderId="17" xfId="28915" applyNumberFormat="1" applyFont="1" applyBorder="1" applyAlignment="1">
      <alignment horizontal="left" vertical="center"/>
    </xf>
    <xf numFmtId="11" fontId="87" fillId="0" borderId="13" xfId="28915" applyNumberFormat="1" applyFont="1" applyBorder="1" applyAlignment="1">
      <alignment vertical="center"/>
    </xf>
    <xf numFmtId="1" fontId="87" fillId="0" borderId="13" xfId="28255" applyNumberFormat="1" applyFont="1" applyBorder="1" applyAlignment="1">
      <alignment horizontal="left"/>
    </xf>
    <xf numFmtId="1" fontId="87" fillId="0" borderId="17" xfId="28255" applyNumberFormat="1" applyFont="1" applyBorder="1" applyAlignment="1">
      <alignment horizontal="left"/>
    </xf>
    <xf numFmtId="1" fontId="86" fillId="0" borderId="13" xfId="0" applyNumberFormat="1" applyFont="1" applyBorder="1" applyAlignment="1">
      <alignment horizontal="left"/>
    </xf>
    <xf numFmtId="1" fontId="86" fillId="0" borderId="17" xfId="0" applyNumberFormat="1" applyFont="1" applyBorder="1" applyAlignment="1">
      <alignment horizontal="left"/>
    </xf>
    <xf numFmtId="1" fontId="86" fillId="0" borderId="13" xfId="0" applyNumberFormat="1" applyFont="1" applyBorder="1" applyAlignment="1">
      <alignment horizontal="left" vertical="center"/>
    </xf>
    <xf numFmtId="1" fontId="86" fillId="0" borderId="17" xfId="0" applyNumberFormat="1" applyFont="1" applyBorder="1" applyAlignment="1">
      <alignment horizontal="left" vertical="center"/>
    </xf>
    <xf numFmtId="11" fontId="4" fillId="13" borderId="42" xfId="0" applyNumberFormat="1" applyFont="1" applyFill="1" applyBorder="1" applyAlignment="1">
      <alignment horizontal="center" vertical="center"/>
    </xf>
    <xf numFmtId="11" fontId="4" fillId="13" borderId="24" xfId="0" applyNumberFormat="1" applyFont="1" applyFill="1" applyBorder="1" applyAlignment="1">
      <alignment horizontal="center" vertical="center"/>
    </xf>
    <xf numFmtId="165" fontId="1" fillId="0" borderId="53" xfId="0" applyNumberFormat="1" applyFont="1" applyBorder="1" applyAlignment="1">
      <alignment horizontal="center"/>
    </xf>
    <xf numFmtId="165" fontId="4" fillId="0" borderId="24" xfId="0" applyNumberFormat="1" applyFont="1" applyBorder="1" applyAlignment="1">
      <alignment horizontal="center"/>
    </xf>
    <xf numFmtId="165" fontId="4" fillId="0" borderId="56" xfId="0" applyNumberFormat="1" applyFont="1" applyBorder="1" applyAlignment="1">
      <alignment horizontal="center"/>
    </xf>
    <xf numFmtId="165" fontId="4" fillId="0" borderId="57" xfId="0" applyNumberFormat="1" applyFont="1" applyBorder="1" applyAlignment="1">
      <alignment horizontal="center"/>
    </xf>
    <xf numFmtId="165" fontId="4" fillId="0" borderId="53" xfId="0" applyNumberFormat="1" applyFont="1" applyBorder="1" applyAlignment="1">
      <alignment horizontal="center"/>
    </xf>
    <xf numFmtId="165" fontId="4" fillId="0" borderId="54" xfId="0" applyNumberFormat="1" applyFont="1" applyBorder="1" applyAlignment="1">
      <alignment horizontal="center"/>
    </xf>
    <xf numFmtId="165" fontId="4" fillId="0" borderId="55" xfId="0" applyNumberFormat="1" applyFont="1" applyBorder="1" applyAlignment="1">
      <alignment horizontal="center"/>
    </xf>
    <xf numFmtId="165" fontId="32" fillId="0" borderId="13" xfId="28915" applyNumberFormat="1" applyFont="1" applyBorder="1" applyAlignment="1">
      <alignment horizontal="center" vertical="center" wrapText="1"/>
    </xf>
    <xf numFmtId="11" fontId="32" fillId="6" borderId="19" xfId="28916" applyNumberFormat="1" applyFont="1" applyFill="1" applyBorder="1" applyAlignment="1">
      <alignment horizontal="center" vertical="center" wrapText="1"/>
    </xf>
    <xf numFmtId="0" fontId="32" fillId="0" borderId="78" xfId="28255" applyFont="1" applyBorder="1" applyAlignment="1">
      <alignment horizontal="center" vertical="center"/>
    </xf>
    <xf numFmtId="0" fontId="32" fillId="0" borderId="40" xfId="28255" applyFont="1" applyBorder="1" applyAlignment="1">
      <alignment horizontal="center" vertical="center"/>
    </xf>
    <xf numFmtId="0" fontId="32" fillId="0" borderId="57" xfId="28255" applyFont="1" applyBorder="1" applyAlignment="1">
      <alignment horizontal="left" vertical="center" wrapText="1"/>
    </xf>
    <xf numFmtId="11" fontId="32" fillId="8" borderId="11" xfId="28915" applyNumberFormat="1" applyFont="1" applyFill="1" applyBorder="1" applyAlignment="1">
      <alignment horizontal="center" vertical="center" wrapText="1"/>
    </xf>
    <xf numFmtId="166" fontId="24" fillId="9" borderId="11" xfId="0" applyNumberFormat="1" applyFont="1" applyFill="1" applyBorder="1" applyAlignment="1">
      <alignment horizontal="center" vertical="center"/>
    </xf>
    <xf numFmtId="11" fontId="24" fillId="0" borderId="57" xfId="0" applyNumberFormat="1" applyFont="1" applyBorder="1" applyAlignment="1">
      <alignment horizontal="center" vertical="center"/>
    </xf>
    <xf numFmtId="1" fontId="24" fillId="9" borderId="11" xfId="0" applyNumberFormat="1" applyFont="1" applyFill="1" applyBorder="1" applyAlignment="1">
      <alignment horizontal="center" vertical="center"/>
    </xf>
    <xf numFmtId="11" fontId="24" fillId="6" borderId="11" xfId="0" applyNumberFormat="1" applyFont="1" applyFill="1" applyBorder="1" applyAlignment="1">
      <alignment horizontal="center" vertical="center"/>
    </xf>
    <xf numFmtId="11" fontId="24" fillId="6" borderId="57" xfId="0" applyNumberFormat="1" applyFont="1" applyFill="1" applyBorder="1" applyAlignment="1">
      <alignment horizontal="center" vertical="center"/>
    </xf>
    <xf numFmtId="11" fontId="1" fillId="12" borderId="11" xfId="0" applyNumberFormat="1" applyFont="1" applyFill="1" applyBorder="1" applyAlignment="1">
      <alignment horizontal="center"/>
    </xf>
    <xf numFmtId="11" fontId="1" fillId="6" borderId="11" xfId="0" applyNumberFormat="1" applyFont="1" applyFill="1" applyBorder="1" applyAlignment="1">
      <alignment horizontal="center"/>
    </xf>
    <xf numFmtId="11" fontId="1" fillId="3" borderId="11" xfId="0" applyNumberFormat="1" applyFont="1" applyFill="1" applyBorder="1" applyAlignment="1">
      <alignment horizontal="center"/>
    </xf>
    <xf numFmtId="11" fontId="5" fillId="3" borderId="11" xfId="0" applyNumberFormat="1" applyFont="1" applyFill="1" applyBorder="1" applyAlignment="1">
      <alignment horizontal="center" vertical="center"/>
    </xf>
    <xf numFmtId="11" fontId="4" fillId="3" borderId="11" xfId="0" applyNumberFormat="1" applyFont="1" applyFill="1" applyBorder="1" applyAlignment="1">
      <alignment horizontal="center" vertical="center"/>
    </xf>
    <xf numFmtId="11" fontId="5" fillId="0" borderId="11" xfId="0" applyNumberFormat="1" applyFont="1" applyBorder="1" applyAlignment="1">
      <alignment horizontal="center" vertical="center"/>
    </xf>
    <xf numFmtId="11" fontId="5" fillId="8" borderId="11" xfId="0" applyNumberFormat="1" applyFont="1" applyFill="1" applyBorder="1" applyAlignment="1">
      <alignment horizontal="center" vertical="center"/>
    </xf>
    <xf numFmtId="11" fontId="4" fillId="8" borderId="11" xfId="0" applyNumberFormat="1" applyFont="1" applyFill="1" applyBorder="1" applyAlignment="1">
      <alignment horizontal="center"/>
    </xf>
    <xf numFmtId="11" fontId="4" fillId="9" borderId="11" xfId="0" applyNumberFormat="1" applyFont="1" applyFill="1" applyBorder="1" applyAlignment="1">
      <alignment horizontal="center"/>
    </xf>
    <xf numFmtId="11" fontId="22" fillId="0" borderId="109" xfId="0" applyNumberFormat="1" applyFont="1" applyBorder="1" applyAlignment="1">
      <alignment horizontal="center" vertical="center"/>
    </xf>
    <xf numFmtId="11" fontId="22" fillId="0" borderId="11" xfId="0" applyNumberFormat="1" applyFont="1" applyBorder="1" applyAlignment="1">
      <alignment horizontal="center" vertical="center"/>
    </xf>
    <xf numFmtId="11" fontId="22" fillId="0" borderId="57" xfId="0" applyNumberFormat="1" applyFont="1" applyBorder="1" applyAlignment="1">
      <alignment horizontal="center" vertical="center"/>
    </xf>
    <xf numFmtId="165" fontId="32" fillId="12" borderId="11" xfId="28915" applyNumberFormat="1" applyFont="1" applyFill="1" applyBorder="1" applyAlignment="1">
      <alignment horizontal="center" vertical="center" wrapText="1"/>
    </xf>
    <xf numFmtId="165" fontId="5" fillId="9" borderId="11" xfId="0" applyNumberFormat="1" applyFont="1" applyFill="1" applyBorder="1" applyAlignment="1">
      <alignment horizontal="center" vertical="center"/>
    </xf>
    <xf numFmtId="165" fontId="4" fillId="8" borderId="11" xfId="0" applyNumberFormat="1" applyFont="1" applyFill="1" applyBorder="1" applyAlignment="1">
      <alignment horizontal="center"/>
    </xf>
    <xf numFmtId="0" fontId="1" fillId="2" borderId="99" xfId="0" applyFont="1" applyFill="1" applyBorder="1" applyAlignment="1">
      <alignment horizontal="center"/>
    </xf>
    <xf numFmtId="0" fontId="0" fillId="2" borderId="105" xfId="0" applyFill="1" applyBorder="1" applyAlignment="1">
      <alignment horizontal="center"/>
    </xf>
    <xf numFmtId="0" fontId="12" fillId="0" borderId="0" xfId="0" applyFont="1" applyAlignment="1">
      <alignment horizontal="center"/>
    </xf>
    <xf numFmtId="0" fontId="1" fillId="0" borderId="105" xfId="0" applyFont="1" applyBorder="1" applyAlignment="1">
      <alignment horizontal="center"/>
    </xf>
    <xf numFmtId="0" fontId="0" fillId="0" borderId="107" xfId="0" applyBorder="1" applyAlignment="1">
      <alignment horizontal="center"/>
    </xf>
    <xf numFmtId="11" fontId="1" fillId="0" borderId="98" xfId="0" applyNumberFormat="1" applyFont="1" applyBorder="1" applyAlignment="1">
      <alignment horizontal="center"/>
    </xf>
    <xf numFmtId="168" fontId="56" fillId="0" borderId="0" xfId="28255" applyNumberFormat="1" applyFont="1" applyAlignment="1">
      <alignment horizontal="left" wrapText="1"/>
    </xf>
    <xf numFmtId="168" fontId="34" fillId="2" borderId="38" xfId="28255" applyNumberFormat="1" applyFont="1" applyFill="1" applyBorder="1" applyAlignment="1">
      <alignment horizontal="center" vertical="center" wrapText="1"/>
    </xf>
    <xf numFmtId="168" fontId="32" fillId="12" borderId="21" xfId="28915" applyNumberFormat="1" applyFont="1" applyFill="1" applyBorder="1" applyAlignment="1">
      <alignment horizontal="center" vertical="center" wrapText="1"/>
    </xf>
    <xf numFmtId="168" fontId="32" fillId="12" borderId="19" xfId="28915" applyNumberFormat="1" applyFont="1" applyFill="1" applyBorder="1" applyAlignment="1">
      <alignment horizontal="center" vertical="center" wrapText="1"/>
    </xf>
    <xf numFmtId="168" fontId="32" fillId="12" borderId="58" xfId="28255" applyNumberFormat="1" applyFont="1" applyFill="1" applyBorder="1" applyAlignment="1">
      <alignment horizontal="center" vertical="center" wrapText="1"/>
    </xf>
    <xf numFmtId="168" fontId="32" fillId="12" borderId="21" xfId="28255" applyNumberFormat="1" applyFont="1" applyFill="1" applyBorder="1" applyAlignment="1">
      <alignment horizontal="center" vertical="center" wrapText="1"/>
    </xf>
    <xf numFmtId="168" fontId="32" fillId="12" borderId="21" xfId="28255" applyNumberFormat="1" applyFont="1" applyFill="1" applyBorder="1" applyAlignment="1">
      <alignment horizontal="center" vertical="center"/>
    </xf>
    <xf numFmtId="168" fontId="32" fillId="12" borderId="19" xfId="28255" applyNumberFormat="1" applyFont="1" applyFill="1" applyBorder="1" applyAlignment="1">
      <alignment horizontal="center" vertical="center"/>
    </xf>
    <xf numFmtId="168" fontId="32" fillId="12" borderId="11" xfId="28255" applyNumberFormat="1" applyFont="1" applyFill="1" applyBorder="1" applyAlignment="1">
      <alignment horizontal="center" vertical="center"/>
    </xf>
    <xf numFmtId="168" fontId="32" fillId="12" borderId="13" xfId="28255" applyNumberFormat="1" applyFont="1" applyFill="1" applyBorder="1" applyAlignment="1">
      <alignment horizontal="center" vertical="center"/>
    </xf>
    <xf numFmtId="168" fontId="32" fillId="12" borderId="10" xfId="28255" applyNumberFormat="1" applyFont="1" applyFill="1" applyBorder="1" applyAlignment="1">
      <alignment horizontal="center" vertical="center"/>
    </xf>
    <xf numFmtId="168" fontId="32" fillId="12" borderId="20" xfId="28915" applyNumberFormat="1" applyFont="1" applyFill="1" applyBorder="1" applyAlignment="1">
      <alignment horizontal="center" vertical="center" wrapText="1"/>
    </xf>
    <xf numFmtId="168" fontId="32" fillId="12" borderId="13" xfId="28915" applyNumberFormat="1" applyFont="1" applyFill="1" applyBorder="1" applyAlignment="1">
      <alignment horizontal="center" vertical="center" wrapText="1"/>
    </xf>
    <xf numFmtId="168" fontId="32" fillId="12" borderId="11" xfId="28915" applyNumberFormat="1" applyFont="1" applyFill="1" applyBorder="1" applyAlignment="1">
      <alignment horizontal="center" vertical="center" wrapText="1"/>
    </xf>
    <xf numFmtId="168" fontId="32" fillId="12" borderId="18" xfId="28915" applyNumberFormat="1" applyFont="1" applyFill="1" applyBorder="1" applyAlignment="1">
      <alignment horizontal="center" vertical="center" wrapText="1"/>
    </xf>
    <xf numFmtId="168" fontId="32" fillId="12" borderId="52" xfId="28915" applyNumberFormat="1" applyFont="1" applyFill="1" applyBorder="1" applyAlignment="1">
      <alignment horizontal="center" vertical="center" wrapText="1"/>
    </xf>
    <xf numFmtId="168" fontId="32" fillId="12" borderId="10" xfId="28915" applyNumberFormat="1" applyFont="1" applyFill="1" applyBorder="1" applyAlignment="1">
      <alignment horizontal="center" vertical="center" wrapText="1"/>
    </xf>
    <xf numFmtId="168" fontId="32" fillId="12" borderId="58" xfId="28915" applyNumberFormat="1" applyFont="1" applyFill="1" applyBorder="1" applyAlignment="1">
      <alignment horizontal="center" vertical="center" wrapText="1"/>
    </xf>
    <xf numFmtId="168" fontId="32" fillId="12" borderId="52" xfId="28916" applyNumberFormat="1" applyFont="1" applyFill="1" applyBorder="1" applyAlignment="1">
      <alignment horizontal="center" vertical="center" wrapText="1"/>
    </xf>
    <xf numFmtId="168" fontId="32" fillId="12" borderId="13" xfId="28916" applyNumberFormat="1" applyFont="1" applyFill="1" applyBorder="1" applyAlignment="1">
      <alignment horizontal="center" vertical="center" wrapText="1"/>
    </xf>
    <xf numFmtId="168" fontId="32" fillId="12" borderId="17" xfId="28915" applyNumberFormat="1" applyFont="1" applyFill="1" applyBorder="1" applyAlignment="1">
      <alignment horizontal="center" vertical="center" wrapText="1"/>
    </xf>
    <xf numFmtId="168" fontId="32" fillId="0" borderId="0" xfId="28255" applyNumberFormat="1" applyFont="1" applyAlignment="1">
      <alignment horizontal="center" vertical="center" wrapText="1"/>
    </xf>
    <xf numFmtId="168" fontId="1" fillId="0" borderId="0" xfId="0" applyNumberFormat="1" applyFont="1" applyAlignment="1">
      <alignment horizontal="center" vertical="center" wrapText="1"/>
    </xf>
    <xf numFmtId="0" fontId="32" fillId="0" borderId="1" xfId="28915" applyFont="1" applyBorder="1" applyAlignment="1">
      <alignment horizontal="center" vertical="center" wrapText="1"/>
    </xf>
    <xf numFmtId="0" fontId="32" fillId="0" borderId="16" xfId="28915" applyFont="1" applyBorder="1" applyAlignment="1">
      <alignment horizontal="center" vertical="center" wrapText="1"/>
    </xf>
    <xf numFmtId="11" fontId="24" fillId="0" borderId="28" xfId="0" applyNumberFormat="1" applyFont="1" applyBorder="1" applyAlignment="1">
      <alignment horizontal="left" wrapText="1"/>
    </xf>
    <xf numFmtId="2" fontId="32" fillId="11" borderId="42" xfId="28255" applyNumberFormat="1" applyFont="1" applyFill="1" applyBorder="1" applyAlignment="1">
      <alignment horizontal="center" vertical="center"/>
    </xf>
    <xf numFmtId="1" fontId="32" fillId="12" borderId="40" xfId="28915" applyNumberFormat="1" applyFont="1" applyFill="1" applyBorder="1" applyAlignment="1">
      <alignment horizontal="center" vertical="center" wrapText="1"/>
    </xf>
    <xf numFmtId="1" fontId="32" fillId="12" borderId="42" xfId="28915" applyNumberFormat="1" applyFont="1" applyFill="1" applyBorder="1" applyAlignment="1">
      <alignment horizontal="center" vertical="center" wrapText="1"/>
    </xf>
    <xf numFmtId="1" fontId="32" fillId="12" borderId="43" xfId="28915" applyNumberFormat="1" applyFont="1" applyFill="1" applyBorder="1" applyAlignment="1">
      <alignment horizontal="center" vertical="center" wrapText="1"/>
    </xf>
    <xf numFmtId="1" fontId="32" fillId="12" borderId="61" xfId="28255" applyNumberFormat="1" applyFont="1" applyFill="1" applyBorder="1" applyAlignment="1">
      <alignment horizontal="center" vertical="center"/>
    </xf>
    <xf numFmtId="1" fontId="32" fillId="12" borderId="42" xfId="28255" applyNumberFormat="1" applyFont="1" applyFill="1" applyBorder="1" applyAlignment="1">
      <alignment horizontal="center" vertical="center"/>
    </xf>
    <xf numFmtId="1" fontId="32" fillId="12" borderId="32" xfId="28255" applyNumberFormat="1" applyFont="1" applyFill="1" applyBorder="1" applyAlignment="1">
      <alignment horizontal="center" vertical="center"/>
    </xf>
    <xf numFmtId="1" fontId="32" fillId="12" borderId="49" xfId="28255" applyNumberFormat="1" applyFont="1" applyFill="1" applyBorder="1" applyAlignment="1">
      <alignment horizontal="center" vertical="center"/>
    </xf>
    <xf numFmtId="1" fontId="32" fillId="12" borderId="28" xfId="28255" applyNumberFormat="1" applyFont="1" applyFill="1" applyBorder="1" applyAlignment="1">
      <alignment horizontal="center" vertical="center"/>
    </xf>
    <xf numFmtId="1" fontId="32" fillId="12" borderId="43" xfId="28255" applyNumberFormat="1" applyFont="1" applyFill="1" applyBorder="1" applyAlignment="1">
      <alignment horizontal="center" vertical="center"/>
    </xf>
    <xf numFmtId="1" fontId="32" fillId="12" borderId="50" xfId="28255" applyNumberFormat="1" applyFont="1" applyFill="1" applyBorder="1" applyAlignment="1">
      <alignment horizontal="center" vertical="center"/>
    </xf>
    <xf numFmtId="2" fontId="32" fillId="12" borderId="40" xfId="28915" applyNumberFormat="1" applyFont="1" applyFill="1" applyBorder="1" applyAlignment="1">
      <alignment horizontal="center" vertical="center" wrapText="1"/>
    </xf>
    <xf numFmtId="168" fontId="32" fillId="12" borderId="40" xfId="28915" applyNumberFormat="1" applyFont="1" applyFill="1" applyBorder="1" applyAlignment="1">
      <alignment horizontal="center" vertical="center" wrapText="1"/>
    </xf>
    <xf numFmtId="1" fontId="32" fillId="12" borderId="28" xfId="28915" applyNumberFormat="1" applyFont="1" applyFill="1" applyBorder="1" applyAlignment="1">
      <alignment horizontal="center" vertical="center" wrapText="1"/>
    </xf>
    <xf numFmtId="1" fontId="32" fillId="12" borderId="61" xfId="28915" applyNumberFormat="1" applyFont="1" applyFill="1" applyBorder="1" applyAlignment="1">
      <alignment horizontal="center" vertical="center" wrapText="1"/>
    </xf>
    <xf numFmtId="1" fontId="32" fillId="12" borderId="42" xfId="28915" applyNumberFormat="1" applyFont="1" applyFill="1" applyBorder="1" applyAlignment="1">
      <alignment horizontal="center" vertical="center"/>
    </xf>
    <xf numFmtId="1" fontId="32" fillId="12" borderId="50" xfId="28915" applyNumberFormat="1" applyFont="1" applyFill="1" applyBorder="1" applyAlignment="1">
      <alignment horizontal="center" vertical="center" wrapText="1"/>
    </xf>
    <xf numFmtId="1" fontId="32" fillId="12" borderId="61" xfId="28916" applyNumberFormat="1" applyFont="1" applyFill="1" applyBorder="1" applyAlignment="1">
      <alignment horizontal="center" vertical="center" wrapText="1"/>
    </xf>
    <xf numFmtId="1" fontId="32" fillId="12" borderId="42" xfId="28916" applyNumberFormat="1" applyFont="1" applyFill="1" applyBorder="1" applyAlignment="1">
      <alignment horizontal="center" vertical="center" wrapText="1"/>
    </xf>
    <xf numFmtId="1" fontId="32" fillId="12" borderId="43" xfId="28916" applyNumberFormat="1" applyFont="1" applyFill="1" applyBorder="1" applyAlignment="1">
      <alignment horizontal="center" vertical="center" wrapText="1"/>
    </xf>
    <xf numFmtId="1" fontId="32" fillId="12" borderId="41" xfId="28915" applyNumberFormat="1" applyFont="1" applyFill="1" applyBorder="1" applyAlignment="1">
      <alignment horizontal="center" vertical="center" wrapText="1"/>
    </xf>
    <xf numFmtId="11" fontId="32" fillId="10" borderId="49" xfId="28255" applyNumberFormat="1" applyFont="1" applyFill="1" applyBorder="1" applyAlignment="1">
      <alignment horizontal="center" vertical="center"/>
    </xf>
    <xf numFmtId="11" fontId="32" fillId="10" borderId="40" xfId="28255" applyNumberFormat="1" applyFont="1" applyFill="1" applyBorder="1" applyAlignment="1">
      <alignment horizontal="center" vertical="center"/>
    </xf>
    <xf numFmtId="11" fontId="32" fillId="10" borderId="50" xfId="28255" applyNumberFormat="1" applyFont="1" applyFill="1" applyBorder="1" applyAlignment="1">
      <alignment horizontal="center" vertical="center"/>
    </xf>
    <xf numFmtId="11" fontId="32" fillId="10" borderId="25" xfId="28916" applyNumberFormat="1" applyFont="1" applyFill="1" applyBorder="1" applyAlignment="1">
      <alignment horizontal="center" vertical="center" wrapText="1"/>
    </xf>
    <xf numFmtId="0" fontId="86" fillId="0" borderId="52" xfId="0" applyFont="1" applyBorder="1" applyAlignment="1">
      <alignment horizontal="left"/>
    </xf>
    <xf numFmtId="1" fontId="87" fillId="0" borderId="11" xfId="28255" applyNumberFormat="1" applyFont="1" applyBorder="1" applyAlignment="1">
      <alignment horizontal="left" vertical="center"/>
    </xf>
    <xf numFmtId="11" fontId="87" fillId="0" borderId="40" xfId="28915" applyNumberFormat="1" applyFont="1" applyBorder="1" applyAlignment="1">
      <alignment vertical="center" wrapText="1"/>
    </xf>
    <xf numFmtId="11" fontId="87" fillId="0" borderId="43" xfId="28915" applyNumberFormat="1" applyFont="1" applyBorder="1" applyAlignment="1">
      <alignment vertical="center" wrapText="1"/>
    </xf>
    <xf numFmtId="11" fontId="87" fillId="0" borderId="25" xfId="28915" applyNumberFormat="1" applyFont="1" applyBorder="1" applyAlignment="1">
      <alignment vertical="center" wrapText="1"/>
    </xf>
    <xf numFmtId="11" fontId="87" fillId="0" borderId="15" xfId="28915" applyNumberFormat="1" applyFont="1" applyBorder="1" applyAlignment="1">
      <alignment vertical="center" wrapText="1"/>
    </xf>
    <xf numFmtId="11" fontId="87" fillId="0" borderId="62" xfId="28915" applyNumberFormat="1" applyFont="1" applyBorder="1" applyAlignment="1">
      <alignment vertical="center" wrapText="1"/>
    </xf>
    <xf numFmtId="11" fontId="87" fillId="0" borderId="32" xfId="28915" applyNumberFormat="1" applyFont="1" applyBorder="1" applyAlignment="1">
      <alignment vertical="center" wrapText="1"/>
    </xf>
    <xf numFmtId="1" fontId="87" fillId="0" borderId="11" xfId="28915" applyNumberFormat="1" applyFont="1" applyBorder="1" applyAlignment="1">
      <alignment horizontal="left" vertical="center"/>
    </xf>
    <xf numFmtId="11" fontId="87" fillId="0" borderId="11" xfId="28915" applyNumberFormat="1" applyFont="1" applyBorder="1" applyAlignment="1">
      <alignment vertical="center" wrapText="1"/>
    </xf>
    <xf numFmtId="11" fontId="87" fillId="0" borderId="13" xfId="28915" applyNumberFormat="1" applyFont="1" applyBorder="1" applyAlignment="1">
      <alignment vertical="center" wrapText="1"/>
    </xf>
    <xf numFmtId="1" fontId="87" fillId="0" borderId="11" xfId="28255" applyNumberFormat="1" applyFont="1" applyBorder="1" applyAlignment="1">
      <alignment horizontal="left"/>
    </xf>
    <xf numFmtId="1" fontId="86" fillId="0" borderId="11" xfId="0" applyNumberFormat="1" applyFont="1" applyBorder="1" applyAlignment="1">
      <alignment horizontal="left"/>
    </xf>
    <xf numFmtId="1" fontId="86" fillId="0" borderId="11" xfId="0" applyNumberFormat="1" applyFont="1" applyBorder="1" applyAlignment="1">
      <alignment horizontal="left" vertical="center"/>
    </xf>
    <xf numFmtId="11" fontId="0" fillId="0" borderId="61" xfId="0" applyNumberFormat="1" applyBorder="1" applyAlignment="1">
      <alignment horizontal="center" vertical="center"/>
    </xf>
    <xf numFmtId="11" fontId="0" fillId="0" borderId="42" xfId="0" applyNumberFormat="1" applyBorder="1" applyAlignment="1">
      <alignment horizontal="center" vertical="center"/>
    </xf>
    <xf numFmtId="11" fontId="0" fillId="0" borderId="43" xfId="0" applyNumberFormat="1" applyBorder="1" applyAlignment="1">
      <alignment horizontal="center" vertical="center"/>
    </xf>
    <xf numFmtId="11" fontId="0" fillId="0" borderId="40" xfId="0" applyNumberFormat="1" applyBorder="1" applyAlignment="1">
      <alignment horizontal="center" vertical="center"/>
    </xf>
    <xf numFmtId="11" fontId="0" fillId="0" borderId="50" xfId="0" applyNumberFormat="1" applyBorder="1" applyAlignment="1">
      <alignment horizontal="center" vertical="center"/>
    </xf>
    <xf numFmtId="11" fontId="0" fillId="0" borderId="41" xfId="0" applyNumberFormat="1" applyBorder="1" applyAlignment="1">
      <alignment horizontal="center" vertical="center"/>
    </xf>
    <xf numFmtId="0" fontId="33" fillId="5" borderId="72" xfId="28255" applyFont="1" applyFill="1" applyBorder="1" applyAlignment="1">
      <alignment horizontal="center" wrapText="1"/>
    </xf>
    <xf numFmtId="0" fontId="33" fillId="5" borderId="82" xfId="0" applyFont="1" applyFill="1" applyBorder="1" applyAlignment="1">
      <alignment horizontal="center" wrapText="1"/>
    </xf>
    <xf numFmtId="0" fontId="33" fillId="5" borderId="71" xfId="0" applyFont="1" applyFill="1" applyBorder="1" applyAlignment="1">
      <alignment horizontal="center" wrapText="1"/>
    </xf>
    <xf numFmtId="165" fontId="33" fillId="5" borderId="84" xfId="28255" applyNumberFormat="1" applyFont="1" applyFill="1" applyBorder="1" applyAlignment="1">
      <alignment horizontal="center" wrapText="1"/>
    </xf>
    <xf numFmtId="0" fontId="33" fillId="5" borderId="84" xfId="0" applyFont="1" applyFill="1" applyBorder="1" applyAlignment="1">
      <alignment horizontal="center" wrapText="1"/>
    </xf>
    <xf numFmtId="165" fontId="33" fillId="5" borderId="82" xfId="28255" applyNumberFormat="1" applyFont="1" applyFill="1" applyBorder="1" applyAlignment="1">
      <alignment horizontal="center" wrapText="1"/>
    </xf>
    <xf numFmtId="165" fontId="33" fillId="5" borderId="70" xfId="0" applyNumberFormat="1" applyFont="1" applyFill="1" applyBorder="1" applyAlignment="1">
      <alignment horizontal="center" wrapText="1"/>
    </xf>
    <xf numFmtId="0" fontId="72" fillId="5" borderId="86" xfId="0" applyFont="1" applyFill="1" applyBorder="1" applyAlignment="1">
      <alignment horizontal="center" textRotation="90" wrapText="1"/>
    </xf>
    <xf numFmtId="0" fontId="72" fillId="5" borderId="87" xfId="0" applyFont="1" applyFill="1" applyBorder="1" applyAlignment="1">
      <alignment horizontal="center" textRotation="90" wrapText="1"/>
    </xf>
    <xf numFmtId="0" fontId="72" fillId="5" borderId="90" xfId="0" applyFont="1" applyFill="1" applyBorder="1" applyAlignment="1">
      <alignment horizontal="center" textRotation="90" wrapText="1"/>
    </xf>
    <xf numFmtId="0" fontId="72" fillId="5" borderId="88" xfId="0" applyFont="1" applyFill="1" applyBorder="1" applyAlignment="1">
      <alignment horizontal="center" textRotation="90" wrapText="1"/>
    </xf>
    <xf numFmtId="0" fontId="72" fillId="5" borderId="64" xfId="0" applyFont="1" applyFill="1" applyBorder="1" applyAlignment="1">
      <alignment horizontal="center" textRotation="90" wrapText="1"/>
    </xf>
    <xf numFmtId="0" fontId="72" fillId="5" borderId="76" xfId="0" applyFont="1" applyFill="1" applyBorder="1" applyAlignment="1">
      <alignment horizontal="center" textRotation="90" wrapText="1"/>
    </xf>
    <xf numFmtId="0" fontId="72" fillId="5" borderId="39" xfId="0" applyFont="1" applyFill="1" applyBorder="1" applyAlignment="1">
      <alignment horizontal="center" textRotation="90" wrapText="1"/>
    </xf>
    <xf numFmtId="0" fontId="72" fillId="5" borderId="77" xfId="0" applyFont="1" applyFill="1" applyBorder="1" applyAlignment="1">
      <alignment horizontal="center" textRotation="90" wrapText="1"/>
    </xf>
    <xf numFmtId="0" fontId="45" fillId="5" borderId="96" xfId="0" applyFont="1" applyFill="1" applyBorder="1" applyAlignment="1">
      <alignment horizontal="center" wrapText="1"/>
    </xf>
    <xf numFmtId="0" fontId="33" fillId="5" borderId="82" xfId="28255" applyFont="1" applyFill="1" applyBorder="1" applyAlignment="1">
      <alignment horizontal="center" wrapText="1"/>
    </xf>
    <xf numFmtId="165" fontId="33" fillId="5" borderId="71" xfId="28255" applyNumberFormat="1" applyFont="1" applyFill="1" applyBorder="1" applyAlignment="1">
      <alignment horizontal="center" wrapText="1"/>
    </xf>
    <xf numFmtId="11" fontId="33" fillId="5" borderId="84" xfId="28255" applyNumberFormat="1" applyFont="1" applyFill="1" applyBorder="1" applyAlignment="1">
      <alignment horizontal="center" wrapText="1"/>
    </xf>
    <xf numFmtId="165" fontId="33" fillId="5" borderId="70" xfId="28255" applyNumberFormat="1" applyFont="1" applyFill="1" applyBorder="1" applyAlignment="1">
      <alignment horizontal="center" wrapText="1"/>
    </xf>
    <xf numFmtId="165" fontId="33" fillId="0" borderId="0" xfId="28255" applyNumberFormat="1" applyFont="1" applyAlignment="1">
      <alignment horizontal="center" wrapText="1"/>
    </xf>
    <xf numFmtId="0" fontId="33" fillId="5" borderId="71" xfId="28255" applyFont="1" applyFill="1" applyBorder="1" applyAlignment="1">
      <alignment horizontal="center"/>
    </xf>
    <xf numFmtId="0" fontId="33" fillId="5" borderId="71" xfId="28255" applyFont="1" applyFill="1" applyBorder="1" applyAlignment="1">
      <alignment horizontal="left" wrapText="1"/>
    </xf>
    <xf numFmtId="0" fontId="33" fillId="5" borderId="71" xfId="28255" applyFont="1" applyFill="1" applyBorder="1" applyAlignment="1">
      <alignment horizontal="center" wrapText="1"/>
    </xf>
    <xf numFmtId="0" fontId="33" fillId="5" borderId="70" xfId="28255" applyFont="1" applyFill="1" applyBorder="1" applyAlignment="1">
      <alignment horizontal="center" wrapText="1"/>
    </xf>
    <xf numFmtId="0" fontId="33" fillId="5" borderId="84" xfId="28255" applyFont="1" applyFill="1" applyBorder="1" applyAlignment="1">
      <alignment horizontal="center" wrapText="1"/>
    </xf>
    <xf numFmtId="11" fontId="33" fillId="5" borderId="82" xfId="28255" applyNumberFormat="1" applyFont="1" applyFill="1" applyBorder="1" applyAlignment="1">
      <alignment horizontal="center" wrapText="1"/>
    </xf>
    <xf numFmtId="11" fontId="65" fillId="5" borderId="82" xfId="28255" applyNumberFormat="1" applyFont="1" applyFill="1" applyBorder="1" applyAlignment="1">
      <alignment horizontal="center" wrapText="1"/>
    </xf>
    <xf numFmtId="168" fontId="33" fillId="5" borderId="82" xfId="28255" applyNumberFormat="1" applyFont="1" applyFill="1" applyBorder="1" applyAlignment="1">
      <alignment horizontal="center" wrapText="1"/>
    </xf>
    <xf numFmtId="11" fontId="33" fillId="5" borderId="71" xfId="28255" applyNumberFormat="1" applyFont="1" applyFill="1" applyBorder="1" applyAlignment="1">
      <alignment horizontal="center" wrapText="1"/>
    </xf>
    <xf numFmtId="1" fontId="33" fillId="5" borderId="84" xfId="28255" applyNumberFormat="1" applyFont="1" applyFill="1" applyBorder="1" applyAlignment="1">
      <alignment horizontal="center" wrapText="1"/>
    </xf>
    <xf numFmtId="1" fontId="33" fillId="5" borderId="71" xfId="28255" applyNumberFormat="1" applyFont="1" applyFill="1" applyBorder="1" applyAlignment="1">
      <alignment horizontal="center" wrapText="1"/>
    </xf>
    <xf numFmtId="2" fontId="33" fillId="5" borderId="71" xfId="28255" applyNumberFormat="1" applyFont="1" applyFill="1" applyBorder="1" applyAlignment="1">
      <alignment horizontal="center" wrapText="1"/>
    </xf>
    <xf numFmtId="2" fontId="33" fillId="5" borderId="84" xfId="28255" applyNumberFormat="1" applyFont="1" applyFill="1" applyBorder="1" applyAlignment="1">
      <alignment horizontal="center" wrapText="1"/>
    </xf>
    <xf numFmtId="11" fontId="33" fillId="5" borderId="70" xfId="28255" applyNumberFormat="1" applyFont="1" applyFill="1" applyBorder="1" applyAlignment="1">
      <alignment horizontal="center" wrapText="1"/>
    </xf>
    <xf numFmtId="11" fontId="33" fillId="5" borderId="84" xfId="0" applyNumberFormat="1" applyFont="1" applyFill="1" applyBorder="1" applyAlignment="1">
      <alignment horizontal="center" wrapText="1"/>
    </xf>
    <xf numFmtId="11" fontId="33" fillId="5" borderId="71" xfId="0" applyNumberFormat="1" applyFont="1" applyFill="1" applyBorder="1" applyAlignment="1">
      <alignment horizontal="center" wrapText="1"/>
    </xf>
    <xf numFmtId="11" fontId="33" fillId="5" borderId="70" xfId="0" applyNumberFormat="1" applyFont="1" applyFill="1" applyBorder="1" applyAlignment="1">
      <alignment horizontal="center" wrapText="1"/>
    </xf>
    <xf numFmtId="11" fontId="79" fillId="5" borderId="71" xfId="28255" applyNumberFormat="1" applyFont="1" applyFill="1" applyBorder="1" applyAlignment="1">
      <alignment horizontal="center" wrapText="1"/>
    </xf>
    <xf numFmtId="166" fontId="33" fillId="5" borderId="71" xfId="28255" applyNumberFormat="1" applyFont="1" applyFill="1" applyBorder="1" applyAlignment="1">
      <alignment horizontal="center" wrapText="1"/>
    </xf>
    <xf numFmtId="11" fontId="30" fillId="5" borderId="72" xfId="0" applyNumberFormat="1" applyFont="1" applyFill="1" applyBorder="1" applyAlignment="1">
      <alignment horizontal="center" wrapText="1"/>
    </xf>
    <xf numFmtId="11" fontId="72" fillId="5" borderId="71" xfId="0" applyNumberFormat="1" applyFont="1" applyFill="1" applyBorder="1" applyAlignment="1">
      <alignment horizontal="center" textRotation="90"/>
    </xf>
    <xf numFmtId="11" fontId="72" fillId="5" borderId="70" xfId="0" applyNumberFormat="1" applyFont="1" applyFill="1" applyBorder="1" applyAlignment="1">
      <alignment horizontal="center" textRotation="90"/>
    </xf>
    <xf numFmtId="11" fontId="75" fillId="5" borderId="86" xfId="0" applyNumberFormat="1" applyFont="1" applyFill="1" applyBorder="1" applyAlignment="1">
      <alignment horizontal="center" textRotation="90" wrapText="1"/>
    </xf>
    <xf numFmtId="11" fontId="75" fillId="5" borderId="87" xfId="0" applyNumberFormat="1" applyFont="1" applyFill="1" applyBorder="1" applyAlignment="1">
      <alignment textRotation="90"/>
    </xf>
    <xf numFmtId="11" fontId="75" fillId="5" borderId="90" xfId="0" applyNumberFormat="1" applyFont="1" applyFill="1" applyBorder="1" applyAlignment="1">
      <alignment textRotation="90"/>
    </xf>
    <xf numFmtId="11" fontId="75" fillId="5" borderId="88" xfId="0" applyNumberFormat="1" applyFont="1" applyFill="1" applyBorder="1" applyAlignment="1">
      <alignment textRotation="90"/>
    </xf>
    <xf numFmtId="11" fontId="30" fillId="5" borderId="82" xfId="0" applyNumberFormat="1" applyFont="1" applyFill="1" applyBorder="1" applyAlignment="1">
      <alignment horizontal="center" wrapText="1"/>
    </xf>
    <xf numFmtId="168" fontId="33" fillId="5" borderId="71" xfId="28255" applyNumberFormat="1" applyFont="1" applyFill="1" applyBorder="1" applyAlignment="1">
      <alignment horizontal="center" wrapText="1"/>
    </xf>
    <xf numFmtId="11" fontId="79" fillId="5" borderId="82" xfId="28255" applyNumberFormat="1" applyFont="1" applyFill="1" applyBorder="1" applyAlignment="1">
      <alignment horizontal="center" wrapText="1"/>
    </xf>
    <xf numFmtId="11" fontId="79" fillId="5" borderId="84" xfId="28255" applyNumberFormat="1" applyFont="1" applyFill="1" applyBorder="1" applyAlignment="1">
      <alignment horizontal="center" wrapText="1"/>
    </xf>
    <xf numFmtId="11" fontId="79" fillId="5" borderId="70" xfId="28255" applyNumberFormat="1" applyFont="1" applyFill="1" applyBorder="1" applyAlignment="1">
      <alignment horizontal="center" wrapText="1"/>
    </xf>
    <xf numFmtId="165" fontId="52" fillId="2" borderId="3" xfId="28255" applyNumberFormat="1" applyFont="1" applyFill="1" applyBorder="1" applyAlignment="1">
      <alignment horizontal="center" vertical="center"/>
    </xf>
    <xf numFmtId="165" fontId="1" fillId="8" borderId="52" xfId="0" applyNumberFormat="1" applyFont="1" applyFill="1" applyBorder="1" applyAlignment="1">
      <alignment horizontal="center" vertical="center"/>
    </xf>
    <xf numFmtId="165" fontId="5" fillId="8" borderId="13" xfId="0" applyNumberFormat="1" applyFont="1" applyFill="1" applyBorder="1" applyAlignment="1">
      <alignment horizontal="center" vertical="center"/>
    </xf>
    <xf numFmtId="165" fontId="5" fillId="8" borderId="52" xfId="0" applyNumberFormat="1" applyFont="1" applyFill="1" applyBorder="1" applyAlignment="1">
      <alignment horizontal="center" vertical="center"/>
    </xf>
    <xf numFmtId="165" fontId="5" fillId="8" borderId="10" xfId="0" applyNumberFormat="1" applyFont="1" applyFill="1" applyBorder="1" applyAlignment="1">
      <alignment horizontal="center" vertical="center"/>
    </xf>
    <xf numFmtId="165" fontId="24" fillId="8" borderId="13" xfId="0" applyNumberFormat="1" applyFont="1" applyFill="1" applyBorder="1" applyAlignment="1">
      <alignment horizontal="center" vertical="center"/>
    </xf>
    <xf numFmtId="165" fontId="24" fillId="8" borderId="52" xfId="0" applyNumberFormat="1" applyFont="1" applyFill="1" applyBorder="1" applyAlignment="1">
      <alignment horizontal="center" vertical="center"/>
    </xf>
    <xf numFmtId="165" fontId="20" fillId="8" borderId="13" xfId="0" applyNumberFormat="1" applyFont="1" applyFill="1" applyBorder="1" applyAlignment="1">
      <alignment horizontal="center" vertical="center"/>
    </xf>
    <xf numFmtId="165" fontId="21" fillId="8" borderId="13" xfId="0" applyNumberFormat="1" applyFont="1" applyFill="1" applyBorder="1" applyAlignment="1">
      <alignment horizontal="center" vertical="center"/>
    </xf>
    <xf numFmtId="165" fontId="5" fillId="8" borderId="11" xfId="0" applyNumberFormat="1" applyFont="1" applyFill="1" applyBorder="1" applyAlignment="1">
      <alignment horizontal="center" vertical="center"/>
    </xf>
    <xf numFmtId="165" fontId="21" fillId="8" borderId="15" xfId="0" applyNumberFormat="1" applyFont="1" applyFill="1" applyBorder="1" applyAlignment="1">
      <alignment horizontal="center" vertical="center"/>
    </xf>
    <xf numFmtId="165" fontId="20" fillId="8" borderId="52" xfId="0" applyNumberFormat="1" applyFont="1" applyFill="1" applyBorder="1" applyAlignment="1">
      <alignment horizontal="center" vertical="center"/>
    </xf>
    <xf numFmtId="165" fontId="20" fillId="8" borderId="17" xfId="0" applyNumberFormat="1" applyFont="1" applyFill="1" applyBorder="1" applyAlignment="1">
      <alignment horizontal="center" vertical="center"/>
    </xf>
    <xf numFmtId="11" fontId="34" fillId="2" borderId="0" xfId="28255" applyNumberFormat="1" applyFont="1" applyFill="1" applyAlignment="1">
      <alignment horizontal="center" vertical="center"/>
    </xf>
    <xf numFmtId="11" fontId="32" fillId="9" borderId="49" xfId="28255" applyNumberFormat="1" applyFont="1" applyFill="1" applyBorder="1" applyAlignment="1">
      <alignment horizontal="center" vertical="center"/>
    </xf>
    <xf numFmtId="11" fontId="32" fillId="9" borderId="40" xfId="28255" applyNumberFormat="1" applyFont="1" applyFill="1" applyBorder="1" applyAlignment="1">
      <alignment horizontal="center" vertical="center"/>
    </xf>
    <xf numFmtId="11" fontId="32" fillId="9" borderId="50" xfId="28255" applyNumberFormat="1" applyFont="1" applyFill="1" applyBorder="1" applyAlignment="1">
      <alignment horizontal="center" vertical="center"/>
    </xf>
    <xf numFmtId="11" fontId="1" fillId="9" borderId="41" xfId="0" applyNumberFormat="1" applyFont="1" applyFill="1" applyBorder="1" applyAlignment="1">
      <alignment horizontal="center"/>
    </xf>
    <xf numFmtId="11" fontId="32" fillId="8" borderId="61" xfId="28915" applyNumberFormat="1" applyFont="1" applyFill="1" applyBorder="1" applyAlignment="1">
      <alignment horizontal="center" vertical="center" wrapText="1"/>
    </xf>
    <xf numFmtId="11" fontId="32" fillId="8" borderId="42" xfId="28915" applyNumberFormat="1" applyFont="1" applyFill="1" applyBorder="1" applyAlignment="1">
      <alignment horizontal="center" vertical="center" wrapText="1"/>
    </xf>
    <xf numFmtId="11" fontId="32" fillId="8" borderId="50" xfId="28915" applyNumberFormat="1" applyFont="1" applyFill="1" applyBorder="1" applyAlignment="1">
      <alignment horizontal="center" vertical="center" wrapText="1"/>
    </xf>
    <xf numFmtId="0" fontId="0" fillId="0" borderId="2" xfId="0" applyBorder="1"/>
    <xf numFmtId="11" fontId="34" fillId="2" borderId="48" xfId="28255" applyNumberFormat="1" applyFont="1" applyFill="1" applyBorder="1" applyAlignment="1">
      <alignment horizontal="center" vertical="center"/>
    </xf>
    <xf numFmtId="11" fontId="34" fillId="2" borderId="113" xfId="28255" applyNumberFormat="1" applyFont="1" applyFill="1" applyBorder="1" applyAlignment="1">
      <alignment horizontal="center" vertical="center"/>
    </xf>
    <xf numFmtId="11" fontId="32" fillId="8" borderId="24" xfId="28255" applyNumberFormat="1" applyFont="1" applyFill="1" applyBorder="1" applyAlignment="1">
      <alignment horizontal="center" vertical="center"/>
    </xf>
    <xf numFmtId="11" fontId="32" fillId="8" borderId="54" xfId="28255" applyNumberFormat="1" applyFont="1" applyFill="1" applyBorder="1" applyAlignment="1">
      <alignment horizontal="center" vertical="center"/>
    </xf>
    <xf numFmtId="11" fontId="1" fillId="8" borderId="55" xfId="0" applyNumberFormat="1" applyFont="1" applyFill="1" applyBorder="1" applyAlignment="1">
      <alignment horizontal="center"/>
    </xf>
    <xf numFmtId="11" fontId="32" fillId="0" borderId="42" xfId="28915" applyNumberFormat="1" applyFont="1" applyBorder="1" applyAlignment="1">
      <alignment horizontal="center" vertical="center" wrapText="1"/>
    </xf>
    <xf numFmtId="11" fontId="32" fillId="0" borderId="42" xfId="28915" applyNumberFormat="1" applyFont="1" applyBorder="1" applyAlignment="1">
      <alignment horizontal="center" vertical="center"/>
    </xf>
    <xf numFmtId="11" fontId="1" fillId="6" borderId="40" xfId="0" applyNumberFormat="1" applyFont="1" applyFill="1" applyBorder="1" applyAlignment="1">
      <alignment horizontal="center"/>
    </xf>
    <xf numFmtId="11" fontId="33" fillId="2" borderId="8" xfId="28255" applyNumberFormat="1" applyFont="1" applyFill="1" applyBorder="1" applyAlignment="1">
      <alignment horizontal="center" vertical="center"/>
    </xf>
    <xf numFmtId="11" fontId="32" fillId="3" borderId="11" xfId="28915" applyNumberFormat="1" applyFont="1" applyFill="1" applyBorder="1" applyAlignment="1">
      <alignment horizontal="center" vertical="center"/>
    </xf>
    <xf numFmtId="11" fontId="32" fillId="0" borderId="53" xfId="28915" applyNumberFormat="1" applyFont="1" applyBorder="1" applyAlignment="1">
      <alignment horizontal="center" vertical="center"/>
    </xf>
    <xf numFmtId="11" fontId="32" fillId="3" borderId="13" xfId="28915" applyNumberFormat="1" applyFont="1" applyFill="1" applyBorder="1" applyAlignment="1">
      <alignment horizontal="center" vertical="center"/>
    </xf>
    <xf numFmtId="11" fontId="32" fillId="0" borderId="54" xfId="28915" applyNumberFormat="1" applyFont="1" applyBorder="1" applyAlignment="1">
      <alignment horizontal="center" vertical="center"/>
    </xf>
    <xf numFmtId="11" fontId="32" fillId="3" borderId="13" xfId="28255" applyNumberFormat="1" applyFont="1" applyFill="1" applyBorder="1" applyAlignment="1">
      <alignment horizontal="center" vertical="center"/>
    </xf>
    <xf numFmtId="11" fontId="32" fillId="0" borderId="42" xfId="28255" applyNumberFormat="1" applyFont="1" applyBorder="1" applyAlignment="1">
      <alignment horizontal="center" vertical="center"/>
    </xf>
    <xf numFmtId="11" fontId="32" fillId="0" borderId="53" xfId="28255" applyNumberFormat="1" applyFont="1" applyBorder="1" applyAlignment="1">
      <alignment horizontal="center" vertical="center"/>
    </xf>
    <xf numFmtId="11" fontId="32" fillId="0" borderId="24" xfId="28255" applyNumberFormat="1" applyFont="1" applyBorder="1" applyAlignment="1">
      <alignment horizontal="center" vertical="center"/>
    </xf>
    <xf numFmtId="11" fontId="32" fillId="0" borderId="54" xfId="28255" applyNumberFormat="1" applyFont="1" applyBorder="1" applyAlignment="1">
      <alignment horizontal="center" vertical="center"/>
    </xf>
    <xf numFmtId="11" fontId="32" fillId="9" borderId="52" xfId="28255" applyNumberFormat="1" applyFont="1" applyFill="1" applyBorder="1" applyAlignment="1">
      <alignment horizontal="center" vertical="center"/>
    </xf>
    <xf numFmtId="11" fontId="32" fillId="4" borderId="52" xfId="28255" applyNumberFormat="1" applyFont="1" applyFill="1" applyBorder="1" applyAlignment="1">
      <alignment horizontal="center" vertical="center"/>
    </xf>
    <xf numFmtId="11" fontId="32" fillId="7" borderId="52" xfId="28255" applyNumberFormat="1" applyFont="1" applyFill="1" applyBorder="1" applyAlignment="1">
      <alignment horizontal="center" vertical="center"/>
    </xf>
    <xf numFmtId="11" fontId="32" fillId="6" borderId="52" xfId="28255" applyNumberFormat="1" applyFont="1" applyFill="1" applyBorder="1" applyAlignment="1">
      <alignment horizontal="center" vertical="center"/>
    </xf>
    <xf numFmtId="11" fontId="32" fillId="3" borderId="52" xfId="28255" applyNumberFormat="1" applyFont="1" applyFill="1" applyBorder="1" applyAlignment="1">
      <alignment horizontal="center" vertical="center"/>
    </xf>
    <xf numFmtId="11" fontId="32" fillId="3" borderId="10" xfId="28255" applyNumberFormat="1" applyFont="1" applyFill="1" applyBorder="1" applyAlignment="1">
      <alignment horizontal="center" vertical="center"/>
    </xf>
    <xf numFmtId="11" fontId="32" fillId="0" borderId="57" xfId="28915" applyNumberFormat="1" applyFont="1" applyBorder="1" applyAlignment="1">
      <alignment horizontal="center" vertical="center"/>
    </xf>
    <xf numFmtId="11" fontId="32" fillId="3" borderId="10" xfId="28915" applyNumberFormat="1" applyFont="1" applyFill="1" applyBorder="1" applyAlignment="1">
      <alignment horizontal="center" vertical="center"/>
    </xf>
    <xf numFmtId="11" fontId="32" fillId="0" borderId="40" xfId="28915" applyNumberFormat="1" applyFont="1" applyBorder="1" applyAlignment="1">
      <alignment horizontal="center" vertical="center" wrapText="1"/>
    </xf>
    <xf numFmtId="11" fontId="32" fillId="0" borderId="50" xfId="28915" applyNumberFormat="1" applyFont="1" applyBorder="1" applyAlignment="1">
      <alignment horizontal="center" vertical="center"/>
    </xf>
    <xf numFmtId="11" fontId="0" fillId="0" borderId="93" xfId="0" applyNumberFormat="1" applyBorder="1" applyAlignment="1">
      <alignment horizontal="center" vertical="center"/>
    </xf>
    <xf numFmtId="11" fontId="1" fillId="9" borderId="20" xfId="0" applyNumberFormat="1" applyFont="1" applyFill="1" applyBorder="1" applyAlignment="1">
      <alignment horizontal="center"/>
    </xf>
    <xf numFmtId="165" fontId="1" fillId="6" borderId="52" xfId="0" applyNumberFormat="1" applyFont="1" applyFill="1" applyBorder="1" applyAlignment="1">
      <alignment horizontal="center" vertical="center"/>
    </xf>
    <xf numFmtId="165" fontId="1" fillId="12" borderId="52" xfId="0" applyNumberFormat="1" applyFont="1" applyFill="1" applyBorder="1" applyAlignment="1">
      <alignment horizontal="center" vertical="center"/>
    </xf>
    <xf numFmtId="165" fontId="5" fillId="6" borderId="13" xfId="0" applyNumberFormat="1" applyFont="1" applyFill="1" applyBorder="1" applyAlignment="1">
      <alignment horizontal="center" vertical="center"/>
    </xf>
    <xf numFmtId="165" fontId="5" fillId="6" borderId="52" xfId="0" applyNumberFormat="1" applyFont="1" applyFill="1" applyBorder="1" applyAlignment="1">
      <alignment horizontal="center" vertical="center"/>
    </xf>
    <xf numFmtId="165" fontId="5" fillId="6" borderId="10" xfId="0" applyNumberFormat="1" applyFont="1" applyFill="1" applyBorder="1" applyAlignment="1">
      <alignment horizontal="center" vertical="center"/>
    </xf>
    <xf numFmtId="165" fontId="24" fillId="6" borderId="13" xfId="0" applyNumberFormat="1" applyFont="1" applyFill="1" applyBorder="1" applyAlignment="1">
      <alignment horizontal="center" vertical="center"/>
    </xf>
    <xf numFmtId="165" fontId="24" fillId="6" borderId="52" xfId="0" applyNumberFormat="1" applyFont="1" applyFill="1" applyBorder="1" applyAlignment="1">
      <alignment horizontal="center" vertical="center"/>
    </xf>
    <xf numFmtId="165" fontId="20" fillId="6" borderId="13" xfId="0" applyNumberFormat="1" applyFont="1" applyFill="1" applyBorder="1" applyAlignment="1">
      <alignment horizontal="center" vertical="center"/>
    </xf>
    <xf numFmtId="165" fontId="21" fillId="6" borderId="13" xfId="0" applyNumberFormat="1" applyFont="1" applyFill="1" applyBorder="1" applyAlignment="1">
      <alignment horizontal="center" vertical="center"/>
    </xf>
    <xf numFmtId="165" fontId="5" fillId="6" borderId="11" xfId="0" applyNumberFormat="1" applyFont="1" applyFill="1" applyBorder="1" applyAlignment="1">
      <alignment horizontal="center" vertical="center"/>
    </xf>
    <xf numFmtId="165" fontId="21" fillId="6" borderId="15" xfId="0" applyNumberFormat="1" applyFont="1" applyFill="1" applyBorder="1" applyAlignment="1">
      <alignment horizontal="center" vertical="center"/>
    </xf>
    <xf numFmtId="165" fontId="20" fillId="6" borderId="52" xfId="0" applyNumberFormat="1" applyFont="1" applyFill="1" applyBorder="1" applyAlignment="1">
      <alignment horizontal="center" vertical="center"/>
    </xf>
    <xf numFmtId="165" fontId="20" fillId="6" borderId="17" xfId="0" applyNumberFormat="1" applyFont="1" applyFill="1" applyBorder="1" applyAlignment="1">
      <alignment horizontal="center" vertical="center"/>
    </xf>
    <xf numFmtId="165" fontId="5" fillId="12" borderId="13" xfId="0" applyNumberFormat="1" applyFont="1" applyFill="1" applyBorder="1" applyAlignment="1">
      <alignment horizontal="center" vertical="center"/>
    </xf>
    <xf numFmtId="165" fontId="5" fillId="12" borderId="52" xfId="0" applyNumberFormat="1" applyFont="1" applyFill="1" applyBorder="1" applyAlignment="1">
      <alignment horizontal="center" vertical="center"/>
    </xf>
    <xf numFmtId="165" fontId="5" fillId="12" borderId="10" xfId="0" applyNumberFormat="1" applyFont="1" applyFill="1" applyBorder="1" applyAlignment="1">
      <alignment horizontal="center" vertical="center"/>
    </xf>
    <xf numFmtId="165" fontId="24" fillId="12" borderId="13" xfId="0" applyNumberFormat="1" applyFont="1" applyFill="1" applyBorder="1" applyAlignment="1">
      <alignment horizontal="center" vertical="center"/>
    </xf>
    <xf numFmtId="165" fontId="24" fillId="12" borderId="52" xfId="0" applyNumberFormat="1" applyFont="1" applyFill="1" applyBorder="1" applyAlignment="1">
      <alignment horizontal="center" vertical="center"/>
    </xf>
    <xf numFmtId="165" fontId="20" fillId="12" borderId="13" xfId="0" applyNumberFormat="1" applyFont="1" applyFill="1" applyBorder="1" applyAlignment="1">
      <alignment horizontal="center" vertical="center"/>
    </xf>
    <xf numFmtId="165" fontId="21" fillId="12" borderId="13" xfId="0" applyNumberFormat="1" applyFont="1" applyFill="1" applyBorder="1" applyAlignment="1">
      <alignment horizontal="center" vertical="center"/>
    </xf>
    <xf numFmtId="165" fontId="5" fillId="12" borderId="11" xfId="0" applyNumberFormat="1" applyFont="1" applyFill="1" applyBorder="1" applyAlignment="1">
      <alignment horizontal="center" vertical="center"/>
    </xf>
    <xf numFmtId="165" fontId="21" fillId="12" borderId="15" xfId="0" applyNumberFormat="1" applyFont="1" applyFill="1" applyBorder="1" applyAlignment="1">
      <alignment horizontal="center" vertical="center"/>
    </xf>
    <xf numFmtId="165" fontId="20" fillId="12" borderId="52" xfId="0" applyNumberFormat="1" applyFont="1" applyFill="1" applyBorder="1" applyAlignment="1">
      <alignment horizontal="center" vertical="center"/>
    </xf>
    <xf numFmtId="165" fontId="20" fillId="12" borderId="17" xfId="0" applyNumberFormat="1" applyFont="1" applyFill="1" applyBorder="1" applyAlignment="1">
      <alignment horizontal="center" vertical="center"/>
    </xf>
    <xf numFmtId="11" fontId="1" fillId="6" borderId="17" xfId="0" applyNumberFormat="1" applyFont="1" applyFill="1" applyBorder="1" applyAlignment="1">
      <alignment horizontal="center"/>
    </xf>
    <xf numFmtId="11" fontId="32" fillId="16" borderId="42" xfId="28915" applyNumberFormat="1" applyFont="1" applyFill="1" applyBorder="1" applyAlignment="1">
      <alignment vertical="center" wrapText="1"/>
    </xf>
    <xf numFmtId="11" fontId="32" fillId="16" borderId="42" xfId="28915" applyNumberFormat="1" applyFont="1" applyFill="1" applyBorder="1" applyAlignment="1">
      <alignment vertical="center"/>
    </xf>
    <xf numFmtId="166" fontId="32" fillId="16" borderId="0" xfId="28255" applyNumberFormat="1" applyFont="1" applyFill="1" applyAlignment="1">
      <alignment horizontal="left"/>
    </xf>
    <xf numFmtId="11" fontId="32" fillId="0" borderId="0" xfId="28255" applyNumberFormat="1" applyFont="1" applyAlignment="1">
      <alignment horizontal="left"/>
    </xf>
    <xf numFmtId="11" fontId="32" fillId="16" borderId="43" xfId="28915" applyNumberFormat="1" applyFont="1" applyFill="1" applyBorder="1" applyAlignment="1">
      <alignment vertical="center" wrapText="1"/>
    </xf>
    <xf numFmtId="1" fontId="32" fillId="16" borderId="13" xfId="28255" applyNumberFormat="1" applyFont="1" applyFill="1" applyBorder="1" applyAlignment="1">
      <alignment horizontal="left" vertical="center"/>
    </xf>
    <xf numFmtId="1" fontId="24" fillId="16" borderId="0" xfId="0" applyNumberFormat="1" applyFont="1" applyFill="1" applyAlignment="1">
      <alignment horizontal="center" vertical="center"/>
    </xf>
    <xf numFmtId="1" fontId="1" fillId="0" borderId="0" xfId="0" applyNumberFormat="1" applyFont="1" applyAlignment="1">
      <alignment horizontal="left" vertical="center"/>
    </xf>
    <xf numFmtId="11" fontId="24" fillId="16" borderId="0" xfId="0" applyNumberFormat="1" applyFont="1" applyFill="1" applyAlignment="1">
      <alignment horizontal="center" vertical="center"/>
    </xf>
    <xf numFmtId="11" fontId="1" fillId="0" borderId="0" xfId="0" applyNumberFormat="1" applyFont="1" applyAlignment="1">
      <alignment horizontal="left" vertical="center"/>
    </xf>
    <xf numFmtId="11" fontId="32" fillId="16" borderId="13" xfId="28915" applyNumberFormat="1" applyFont="1" applyFill="1" applyBorder="1" applyAlignment="1">
      <alignment vertical="center" wrapText="1"/>
    </xf>
    <xf numFmtId="11" fontId="32" fillId="16" borderId="10" xfId="28915" applyNumberFormat="1" applyFont="1" applyFill="1" applyBorder="1" applyAlignment="1">
      <alignment vertical="center" wrapText="1"/>
    </xf>
    <xf numFmtId="11" fontId="32" fillId="16" borderId="13" xfId="28915" applyNumberFormat="1" applyFont="1" applyFill="1" applyBorder="1" applyAlignment="1">
      <alignment vertical="center"/>
    </xf>
    <xf numFmtId="166" fontId="1" fillId="0" borderId="0" xfId="0" applyNumberFormat="1" applyFont="1" applyAlignment="1">
      <alignment horizontal="left" vertical="center"/>
    </xf>
    <xf numFmtId="1" fontId="1" fillId="16" borderId="13" xfId="0" applyNumberFormat="1" applyFont="1" applyFill="1" applyBorder="1" applyAlignment="1">
      <alignment horizontal="left"/>
    </xf>
    <xf numFmtId="11" fontId="32" fillId="8" borderId="0" xfId="28915" applyNumberFormat="1" applyFont="1" applyFill="1" applyAlignment="1">
      <alignment horizontal="center" vertical="center" wrapText="1"/>
    </xf>
    <xf numFmtId="11" fontId="32" fillId="8" borderId="32" xfId="28915" applyNumberFormat="1" applyFont="1" applyFill="1" applyBorder="1" applyAlignment="1">
      <alignment horizontal="center" vertical="center" wrapText="1"/>
    </xf>
    <xf numFmtId="11" fontId="32" fillId="8" borderId="31" xfId="28915" applyNumberFormat="1" applyFont="1" applyFill="1" applyBorder="1" applyAlignment="1">
      <alignment horizontal="center" vertical="center" wrapText="1"/>
    </xf>
    <xf numFmtId="11" fontId="32" fillId="8" borderId="40" xfId="28915" applyNumberFormat="1" applyFont="1" applyFill="1" applyBorder="1" applyAlignment="1">
      <alignment horizontal="center" vertical="center" wrapText="1"/>
    </xf>
    <xf numFmtId="11" fontId="32" fillId="8" borderId="49" xfId="28915" applyNumberFormat="1" applyFont="1" applyFill="1" applyBorder="1" applyAlignment="1">
      <alignment horizontal="center" vertical="center" wrapText="1"/>
    </xf>
    <xf numFmtId="11" fontId="32" fillId="8" borderId="41" xfId="28915" applyNumberFormat="1" applyFont="1" applyFill="1" applyBorder="1" applyAlignment="1">
      <alignment horizontal="center" vertical="center" wrapText="1"/>
    </xf>
    <xf numFmtId="11" fontId="32" fillId="8" borderId="56" xfId="28915" applyNumberFormat="1" applyFont="1" applyFill="1" applyBorder="1" applyAlignment="1">
      <alignment horizontal="center" vertical="center" wrapText="1"/>
    </xf>
    <xf numFmtId="11" fontId="34" fillId="2" borderId="113" xfId="0" applyNumberFormat="1" applyFont="1" applyFill="1" applyBorder="1" applyAlignment="1">
      <alignment horizontal="center" vertical="center"/>
    </xf>
    <xf numFmtId="165" fontId="1" fillId="10" borderId="40" xfId="0" applyNumberFormat="1" applyFont="1" applyFill="1" applyBorder="1" applyAlignment="1">
      <alignment horizontal="center" vertical="center"/>
    </xf>
    <xf numFmtId="165" fontId="5" fillId="4" borderId="13" xfId="0" applyNumberFormat="1" applyFont="1" applyFill="1" applyBorder="1" applyAlignment="1">
      <alignment horizontal="center" vertical="center"/>
    </xf>
    <xf numFmtId="165" fontId="5" fillId="4" borderId="10" xfId="0" applyNumberFormat="1" applyFont="1" applyFill="1" applyBorder="1" applyAlignment="1">
      <alignment horizontal="center" vertical="center"/>
    </xf>
    <xf numFmtId="165" fontId="5" fillId="4" borderId="52" xfId="0" applyNumberFormat="1" applyFont="1" applyFill="1" applyBorder="1" applyAlignment="1">
      <alignment horizontal="center" vertical="center"/>
    </xf>
    <xf numFmtId="165" fontId="5" fillId="4" borderId="11" xfId="0" applyNumberFormat="1" applyFont="1" applyFill="1" applyBorder="1" applyAlignment="1">
      <alignment horizontal="center" vertical="center"/>
    </xf>
    <xf numFmtId="165" fontId="1" fillId="10" borderId="42" xfId="0" applyNumberFormat="1" applyFont="1" applyFill="1" applyBorder="1" applyAlignment="1">
      <alignment horizontal="center" vertical="center"/>
    </xf>
    <xf numFmtId="165" fontId="5" fillId="10" borderId="42" xfId="0" applyNumberFormat="1" applyFont="1" applyFill="1" applyBorder="1" applyAlignment="1">
      <alignment horizontal="center" vertical="center"/>
    </xf>
    <xf numFmtId="165" fontId="5" fillId="10" borderId="40" xfId="0" applyNumberFormat="1" applyFont="1" applyFill="1" applyBorder="1" applyAlignment="1">
      <alignment horizontal="center" vertical="center"/>
    </xf>
    <xf numFmtId="165" fontId="5" fillId="10" borderId="50" xfId="0" applyNumberFormat="1" applyFont="1" applyFill="1" applyBorder="1" applyAlignment="1">
      <alignment horizontal="center" vertical="center"/>
    </xf>
    <xf numFmtId="165" fontId="24" fillId="10" borderId="42" xfId="0" applyNumberFormat="1" applyFont="1" applyFill="1" applyBorder="1" applyAlignment="1">
      <alignment horizontal="center" vertical="center"/>
    </xf>
    <xf numFmtId="165" fontId="24" fillId="10" borderId="40" xfId="0" applyNumberFormat="1" applyFont="1" applyFill="1" applyBorder="1" applyAlignment="1">
      <alignment horizontal="center" vertical="center"/>
    </xf>
    <xf numFmtId="165" fontId="20" fillId="10" borderId="42" xfId="0" applyNumberFormat="1" applyFont="1" applyFill="1" applyBorder="1" applyAlignment="1">
      <alignment horizontal="center" vertical="center"/>
    </xf>
    <xf numFmtId="165" fontId="21" fillId="10" borderId="42" xfId="0" applyNumberFormat="1" applyFont="1" applyFill="1" applyBorder="1" applyAlignment="1">
      <alignment horizontal="center" vertical="center"/>
    </xf>
    <xf numFmtId="165" fontId="21" fillId="10" borderId="43" xfId="0" applyNumberFormat="1" applyFont="1" applyFill="1" applyBorder="1" applyAlignment="1">
      <alignment horizontal="center" vertical="center"/>
    </xf>
    <xf numFmtId="165" fontId="20" fillId="10" borderId="40" xfId="0" applyNumberFormat="1" applyFont="1" applyFill="1" applyBorder="1" applyAlignment="1">
      <alignment horizontal="center" vertical="center"/>
    </xf>
    <xf numFmtId="165" fontId="20" fillId="10" borderId="41" xfId="0" applyNumberFormat="1" applyFont="1" applyFill="1" applyBorder="1" applyAlignment="1">
      <alignment horizontal="center" vertical="center"/>
    </xf>
    <xf numFmtId="165" fontId="1" fillId="4" borderId="52" xfId="0" applyNumberFormat="1" applyFont="1" applyFill="1" applyBorder="1" applyAlignment="1">
      <alignment horizontal="center" vertical="center"/>
    </xf>
    <xf numFmtId="11" fontId="30" fillId="0" borderId="0" xfId="0" quotePrefix="1" applyNumberFormat="1" applyFont="1" applyAlignment="1">
      <alignment horizontal="center" vertical="center"/>
    </xf>
    <xf numFmtId="11" fontId="45" fillId="5" borderId="96" xfId="0" applyNumberFormat="1" applyFont="1" applyFill="1" applyBorder="1" applyAlignment="1">
      <alignment horizontal="center" wrapText="1"/>
    </xf>
    <xf numFmtId="11" fontId="32" fillId="0" borderId="13" xfId="28255" applyNumberFormat="1" applyFont="1" applyBorder="1" applyAlignment="1">
      <alignment horizontal="left" vertical="center"/>
    </xf>
    <xf numFmtId="11" fontId="32" fillId="3" borderId="42" xfId="28255" applyNumberFormat="1" applyFont="1" applyFill="1" applyBorder="1" applyAlignment="1">
      <alignment horizontal="center" vertical="center"/>
    </xf>
    <xf numFmtId="11" fontId="1" fillId="0" borderId="97" xfId="0" applyNumberFormat="1" applyFont="1" applyBorder="1" applyAlignment="1">
      <alignment horizontal="center"/>
    </xf>
    <xf numFmtId="11" fontId="32" fillId="0" borderId="10" xfId="28255" applyNumberFormat="1" applyFont="1" applyBorder="1" applyAlignment="1">
      <alignment horizontal="left" vertical="center"/>
    </xf>
    <xf numFmtId="11" fontId="32" fillId="3" borderId="42" xfId="28915" applyNumberFormat="1" applyFont="1" applyFill="1" applyBorder="1" applyAlignment="1">
      <alignment horizontal="center" vertical="center"/>
    </xf>
    <xf numFmtId="11" fontId="0" fillId="0" borderId="97" xfId="0" applyNumberFormat="1" applyBorder="1" applyAlignment="1">
      <alignment horizontal="center"/>
    </xf>
    <xf numFmtId="11" fontId="32" fillId="3" borderId="40" xfId="28915" applyNumberFormat="1" applyFont="1" applyFill="1" applyBorder="1" applyAlignment="1">
      <alignment horizontal="center" vertical="center"/>
    </xf>
    <xf numFmtId="11" fontId="32" fillId="0" borderId="40" xfId="28915" applyNumberFormat="1" applyFont="1" applyBorder="1" applyAlignment="1">
      <alignment horizontal="center" vertical="center"/>
    </xf>
    <xf numFmtId="11" fontId="32" fillId="0" borderId="52" xfId="28255" applyNumberFormat="1" applyFont="1" applyBorder="1" applyAlignment="1">
      <alignment horizontal="left" vertical="center"/>
    </xf>
    <xf numFmtId="11" fontId="32" fillId="0" borderId="11" xfId="28255" applyNumberFormat="1" applyFont="1" applyBorder="1" applyAlignment="1">
      <alignment horizontal="left" vertical="center"/>
    </xf>
    <xf numFmtId="11" fontId="32" fillId="10" borderId="10" xfId="28915" applyNumberFormat="1" applyFont="1" applyFill="1" applyBorder="1" applyAlignment="1">
      <alignment horizontal="center" vertical="center"/>
    </xf>
    <xf numFmtId="11" fontId="32" fillId="0" borderId="15" xfId="28255" applyNumberFormat="1" applyFont="1" applyBorder="1" applyAlignment="1">
      <alignment horizontal="left" vertical="center"/>
    </xf>
    <xf numFmtId="11" fontId="32" fillId="3" borderId="50" xfId="28915" applyNumberFormat="1" applyFont="1" applyFill="1" applyBorder="1" applyAlignment="1">
      <alignment horizontal="center" vertical="center"/>
    </xf>
    <xf numFmtId="11" fontId="0" fillId="0" borderId="105" xfId="0" applyNumberFormat="1" applyBorder="1" applyAlignment="1">
      <alignment horizontal="center"/>
    </xf>
    <xf numFmtId="11" fontId="87" fillId="0" borderId="11" xfId="28255" applyNumberFormat="1" applyFont="1" applyBorder="1" applyAlignment="1">
      <alignment horizontal="left" vertical="center"/>
    </xf>
    <xf numFmtId="11" fontId="87" fillId="0" borderId="13" xfId="28255" applyNumberFormat="1" applyFont="1" applyBorder="1" applyAlignment="1">
      <alignment horizontal="left" vertical="center"/>
    </xf>
    <xf numFmtId="11" fontId="87" fillId="0" borderId="17" xfId="28255" applyNumberFormat="1" applyFont="1" applyBorder="1" applyAlignment="1">
      <alignment horizontal="left" vertical="center"/>
    </xf>
    <xf numFmtId="11" fontId="32" fillId="0" borderId="55" xfId="28915" applyNumberFormat="1" applyFont="1" applyBorder="1" applyAlignment="1">
      <alignment horizontal="center" vertical="center"/>
    </xf>
    <xf numFmtId="11" fontId="0" fillId="0" borderId="98" xfId="0" applyNumberFormat="1" applyBorder="1" applyAlignment="1">
      <alignment horizontal="center"/>
    </xf>
    <xf numFmtId="11" fontId="34" fillId="2" borderId="30" xfId="28255" applyNumberFormat="1" applyFont="1" applyFill="1" applyBorder="1" applyAlignment="1">
      <alignment horizontal="left" vertical="center"/>
    </xf>
    <xf numFmtId="11" fontId="0" fillId="2" borderId="89" xfId="0" applyNumberFormat="1" applyFill="1" applyBorder="1" applyAlignment="1">
      <alignment horizontal="center"/>
    </xf>
    <xf numFmtId="11" fontId="0" fillId="2" borderId="99" xfId="0" applyNumberFormat="1" applyFill="1" applyBorder="1" applyAlignment="1">
      <alignment horizontal="center"/>
    </xf>
    <xf numFmtId="11" fontId="32" fillId="0" borderId="57" xfId="28255" applyNumberFormat="1" applyFont="1" applyBorder="1" applyAlignment="1">
      <alignment horizontal="center" vertical="center"/>
    </xf>
    <xf numFmtId="11" fontId="53" fillId="0" borderId="30" xfId="28255" applyNumberFormat="1" applyFont="1" applyBorder="1" applyAlignment="1">
      <alignment horizontal="center" vertical="center"/>
    </xf>
    <xf numFmtId="11" fontId="34" fillId="2" borderId="27" xfId="28255" applyNumberFormat="1" applyFont="1" applyFill="1" applyBorder="1" applyAlignment="1">
      <alignment horizontal="left" vertical="center"/>
    </xf>
    <xf numFmtId="1" fontId="58" fillId="0" borderId="0" xfId="0" applyNumberFormat="1" applyFont="1" applyAlignment="1">
      <alignment horizontal="left" vertical="center"/>
    </xf>
    <xf numFmtId="1" fontId="33" fillId="5" borderId="72" xfId="28255" applyNumberFormat="1" applyFont="1" applyFill="1" applyBorder="1" applyAlignment="1">
      <alignment horizontal="center" wrapText="1"/>
    </xf>
    <xf numFmtId="1" fontId="32" fillId="2" borderId="63" xfId="28255" applyNumberFormat="1" applyFont="1" applyFill="1" applyBorder="1" applyAlignment="1">
      <alignment horizontal="center" vertical="center"/>
    </xf>
    <xf numFmtId="1" fontId="32" fillId="0" borderId="75" xfId="28915" applyNumberFormat="1" applyFont="1" applyBorder="1" applyAlignment="1">
      <alignment horizontal="center" vertical="center" wrapText="1"/>
    </xf>
    <xf numFmtId="1" fontId="32" fillId="2" borderId="36" xfId="28255" applyNumberFormat="1" applyFont="1" applyFill="1" applyBorder="1" applyAlignment="1">
      <alignment horizontal="center" vertical="center"/>
    </xf>
    <xf numFmtId="1" fontId="32" fillId="0" borderId="75" xfId="28255" applyNumberFormat="1" applyFont="1" applyBorder="1" applyAlignment="1">
      <alignment horizontal="center" vertical="center"/>
    </xf>
    <xf numFmtId="1" fontId="32" fillId="0" borderId="1" xfId="28255" applyNumberFormat="1" applyFont="1" applyBorder="1" applyAlignment="1">
      <alignment horizontal="center" vertical="center"/>
    </xf>
    <xf numFmtId="1" fontId="32" fillId="0" borderId="73" xfId="28255" applyNumberFormat="1" applyFont="1" applyBorder="1" applyAlignment="1">
      <alignment horizontal="center" vertical="center"/>
    </xf>
    <xf numFmtId="1" fontId="32" fillId="0" borderId="74" xfId="28255" applyNumberFormat="1" applyFont="1" applyBorder="1" applyAlignment="1">
      <alignment horizontal="center" vertical="center"/>
    </xf>
    <xf numFmtId="1" fontId="32" fillId="0" borderId="12" xfId="28255" applyNumberFormat="1" applyFont="1" applyBorder="1" applyAlignment="1">
      <alignment horizontal="center" vertical="center"/>
    </xf>
    <xf numFmtId="1" fontId="32" fillId="0" borderId="9" xfId="28255" applyNumberFormat="1" applyFont="1" applyBorder="1" applyAlignment="1">
      <alignment horizontal="center" vertical="center"/>
    </xf>
    <xf numFmtId="1" fontId="32" fillId="0" borderId="73" xfId="28915" applyNumberFormat="1" applyFont="1" applyBorder="1" applyAlignment="1">
      <alignment horizontal="center" vertical="center" wrapText="1"/>
    </xf>
    <xf numFmtId="1" fontId="32" fillId="0" borderId="74" xfId="28915" applyNumberFormat="1" applyFont="1" applyBorder="1" applyAlignment="1">
      <alignment horizontal="center" vertical="center" wrapText="1"/>
    </xf>
    <xf numFmtId="1" fontId="32" fillId="0" borderId="73" xfId="28915" applyNumberFormat="1" applyFont="1" applyBorder="1" applyAlignment="1">
      <alignment horizontal="center" vertical="center"/>
    </xf>
    <xf numFmtId="1" fontId="32" fillId="2" borderId="36" xfId="28915" applyNumberFormat="1" applyFont="1" applyFill="1" applyBorder="1" applyAlignment="1">
      <alignment horizontal="center" vertical="center" wrapText="1"/>
    </xf>
    <xf numFmtId="1" fontId="32" fillId="0" borderId="1" xfId="28915" applyNumberFormat="1" applyFont="1" applyBorder="1" applyAlignment="1">
      <alignment horizontal="center" vertical="center" wrapText="1"/>
    </xf>
    <xf numFmtId="1" fontId="32" fillId="0" borderId="16" xfId="28915" applyNumberFormat="1" applyFont="1" applyBorder="1" applyAlignment="1">
      <alignment horizontal="center" vertical="center" wrapText="1"/>
    </xf>
    <xf numFmtId="1" fontId="10" fillId="0" borderId="0" xfId="0" applyNumberFormat="1" applyFont="1" applyAlignment="1">
      <alignment vertical="center"/>
    </xf>
    <xf numFmtId="1" fontId="1" fillId="0" borderId="0" xfId="0" applyNumberFormat="1" applyFont="1" applyAlignment="1">
      <alignment vertical="center"/>
    </xf>
    <xf numFmtId="1" fontId="0" fillId="0" borderId="0" xfId="0" applyNumberFormat="1" applyAlignment="1">
      <alignment vertical="center"/>
    </xf>
    <xf numFmtId="165" fontId="5" fillId="9" borderId="20" xfId="0" applyNumberFormat="1" applyFont="1" applyFill="1" applyBorder="1" applyAlignment="1">
      <alignment horizontal="center" vertical="center"/>
    </xf>
    <xf numFmtId="165" fontId="60" fillId="0" borderId="0" xfId="0" applyNumberFormat="1" applyFont="1" applyAlignment="1">
      <alignment horizontal="left" vertical="center"/>
    </xf>
    <xf numFmtId="165" fontId="45" fillId="5" borderId="96" xfId="0" applyNumberFormat="1" applyFont="1" applyFill="1" applyBorder="1" applyAlignment="1">
      <alignment horizontal="center" wrapText="1"/>
    </xf>
    <xf numFmtId="165" fontId="31" fillId="2" borderId="30" xfId="0" applyNumberFormat="1" applyFont="1" applyFill="1" applyBorder="1" applyAlignment="1">
      <alignment horizontal="left"/>
    </xf>
    <xf numFmtId="165" fontId="31" fillId="2" borderId="38" xfId="0" applyNumberFormat="1" applyFont="1" applyFill="1" applyBorder="1" applyAlignment="1">
      <alignment horizontal="center"/>
    </xf>
    <xf numFmtId="165" fontId="4" fillId="0" borderId="0" xfId="0" applyNumberFormat="1" applyFont="1"/>
    <xf numFmtId="165" fontId="0" fillId="2" borderId="89" xfId="0" applyNumberFormat="1" applyFill="1" applyBorder="1" applyAlignment="1">
      <alignment horizontal="center"/>
    </xf>
    <xf numFmtId="165" fontId="4" fillId="0" borderId="42" xfId="0" applyNumberFormat="1" applyFont="1" applyBorder="1" applyAlignment="1">
      <alignment horizontal="left"/>
    </xf>
    <xf numFmtId="165" fontId="4" fillId="0" borderId="51" xfId="0" applyNumberFormat="1" applyFont="1" applyBorder="1" applyAlignment="1">
      <alignment horizontal="center" vertical="center"/>
    </xf>
    <xf numFmtId="165" fontId="4" fillId="0" borderId="52" xfId="0" applyNumberFormat="1" applyFont="1" applyBorder="1" applyAlignment="1">
      <alignment horizontal="center" vertical="center"/>
    </xf>
    <xf numFmtId="165" fontId="0" fillId="0" borderId="97" xfId="0" applyNumberFormat="1" applyBorder="1" applyAlignment="1">
      <alignment horizont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9" xfId="0" applyNumberFormat="1" applyFont="1" applyBorder="1" applyAlignment="1">
      <alignment horizontal="center" vertical="center"/>
    </xf>
    <xf numFmtId="165" fontId="4" fillId="0" borderId="10" xfId="0" applyNumberFormat="1" applyFont="1" applyBorder="1" applyAlignment="1">
      <alignment horizontal="center" vertical="center"/>
    </xf>
    <xf numFmtId="165" fontId="0" fillId="2" borderId="99" xfId="0" applyNumberFormat="1" applyFill="1" applyBorder="1" applyAlignment="1">
      <alignment horizontal="center"/>
    </xf>
    <xf numFmtId="165" fontId="1" fillId="0" borderId="97" xfId="0" applyNumberFormat="1" applyFont="1" applyBorder="1" applyAlignment="1">
      <alignment horizontal="center"/>
    </xf>
    <xf numFmtId="165" fontId="4" fillId="0" borderId="50" xfId="0" applyNumberFormat="1" applyFont="1" applyBorder="1" applyAlignment="1">
      <alignment horizontal="left"/>
    </xf>
    <xf numFmtId="165" fontId="4" fillId="0" borderId="40" xfId="0" applyNumberFormat="1" applyFont="1" applyBorder="1" applyAlignment="1">
      <alignment horizontal="left"/>
    </xf>
    <xf numFmtId="165" fontId="4" fillId="0" borderId="43" xfId="0" applyNumberFormat="1" applyFont="1" applyBorder="1" applyAlignment="1">
      <alignment horizontal="left"/>
    </xf>
    <xf numFmtId="165" fontId="4" fillId="2" borderId="99" xfId="0" applyNumberFormat="1" applyFont="1" applyFill="1" applyBorder="1" applyAlignment="1">
      <alignment horizontal="center"/>
    </xf>
    <xf numFmtId="165" fontId="4" fillId="0" borderId="97" xfId="0" applyNumberFormat="1" applyFont="1" applyBorder="1" applyAlignment="1">
      <alignment horizontal="center"/>
    </xf>
    <xf numFmtId="165" fontId="4" fillId="0" borderId="98" xfId="0" applyNumberFormat="1" applyFont="1" applyBorder="1" applyAlignment="1">
      <alignment horizontal="center"/>
    </xf>
    <xf numFmtId="165" fontId="4" fillId="0" borderId="0" xfId="0" applyNumberFormat="1" applyFont="1" applyAlignment="1">
      <alignment horizontal="center" vertical="center"/>
    </xf>
    <xf numFmtId="1" fontId="1" fillId="0" borderId="0" xfId="0" applyNumberFormat="1" applyFont="1"/>
    <xf numFmtId="1" fontId="32" fillId="0" borderId="93" xfId="28915" applyNumberFormat="1" applyFont="1" applyBorder="1" applyAlignment="1">
      <alignment horizontal="center" vertical="center" wrapText="1"/>
    </xf>
    <xf numFmtId="1" fontId="4" fillId="0" borderId="0" xfId="0" applyNumberFormat="1" applyFont="1"/>
    <xf numFmtId="165" fontId="86" fillId="0" borderId="103" xfId="0" applyNumberFormat="1" applyFont="1" applyBorder="1" applyAlignment="1">
      <alignment horizontal="left"/>
    </xf>
    <xf numFmtId="165" fontId="86" fillId="0" borderId="28" xfId="0" applyNumberFormat="1" applyFont="1" applyBorder="1" applyAlignment="1">
      <alignment horizontal="left"/>
    </xf>
    <xf numFmtId="165" fontId="86" fillId="0" borderId="79" xfId="0" applyNumberFormat="1" applyFont="1" applyBorder="1" applyAlignment="1">
      <alignment horizontal="left"/>
    </xf>
    <xf numFmtId="1" fontId="32" fillId="0" borderId="48" xfId="28255" applyNumberFormat="1" applyFont="1" applyBorder="1" applyAlignment="1">
      <alignment horizontal="center" vertical="center"/>
    </xf>
    <xf numFmtId="1" fontId="10" fillId="0" borderId="48" xfId="0" applyNumberFormat="1" applyFont="1" applyBorder="1" applyAlignment="1">
      <alignment horizontal="center" vertical="center"/>
    </xf>
    <xf numFmtId="1" fontId="1" fillId="0" borderId="0" xfId="0" applyNumberFormat="1" applyFont="1" applyAlignment="1">
      <alignment horizontal="right" vertical="center"/>
    </xf>
    <xf numFmtId="0" fontId="32" fillId="0" borderId="40" xfId="28255" applyFont="1" applyBorder="1" applyAlignment="1">
      <alignment horizontal="left" vertical="center"/>
    </xf>
    <xf numFmtId="0" fontId="32" fillId="0" borderId="11" xfId="28255" applyFont="1" applyBorder="1" applyAlignment="1">
      <alignment horizontal="center" vertical="center"/>
    </xf>
    <xf numFmtId="0" fontId="32" fillId="0" borderId="40" xfId="28255" applyFont="1" applyBorder="1" applyAlignment="1">
      <alignment horizontal="left" vertical="center" wrapText="1"/>
    </xf>
    <xf numFmtId="0" fontId="32" fillId="0" borderId="103" xfId="28255" applyFont="1" applyBorder="1" applyAlignment="1">
      <alignment horizontal="center" vertical="center"/>
    </xf>
    <xf numFmtId="0" fontId="32" fillId="0" borderId="106" xfId="28255" applyFont="1" applyBorder="1" applyAlignment="1">
      <alignment horizontal="left" vertical="center" wrapText="1"/>
    </xf>
    <xf numFmtId="0" fontId="32" fillId="0" borderId="103" xfId="28255" applyFont="1" applyBorder="1" applyAlignment="1">
      <alignment horizontal="left" vertical="center" wrapText="1"/>
    </xf>
    <xf numFmtId="0" fontId="32" fillId="0" borderId="103" xfId="28255" applyFont="1" applyBorder="1" applyAlignment="1">
      <alignment horizontal="left" vertical="center"/>
    </xf>
    <xf numFmtId="0" fontId="32" fillId="0" borderId="44" xfId="28915" applyFont="1" applyBorder="1" applyAlignment="1">
      <alignment horizontal="center" vertical="center" wrapText="1"/>
    </xf>
    <xf numFmtId="0" fontId="32" fillId="0" borderId="45" xfId="28915" applyFont="1" applyBorder="1" applyAlignment="1">
      <alignment horizontal="center" vertical="center" wrapText="1"/>
    </xf>
    <xf numFmtId="0" fontId="32" fillId="0" borderId="46" xfId="28915" applyFont="1" applyBorder="1" applyAlignment="1">
      <alignment horizontal="center" vertical="center" wrapText="1"/>
    </xf>
    <xf numFmtId="0" fontId="32" fillId="0" borderId="46" xfId="28255" applyFont="1" applyBorder="1" applyAlignment="1">
      <alignment horizontal="center" vertical="center" wrapText="1"/>
    </xf>
    <xf numFmtId="0" fontId="32" fillId="0" borderId="54" xfId="28255" applyFont="1" applyBorder="1" applyAlignment="1">
      <alignment horizontal="center" vertical="center" wrapText="1"/>
    </xf>
    <xf numFmtId="11" fontId="32" fillId="8" borderId="57" xfId="28255" applyNumberFormat="1" applyFont="1" applyFill="1" applyBorder="1" applyAlignment="1">
      <alignment horizontal="center" vertical="center"/>
    </xf>
    <xf numFmtId="11" fontId="32" fillId="0" borderId="78" xfId="28255" applyNumberFormat="1" applyFont="1" applyBorder="1" applyAlignment="1">
      <alignment vertical="center"/>
    </xf>
    <xf numFmtId="11" fontId="32" fillId="9" borderId="78" xfId="28255" applyNumberFormat="1" applyFont="1" applyFill="1" applyBorder="1" applyAlignment="1">
      <alignment horizontal="center" vertical="center"/>
    </xf>
    <xf numFmtId="11" fontId="32" fillId="8" borderId="78" xfId="28255" applyNumberFormat="1" applyFont="1" applyFill="1" applyBorder="1" applyAlignment="1">
      <alignment horizontal="center" vertical="center"/>
    </xf>
    <xf numFmtId="11" fontId="32" fillId="6" borderId="78" xfId="28255" applyNumberFormat="1" applyFont="1" applyFill="1" applyBorder="1" applyAlignment="1">
      <alignment horizontal="center" vertical="center"/>
    </xf>
    <xf numFmtId="11" fontId="32" fillId="12" borderId="78" xfId="28255" applyNumberFormat="1" applyFont="1" applyFill="1" applyBorder="1" applyAlignment="1">
      <alignment horizontal="center" vertical="center"/>
    </xf>
    <xf numFmtId="168" fontId="32" fillId="12" borderId="78" xfId="28255" applyNumberFormat="1" applyFont="1" applyFill="1" applyBorder="1" applyAlignment="1">
      <alignment horizontal="center" vertical="center"/>
    </xf>
    <xf numFmtId="1" fontId="32" fillId="12" borderId="78" xfId="28255" applyNumberFormat="1" applyFont="1" applyFill="1" applyBorder="1" applyAlignment="1">
      <alignment horizontal="center" vertical="center"/>
    </xf>
    <xf numFmtId="11" fontId="32" fillId="10" borderId="78" xfId="28255" applyNumberFormat="1" applyFont="1" applyFill="1" applyBorder="1" applyAlignment="1">
      <alignment horizontal="center" vertical="center"/>
    </xf>
    <xf numFmtId="1" fontId="32" fillId="11" borderId="78" xfId="28255" applyNumberFormat="1" applyFont="1" applyFill="1" applyBorder="1" applyAlignment="1">
      <alignment horizontal="center" vertical="center"/>
    </xf>
    <xf numFmtId="2" fontId="32" fillId="11" borderId="78" xfId="28255" applyNumberFormat="1" applyFont="1" applyFill="1" applyBorder="1" applyAlignment="1">
      <alignment horizontal="center" vertical="center"/>
    </xf>
    <xf numFmtId="11" fontId="32" fillId="8" borderId="106" xfId="28255" applyNumberFormat="1" applyFont="1" applyFill="1" applyBorder="1" applyAlignment="1">
      <alignment horizontal="center" vertical="center"/>
    </xf>
    <xf numFmtId="1" fontId="32" fillId="12" borderId="13" xfId="28255" applyNumberFormat="1" applyFont="1" applyFill="1" applyBorder="1" applyAlignment="1">
      <alignment horizontal="center" vertical="center"/>
    </xf>
    <xf numFmtId="2" fontId="32" fillId="11" borderId="15" xfId="28255" applyNumberFormat="1" applyFont="1" applyFill="1" applyBorder="1" applyAlignment="1">
      <alignment horizontal="center" vertical="center"/>
    </xf>
    <xf numFmtId="2" fontId="32" fillId="11" borderId="43" xfId="28916" applyNumberFormat="1" applyFont="1" applyFill="1" applyBorder="1" applyAlignment="1">
      <alignment horizontal="center" vertical="center" wrapText="1"/>
    </xf>
    <xf numFmtId="0" fontId="32" fillId="0" borderId="92" xfId="28255" applyFont="1" applyBorder="1" applyAlignment="1">
      <alignment horizontal="center" vertical="center"/>
    </xf>
    <xf numFmtId="0" fontId="32" fillId="0" borderId="51" xfId="28255" applyFont="1" applyBorder="1" applyAlignment="1">
      <alignment horizontal="center" vertical="center"/>
    </xf>
    <xf numFmtId="0" fontId="74" fillId="0" borderId="97" xfId="0" applyFont="1" applyBorder="1" applyAlignment="1">
      <alignment horizontal="center"/>
    </xf>
    <xf numFmtId="166" fontId="1" fillId="9" borderId="11" xfId="0" applyNumberFormat="1" applyFont="1" applyFill="1" applyBorder="1" applyAlignment="1">
      <alignment horizontal="center" vertical="center"/>
    </xf>
    <xf numFmtId="11" fontId="24" fillId="9" borderId="29" xfId="0" applyNumberFormat="1" applyFont="1" applyFill="1" applyBorder="1" applyAlignment="1">
      <alignment horizontal="center" vertical="center"/>
    </xf>
    <xf numFmtId="11" fontId="24" fillId="9" borderId="25" xfId="0" applyNumberFormat="1" applyFont="1" applyFill="1" applyBorder="1" applyAlignment="1">
      <alignment horizontal="center" vertical="center"/>
    </xf>
    <xf numFmtId="1" fontId="24" fillId="9" borderId="28" xfId="0" applyNumberFormat="1" applyFont="1" applyFill="1" applyBorder="1" applyAlignment="1">
      <alignment horizontal="center" vertical="center"/>
    </xf>
    <xf numFmtId="11" fontId="24" fillId="8" borderId="28" xfId="0" applyNumberFormat="1" applyFont="1" applyFill="1" applyBorder="1" applyAlignment="1">
      <alignment horizontal="center" vertical="center"/>
    </xf>
    <xf numFmtId="11" fontId="24" fillId="6" borderId="28" xfId="0" applyNumberFormat="1" applyFont="1" applyFill="1" applyBorder="1" applyAlignment="1">
      <alignment horizontal="center" vertical="center"/>
    </xf>
    <xf numFmtId="11" fontId="24" fillId="6" borderId="59" xfId="0" applyNumberFormat="1" applyFont="1" applyFill="1" applyBorder="1" applyAlignment="1">
      <alignment horizontal="center" vertical="center"/>
    </xf>
    <xf numFmtId="168" fontId="32" fillId="9" borderId="52" xfId="28255" applyNumberFormat="1" applyFont="1" applyFill="1" applyBorder="1" applyAlignment="1">
      <alignment horizontal="center" vertical="center"/>
    </xf>
    <xf numFmtId="11" fontId="32" fillId="0" borderId="51" xfId="28255" applyNumberFormat="1" applyFont="1" applyBorder="1" applyAlignment="1">
      <alignment vertical="center"/>
    </xf>
    <xf numFmtId="11" fontId="32" fillId="0" borderId="12" xfId="28255" applyNumberFormat="1" applyFont="1" applyBorder="1" applyAlignment="1">
      <alignment vertical="center"/>
    </xf>
    <xf numFmtId="11" fontId="32" fillId="9" borderId="29" xfId="28915" applyNumberFormat="1" applyFont="1" applyFill="1" applyBorder="1" applyAlignment="1">
      <alignment horizontal="center" vertical="center"/>
    </xf>
    <xf numFmtId="11" fontId="32" fillId="9" borderId="25" xfId="28915" applyNumberFormat="1" applyFont="1" applyFill="1" applyBorder="1" applyAlignment="1">
      <alignment horizontal="center" vertical="center"/>
    </xf>
    <xf numFmtId="0" fontId="32" fillId="0" borderId="115" xfId="28255" applyFont="1" applyBorder="1" applyAlignment="1">
      <alignment horizontal="center" vertical="center"/>
    </xf>
    <xf numFmtId="11" fontId="32" fillId="8" borderId="78" xfId="28915" applyNumberFormat="1" applyFont="1" applyFill="1" applyBorder="1" applyAlignment="1">
      <alignment horizontal="center" vertical="center"/>
    </xf>
    <xf numFmtId="0" fontId="32" fillId="0" borderId="26" xfId="28255" applyFont="1" applyBorder="1" applyAlignment="1">
      <alignment horizontal="center" vertical="center"/>
    </xf>
    <xf numFmtId="11" fontId="32" fillId="6" borderId="15" xfId="28915" applyNumberFormat="1" applyFont="1" applyFill="1" applyBorder="1" applyAlignment="1">
      <alignment horizontal="center" vertical="center"/>
    </xf>
    <xf numFmtId="165" fontId="24" fillId="4" borderId="13" xfId="0" applyNumberFormat="1" applyFont="1" applyFill="1" applyBorder="1" applyAlignment="1">
      <alignment horizontal="center" vertical="center"/>
    </xf>
    <xf numFmtId="165" fontId="24" fillId="4" borderId="52" xfId="0" applyNumberFormat="1" applyFont="1" applyFill="1" applyBorder="1" applyAlignment="1">
      <alignment horizontal="center" vertical="center"/>
    </xf>
    <xf numFmtId="165" fontId="20" fillId="4" borderId="13" xfId="0" applyNumberFormat="1" applyFont="1" applyFill="1" applyBorder="1" applyAlignment="1">
      <alignment horizontal="center" vertical="center"/>
    </xf>
    <xf numFmtId="165" fontId="21" fillId="4" borderId="13" xfId="0" applyNumberFormat="1" applyFont="1" applyFill="1" applyBorder="1" applyAlignment="1">
      <alignment horizontal="center" vertical="center"/>
    </xf>
    <xf numFmtId="165" fontId="21" fillId="4" borderId="15" xfId="0" applyNumberFormat="1" applyFont="1" applyFill="1" applyBorder="1" applyAlignment="1">
      <alignment horizontal="center" vertical="center"/>
    </xf>
    <xf numFmtId="165" fontId="20" fillId="4" borderId="52" xfId="0" applyNumberFormat="1" applyFont="1" applyFill="1" applyBorder="1" applyAlignment="1">
      <alignment horizontal="center" vertical="center"/>
    </xf>
    <xf numFmtId="165" fontId="20" fillId="4" borderId="17" xfId="0" applyNumberFormat="1" applyFont="1" applyFill="1" applyBorder="1" applyAlignment="1">
      <alignment horizontal="center" vertical="center"/>
    </xf>
    <xf numFmtId="165" fontId="5" fillId="3" borderId="52" xfId="0" applyNumberFormat="1" applyFont="1" applyFill="1" applyBorder="1" applyAlignment="1">
      <alignment horizontal="center" vertical="center"/>
    </xf>
    <xf numFmtId="165" fontId="1" fillId="3" borderId="21"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21" xfId="0" applyNumberFormat="1" applyFont="1" applyFill="1" applyBorder="1" applyAlignment="1">
      <alignment horizontal="center" vertical="center"/>
    </xf>
    <xf numFmtId="165" fontId="5" fillId="3" borderId="20" xfId="0" applyNumberFormat="1" applyFont="1" applyFill="1" applyBorder="1" applyAlignment="1">
      <alignment horizontal="center" vertical="center"/>
    </xf>
    <xf numFmtId="165" fontId="5" fillId="3" borderId="10" xfId="0" applyNumberFormat="1" applyFont="1" applyFill="1" applyBorder="1" applyAlignment="1">
      <alignment horizontal="center" vertical="center"/>
    </xf>
    <xf numFmtId="165" fontId="24" fillId="3" borderId="13" xfId="0" applyNumberFormat="1" applyFont="1" applyFill="1" applyBorder="1" applyAlignment="1">
      <alignment horizontal="center" vertical="center"/>
    </xf>
    <xf numFmtId="165" fontId="24" fillId="3" borderId="21" xfId="0" applyNumberFormat="1" applyFont="1" applyFill="1" applyBorder="1" applyAlignment="1">
      <alignment horizontal="center" vertical="center"/>
    </xf>
    <xf numFmtId="165" fontId="24" fillId="3" borderId="52" xfId="0" applyNumberFormat="1" applyFont="1" applyFill="1" applyBorder="1" applyAlignment="1">
      <alignment horizontal="center" vertical="center"/>
    </xf>
    <xf numFmtId="165" fontId="24" fillId="3" borderId="20"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5" fontId="20" fillId="3" borderId="21" xfId="0" applyNumberFormat="1" applyFont="1" applyFill="1" applyBorder="1" applyAlignment="1">
      <alignment horizontal="center" vertical="center"/>
    </xf>
    <xf numFmtId="165" fontId="21" fillId="3" borderId="13" xfId="0" applyNumberFormat="1" applyFont="1" applyFill="1" applyBorder="1" applyAlignment="1">
      <alignment horizontal="center" vertical="center"/>
    </xf>
    <xf numFmtId="165" fontId="21" fillId="3" borderId="21" xfId="0" applyNumberFormat="1" applyFont="1" applyFill="1" applyBorder="1" applyAlignment="1">
      <alignment horizontal="center" vertical="center"/>
    </xf>
    <xf numFmtId="165" fontId="5" fillId="3" borderId="11" xfId="0" applyNumberFormat="1" applyFont="1" applyFill="1" applyBorder="1" applyAlignment="1">
      <alignment horizontal="center" vertical="center"/>
    </xf>
    <xf numFmtId="165" fontId="21" fillId="3" borderId="15" xfId="0" applyNumberFormat="1" applyFont="1" applyFill="1" applyBorder="1" applyAlignment="1">
      <alignment horizontal="center" vertical="center"/>
    </xf>
    <xf numFmtId="165" fontId="21" fillId="3" borderId="22" xfId="0" applyNumberFormat="1" applyFont="1" applyFill="1" applyBorder="1" applyAlignment="1">
      <alignment horizontal="center" vertical="center"/>
    </xf>
    <xf numFmtId="165" fontId="20" fillId="3" borderId="52"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5" fontId="20" fillId="3" borderId="17" xfId="0" applyNumberFormat="1" applyFont="1" applyFill="1" applyBorder="1" applyAlignment="1">
      <alignment horizontal="center" vertical="center"/>
    </xf>
    <xf numFmtId="165" fontId="20" fillId="3" borderId="23" xfId="0" applyNumberFormat="1" applyFont="1" applyFill="1" applyBorder="1" applyAlignment="1">
      <alignment horizontal="center" vertical="center"/>
    </xf>
    <xf numFmtId="165" fontId="4" fillId="9" borderId="40" xfId="0" applyNumberFormat="1" applyFont="1" applyFill="1" applyBorder="1" applyAlignment="1">
      <alignment horizontal="center"/>
    </xf>
    <xf numFmtId="165" fontId="4" fillId="9" borderId="42" xfId="0" applyNumberFormat="1" applyFont="1" applyFill="1" applyBorder="1" applyAlignment="1">
      <alignment horizontal="center"/>
    </xf>
    <xf numFmtId="165" fontId="4" fillId="9" borderId="50" xfId="0" applyNumberFormat="1" applyFont="1" applyFill="1" applyBorder="1" applyAlignment="1">
      <alignment horizontal="center"/>
    </xf>
    <xf numFmtId="165" fontId="4" fillId="9" borderId="43" xfId="0" applyNumberFormat="1" applyFont="1" applyFill="1" applyBorder="1" applyAlignment="1">
      <alignment horizontal="center"/>
    </xf>
    <xf numFmtId="165" fontId="1" fillId="9" borderId="58" xfId="0" applyNumberFormat="1" applyFont="1" applyFill="1" applyBorder="1" applyAlignment="1">
      <alignment horizontal="center"/>
    </xf>
    <xf numFmtId="165" fontId="1" fillId="9" borderId="21" xfId="0" applyNumberFormat="1" applyFont="1" applyFill="1" applyBorder="1" applyAlignment="1">
      <alignment horizontal="center"/>
    </xf>
    <xf numFmtId="165" fontId="1" fillId="9" borderId="23" xfId="0" applyNumberFormat="1" applyFont="1" applyFill="1" applyBorder="1" applyAlignment="1">
      <alignment horizontal="center"/>
    </xf>
    <xf numFmtId="165" fontId="31" fillId="2" borderId="36" xfId="0" applyNumberFormat="1" applyFont="1" applyFill="1" applyBorder="1" applyAlignment="1">
      <alignment horizontal="left" vertical="center"/>
    </xf>
    <xf numFmtId="165" fontId="31" fillId="2" borderId="63" xfId="0" applyNumberFormat="1" applyFont="1" applyFill="1" applyBorder="1" applyAlignment="1">
      <alignment horizontal="left" vertical="center"/>
    </xf>
    <xf numFmtId="165" fontId="31" fillId="2" borderId="38" xfId="0" applyNumberFormat="1" applyFont="1" applyFill="1" applyBorder="1" applyAlignment="1">
      <alignment horizontal="center" vertical="center"/>
    </xf>
    <xf numFmtId="165" fontId="31" fillId="2" borderId="3" xfId="0" applyNumberFormat="1" applyFont="1" applyFill="1" applyBorder="1"/>
    <xf numFmtId="165" fontId="30" fillId="5" borderId="86" xfId="0" applyNumberFormat="1" applyFont="1" applyFill="1" applyBorder="1" applyAlignment="1">
      <alignment horizontal="center" textRotation="90"/>
    </xf>
    <xf numFmtId="165" fontId="30" fillId="5" borderId="87" xfId="0" applyNumberFormat="1" applyFont="1" applyFill="1" applyBorder="1" applyAlignment="1">
      <alignment horizontal="center" textRotation="90"/>
    </xf>
    <xf numFmtId="165" fontId="30" fillId="5" borderId="88" xfId="0" applyNumberFormat="1" applyFont="1" applyFill="1" applyBorder="1" applyAlignment="1">
      <alignment horizontal="center" textRotation="90"/>
    </xf>
    <xf numFmtId="11" fontId="32" fillId="8" borderId="29" xfId="28915" applyNumberFormat="1" applyFont="1" applyFill="1" applyBorder="1" applyAlignment="1">
      <alignment horizontal="center" vertical="center"/>
    </xf>
    <xf numFmtId="11" fontId="32" fillId="6" borderId="29" xfId="28915" applyNumberFormat="1" applyFont="1" applyFill="1" applyBorder="1" applyAlignment="1">
      <alignment horizontal="center" vertical="center"/>
    </xf>
    <xf numFmtId="11" fontId="32" fillId="0" borderId="116" xfId="28255" applyNumberFormat="1" applyFont="1" applyBorder="1" applyAlignment="1">
      <alignment horizontal="center" vertical="center"/>
    </xf>
    <xf numFmtId="1" fontId="32" fillId="0" borderId="51" xfId="28255" applyNumberFormat="1" applyFont="1" applyBorder="1" applyAlignment="1">
      <alignment horizontal="center" vertical="center"/>
    </xf>
    <xf numFmtId="11" fontId="32" fillId="0" borderId="52" xfId="28255" applyNumberFormat="1" applyFont="1" applyBorder="1" applyAlignment="1">
      <alignment horizontal="center" vertical="center"/>
    </xf>
    <xf numFmtId="11" fontId="1" fillId="0" borderId="52" xfId="28255" applyNumberFormat="1" applyFont="1" applyBorder="1" applyAlignment="1">
      <alignment horizontal="center" vertical="center"/>
    </xf>
    <xf numFmtId="1" fontId="32" fillId="0" borderId="14" xfId="28255" applyNumberFormat="1" applyFont="1" applyBorder="1" applyAlignment="1">
      <alignment horizontal="center" vertical="center"/>
    </xf>
    <xf numFmtId="11" fontId="32" fillId="0" borderId="15" xfId="28255" applyNumberFormat="1" applyFont="1" applyBorder="1" applyAlignment="1">
      <alignment horizontal="center" vertical="center"/>
    </xf>
    <xf numFmtId="11" fontId="1" fillId="0" borderId="15" xfId="28255" applyNumberFormat="1" applyFont="1" applyBorder="1" applyAlignment="1">
      <alignment horizontal="center" vertical="center"/>
    </xf>
    <xf numFmtId="11" fontId="1" fillId="3" borderId="52" xfId="28255" applyNumberFormat="1" applyFont="1" applyFill="1" applyBorder="1" applyAlignment="1">
      <alignment horizontal="center" vertical="center"/>
    </xf>
    <xf numFmtId="11" fontId="1" fillId="3" borderId="15" xfId="28255" applyNumberFormat="1" applyFont="1" applyFill="1" applyBorder="1" applyAlignment="1">
      <alignment horizontal="center" vertical="center"/>
    </xf>
    <xf numFmtId="11" fontId="32" fillId="3" borderId="15" xfId="28255" applyNumberFormat="1" applyFont="1" applyFill="1" applyBorder="1" applyAlignment="1">
      <alignment horizontal="center" vertical="center"/>
    </xf>
    <xf numFmtId="11" fontId="32" fillId="10" borderId="15" xfId="28255" applyNumberFormat="1" applyFont="1" applyFill="1" applyBorder="1" applyAlignment="1">
      <alignment horizontal="center" vertical="center"/>
    </xf>
    <xf numFmtId="11" fontId="32" fillId="12" borderId="15" xfId="28255" applyNumberFormat="1" applyFont="1" applyFill="1" applyBorder="1" applyAlignment="1">
      <alignment horizontal="center" vertical="center"/>
    </xf>
    <xf numFmtId="11" fontId="32" fillId="6" borderId="15" xfId="28255" applyNumberFormat="1" applyFont="1" applyFill="1" applyBorder="1" applyAlignment="1">
      <alignment horizontal="center" vertical="center"/>
    </xf>
    <xf numFmtId="11" fontId="32" fillId="8" borderId="15" xfId="28255" applyNumberFormat="1" applyFont="1" applyFill="1" applyBorder="1" applyAlignment="1">
      <alignment horizontal="center" vertical="center"/>
    </xf>
    <xf numFmtId="11" fontId="32" fillId="7" borderId="15" xfId="28255" applyNumberFormat="1" applyFont="1" applyFill="1" applyBorder="1" applyAlignment="1">
      <alignment horizontal="center" vertical="center"/>
    </xf>
    <xf numFmtId="11" fontId="32" fillId="4" borderId="15" xfId="28255" applyNumberFormat="1" applyFont="1" applyFill="1" applyBorder="1" applyAlignment="1">
      <alignment horizontal="center" vertical="center"/>
    </xf>
    <xf numFmtId="11" fontId="1" fillId="9" borderId="52" xfId="28255" applyNumberFormat="1" applyFont="1" applyFill="1" applyBorder="1" applyAlignment="1">
      <alignment horizontal="center" vertical="center"/>
    </xf>
    <xf numFmtId="11" fontId="1" fillId="9" borderId="15" xfId="28255" applyNumberFormat="1" applyFont="1" applyFill="1" applyBorder="1" applyAlignment="1">
      <alignment horizontal="center" vertical="center"/>
    </xf>
    <xf numFmtId="11" fontId="32" fillId="0" borderId="115" xfId="28255" applyNumberFormat="1" applyFont="1" applyBorder="1" applyAlignment="1">
      <alignment vertical="center"/>
    </xf>
    <xf numFmtId="11" fontId="0" fillId="0" borderId="78" xfId="0" applyNumberFormat="1" applyBorder="1" applyAlignment="1">
      <alignment horizontal="center" vertical="center"/>
    </xf>
    <xf numFmtId="11" fontId="0" fillId="0" borderId="103" xfId="0" applyNumberFormat="1" applyBorder="1" applyAlignment="1">
      <alignment horizontal="center" vertical="center"/>
    </xf>
    <xf numFmtId="11" fontId="0" fillId="0" borderId="115" xfId="0" applyNumberFormat="1" applyBorder="1" applyAlignment="1">
      <alignment horizontal="center" vertical="center"/>
    </xf>
    <xf numFmtId="11" fontId="32" fillId="0" borderId="11" xfId="28255" applyNumberFormat="1" applyFont="1" applyBorder="1" applyAlignment="1">
      <alignment horizontal="center" vertical="center"/>
    </xf>
    <xf numFmtId="11" fontId="32" fillId="3" borderId="11" xfId="28255" applyNumberFormat="1" applyFont="1" applyFill="1" applyBorder="1" applyAlignment="1">
      <alignment horizontal="center" vertical="center"/>
    </xf>
    <xf numFmtId="11" fontId="1" fillId="0" borderId="13" xfId="28255" applyNumberFormat="1" applyFont="1" applyBorder="1" applyAlignment="1">
      <alignment horizontal="center" vertical="center"/>
    </xf>
    <xf numFmtId="11" fontId="1" fillId="9" borderId="13" xfId="28255" applyNumberFormat="1" applyFont="1" applyFill="1" applyBorder="1" applyAlignment="1">
      <alignment horizontal="center" vertical="center"/>
    </xf>
    <xf numFmtId="11" fontId="1" fillId="3" borderId="13" xfId="28255" applyNumberFormat="1" applyFont="1" applyFill="1" applyBorder="1" applyAlignment="1">
      <alignment horizontal="center" vertical="center"/>
    </xf>
    <xf numFmtId="11" fontId="1" fillId="3" borderId="11" xfId="0" applyNumberFormat="1" applyFont="1" applyFill="1" applyBorder="1" applyAlignment="1">
      <alignment horizontal="center" vertical="center"/>
    </xf>
    <xf numFmtId="0" fontId="1" fillId="0" borderId="51" xfId="28255" applyFont="1" applyBorder="1" applyAlignment="1">
      <alignment horizontal="center" vertical="center"/>
    </xf>
    <xf numFmtId="1" fontId="1" fillId="0" borderId="52" xfId="0" applyNumberFormat="1" applyFont="1" applyBorder="1" applyAlignment="1">
      <alignment horizontal="left" vertical="center"/>
    </xf>
    <xf numFmtId="11" fontId="1" fillId="0" borderId="53" xfId="28255" applyNumberFormat="1" applyFont="1" applyBorder="1" applyAlignment="1">
      <alignment horizontal="center" vertical="center"/>
    </xf>
    <xf numFmtId="0" fontId="1" fillId="0" borderId="12" xfId="28255" applyFont="1" applyBorder="1" applyAlignment="1">
      <alignment horizontal="center" vertical="center"/>
    </xf>
    <xf numFmtId="1" fontId="1" fillId="0" borderId="13" xfId="0" applyNumberFormat="1" applyFont="1" applyBorder="1" applyAlignment="1">
      <alignment horizontal="left" vertical="center"/>
    </xf>
    <xf numFmtId="11" fontId="1" fillId="0" borderId="24" xfId="28255" applyNumberFormat="1" applyFont="1" applyBorder="1" applyAlignment="1">
      <alignment horizontal="center" vertical="center"/>
    </xf>
    <xf numFmtId="11" fontId="1" fillId="14" borderId="52" xfId="28255" applyNumberFormat="1" applyFont="1" applyFill="1" applyBorder="1" applyAlignment="1">
      <alignment horizontal="center" vertical="center"/>
    </xf>
    <xf numFmtId="11" fontId="1" fillId="14" borderId="13" xfId="28255" applyNumberFormat="1" applyFont="1" applyFill="1" applyBorder="1" applyAlignment="1">
      <alignment horizontal="center" vertical="center"/>
    </xf>
    <xf numFmtId="1" fontId="1" fillId="14" borderId="0" xfId="0" applyNumberFormat="1" applyFont="1" applyFill="1" applyAlignment="1">
      <alignment horizontal="center"/>
    </xf>
    <xf numFmtId="11" fontId="32" fillId="9" borderId="25" xfId="28255" applyNumberFormat="1" applyFont="1" applyFill="1" applyBorder="1" applyAlignment="1">
      <alignment horizontal="center" vertical="center"/>
    </xf>
    <xf numFmtId="11" fontId="5" fillId="8" borderId="25" xfId="0" applyNumberFormat="1" applyFont="1" applyFill="1" applyBorder="1" applyAlignment="1">
      <alignment horizontal="center" vertical="center"/>
    </xf>
    <xf numFmtId="11" fontId="4" fillId="8" borderId="29" xfId="0" applyNumberFormat="1" applyFont="1" applyFill="1" applyBorder="1" applyAlignment="1">
      <alignment horizontal="center"/>
    </xf>
    <xf numFmtId="11" fontId="5" fillId="0" borderId="25" xfId="0" applyNumberFormat="1" applyFont="1" applyBorder="1" applyAlignment="1">
      <alignment horizontal="center" vertical="center"/>
    </xf>
    <xf numFmtId="11" fontId="4" fillId="0" borderId="28" xfId="0" applyNumberFormat="1" applyFont="1" applyBorder="1" applyAlignment="1">
      <alignment horizontal="center"/>
    </xf>
    <xf numFmtId="11" fontId="1" fillId="0" borderId="28" xfId="0" applyNumberFormat="1" applyFont="1" applyBorder="1" applyAlignment="1">
      <alignment horizontal="center"/>
    </xf>
    <xf numFmtId="11" fontId="2" fillId="6" borderId="42" xfId="0" applyNumberFormat="1" applyFont="1" applyFill="1" applyBorder="1" applyAlignment="1">
      <alignment horizontal="center"/>
    </xf>
    <xf numFmtId="11" fontId="4" fillId="6" borderId="42" xfId="0" applyNumberFormat="1" applyFont="1" applyFill="1" applyBorder="1" applyAlignment="1">
      <alignment horizontal="center"/>
    </xf>
    <xf numFmtId="11" fontId="4" fillId="6" borderId="43" xfId="0" applyNumberFormat="1" applyFont="1" applyFill="1" applyBorder="1" applyAlignment="1">
      <alignment horizontal="center"/>
    </xf>
    <xf numFmtId="11" fontId="1" fillId="6" borderId="52" xfId="28255" applyNumberFormat="1" applyFont="1" applyFill="1" applyBorder="1" applyAlignment="1">
      <alignment horizontal="center" vertical="center"/>
    </xf>
    <xf numFmtId="11" fontId="1" fillId="6" borderId="13" xfId="28255" applyNumberFormat="1" applyFont="1" applyFill="1" applyBorder="1" applyAlignment="1">
      <alignment horizontal="center" vertical="center"/>
    </xf>
    <xf numFmtId="11" fontId="32" fillId="6" borderId="18" xfId="28255" applyNumberFormat="1" applyFont="1" applyFill="1" applyBorder="1" applyAlignment="1">
      <alignment horizontal="center" vertical="center"/>
    </xf>
    <xf numFmtId="11" fontId="1" fillId="6" borderId="18" xfId="0" applyNumberFormat="1" applyFont="1" applyFill="1" applyBorder="1" applyAlignment="1">
      <alignment horizontal="center"/>
    </xf>
    <xf numFmtId="11" fontId="32" fillId="6" borderId="25" xfId="28915" applyNumberFormat="1" applyFont="1" applyFill="1" applyBorder="1" applyAlignment="1">
      <alignment horizontal="center" vertical="center"/>
    </xf>
    <xf numFmtId="11" fontId="4" fillId="6" borderId="28" xfId="0" applyNumberFormat="1" applyFont="1" applyFill="1" applyBorder="1" applyAlignment="1">
      <alignment horizontal="center"/>
    </xf>
    <xf numFmtId="11" fontId="4" fillId="6" borderId="50" xfId="0" applyNumberFormat="1" applyFont="1" applyFill="1" applyBorder="1" applyAlignment="1">
      <alignment horizontal="center"/>
    </xf>
    <xf numFmtId="11" fontId="4" fillId="6" borderId="40" xfId="0" applyNumberFormat="1" applyFont="1" applyFill="1" applyBorder="1" applyAlignment="1">
      <alignment horizontal="center"/>
    </xf>
    <xf numFmtId="11" fontId="32" fillId="6" borderId="13" xfId="28255" applyNumberFormat="1" applyFont="1" applyFill="1" applyBorder="1" applyAlignment="1">
      <alignment horizontal="center"/>
    </xf>
    <xf numFmtId="11" fontId="4" fillId="6" borderId="11" xfId="0" applyNumberFormat="1" applyFont="1" applyFill="1" applyBorder="1" applyAlignment="1">
      <alignment horizontal="center"/>
    </xf>
    <xf numFmtId="11" fontId="4" fillId="6" borderId="13" xfId="0" applyNumberFormat="1" applyFont="1" applyFill="1" applyBorder="1" applyAlignment="1">
      <alignment horizontal="center"/>
    </xf>
    <xf numFmtId="11" fontId="4" fillId="6" borderId="10" xfId="0" applyNumberFormat="1" applyFont="1" applyFill="1" applyBorder="1" applyAlignment="1">
      <alignment horizontal="center"/>
    </xf>
    <xf numFmtId="11" fontId="4" fillId="6" borderId="41" xfId="0" applyNumberFormat="1" applyFont="1" applyFill="1" applyBorder="1" applyAlignment="1">
      <alignment horizontal="center"/>
    </xf>
    <xf numFmtId="0" fontId="38" fillId="0" borderId="97" xfId="0" applyFont="1" applyBorder="1" applyAlignment="1">
      <alignment horizontal="center"/>
    </xf>
    <xf numFmtId="1" fontId="29" fillId="0" borderId="52" xfId="28255" applyNumberFormat="1" applyFont="1" applyBorder="1" applyAlignment="1">
      <alignment horizontal="left" vertical="center"/>
    </xf>
    <xf numFmtId="1" fontId="29" fillId="0" borderId="13" xfId="28255" applyNumberFormat="1" applyFont="1" applyBorder="1" applyAlignment="1">
      <alignment horizontal="left" vertical="center"/>
    </xf>
    <xf numFmtId="11" fontId="1" fillId="0" borderId="51" xfId="28255" applyNumberFormat="1" applyFont="1" applyBorder="1" applyAlignment="1">
      <alignment horizontal="center" vertical="center"/>
    </xf>
    <xf numFmtId="11" fontId="1" fillId="0" borderId="12" xfId="28255" applyNumberFormat="1" applyFont="1" applyBorder="1" applyAlignment="1">
      <alignment horizontal="center" vertical="center"/>
    </xf>
    <xf numFmtId="11" fontId="1" fillId="3" borderId="52" xfId="28915" applyNumberFormat="1" applyFont="1" applyFill="1" applyBorder="1" applyAlignment="1">
      <alignment horizontal="center" vertical="center" wrapText="1"/>
    </xf>
    <xf numFmtId="11" fontId="1" fillId="3" borderId="13" xfId="28915" applyNumberFormat="1" applyFont="1" applyFill="1" applyBorder="1" applyAlignment="1">
      <alignment horizontal="center" vertical="center" wrapText="1"/>
    </xf>
    <xf numFmtId="11" fontId="1" fillId="8" borderId="52" xfId="28255" applyNumberFormat="1" applyFont="1" applyFill="1" applyBorder="1" applyAlignment="1">
      <alignment horizontal="center" vertical="center"/>
    </xf>
    <xf numFmtId="11" fontId="1" fillId="8" borderId="52" xfId="28915" applyNumberFormat="1" applyFont="1" applyFill="1" applyBorder="1" applyAlignment="1">
      <alignment horizontal="center" vertical="center" wrapText="1"/>
    </xf>
    <xf numFmtId="11" fontId="1" fillId="8" borderId="13" xfId="28255" applyNumberFormat="1" applyFont="1" applyFill="1" applyBorder="1" applyAlignment="1">
      <alignment horizontal="center" vertical="center"/>
    </xf>
    <xf numFmtId="11" fontId="1" fillId="8" borderId="13" xfId="28915" applyNumberFormat="1" applyFont="1" applyFill="1" applyBorder="1" applyAlignment="1">
      <alignment horizontal="center" vertical="center" wrapText="1"/>
    </xf>
    <xf numFmtId="1" fontId="1" fillId="0" borderId="52" xfId="28255" applyNumberFormat="1" applyFont="1" applyBorder="1" applyAlignment="1">
      <alignment horizontal="left" vertical="center"/>
    </xf>
    <xf numFmtId="1" fontId="1" fillId="0" borderId="13" xfId="28255" applyNumberFormat="1" applyFont="1" applyBorder="1" applyAlignment="1">
      <alignment horizontal="left" vertical="center"/>
    </xf>
    <xf numFmtId="0" fontId="38" fillId="0" borderId="0" xfId="0" applyFont="1"/>
    <xf numFmtId="165" fontId="32" fillId="12" borderId="29" xfId="28255" applyNumberFormat="1" applyFont="1" applyFill="1" applyBorder="1" applyAlignment="1">
      <alignment horizontal="center" vertical="center"/>
    </xf>
    <xf numFmtId="0" fontId="1" fillId="0" borderId="51" xfId="28255" applyFont="1" applyBorder="1" applyAlignment="1">
      <alignment vertical="center"/>
    </xf>
    <xf numFmtId="0" fontId="1" fillId="0" borderId="52" xfId="0" applyFont="1" applyBorder="1"/>
    <xf numFmtId="0" fontId="1" fillId="0" borderId="53" xfId="0" applyFont="1" applyBorder="1"/>
    <xf numFmtId="0" fontId="1" fillId="0" borderId="12" xfId="28255" applyFont="1" applyBorder="1" applyAlignment="1">
      <alignment vertical="center"/>
    </xf>
    <xf numFmtId="0" fontId="1" fillId="0" borderId="24" xfId="0" applyFont="1" applyBorder="1"/>
    <xf numFmtId="165" fontId="1" fillId="4" borderId="53" xfId="0" applyNumberFormat="1" applyFont="1" applyFill="1" applyBorder="1" applyAlignment="1">
      <alignment horizontal="center" vertical="center"/>
    </xf>
    <xf numFmtId="165" fontId="1" fillId="4" borderId="24" xfId="0" applyNumberFormat="1" applyFont="1" applyFill="1" applyBorder="1" applyAlignment="1">
      <alignment horizontal="center" vertical="center"/>
    </xf>
    <xf numFmtId="0" fontId="1" fillId="10" borderId="52" xfId="0" applyFont="1" applyFill="1" applyBorder="1" applyAlignment="1">
      <alignment horizontal="center" vertical="center"/>
    </xf>
    <xf numFmtId="0" fontId="1" fillId="10" borderId="13" xfId="0" applyFont="1" applyFill="1" applyBorder="1" applyAlignment="1">
      <alignment horizontal="center" vertical="center"/>
    </xf>
    <xf numFmtId="165" fontId="1" fillId="12" borderId="52" xfId="28255" applyNumberFormat="1" applyFont="1" applyFill="1" applyBorder="1" applyAlignment="1">
      <alignment horizontal="center" vertical="center"/>
    </xf>
    <xf numFmtId="165" fontId="1" fillId="12" borderId="13" xfId="28255" applyNumberFormat="1" applyFont="1" applyFill="1" applyBorder="1" applyAlignment="1">
      <alignment horizontal="center" vertical="center"/>
    </xf>
    <xf numFmtId="0" fontId="1" fillId="6" borderId="52" xfId="28255" applyFont="1" applyFill="1" applyBorder="1" applyAlignment="1">
      <alignment horizontal="center" vertical="center"/>
    </xf>
    <xf numFmtId="0" fontId="1" fillId="6" borderId="13" xfId="28255" applyFont="1" applyFill="1" applyBorder="1" applyAlignment="1">
      <alignment horizontal="center" vertical="center"/>
    </xf>
    <xf numFmtId="0" fontId="1" fillId="8" borderId="52" xfId="28255" applyFont="1" applyFill="1" applyBorder="1" applyAlignment="1">
      <alignment horizontal="center" vertical="center"/>
    </xf>
    <xf numFmtId="0" fontId="1" fillId="8" borderId="13" xfId="28255" applyFont="1" applyFill="1" applyBorder="1" applyAlignment="1">
      <alignment horizontal="center" vertical="center"/>
    </xf>
    <xf numFmtId="0" fontId="1" fillId="9" borderId="52" xfId="28255" applyFont="1" applyFill="1" applyBorder="1" applyAlignment="1">
      <alignment horizontal="center" vertical="center"/>
    </xf>
    <xf numFmtId="0" fontId="1" fillId="9" borderId="13" xfId="28255" applyFont="1" applyFill="1" applyBorder="1" applyAlignment="1">
      <alignment horizontal="center" vertical="center"/>
    </xf>
    <xf numFmtId="0" fontId="1" fillId="3" borderId="52" xfId="28255" applyFont="1" applyFill="1" applyBorder="1" applyAlignment="1">
      <alignment horizontal="center" vertical="center"/>
    </xf>
    <xf numFmtId="0" fontId="1" fillId="3" borderId="13" xfId="28255" applyFont="1" applyFill="1" applyBorder="1" applyAlignment="1">
      <alignment horizontal="center" vertical="center"/>
    </xf>
    <xf numFmtId="0" fontId="1" fillId="0" borderId="61" xfId="0" applyFont="1" applyBorder="1"/>
    <xf numFmtId="0" fontId="1" fillId="0" borderId="42" xfId="0" applyFont="1" applyBorder="1"/>
    <xf numFmtId="0" fontId="1" fillId="0" borderId="51" xfId="0" applyFont="1" applyBorder="1"/>
    <xf numFmtId="0" fontId="1" fillId="0" borderId="12" xfId="0" applyFont="1" applyBorder="1"/>
    <xf numFmtId="165" fontId="32" fillId="3" borderId="25" xfId="28915" applyNumberFormat="1" applyFont="1" applyFill="1" applyBorder="1" applyAlignment="1">
      <alignment horizontal="center" vertical="center" wrapText="1"/>
    </xf>
    <xf numFmtId="165" fontId="32" fillId="9" borderId="25" xfId="28915" applyNumberFormat="1" applyFont="1" applyFill="1" applyBorder="1" applyAlignment="1">
      <alignment horizontal="center" vertical="center" wrapText="1"/>
    </xf>
    <xf numFmtId="165" fontId="32" fillId="8" borderId="0" xfId="28915" applyNumberFormat="1" applyFont="1" applyFill="1" applyAlignment="1">
      <alignment horizontal="center" vertical="center" wrapText="1"/>
    </xf>
    <xf numFmtId="165" fontId="32" fillId="6" borderId="28" xfId="28255" applyNumberFormat="1" applyFont="1" applyFill="1" applyBorder="1" applyAlignment="1">
      <alignment horizontal="center" vertical="center"/>
    </xf>
    <xf numFmtId="165" fontId="32" fillId="12" borderId="28" xfId="28255" applyNumberFormat="1" applyFont="1" applyFill="1" applyBorder="1" applyAlignment="1">
      <alignment horizontal="center" vertical="center"/>
    </xf>
    <xf numFmtId="165" fontId="1" fillId="4" borderId="53" xfId="28255" applyNumberFormat="1" applyFont="1" applyFill="1" applyBorder="1" applyAlignment="1">
      <alignment horizontal="center" vertical="center"/>
    </xf>
    <xf numFmtId="165" fontId="1" fillId="4" borderId="24" xfId="28255" applyNumberFormat="1" applyFont="1" applyFill="1" applyBorder="1" applyAlignment="1">
      <alignment horizontal="center" vertical="center"/>
    </xf>
    <xf numFmtId="0" fontId="1" fillId="12" borderId="52" xfId="28255" applyFont="1" applyFill="1" applyBorder="1" applyAlignment="1">
      <alignment horizontal="center" vertical="center"/>
    </xf>
    <xf numFmtId="0" fontId="1" fillId="12" borderId="13" xfId="28255" applyFont="1" applyFill="1" applyBorder="1" applyAlignment="1">
      <alignment horizontal="center" vertical="center"/>
    </xf>
    <xf numFmtId="165" fontId="1" fillId="8" borderId="52" xfId="28255" applyNumberFormat="1" applyFont="1" applyFill="1" applyBorder="1" applyAlignment="1">
      <alignment horizontal="center" vertical="center"/>
    </xf>
    <xf numFmtId="165" fontId="1" fillId="8" borderId="13" xfId="28255" applyNumberFormat="1" applyFont="1" applyFill="1" applyBorder="1" applyAlignment="1">
      <alignment horizontal="center" vertical="center"/>
    </xf>
    <xf numFmtId="165" fontId="1" fillId="9" borderId="52" xfId="28255" applyNumberFormat="1" applyFont="1" applyFill="1" applyBorder="1" applyAlignment="1">
      <alignment horizontal="center" vertical="center"/>
    </xf>
    <xf numFmtId="165" fontId="1" fillId="9" borderId="13" xfId="28255" applyNumberFormat="1" applyFont="1" applyFill="1" applyBorder="1" applyAlignment="1">
      <alignment horizontal="center" vertical="center"/>
    </xf>
    <xf numFmtId="165" fontId="1" fillId="3" borderId="52" xfId="28255" applyNumberFormat="1" applyFont="1" applyFill="1" applyBorder="1" applyAlignment="1">
      <alignment horizontal="center" vertical="center"/>
    </xf>
    <xf numFmtId="165" fontId="1" fillId="3" borderId="13" xfId="28255" applyNumberFormat="1" applyFont="1" applyFill="1" applyBorder="1" applyAlignment="1">
      <alignment horizontal="center" vertical="center"/>
    </xf>
    <xf numFmtId="165" fontId="4" fillId="0" borderId="109" xfId="0" applyNumberFormat="1" applyFont="1" applyBorder="1" applyAlignment="1">
      <alignment horizontal="center" vertical="center"/>
    </xf>
    <xf numFmtId="165" fontId="4" fillId="0" borderId="11" xfId="0" applyNumberFormat="1" applyFont="1" applyBorder="1" applyAlignment="1">
      <alignment horizontal="center" vertical="center"/>
    </xf>
    <xf numFmtId="165" fontId="38" fillId="0" borderId="97" xfId="0" applyNumberFormat="1" applyFont="1" applyBorder="1" applyAlignment="1">
      <alignment horizontal="center"/>
    </xf>
    <xf numFmtId="1" fontId="1" fillId="0" borderId="51" xfId="28255" applyNumberFormat="1" applyFont="1" applyBorder="1" applyAlignment="1">
      <alignment horizontal="center" vertical="center"/>
    </xf>
    <xf numFmtId="165" fontId="1" fillId="0" borderId="52" xfId="0" applyNumberFormat="1" applyFont="1" applyBorder="1" applyAlignment="1">
      <alignment horizontal="left"/>
    </xf>
    <xf numFmtId="1" fontId="1" fillId="0" borderId="12" xfId="28255" applyNumberFormat="1" applyFont="1" applyBorder="1" applyAlignment="1">
      <alignment horizontal="center" vertical="center"/>
    </xf>
    <xf numFmtId="165" fontId="1" fillId="0" borderId="13" xfId="0" applyNumberFormat="1" applyFont="1" applyBorder="1" applyAlignment="1">
      <alignment horizontal="left"/>
    </xf>
    <xf numFmtId="165" fontId="1" fillId="0" borderId="51" xfId="0" applyNumberFormat="1" applyFont="1" applyBorder="1" applyAlignment="1">
      <alignment horizontal="left" vertical="center"/>
    </xf>
    <xf numFmtId="165" fontId="1" fillId="0" borderId="52" xfId="0" applyNumberFormat="1" applyFont="1" applyBorder="1" applyAlignment="1">
      <alignment horizontal="center" vertical="center"/>
    </xf>
    <xf numFmtId="165" fontId="1" fillId="0" borderId="53" xfId="0" applyNumberFormat="1" applyFont="1" applyBorder="1"/>
    <xf numFmtId="165" fontId="1" fillId="0" borderId="12" xfId="0" applyNumberFormat="1" applyFont="1" applyBorder="1" applyAlignment="1">
      <alignment horizontal="left" vertical="center"/>
    </xf>
    <xf numFmtId="165" fontId="1" fillId="0" borderId="13" xfId="0" applyNumberFormat="1" applyFont="1" applyBorder="1" applyAlignment="1">
      <alignment horizontal="center" vertical="center"/>
    </xf>
    <xf numFmtId="165" fontId="1" fillId="0" borderId="24" xfId="0" applyNumberFormat="1" applyFont="1" applyBorder="1"/>
    <xf numFmtId="165" fontId="1" fillId="10" borderId="52" xfId="28255" applyNumberFormat="1" applyFont="1" applyFill="1" applyBorder="1" applyAlignment="1">
      <alignment horizontal="center" vertical="center"/>
    </xf>
    <xf numFmtId="165" fontId="1" fillId="10" borderId="13" xfId="28255" applyNumberFormat="1" applyFont="1" applyFill="1" applyBorder="1" applyAlignment="1">
      <alignment horizontal="center" vertical="center"/>
    </xf>
    <xf numFmtId="165" fontId="1" fillId="6" borderId="52" xfId="28255" applyNumberFormat="1" applyFont="1" applyFill="1" applyBorder="1" applyAlignment="1">
      <alignment horizontal="center" vertical="center"/>
    </xf>
    <xf numFmtId="165" fontId="1" fillId="6" borderId="13" xfId="28255" applyNumberFormat="1" applyFont="1" applyFill="1" applyBorder="1" applyAlignment="1">
      <alignment horizontal="center" vertical="center"/>
    </xf>
    <xf numFmtId="165" fontId="1" fillId="4" borderId="52" xfId="28255" applyNumberFormat="1" applyFont="1" applyFill="1" applyBorder="1" applyAlignment="1">
      <alignment horizontal="center" vertical="center"/>
    </xf>
    <xf numFmtId="165" fontId="1" fillId="4" borderId="13" xfId="28255" applyNumberFormat="1" applyFont="1" applyFill="1" applyBorder="1" applyAlignment="1">
      <alignment horizontal="center" vertical="center"/>
    </xf>
    <xf numFmtId="165" fontId="1" fillId="9" borderId="52" xfId="0" applyNumberFormat="1" applyFont="1" applyFill="1" applyBorder="1" applyAlignment="1">
      <alignment horizontal="center"/>
    </xf>
    <xf numFmtId="165" fontId="1" fillId="9" borderId="13" xfId="0" applyNumberFormat="1" applyFont="1" applyFill="1" applyBorder="1" applyAlignment="1">
      <alignment horizontal="center"/>
    </xf>
    <xf numFmtId="11" fontId="74" fillId="0" borderId="97" xfId="0" applyNumberFormat="1" applyFont="1" applyBorder="1" applyAlignment="1">
      <alignment horizontal="center"/>
    </xf>
    <xf numFmtId="165" fontId="4" fillId="8" borderId="40" xfId="0" applyNumberFormat="1" applyFont="1" applyFill="1" applyBorder="1" applyAlignment="1">
      <alignment horizontal="center"/>
    </xf>
    <xf numFmtId="11" fontId="32" fillId="0" borderId="52" xfId="0" applyNumberFormat="1" applyFont="1" applyBorder="1" applyAlignment="1">
      <alignment horizontal="left"/>
    </xf>
    <xf numFmtId="11" fontId="32" fillId="0" borderId="13" xfId="0" applyNumberFormat="1" applyFont="1" applyBorder="1" applyAlignment="1">
      <alignment horizontal="left"/>
    </xf>
    <xf numFmtId="0" fontId="92" fillId="0" borderId="0" xfId="0" applyFont="1"/>
    <xf numFmtId="0" fontId="32" fillId="0" borderId="52" xfId="0" applyFont="1" applyBorder="1" applyAlignment="1">
      <alignment horizontal="left"/>
    </xf>
    <xf numFmtId="0" fontId="32" fillId="0" borderId="52" xfId="0" applyFont="1" applyBorder="1" applyAlignment="1">
      <alignment horizontal="center" vertical="center"/>
    </xf>
    <xf numFmtId="0" fontId="32" fillId="0" borderId="51" xfId="28255" applyFont="1" applyBorder="1" applyAlignment="1">
      <alignment vertical="center"/>
    </xf>
    <xf numFmtId="165" fontId="32" fillId="12" borderId="52" xfId="28255" applyNumberFormat="1" applyFont="1" applyFill="1" applyBorder="1" applyAlignment="1">
      <alignment horizontal="center" vertical="center"/>
    </xf>
    <xf numFmtId="0" fontId="32" fillId="6" borderId="52" xfId="28255" applyFont="1" applyFill="1" applyBorder="1" applyAlignment="1">
      <alignment horizontal="center" vertical="center"/>
    </xf>
    <xf numFmtId="0" fontId="32" fillId="9" borderId="52" xfId="28255" applyFont="1" applyFill="1" applyBorder="1" applyAlignment="1">
      <alignment horizontal="center" vertical="center"/>
    </xf>
    <xf numFmtId="0" fontId="32" fillId="0" borderId="53" xfId="0" applyFont="1" applyBorder="1" applyAlignment="1">
      <alignment horizontal="center" vertical="center"/>
    </xf>
    <xf numFmtId="165" fontId="32" fillId="3" borderId="52" xfId="28255" applyNumberFormat="1" applyFont="1" applyFill="1" applyBorder="1" applyAlignment="1">
      <alignment horizontal="center" vertical="center"/>
    </xf>
    <xf numFmtId="165" fontId="32" fillId="9" borderId="52" xfId="28255" applyNumberFormat="1" applyFont="1" applyFill="1" applyBorder="1" applyAlignment="1">
      <alignment horizontal="center" vertical="center"/>
    </xf>
    <xf numFmtId="165" fontId="32" fillId="8" borderId="52" xfId="28255" applyNumberFormat="1" applyFont="1" applyFill="1" applyBorder="1" applyAlignment="1">
      <alignment horizontal="center" vertical="center"/>
    </xf>
    <xf numFmtId="0" fontId="32" fillId="12" borderId="52" xfId="28255" applyFont="1" applyFill="1" applyBorder="1" applyAlignment="1">
      <alignment horizontal="center" vertical="center"/>
    </xf>
    <xf numFmtId="165" fontId="32" fillId="4" borderId="53" xfId="28255" applyNumberFormat="1" applyFont="1" applyFill="1" applyBorder="1" applyAlignment="1">
      <alignment horizontal="center" vertical="center"/>
    </xf>
    <xf numFmtId="0" fontId="32" fillId="0" borderId="52" xfId="0" applyFont="1" applyBorder="1" applyAlignment="1">
      <alignment horizontal="center"/>
    </xf>
    <xf numFmtId="0" fontId="32" fillId="0" borderId="53" xfId="0" applyFont="1" applyBorder="1" applyAlignment="1">
      <alignment horizontal="center"/>
    </xf>
    <xf numFmtId="165" fontId="32" fillId="0" borderId="0" xfId="0" applyNumberFormat="1" applyFont="1"/>
    <xf numFmtId="1" fontId="4" fillId="0" borderId="0" xfId="0" applyNumberFormat="1" applyFont="1" applyAlignment="1">
      <alignment horizontal="center"/>
    </xf>
    <xf numFmtId="11" fontId="70" fillId="5" borderId="90" xfId="0" applyNumberFormat="1" applyFont="1" applyFill="1" applyBorder="1" applyAlignment="1">
      <alignment horizontal="center" textRotation="90" wrapText="1"/>
    </xf>
    <xf numFmtId="11" fontId="70" fillId="5" borderId="86" xfId="0" applyNumberFormat="1" applyFont="1" applyFill="1" applyBorder="1" applyAlignment="1">
      <alignment horizontal="center" textRotation="90" wrapText="1"/>
    </xf>
    <xf numFmtId="11" fontId="32" fillId="3" borderId="52" xfId="0" applyNumberFormat="1" applyFont="1" applyFill="1" applyBorder="1" applyAlignment="1">
      <alignment horizontal="center"/>
    </xf>
    <xf numFmtId="165" fontId="4" fillId="7" borderId="40" xfId="0" applyNumberFormat="1" applyFont="1" applyFill="1" applyBorder="1" applyAlignment="1">
      <alignment horizontal="center"/>
    </xf>
    <xf numFmtId="165" fontId="4" fillId="7" borderId="42" xfId="0" applyNumberFormat="1" applyFont="1" applyFill="1" applyBorder="1" applyAlignment="1">
      <alignment horizontal="center"/>
    </xf>
    <xf numFmtId="165" fontId="1" fillId="7" borderId="52" xfId="0" applyNumberFormat="1" applyFont="1" applyFill="1" applyBorder="1" applyAlignment="1">
      <alignment horizontal="center"/>
    </xf>
    <xf numFmtId="165" fontId="1" fillId="7" borderId="13" xfId="0" applyNumberFormat="1" applyFont="1" applyFill="1" applyBorder="1" applyAlignment="1">
      <alignment horizontal="center"/>
    </xf>
    <xf numFmtId="165" fontId="4" fillId="7" borderId="50" xfId="0" applyNumberFormat="1" applyFont="1" applyFill="1" applyBorder="1" applyAlignment="1">
      <alignment horizontal="center"/>
    </xf>
    <xf numFmtId="165" fontId="4" fillId="7" borderId="43" xfId="0" applyNumberFormat="1" applyFont="1" applyFill="1" applyBorder="1" applyAlignment="1">
      <alignment horizontal="center"/>
    </xf>
    <xf numFmtId="165" fontId="1" fillId="7" borderId="58" xfId="0" applyNumberFormat="1" applyFont="1" applyFill="1" applyBorder="1" applyAlignment="1">
      <alignment horizontal="center"/>
    </xf>
    <xf numFmtId="165" fontId="1" fillId="7" borderId="21" xfId="0" applyNumberFormat="1" applyFont="1" applyFill="1" applyBorder="1" applyAlignment="1">
      <alignment horizontal="center"/>
    </xf>
    <xf numFmtId="165" fontId="1" fillId="7" borderId="23" xfId="0" applyNumberFormat="1" applyFont="1" applyFill="1" applyBorder="1" applyAlignment="1">
      <alignment horizontal="center"/>
    </xf>
    <xf numFmtId="165" fontId="1" fillId="10" borderId="42" xfId="0" applyNumberFormat="1" applyFont="1" applyFill="1" applyBorder="1" applyAlignment="1">
      <alignment horizontal="center"/>
    </xf>
    <xf numFmtId="165" fontId="1" fillId="10" borderId="61" xfId="28255" applyNumberFormat="1" applyFont="1" applyFill="1" applyBorder="1" applyAlignment="1">
      <alignment horizontal="center" vertical="center"/>
    </xf>
    <xf numFmtId="165" fontId="1" fillId="10" borderId="42" xfId="28255" applyNumberFormat="1" applyFont="1" applyFill="1" applyBorder="1" applyAlignment="1">
      <alignment horizontal="center" vertical="center"/>
    </xf>
    <xf numFmtId="165" fontId="1" fillId="10" borderId="40" xfId="0" applyNumberFormat="1" applyFont="1" applyFill="1" applyBorder="1" applyAlignment="1">
      <alignment horizontal="center"/>
    </xf>
    <xf numFmtId="165" fontId="1" fillId="10" borderId="50" xfId="0" applyNumberFormat="1" applyFont="1" applyFill="1" applyBorder="1" applyAlignment="1">
      <alignment horizontal="center"/>
    </xf>
    <xf numFmtId="165" fontId="4" fillId="10" borderId="42" xfId="0" applyNumberFormat="1" applyFont="1" applyFill="1" applyBorder="1" applyAlignment="1">
      <alignment horizontal="center"/>
    </xf>
    <xf numFmtId="165" fontId="4" fillId="10" borderId="40" xfId="0" applyNumberFormat="1" applyFont="1" applyFill="1" applyBorder="1" applyAlignment="1">
      <alignment horizontal="center"/>
    </xf>
    <xf numFmtId="165" fontId="4" fillId="10" borderId="50" xfId="0" applyNumberFormat="1" applyFont="1" applyFill="1" applyBorder="1" applyAlignment="1">
      <alignment horizontal="center"/>
    </xf>
    <xf numFmtId="165" fontId="4" fillId="10" borderId="43" xfId="0" applyNumberFormat="1" applyFont="1" applyFill="1" applyBorder="1" applyAlignment="1">
      <alignment horizontal="center"/>
    </xf>
    <xf numFmtId="165" fontId="4" fillId="10" borderId="41" xfId="0" applyNumberFormat="1" applyFont="1" applyFill="1" applyBorder="1" applyAlignment="1">
      <alignment horizontal="center"/>
    </xf>
    <xf numFmtId="165" fontId="1" fillId="4" borderId="44" xfId="0" applyNumberFormat="1" applyFont="1" applyFill="1" applyBorder="1" applyAlignment="1">
      <alignment horizontal="center" vertical="center"/>
    </xf>
    <xf numFmtId="165" fontId="5" fillId="4" borderId="45" xfId="0" applyNumberFormat="1" applyFont="1" applyFill="1" applyBorder="1" applyAlignment="1">
      <alignment horizontal="center" vertical="center"/>
    </xf>
    <xf numFmtId="165" fontId="5" fillId="4" borderId="44" xfId="0" applyNumberFormat="1" applyFont="1" applyFill="1" applyBorder="1" applyAlignment="1">
      <alignment horizontal="center" vertical="center"/>
    </xf>
    <xf numFmtId="165" fontId="5" fillId="4" borderId="24" xfId="0" applyNumberFormat="1" applyFont="1" applyFill="1" applyBorder="1" applyAlignment="1">
      <alignment horizontal="center" vertical="center"/>
    </xf>
    <xf numFmtId="165" fontId="5" fillId="4" borderId="54" xfId="0" applyNumberFormat="1" applyFont="1" applyFill="1" applyBorder="1" applyAlignment="1">
      <alignment horizontal="center" vertical="center"/>
    </xf>
    <xf numFmtId="165" fontId="24" fillId="4" borderId="45" xfId="0" applyNumberFormat="1" applyFont="1" applyFill="1" applyBorder="1" applyAlignment="1">
      <alignment horizontal="center" vertical="center"/>
    </xf>
    <xf numFmtId="165" fontId="24" fillId="4" borderId="44" xfId="0" applyNumberFormat="1" applyFont="1" applyFill="1" applyBorder="1" applyAlignment="1">
      <alignment horizontal="center" vertical="center"/>
    </xf>
    <xf numFmtId="165" fontId="20" fillId="4" borderId="45" xfId="0" applyNumberFormat="1" applyFont="1" applyFill="1" applyBorder="1" applyAlignment="1">
      <alignment horizontal="center" vertical="center"/>
    </xf>
    <xf numFmtId="165" fontId="21" fillId="4" borderId="45" xfId="0" applyNumberFormat="1" applyFont="1" applyFill="1" applyBorder="1" applyAlignment="1">
      <alignment horizontal="center" vertical="center"/>
    </xf>
    <xf numFmtId="165" fontId="5" fillId="4" borderId="57" xfId="0" applyNumberFormat="1" applyFont="1" applyFill="1" applyBorder="1" applyAlignment="1">
      <alignment horizontal="center" vertical="center"/>
    </xf>
    <xf numFmtId="165" fontId="21" fillId="4" borderId="46" xfId="0" applyNumberFormat="1" applyFont="1" applyFill="1" applyBorder="1" applyAlignment="1">
      <alignment horizontal="center" vertical="center"/>
    </xf>
    <xf numFmtId="165" fontId="20" fillId="4" borderId="44" xfId="0" applyNumberFormat="1" applyFont="1" applyFill="1" applyBorder="1" applyAlignment="1">
      <alignment horizontal="center" vertical="center"/>
    </xf>
    <xf numFmtId="165" fontId="20" fillId="4" borderId="94" xfId="0" applyNumberFormat="1" applyFont="1" applyFill="1" applyBorder="1" applyAlignment="1">
      <alignment horizontal="center" vertical="center"/>
    </xf>
    <xf numFmtId="0" fontId="1" fillId="0" borderId="77" xfId="0" applyFont="1" applyBorder="1" applyAlignment="1">
      <alignment horizontal="center" vertical="center"/>
    </xf>
    <xf numFmtId="1" fontId="32" fillId="0" borderId="0" xfId="0" applyNumberFormat="1" applyFont="1" applyAlignment="1">
      <alignment horizontal="center"/>
    </xf>
    <xf numFmtId="0" fontId="1" fillId="0" borderId="33" xfId="0" applyFont="1" applyBorder="1" applyAlignment="1">
      <alignment horizontal="center"/>
    </xf>
    <xf numFmtId="0" fontId="32" fillId="0" borderId="52" xfId="28255" applyFont="1" applyBorder="1" applyAlignment="1">
      <alignment horizontal="left" vertical="center"/>
    </xf>
    <xf numFmtId="0" fontId="32" fillId="0" borderId="52" xfId="28255" applyFont="1" applyBorder="1" applyAlignment="1">
      <alignment horizontal="center" vertical="center"/>
    </xf>
    <xf numFmtId="0" fontId="32" fillId="0" borderId="52" xfId="28255" applyFont="1" applyBorder="1" applyAlignment="1">
      <alignment horizontal="left" vertical="center" wrapText="1"/>
    </xf>
    <xf numFmtId="0" fontId="32" fillId="0" borderId="53" xfId="28255" applyFont="1" applyBorder="1" applyAlignment="1">
      <alignment horizontal="left" vertical="center" wrapText="1"/>
    </xf>
    <xf numFmtId="0" fontId="32" fillId="0" borderId="13" xfId="28255" applyFont="1" applyBorder="1" applyAlignment="1">
      <alignment horizontal="left" vertical="center"/>
    </xf>
    <xf numFmtId="0" fontId="32" fillId="0" borderId="11" xfId="28255" applyFont="1" applyBorder="1" applyAlignment="1">
      <alignment horizontal="left" vertical="center"/>
    </xf>
    <xf numFmtId="0" fontId="32" fillId="0" borderId="10" xfId="28255" applyFont="1" applyBorder="1" applyAlignment="1">
      <alignment horizontal="left" vertical="center"/>
    </xf>
    <xf numFmtId="0" fontId="32" fillId="0" borderId="109" xfId="28915" applyFont="1" applyBorder="1" applyAlignment="1">
      <alignment horizontal="center" vertical="center" wrapText="1"/>
    </xf>
    <xf numFmtId="0" fontId="32" fillId="2" borderId="47" xfId="28915" applyFont="1" applyFill="1" applyBorder="1" applyAlignment="1">
      <alignment horizontal="center" vertical="center" wrapText="1"/>
    </xf>
    <xf numFmtId="168" fontId="32" fillId="12" borderId="11" xfId="28255" applyNumberFormat="1" applyFont="1" applyFill="1" applyBorder="1" applyAlignment="1">
      <alignment horizontal="center" vertical="center" wrapText="1"/>
    </xf>
    <xf numFmtId="1" fontId="32" fillId="12" borderId="11" xfId="28255" applyNumberFormat="1" applyFont="1" applyFill="1" applyBorder="1" applyAlignment="1">
      <alignment horizontal="center" vertical="center"/>
    </xf>
    <xf numFmtId="0" fontId="32" fillId="0" borderId="51" xfId="28915" applyFont="1" applyBorder="1" applyAlignment="1">
      <alignment horizontal="center" vertical="center" wrapText="1"/>
    </xf>
    <xf numFmtId="166" fontId="1" fillId="9" borderId="52" xfId="0" applyNumberFormat="1" applyFont="1" applyFill="1" applyBorder="1" applyAlignment="1">
      <alignment horizontal="center" vertical="center"/>
    </xf>
    <xf numFmtId="1" fontId="1" fillId="9" borderId="52" xfId="0" applyNumberFormat="1" applyFont="1" applyFill="1" applyBorder="1" applyAlignment="1">
      <alignment horizontal="center" vertical="center"/>
    </xf>
    <xf numFmtId="11" fontId="1" fillId="6" borderId="53" xfId="0" applyNumberFormat="1" applyFont="1" applyFill="1" applyBorder="1" applyAlignment="1">
      <alignment horizontal="center" vertical="center"/>
    </xf>
    <xf numFmtId="11" fontId="32" fillId="9" borderId="52" xfId="0" applyNumberFormat="1" applyFont="1" applyFill="1" applyBorder="1" applyAlignment="1">
      <alignment horizontal="center" vertical="center"/>
    </xf>
    <xf numFmtId="11" fontId="32" fillId="9" borderId="52" xfId="0" applyNumberFormat="1" applyFont="1" applyFill="1" applyBorder="1" applyAlignment="1">
      <alignment horizontal="center"/>
    </xf>
    <xf numFmtId="11" fontId="32" fillId="8" borderId="52" xfId="0" applyNumberFormat="1" applyFont="1" applyFill="1" applyBorder="1" applyAlignment="1">
      <alignment horizontal="center" vertical="center"/>
    </xf>
    <xf numFmtId="11" fontId="32" fillId="0" borderId="52" xfId="0" applyNumberFormat="1" applyFont="1" applyBorder="1" applyAlignment="1">
      <alignment horizontal="center" vertical="center"/>
    </xf>
    <xf numFmtId="11" fontId="32" fillId="12" borderId="52" xfId="0" applyNumberFormat="1" applyFont="1" applyFill="1" applyBorder="1" applyAlignment="1">
      <alignment horizontal="center"/>
    </xf>
    <xf numFmtId="11" fontId="32" fillId="6" borderId="52" xfId="0" applyNumberFormat="1" applyFont="1" applyFill="1" applyBorder="1" applyAlignment="1">
      <alignment horizontal="center"/>
    </xf>
    <xf numFmtId="11" fontId="32" fillId="0" borderId="52" xfId="0" applyNumberFormat="1" applyFont="1" applyBorder="1" applyAlignment="1">
      <alignment horizontal="center"/>
    </xf>
    <xf numFmtId="11" fontId="32" fillId="0" borderId="53" xfId="0" applyNumberFormat="1" applyFont="1" applyBorder="1" applyAlignment="1">
      <alignment horizontal="center"/>
    </xf>
    <xf numFmtId="11" fontId="32" fillId="8" borderId="53" xfId="0" applyNumberFormat="1" applyFont="1" applyFill="1" applyBorder="1" applyAlignment="1">
      <alignment horizontal="center" vertical="center"/>
    </xf>
    <xf numFmtId="0" fontId="74" fillId="0" borderId="97" xfId="0" applyFont="1" applyBorder="1"/>
    <xf numFmtId="11" fontId="74" fillId="0" borderId="52" xfId="0" applyNumberFormat="1" applyFont="1" applyBorder="1" applyAlignment="1">
      <alignment horizontal="center" vertical="center"/>
    </xf>
    <xf numFmtId="11" fontId="74" fillId="0" borderId="53" xfId="0" applyNumberFormat="1" applyFont="1" applyBorder="1" applyAlignment="1">
      <alignment horizontal="center" vertical="center"/>
    </xf>
    <xf numFmtId="11" fontId="32" fillId="0" borderId="51" xfId="28255" applyNumberFormat="1" applyFont="1" applyBorder="1" applyAlignment="1">
      <alignment horizontal="center" vertical="center"/>
    </xf>
    <xf numFmtId="11" fontId="32" fillId="3" borderId="53" xfId="28255" applyNumberFormat="1" applyFont="1" applyFill="1" applyBorder="1" applyAlignment="1">
      <alignment horizontal="center" vertical="center"/>
    </xf>
    <xf numFmtId="11" fontId="74" fillId="0" borderId="61" xfId="0" applyNumberFormat="1" applyFont="1" applyBorder="1" applyAlignment="1">
      <alignment horizontal="center" vertical="center"/>
    </xf>
    <xf numFmtId="11" fontId="74" fillId="0" borderId="51" xfId="0" applyNumberFormat="1" applyFont="1" applyBorder="1" applyAlignment="1">
      <alignment horizontal="center" vertical="center"/>
    </xf>
    <xf numFmtId="1" fontId="32" fillId="0" borderId="51" xfId="28915" applyNumberFormat="1" applyFont="1" applyBorder="1" applyAlignment="1">
      <alignment horizontal="center" vertical="center" wrapText="1"/>
    </xf>
    <xf numFmtId="0" fontId="0" fillId="2" borderId="120" xfId="0" applyFill="1" applyBorder="1" applyAlignment="1">
      <alignment horizontal="center"/>
    </xf>
    <xf numFmtId="11" fontId="74" fillId="0" borderId="0" xfId="0" applyNumberFormat="1" applyFont="1"/>
    <xf numFmtId="1" fontId="32" fillId="0" borderId="52" xfId="0" applyNumberFormat="1" applyFont="1" applyBorder="1" applyAlignment="1">
      <alignment horizontal="left"/>
    </xf>
    <xf numFmtId="1" fontId="32" fillId="14" borderId="52" xfId="0" applyNumberFormat="1" applyFont="1" applyFill="1" applyBorder="1" applyAlignment="1">
      <alignment horizontal="center"/>
    </xf>
    <xf numFmtId="11" fontId="32" fillId="8" borderId="52" xfId="0" applyNumberFormat="1" applyFont="1" applyFill="1" applyBorder="1" applyAlignment="1">
      <alignment horizontal="center"/>
    </xf>
    <xf numFmtId="0" fontId="32" fillId="0" borderId="92" xfId="28915" applyFont="1" applyBorder="1" applyAlignment="1">
      <alignment horizontal="center" vertical="center" wrapText="1"/>
    </xf>
    <xf numFmtId="11" fontId="32" fillId="0" borderId="53" xfId="0" applyNumberFormat="1" applyFont="1" applyBorder="1" applyAlignment="1">
      <alignment horizontal="center" vertical="center"/>
    </xf>
    <xf numFmtId="11" fontId="32" fillId="6" borderId="52" xfId="0" applyNumberFormat="1" applyFont="1" applyFill="1" applyBorder="1" applyAlignment="1">
      <alignment horizontal="center" vertical="center"/>
    </xf>
    <xf numFmtId="1" fontId="28" fillId="0" borderId="52" xfId="28255" applyNumberFormat="1" applyBorder="1" applyAlignment="1">
      <alignment horizontal="left" vertical="center"/>
    </xf>
    <xf numFmtId="11" fontId="47" fillId="0" borderId="0" xfId="0" applyNumberFormat="1" applyFont="1"/>
    <xf numFmtId="11" fontId="32" fillId="12" borderId="52" xfId="0" applyNumberFormat="1" applyFont="1" applyFill="1" applyBorder="1" applyAlignment="1">
      <alignment horizontal="center" vertical="center"/>
    </xf>
    <xf numFmtId="0" fontId="47" fillId="0" borderId="0" xfId="0" applyFont="1" applyAlignment="1">
      <alignment horizontal="center" vertical="center"/>
    </xf>
    <xf numFmtId="11" fontId="32" fillId="10" borderId="52" xfId="0" applyNumberFormat="1" applyFont="1" applyFill="1" applyBorder="1" applyAlignment="1">
      <alignment horizontal="center" vertical="center"/>
    </xf>
    <xf numFmtId="11" fontId="32" fillId="4" borderId="53" xfId="0" applyNumberFormat="1" applyFont="1" applyFill="1" applyBorder="1" applyAlignment="1">
      <alignment horizontal="center" vertical="center"/>
    </xf>
    <xf numFmtId="0" fontId="32" fillId="0" borderId="61" xfId="0" applyFont="1" applyBorder="1" applyAlignment="1">
      <alignment horizontal="center"/>
    </xf>
    <xf numFmtId="0" fontId="32" fillId="0" borderId="51" xfId="0" applyFont="1" applyBorder="1" applyAlignment="1">
      <alignment horizontal="center"/>
    </xf>
    <xf numFmtId="165" fontId="32" fillId="0" borderId="53" xfId="28255" applyNumberFormat="1" applyFont="1" applyBorder="1" applyAlignment="1">
      <alignment horizontal="center" vertical="center"/>
    </xf>
    <xf numFmtId="0" fontId="32" fillId="0" borderId="61" xfId="0" applyFont="1" applyBorder="1" applyAlignment="1">
      <alignment horizontal="center" vertical="center"/>
    </xf>
    <xf numFmtId="0" fontId="1" fillId="0" borderId="40" xfId="0" applyFont="1" applyBorder="1" applyAlignment="1">
      <alignment horizontal="center" vertical="center"/>
    </xf>
    <xf numFmtId="0" fontId="1" fillId="0" borderId="42" xfId="0" applyFont="1" applyBorder="1" applyAlignment="1">
      <alignment horizontal="center" vertical="center"/>
    </xf>
    <xf numFmtId="0" fontId="1" fillId="0" borderId="50" xfId="0" applyFont="1" applyBorder="1" applyAlignment="1">
      <alignment horizontal="center" vertical="center"/>
    </xf>
    <xf numFmtId="0" fontId="32" fillId="0" borderId="51" xfId="0" applyFont="1" applyBorder="1" applyAlignment="1">
      <alignment horizontal="center" vertical="center"/>
    </xf>
    <xf numFmtId="165" fontId="74" fillId="0" borderId="97" xfId="0" applyNumberFormat="1" applyFont="1" applyBorder="1" applyAlignment="1">
      <alignment horizontal="center"/>
    </xf>
    <xf numFmtId="165" fontId="32" fillId="0" borderId="52" xfId="0" applyNumberFormat="1" applyFont="1" applyBorder="1" applyAlignment="1">
      <alignment horizontal="left"/>
    </xf>
    <xf numFmtId="165" fontId="32" fillId="0" borderId="51" xfId="0" applyNumberFormat="1" applyFont="1" applyBorder="1" applyAlignment="1">
      <alignment horizontal="left" vertical="center"/>
    </xf>
    <xf numFmtId="165" fontId="32" fillId="0" borderId="52" xfId="0" applyNumberFormat="1" applyFont="1" applyBorder="1" applyAlignment="1">
      <alignment horizontal="center" vertical="center"/>
    </xf>
    <xf numFmtId="165" fontId="32" fillId="0" borderId="53" xfId="0" applyNumberFormat="1" applyFont="1" applyBorder="1"/>
    <xf numFmtId="165" fontId="32" fillId="9" borderId="52" xfId="0" applyNumberFormat="1" applyFont="1" applyFill="1" applyBorder="1" applyAlignment="1">
      <alignment horizontal="center"/>
    </xf>
    <xf numFmtId="165" fontId="32" fillId="6" borderId="52" xfId="28255" applyNumberFormat="1" applyFont="1" applyFill="1" applyBorder="1" applyAlignment="1">
      <alignment horizontal="center" vertical="center"/>
    </xf>
    <xf numFmtId="165" fontId="32" fillId="7" borderId="52" xfId="0" applyNumberFormat="1" applyFont="1" applyFill="1" applyBorder="1" applyAlignment="1">
      <alignment horizontal="center"/>
    </xf>
    <xf numFmtId="165" fontId="32" fillId="10" borderId="52" xfId="28255" applyNumberFormat="1" applyFont="1" applyFill="1" applyBorder="1" applyAlignment="1">
      <alignment horizontal="center" vertical="center"/>
    </xf>
    <xf numFmtId="165" fontId="32" fillId="4" borderId="52" xfId="28255" applyNumberFormat="1" applyFont="1" applyFill="1" applyBorder="1" applyAlignment="1">
      <alignment horizontal="center" vertical="center"/>
    </xf>
    <xf numFmtId="1" fontId="32" fillId="4" borderId="22" xfId="28255" applyNumberFormat="1" applyFont="1" applyFill="1" applyBorder="1" applyAlignment="1">
      <alignment horizontal="center" vertical="center"/>
    </xf>
    <xf numFmtId="1" fontId="32" fillId="4" borderId="21" xfId="28255" applyNumberFormat="1" applyFont="1" applyFill="1" applyBorder="1" applyAlignment="1">
      <alignment horizontal="center" vertical="center"/>
    </xf>
    <xf numFmtId="1" fontId="32" fillId="4" borderId="58" xfId="28255" applyNumberFormat="1" applyFont="1" applyFill="1" applyBorder="1" applyAlignment="1">
      <alignment horizontal="center" vertical="center"/>
    </xf>
    <xf numFmtId="1" fontId="32" fillId="4" borderId="13" xfId="28255" applyNumberFormat="1" applyFont="1" applyFill="1" applyBorder="1" applyAlignment="1">
      <alignment horizontal="center" vertical="center"/>
    </xf>
    <xf numFmtId="1" fontId="32" fillId="4" borderId="10" xfId="28255" applyNumberFormat="1" applyFont="1" applyFill="1" applyBorder="1" applyAlignment="1">
      <alignment horizontal="center" vertical="center"/>
    </xf>
    <xf numFmtId="1" fontId="32" fillId="4" borderId="20" xfId="28255" applyNumberFormat="1" applyFont="1" applyFill="1" applyBorder="1" applyAlignment="1">
      <alignment horizontal="center" vertical="center"/>
    </xf>
    <xf numFmtId="1" fontId="32" fillId="4" borderId="52" xfId="28255" applyNumberFormat="1" applyFont="1" applyFill="1" applyBorder="1" applyAlignment="1">
      <alignment horizontal="center" vertical="center"/>
    </xf>
    <xf numFmtId="1" fontId="32" fillId="4" borderId="11" xfId="28255" applyNumberFormat="1" applyFont="1" applyFill="1" applyBorder="1" applyAlignment="1">
      <alignment horizontal="center" vertical="center"/>
    </xf>
    <xf numFmtId="1" fontId="32" fillId="4" borderId="15" xfId="28255" applyNumberFormat="1" applyFont="1" applyFill="1" applyBorder="1" applyAlignment="1">
      <alignment horizontal="center" vertical="center"/>
    </xf>
    <xf numFmtId="1" fontId="32" fillId="4" borderId="29" xfId="28255" applyNumberFormat="1" applyFont="1" applyFill="1" applyBorder="1" applyAlignment="1">
      <alignment horizontal="center" vertical="center"/>
    </xf>
    <xf numFmtId="1" fontId="32" fillId="4" borderId="19" xfId="28255" applyNumberFormat="1" applyFont="1" applyFill="1" applyBorder="1" applyAlignment="1">
      <alignment horizontal="center" vertical="center"/>
    </xf>
    <xf numFmtId="1" fontId="32" fillId="4" borderId="23" xfId="28255" applyNumberFormat="1" applyFont="1" applyFill="1" applyBorder="1" applyAlignment="1">
      <alignment horizontal="center" vertical="center"/>
    </xf>
    <xf numFmtId="0" fontId="93" fillId="2" borderId="38" xfId="28255" applyFont="1" applyFill="1" applyBorder="1" applyAlignment="1">
      <alignment horizontal="center" vertical="center"/>
    </xf>
    <xf numFmtId="165" fontId="94" fillId="2" borderId="38" xfId="28255" applyNumberFormat="1" applyFont="1" applyFill="1" applyBorder="1" applyAlignment="1">
      <alignment horizontal="center" vertical="center"/>
    </xf>
    <xf numFmtId="0" fontId="93" fillId="2" borderId="38" xfId="0" applyFont="1" applyFill="1" applyBorder="1" applyAlignment="1">
      <alignment horizontal="center" vertical="center"/>
    </xf>
    <xf numFmtId="165" fontId="93" fillId="2" borderId="3" xfId="0" applyNumberFormat="1" applyFont="1" applyFill="1" applyBorder="1" applyAlignment="1">
      <alignment horizontal="center" vertical="center"/>
    </xf>
    <xf numFmtId="165" fontId="59" fillId="2" borderId="30" xfId="28915" applyNumberFormat="1" applyFont="1" applyFill="1" applyBorder="1" applyAlignment="1">
      <alignment horizontal="center" vertical="center" wrapText="1"/>
    </xf>
    <xf numFmtId="165" fontId="59" fillId="2" borderId="30" xfId="28915" applyNumberFormat="1" applyFont="1" applyFill="1" applyBorder="1" applyAlignment="1">
      <alignment horizontal="center" vertical="center"/>
    </xf>
    <xf numFmtId="165" fontId="59" fillId="2" borderId="37" xfId="28915" applyNumberFormat="1" applyFont="1" applyFill="1" applyBorder="1" applyAlignment="1">
      <alignment horizontal="center" vertical="center" wrapText="1"/>
    </xf>
    <xf numFmtId="0" fontId="52" fillId="2" borderId="30" xfId="0" applyFont="1" applyFill="1" applyBorder="1" applyAlignment="1">
      <alignment horizontal="center" vertical="center"/>
    </xf>
    <xf numFmtId="165" fontId="52" fillId="2" borderId="37" xfId="0" applyNumberFormat="1" applyFont="1" applyFill="1" applyBorder="1" applyAlignment="1">
      <alignment horizontal="center" vertical="center"/>
    </xf>
    <xf numFmtId="0" fontId="95" fillId="2" borderId="99" xfId="0" applyFont="1" applyFill="1" applyBorder="1" applyAlignment="1">
      <alignment horizontal="center"/>
    </xf>
    <xf numFmtId="0" fontId="59" fillId="2" borderId="30" xfId="0" applyFont="1" applyFill="1" applyBorder="1" applyAlignment="1">
      <alignment horizontal="center"/>
    </xf>
    <xf numFmtId="0" fontId="59" fillId="2" borderId="37" xfId="0" applyFont="1" applyFill="1" applyBorder="1" applyAlignment="1">
      <alignment horizontal="center"/>
    </xf>
    <xf numFmtId="0" fontId="59" fillId="2" borderId="30" xfId="0" applyFont="1" applyFill="1" applyBorder="1"/>
    <xf numFmtId="0" fontId="52" fillId="2" borderId="30" xfId="28255" applyFont="1" applyFill="1" applyBorder="1" applyAlignment="1">
      <alignment vertical="center"/>
    </xf>
    <xf numFmtId="0" fontId="59" fillId="2" borderId="37" xfId="0" applyFont="1" applyFill="1" applyBorder="1"/>
    <xf numFmtId="0" fontId="59" fillId="2" borderId="30" xfId="0" applyFont="1" applyFill="1" applyBorder="1" applyAlignment="1">
      <alignment horizontal="center" vertical="center"/>
    </xf>
    <xf numFmtId="0" fontId="59" fillId="2" borderId="37" xfId="0" applyFont="1" applyFill="1" applyBorder="1" applyAlignment="1">
      <alignment horizontal="center" vertical="center"/>
    </xf>
    <xf numFmtId="0" fontId="59" fillId="2" borderId="38" xfId="0" applyFont="1" applyFill="1" applyBorder="1" applyAlignment="1">
      <alignment horizontal="center" vertical="center"/>
    </xf>
    <xf numFmtId="0" fontId="59" fillId="2" borderId="3" xfId="0" applyFont="1" applyFill="1" applyBorder="1" applyAlignment="1">
      <alignment horizontal="center" vertical="center"/>
    </xf>
    <xf numFmtId="165" fontId="52" fillId="2" borderId="30" xfId="0" applyNumberFormat="1" applyFont="1" applyFill="1" applyBorder="1" applyAlignment="1">
      <alignment horizontal="center"/>
    </xf>
    <xf numFmtId="165" fontId="59" fillId="2" borderId="30" xfId="0" applyNumberFormat="1" applyFont="1" applyFill="1" applyBorder="1"/>
    <xf numFmtId="165" fontId="59" fillId="2" borderId="30" xfId="0" applyNumberFormat="1" applyFont="1" applyFill="1" applyBorder="1" applyAlignment="1">
      <alignment horizontal="center"/>
    </xf>
    <xf numFmtId="165" fontId="59" fillId="2" borderId="37" xfId="0" applyNumberFormat="1" applyFont="1" applyFill="1" applyBorder="1"/>
    <xf numFmtId="165" fontId="52" fillId="2" borderId="30" xfId="0" applyNumberFormat="1" applyFont="1" applyFill="1" applyBorder="1" applyAlignment="1">
      <alignment horizontal="center" vertical="center"/>
    </xf>
    <xf numFmtId="165" fontId="52" fillId="2" borderId="37" xfId="0" applyNumberFormat="1" applyFont="1" applyFill="1" applyBorder="1"/>
    <xf numFmtId="165" fontId="59" fillId="2" borderId="37" xfId="0" applyNumberFormat="1" applyFont="1" applyFill="1" applyBorder="1" applyAlignment="1">
      <alignment horizontal="center"/>
    </xf>
    <xf numFmtId="168" fontId="52" fillId="2" borderId="30" xfId="28255" applyNumberFormat="1" applyFont="1" applyFill="1" applyBorder="1" applyAlignment="1">
      <alignment horizontal="center" vertical="center" wrapText="1"/>
    </xf>
    <xf numFmtId="1" fontId="52" fillId="2" borderId="30" xfId="28255" applyNumberFormat="1" applyFont="1" applyFill="1" applyBorder="1" applyAlignment="1">
      <alignment horizontal="center" vertical="center"/>
    </xf>
    <xf numFmtId="2" fontId="52" fillId="2" borderId="30" xfId="28255" applyNumberFormat="1" applyFont="1" applyFill="1" applyBorder="1" applyAlignment="1">
      <alignment horizontal="center" vertical="center"/>
    </xf>
    <xf numFmtId="1" fontId="59" fillId="2" borderId="30" xfId="0" applyNumberFormat="1" applyFont="1" applyFill="1" applyBorder="1" applyAlignment="1">
      <alignment horizontal="center"/>
    </xf>
    <xf numFmtId="11" fontId="52" fillId="2" borderId="2" xfId="28255" applyNumberFormat="1" applyFont="1" applyFill="1" applyBorder="1" applyAlignment="1">
      <alignment horizontal="center" vertical="center"/>
    </xf>
    <xf numFmtId="11" fontId="59" fillId="2" borderId="30" xfId="28255" applyNumberFormat="1" applyFont="1" applyFill="1" applyBorder="1" applyAlignment="1">
      <alignment horizontal="center" vertical="center"/>
    </xf>
    <xf numFmtId="11" fontId="59" fillId="2" borderId="30" xfId="28915" applyNumberFormat="1" applyFont="1" applyFill="1" applyBorder="1" applyAlignment="1">
      <alignment horizontal="center" vertical="center" wrapText="1"/>
    </xf>
    <xf numFmtId="168" fontId="59" fillId="2" borderId="30" xfId="28255" applyNumberFormat="1" applyFont="1" applyFill="1" applyBorder="1" applyAlignment="1">
      <alignment horizontal="center" vertical="center"/>
    </xf>
    <xf numFmtId="1" fontId="59" fillId="2" borderId="30" xfId="28255" applyNumberFormat="1" applyFont="1" applyFill="1" applyBorder="1" applyAlignment="1">
      <alignment horizontal="center" vertical="center"/>
    </xf>
    <xf numFmtId="2" fontId="59" fillId="2" borderId="30" xfId="28255" applyNumberFormat="1" applyFont="1" applyFill="1" applyBorder="1" applyAlignment="1">
      <alignment horizontal="center" vertical="center"/>
    </xf>
    <xf numFmtId="11" fontId="59" fillId="2" borderId="37" xfId="28255" applyNumberFormat="1" applyFont="1" applyFill="1" applyBorder="1" applyAlignment="1">
      <alignment horizontal="center" vertical="center"/>
    </xf>
    <xf numFmtId="166" fontId="52" fillId="2" borderId="30" xfId="28255" applyNumberFormat="1" applyFont="1" applyFill="1" applyBorder="1" applyAlignment="1">
      <alignment horizontal="center" vertical="center" wrapText="1"/>
    </xf>
    <xf numFmtId="1" fontId="52" fillId="2" borderId="30" xfId="28255" applyNumberFormat="1" applyFont="1" applyFill="1" applyBorder="1" applyAlignment="1">
      <alignment horizontal="center" vertical="center" wrapText="1"/>
    </xf>
    <xf numFmtId="2" fontId="52" fillId="2" borderId="30" xfId="28255" applyNumberFormat="1" applyFont="1" applyFill="1" applyBorder="1" applyAlignment="1">
      <alignment horizontal="center" vertical="center" wrapText="1"/>
    </xf>
    <xf numFmtId="11" fontId="52" fillId="2" borderId="37" xfId="28255" applyNumberFormat="1" applyFont="1" applyFill="1" applyBorder="1" applyAlignment="1">
      <alignment horizontal="center" vertical="center"/>
    </xf>
    <xf numFmtId="168" fontId="59" fillId="2" borderId="30" xfId="28915" applyNumberFormat="1" applyFont="1" applyFill="1" applyBorder="1" applyAlignment="1">
      <alignment horizontal="center" vertical="center" wrapText="1"/>
    </xf>
    <xf numFmtId="1" fontId="59" fillId="2" borderId="30" xfId="28915" applyNumberFormat="1" applyFont="1" applyFill="1" applyBorder="1" applyAlignment="1">
      <alignment horizontal="center" vertical="center" wrapText="1"/>
    </xf>
    <xf numFmtId="2" fontId="59" fillId="2" borderId="30" xfId="28915" applyNumberFormat="1" applyFont="1" applyFill="1" applyBorder="1" applyAlignment="1">
      <alignment horizontal="center" vertical="center" wrapText="1"/>
    </xf>
    <xf numFmtId="11" fontId="59" fillId="2" borderId="0" xfId="28915" applyNumberFormat="1" applyFont="1" applyFill="1" applyAlignment="1">
      <alignment horizontal="center" vertical="center" wrapText="1"/>
    </xf>
    <xf numFmtId="11" fontId="59" fillId="2" borderId="2" xfId="28915" applyNumberFormat="1" applyFont="1" applyFill="1" applyBorder="1" applyAlignment="1">
      <alignment horizontal="center" vertical="center" wrapText="1"/>
    </xf>
    <xf numFmtId="11" fontId="59" fillId="2" borderId="37" xfId="28915" applyNumberFormat="1" applyFont="1" applyFill="1" applyBorder="1" applyAlignment="1">
      <alignment horizontal="center" vertical="center" wrapText="1"/>
    </xf>
    <xf numFmtId="166" fontId="59" fillId="2" borderId="30" xfId="0" applyNumberFormat="1" applyFont="1" applyFill="1" applyBorder="1" applyAlignment="1">
      <alignment horizontal="center" vertical="center"/>
    </xf>
    <xf numFmtId="11" fontId="59" fillId="2" borderId="37" xfId="0" applyNumberFormat="1" applyFont="1" applyFill="1" applyBorder="1" applyAlignment="1">
      <alignment horizontal="center" vertical="center"/>
    </xf>
    <xf numFmtId="11" fontId="59" fillId="2" borderId="35" xfId="28915" applyNumberFormat="1" applyFont="1" applyFill="1" applyBorder="1" applyAlignment="1">
      <alignment horizontal="center" vertical="center" wrapText="1"/>
    </xf>
    <xf numFmtId="11" fontId="53" fillId="2" borderId="37" xfId="28255" applyNumberFormat="1" applyFont="1" applyFill="1" applyBorder="1" applyAlignment="1">
      <alignment horizontal="center" vertical="center"/>
    </xf>
    <xf numFmtId="11" fontId="59" fillId="2" borderId="3" xfId="0" applyNumberFormat="1" applyFont="1" applyFill="1" applyBorder="1" applyAlignment="1">
      <alignment horizontal="center" vertical="center"/>
    </xf>
    <xf numFmtId="11" fontId="53" fillId="2" borderId="30" xfId="28255" applyNumberFormat="1" applyFont="1" applyFill="1" applyBorder="1" applyAlignment="1">
      <alignment vertical="center"/>
    </xf>
    <xf numFmtId="11" fontId="53" fillId="2" borderId="37" xfId="28255" applyNumberFormat="1" applyFont="1" applyFill="1" applyBorder="1" applyAlignment="1">
      <alignment vertical="center"/>
    </xf>
    <xf numFmtId="11" fontId="59" fillId="2" borderId="30" xfId="28915" applyNumberFormat="1" applyFont="1" applyFill="1" applyBorder="1" applyAlignment="1">
      <alignment horizontal="center" vertical="center"/>
    </xf>
    <xf numFmtId="11" fontId="59" fillId="2" borderId="37" xfId="28915" applyNumberFormat="1" applyFont="1" applyFill="1" applyBorder="1" applyAlignment="1">
      <alignment horizontal="center" vertical="center"/>
    </xf>
    <xf numFmtId="11" fontId="95" fillId="2" borderId="30" xfId="0" applyNumberFormat="1" applyFont="1" applyFill="1" applyBorder="1" applyAlignment="1">
      <alignment horizontal="center" vertical="center"/>
    </xf>
    <xf numFmtId="11" fontId="95" fillId="2" borderId="37" xfId="0" applyNumberFormat="1" applyFont="1" applyFill="1" applyBorder="1" applyAlignment="1">
      <alignment horizontal="center" vertical="center"/>
    </xf>
    <xf numFmtId="1" fontId="59" fillId="2" borderId="30" xfId="0" applyNumberFormat="1" applyFont="1" applyFill="1" applyBorder="1" applyAlignment="1">
      <alignment horizontal="center" vertical="center"/>
    </xf>
    <xf numFmtId="11" fontId="95" fillId="2" borderId="38" xfId="0" applyNumberFormat="1" applyFont="1" applyFill="1" applyBorder="1" applyAlignment="1">
      <alignment horizontal="center" vertical="center"/>
    </xf>
    <xf numFmtId="11" fontId="59" fillId="2" borderId="112" xfId="0" applyNumberFormat="1" applyFont="1" applyFill="1" applyBorder="1" applyAlignment="1">
      <alignment horizontal="center" vertical="center"/>
    </xf>
    <xf numFmtId="1" fontId="33" fillId="0" borderId="0" xfId="28255" applyNumberFormat="1" applyFont="1" applyAlignment="1">
      <alignment horizontal="center" wrapText="1"/>
    </xf>
    <xf numFmtId="165" fontId="1" fillId="0" borderId="21" xfId="0" applyNumberFormat="1" applyFont="1" applyBorder="1" applyAlignment="1">
      <alignment horizontal="center" vertical="center"/>
    </xf>
    <xf numFmtId="165" fontId="5" fillId="0" borderId="21" xfId="0" applyNumberFormat="1" applyFont="1" applyBorder="1" applyAlignment="1">
      <alignment horizontal="center" vertical="center"/>
    </xf>
    <xf numFmtId="165" fontId="5" fillId="0" borderId="20" xfId="0" applyNumberFormat="1" applyFont="1" applyBorder="1" applyAlignment="1">
      <alignment horizontal="center" vertical="center"/>
    </xf>
    <xf numFmtId="165" fontId="5" fillId="0" borderId="13" xfId="0" applyNumberFormat="1" applyFont="1" applyBorder="1" applyAlignment="1">
      <alignment horizontal="center" vertical="center"/>
    </xf>
    <xf numFmtId="165" fontId="5" fillId="0" borderId="10" xfId="0" applyNumberFormat="1" applyFont="1" applyBorder="1" applyAlignment="1">
      <alignment horizontal="center" vertical="center"/>
    </xf>
    <xf numFmtId="165" fontId="24" fillId="0" borderId="21" xfId="0" applyNumberFormat="1" applyFont="1" applyBorder="1" applyAlignment="1">
      <alignment horizontal="center" vertical="center"/>
    </xf>
    <xf numFmtId="165" fontId="20" fillId="0" borderId="21" xfId="0" applyNumberFormat="1" applyFont="1" applyBorder="1" applyAlignment="1">
      <alignment horizontal="center" vertical="center"/>
    </xf>
    <xf numFmtId="165" fontId="21" fillId="0" borderId="21" xfId="0" applyNumberFormat="1" applyFont="1" applyBorder="1" applyAlignment="1">
      <alignment horizontal="center" vertical="center"/>
    </xf>
    <xf numFmtId="165" fontId="5" fillId="0" borderId="11" xfId="0" applyNumberFormat="1" applyFont="1" applyBorder="1" applyAlignment="1">
      <alignment horizontal="center" vertical="center"/>
    </xf>
    <xf numFmtId="165" fontId="21" fillId="0" borderId="22" xfId="0" applyNumberFormat="1" applyFont="1" applyBorder="1" applyAlignment="1">
      <alignment horizontal="center" vertical="center"/>
    </xf>
    <xf numFmtId="165" fontId="20" fillId="0" borderId="23" xfId="0" applyNumberFormat="1" applyFont="1" applyBorder="1" applyAlignment="1">
      <alignment horizontal="center" vertical="center"/>
    </xf>
    <xf numFmtId="1" fontId="32" fillId="0" borderId="11" xfId="0" applyNumberFormat="1" applyFont="1" applyBorder="1" applyAlignment="1">
      <alignment horizontal="left" vertical="center"/>
    </xf>
    <xf numFmtId="11" fontId="32" fillId="14" borderId="11" xfId="28255" applyNumberFormat="1" applyFont="1" applyFill="1" applyBorder="1" applyAlignment="1">
      <alignment horizontal="center" vertical="center"/>
    </xf>
    <xf numFmtId="0" fontId="1" fillId="0" borderId="0" xfId="0" applyFont="1" applyAlignment="1">
      <alignment horizont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7" borderId="0" xfId="0" applyFont="1" applyFill="1"/>
    <xf numFmtId="0" fontId="24" fillId="7" borderId="66" xfId="0" applyFont="1" applyFill="1" applyBorder="1" applyAlignment="1">
      <alignment horizontal="left" vertical="center" wrapText="1"/>
    </xf>
    <xf numFmtId="167" fontId="3" fillId="7" borderId="67" xfId="0" applyNumberFormat="1" applyFont="1" applyFill="1" applyBorder="1" applyAlignment="1">
      <alignment horizontal="left" vertical="center" wrapText="1"/>
    </xf>
    <xf numFmtId="0" fontId="16" fillId="7" borderId="66" xfId="0" applyFont="1" applyFill="1" applyBorder="1" applyAlignment="1">
      <alignment horizontal="left" vertical="center" wrapText="1"/>
    </xf>
    <xf numFmtId="0" fontId="23" fillId="7" borderId="67" xfId="0" applyFont="1" applyFill="1" applyBorder="1" applyAlignment="1">
      <alignment horizontal="left" vertical="center" wrapText="1"/>
    </xf>
    <xf numFmtId="0" fontId="24" fillId="7" borderId="65" xfId="0" applyFont="1" applyFill="1" applyBorder="1" applyAlignment="1">
      <alignment horizontal="left" vertical="center" wrapText="1"/>
    </xf>
    <xf numFmtId="3" fontId="23" fillId="7" borderId="66" xfId="0" applyNumberFormat="1" applyFont="1" applyFill="1" applyBorder="1" applyAlignment="1">
      <alignment horizontal="left" vertical="center" wrapText="1"/>
    </xf>
    <xf numFmtId="0" fontId="23" fillId="7" borderId="66" xfId="0" applyFont="1" applyFill="1" applyBorder="1" applyAlignment="1">
      <alignment horizontal="left" vertical="center" wrapText="1"/>
    </xf>
    <xf numFmtId="3" fontId="24" fillId="7" borderId="66" xfId="0" applyNumberFormat="1" applyFont="1" applyFill="1" applyBorder="1" applyAlignment="1">
      <alignment horizontal="left" wrapText="1"/>
    </xf>
    <xf numFmtId="0" fontId="24" fillId="7" borderId="67" xfId="0" applyFont="1" applyFill="1" applyBorder="1" applyAlignment="1">
      <alignment horizontal="left" wrapText="1"/>
    </xf>
    <xf numFmtId="0" fontId="29" fillId="0" borderId="0" xfId="0" applyFont="1"/>
    <xf numFmtId="0" fontId="96" fillId="0" borderId="0" xfId="0" applyFont="1"/>
    <xf numFmtId="0" fontId="29" fillId="0" borderId="62" xfId="0" applyFont="1" applyBorder="1"/>
    <xf numFmtId="0" fontId="29" fillId="0" borderId="32" xfId="0" applyFont="1" applyBorder="1"/>
    <xf numFmtId="0" fontId="29" fillId="0" borderId="38" xfId="0" applyFont="1" applyBorder="1"/>
    <xf numFmtId="0" fontId="97" fillId="0" borderId="0" xfId="0" applyFont="1"/>
    <xf numFmtId="0" fontId="29" fillId="0" borderId="0" xfId="0" applyFont="1" applyAlignment="1">
      <alignment horizontal="center"/>
    </xf>
    <xf numFmtId="0" fontId="28" fillId="0" borderId="0" xfId="0" applyFont="1"/>
    <xf numFmtId="0" fontId="28" fillId="0" borderId="0" xfId="0" applyFont="1" applyAlignment="1">
      <alignment horizontal="center"/>
    </xf>
    <xf numFmtId="3" fontId="28" fillId="0" borderId="0" xfId="0" applyNumberFormat="1" applyFont="1"/>
    <xf numFmtId="3" fontId="28" fillId="0" borderId="0" xfId="0" applyNumberFormat="1" applyFont="1" applyAlignment="1">
      <alignment horizontal="center"/>
    </xf>
    <xf numFmtId="0" fontId="28" fillId="0" borderId="0" xfId="0" applyFont="1" applyAlignment="1">
      <alignment horizontal="left"/>
    </xf>
    <xf numFmtId="0" fontId="29" fillId="0" borderId="62" xfId="0" applyFont="1" applyBorder="1" applyAlignment="1">
      <alignment horizontal="center"/>
    </xf>
    <xf numFmtId="11" fontId="29" fillId="0" borderId="62" xfId="0" applyNumberFormat="1" applyFont="1" applyBorder="1" applyAlignment="1">
      <alignment horizontal="center"/>
    </xf>
    <xf numFmtId="0" fontId="29" fillId="0" borderId="49" xfId="0" applyFont="1" applyBorder="1"/>
    <xf numFmtId="0" fontId="29" fillId="0" borderId="49" xfId="0" applyFont="1" applyBorder="1" applyAlignment="1">
      <alignment horizontal="center"/>
    </xf>
    <xf numFmtId="11" fontId="29" fillId="0" borderId="49" xfId="0" applyNumberFormat="1" applyFont="1" applyBorder="1" applyAlignment="1">
      <alignment horizontal="center"/>
    </xf>
    <xf numFmtId="11" fontId="29" fillId="0" borderId="0" xfId="0" applyNumberFormat="1" applyFont="1" applyAlignment="1">
      <alignment horizontal="center"/>
    </xf>
    <xf numFmtId="0" fontId="98" fillId="9" borderId="91" xfId="0" applyFont="1" applyFill="1" applyBorder="1"/>
    <xf numFmtId="0" fontId="98" fillId="9" borderId="91" xfId="0" applyFont="1" applyFill="1" applyBorder="1" applyAlignment="1">
      <alignment horizontal="center"/>
    </xf>
    <xf numFmtId="0" fontId="98" fillId="9" borderId="91" xfId="0" applyFont="1" applyFill="1" applyBorder="1" applyAlignment="1">
      <alignment horizontal="left"/>
    </xf>
    <xf numFmtId="0" fontId="29" fillId="0" borderId="32" xfId="0" applyFont="1" applyBorder="1" applyAlignment="1">
      <alignment horizontal="center"/>
    </xf>
    <xf numFmtId="169" fontId="29" fillId="0" borderId="32" xfId="0" applyNumberFormat="1" applyFont="1" applyBorder="1" applyAlignment="1">
      <alignment horizontal="center" wrapText="1"/>
    </xf>
    <xf numFmtId="0" fontId="29" fillId="0" borderId="32" xfId="0" applyFont="1" applyBorder="1" applyAlignment="1">
      <alignment horizontal="center" wrapText="1"/>
    </xf>
    <xf numFmtId="3" fontId="29" fillId="0" borderId="32" xfId="0" applyNumberFormat="1" applyFont="1" applyBorder="1" applyAlignment="1">
      <alignment horizontal="center"/>
    </xf>
    <xf numFmtId="169" fontId="29" fillId="0" borderId="49" xfId="0" applyNumberFormat="1" applyFont="1" applyBorder="1" applyAlignment="1">
      <alignment horizontal="center" wrapText="1"/>
    </xf>
    <xf numFmtId="0" fontId="29" fillId="0" borderId="49" xfId="0" applyFont="1" applyBorder="1" applyAlignment="1">
      <alignment horizontal="center" wrapText="1"/>
    </xf>
    <xf numFmtId="0" fontId="29" fillId="0" borderId="49" xfId="0" quotePrefix="1" applyFont="1" applyBorder="1"/>
    <xf numFmtId="0" fontId="98" fillId="9" borderId="95" xfId="0" applyFont="1" applyFill="1" applyBorder="1"/>
    <xf numFmtId="0" fontId="98" fillId="9" borderId="4" xfId="0" applyFont="1" applyFill="1" applyBorder="1"/>
    <xf numFmtId="0" fontId="98" fillId="9" borderId="4" xfId="0" applyFont="1" applyFill="1" applyBorder="1" applyAlignment="1">
      <alignment horizontal="center" wrapText="1"/>
    </xf>
    <xf numFmtId="0" fontId="98" fillId="9" borderId="79" xfId="0" applyFont="1" applyFill="1" applyBorder="1" applyAlignment="1">
      <alignment horizontal="center" wrapText="1"/>
    </xf>
    <xf numFmtId="0" fontId="29" fillId="0" borderId="111" xfId="0" applyFont="1" applyBorder="1"/>
    <xf numFmtId="11" fontId="29" fillId="0" borderId="111" xfId="0" applyNumberFormat="1" applyFont="1" applyBorder="1" applyAlignment="1">
      <alignment horizontal="center"/>
    </xf>
    <xf numFmtId="2" fontId="29" fillId="0" borderId="111" xfId="0" applyNumberFormat="1" applyFont="1" applyBorder="1" applyAlignment="1">
      <alignment horizontal="center"/>
    </xf>
    <xf numFmtId="1" fontId="29" fillId="0" borderId="111" xfId="0" applyNumberFormat="1" applyFont="1" applyBorder="1" applyAlignment="1">
      <alignment horizontal="center"/>
    </xf>
    <xf numFmtId="11" fontId="29" fillId="0" borderId="110" xfId="0" applyNumberFormat="1" applyFont="1" applyBorder="1" applyAlignment="1">
      <alignment horizontal="center"/>
    </xf>
    <xf numFmtId="0" fontId="29" fillId="0" borderId="31" xfId="0" applyFont="1" applyBorder="1"/>
    <xf numFmtId="11" fontId="29" fillId="0" borderId="31" xfId="0" applyNumberFormat="1" applyFont="1" applyBorder="1" applyAlignment="1">
      <alignment horizontal="center"/>
    </xf>
    <xf numFmtId="2" fontId="29" fillId="0" borderId="31" xfId="0" applyNumberFormat="1" applyFont="1" applyBorder="1" applyAlignment="1">
      <alignment horizontal="center"/>
    </xf>
    <xf numFmtId="11" fontId="29" fillId="0" borderId="40" xfId="0" applyNumberFormat="1" applyFont="1" applyBorder="1" applyAlignment="1">
      <alignment horizontal="center"/>
    </xf>
    <xf numFmtId="0" fontId="29" fillId="9" borderId="30" xfId="0" applyFont="1" applyFill="1" applyBorder="1"/>
    <xf numFmtId="0" fontId="29" fillId="9" borderId="30" xfId="0" applyFont="1" applyFill="1" applyBorder="1" applyAlignment="1">
      <alignment horizontal="center"/>
    </xf>
    <xf numFmtId="11" fontId="29" fillId="9" borderId="47" xfId="0" applyNumberFormat="1" applyFont="1" applyFill="1" applyBorder="1" applyAlignment="1">
      <alignment horizontal="center"/>
    </xf>
    <xf numFmtId="11" fontId="29" fillId="9" borderId="30" xfId="0" applyNumberFormat="1" applyFont="1" applyFill="1" applyBorder="1" applyAlignment="1">
      <alignment horizontal="center"/>
    </xf>
    <xf numFmtId="11" fontId="29" fillId="0" borderId="0" xfId="0" applyNumberFormat="1" applyFont="1"/>
    <xf numFmtId="0" fontId="98" fillId="9" borderId="91" xfId="0" applyFont="1" applyFill="1" applyBorder="1" applyAlignment="1">
      <alignment horizontal="center" wrapText="1"/>
    </xf>
    <xf numFmtId="0" fontId="29" fillId="0" borderId="31" xfId="0" applyFont="1" applyBorder="1" applyAlignment="1">
      <alignment horizontal="center"/>
    </xf>
    <xf numFmtId="0" fontId="29" fillId="0" borderId="31" xfId="0" quotePrefix="1" applyFont="1" applyBorder="1"/>
    <xf numFmtId="0" fontId="99" fillId="0" borderId="0" xfId="0" applyFont="1"/>
    <xf numFmtId="0" fontId="29" fillId="0" borderId="0" xfId="0" applyFont="1" applyAlignment="1">
      <alignment horizontal="left"/>
    </xf>
    <xf numFmtId="0" fontId="98" fillId="17" borderId="95" xfId="0" applyFont="1" applyFill="1" applyBorder="1"/>
    <xf numFmtId="0" fontId="98" fillId="17" borderId="95" xfId="0" applyFont="1" applyFill="1" applyBorder="1" applyAlignment="1">
      <alignment horizontal="center"/>
    </xf>
    <xf numFmtId="0" fontId="98" fillId="17" borderId="95" xfId="0" applyFont="1" applyFill="1" applyBorder="1" applyAlignment="1">
      <alignment horizontal="left"/>
    </xf>
    <xf numFmtId="0" fontId="98" fillId="17" borderId="4" xfId="0" applyFont="1" applyFill="1" applyBorder="1"/>
    <xf numFmtId="0" fontId="98" fillId="17" borderId="4" xfId="0" applyFont="1" applyFill="1" applyBorder="1" applyAlignment="1">
      <alignment horizontal="center"/>
    </xf>
    <xf numFmtId="49" fontId="98" fillId="17" borderId="4" xfId="0" applyNumberFormat="1" applyFont="1" applyFill="1" applyBorder="1" applyAlignment="1">
      <alignment horizontal="center"/>
    </xf>
    <xf numFmtId="0" fontId="98" fillId="17" borderId="4" xfId="0" applyFont="1" applyFill="1" applyBorder="1" applyAlignment="1">
      <alignment horizontal="left"/>
    </xf>
    <xf numFmtId="0" fontId="29" fillId="0" borderId="30" xfId="0" applyFont="1" applyBorder="1" applyAlignment="1">
      <alignment vertical="center"/>
    </xf>
    <xf numFmtId="0" fontId="29" fillId="0" borderId="30" xfId="0" applyFont="1" applyBorder="1" applyAlignment="1">
      <alignment horizontal="center" vertical="center"/>
    </xf>
    <xf numFmtId="170" fontId="29" fillId="0" borderId="30" xfId="0" applyNumberFormat="1" applyFont="1" applyBorder="1" applyAlignment="1">
      <alignment horizontal="center" vertical="center"/>
    </xf>
    <xf numFmtId="0" fontId="29" fillId="0" borderId="30" xfId="0" applyFont="1" applyBorder="1" applyAlignment="1">
      <alignment horizontal="center" vertical="center" wrapText="1"/>
    </xf>
    <xf numFmtId="0" fontId="29" fillId="0" borderId="30" xfId="0" applyFont="1" applyBorder="1" applyAlignment="1">
      <alignment horizontal="left" vertical="center"/>
    </xf>
    <xf numFmtId="0" fontId="29" fillId="0" borderId="30" xfId="0" applyFont="1" applyBorder="1"/>
    <xf numFmtId="0" fontId="29" fillId="0" borderId="30" xfId="0" applyFont="1" applyBorder="1" applyAlignment="1">
      <alignment horizontal="center"/>
    </xf>
    <xf numFmtId="0" fontId="29" fillId="0" borderId="30" xfId="0" applyFont="1" applyBorder="1" applyAlignment="1">
      <alignment horizontal="left"/>
    </xf>
    <xf numFmtId="0" fontId="98" fillId="17" borderId="91" xfId="0" applyFont="1" applyFill="1" applyBorder="1"/>
    <xf numFmtId="0" fontId="98" fillId="17" borderId="91" xfId="0" applyFont="1" applyFill="1" applyBorder="1" applyAlignment="1">
      <alignment horizontal="center"/>
    </xf>
    <xf numFmtId="0" fontId="98" fillId="17" borderId="91" xfId="0" applyFont="1" applyFill="1" applyBorder="1" applyAlignment="1">
      <alignment horizontal="left"/>
    </xf>
    <xf numFmtId="173" fontId="29" fillId="0" borderId="0" xfId="0" applyNumberFormat="1" applyFont="1" applyAlignment="1">
      <alignment horizontal="center"/>
    </xf>
    <xf numFmtId="3" fontId="29" fillId="0" borderId="0" xfId="0" applyNumberFormat="1" applyFont="1" applyAlignment="1">
      <alignment horizontal="center"/>
    </xf>
    <xf numFmtId="0" fontId="29" fillId="0" borderId="38" xfId="0" applyFont="1" applyBorder="1" applyAlignment="1">
      <alignment horizontal="center"/>
    </xf>
    <xf numFmtId="3" fontId="29" fillId="0" borderId="38" xfId="0" applyNumberFormat="1" applyFont="1" applyBorder="1" applyAlignment="1">
      <alignment horizontal="center"/>
    </xf>
    <xf numFmtId="0" fontId="29" fillId="0" borderId="38" xfId="0" applyFont="1" applyBorder="1" applyAlignment="1">
      <alignment horizontal="left"/>
    </xf>
    <xf numFmtId="49" fontId="29" fillId="0" borderId="0" xfId="0" applyNumberFormat="1" applyFont="1" applyAlignment="1">
      <alignment horizontal="left"/>
    </xf>
    <xf numFmtId="0" fontId="101" fillId="0" borderId="0" xfId="0" applyFont="1"/>
    <xf numFmtId="0" fontId="100" fillId="0" borderId="0" xfId="0" applyFont="1" applyAlignment="1">
      <alignment horizontal="center"/>
    </xf>
    <xf numFmtId="0" fontId="29" fillId="0" borderId="27" xfId="0" applyFont="1" applyBorder="1" applyAlignment="1">
      <alignment horizontal="center"/>
    </xf>
    <xf numFmtId="3" fontId="28" fillId="0" borderId="27" xfId="0" applyNumberFormat="1" applyFont="1" applyBorder="1" applyAlignment="1">
      <alignment horizontal="center"/>
    </xf>
    <xf numFmtId="0" fontId="29" fillId="0" borderId="0" xfId="0" applyFont="1" applyAlignment="1">
      <alignment wrapText="1"/>
    </xf>
    <xf numFmtId="170" fontId="28" fillId="0" borderId="27" xfId="0" applyNumberFormat="1" applyFont="1" applyBorder="1" applyAlignment="1">
      <alignment horizontal="center"/>
    </xf>
    <xf numFmtId="0" fontId="29" fillId="0" borderId="18" xfId="0" applyFont="1" applyBorder="1" applyAlignment="1">
      <alignment horizontal="center"/>
    </xf>
    <xf numFmtId="0" fontId="79" fillId="18" borderId="87" xfId="0" applyFont="1" applyFill="1" applyBorder="1" applyAlignment="1">
      <alignment horizontal="center"/>
    </xf>
    <xf numFmtId="0" fontId="98" fillId="18" borderId="87" xfId="0" applyFont="1" applyFill="1" applyBorder="1" applyAlignment="1">
      <alignment horizontal="center"/>
    </xf>
    <xf numFmtId="0" fontId="29" fillId="0" borderId="0" xfId="0" quotePrefix="1" applyFont="1"/>
    <xf numFmtId="0" fontId="34" fillId="2" borderId="63" xfId="28255" applyFont="1" applyFill="1" applyBorder="1" applyAlignment="1">
      <alignment horizontal="left" vertical="center"/>
    </xf>
    <xf numFmtId="0" fontId="32" fillId="0" borderId="13" xfId="28915" applyFont="1" applyBorder="1" applyAlignment="1">
      <alignment horizontal="left" vertical="center" wrapText="1"/>
    </xf>
    <xf numFmtId="0" fontId="87" fillId="0" borderId="61" xfId="28915" applyFont="1" applyBorder="1" applyAlignment="1">
      <alignment horizontal="left" vertical="center" wrapText="1"/>
    </xf>
    <xf numFmtId="0" fontId="32" fillId="0" borderId="58" xfId="28915" applyFont="1" applyBorder="1" applyAlignment="1">
      <alignment horizontal="center" vertical="center" wrapText="1"/>
    </xf>
    <xf numFmtId="0" fontId="1" fillId="0" borderId="53" xfId="0" applyFont="1" applyBorder="1" applyAlignment="1">
      <alignment horizontal="left"/>
    </xf>
    <xf numFmtId="0" fontId="87" fillId="0" borderId="42" xfId="28915" applyFont="1" applyBorder="1" applyAlignment="1">
      <alignment horizontal="left" vertical="center" wrapText="1"/>
    </xf>
    <xf numFmtId="0" fontId="1" fillId="0" borderId="13" xfId="0" applyFont="1" applyBorder="1" applyAlignment="1">
      <alignment horizontal="left" vertical="center"/>
    </xf>
    <xf numFmtId="0" fontId="1" fillId="0" borderId="24" xfId="0" applyFont="1" applyBorder="1" applyAlignment="1">
      <alignment horizontal="left" vertical="center" wrapText="1"/>
    </xf>
    <xf numFmtId="0" fontId="1" fillId="0" borderId="24" xfId="0" applyFont="1" applyBorder="1" applyAlignment="1">
      <alignment horizontal="left"/>
    </xf>
    <xf numFmtId="0" fontId="32" fillId="0" borderId="24" xfId="28915" applyFont="1" applyBorder="1" applyAlignment="1">
      <alignment horizontal="left" vertical="center" wrapText="1"/>
    </xf>
    <xf numFmtId="0" fontId="87" fillId="0" borderId="42" xfId="28915" applyFont="1" applyBorder="1" applyAlignment="1">
      <alignment horizontal="left" vertical="center"/>
    </xf>
    <xf numFmtId="0" fontId="87" fillId="0" borderId="41" xfId="28915" applyFont="1" applyBorder="1" applyAlignment="1">
      <alignment horizontal="left" vertical="center"/>
    </xf>
    <xf numFmtId="0" fontId="32" fillId="0" borderId="17" xfId="28915" applyFont="1" applyBorder="1" applyAlignment="1">
      <alignment horizontal="center" vertical="center" wrapText="1"/>
    </xf>
    <xf numFmtId="0" fontId="1" fillId="0" borderId="17" xfId="0" applyFont="1" applyBorder="1" applyAlignment="1">
      <alignment horizontal="left" vertical="center"/>
    </xf>
    <xf numFmtId="0" fontId="32" fillId="0" borderId="23" xfId="28915" applyFont="1" applyBorder="1" applyAlignment="1">
      <alignment horizontal="center" vertical="center" wrapText="1"/>
    </xf>
    <xf numFmtId="0" fontId="1" fillId="0" borderId="55" xfId="0" applyFont="1" applyBorder="1" applyAlignment="1">
      <alignment horizontal="left" vertical="center" wrapText="1"/>
    </xf>
    <xf numFmtId="0" fontId="1" fillId="0" borderId="107" xfId="0" applyFont="1" applyBorder="1" applyAlignment="1">
      <alignment horizontal="center"/>
    </xf>
    <xf numFmtId="0" fontId="1" fillId="5" borderId="27" xfId="0" applyFont="1" applyFill="1" applyBorder="1" applyAlignment="1">
      <alignment wrapText="1"/>
    </xf>
    <xf numFmtId="11" fontId="1" fillId="0" borderId="28" xfId="0" applyNumberFormat="1" applyFont="1" applyBorder="1" applyAlignment="1">
      <alignment horizontal="left" wrapText="1"/>
    </xf>
    <xf numFmtId="0" fontId="1" fillId="0" borderId="0" xfId="0" applyFont="1" applyAlignment="1">
      <alignment horizontal="left" wrapText="1"/>
    </xf>
    <xf numFmtId="11" fontId="32" fillId="0" borderId="0" xfId="0" applyNumberFormat="1" applyFont="1" applyAlignment="1">
      <alignment horizontal="left" wrapText="1"/>
    </xf>
    <xf numFmtId="0" fontId="32" fillId="0" borderId="0" xfId="0" applyFont="1" applyAlignment="1">
      <alignment horizontal="left" wrapText="1"/>
    </xf>
    <xf numFmtId="0" fontId="32" fillId="0" borderId="0" xfId="0" applyFont="1" applyAlignment="1">
      <alignment wrapText="1"/>
    </xf>
    <xf numFmtId="0" fontId="32" fillId="0" borderId="0" xfId="0" applyFont="1" applyAlignment="1">
      <alignment horizontal="left"/>
    </xf>
    <xf numFmtId="3" fontId="32" fillId="0" borderId="0" xfId="0" applyNumberFormat="1" applyFont="1" applyAlignment="1">
      <alignment horizontal="left"/>
    </xf>
    <xf numFmtId="170" fontId="23" fillId="0" borderId="67" xfId="0" applyNumberFormat="1" applyFont="1" applyBorder="1" applyAlignment="1">
      <alignment horizontal="left" vertical="center" wrapText="1"/>
    </xf>
    <xf numFmtId="11" fontId="98" fillId="0" borderId="0" xfId="0" applyNumberFormat="1" applyFont="1" applyAlignment="1">
      <alignment vertical="center"/>
    </xf>
    <xf numFmtId="11" fontId="32" fillId="10" borderId="103" xfId="28255" applyNumberFormat="1" applyFont="1" applyFill="1" applyBorder="1" applyAlignment="1">
      <alignment horizontal="center" vertical="center"/>
    </xf>
    <xf numFmtId="11" fontId="34" fillId="2" borderId="85" xfId="28255" applyNumberFormat="1" applyFont="1" applyFill="1" applyBorder="1" applyAlignment="1">
      <alignment horizontal="center" vertical="center"/>
    </xf>
    <xf numFmtId="11" fontId="52" fillId="2" borderId="47" xfId="28255" applyNumberFormat="1" applyFont="1" applyFill="1" applyBorder="1" applyAlignment="1">
      <alignment horizontal="center" vertical="center"/>
    </xf>
    <xf numFmtId="11" fontId="59" fillId="2" borderId="47" xfId="28255" applyNumberFormat="1" applyFont="1" applyFill="1" applyBorder="1" applyAlignment="1">
      <alignment horizontal="center" vertical="center"/>
    </xf>
    <xf numFmtId="166" fontId="52" fillId="2" borderId="47" xfId="28255" applyNumberFormat="1" applyFont="1" applyFill="1" applyBorder="1" applyAlignment="1">
      <alignment horizontal="center" vertical="center" wrapText="1"/>
    </xf>
    <xf numFmtId="11" fontId="59" fillId="2" borderId="47" xfId="28915" applyNumberFormat="1" applyFont="1" applyFill="1" applyBorder="1" applyAlignment="1">
      <alignment horizontal="center" vertical="center" wrapText="1"/>
    </xf>
    <xf numFmtId="11" fontId="32" fillId="12" borderId="57" xfId="28915" applyNumberFormat="1" applyFont="1" applyFill="1" applyBorder="1" applyAlignment="1">
      <alignment horizontal="center" vertical="center" wrapText="1"/>
    </xf>
    <xf numFmtId="11" fontId="32" fillId="12" borderId="24" xfId="28915" applyNumberFormat="1" applyFont="1" applyFill="1" applyBorder="1" applyAlignment="1">
      <alignment horizontal="center" vertical="center" wrapText="1"/>
    </xf>
    <xf numFmtId="11" fontId="32" fillId="12" borderId="56" xfId="28915" applyNumberFormat="1" applyFont="1" applyFill="1" applyBorder="1" applyAlignment="1">
      <alignment horizontal="center" vertical="center" wrapText="1"/>
    </xf>
    <xf numFmtId="11" fontId="32" fillId="12" borderId="54" xfId="28915" applyNumberFormat="1" applyFont="1" applyFill="1" applyBorder="1" applyAlignment="1">
      <alignment horizontal="center" vertical="center" wrapText="1"/>
    </xf>
    <xf numFmtId="11" fontId="1" fillId="12" borderId="53" xfId="28255" applyNumberFormat="1" applyFont="1" applyFill="1" applyBorder="1" applyAlignment="1">
      <alignment horizontal="center" vertical="center"/>
    </xf>
    <xf numFmtId="11" fontId="1" fillId="12" borderId="24" xfId="28255" applyNumberFormat="1" applyFont="1" applyFill="1" applyBorder="1" applyAlignment="1">
      <alignment horizontal="center" vertical="center"/>
    </xf>
    <xf numFmtId="11" fontId="32" fillId="12" borderId="24" xfId="28915" applyNumberFormat="1" applyFont="1" applyFill="1" applyBorder="1" applyAlignment="1">
      <alignment horizontal="center" vertical="center"/>
    </xf>
    <xf numFmtId="11" fontId="32" fillId="12" borderId="53" xfId="28255" applyNumberFormat="1" applyFont="1" applyFill="1" applyBorder="1" applyAlignment="1">
      <alignment horizontal="center" vertical="center"/>
    </xf>
    <xf numFmtId="11" fontId="32" fillId="12" borderId="24" xfId="28916" applyNumberFormat="1" applyFont="1" applyFill="1" applyBorder="1" applyAlignment="1">
      <alignment horizontal="center" vertical="center" wrapText="1"/>
    </xf>
    <xf numFmtId="11" fontId="32" fillId="12" borderId="56" xfId="28916" applyNumberFormat="1" applyFont="1" applyFill="1" applyBorder="1" applyAlignment="1">
      <alignment horizontal="center" vertical="center" wrapText="1"/>
    </xf>
    <xf numFmtId="11" fontId="32" fillId="12" borderId="55" xfId="28915" applyNumberFormat="1" applyFont="1" applyFill="1" applyBorder="1" applyAlignment="1">
      <alignment horizontal="center" vertical="center" wrapText="1"/>
    </xf>
    <xf numFmtId="0" fontId="32" fillId="0" borderId="13" xfId="28915" quotePrefix="1" applyFont="1" applyBorder="1" applyAlignment="1">
      <alignment horizontal="center" vertical="center" wrapText="1"/>
    </xf>
    <xf numFmtId="14" fontId="103" fillId="0" borderId="0" xfId="0" applyNumberFormat="1" applyFont="1" applyAlignment="1">
      <alignment horizontal="left" vertical="top"/>
    </xf>
    <xf numFmtId="0" fontId="103" fillId="0" borderId="0" xfId="0" applyFont="1" applyAlignment="1">
      <alignment horizontal="center" vertical="center" wrapText="1"/>
    </xf>
    <xf numFmtId="0" fontId="0" fillId="0" borderId="0" xfId="0" applyAlignment="1">
      <alignment horizontal="center" vertical="center" wrapText="1"/>
    </xf>
    <xf numFmtId="0" fontId="74" fillId="0" borderId="0" xfId="0" applyFont="1" applyAlignment="1">
      <alignment horizontal="left" vertical="center"/>
    </xf>
    <xf numFmtId="0" fontId="0" fillId="0" borderId="0" xfId="0" applyAlignment="1">
      <alignment vertical="center" wrapText="1"/>
    </xf>
    <xf numFmtId="0" fontId="0" fillId="0" borderId="0" xfId="0" applyAlignment="1">
      <alignment vertical="center"/>
    </xf>
    <xf numFmtId="49" fontId="102" fillId="5" borderId="87" xfId="0" applyNumberFormat="1" applyFont="1" applyFill="1" applyBorder="1" applyAlignment="1">
      <alignment horizontal="center" wrapText="1"/>
    </xf>
    <xf numFmtId="0" fontId="102" fillId="5" borderId="87" xfId="0" applyFont="1" applyFill="1" applyBorder="1" applyAlignment="1">
      <alignment horizontal="center" wrapText="1"/>
    </xf>
    <xf numFmtId="0" fontId="102" fillId="5" borderId="87" xfId="0" applyFont="1" applyFill="1" applyBorder="1" applyAlignment="1">
      <alignment horizontal="left" wrapText="1"/>
    </xf>
    <xf numFmtId="0" fontId="102" fillId="5" borderId="87" xfId="0" applyFont="1" applyFill="1" applyBorder="1" applyAlignment="1">
      <alignment wrapText="1"/>
    </xf>
    <xf numFmtId="49" fontId="0" fillId="0" borderId="25" xfId="0" applyNumberFormat="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0" fillId="0" borderId="25" xfId="0" applyBorder="1" applyAlignment="1">
      <alignment vertical="center" wrapText="1"/>
    </xf>
    <xf numFmtId="49" fontId="0" fillId="19" borderId="78" xfId="0" quotePrefix="1" applyNumberFormat="1" applyFill="1" applyBorder="1" applyAlignment="1">
      <alignment horizontal="center" vertical="center" wrapText="1"/>
    </xf>
    <xf numFmtId="0" fontId="0" fillId="19" borderId="78" xfId="0" applyFill="1" applyBorder="1" applyAlignment="1">
      <alignment horizontal="center" vertical="center" wrapText="1"/>
    </xf>
    <xf numFmtId="0" fontId="0" fillId="19" borderId="78" xfId="0" applyFill="1" applyBorder="1" applyAlignment="1">
      <alignment horizontal="left" vertical="center" wrapText="1"/>
    </xf>
    <xf numFmtId="0" fontId="0" fillId="19" borderId="78" xfId="0" applyFill="1" applyBorder="1" applyAlignment="1">
      <alignment vertical="center" wrapText="1"/>
    </xf>
    <xf numFmtId="49" fontId="0" fillId="19" borderId="25" xfId="0" applyNumberFormat="1" applyFill="1" applyBorder="1" applyAlignment="1">
      <alignment horizontal="center" vertical="center" wrapText="1"/>
    </xf>
    <xf numFmtId="0" fontId="0" fillId="19" borderId="27" xfId="0" applyFill="1" applyBorder="1" applyAlignment="1">
      <alignment horizontal="center" vertical="center" wrapText="1"/>
    </xf>
    <xf numFmtId="0" fontId="104" fillId="19" borderId="27" xfId="0" applyFont="1" applyFill="1" applyBorder="1" applyAlignment="1">
      <alignment horizontal="center" vertical="center" wrapText="1"/>
    </xf>
    <xf numFmtId="0" fontId="0" fillId="19" borderId="27" xfId="0" applyFill="1" applyBorder="1" applyAlignment="1">
      <alignment horizontal="left" vertical="center" wrapText="1"/>
    </xf>
    <xf numFmtId="0" fontId="0" fillId="19" borderId="27" xfId="0" applyFill="1" applyBorder="1" applyAlignment="1">
      <alignment vertical="center" wrapText="1"/>
    </xf>
    <xf numFmtId="49" fontId="0" fillId="7" borderId="78" xfId="0" applyNumberFormat="1" applyFill="1" applyBorder="1" applyAlignment="1">
      <alignment horizontal="center" vertical="top" wrapText="1"/>
    </xf>
    <xf numFmtId="0" fontId="0" fillId="7" borderId="27" xfId="0" applyFill="1" applyBorder="1" applyAlignment="1">
      <alignment horizontal="center" vertical="center" wrapText="1"/>
    </xf>
    <xf numFmtId="0" fontId="0" fillId="7" borderId="27" xfId="0" applyFill="1" applyBorder="1" applyAlignment="1">
      <alignment horizontal="left" vertical="center" wrapText="1"/>
    </xf>
    <xf numFmtId="0" fontId="0" fillId="7" borderId="27" xfId="0" applyFill="1" applyBorder="1" applyAlignment="1">
      <alignment vertical="center" wrapText="1"/>
    </xf>
    <xf numFmtId="49" fontId="0" fillId="7" borderId="25" xfId="0" applyNumberFormat="1" applyFill="1" applyBorder="1" applyAlignment="1">
      <alignment horizontal="center" vertical="top" wrapText="1"/>
    </xf>
    <xf numFmtId="0" fontId="0" fillId="7" borderId="18" xfId="0" applyFill="1" applyBorder="1" applyAlignment="1">
      <alignment horizontal="center" vertical="center" wrapText="1"/>
    </xf>
    <xf numFmtId="0" fontId="0" fillId="7" borderId="18" xfId="0" applyFill="1" applyBorder="1" applyAlignment="1">
      <alignment horizontal="left" vertical="center" wrapText="1"/>
    </xf>
    <xf numFmtId="0" fontId="0" fillId="7" borderId="18" xfId="0" applyFill="1" applyBorder="1" applyAlignment="1">
      <alignment vertical="center" wrapText="1"/>
    </xf>
    <xf numFmtId="0" fontId="0" fillId="6" borderId="27" xfId="0" applyFill="1" applyBorder="1" applyAlignment="1">
      <alignment horizontal="center" vertical="center" wrapText="1"/>
    </xf>
    <xf numFmtId="0" fontId="0" fillId="6" borderId="27" xfId="0" applyFill="1" applyBorder="1" applyAlignment="1">
      <alignment horizontal="left" vertical="center" wrapText="1"/>
    </xf>
    <xf numFmtId="0" fontId="0" fillId="6" borderId="27" xfId="0" applyFill="1" applyBorder="1" applyAlignment="1">
      <alignment vertical="center" wrapText="1"/>
    </xf>
    <xf numFmtId="0" fontId="0" fillId="6" borderId="18" xfId="0" applyFill="1" applyBorder="1" applyAlignment="1">
      <alignment horizontal="center" vertical="center" wrapText="1"/>
    </xf>
    <xf numFmtId="0" fontId="0" fillId="6" borderId="18" xfId="0" applyFill="1" applyBorder="1" applyAlignment="1">
      <alignment horizontal="left" vertical="center" wrapText="1"/>
    </xf>
    <xf numFmtId="0" fontId="0" fillId="6" borderId="18" xfId="0" applyFill="1" applyBorder="1" applyAlignment="1">
      <alignment vertical="center" wrapText="1"/>
    </xf>
    <xf numFmtId="0" fontId="0" fillId="10" borderId="18" xfId="0" applyFill="1" applyBorder="1" applyAlignment="1">
      <alignment horizontal="center" vertical="center" wrapText="1"/>
    </xf>
    <xf numFmtId="0" fontId="0" fillId="10" borderId="18" xfId="0" applyFill="1" applyBorder="1" applyAlignment="1">
      <alignment horizontal="left" vertical="center" wrapText="1"/>
    </xf>
    <xf numFmtId="0" fontId="0" fillId="10" borderId="18" xfId="0" applyFill="1" applyBorder="1" applyAlignment="1">
      <alignment vertical="center" wrapText="1"/>
    </xf>
    <xf numFmtId="0" fontId="0" fillId="12" borderId="18" xfId="0" applyFill="1" applyBorder="1" applyAlignment="1">
      <alignment horizontal="center" vertical="center" wrapText="1"/>
    </xf>
    <xf numFmtId="0" fontId="0" fillId="12" borderId="18" xfId="0" applyFill="1" applyBorder="1" applyAlignment="1">
      <alignment horizontal="left" vertical="center" wrapText="1"/>
    </xf>
    <xf numFmtId="0" fontId="0" fillId="12" borderId="18" xfId="0" applyFill="1" applyBorder="1" applyAlignment="1">
      <alignment vertical="center" wrapText="1"/>
    </xf>
    <xf numFmtId="0" fontId="0" fillId="8" borderId="27" xfId="0" quotePrefix="1" applyFill="1" applyBorder="1" applyAlignment="1">
      <alignment horizontal="center" vertical="center" wrapText="1"/>
    </xf>
    <xf numFmtId="0" fontId="0" fillId="8" borderId="27" xfId="0" applyFill="1" applyBorder="1" applyAlignment="1">
      <alignment horizontal="left" vertical="center" wrapText="1"/>
    </xf>
    <xf numFmtId="0" fontId="0" fillId="8" borderId="27" xfId="0" applyFill="1" applyBorder="1" applyAlignment="1">
      <alignment vertical="center" wrapText="1"/>
    </xf>
    <xf numFmtId="0" fontId="0" fillId="8" borderId="27" xfId="0" applyFill="1" applyBorder="1" applyAlignment="1">
      <alignment horizontal="center" vertical="center" wrapText="1"/>
    </xf>
    <xf numFmtId="0" fontId="0" fillId="4" borderId="27" xfId="0" applyFill="1" applyBorder="1" applyAlignment="1">
      <alignment horizontal="center" vertical="center" wrapText="1"/>
    </xf>
    <xf numFmtId="0" fontId="0" fillId="4" borderId="27" xfId="0" applyFill="1" applyBorder="1" applyAlignment="1">
      <alignment horizontal="left" vertical="center" wrapText="1"/>
    </xf>
    <xf numFmtId="0" fontId="0" fillId="4" borderId="27" xfId="0" applyFill="1" applyBorder="1" applyAlignment="1">
      <alignment vertical="center" wrapText="1"/>
    </xf>
    <xf numFmtId="0" fontId="0" fillId="19" borderId="27" xfId="0" applyFill="1" applyBorder="1" applyAlignment="1">
      <alignment horizontal="center" vertical="center"/>
    </xf>
    <xf numFmtId="0" fontId="0" fillId="10" borderId="27" xfId="0" applyFill="1" applyBorder="1" applyAlignment="1">
      <alignment horizontal="center" vertical="center" wrapText="1"/>
    </xf>
    <xf numFmtId="0" fontId="0" fillId="10" borderId="27" xfId="0" applyFill="1" applyBorder="1" applyAlignment="1">
      <alignment horizontal="left" vertical="center" wrapText="1"/>
    </xf>
    <xf numFmtId="0" fontId="0" fillId="10" borderId="27" xfId="0" applyFill="1" applyBorder="1" applyAlignment="1">
      <alignment vertical="center" wrapText="1"/>
    </xf>
    <xf numFmtId="0" fontId="0" fillId="12" borderId="27" xfId="0" applyFill="1" applyBorder="1" applyAlignment="1">
      <alignment horizontal="center" vertical="center" wrapText="1"/>
    </xf>
    <xf numFmtId="0" fontId="0" fillId="12" borderId="27" xfId="0" applyFill="1" applyBorder="1" applyAlignment="1">
      <alignment horizontal="left" vertical="center" wrapText="1"/>
    </xf>
    <xf numFmtId="0" fontId="0" fillId="12" borderId="27" xfId="0" applyFill="1" applyBorder="1" applyAlignment="1">
      <alignment vertical="center" wrapText="1"/>
    </xf>
    <xf numFmtId="0" fontId="0" fillId="12" borderId="27" xfId="0" quotePrefix="1" applyFill="1" applyBorder="1" applyAlignment="1">
      <alignment horizontal="center" vertical="center" wrapText="1"/>
    </xf>
    <xf numFmtId="0" fontId="0" fillId="19" borderId="27" xfId="0" quotePrefix="1" applyFill="1" applyBorder="1" applyAlignment="1">
      <alignment horizontal="center" vertical="center" wrapText="1"/>
    </xf>
    <xf numFmtId="0" fontId="0" fillId="13" borderId="27" xfId="0" applyFill="1" applyBorder="1" applyAlignment="1">
      <alignment horizontal="center" vertical="center" wrapText="1"/>
    </xf>
    <xf numFmtId="0" fontId="0" fillId="13" borderId="27" xfId="0" quotePrefix="1" applyFill="1" applyBorder="1" applyAlignment="1">
      <alignment horizontal="center" vertical="center" wrapText="1"/>
    </xf>
    <xf numFmtId="0" fontId="0" fillId="13" borderId="27" xfId="0" applyFill="1" applyBorder="1" applyAlignment="1">
      <alignment horizontal="left" vertical="center" wrapText="1"/>
    </xf>
    <xf numFmtId="0" fontId="0" fillId="13" borderId="27" xfId="0" applyFill="1" applyBorder="1" applyAlignment="1">
      <alignment vertical="center" wrapText="1"/>
    </xf>
    <xf numFmtId="0" fontId="0" fillId="9" borderId="27" xfId="0" applyFill="1" applyBorder="1" applyAlignment="1">
      <alignment horizontal="center" vertical="center" wrapText="1"/>
    </xf>
    <xf numFmtId="0" fontId="0" fillId="9" borderId="27" xfId="0" applyFill="1" applyBorder="1" applyAlignment="1">
      <alignment horizontal="left" vertical="center" wrapText="1"/>
    </xf>
    <xf numFmtId="0" fontId="0" fillId="9" borderId="27" xfId="0" applyFill="1" applyBorder="1" applyAlignment="1">
      <alignment vertical="center" wrapText="1"/>
    </xf>
    <xf numFmtId="49" fontId="0" fillId="3" borderId="27" xfId="0" applyNumberFormat="1" applyFill="1" applyBorder="1" applyAlignment="1">
      <alignment horizontal="center" vertical="top" wrapText="1"/>
    </xf>
    <xf numFmtId="0" fontId="0" fillId="3" borderId="27" xfId="0" applyFill="1" applyBorder="1" applyAlignment="1">
      <alignment horizontal="center" vertical="center" wrapText="1"/>
    </xf>
    <xf numFmtId="0" fontId="0" fillId="3" borderId="27" xfId="0" applyFill="1" applyBorder="1" applyAlignment="1">
      <alignment horizontal="left" vertical="center" wrapText="1"/>
    </xf>
    <xf numFmtId="0" fontId="0" fillId="3" borderId="27" xfId="0" applyFill="1" applyBorder="1" applyAlignment="1">
      <alignment vertical="center" wrapText="1"/>
    </xf>
    <xf numFmtId="0" fontId="0" fillId="20" borderId="27" xfId="0" applyFill="1" applyBorder="1" applyAlignment="1">
      <alignment horizontal="center" vertical="center" wrapText="1"/>
    </xf>
    <xf numFmtId="0" fontId="0" fillId="20" borderId="27" xfId="0" applyFill="1" applyBorder="1" applyAlignment="1">
      <alignment horizontal="left" vertical="center" wrapText="1"/>
    </xf>
    <xf numFmtId="0" fontId="0" fillId="20" borderId="27" xfId="0" applyFill="1" applyBorder="1" applyAlignment="1">
      <alignment vertical="center" wrapText="1"/>
    </xf>
    <xf numFmtId="0" fontId="74" fillId="8" borderId="27" xfId="0" applyFont="1" applyFill="1" applyBorder="1" applyAlignment="1">
      <alignment horizontal="left" vertical="center" wrapText="1"/>
    </xf>
    <xf numFmtId="15" fontId="0" fillId="4" borderId="27" xfId="0" applyNumberFormat="1" applyFill="1" applyBorder="1" applyAlignment="1">
      <alignment horizontal="center" vertical="center" wrapText="1"/>
    </xf>
    <xf numFmtId="15" fontId="0" fillId="9" borderId="27" xfId="0" applyNumberFormat="1" applyFill="1" applyBorder="1" applyAlignment="1">
      <alignment horizontal="center" vertical="center" wrapText="1"/>
    </xf>
    <xf numFmtId="15" fontId="0" fillId="3" borderId="27" xfId="0" applyNumberFormat="1" applyFill="1" applyBorder="1" applyAlignment="1">
      <alignment horizontal="center" vertical="center" wrapText="1"/>
    </xf>
    <xf numFmtId="49" fontId="0" fillId="0" borderId="0" xfId="0" applyNumberFormat="1" applyAlignment="1">
      <alignment horizontal="center" vertical="top" wrapText="1"/>
    </xf>
    <xf numFmtId="0" fontId="0" fillId="0" borderId="0" xfId="0" applyAlignment="1">
      <alignment horizontal="left" vertical="center" wrapText="1"/>
    </xf>
    <xf numFmtId="0" fontId="0" fillId="19" borderId="78" xfId="0" applyFill="1" applyBorder="1" applyAlignment="1">
      <alignment horizontal="left" vertical="center" wrapText="1"/>
    </xf>
    <xf numFmtId="0" fontId="0" fillId="19" borderId="18" xfId="0" applyFill="1" applyBorder="1" applyAlignment="1">
      <alignment horizontal="left" vertical="center" wrapText="1"/>
    </xf>
    <xf numFmtId="49" fontId="0" fillId="6" borderId="78" xfId="0" applyNumberFormat="1" applyFill="1" applyBorder="1" applyAlignment="1">
      <alignment horizontal="center" vertical="top" wrapText="1"/>
    </xf>
    <xf numFmtId="49" fontId="0" fillId="6" borderId="25" xfId="0" applyNumberFormat="1" applyFill="1" applyBorder="1" applyAlignment="1">
      <alignment horizontal="center" vertical="top" wrapText="1"/>
    </xf>
    <xf numFmtId="49" fontId="0" fillId="6" borderId="18" xfId="0" applyNumberFormat="1" applyFill="1" applyBorder="1" applyAlignment="1">
      <alignment horizontal="center" vertical="top" wrapText="1"/>
    </xf>
    <xf numFmtId="49" fontId="0" fillId="10" borderId="78" xfId="0" applyNumberFormat="1" applyFill="1" applyBorder="1" applyAlignment="1">
      <alignment horizontal="center" vertical="top" wrapText="1"/>
    </xf>
    <xf numFmtId="49" fontId="0" fillId="10" borderId="25" xfId="0" applyNumberFormat="1" applyFill="1" applyBorder="1" applyAlignment="1">
      <alignment horizontal="center" vertical="top" wrapText="1"/>
    </xf>
    <xf numFmtId="49" fontId="0" fillId="10" borderId="18" xfId="0" applyNumberFormat="1" applyFill="1" applyBorder="1" applyAlignment="1">
      <alignment horizontal="center" vertical="top" wrapText="1"/>
    </xf>
    <xf numFmtId="0" fontId="0" fillId="10" borderId="78" xfId="0" applyFill="1" applyBorder="1" applyAlignment="1">
      <alignment horizontal="left" vertical="center" wrapText="1"/>
    </xf>
    <xf numFmtId="0" fontId="0" fillId="10" borderId="18" xfId="0" applyFill="1" applyBorder="1" applyAlignment="1">
      <alignment horizontal="left" vertical="center" wrapText="1"/>
    </xf>
    <xf numFmtId="49" fontId="0" fillId="12" borderId="78" xfId="0" applyNumberFormat="1" applyFill="1" applyBorder="1" applyAlignment="1">
      <alignment horizontal="center" vertical="top" wrapText="1"/>
    </xf>
    <xf numFmtId="49" fontId="0" fillId="12" borderId="25" xfId="0" applyNumberFormat="1" applyFill="1" applyBorder="1" applyAlignment="1">
      <alignment horizontal="center" vertical="top" wrapText="1"/>
    </xf>
    <xf numFmtId="49" fontId="0" fillId="12" borderId="18" xfId="0" applyNumberFormat="1" applyFill="1" applyBorder="1" applyAlignment="1">
      <alignment horizontal="center" vertical="top" wrapText="1"/>
    </xf>
    <xf numFmtId="49" fontId="0" fillId="8" borderId="27" xfId="0" applyNumberFormat="1" applyFill="1" applyBorder="1" applyAlignment="1">
      <alignment horizontal="center" vertical="top" wrapText="1"/>
    </xf>
    <xf numFmtId="49" fontId="0" fillId="4" borderId="27" xfId="0" applyNumberFormat="1" applyFill="1" applyBorder="1" applyAlignment="1">
      <alignment horizontal="center" vertical="top" wrapText="1"/>
    </xf>
    <xf numFmtId="49" fontId="0" fillId="19" borderId="27" xfId="0" quotePrefix="1" applyNumberFormat="1" applyFill="1" applyBorder="1" applyAlignment="1">
      <alignment horizontal="center" vertical="top" wrapText="1"/>
    </xf>
    <xf numFmtId="49" fontId="0" fillId="7" borderId="27" xfId="0" applyNumberFormat="1" applyFill="1" applyBorder="1" applyAlignment="1">
      <alignment horizontal="center" vertical="top" wrapText="1"/>
    </xf>
    <xf numFmtId="49" fontId="0" fillId="6" borderId="27" xfId="0" quotePrefix="1" applyNumberFormat="1" applyFill="1" applyBorder="1" applyAlignment="1">
      <alignment horizontal="center" vertical="top" wrapText="1"/>
    </xf>
    <xf numFmtId="49" fontId="0" fillId="10" borderId="27" xfId="0" quotePrefix="1" applyNumberFormat="1" applyFill="1" applyBorder="1" applyAlignment="1">
      <alignment horizontal="center" vertical="top" wrapText="1"/>
    </xf>
    <xf numFmtId="0" fontId="0" fillId="10" borderId="27" xfId="0" applyFill="1" applyBorder="1" applyAlignment="1">
      <alignment horizontal="left" vertical="center" wrapText="1"/>
    </xf>
    <xf numFmtId="49" fontId="0" fillId="12" borderId="27" xfId="0" quotePrefix="1" applyNumberFormat="1" applyFill="1" applyBorder="1" applyAlignment="1">
      <alignment horizontal="center" vertical="top" wrapText="1"/>
    </xf>
    <xf numFmtId="49" fontId="0" fillId="19" borderId="27" xfId="0" applyNumberFormat="1" applyFill="1" applyBorder="1" applyAlignment="1">
      <alignment horizontal="center" vertical="top" wrapText="1"/>
    </xf>
    <xf numFmtId="49" fontId="0" fillId="13" borderId="27" xfId="0" applyNumberFormat="1" applyFill="1" applyBorder="1" applyAlignment="1">
      <alignment horizontal="center" vertical="top" wrapText="1"/>
    </xf>
    <xf numFmtId="49" fontId="0" fillId="9" borderId="27" xfId="0" applyNumberFormat="1" applyFill="1" applyBorder="1" applyAlignment="1">
      <alignment horizontal="center" vertical="top" wrapText="1"/>
    </xf>
    <xf numFmtId="49" fontId="0" fillId="3" borderId="27" xfId="0" applyNumberFormat="1" applyFill="1" applyBorder="1" applyAlignment="1">
      <alignment horizontal="center" vertical="top" wrapText="1"/>
    </xf>
    <xf numFmtId="49" fontId="0" fillId="20" borderId="27" xfId="0" applyNumberFormat="1" applyFill="1" applyBorder="1" applyAlignment="1">
      <alignment horizontal="center" vertical="top" wrapText="1"/>
    </xf>
    <xf numFmtId="0" fontId="30" fillId="5" borderId="6" xfId="0" applyFont="1" applyFill="1" applyBorder="1" applyAlignment="1">
      <alignment horizontal="center" wrapText="1"/>
    </xf>
    <xf numFmtId="0" fontId="30" fillId="5" borderId="7" xfId="0" applyFont="1" applyFill="1" applyBorder="1" applyAlignment="1">
      <alignment horizontal="center" wrapText="1"/>
    </xf>
    <xf numFmtId="0" fontId="30" fillId="5" borderId="8" xfId="0" applyFont="1" applyFill="1" applyBorder="1" applyAlignment="1">
      <alignment horizontal="center" wrapText="1"/>
    </xf>
    <xf numFmtId="0" fontId="30" fillId="5" borderId="6" xfId="0" applyFont="1" applyFill="1" applyBorder="1" applyAlignment="1">
      <alignment horizontal="center"/>
    </xf>
    <xf numFmtId="0" fontId="30" fillId="5" borderId="7" xfId="0" applyFont="1" applyFill="1" applyBorder="1" applyAlignment="1">
      <alignment horizontal="center"/>
    </xf>
    <xf numFmtId="0" fontId="30" fillId="5" borderId="8" xfId="0" applyFont="1" applyFill="1" applyBorder="1" applyAlignment="1">
      <alignment horizontal="center"/>
    </xf>
    <xf numFmtId="0" fontId="30" fillId="5" borderId="6" xfId="0" applyFont="1" applyFill="1" applyBorder="1" applyAlignment="1">
      <alignment horizontal="center" vertical="center"/>
    </xf>
    <xf numFmtId="0" fontId="30" fillId="5" borderId="7" xfId="0" applyFont="1" applyFill="1" applyBorder="1" applyAlignment="1">
      <alignment horizontal="center" vertical="center"/>
    </xf>
    <xf numFmtId="0" fontId="30" fillId="5" borderId="8" xfId="0" applyFont="1" applyFill="1" applyBorder="1" applyAlignment="1">
      <alignment horizontal="center" vertical="center"/>
    </xf>
    <xf numFmtId="165" fontId="30" fillId="5" borderId="114" xfId="0" applyNumberFormat="1" applyFont="1" applyFill="1" applyBorder="1" applyAlignment="1">
      <alignment horizontal="center"/>
    </xf>
    <xf numFmtId="165" fontId="30" fillId="5" borderId="48" xfId="0" applyNumberFormat="1" applyFont="1" applyFill="1" applyBorder="1" applyAlignment="1">
      <alignment horizontal="center"/>
    </xf>
    <xf numFmtId="165" fontId="30" fillId="5" borderId="113" xfId="0" applyNumberFormat="1" applyFont="1" applyFill="1" applyBorder="1" applyAlignment="1">
      <alignment horizontal="center"/>
    </xf>
    <xf numFmtId="0" fontId="33" fillId="0" borderId="4" xfId="28255" applyFont="1" applyBorder="1" applyAlignment="1">
      <alignment horizontal="left"/>
    </xf>
    <xf numFmtId="0" fontId="32" fillId="0" borderId="0" xfId="0" applyFont="1" applyAlignment="1">
      <alignment horizontal="center"/>
    </xf>
    <xf numFmtId="0" fontId="1" fillId="5" borderId="27" xfId="0" applyFont="1" applyFill="1" applyBorder="1" applyAlignment="1">
      <alignment horizontal="center" wrapText="1"/>
    </xf>
    <xf numFmtId="0" fontId="13" fillId="5" borderId="27" xfId="0" applyFont="1" applyFill="1" applyBorder="1" applyAlignment="1">
      <alignment horizontal="center" wrapText="1"/>
    </xf>
    <xf numFmtId="11" fontId="73" fillId="5" borderId="5" xfId="0" applyNumberFormat="1" applyFont="1" applyFill="1" applyBorder="1" applyAlignment="1">
      <alignment horizontal="center" vertical="center"/>
    </xf>
    <xf numFmtId="11" fontId="73" fillId="5" borderId="83" xfId="0" applyNumberFormat="1" applyFont="1" applyFill="1" applyBorder="1" applyAlignment="1">
      <alignment horizontal="center" vertical="center"/>
    </xf>
    <xf numFmtId="11" fontId="73" fillId="5" borderId="60" xfId="0" applyNumberFormat="1" applyFont="1" applyFill="1" applyBorder="1" applyAlignment="1">
      <alignment horizontal="center" vertical="center"/>
    </xf>
    <xf numFmtId="11" fontId="30" fillId="5" borderId="6" xfId="0" applyNumberFormat="1" applyFont="1" applyFill="1" applyBorder="1" applyAlignment="1">
      <alignment horizontal="center" vertical="center"/>
    </xf>
    <xf numFmtId="11" fontId="30" fillId="5" borderId="7" xfId="0" applyNumberFormat="1" applyFont="1" applyFill="1" applyBorder="1" applyAlignment="1">
      <alignment horizontal="center" vertical="center"/>
    </xf>
    <xf numFmtId="11" fontId="30" fillId="5" borderId="8" xfId="0" applyNumberFormat="1" applyFont="1" applyFill="1" applyBorder="1" applyAlignment="1">
      <alignment horizontal="center" vertical="center"/>
    </xf>
    <xf numFmtId="0" fontId="79" fillId="18" borderId="47" xfId="0" applyFont="1" applyFill="1" applyBorder="1" applyAlignment="1">
      <alignment horizontal="center"/>
    </xf>
    <xf numFmtId="0" fontId="79" fillId="18" borderId="30" xfId="0" applyFont="1" applyFill="1" applyBorder="1" applyAlignment="1">
      <alignment horizontal="center"/>
    </xf>
    <xf numFmtId="0" fontId="29" fillId="0" borderId="27" xfId="0" applyFont="1" applyBorder="1" applyAlignment="1">
      <alignment horizontal="center" vertical="center"/>
    </xf>
    <xf numFmtId="3" fontId="28" fillId="0" borderId="27" xfId="0" applyNumberFormat="1" applyFont="1" applyBorder="1" applyAlignment="1">
      <alignment horizontal="center" vertical="center"/>
    </xf>
    <xf numFmtId="0" fontId="28" fillId="0" borderId="27" xfId="0" applyFont="1" applyBorder="1" applyAlignment="1">
      <alignment horizontal="center" vertical="center"/>
    </xf>
    <xf numFmtId="0" fontId="79" fillId="18" borderId="35" xfId="0" applyFont="1" applyFill="1" applyBorder="1" applyAlignment="1">
      <alignment horizontal="center"/>
    </xf>
    <xf numFmtId="0" fontId="79" fillId="18" borderId="27" xfId="0" applyFont="1" applyFill="1" applyBorder="1" applyAlignment="1">
      <alignment horizontal="center"/>
    </xf>
    <xf numFmtId="0" fontId="29" fillId="0" borderId="0" xfId="0" applyFont="1" applyAlignment="1">
      <alignment horizontal="left" wrapText="1"/>
    </xf>
    <xf numFmtId="0" fontId="29" fillId="0" borderId="0" xfId="0" applyFont="1" applyAlignment="1">
      <alignment horizontal="left"/>
    </xf>
    <xf numFmtId="0" fontId="98" fillId="17" borderId="30" xfId="0" applyFont="1" applyFill="1" applyBorder="1" applyAlignment="1">
      <alignment horizontal="center"/>
    </xf>
    <xf numFmtId="49" fontId="98" fillId="17" borderId="95" xfId="0" applyNumberFormat="1" applyFont="1" applyFill="1" applyBorder="1" applyAlignment="1">
      <alignment horizontal="center"/>
    </xf>
    <xf numFmtId="49" fontId="98" fillId="17" borderId="4" xfId="0" applyNumberFormat="1" applyFont="1" applyFill="1" applyBorder="1" applyAlignment="1">
      <alignment horizontal="center"/>
    </xf>
    <xf numFmtId="49" fontId="98" fillId="17" borderId="95" xfId="0" applyNumberFormat="1" applyFont="1" applyFill="1" applyBorder="1" applyAlignment="1">
      <alignment horizontal="center" wrapText="1"/>
    </xf>
    <xf numFmtId="49" fontId="98" fillId="17" borderId="4" xfId="0" applyNumberFormat="1" applyFont="1" applyFill="1" applyBorder="1" applyAlignment="1">
      <alignment horizontal="center" wrapText="1"/>
    </xf>
    <xf numFmtId="11" fontId="70" fillId="5" borderId="89" xfId="0" applyNumberFormat="1" applyFont="1" applyFill="1" applyBorder="1" applyAlignment="1">
      <alignment horizontal="center" vertical="center"/>
    </xf>
    <xf numFmtId="11" fontId="70" fillId="5" borderId="6" xfId="0" applyNumberFormat="1" applyFont="1" applyFill="1" applyBorder="1" applyAlignment="1">
      <alignment horizontal="center" vertical="center"/>
    </xf>
    <xf numFmtId="11" fontId="70" fillId="5" borderId="119" xfId="0" applyNumberFormat="1" applyFont="1" applyFill="1" applyBorder="1" applyAlignment="1">
      <alignment horizontal="center" vertical="center"/>
    </xf>
    <xf numFmtId="11" fontId="70" fillId="5" borderId="118" xfId="0" applyNumberFormat="1" applyFont="1" applyFill="1" applyBorder="1" applyAlignment="1">
      <alignment horizontal="center" vertical="center"/>
    </xf>
    <xf numFmtId="11" fontId="70" fillId="5" borderId="117" xfId="0" applyNumberFormat="1" applyFont="1" applyFill="1" applyBorder="1" applyAlignment="1">
      <alignment horizontal="center" vertical="center"/>
    </xf>
    <xf numFmtId="0" fontId="98" fillId="9" borderId="47" xfId="0" applyFont="1" applyFill="1" applyBorder="1" applyAlignment="1">
      <alignment horizontal="center"/>
    </xf>
    <xf numFmtId="0" fontId="98" fillId="9" borderId="30" xfId="0" applyFont="1" applyFill="1" applyBorder="1" applyAlignment="1">
      <alignment horizontal="center"/>
    </xf>
    <xf numFmtId="0" fontId="98" fillId="9" borderId="35" xfId="0" applyFont="1" applyFill="1" applyBorder="1" applyAlignment="1">
      <alignment horizontal="center"/>
    </xf>
  </cellXfs>
  <cellStyles count="28937">
    <cellStyle name="Comma" xfId="28930" builtinId="3"/>
    <cellStyle name="Hyperlink" xfId="28934" builtinId="8"/>
    <cellStyle name="Normal" xfId="0" builtinId="0"/>
    <cellStyle name="Normal 10" xfId="28255" xr:uid="{00000000-0005-0000-0000-000003000000}"/>
    <cellStyle name="Normal 10 2" xfId="28853" xr:uid="{00000000-0005-0000-0000-000004000000}"/>
    <cellStyle name="Normal 10 2 10" xfId="23476" xr:uid="{00000000-0005-0000-0000-000005000000}"/>
    <cellStyle name="Normal 10 2 11" xfId="22879" xr:uid="{00000000-0005-0000-0000-000006000000}"/>
    <cellStyle name="Normal 10 2 12" xfId="22282" xr:uid="{00000000-0005-0000-0000-000007000000}"/>
    <cellStyle name="Normal 10 2 13" xfId="21686" xr:uid="{00000000-0005-0000-0000-000008000000}"/>
    <cellStyle name="Normal 10 2 14" xfId="21089" xr:uid="{00000000-0005-0000-0000-000009000000}"/>
    <cellStyle name="Normal 10 2 15" xfId="20492" xr:uid="{00000000-0005-0000-0000-00000A000000}"/>
    <cellStyle name="Normal 10 2 16" xfId="19895" xr:uid="{00000000-0005-0000-0000-00000B000000}"/>
    <cellStyle name="Normal 10 2 17" xfId="19299" xr:uid="{00000000-0005-0000-0000-00000C000000}"/>
    <cellStyle name="Normal 10 2 18" xfId="18703" xr:uid="{00000000-0005-0000-0000-00000D000000}"/>
    <cellStyle name="Normal 10 2 19" xfId="18113" xr:uid="{00000000-0005-0000-0000-00000E000000}"/>
    <cellStyle name="Normal 10 2 2" xfId="28254" xr:uid="{00000000-0005-0000-0000-00000F000000}"/>
    <cellStyle name="Normal 10 2 20" xfId="17514" xr:uid="{00000000-0005-0000-0000-000010000000}"/>
    <cellStyle name="Normal 10 2 21" xfId="15954" xr:uid="{00000000-0005-0000-0000-000011000000}"/>
    <cellStyle name="Normal 10 2 22" xfId="15656" xr:uid="{00000000-0005-0000-0000-000012000000}"/>
    <cellStyle name="Normal 10 2 23" xfId="15033" xr:uid="{00000000-0005-0000-0000-000013000000}"/>
    <cellStyle name="Normal 10 2 24" xfId="14674" xr:uid="{00000000-0005-0000-0000-000014000000}"/>
    <cellStyle name="Normal 10 2 25" xfId="15910" xr:uid="{00000000-0005-0000-0000-000015000000}"/>
    <cellStyle name="Normal 10 2 26" xfId="15833" xr:uid="{00000000-0005-0000-0000-000016000000}"/>
    <cellStyle name="Normal 10 2 27" xfId="16589" xr:uid="{00000000-0005-0000-0000-000017000000}"/>
    <cellStyle name="Normal 10 2 28" xfId="12721" xr:uid="{00000000-0005-0000-0000-000018000000}"/>
    <cellStyle name="Normal 10 2 29" xfId="12122" xr:uid="{00000000-0005-0000-0000-000019000000}"/>
    <cellStyle name="Normal 10 2 3" xfId="27654" xr:uid="{00000000-0005-0000-0000-00001A000000}"/>
    <cellStyle name="Normal 10 2 30" xfId="6748" xr:uid="{00000000-0005-0000-0000-00001B000000}"/>
    <cellStyle name="Normal 10 2 31" xfId="6615" xr:uid="{00000000-0005-0000-0000-00001C000000}"/>
    <cellStyle name="Normal 10 2 32" xfId="8131" xr:uid="{00000000-0005-0000-0000-00001D000000}"/>
    <cellStyle name="Normal 10 2 33" xfId="12021" xr:uid="{00000000-0005-0000-0000-00001E000000}"/>
    <cellStyle name="Normal 10 2 34" xfId="5239" xr:uid="{00000000-0005-0000-0000-00001F000000}"/>
    <cellStyle name="Normal 10 2 35" xfId="7811" xr:uid="{00000000-0005-0000-0000-000020000000}"/>
    <cellStyle name="Normal 10 2 36" xfId="11496" xr:uid="{00000000-0005-0000-0000-000021000000}"/>
    <cellStyle name="Normal 10 2 37" xfId="5135" xr:uid="{00000000-0005-0000-0000-000022000000}"/>
    <cellStyle name="Normal 10 2 38" xfId="4812" xr:uid="{00000000-0005-0000-0000-000023000000}"/>
    <cellStyle name="Normal 10 2 39" xfId="8561" xr:uid="{00000000-0005-0000-0000-000024000000}"/>
    <cellStyle name="Normal 10 2 4" xfId="27056" xr:uid="{00000000-0005-0000-0000-000025000000}"/>
    <cellStyle name="Normal 10 2 40" xfId="4519" xr:uid="{00000000-0005-0000-0000-000026000000}"/>
    <cellStyle name="Normal 10 2 41" xfId="11962" xr:uid="{00000000-0005-0000-0000-000027000000}"/>
    <cellStyle name="Normal 10 2 42" xfId="11510" xr:uid="{00000000-0005-0000-0000-000028000000}"/>
    <cellStyle name="Normal 10 2 43" xfId="7611" xr:uid="{00000000-0005-0000-0000-000029000000}"/>
    <cellStyle name="Normal 10 2 44" xfId="3077" xr:uid="{00000000-0005-0000-0000-00002A000000}"/>
    <cellStyle name="Normal 10 2 45" xfId="2833" xr:uid="{00000000-0005-0000-0000-00002B000000}"/>
    <cellStyle name="Normal 10 2 46" xfId="2787" xr:uid="{00000000-0005-0000-0000-00002C000000}"/>
    <cellStyle name="Normal 10 2 47" xfId="2779" xr:uid="{00000000-0005-0000-0000-00002D000000}"/>
    <cellStyle name="Normal 10 2 48" xfId="2307" xr:uid="{00000000-0005-0000-0000-00002E000000}"/>
    <cellStyle name="Normal 10 2 49" xfId="2067" xr:uid="{00000000-0005-0000-0000-00002F000000}"/>
    <cellStyle name="Normal 10 2 5" xfId="26459" xr:uid="{00000000-0005-0000-0000-000030000000}"/>
    <cellStyle name="Normal 10 2 50" xfId="1827" xr:uid="{00000000-0005-0000-0000-000031000000}"/>
    <cellStyle name="Normal 10 2 51" xfId="1580" xr:uid="{00000000-0005-0000-0000-000032000000}"/>
    <cellStyle name="Normal 10 2 52" xfId="1348" xr:uid="{00000000-0005-0000-0000-000033000000}"/>
    <cellStyle name="Normal 10 2 53" xfId="1108" xr:uid="{00000000-0005-0000-0000-000034000000}"/>
    <cellStyle name="Normal 10 2 54" xfId="868" xr:uid="{00000000-0005-0000-0000-000035000000}"/>
    <cellStyle name="Normal 10 2 55" xfId="628" xr:uid="{00000000-0005-0000-0000-000036000000}"/>
    <cellStyle name="Normal 10 2 56" xfId="388" xr:uid="{00000000-0005-0000-0000-000037000000}"/>
    <cellStyle name="Normal 10 2 6" xfId="25863" xr:uid="{00000000-0005-0000-0000-000038000000}"/>
    <cellStyle name="Normal 10 2 7" xfId="25267" xr:uid="{00000000-0005-0000-0000-000039000000}"/>
    <cellStyle name="Normal 10 2 8" xfId="24670" xr:uid="{00000000-0005-0000-0000-00003A000000}"/>
    <cellStyle name="Normal 10 2 9" xfId="24073" xr:uid="{00000000-0005-0000-0000-00003B000000}"/>
    <cellStyle name="Normal 10 3" xfId="28852" xr:uid="{00000000-0005-0000-0000-00003C000000}"/>
    <cellStyle name="Normal 10 3 10" xfId="23477" xr:uid="{00000000-0005-0000-0000-00003D000000}"/>
    <cellStyle name="Normal 10 3 11" xfId="22880" xr:uid="{00000000-0005-0000-0000-00003E000000}"/>
    <cellStyle name="Normal 10 3 12" xfId="22283" xr:uid="{00000000-0005-0000-0000-00003F000000}"/>
    <cellStyle name="Normal 10 3 13" xfId="21687" xr:uid="{00000000-0005-0000-0000-000040000000}"/>
    <cellStyle name="Normal 10 3 14" xfId="21090" xr:uid="{00000000-0005-0000-0000-000041000000}"/>
    <cellStyle name="Normal 10 3 15" xfId="20493" xr:uid="{00000000-0005-0000-0000-000042000000}"/>
    <cellStyle name="Normal 10 3 16" xfId="19896" xr:uid="{00000000-0005-0000-0000-000043000000}"/>
    <cellStyle name="Normal 10 3 17" xfId="19300" xr:uid="{00000000-0005-0000-0000-000044000000}"/>
    <cellStyle name="Normal 10 3 18" xfId="18704" xr:uid="{00000000-0005-0000-0000-000045000000}"/>
    <cellStyle name="Normal 10 3 19" xfId="18112" xr:uid="{00000000-0005-0000-0000-000046000000}"/>
    <cellStyle name="Normal 10 3 2" xfId="28253" xr:uid="{00000000-0005-0000-0000-000047000000}"/>
    <cellStyle name="Normal 10 3 20" xfId="17515" xr:uid="{00000000-0005-0000-0000-000048000000}"/>
    <cellStyle name="Normal 10 3 21" xfId="15754" xr:uid="{00000000-0005-0000-0000-000049000000}"/>
    <cellStyle name="Normal 10 3 22" xfId="15666" xr:uid="{00000000-0005-0000-0000-00004A000000}"/>
    <cellStyle name="Normal 10 3 23" xfId="14809" xr:uid="{00000000-0005-0000-0000-00004B000000}"/>
    <cellStyle name="Normal 10 3 24" xfId="17113" xr:uid="{00000000-0005-0000-0000-00004C000000}"/>
    <cellStyle name="Normal 10 3 25" xfId="13469" xr:uid="{00000000-0005-0000-0000-00004D000000}"/>
    <cellStyle name="Normal 10 3 26" xfId="15901" xr:uid="{00000000-0005-0000-0000-00004E000000}"/>
    <cellStyle name="Normal 10 3 27" xfId="16049" xr:uid="{00000000-0005-0000-0000-00004F000000}"/>
    <cellStyle name="Normal 10 3 28" xfId="12720" xr:uid="{00000000-0005-0000-0000-000050000000}"/>
    <cellStyle name="Normal 10 3 29" xfId="12123" xr:uid="{00000000-0005-0000-0000-000051000000}"/>
    <cellStyle name="Normal 10 3 3" xfId="27655" xr:uid="{00000000-0005-0000-0000-000052000000}"/>
    <cellStyle name="Normal 10 3 30" xfId="7119" xr:uid="{00000000-0005-0000-0000-000053000000}"/>
    <cellStyle name="Normal 10 3 31" xfId="8989" xr:uid="{00000000-0005-0000-0000-000054000000}"/>
    <cellStyle name="Normal 10 3 32" xfId="5978" xr:uid="{00000000-0005-0000-0000-000055000000}"/>
    <cellStyle name="Normal 10 3 33" xfId="8494" xr:uid="{00000000-0005-0000-0000-000056000000}"/>
    <cellStyle name="Normal 10 3 34" xfId="8630" xr:uid="{00000000-0005-0000-0000-000057000000}"/>
    <cellStyle name="Normal 10 3 35" xfId="10326" xr:uid="{00000000-0005-0000-0000-000058000000}"/>
    <cellStyle name="Normal 10 3 36" xfId="10624" xr:uid="{00000000-0005-0000-0000-000059000000}"/>
    <cellStyle name="Normal 10 3 37" xfId="10600" xr:uid="{00000000-0005-0000-0000-00005A000000}"/>
    <cellStyle name="Normal 10 3 38" xfId="7277" xr:uid="{00000000-0005-0000-0000-00005B000000}"/>
    <cellStyle name="Normal 10 3 39" xfId="4227" xr:uid="{00000000-0005-0000-0000-00005C000000}"/>
    <cellStyle name="Normal 10 3 4" xfId="27057" xr:uid="{00000000-0005-0000-0000-00005D000000}"/>
    <cellStyle name="Normal 10 3 40" xfId="4349" xr:uid="{00000000-0005-0000-0000-00005E000000}"/>
    <cellStyle name="Normal 10 3 41" xfId="4346" xr:uid="{00000000-0005-0000-0000-00005F000000}"/>
    <cellStyle name="Normal 10 3 42" xfId="3679" xr:uid="{00000000-0005-0000-0000-000060000000}"/>
    <cellStyle name="Normal 10 3 43" xfId="10841" xr:uid="{00000000-0005-0000-0000-000061000000}"/>
    <cellStyle name="Normal 10 3 44" xfId="3076" xr:uid="{00000000-0005-0000-0000-000062000000}"/>
    <cellStyle name="Normal 10 3 45" xfId="2832" xr:uid="{00000000-0005-0000-0000-000063000000}"/>
    <cellStyle name="Normal 10 3 46" xfId="2834" xr:uid="{00000000-0005-0000-0000-000064000000}"/>
    <cellStyle name="Normal 10 3 47" xfId="2352" xr:uid="{00000000-0005-0000-0000-000065000000}"/>
    <cellStyle name="Normal 10 3 48" xfId="2547" xr:uid="{00000000-0005-0000-0000-000066000000}"/>
    <cellStyle name="Normal 10 3 49" xfId="2299" xr:uid="{00000000-0005-0000-0000-000067000000}"/>
    <cellStyle name="Normal 10 3 5" xfId="26460" xr:uid="{00000000-0005-0000-0000-000068000000}"/>
    <cellStyle name="Normal 10 3 50" xfId="2059" xr:uid="{00000000-0005-0000-0000-000069000000}"/>
    <cellStyle name="Normal 10 3 51" xfId="1588" xr:uid="{00000000-0005-0000-0000-00006A000000}"/>
    <cellStyle name="Normal 10 3 52" xfId="1393" xr:uid="{00000000-0005-0000-0000-00006B000000}"/>
    <cellStyle name="Normal 10 3 53" xfId="1340" xr:uid="{00000000-0005-0000-0000-00006C000000}"/>
    <cellStyle name="Normal 10 3 54" xfId="1100" xr:uid="{00000000-0005-0000-0000-00006D000000}"/>
    <cellStyle name="Normal 10 3 55" xfId="860" xr:uid="{00000000-0005-0000-0000-00006E000000}"/>
    <cellStyle name="Normal 10 3 56" xfId="620" xr:uid="{00000000-0005-0000-0000-00006F000000}"/>
    <cellStyle name="Normal 10 3 6" xfId="25864" xr:uid="{00000000-0005-0000-0000-000070000000}"/>
    <cellStyle name="Normal 10 3 7" xfId="25268" xr:uid="{00000000-0005-0000-0000-000071000000}"/>
    <cellStyle name="Normal 10 3 8" xfId="24671" xr:uid="{00000000-0005-0000-0000-000072000000}"/>
    <cellStyle name="Normal 10 3 9" xfId="24074" xr:uid="{00000000-0005-0000-0000-000073000000}"/>
    <cellStyle name="Normal 10 4" xfId="28851" xr:uid="{00000000-0005-0000-0000-000074000000}"/>
    <cellStyle name="Normal 10 4 10" xfId="23478" xr:uid="{00000000-0005-0000-0000-000075000000}"/>
    <cellStyle name="Normal 10 4 11" xfId="22881" xr:uid="{00000000-0005-0000-0000-000076000000}"/>
    <cellStyle name="Normal 10 4 12" xfId="22284" xr:uid="{00000000-0005-0000-0000-000077000000}"/>
    <cellStyle name="Normal 10 4 13" xfId="21688" xr:uid="{00000000-0005-0000-0000-000078000000}"/>
    <cellStyle name="Normal 10 4 14" xfId="21091" xr:uid="{00000000-0005-0000-0000-000079000000}"/>
    <cellStyle name="Normal 10 4 15" xfId="20494" xr:uid="{00000000-0005-0000-0000-00007A000000}"/>
    <cellStyle name="Normal 10 4 16" xfId="19897" xr:uid="{00000000-0005-0000-0000-00007B000000}"/>
    <cellStyle name="Normal 10 4 17" xfId="19301" xr:uid="{00000000-0005-0000-0000-00007C000000}"/>
    <cellStyle name="Normal 10 4 18" xfId="18705" xr:uid="{00000000-0005-0000-0000-00007D000000}"/>
    <cellStyle name="Normal 10 4 19" xfId="18111" xr:uid="{00000000-0005-0000-0000-00007E000000}"/>
    <cellStyle name="Normal 10 4 2" xfId="28252" xr:uid="{00000000-0005-0000-0000-00007F000000}"/>
    <cellStyle name="Normal 10 4 20" xfId="17516" xr:uid="{00000000-0005-0000-0000-000080000000}"/>
    <cellStyle name="Normal 10 4 21" xfId="15564" xr:uid="{00000000-0005-0000-0000-000081000000}"/>
    <cellStyle name="Normal 10 4 22" xfId="14836" xr:uid="{00000000-0005-0000-0000-000082000000}"/>
    <cellStyle name="Normal 10 4 23" xfId="14307" xr:uid="{00000000-0005-0000-0000-000083000000}"/>
    <cellStyle name="Normal 10 4 24" xfId="17058" xr:uid="{00000000-0005-0000-0000-000084000000}"/>
    <cellStyle name="Normal 10 4 25" xfId="13064" xr:uid="{00000000-0005-0000-0000-000085000000}"/>
    <cellStyle name="Normal 10 4 26" xfId="17408" xr:uid="{00000000-0005-0000-0000-000086000000}"/>
    <cellStyle name="Normal 10 4 27" xfId="13169" xr:uid="{00000000-0005-0000-0000-000087000000}"/>
    <cellStyle name="Normal 10 4 28" xfId="12719" xr:uid="{00000000-0005-0000-0000-000088000000}"/>
    <cellStyle name="Normal 10 4 29" xfId="12124" xr:uid="{00000000-0005-0000-0000-000089000000}"/>
    <cellStyle name="Normal 10 4 3" xfId="28042" xr:uid="{00000000-0005-0000-0000-00008A000000}"/>
    <cellStyle name="Normal 10 4 30" xfId="9665" xr:uid="{00000000-0005-0000-0000-00008B000000}"/>
    <cellStyle name="Normal 10 4 31" xfId="7145" xr:uid="{00000000-0005-0000-0000-00008C000000}"/>
    <cellStyle name="Normal 10 4 32" xfId="5683" xr:uid="{00000000-0005-0000-0000-00008D000000}"/>
    <cellStyle name="Normal 10 4 33" xfId="8638" xr:uid="{00000000-0005-0000-0000-00008E000000}"/>
    <cellStyle name="Normal 10 4 34" xfId="9818" xr:uid="{00000000-0005-0000-0000-00008F000000}"/>
    <cellStyle name="Normal 10 4 35" xfId="5637" xr:uid="{00000000-0005-0000-0000-000090000000}"/>
    <cellStyle name="Normal 10 4 36" xfId="5074" xr:uid="{00000000-0005-0000-0000-000091000000}"/>
    <cellStyle name="Normal 10 4 37" xfId="4235" xr:uid="{00000000-0005-0000-0000-000092000000}"/>
    <cellStyle name="Normal 10 4 38" xfId="8173" xr:uid="{00000000-0005-0000-0000-000093000000}"/>
    <cellStyle name="Normal 10 4 39" xfId="11932" xr:uid="{00000000-0005-0000-0000-000094000000}"/>
    <cellStyle name="Normal 10 4 4" xfId="27058" xr:uid="{00000000-0005-0000-0000-000095000000}"/>
    <cellStyle name="Normal 10 4 40" xfId="8800" xr:uid="{00000000-0005-0000-0000-000096000000}"/>
    <cellStyle name="Normal 10 4 41" xfId="4628" xr:uid="{00000000-0005-0000-0000-000097000000}"/>
    <cellStyle name="Normal 10 4 42" xfId="4073" xr:uid="{00000000-0005-0000-0000-000098000000}"/>
    <cellStyle name="Normal 10 4 43" xfId="8847" xr:uid="{00000000-0005-0000-0000-000099000000}"/>
    <cellStyle name="Normal 10 4 44" xfId="3075" xr:uid="{00000000-0005-0000-0000-00009A000000}"/>
    <cellStyle name="Normal 10 4 45" xfId="2831" xr:uid="{00000000-0005-0000-0000-00009B000000}"/>
    <cellStyle name="Normal 10 4 46" xfId="2591" xr:uid="{00000000-0005-0000-0000-00009C000000}"/>
    <cellStyle name="Normal 10 4 47" xfId="2351" xr:uid="{00000000-0005-0000-0000-00009D000000}"/>
    <cellStyle name="Normal 10 4 48" xfId="2111" xr:uid="{00000000-0005-0000-0000-00009E000000}"/>
    <cellStyle name="Normal 10 4 49" xfId="1871" xr:uid="{00000000-0005-0000-0000-00009F000000}"/>
    <cellStyle name="Normal 10 4 5" xfId="26461" xr:uid="{00000000-0005-0000-0000-0000A0000000}"/>
    <cellStyle name="Normal 10 4 50" xfId="1632" xr:uid="{00000000-0005-0000-0000-0000A1000000}"/>
    <cellStyle name="Normal 10 4 51" xfId="1819" xr:uid="{00000000-0005-0000-0000-0000A2000000}"/>
    <cellStyle name="Normal 10 4 52" xfId="1152" xr:uid="{00000000-0005-0000-0000-0000A3000000}"/>
    <cellStyle name="Normal 10 4 53" xfId="912" xr:uid="{00000000-0005-0000-0000-0000A4000000}"/>
    <cellStyle name="Normal 10 4 54" xfId="672" xr:uid="{00000000-0005-0000-0000-0000A5000000}"/>
    <cellStyle name="Normal 10 4 55" xfId="432" xr:uid="{00000000-0005-0000-0000-0000A6000000}"/>
    <cellStyle name="Normal 10 4 56" xfId="193" xr:uid="{00000000-0005-0000-0000-0000A7000000}"/>
    <cellStyle name="Normal 10 4 6" xfId="25865" xr:uid="{00000000-0005-0000-0000-0000A8000000}"/>
    <cellStyle name="Normal 10 4 7" xfId="25269" xr:uid="{00000000-0005-0000-0000-0000A9000000}"/>
    <cellStyle name="Normal 10 4 8" xfId="24672" xr:uid="{00000000-0005-0000-0000-0000AA000000}"/>
    <cellStyle name="Normal 10 4 9" xfId="24075" xr:uid="{00000000-0005-0000-0000-0000AB000000}"/>
    <cellStyle name="Normal 10 5" xfId="28850" xr:uid="{00000000-0005-0000-0000-0000AC000000}"/>
    <cellStyle name="Normal 10 5 10" xfId="23865" xr:uid="{00000000-0005-0000-0000-0000AD000000}"/>
    <cellStyle name="Normal 10 5 11" xfId="23268" xr:uid="{00000000-0005-0000-0000-0000AE000000}"/>
    <cellStyle name="Normal 10 5 12" xfId="22671" xr:uid="{00000000-0005-0000-0000-0000AF000000}"/>
    <cellStyle name="Normal 10 5 13" xfId="22075" xr:uid="{00000000-0005-0000-0000-0000B0000000}"/>
    <cellStyle name="Normal 10 5 14" xfId="21478" xr:uid="{00000000-0005-0000-0000-0000B1000000}"/>
    <cellStyle name="Normal 10 5 15" xfId="20881" xr:uid="{00000000-0005-0000-0000-0000B2000000}"/>
    <cellStyle name="Normal 10 5 16" xfId="20284" xr:uid="{00000000-0005-0000-0000-0000B3000000}"/>
    <cellStyle name="Normal 10 5 17" xfId="19688" xr:uid="{00000000-0005-0000-0000-0000B4000000}"/>
    <cellStyle name="Normal 10 5 18" xfId="19092" xr:uid="{00000000-0005-0000-0000-0000B5000000}"/>
    <cellStyle name="Normal 10 5 19" xfId="18110" xr:uid="{00000000-0005-0000-0000-0000B6000000}"/>
    <cellStyle name="Normal 10 5 2" xfId="28251" xr:uid="{00000000-0005-0000-0000-0000B7000000}"/>
    <cellStyle name="Normal 10 5 20" xfId="15919" xr:uid="{00000000-0005-0000-0000-0000B8000000}"/>
    <cellStyle name="Normal 10 5 21" xfId="16161" xr:uid="{00000000-0005-0000-0000-0000B9000000}"/>
    <cellStyle name="Normal 10 5 22" xfId="14319" xr:uid="{00000000-0005-0000-0000-0000BA000000}"/>
    <cellStyle name="Normal 10 5 23" xfId="15480" xr:uid="{00000000-0005-0000-0000-0000BB000000}"/>
    <cellStyle name="Normal 10 5 24" xfId="13624" xr:uid="{00000000-0005-0000-0000-0000BC000000}"/>
    <cellStyle name="Normal 10 5 25" xfId="13290" xr:uid="{00000000-0005-0000-0000-0000BD000000}"/>
    <cellStyle name="Normal 10 5 26" xfId="16680" xr:uid="{00000000-0005-0000-0000-0000BE000000}"/>
    <cellStyle name="Normal 10 5 27" xfId="15455" xr:uid="{00000000-0005-0000-0000-0000BF000000}"/>
    <cellStyle name="Normal 10 5 28" xfId="12718" xr:uid="{00000000-0005-0000-0000-0000C0000000}"/>
    <cellStyle name="Normal 10 5 29" xfId="12125" xr:uid="{00000000-0005-0000-0000-0000C1000000}"/>
    <cellStyle name="Normal 10 5 3" xfId="28140" xr:uid="{00000000-0005-0000-0000-0000C2000000}"/>
    <cellStyle name="Normal 10 5 30" xfId="10196" xr:uid="{00000000-0005-0000-0000-0000C3000000}"/>
    <cellStyle name="Normal 10 5 31" xfId="7070" xr:uid="{00000000-0005-0000-0000-0000C4000000}"/>
    <cellStyle name="Normal 10 5 32" xfId="5732" xr:uid="{00000000-0005-0000-0000-0000C5000000}"/>
    <cellStyle name="Normal 10 5 33" xfId="10043" xr:uid="{00000000-0005-0000-0000-0000C6000000}"/>
    <cellStyle name="Normal 10 5 34" xfId="8826" xr:uid="{00000000-0005-0000-0000-0000C7000000}"/>
    <cellStyle name="Normal 10 5 35" xfId="9138" xr:uid="{00000000-0005-0000-0000-0000C8000000}"/>
    <cellStyle name="Normal 10 5 36" xfId="11681" xr:uid="{00000000-0005-0000-0000-0000C9000000}"/>
    <cellStyle name="Normal 10 5 37" xfId="11620" xr:uid="{00000000-0005-0000-0000-0000CA000000}"/>
    <cellStyle name="Normal 10 5 38" xfId="10454" xr:uid="{00000000-0005-0000-0000-0000CB000000}"/>
    <cellStyle name="Normal 10 5 39" xfId="4470" xr:uid="{00000000-0005-0000-0000-0000CC000000}"/>
    <cellStyle name="Normal 10 5 4" xfId="27445" xr:uid="{00000000-0005-0000-0000-0000CD000000}"/>
    <cellStyle name="Normal 10 5 40" xfId="4538" xr:uid="{00000000-0005-0000-0000-0000CE000000}"/>
    <cellStyle name="Normal 10 5 41" xfId="10654" xr:uid="{00000000-0005-0000-0000-0000CF000000}"/>
    <cellStyle name="Normal 10 5 42" xfId="3519" xr:uid="{00000000-0005-0000-0000-0000D0000000}"/>
    <cellStyle name="Normal 10 5 43" xfId="9362" xr:uid="{00000000-0005-0000-0000-0000D1000000}"/>
    <cellStyle name="Normal 10 5 44" xfId="3074" xr:uid="{00000000-0005-0000-0000-0000D2000000}"/>
    <cellStyle name="Normal 10 5 45" xfId="2830" xr:uid="{00000000-0005-0000-0000-0000D3000000}"/>
    <cellStyle name="Normal 10 5 46" xfId="2590" xr:uid="{00000000-0005-0000-0000-0000D4000000}"/>
    <cellStyle name="Normal 10 5 47" xfId="2350" xr:uid="{00000000-0005-0000-0000-0000D5000000}"/>
    <cellStyle name="Normal 10 5 48" xfId="2110" xr:uid="{00000000-0005-0000-0000-0000D6000000}"/>
    <cellStyle name="Normal 10 5 49" xfId="1870" xr:uid="{00000000-0005-0000-0000-0000D7000000}"/>
    <cellStyle name="Normal 10 5 5" xfId="26848" xr:uid="{00000000-0005-0000-0000-0000D8000000}"/>
    <cellStyle name="Normal 10 5 50" xfId="1631" xr:uid="{00000000-0005-0000-0000-0000D9000000}"/>
    <cellStyle name="Normal 10 5 51" xfId="1391" xr:uid="{00000000-0005-0000-0000-0000DA000000}"/>
    <cellStyle name="Normal 10 5 52" xfId="1151" xr:uid="{00000000-0005-0000-0000-0000DB000000}"/>
    <cellStyle name="Normal 10 5 53" xfId="911" xr:uid="{00000000-0005-0000-0000-0000DC000000}"/>
    <cellStyle name="Normal 10 5 54" xfId="671" xr:uid="{00000000-0005-0000-0000-0000DD000000}"/>
    <cellStyle name="Normal 10 5 55" xfId="431" xr:uid="{00000000-0005-0000-0000-0000DE000000}"/>
    <cellStyle name="Normal 10 5 56" xfId="192" xr:uid="{00000000-0005-0000-0000-0000DF000000}"/>
    <cellStyle name="Normal 10 5 6" xfId="26252" xr:uid="{00000000-0005-0000-0000-0000E0000000}"/>
    <cellStyle name="Normal 10 5 7" xfId="25656" xr:uid="{00000000-0005-0000-0000-0000E1000000}"/>
    <cellStyle name="Normal 10 5 8" xfId="25059" xr:uid="{00000000-0005-0000-0000-0000E2000000}"/>
    <cellStyle name="Normal 10 5 9" xfId="24462" xr:uid="{00000000-0005-0000-0000-0000E3000000}"/>
    <cellStyle name="Normal 11" xfId="28849" xr:uid="{00000000-0005-0000-0000-0000E4000000}"/>
    <cellStyle name="Normal 11 10" xfId="28848" xr:uid="{00000000-0005-0000-0000-0000E5000000}"/>
    <cellStyle name="Normal 11 10 10" xfId="23986" xr:uid="{00000000-0005-0000-0000-0000E6000000}"/>
    <cellStyle name="Normal 11 10 11" xfId="23389" xr:uid="{00000000-0005-0000-0000-0000E7000000}"/>
    <cellStyle name="Normal 11 10 12" xfId="22792" xr:uid="{00000000-0005-0000-0000-0000E8000000}"/>
    <cellStyle name="Normal 11 10 13" xfId="22196" xr:uid="{00000000-0005-0000-0000-0000E9000000}"/>
    <cellStyle name="Normal 11 10 14" xfId="21599" xr:uid="{00000000-0005-0000-0000-0000EA000000}"/>
    <cellStyle name="Normal 11 10 15" xfId="21002" xr:uid="{00000000-0005-0000-0000-0000EB000000}"/>
    <cellStyle name="Normal 11 10 16" xfId="20405" xr:uid="{00000000-0005-0000-0000-0000EC000000}"/>
    <cellStyle name="Normal 11 10 17" xfId="19809" xr:uid="{00000000-0005-0000-0000-0000ED000000}"/>
    <cellStyle name="Normal 11 10 18" xfId="19213" xr:uid="{00000000-0005-0000-0000-0000EE000000}"/>
    <cellStyle name="Normal 11 10 19" xfId="18108" xr:uid="{00000000-0005-0000-0000-0000EF000000}"/>
    <cellStyle name="Normal 11 10 2" xfId="28249" xr:uid="{00000000-0005-0000-0000-0000F0000000}"/>
    <cellStyle name="Normal 11 10 20" xfId="16328" xr:uid="{00000000-0005-0000-0000-0000F1000000}"/>
    <cellStyle name="Normal 11 10 21" xfId="14439" xr:uid="{00000000-0005-0000-0000-0000F2000000}"/>
    <cellStyle name="Normal 11 10 22" xfId="15970" xr:uid="{00000000-0005-0000-0000-0000F3000000}"/>
    <cellStyle name="Normal 11 10 23" xfId="13713" xr:uid="{00000000-0005-0000-0000-0000F4000000}"/>
    <cellStyle name="Normal 11 10 24" xfId="15048" xr:uid="{00000000-0005-0000-0000-0000F5000000}"/>
    <cellStyle name="Normal 11 10 25" xfId="13380" xr:uid="{00000000-0005-0000-0000-0000F6000000}"/>
    <cellStyle name="Normal 11 10 26" xfId="12877" xr:uid="{00000000-0005-0000-0000-0000F7000000}"/>
    <cellStyle name="Normal 11 10 27" xfId="14484" xr:uid="{00000000-0005-0000-0000-0000F8000000}"/>
    <cellStyle name="Normal 11 10 28" xfId="12716" xr:uid="{00000000-0005-0000-0000-0000F9000000}"/>
    <cellStyle name="Normal 11 10 29" xfId="10565" xr:uid="{00000000-0005-0000-0000-0000FA000000}"/>
    <cellStyle name="Normal 11 10 3" xfId="27652" xr:uid="{00000000-0005-0000-0000-0000FB000000}"/>
    <cellStyle name="Normal 11 10 30" xfId="10635" xr:uid="{00000000-0005-0000-0000-0000FC000000}"/>
    <cellStyle name="Normal 11 10 31" xfId="6316" xr:uid="{00000000-0005-0000-0000-0000FD000000}"/>
    <cellStyle name="Normal 11 10 32" xfId="10738" xr:uid="{00000000-0005-0000-0000-0000FE000000}"/>
    <cellStyle name="Normal 11 10 33" xfId="7246" xr:uid="{00000000-0005-0000-0000-0000FF000000}"/>
    <cellStyle name="Normal 11 10 34" xfId="9975" xr:uid="{00000000-0005-0000-0000-000000010000}"/>
    <cellStyle name="Normal 11 10 35" xfId="5985" xr:uid="{00000000-0005-0000-0000-000001010000}"/>
    <cellStyle name="Normal 11 10 36" xfId="6069" xr:uid="{00000000-0005-0000-0000-000002010000}"/>
    <cellStyle name="Normal 11 10 37" xfId="7225" xr:uid="{00000000-0005-0000-0000-000003010000}"/>
    <cellStyle name="Normal 11 10 38" xfId="6762" xr:uid="{00000000-0005-0000-0000-000004010000}"/>
    <cellStyle name="Normal 11 10 39" xfId="4398" xr:uid="{00000000-0005-0000-0000-000005010000}"/>
    <cellStyle name="Normal 11 10 4" xfId="27566" xr:uid="{00000000-0005-0000-0000-000006010000}"/>
    <cellStyle name="Normal 11 10 40" xfId="5433" xr:uid="{00000000-0005-0000-0000-000007010000}"/>
    <cellStyle name="Normal 11 10 41" xfId="3439" xr:uid="{00000000-0005-0000-0000-000008010000}"/>
    <cellStyle name="Normal 11 10 42" xfId="5020" xr:uid="{00000000-0005-0000-0000-000009010000}"/>
    <cellStyle name="Normal 11 10 43" xfId="4590" xr:uid="{00000000-0005-0000-0000-00000A010000}"/>
    <cellStyle name="Normal 11 10 44" xfId="3072" xr:uid="{00000000-0005-0000-0000-00000B010000}"/>
    <cellStyle name="Normal 11 10 45" xfId="2828" xr:uid="{00000000-0005-0000-0000-00000C010000}"/>
    <cellStyle name="Normal 11 10 46" xfId="2588" xr:uid="{00000000-0005-0000-0000-00000D010000}"/>
    <cellStyle name="Normal 11 10 47" xfId="2348" xr:uid="{00000000-0005-0000-0000-00000E010000}"/>
    <cellStyle name="Normal 11 10 48" xfId="2108" xr:uid="{00000000-0005-0000-0000-00000F010000}"/>
    <cellStyle name="Normal 11 10 49" xfId="1868" xr:uid="{00000000-0005-0000-0000-000010010000}"/>
    <cellStyle name="Normal 11 10 5" xfId="26969" xr:uid="{00000000-0005-0000-0000-000011010000}"/>
    <cellStyle name="Normal 11 10 50" xfId="1629" xr:uid="{00000000-0005-0000-0000-000012010000}"/>
    <cellStyle name="Normal 11 10 51" xfId="1389" xr:uid="{00000000-0005-0000-0000-000013010000}"/>
    <cellStyle name="Normal 11 10 52" xfId="1149" xr:uid="{00000000-0005-0000-0000-000014010000}"/>
    <cellStyle name="Normal 11 10 53" xfId="909" xr:uid="{00000000-0005-0000-0000-000015010000}"/>
    <cellStyle name="Normal 11 10 54" xfId="669" xr:uid="{00000000-0005-0000-0000-000016010000}"/>
    <cellStyle name="Normal 11 10 55" xfId="429" xr:uid="{00000000-0005-0000-0000-000017010000}"/>
    <cellStyle name="Normal 11 10 56" xfId="190" xr:uid="{00000000-0005-0000-0000-000018010000}"/>
    <cellStyle name="Normal 11 10 6" xfId="26373" xr:uid="{00000000-0005-0000-0000-000019010000}"/>
    <cellStyle name="Normal 11 10 7" xfId="25777" xr:uid="{00000000-0005-0000-0000-00001A010000}"/>
    <cellStyle name="Normal 11 10 8" xfId="25180" xr:uid="{00000000-0005-0000-0000-00001B010000}"/>
    <cellStyle name="Normal 11 10 9" xfId="24583" xr:uid="{00000000-0005-0000-0000-00001C010000}"/>
    <cellStyle name="Normal 11 11" xfId="28847" xr:uid="{00000000-0005-0000-0000-00001D010000}"/>
    <cellStyle name="Normal 11 11 10" xfId="23474" xr:uid="{00000000-0005-0000-0000-00001E010000}"/>
    <cellStyle name="Normal 11 11 11" xfId="22877" xr:uid="{00000000-0005-0000-0000-00001F010000}"/>
    <cellStyle name="Normal 11 11 12" xfId="22281" xr:uid="{00000000-0005-0000-0000-000020010000}"/>
    <cellStyle name="Normal 11 11 13" xfId="21684" xr:uid="{00000000-0005-0000-0000-000021010000}"/>
    <cellStyle name="Normal 11 11 14" xfId="21087" xr:uid="{00000000-0005-0000-0000-000022010000}"/>
    <cellStyle name="Normal 11 11 15" xfId="20490" xr:uid="{00000000-0005-0000-0000-000023010000}"/>
    <cellStyle name="Normal 11 11 16" xfId="20491" xr:uid="{00000000-0005-0000-0000-000024010000}"/>
    <cellStyle name="Normal 11 11 17" xfId="19894" xr:uid="{00000000-0005-0000-0000-000025010000}"/>
    <cellStyle name="Normal 11 11 18" xfId="19298" xr:uid="{00000000-0005-0000-0000-000026010000}"/>
    <cellStyle name="Normal 11 11 19" xfId="18107" xr:uid="{00000000-0005-0000-0000-000027010000}"/>
    <cellStyle name="Normal 11 11 2" xfId="28248" xr:uid="{00000000-0005-0000-0000-000028010000}"/>
    <cellStyle name="Normal 11 11 20" xfId="16518" xr:uid="{00000000-0005-0000-0000-000029010000}"/>
    <cellStyle name="Normal 11 11 21" xfId="17405" xr:uid="{00000000-0005-0000-0000-00002A010000}"/>
    <cellStyle name="Normal 11 11 22" xfId="15989" xr:uid="{00000000-0005-0000-0000-00002B010000}"/>
    <cellStyle name="Normal 11 11 23" xfId="15588" xr:uid="{00000000-0005-0000-0000-00002C010000}"/>
    <cellStyle name="Normal 11 11 24" xfId="16483" xr:uid="{00000000-0005-0000-0000-00002D010000}"/>
    <cellStyle name="Normal 11 11 25" xfId="17418" xr:uid="{00000000-0005-0000-0000-00002E010000}"/>
    <cellStyle name="Normal 11 11 26" xfId="12912" xr:uid="{00000000-0005-0000-0000-00002F010000}"/>
    <cellStyle name="Normal 11 11 27" xfId="16120" xr:uid="{00000000-0005-0000-0000-000030010000}"/>
    <cellStyle name="Normal 11 11 28" xfId="12715" xr:uid="{00000000-0005-0000-0000-000031010000}"/>
    <cellStyle name="Normal 11 11 29" xfId="10780" xr:uid="{00000000-0005-0000-0000-000032010000}"/>
    <cellStyle name="Normal 11 11 3" xfId="27651" xr:uid="{00000000-0005-0000-0000-000033010000}"/>
    <cellStyle name="Normal 11 11 30" xfId="6462" xr:uid="{00000000-0005-0000-0000-000034010000}"/>
    <cellStyle name="Normal 11 11 31" xfId="6959" xr:uid="{00000000-0005-0000-0000-000035010000}"/>
    <cellStyle name="Normal 11 11 32" xfId="12025" xr:uid="{00000000-0005-0000-0000-000036010000}"/>
    <cellStyle name="Normal 11 11 33" xfId="10679" xr:uid="{00000000-0005-0000-0000-000037010000}"/>
    <cellStyle name="Normal 11 11 34" xfId="5425" xr:uid="{00000000-0005-0000-0000-000038010000}"/>
    <cellStyle name="Normal 11 11 35" xfId="5625" xr:uid="{00000000-0005-0000-0000-000039010000}"/>
    <cellStyle name="Normal 11 11 36" xfId="5782" xr:uid="{00000000-0005-0000-0000-00003A010000}"/>
    <cellStyle name="Normal 11 11 37" xfId="4639" xr:uid="{00000000-0005-0000-0000-00003B010000}"/>
    <cellStyle name="Normal 11 11 38" xfId="5618" xr:uid="{00000000-0005-0000-0000-00003C010000}"/>
    <cellStyle name="Normal 11 11 39" xfId="10849" xr:uid="{00000000-0005-0000-0000-00003D010000}"/>
    <cellStyle name="Normal 11 11 4" xfId="27054" xr:uid="{00000000-0005-0000-0000-00003E010000}"/>
    <cellStyle name="Normal 11 11 40" xfId="10300" xr:uid="{00000000-0005-0000-0000-00003F010000}"/>
    <cellStyle name="Normal 11 11 41" xfId="8777" xr:uid="{00000000-0005-0000-0000-000040010000}"/>
    <cellStyle name="Normal 11 11 42" xfId="3995" xr:uid="{00000000-0005-0000-0000-000041010000}"/>
    <cellStyle name="Normal 11 11 43" xfId="3156" xr:uid="{00000000-0005-0000-0000-000042010000}"/>
    <cellStyle name="Normal 11 11 44" xfId="3071" xr:uid="{00000000-0005-0000-0000-000043010000}"/>
    <cellStyle name="Normal 11 11 45" xfId="2827" xr:uid="{00000000-0005-0000-0000-000044010000}"/>
    <cellStyle name="Normal 11 11 46" xfId="2587" xr:uid="{00000000-0005-0000-0000-000045010000}"/>
    <cellStyle name="Normal 11 11 47" xfId="2347" xr:uid="{00000000-0005-0000-0000-000046010000}"/>
    <cellStyle name="Normal 11 11 48" xfId="2107" xr:uid="{00000000-0005-0000-0000-000047010000}"/>
    <cellStyle name="Normal 11 11 49" xfId="1867" xr:uid="{00000000-0005-0000-0000-000048010000}"/>
    <cellStyle name="Normal 11 11 5" xfId="27055" xr:uid="{00000000-0005-0000-0000-000049010000}"/>
    <cellStyle name="Normal 11 11 50" xfId="1628" xr:uid="{00000000-0005-0000-0000-00004A010000}"/>
    <cellStyle name="Normal 11 11 51" xfId="1388" xr:uid="{00000000-0005-0000-0000-00004B010000}"/>
    <cellStyle name="Normal 11 11 52" xfId="1148" xr:uid="{00000000-0005-0000-0000-00004C010000}"/>
    <cellStyle name="Normal 11 11 53" xfId="908" xr:uid="{00000000-0005-0000-0000-00004D010000}"/>
    <cellStyle name="Normal 11 11 54" xfId="668" xr:uid="{00000000-0005-0000-0000-00004E010000}"/>
    <cellStyle name="Normal 11 11 55" xfId="428" xr:uid="{00000000-0005-0000-0000-00004F010000}"/>
    <cellStyle name="Normal 11 11 56" xfId="189" xr:uid="{00000000-0005-0000-0000-000050010000}"/>
    <cellStyle name="Normal 11 11 6" xfId="26458" xr:uid="{00000000-0005-0000-0000-000051010000}"/>
    <cellStyle name="Normal 11 11 7" xfId="25265" xr:uid="{00000000-0005-0000-0000-000052010000}"/>
    <cellStyle name="Normal 11 11 8" xfId="24668" xr:uid="{00000000-0005-0000-0000-000053010000}"/>
    <cellStyle name="Normal 11 11 9" xfId="24071" xr:uid="{00000000-0005-0000-0000-000054010000}"/>
    <cellStyle name="Normal 11 12" xfId="28846" xr:uid="{00000000-0005-0000-0000-000055010000}"/>
    <cellStyle name="Normal 11 12 10" xfId="23473" xr:uid="{00000000-0005-0000-0000-000056010000}"/>
    <cellStyle name="Normal 11 12 11" xfId="22876" xr:uid="{00000000-0005-0000-0000-000057010000}"/>
    <cellStyle name="Normal 11 12 12" xfId="22280" xr:uid="{00000000-0005-0000-0000-000058010000}"/>
    <cellStyle name="Normal 11 12 13" xfId="21683" xr:uid="{00000000-0005-0000-0000-000059010000}"/>
    <cellStyle name="Normal 11 12 14" xfId="21086" xr:uid="{00000000-0005-0000-0000-00005A010000}"/>
    <cellStyle name="Normal 11 12 15" xfId="20489" xr:uid="{00000000-0005-0000-0000-00005B010000}"/>
    <cellStyle name="Normal 11 12 16" xfId="19893" xr:uid="{00000000-0005-0000-0000-00005C010000}"/>
    <cellStyle name="Normal 11 12 17" xfId="19297" xr:uid="{00000000-0005-0000-0000-00005D010000}"/>
    <cellStyle name="Normal 11 12 18" xfId="18702" xr:uid="{00000000-0005-0000-0000-00005E010000}"/>
    <cellStyle name="Normal 11 12 19" xfId="18106" xr:uid="{00000000-0005-0000-0000-00005F010000}"/>
    <cellStyle name="Normal 11 12 2" xfId="28247" xr:uid="{00000000-0005-0000-0000-000060010000}"/>
    <cellStyle name="Normal 11 12 20" xfId="16712" xr:uid="{00000000-0005-0000-0000-000061010000}"/>
    <cellStyle name="Normal 11 12 21" xfId="16999" xr:uid="{00000000-0005-0000-0000-000062010000}"/>
    <cellStyle name="Normal 11 12 22" xfId="16383" xr:uid="{00000000-0005-0000-0000-000063010000}"/>
    <cellStyle name="Normal 11 12 23" xfId="15304" xr:uid="{00000000-0005-0000-0000-000064010000}"/>
    <cellStyle name="Normal 11 12 24" xfId="16278" xr:uid="{00000000-0005-0000-0000-000065010000}"/>
    <cellStyle name="Normal 11 12 25" xfId="15262" xr:uid="{00000000-0005-0000-0000-000066010000}"/>
    <cellStyle name="Normal 11 12 26" xfId="15100" xr:uid="{00000000-0005-0000-0000-000067010000}"/>
    <cellStyle name="Normal 11 12 27" xfId="14866" xr:uid="{00000000-0005-0000-0000-000068010000}"/>
    <cellStyle name="Normal 11 12 28" xfId="12714" xr:uid="{00000000-0005-0000-0000-000069010000}"/>
    <cellStyle name="Normal 11 12 29" xfId="11000" xr:uid="{00000000-0005-0000-0000-00006A010000}"/>
    <cellStyle name="Normal 11 12 3" xfId="27650" xr:uid="{00000000-0005-0000-0000-00006B010000}"/>
    <cellStyle name="Normal 11 12 30" xfId="7793" xr:uid="{00000000-0005-0000-0000-00006C010000}"/>
    <cellStyle name="Normal 11 12 31" xfId="8917" xr:uid="{00000000-0005-0000-0000-00006D010000}"/>
    <cellStyle name="Normal 11 12 32" xfId="8799" xr:uid="{00000000-0005-0000-0000-00006E010000}"/>
    <cellStyle name="Normal 11 12 33" xfId="5531" xr:uid="{00000000-0005-0000-0000-00006F010000}"/>
    <cellStyle name="Normal 11 12 34" xfId="5050" xr:uid="{00000000-0005-0000-0000-000070010000}"/>
    <cellStyle name="Normal 11 12 35" xfId="8840" xr:uid="{00000000-0005-0000-0000-000071010000}"/>
    <cellStyle name="Normal 11 12 36" xfId="11709" xr:uid="{00000000-0005-0000-0000-000072010000}"/>
    <cellStyle name="Normal 11 12 37" xfId="4708" xr:uid="{00000000-0005-0000-0000-000073010000}"/>
    <cellStyle name="Normal 11 12 38" xfId="10283" xr:uid="{00000000-0005-0000-0000-000074010000}"/>
    <cellStyle name="Normal 11 12 39" xfId="3817" xr:uid="{00000000-0005-0000-0000-000075010000}"/>
    <cellStyle name="Normal 11 12 4" xfId="27053" xr:uid="{00000000-0005-0000-0000-000076010000}"/>
    <cellStyle name="Normal 11 12 40" xfId="10396" xr:uid="{00000000-0005-0000-0000-000077010000}"/>
    <cellStyle name="Normal 11 12 41" xfId="4517" xr:uid="{00000000-0005-0000-0000-000078010000}"/>
    <cellStyle name="Normal 11 12 42" xfId="4657" xr:uid="{00000000-0005-0000-0000-000079010000}"/>
    <cellStyle name="Normal 11 12 43" xfId="8529" xr:uid="{00000000-0005-0000-0000-00007A010000}"/>
    <cellStyle name="Normal 11 12 5" xfId="26457" xr:uid="{00000000-0005-0000-0000-00007B010000}"/>
    <cellStyle name="Normal 11 12 6" xfId="25861" xr:uid="{00000000-0005-0000-0000-00007C010000}"/>
    <cellStyle name="Normal 11 12 7" xfId="25264" xr:uid="{00000000-0005-0000-0000-00007D010000}"/>
    <cellStyle name="Normal 11 12 8" xfId="24667" xr:uid="{00000000-0005-0000-0000-00007E010000}"/>
    <cellStyle name="Normal 11 12 9" xfId="24070" xr:uid="{00000000-0005-0000-0000-00007F010000}"/>
    <cellStyle name="Normal 11 13" xfId="28845" xr:uid="{00000000-0005-0000-0000-000080010000}"/>
    <cellStyle name="Normal 11 13 10" xfId="23472" xr:uid="{00000000-0005-0000-0000-000081010000}"/>
    <cellStyle name="Normal 11 13 11" xfId="22875" xr:uid="{00000000-0005-0000-0000-000082010000}"/>
    <cellStyle name="Normal 11 13 12" xfId="22279" xr:uid="{00000000-0005-0000-0000-000083010000}"/>
    <cellStyle name="Normal 11 13 13" xfId="21682" xr:uid="{00000000-0005-0000-0000-000084010000}"/>
    <cellStyle name="Normal 11 13 14" xfId="21085" xr:uid="{00000000-0005-0000-0000-000085010000}"/>
    <cellStyle name="Normal 11 13 15" xfId="20488" xr:uid="{00000000-0005-0000-0000-000086010000}"/>
    <cellStyle name="Normal 11 13 16" xfId="19892" xr:uid="{00000000-0005-0000-0000-000087010000}"/>
    <cellStyle name="Normal 11 13 17" xfId="19296" xr:uid="{00000000-0005-0000-0000-000088010000}"/>
    <cellStyle name="Normal 11 13 18" xfId="18701" xr:uid="{00000000-0005-0000-0000-000089010000}"/>
    <cellStyle name="Normal 11 13 19" xfId="18105" xr:uid="{00000000-0005-0000-0000-00008A010000}"/>
    <cellStyle name="Normal 11 13 2" xfId="28246" xr:uid="{00000000-0005-0000-0000-00008B010000}"/>
    <cellStyle name="Normal 11 13 20" xfId="16909" xr:uid="{00000000-0005-0000-0000-00008C010000}"/>
    <cellStyle name="Normal 11 13 21" xfId="17380" xr:uid="{00000000-0005-0000-0000-00008D010000}"/>
    <cellStyle name="Normal 11 13 22" xfId="14007" xr:uid="{00000000-0005-0000-0000-00008E010000}"/>
    <cellStyle name="Normal 11 13 23" xfId="17487" xr:uid="{00000000-0005-0000-0000-00008F010000}"/>
    <cellStyle name="Normal 11 13 24" xfId="17440" xr:uid="{00000000-0005-0000-0000-000090010000}"/>
    <cellStyle name="Normal 11 13 25" xfId="13497" xr:uid="{00000000-0005-0000-0000-000091010000}"/>
    <cellStyle name="Normal 11 13 26" xfId="16785" xr:uid="{00000000-0005-0000-0000-000092010000}"/>
    <cellStyle name="Normal 11 13 27" xfId="13686" xr:uid="{00000000-0005-0000-0000-000093010000}"/>
    <cellStyle name="Normal 11 13 28" xfId="12713" xr:uid="{00000000-0005-0000-0000-000094010000}"/>
    <cellStyle name="Normal 11 13 29" xfId="11227" xr:uid="{00000000-0005-0000-0000-000095010000}"/>
    <cellStyle name="Normal 11 13 3" xfId="27649" xr:uid="{00000000-0005-0000-0000-000096010000}"/>
    <cellStyle name="Normal 11 13 30" xfId="7990" xr:uid="{00000000-0005-0000-0000-000097010000}"/>
    <cellStyle name="Normal 11 13 31" xfId="9255" xr:uid="{00000000-0005-0000-0000-000098010000}"/>
    <cellStyle name="Normal 11 13 32" xfId="11042" xr:uid="{00000000-0005-0000-0000-000099010000}"/>
    <cellStyle name="Normal 11 13 33" xfId="8322" xr:uid="{00000000-0005-0000-0000-00009A010000}"/>
    <cellStyle name="Normal 11 13 34" xfId="7113" xr:uid="{00000000-0005-0000-0000-00009B010000}"/>
    <cellStyle name="Normal 11 13 35" xfId="11335" xr:uid="{00000000-0005-0000-0000-00009C010000}"/>
    <cellStyle name="Normal 11 13 36" xfId="6571" xr:uid="{00000000-0005-0000-0000-00009D010000}"/>
    <cellStyle name="Normal 11 13 37" xfId="10244" xr:uid="{00000000-0005-0000-0000-00009E010000}"/>
    <cellStyle name="Normal 11 13 38" xfId="5532" xr:uid="{00000000-0005-0000-0000-00009F010000}"/>
    <cellStyle name="Normal 11 13 39" xfId="12054" xr:uid="{00000000-0005-0000-0000-0000A0010000}"/>
    <cellStyle name="Normal 11 13 4" xfId="27052" xr:uid="{00000000-0005-0000-0000-0000A1010000}"/>
    <cellStyle name="Normal 11 13 40" xfId="7135" xr:uid="{00000000-0005-0000-0000-0000A2010000}"/>
    <cellStyle name="Normal 11 13 41" xfId="7421" xr:uid="{00000000-0005-0000-0000-0000A3010000}"/>
    <cellStyle name="Normal 11 13 42" xfId="5033" xr:uid="{00000000-0005-0000-0000-0000A4010000}"/>
    <cellStyle name="Normal 11 13 43" xfId="6216" xr:uid="{00000000-0005-0000-0000-0000A5010000}"/>
    <cellStyle name="Normal 11 13 5" xfId="26456" xr:uid="{00000000-0005-0000-0000-0000A6010000}"/>
    <cellStyle name="Normal 11 13 6" xfId="25860" xr:uid="{00000000-0005-0000-0000-0000A7010000}"/>
    <cellStyle name="Normal 11 13 7" xfId="25263" xr:uid="{00000000-0005-0000-0000-0000A8010000}"/>
    <cellStyle name="Normal 11 13 8" xfId="24666" xr:uid="{00000000-0005-0000-0000-0000A9010000}"/>
    <cellStyle name="Normal 11 13 9" xfId="24069" xr:uid="{00000000-0005-0000-0000-0000AA010000}"/>
    <cellStyle name="Normal 11 14" xfId="28844" xr:uid="{00000000-0005-0000-0000-0000AB010000}"/>
    <cellStyle name="Normal 11 14 10" xfId="23471" xr:uid="{00000000-0005-0000-0000-0000AC010000}"/>
    <cellStyle name="Normal 11 14 11" xfId="22874" xr:uid="{00000000-0005-0000-0000-0000AD010000}"/>
    <cellStyle name="Normal 11 14 12" xfId="22278" xr:uid="{00000000-0005-0000-0000-0000AE010000}"/>
    <cellStyle name="Normal 11 14 13" xfId="21681" xr:uid="{00000000-0005-0000-0000-0000AF010000}"/>
    <cellStyle name="Normal 11 14 14" xfId="21084" xr:uid="{00000000-0005-0000-0000-0000B0010000}"/>
    <cellStyle name="Normal 11 14 15" xfId="20487" xr:uid="{00000000-0005-0000-0000-0000B1010000}"/>
    <cellStyle name="Normal 11 14 16" xfId="19891" xr:uid="{00000000-0005-0000-0000-0000B2010000}"/>
    <cellStyle name="Normal 11 14 17" xfId="19295" xr:uid="{00000000-0005-0000-0000-0000B3010000}"/>
    <cellStyle name="Normal 11 14 18" xfId="18700" xr:uid="{00000000-0005-0000-0000-0000B4010000}"/>
    <cellStyle name="Normal 11 14 19" xfId="18104" xr:uid="{00000000-0005-0000-0000-0000B5010000}"/>
    <cellStyle name="Normal 11 14 2" xfId="28245" xr:uid="{00000000-0005-0000-0000-0000B6010000}"/>
    <cellStyle name="Normal 11 14 20" xfId="17116" xr:uid="{00000000-0005-0000-0000-0000B7010000}"/>
    <cellStyle name="Normal 11 14 21" xfId="14397" xr:uid="{00000000-0005-0000-0000-0000B8010000}"/>
    <cellStyle name="Normal 11 14 22" xfId="16574" xr:uid="{00000000-0005-0000-0000-0000B9010000}"/>
    <cellStyle name="Normal 11 14 23" xfId="15858" xr:uid="{00000000-0005-0000-0000-0000BA010000}"/>
    <cellStyle name="Normal 11 14 24" xfId="16512" xr:uid="{00000000-0005-0000-0000-0000BB010000}"/>
    <cellStyle name="Normal 11 14 25" xfId="16611" xr:uid="{00000000-0005-0000-0000-0000BC010000}"/>
    <cellStyle name="Normal 11 14 26" xfId="14260" xr:uid="{00000000-0005-0000-0000-0000BD010000}"/>
    <cellStyle name="Normal 11 14 27" xfId="16083" xr:uid="{00000000-0005-0000-0000-0000BE010000}"/>
    <cellStyle name="Normal 11 14 28" xfId="12712" xr:uid="{00000000-0005-0000-0000-0000BF010000}"/>
    <cellStyle name="Normal 11 14 29" xfId="11460" xr:uid="{00000000-0005-0000-0000-0000C0010000}"/>
    <cellStyle name="Normal 11 14 3" xfId="27648" xr:uid="{00000000-0005-0000-0000-0000C1010000}"/>
    <cellStyle name="Normal 11 14 30" xfId="6806" xr:uid="{00000000-0005-0000-0000-0000C2010000}"/>
    <cellStyle name="Normal 11 14 31" xfId="7437" xr:uid="{00000000-0005-0000-0000-0000C3010000}"/>
    <cellStyle name="Normal 11 14 32" xfId="5423" xr:uid="{00000000-0005-0000-0000-0000C4010000}"/>
    <cellStyle name="Normal 11 14 33" xfId="4775" xr:uid="{00000000-0005-0000-0000-0000C5010000}"/>
    <cellStyle name="Normal 11 14 34" xfId="4475" xr:uid="{00000000-0005-0000-0000-0000C6010000}"/>
    <cellStyle name="Normal 11 14 35" xfId="11748" xr:uid="{00000000-0005-0000-0000-0000C7010000}"/>
    <cellStyle name="Normal 11 14 36" xfId="7931" xr:uid="{00000000-0005-0000-0000-0000C8010000}"/>
    <cellStyle name="Normal 11 14 37" xfId="3790" xr:uid="{00000000-0005-0000-0000-0000C9010000}"/>
    <cellStyle name="Normal 11 14 38" xfId="11100" xr:uid="{00000000-0005-0000-0000-0000CA010000}"/>
    <cellStyle name="Normal 11 14 39" xfId="4394" xr:uid="{00000000-0005-0000-0000-0000CB010000}"/>
    <cellStyle name="Normal 11 14 4" xfId="27051" xr:uid="{00000000-0005-0000-0000-0000CC010000}"/>
    <cellStyle name="Normal 11 14 40" xfId="3378" xr:uid="{00000000-0005-0000-0000-0000CD010000}"/>
    <cellStyle name="Normal 11 14 41" xfId="4801" xr:uid="{00000000-0005-0000-0000-0000CE010000}"/>
    <cellStyle name="Normal 11 14 42" xfId="5211" xr:uid="{00000000-0005-0000-0000-0000CF010000}"/>
    <cellStyle name="Normal 11 14 43" xfId="9188" xr:uid="{00000000-0005-0000-0000-0000D0010000}"/>
    <cellStyle name="Normal 11 14 5" xfId="26455" xr:uid="{00000000-0005-0000-0000-0000D1010000}"/>
    <cellStyle name="Normal 11 14 6" xfId="25859" xr:uid="{00000000-0005-0000-0000-0000D2010000}"/>
    <cellStyle name="Normal 11 14 7" xfId="25262" xr:uid="{00000000-0005-0000-0000-0000D3010000}"/>
    <cellStyle name="Normal 11 14 8" xfId="24665" xr:uid="{00000000-0005-0000-0000-0000D4010000}"/>
    <cellStyle name="Normal 11 14 9" xfId="24068" xr:uid="{00000000-0005-0000-0000-0000D5010000}"/>
    <cellStyle name="Normal 11 15" xfId="28843" xr:uid="{00000000-0005-0000-0000-0000D6010000}"/>
    <cellStyle name="Normal 11 15 10" xfId="23470" xr:uid="{00000000-0005-0000-0000-0000D7010000}"/>
    <cellStyle name="Normal 11 15 11" xfId="22873" xr:uid="{00000000-0005-0000-0000-0000D8010000}"/>
    <cellStyle name="Normal 11 15 12" xfId="22277" xr:uid="{00000000-0005-0000-0000-0000D9010000}"/>
    <cellStyle name="Normal 11 15 13" xfId="21680" xr:uid="{00000000-0005-0000-0000-0000DA010000}"/>
    <cellStyle name="Normal 11 15 14" xfId="21083" xr:uid="{00000000-0005-0000-0000-0000DB010000}"/>
    <cellStyle name="Normal 11 15 15" xfId="20486" xr:uid="{00000000-0005-0000-0000-0000DC010000}"/>
    <cellStyle name="Normal 11 15 16" xfId="19890" xr:uid="{00000000-0005-0000-0000-0000DD010000}"/>
    <cellStyle name="Normal 11 15 17" xfId="19294" xr:uid="{00000000-0005-0000-0000-0000DE010000}"/>
    <cellStyle name="Normal 11 15 18" xfId="18699" xr:uid="{00000000-0005-0000-0000-0000DF010000}"/>
    <cellStyle name="Normal 11 15 19" xfId="18103" xr:uid="{00000000-0005-0000-0000-0000E0010000}"/>
    <cellStyle name="Normal 11 15 2" xfId="28244" xr:uid="{00000000-0005-0000-0000-0000E1010000}"/>
    <cellStyle name="Normal 11 15 20" xfId="17309" xr:uid="{00000000-0005-0000-0000-0000E2010000}"/>
    <cellStyle name="Normal 11 15 21" xfId="17361" xr:uid="{00000000-0005-0000-0000-0000E3010000}"/>
    <cellStyle name="Normal 11 15 22" xfId="13584" xr:uid="{00000000-0005-0000-0000-0000E4010000}"/>
    <cellStyle name="Normal 11 15 23" xfId="13430" xr:uid="{00000000-0005-0000-0000-0000E5010000}"/>
    <cellStyle name="Normal 11 15 24" xfId="13097" xr:uid="{00000000-0005-0000-0000-0000E6010000}"/>
    <cellStyle name="Normal 11 15 25" xfId="12932" xr:uid="{00000000-0005-0000-0000-0000E7010000}"/>
    <cellStyle name="Normal 11 15 26" xfId="12780" xr:uid="{00000000-0005-0000-0000-0000E8010000}"/>
    <cellStyle name="Normal 11 15 27" xfId="12739" xr:uid="{00000000-0005-0000-0000-0000E9010000}"/>
    <cellStyle name="Normal 11 15 28" xfId="12711" xr:uid="{00000000-0005-0000-0000-0000EA010000}"/>
    <cellStyle name="Normal 11 15 29" xfId="11684" xr:uid="{00000000-0005-0000-0000-0000EB010000}"/>
    <cellStyle name="Normal 11 15 3" xfId="27647" xr:uid="{00000000-0005-0000-0000-0000EC010000}"/>
    <cellStyle name="Normal 11 15 30" xfId="5850" xr:uid="{00000000-0005-0000-0000-0000ED010000}"/>
    <cellStyle name="Normal 11 15 31" xfId="5579" xr:uid="{00000000-0005-0000-0000-0000EE010000}"/>
    <cellStyle name="Normal 11 15 32" xfId="11191" xr:uid="{00000000-0005-0000-0000-0000EF010000}"/>
    <cellStyle name="Normal 11 15 33" xfId="5624" xr:uid="{00000000-0005-0000-0000-0000F0010000}"/>
    <cellStyle name="Normal 11 15 34" xfId="5215" xr:uid="{00000000-0005-0000-0000-0000F1010000}"/>
    <cellStyle name="Normal 11 15 35" xfId="7061" xr:uid="{00000000-0005-0000-0000-0000F2010000}"/>
    <cellStyle name="Normal 11 15 36" xfId="6627" xr:uid="{00000000-0005-0000-0000-0000F3010000}"/>
    <cellStyle name="Normal 11 15 37" xfId="3864" xr:uid="{00000000-0005-0000-0000-0000F4010000}"/>
    <cellStyle name="Normal 11 15 38" xfId="3619" xr:uid="{00000000-0005-0000-0000-0000F5010000}"/>
    <cellStyle name="Normal 11 15 39" xfId="5830" xr:uid="{00000000-0005-0000-0000-0000F6010000}"/>
    <cellStyle name="Normal 11 15 4" xfId="27050" xr:uid="{00000000-0005-0000-0000-0000F7010000}"/>
    <cellStyle name="Normal 11 15 40" xfId="6541" xr:uid="{00000000-0005-0000-0000-0000F8010000}"/>
    <cellStyle name="Normal 11 15 41" xfId="6327" xr:uid="{00000000-0005-0000-0000-0000F9010000}"/>
    <cellStyle name="Normal 11 15 42" xfId="6393" xr:uid="{00000000-0005-0000-0000-0000FA010000}"/>
    <cellStyle name="Normal 11 15 43" xfId="3332" xr:uid="{00000000-0005-0000-0000-0000FB010000}"/>
    <cellStyle name="Normal 11 15 5" xfId="26454" xr:uid="{00000000-0005-0000-0000-0000FC010000}"/>
    <cellStyle name="Normal 11 15 6" xfId="25858" xr:uid="{00000000-0005-0000-0000-0000FD010000}"/>
    <cellStyle name="Normal 11 15 7" xfId="25261" xr:uid="{00000000-0005-0000-0000-0000FE010000}"/>
    <cellStyle name="Normal 11 15 8" xfId="24664" xr:uid="{00000000-0005-0000-0000-0000FF010000}"/>
    <cellStyle name="Normal 11 15 9" xfId="24067" xr:uid="{00000000-0005-0000-0000-000000020000}"/>
    <cellStyle name="Normal 11 16" xfId="28842" xr:uid="{00000000-0005-0000-0000-000001020000}"/>
    <cellStyle name="Normal 11 16 10" xfId="23469" xr:uid="{00000000-0005-0000-0000-000002020000}"/>
    <cellStyle name="Normal 11 16 11" xfId="22872" xr:uid="{00000000-0005-0000-0000-000003020000}"/>
    <cellStyle name="Normal 11 16 12" xfId="22276" xr:uid="{00000000-0005-0000-0000-000004020000}"/>
    <cellStyle name="Normal 11 16 13" xfId="21679" xr:uid="{00000000-0005-0000-0000-000005020000}"/>
    <cellStyle name="Normal 11 16 14" xfId="21082" xr:uid="{00000000-0005-0000-0000-000006020000}"/>
    <cellStyle name="Normal 11 16 15" xfId="20485" xr:uid="{00000000-0005-0000-0000-000007020000}"/>
    <cellStyle name="Normal 11 16 16" xfId="19889" xr:uid="{00000000-0005-0000-0000-000008020000}"/>
    <cellStyle name="Normal 11 16 17" xfId="19293" xr:uid="{00000000-0005-0000-0000-000009020000}"/>
    <cellStyle name="Normal 11 16 18" xfId="18698" xr:uid="{00000000-0005-0000-0000-00000A020000}"/>
    <cellStyle name="Normal 11 16 19" xfId="18102" xr:uid="{00000000-0005-0000-0000-00000B020000}"/>
    <cellStyle name="Normal 11 16 2" xfId="28243" xr:uid="{00000000-0005-0000-0000-00000C020000}"/>
    <cellStyle name="Normal 11 16 20" xfId="14142" xr:uid="{00000000-0005-0000-0000-00000D020000}"/>
    <cellStyle name="Normal 11 16 21" xfId="16957" xr:uid="{00000000-0005-0000-0000-00000E020000}"/>
    <cellStyle name="Normal 11 16 22" xfId="16988" xr:uid="{00000000-0005-0000-0000-00000F020000}"/>
    <cellStyle name="Normal 11 16 23" xfId="15586" xr:uid="{00000000-0005-0000-0000-000010020000}"/>
    <cellStyle name="Normal 11 16 24" xfId="13167" xr:uid="{00000000-0005-0000-0000-000011020000}"/>
    <cellStyle name="Normal 11 16 25" xfId="12943" xr:uid="{00000000-0005-0000-0000-000012020000}"/>
    <cellStyle name="Normal 11 16 26" xfId="12838" xr:uid="{00000000-0005-0000-0000-000013020000}"/>
    <cellStyle name="Normal 11 16 27" xfId="12728" xr:uid="{00000000-0005-0000-0000-000014020000}"/>
    <cellStyle name="Normal 11 16 28" xfId="12710" xr:uid="{00000000-0005-0000-0000-000015020000}"/>
    <cellStyle name="Normal 11 16 29" xfId="6685" xr:uid="{00000000-0005-0000-0000-000016020000}"/>
    <cellStyle name="Normal 11 16 3" xfId="27646" xr:uid="{00000000-0005-0000-0000-000017020000}"/>
    <cellStyle name="Normal 11 16 30" xfId="6844" xr:uid="{00000000-0005-0000-0000-000018020000}"/>
    <cellStyle name="Normal 11 16 31" xfId="5663" xr:uid="{00000000-0005-0000-0000-000019020000}"/>
    <cellStyle name="Normal 11 16 32" xfId="5314" xr:uid="{00000000-0005-0000-0000-00001A020000}"/>
    <cellStyle name="Normal 11 16 33" xfId="10270" xr:uid="{00000000-0005-0000-0000-00001B020000}"/>
    <cellStyle name="Normal 11 16 34" xfId="6166" xr:uid="{00000000-0005-0000-0000-00001C020000}"/>
    <cellStyle name="Normal 11 16 35" xfId="4219" xr:uid="{00000000-0005-0000-0000-00001D020000}"/>
    <cellStyle name="Normal 11 16 36" xfId="4095" xr:uid="{00000000-0005-0000-0000-00001E020000}"/>
    <cellStyle name="Normal 11 16 37" xfId="6160" xr:uid="{00000000-0005-0000-0000-00001F020000}"/>
    <cellStyle name="Normal 11 16 38" xfId="3691" xr:uid="{00000000-0005-0000-0000-000020020000}"/>
    <cellStyle name="Normal 11 16 39" xfId="3478" xr:uid="{00000000-0005-0000-0000-000021020000}"/>
    <cellStyle name="Normal 11 16 4" xfId="27049" xr:uid="{00000000-0005-0000-0000-000022020000}"/>
    <cellStyle name="Normal 11 16 40" xfId="7590" xr:uid="{00000000-0005-0000-0000-000023020000}"/>
    <cellStyle name="Normal 11 16 41" xfId="3343" xr:uid="{00000000-0005-0000-0000-000024020000}"/>
    <cellStyle name="Normal 11 16 42" xfId="5848" xr:uid="{00000000-0005-0000-0000-000025020000}"/>
    <cellStyle name="Normal 11 16 43" xfId="10689" xr:uid="{00000000-0005-0000-0000-000026020000}"/>
    <cellStyle name="Normal 11 16 5" xfId="26453" xr:uid="{00000000-0005-0000-0000-000027020000}"/>
    <cellStyle name="Normal 11 16 6" xfId="25857" xr:uid="{00000000-0005-0000-0000-000028020000}"/>
    <cellStyle name="Normal 11 16 7" xfId="25260" xr:uid="{00000000-0005-0000-0000-000029020000}"/>
    <cellStyle name="Normal 11 16 8" xfId="24663" xr:uid="{00000000-0005-0000-0000-00002A020000}"/>
    <cellStyle name="Normal 11 16 9" xfId="24066" xr:uid="{00000000-0005-0000-0000-00002B020000}"/>
    <cellStyle name="Normal 11 17" xfId="28841" xr:uid="{00000000-0005-0000-0000-00002C020000}"/>
    <cellStyle name="Normal 11 17 10" xfId="23468" xr:uid="{00000000-0005-0000-0000-00002D020000}"/>
    <cellStyle name="Normal 11 17 11" xfId="22871" xr:uid="{00000000-0005-0000-0000-00002E020000}"/>
    <cellStyle name="Normal 11 17 12" xfId="22275" xr:uid="{00000000-0005-0000-0000-00002F020000}"/>
    <cellStyle name="Normal 11 17 13" xfId="21678" xr:uid="{00000000-0005-0000-0000-000030020000}"/>
    <cellStyle name="Normal 11 17 14" xfId="21081" xr:uid="{00000000-0005-0000-0000-000031020000}"/>
    <cellStyle name="Normal 11 17 15" xfId="20484" xr:uid="{00000000-0005-0000-0000-000032020000}"/>
    <cellStyle name="Normal 11 17 16" xfId="19888" xr:uid="{00000000-0005-0000-0000-000033020000}"/>
    <cellStyle name="Normal 11 17 17" xfId="19292" xr:uid="{00000000-0005-0000-0000-000034020000}"/>
    <cellStyle name="Normal 11 17 18" xfId="18697" xr:uid="{00000000-0005-0000-0000-000035020000}"/>
    <cellStyle name="Normal 11 17 19" xfId="18101" xr:uid="{00000000-0005-0000-0000-000036020000}"/>
    <cellStyle name="Normal 11 17 2" xfId="28242" xr:uid="{00000000-0005-0000-0000-000037020000}"/>
    <cellStyle name="Normal 11 17 20" xfId="14331" xr:uid="{00000000-0005-0000-0000-000038020000}"/>
    <cellStyle name="Normal 11 17 21" xfId="13953" xr:uid="{00000000-0005-0000-0000-000039020000}"/>
    <cellStyle name="Normal 11 17 22" xfId="13648" xr:uid="{00000000-0005-0000-0000-00003A020000}"/>
    <cellStyle name="Normal 11 17 23" xfId="13482" xr:uid="{00000000-0005-0000-0000-00003B020000}"/>
    <cellStyle name="Normal 11 17 24" xfId="13213" xr:uid="{00000000-0005-0000-0000-00003C020000}"/>
    <cellStyle name="Normal 11 17 25" xfId="13020" xr:uid="{00000000-0005-0000-0000-00003D020000}"/>
    <cellStyle name="Normal 11 17 26" xfId="12842" xr:uid="{00000000-0005-0000-0000-00003E020000}"/>
    <cellStyle name="Normal 11 17 27" xfId="12766" xr:uid="{00000000-0005-0000-0000-00003F020000}"/>
    <cellStyle name="Normal 11 17 28" xfId="12709" xr:uid="{00000000-0005-0000-0000-000040020000}"/>
    <cellStyle name="Normal 11 17 29" xfId="7755" xr:uid="{00000000-0005-0000-0000-000041020000}"/>
    <cellStyle name="Normal 11 17 3" xfId="27645" xr:uid="{00000000-0005-0000-0000-000042020000}"/>
    <cellStyle name="Normal 11 17 30" xfId="8454" xr:uid="{00000000-0005-0000-0000-000043020000}"/>
    <cellStyle name="Normal 11 17 31" xfId="7711" xr:uid="{00000000-0005-0000-0000-000044020000}"/>
    <cellStyle name="Normal 11 17 32" xfId="5461" xr:uid="{00000000-0005-0000-0000-000045020000}"/>
    <cellStyle name="Normal 11 17 33" xfId="5058" xr:uid="{00000000-0005-0000-0000-000046020000}"/>
    <cellStyle name="Normal 11 17 34" xfId="5393" xr:uid="{00000000-0005-0000-0000-000047020000}"/>
    <cellStyle name="Normal 11 17 35" xfId="6370" xr:uid="{00000000-0005-0000-0000-000048020000}"/>
    <cellStyle name="Normal 11 17 36" xfId="8280" xr:uid="{00000000-0005-0000-0000-000049020000}"/>
    <cellStyle name="Normal 11 17 37" xfId="7329" xr:uid="{00000000-0005-0000-0000-00004A020000}"/>
    <cellStyle name="Normal 11 17 38" xfId="11731" xr:uid="{00000000-0005-0000-0000-00004B020000}"/>
    <cellStyle name="Normal 11 17 39" xfId="8925" xr:uid="{00000000-0005-0000-0000-00004C020000}"/>
    <cellStyle name="Normal 11 17 4" xfId="27048" xr:uid="{00000000-0005-0000-0000-00004D020000}"/>
    <cellStyle name="Normal 11 17 40" xfId="3361" xr:uid="{00000000-0005-0000-0000-00004E020000}"/>
    <cellStyle name="Normal 11 17 41" xfId="7631" xr:uid="{00000000-0005-0000-0000-00004F020000}"/>
    <cellStyle name="Normal 11 17 42" xfId="3244" xr:uid="{00000000-0005-0000-0000-000050020000}"/>
    <cellStyle name="Normal 11 17 43" xfId="5492" xr:uid="{00000000-0005-0000-0000-000051020000}"/>
    <cellStyle name="Normal 11 17 5" xfId="26452" xr:uid="{00000000-0005-0000-0000-000052020000}"/>
    <cellStyle name="Normal 11 17 6" xfId="25856" xr:uid="{00000000-0005-0000-0000-000053020000}"/>
    <cellStyle name="Normal 11 17 7" xfId="25259" xr:uid="{00000000-0005-0000-0000-000054020000}"/>
    <cellStyle name="Normal 11 17 8" xfId="24662" xr:uid="{00000000-0005-0000-0000-000055020000}"/>
    <cellStyle name="Normal 11 17 9" xfId="24065" xr:uid="{00000000-0005-0000-0000-000056020000}"/>
    <cellStyle name="Normal 11 18" xfId="28840" xr:uid="{00000000-0005-0000-0000-000057020000}"/>
    <cellStyle name="Normal 11 18 10" xfId="23467" xr:uid="{00000000-0005-0000-0000-000058020000}"/>
    <cellStyle name="Normal 11 18 11" xfId="22870" xr:uid="{00000000-0005-0000-0000-000059020000}"/>
    <cellStyle name="Normal 11 18 12" xfId="22274" xr:uid="{00000000-0005-0000-0000-00005A020000}"/>
    <cellStyle name="Normal 11 18 13" xfId="21677" xr:uid="{00000000-0005-0000-0000-00005B020000}"/>
    <cellStyle name="Normal 11 18 14" xfId="21080" xr:uid="{00000000-0005-0000-0000-00005C020000}"/>
    <cellStyle name="Normal 11 18 15" xfId="20483" xr:uid="{00000000-0005-0000-0000-00005D020000}"/>
    <cellStyle name="Normal 11 18 16" xfId="19887" xr:uid="{00000000-0005-0000-0000-00005E020000}"/>
    <cellStyle name="Normal 11 18 17" xfId="19291" xr:uid="{00000000-0005-0000-0000-00005F020000}"/>
    <cellStyle name="Normal 11 18 18" xfId="18696" xr:uid="{00000000-0005-0000-0000-000060020000}"/>
    <cellStyle name="Normal 11 18 19" xfId="18100" xr:uid="{00000000-0005-0000-0000-000061020000}"/>
    <cellStyle name="Normal 11 18 2" xfId="28241" xr:uid="{00000000-0005-0000-0000-000062020000}"/>
    <cellStyle name="Normal 11 18 20" xfId="14522" xr:uid="{00000000-0005-0000-0000-000063020000}"/>
    <cellStyle name="Normal 11 18 21" xfId="14124" xr:uid="{00000000-0005-0000-0000-000064020000}"/>
    <cellStyle name="Normal 11 18 22" xfId="13788" xr:uid="{00000000-0005-0000-0000-000065020000}"/>
    <cellStyle name="Normal 11 18 23" xfId="15275" xr:uid="{00000000-0005-0000-0000-000066020000}"/>
    <cellStyle name="Normal 11 18 24" xfId="16489" xr:uid="{00000000-0005-0000-0000-000067020000}"/>
    <cellStyle name="Normal 11 18 25" xfId="17178" xr:uid="{00000000-0005-0000-0000-000068020000}"/>
    <cellStyle name="Normal 11 18 26" xfId="13501" xr:uid="{00000000-0005-0000-0000-000069020000}"/>
    <cellStyle name="Normal 11 18 27" xfId="12770" xr:uid="{00000000-0005-0000-0000-00006A020000}"/>
    <cellStyle name="Normal 11 18 28" xfId="12708" xr:uid="{00000000-0005-0000-0000-00006B020000}"/>
    <cellStyle name="Normal 11 18 29" xfId="6603" xr:uid="{00000000-0005-0000-0000-00006C020000}"/>
    <cellStyle name="Normal 11 18 3" xfId="27644" xr:uid="{00000000-0005-0000-0000-00006D020000}"/>
    <cellStyle name="Normal 11 18 30" xfId="8713" xr:uid="{00000000-0005-0000-0000-00006E020000}"/>
    <cellStyle name="Normal 11 18 31" xfId="6569" xr:uid="{00000000-0005-0000-0000-00006F020000}"/>
    <cellStyle name="Normal 11 18 32" xfId="9689" xr:uid="{00000000-0005-0000-0000-000070020000}"/>
    <cellStyle name="Normal 11 18 33" xfId="7241" xr:uid="{00000000-0005-0000-0000-000071020000}"/>
    <cellStyle name="Normal 11 18 34" xfId="11523" xr:uid="{00000000-0005-0000-0000-000072020000}"/>
    <cellStyle name="Normal 11 18 35" xfId="6117" xr:uid="{00000000-0005-0000-0000-000073020000}"/>
    <cellStyle name="Normal 11 18 36" xfId="4220" xr:uid="{00000000-0005-0000-0000-000074020000}"/>
    <cellStyle name="Normal 11 18 37" xfId="3818" xr:uid="{00000000-0005-0000-0000-000075020000}"/>
    <cellStyle name="Normal 11 18 38" xfId="10085" xr:uid="{00000000-0005-0000-0000-000076020000}"/>
    <cellStyle name="Normal 11 18 39" xfId="10014" xr:uid="{00000000-0005-0000-0000-000077020000}"/>
    <cellStyle name="Normal 11 18 4" xfId="27047" xr:uid="{00000000-0005-0000-0000-000078020000}"/>
    <cellStyle name="Normal 11 18 40" xfId="4513" xr:uid="{00000000-0005-0000-0000-000079020000}"/>
    <cellStyle name="Normal 11 18 41" xfId="3267" xr:uid="{00000000-0005-0000-0000-00007A020000}"/>
    <cellStyle name="Normal 11 18 42" xfId="5399" xr:uid="{00000000-0005-0000-0000-00007B020000}"/>
    <cellStyle name="Normal 11 18 43" xfId="3533" xr:uid="{00000000-0005-0000-0000-00007C020000}"/>
    <cellStyle name="Normal 11 18 5" xfId="26451" xr:uid="{00000000-0005-0000-0000-00007D020000}"/>
    <cellStyle name="Normal 11 18 6" xfId="25855" xr:uid="{00000000-0005-0000-0000-00007E020000}"/>
    <cellStyle name="Normal 11 18 7" xfId="25258" xr:uid="{00000000-0005-0000-0000-00007F020000}"/>
    <cellStyle name="Normal 11 18 8" xfId="24661" xr:uid="{00000000-0005-0000-0000-000080020000}"/>
    <cellStyle name="Normal 11 18 9" xfId="24064" xr:uid="{00000000-0005-0000-0000-000081020000}"/>
    <cellStyle name="Normal 11 19" xfId="28839" xr:uid="{00000000-0005-0000-0000-000082020000}"/>
    <cellStyle name="Normal 11 19 10" xfId="23466" xr:uid="{00000000-0005-0000-0000-000083020000}"/>
    <cellStyle name="Normal 11 19 11" xfId="22869" xr:uid="{00000000-0005-0000-0000-000084020000}"/>
    <cellStyle name="Normal 11 19 12" xfId="22273" xr:uid="{00000000-0005-0000-0000-000085020000}"/>
    <cellStyle name="Normal 11 19 13" xfId="21676" xr:uid="{00000000-0005-0000-0000-000086020000}"/>
    <cellStyle name="Normal 11 19 14" xfId="21079" xr:uid="{00000000-0005-0000-0000-000087020000}"/>
    <cellStyle name="Normal 11 19 15" xfId="20482" xr:uid="{00000000-0005-0000-0000-000088020000}"/>
    <cellStyle name="Normal 11 19 16" xfId="19886" xr:uid="{00000000-0005-0000-0000-000089020000}"/>
    <cellStyle name="Normal 11 19 17" xfId="19290" xr:uid="{00000000-0005-0000-0000-00008A020000}"/>
    <cellStyle name="Normal 11 19 18" xfId="18695" xr:uid="{00000000-0005-0000-0000-00008B020000}"/>
    <cellStyle name="Normal 11 19 19" xfId="18099" xr:uid="{00000000-0005-0000-0000-00008C020000}"/>
    <cellStyle name="Normal 11 19 2" xfId="28240" xr:uid="{00000000-0005-0000-0000-00008D020000}"/>
    <cellStyle name="Normal 11 19 20" xfId="14719" xr:uid="{00000000-0005-0000-0000-00008E020000}"/>
    <cellStyle name="Normal 11 19 21" xfId="16317" xr:uid="{00000000-0005-0000-0000-00008F020000}"/>
    <cellStyle name="Normal 11 19 22" xfId="13936" xr:uid="{00000000-0005-0000-0000-000090020000}"/>
    <cellStyle name="Normal 11 19 23" xfId="14898" xr:uid="{00000000-0005-0000-0000-000091020000}"/>
    <cellStyle name="Normal 11 19 24" xfId="13334" xr:uid="{00000000-0005-0000-0000-000092020000}"/>
    <cellStyle name="Normal 11 19 25" xfId="13189" xr:uid="{00000000-0005-0000-0000-000093020000}"/>
    <cellStyle name="Normal 11 19 26" xfId="14194" xr:uid="{00000000-0005-0000-0000-000094020000}"/>
    <cellStyle name="Normal 11 19 27" xfId="15223" xr:uid="{00000000-0005-0000-0000-000095020000}"/>
    <cellStyle name="Normal 11 19 28" xfId="12707" xr:uid="{00000000-0005-0000-0000-000096020000}"/>
    <cellStyle name="Normal 11 19 29" xfId="6426" xr:uid="{00000000-0005-0000-0000-000097020000}"/>
    <cellStyle name="Normal 11 19 3" xfId="27643" xr:uid="{00000000-0005-0000-0000-000098020000}"/>
    <cellStyle name="Normal 11 19 30" xfId="6188" xr:uid="{00000000-0005-0000-0000-000099020000}"/>
    <cellStyle name="Normal 11 19 31" xfId="11956" xr:uid="{00000000-0005-0000-0000-00009A020000}"/>
    <cellStyle name="Normal 11 19 32" xfId="5652" xr:uid="{00000000-0005-0000-0000-00009B020000}"/>
    <cellStyle name="Normal 11 19 33" xfId="7633" xr:uid="{00000000-0005-0000-0000-00009C020000}"/>
    <cellStyle name="Normal 11 19 34" xfId="5654" xr:uid="{00000000-0005-0000-0000-00009D020000}"/>
    <cellStyle name="Normal 11 19 35" xfId="9998" xr:uid="{00000000-0005-0000-0000-00009E020000}"/>
    <cellStyle name="Normal 11 19 36" xfId="9952" xr:uid="{00000000-0005-0000-0000-00009F020000}"/>
    <cellStyle name="Normal 11 19 37" xfId="8813" xr:uid="{00000000-0005-0000-0000-0000A0020000}"/>
    <cellStyle name="Normal 11 19 38" xfId="3646" xr:uid="{00000000-0005-0000-0000-0000A1020000}"/>
    <cellStyle name="Normal 11 19 39" xfId="6768" xr:uid="{00000000-0005-0000-0000-0000A2020000}"/>
    <cellStyle name="Normal 11 19 4" xfId="27046" xr:uid="{00000000-0005-0000-0000-0000A3020000}"/>
    <cellStyle name="Normal 11 19 40" xfId="4067" xr:uid="{00000000-0005-0000-0000-0000A4020000}"/>
    <cellStyle name="Normal 11 19 41" xfId="6690" xr:uid="{00000000-0005-0000-0000-0000A5020000}"/>
    <cellStyle name="Normal 11 19 42" xfId="3773" xr:uid="{00000000-0005-0000-0000-0000A6020000}"/>
    <cellStyle name="Normal 11 19 43" xfId="6441" xr:uid="{00000000-0005-0000-0000-0000A7020000}"/>
    <cellStyle name="Normal 11 19 5" xfId="26450" xr:uid="{00000000-0005-0000-0000-0000A8020000}"/>
    <cellStyle name="Normal 11 19 6" xfId="25854" xr:uid="{00000000-0005-0000-0000-0000A9020000}"/>
    <cellStyle name="Normal 11 19 7" xfId="25257" xr:uid="{00000000-0005-0000-0000-0000AA020000}"/>
    <cellStyle name="Normal 11 19 8" xfId="24660" xr:uid="{00000000-0005-0000-0000-0000AB020000}"/>
    <cellStyle name="Normal 11 19 9" xfId="24063" xr:uid="{00000000-0005-0000-0000-0000AC020000}"/>
    <cellStyle name="Normal 11 2" xfId="28838" xr:uid="{00000000-0005-0000-0000-0000AD020000}"/>
    <cellStyle name="Normal 11 2 10" xfId="23465" xr:uid="{00000000-0005-0000-0000-0000AE020000}"/>
    <cellStyle name="Normal 11 2 11" xfId="22868" xr:uid="{00000000-0005-0000-0000-0000AF020000}"/>
    <cellStyle name="Normal 11 2 12" xfId="22272" xr:uid="{00000000-0005-0000-0000-0000B0020000}"/>
    <cellStyle name="Normal 11 2 13" xfId="21675" xr:uid="{00000000-0005-0000-0000-0000B1020000}"/>
    <cellStyle name="Normal 11 2 14" xfId="21078" xr:uid="{00000000-0005-0000-0000-0000B2020000}"/>
    <cellStyle name="Normal 11 2 15" xfId="20481" xr:uid="{00000000-0005-0000-0000-0000B3020000}"/>
    <cellStyle name="Normal 11 2 16" xfId="19885" xr:uid="{00000000-0005-0000-0000-0000B4020000}"/>
    <cellStyle name="Normal 11 2 17" xfId="19289" xr:uid="{00000000-0005-0000-0000-0000B5020000}"/>
    <cellStyle name="Normal 11 2 18" xfId="18694" xr:uid="{00000000-0005-0000-0000-0000B6020000}"/>
    <cellStyle name="Normal 11 2 19" xfId="18098" xr:uid="{00000000-0005-0000-0000-0000B7020000}"/>
    <cellStyle name="Normal 11 2 2" xfId="28239" xr:uid="{00000000-0005-0000-0000-0000B8020000}"/>
    <cellStyle name="Normal 11 2 20" xfId="14921" xr:uid="{00000000-0005-0000-0000-0000B9020000}"/>
    <cellStyle name="Normal 11 2 21" xfId="16306" xr:uid="{00000000-0005-0000-0000-0000BA020000}"/>
    <cellStyle name="Normal 11 2 22" xfId="17417" xr:uid="{00000000-0005-0000-0000-0000BB020000}"/>
    <cellStyle name="Normal 11 2 23" xfId="16253" xr:uid="{00000000-0005-0000-0000-0000BC020000}"/>
    <cellStyle name="Normal 11 2 24" xfId="17358" xr:uid="{00000000-0005-0000-0000-0000BD020000}"/>
    <cellStyle name="Normal 11 2 25" xfId="15500" xr:uid="{00000000-0005-0000-0000-0000BE020000}"/>
    <cellStyle name="Normal 11 2 26" xfId="15027" xr:uid="{00000000-0005-0000-0000-0000BF020000}"/>
    <cellStyle name="Normal 11 2 27" xfId="14574" xr:uid="{00000000-0005-0000-0000-0000C0020000}"/>
    <cellStyle name="Normal 11 2 28" xfId="12706" xr:uid="{00000000-0005-0000-0000-0000C1020000}"/>
    <cellStyle name="Normal 11 2 29" xfId="6895" xr:uid="{00000000-0005-0000-0000-0000C2020000}"/>
    <cellStyle name="Normal 11 2 3" xfId="27642" xr:uid="{00000000-0005-0000-0000-0000C3020000}"/>
    <cellStyle name="Normal 11 2 30" xfId="6761" xr:uid="{00000000-0005-0000-0000-0000C4020000}"/>
    <cellStyle name="Normal 11 2 31" xfId="10819" xr:uid="{00000000-0005-0000-0000-0000C5020000}"/>
    <cellStyle name="Normal 11 2 32" xfId="6051" xr:uid="{00000000-0005-0000-0000-0000C6020000}"/>
    <cellStyle name="Normal 11 2 33" xfId="5272" xr:uid="{00000000-0005-0000-0000-0000C7020000}"/>
    <cellStyle name="Normal 11 2 34" xfId="10874" xr:uid="{00000000-0005-0000-0000-0000C8020000}"/>
    <cellStyle name="Normal 11 2 35" xfId="7861" xr:uid="{00000000-0005-0000-0000-0000C9020000}"/>
    <cellStyle name="Normal 11 2 36" xfId="5095" xr:uid="{00000000-0005-0000-0000-0000CA020000}"/>
    <cellStyle name="Normal 11 2 37" xfId="4097" xr:uid="{00000000-0005-0000-0000-0000CB020000}"/>
    <cellStyle name="Normal 11 2 38" xfId="10989" xr:uid="{00000000-0005-0000-0000-0000CC020000}"/>
    <cellStyle name="Normal 11 2 39" xfId="3506" xr:uid="{00000000-0005-0000-0000-0000CD020000}"/>
    <cellStyle name="Normal 11 2 4" xfId="27045" xr:uid="{00000000-0005-0000-0000-0000CE020000}"/>
    <cellStyle name="Normal 11 2 40" xfId="10405" xr:uid="{00000000-0005-0000-0000-0000CF020000}"/>
    <cellStyle name="Normal 11 2 41" xfId="9009" xr:uid="{00000000-0005-0000-0000-0000D0020000}"/>
    <cellStyle name="Normal 11 2 42" xfId="6528" xr:uid="{00000000-0005-0000-0000-0000D1020000}"/>
    <cellStyle name="Normal 11 2 43" xfId="3125" xr:uid="{00000000-0005-0000-0000-0000D2020000}"/>
    <cellStyle name="Normal 11 2 44" xfId="3070" xr:uid="{00000000-0005-0000-0000-0000D3020000}"/>
    <cellStyle name="Normal 11 2 45" xfId="2826" xr:uid="{00000000-0005-0000-0000-0000D4020000}"/>
    <cellStyle name="Normal 11 2 46" xfId="2586" xr:uid="{00000000-0005-0000-0000-0000D5020000}"/>
    <cellStyle name="Normal 11 2 47" xfId="2346" xr:uid="{00000000-0005-0000-0000-0000D6020000}"/>
    <cellStyle name="Normal 11 2 48" xfId="2106" xr:uid="{00000000-0005-0000-0000-0000D7020000}"/>
    <cellStyle name="Normal 11 2 49" xfId="1866" xr:uid="{00000000-0005-0000-0000-0000D8020000}"/>
    <cellStyle name="Normal 11 2 5" xfId="26449" xr:uid="{00000000-0005-0000-0000-0000D9020000}"/>
    <cellStyle name="Normal 11 2 50" xfId="1627" xr:uid="{00000000-0005-0000-0000-0000DA020000}"/>
    <cellStyle name="Normal 11 2 51" xfId="1387" xr:uid="{00000000-0005-0000-0000-0000DB020000}"/>
    <cellStyle name="Normal 11 2 52" xfId="1147" xr:uid="{00000000-0005-0000-0000-0000DC020000}"/>
    <cellStyle name="Normal 11 2 53" xfId="907" xr:uid="{00000000-0005-0000-0000-0000DD020000}"/>
    <cellStyle name="Normal 11 2 54" xfId="667" xr:uid="{00000000-0005-0000-0000-0000DE020000}"/>
    <cellStyle name="Normal 11 2 55" xfId="427" xr:uid="{00000000-0005-0000-0000-0000DF020000}"/>
    <cellStyle name="Normal 11 2 56" xfId="188" xr:uid="{00000000-0005-0000-0000-0000E0020000}"/>
    <cellStyle name="Normal 11 2 6" xfId="25853" xr:uid="{00000000-0005-0000-0000-0000E1020000}"/>
    <cellStyle name="Normal 11 2 7" xfId="25256" xr:uid="{00000000-0005-0000-0000-0000E2020000}"/>
    <cellStyle name="Normal 11 2 8" xfId="24659" xr:uid="{00000000-0005-0000-0000-0000E3020000}"/>
    <cellStyle name="Normal 11 2 9" xfId="24062" xr:uid="{00000000-0005-0000-0000-0000E4020000}"/>
    <cellStyle name="Normal 11 20" xfId="28837" xr:uid="{00000000-0005-0000-0000-0000E5020000}"/>
    <cellStyle name="Normal 11 20 10" xfId="23464" xr:uid="{00000000-0005-0000-0000-0000E6020000}"/>
    <cellStyle name="Normal 11 20 11" xfId="22867" xr:uid="{00000000-0005-0000-0000-0000E7020000}"/>
    <cellStyle name="Normal 11 20 12" xfId="22271" xr:uid="{00000000-0005-0000-0000-0000E8020000}"/>
    <cellStyle name="Normal 11 20 13" xfId="21674" xr:uid="{00000000-0005-0000-0000-0000E9020000}"/>
    <cellStyle name="Normal 11 20 14" xfId="21077" xr:uid="{00000000-0005-0000-0000-0000EA020000}"/>
    <cellStyle name="Normal 11 20 15" xfId="20480" xr:uid="{00000000-0005-0000-0000-0000EB020000}"/>
    <cellStyle name="Normal 11 20 16" xfId="19884" xr:uid="{00000000-0005-0000-0000-0000EC020000}"/>
    <cellStyle name="Normal 11 20 17" xfId="19288" xr:uid="{00000000-0005-0000-0000-0000ED020000}"/>
    <cellStyle name="Normal 11 20 18" xfId="18693" xr:uid="{00000000-0005-0000-0000-0000EE020000}"/>
    <cellStyle name="Normal 11 20 19" xfId="18097" xr:uid="{00000000-0005-0000-0000-0000EF020000}"/>
    <cellStyle name="Normal 11 20 2" xfId="28238" xr:uid="{00000000-0005-0000-0000-0000F0020000}"/>
    <cellStyle name="Normal 11 20 20" xfId="15128" xr:uid="{00000000-0005-0000-0000-0000F1020000}"/>
    <cellStyle name="Normal 11 20 21" xfId="16094" xr:uid="{00000000-0005-0000-0000-0000F2020000}"/>
    <cellStyle name="Normal 11 20 22" xfId="14440" xr:uid="{00000000-0005-0000-0000-0000F3020000}"/>
    <cellStyle name="Normal 11 20 23" xfId="16190" xr:uid="{00000000-0005-0000-0000-0000F4020000}"/>
    <cellStyle name="Normal 11 20 24" xfId="13623" xr:uid="{00000000-0005-0000-0000-0000F5020000}"/>
    <cellStyle name="Normal 11 20 25" xfId="16062" xr:uid="{00000000-0005-0000-0000-0000F6020000}"/>
    <cellStyle name="Normal 11 20 26" xfId="12946" xr:uid="{00000000-0005-0000-0000-0000F7020000}"/>
    <cellStyle name="Normal 11 20 27" xfId="13041" xr:uid="{00000000-0005-0000-0000-0000F8020000}"/>
    <cellStyle name="Normal 11 20 28" xfId="12705" xr:uid="{00000000-0005-0000-0000-0000F9020000}"/>
    <cellStyle name="Normal 11 20 29" xfId="6922" xr:uid="{00000000-0005-0000-0000-0000FA020000}"/>
    <cellStyle name="Normal 11 20 3" xfId="27641" xr:uid="{00000000-0005-0000-0000-0000FB020000}"/>
    <cellStyle name="Normal 11 20 30" xfId="10764" xr:uid="{00000000-0005-0000-0000-0000FC020000}"/>
    <cellStyle name="Normal 11 20 31" xfId="11778" xr:uid="{00000000-0005-0000-0000-0000FD020000}"/>
    <cellStyle name="Normal 11 20 32" xfId="12004" xr:uid="{00000000-0005-0000-0000-0000FE020000}"/>
    <cellStyle name="Normal 11 20 33" xfId="5217" xr:uid="{00000000-0005-0000-0000-0000FF020000}"/>
    <cellStyle name="Normal 11 20 34" xfId="10297" xr:uid="{00000000-0005-0000-0000-000000030000}"/>
    <cellStyle name="Normal 11 20 35" xfId="6406" xr:uid="{00000000-0005-0000-0000-000001030000}"/>
    <cellStyle name="Normal 11 20 36" xfId="10075" xr:uid="{00000000-0005-0000-0000-000002030000}"/>
    <cellStyle name="Normal 11 20 37" xfId="11072" xr:uid="{00000000-0005-0000-0000-000003030000}"/>
    <cellStyle name="Normal 11 20 38" xfId="3863" xr:uid="{00000000-0005-0000-0000-000004030000}"/>
    <cellStyle name="Normal 11 20 39" xfId="11213" xr:uid="{00000000-0005-0000-0000-000005030000}"/>
    <cellStyle name="Normal 11 20 4" xfId="27044" xr:uid="{00000000-0005-0000-0000-000006030000}"/>
    <cellStyle name="Normal 11 20 40" xfId="3384" xr:uid="{00000000-0005-0000-0000-000007030000}"/>
    <cellStyle name="Normal 11 20 41" xfId="9044" xr:uid="{00000000-0005-0000-0000-000008030000}"/>
    <cellStyle name="Normal 11 20 42" xfId="5110" xr:uid="{00000000-0005-0000-0000-000009030000}"/>
    <cellStyle name="Normal 11 20 43" xfId="3876" xr:uid="{00000000-0005-0000-0000-00000A030000}"/>
    <cellStyle name="Normal 11 20 5" xfId="26448" xr:uid="{00000000-0005-0000-0000-00000B030000}"/>
    <cellStyle name="Normal 11 20 6" xfId="25852" xr:uid="{00000000-0005-0000-0000-00000C030000}"/>
    <cellStyle name="Normal 11 20 7" xfId="25255" xr:uid="{00000000-0005-0000-0000-00000D030000}"/>
    <cellStyle name="Normal 11 20 8" xfId="24658" xr:uid="{00000000-0005-0000-0000-00000E030000}"/>
    <cellStyle name="Normal 11 20 9" xfId="24061" xr:uid="{00000000-0005-0000-0000-00000F030000}"/>
    <cellStyle name="Normal 11 21" xfId="28836" xr:uid="{00000000-0005-0000-0000-000010030000}"/>
    <cellStyle name="Normal 11 21 10" xfId="23463" xr:uid="{00000000-0005-0000-0000-000011030000}"/>
    <cellStyle name="Normal 11 21 11" xfId="22866" xr:uid="{00000000-0005-0000-0000-000012030000}"/>
    <cellStyle name="Normal 11 21 12" xfId="22270" xr:uid="{00000000-0005-0000-0000-000013030000}"/>
    <cellStyle name="Normal 11 21 13" xfId="21673" xr:uid="{00000000-0005-0000-0000-000014030000}"/>
    <cellStyle name="Normal 11 21 14" xfId="21076" xr:uid="{00000000-0005-0000-0000-000015030000}"/>
    <cellStyle name="Normal 11 21 15" xfId="20479" xr:uid="{00000000-0005-0000-0000-000016030000}"/>
    <cellStyle name="Normal 11 21 16" xfId="19883" xr:uid="{00000000-0005-0000-0000-000017030000}"/>
    <cellStyle name="Normal 11 21 17" xfId="19287" xr:uid="{00000000-0005-0000-0000-000018030000}"/>
    <cellStyle name="Normal 11 21 18" xfId="18692" xr:uid="{00000000-0005-0000-0000-000019030000}"/>
    <cellStyle name="Normal 11 21 19" xfId="18096" xr:uid="{00000000-0005-0000-0000-00001A030000}"/>
    <cellStyle name="Normal 11 21 2" xfId="28237" xr:uid="{00000000-0005-0000-0000-00001B030000}"/>
    <cellStyle name="Normal 11 21 20" xfId="15323" xr:uid="{00000000-0005-0000-0000-00001C030000}"/>
    <cellStyle name="Normal 11 21 21" xfId="16080" xr:uid="{00000000-0005-0000-0000-00001D030000}"/>
    <cellStyle name="Normal 11 21 22" xfId="15249" xr:uid="{00000000-0005-0000-0000-00001E030000}"/>
    <cellStyle name="Normal 11 21 23" xfId="14315" xr:uid="{00000000-0005-0000-0000-00001F030000}"/>
    <cellStyle name="Normal 11 21 24" xfId="14442" xr:uid="{00000000-0005-0000-0000-000020030000}"/>
    <cellStyle name="Normal 11 21 25" xfId="17269" xr:uid="{00000000-0005-0000-0000-000021030000}"/>
    <cellStyle name="Normal 11 21 26" xfId="14646" xr:uid="{00000000-0005-0000-0000-000022030000}"/>
    <cellStyle name="Normal 11 21 27" xfId="13044" xr:uid="{00000000-0005-0000-0000-000023030000}"/>
    <cellStyle name="Normal 11 21 28" xfId="12704" xr:uid="{00000000-0005-0000-0000-000024030000}"/>
    <cellStyle name="Normal 11 21 29" xfId="7307" xr:uid="{00000000-0005-0000-0000-000025030000}"/>
    <cellStyle name="Normal 11 21 3" xfId="27640" xr:uid="{00000000-0005-0000-0000-000026030000}"/>
    <cellStyle name="Normal 11 21 30" xfId="9163" xr:uid="{00000000-0005-0000-0000-000027030000}"/>
    <cellStyle name="Normal 11 21 31" xfId="9578" xr:uid="{00000000-0005-0000-0000-000028030000}"/>
    <cellStyle name="Normal 11 21 32" xfId="6496" xr:uid="{00000000-0005-0000-0000-000029030000}"/>
    <cellStyle name="Normal 11 21 33" xfId="7581" xr:uid="{00000000-0005-0000-0000-00002A030000}"/>
    <cellStyle name="Normal 11 21 34" xfId="5714" xr:uid="{00000000-0005-0000-0000-00002B030000}"/>
    <cellStyle name="Normal 11 21 35" xfId="5301" xr:uid="{00000000-0005-0000-0000-00002C030000}"/>
    <cellStyle name="Normal 11 21 36" xfId="9811" xr:uid="{00000000-0005-0000-0000-00002D030000}"/>
    <cellStyle name="Normal 11 21 37" xfId="6712" xr:uid="{00000000-0005-0000-0000-00002E030000}"/>
    <cellStyle name="Normal 11 21 38" xfId="12093" xr:uid="{00000000-0005-0000-0000-00002F030000}"/>
    <cellStyle name="Normal 11 21 39" xfId="5490" xr:uid="{00000000-0005-0000-0000-000030030000}"/>
    <cellStyle name="Normal 11 21 4" xfId="27043" xr:uid="{00000000-0005-0000-0000-000031030000}"/>
    <cellStyle name="Normal 11 21 40" xfId="11040" xr:uid="{00000000-0005-0000-0000-000032030000}"/>
    <cellStyle name="Normal 11 21 41" xfId="3442" xr:uid="{00000000-0005-0000-0000-000033030000}"/>
    <cellStyle name="Normal 11 21 42" xfId="3245" xr:uid="{00000000-0005-0000-0000-000034030000}"/>
    <cellStyle name="Normal 11 21 43" xfId="8021" xr:uid="{00000000-0005-0000-0000-000035030000}"/>
    <cellStyle name="Normal 11 21 5" xfId="26447" xr:uid="{00000000-0005-0000-0000-000036030000}"/>
    <cellStyle name="Normal 11 21 6" xfId="25851" xr:uid="{00000000-0005-0000-0000-000037030000}"/>
    <cellStyle name="Normal 11 21 7" xfId="25254" xr:uid="{00000000-0005-0000-0000-000038030000}"/>
    <cellStyle name="Normal 11 21 8" xfId="24657" xr:uid="{00000000-0005-0000-0000-000039030000}"/>
    <cellStyle name="Normal 11 21 9" xfId="24060" xr:uid="{00000000-0005-0000-0000-00003A030000}"/>
    <cellStyle name="Normal 11 22" xfId="28835" xr:uid="{00000000-0005-0000-0000-00003B030000}"/>
    <cellStyle name="Normal 11 22 10" xfId="23462" xr:uid="{00000000-0005-0000-0000-00003C030000}"/>
    <cellStyle name="Normal 11 22 11" xfId="22865" xr:uid="{00000000-0005-0000-0000-00003D030000}"/>
    <cellStyle name="Normal 11 22 12" xfId="22269" xr:uid="{00000000-0005-0000-0000-00003E030000}"/>
    <cellStyle name="Normal 11 22 13" xfId="21672" xr:uid="{00000000-0005-0000-0000-00003F030000}"/>
    <cellStyle name="Normal 11 22 14" xfId="21075" xr:uid="{00000000-0005-0000-0000-000040030000}"/>
    <cellStyle name="Normal 11 22 15" xfId="20478" xr:uid="{00000000-0005-0000-0000-000041030000}"/>
    <cellStyle name="Normal 11 22 16" xfId="19882" xr:uid="{00000000-0005-0000-0000-000042030000}"/>
    <cellStyle name="Normal 11 22 17" xfId="19286" xr:uid="{00000000-0005-0000-0000-000043030000}"/>
    <cellStyle name="Normal 11 22 18" xfId="18691" xr:uid="{00000000-0005-0000-0000-000044030000}"/>
    <cellStyle name="Normal 11 22 19" xfId="18095" xr:uid="{00000000-0005-0000-0000-000045030000}"/>
    <cellStyle name="Normal 11 22 2" xfId="28236" xr:uid="{00000000-0005-0000-0000-000046030000}"/>
    <cellStyle name="Normal 11 22 20" xfId="15530" xr:uid="{00000000-0005-0000-0000-000047030000}"/>
    <cellStyle name="Normal 11 22 21" xfId="15668" xr:uid="{00000000-0005-0000-0000-000048030000}"/>
    <cellStyle name="Normal 11 22 22" xfId="15830" xr:uid="{00000000-0005-0000-0000-000049030000}"/>
    <cellStyle name="Normal 11 22 23" xfId="14864" xr:uid="{00000000-0005-0000-0000-00004A030000}"/>
    <cellStyle name="Normal 11 22 24" xfId="17498" xr:uid="{00000000-0005-0000-0000-00004B030000}"/>
    <cellStyle name="Normal 11 22 25" xfId="17108" xr:uid="{00000000-0005-0000-0000-00004C030000}"/>
    <cellStyle name="Normal 11 22 26" xfId="16755" xr:uid="{00000000-0005-0000-0000-00004D030000}"/>
    <cellStyle name="Normal 11 22 27" xfId="17082" xr:uid="{00000000-0005-0000-0000-00004E030000}"/>
    <cellStyle name="Normal 11 22 28" xfId="12703" xr:uid="{00000000-0005-0000-0000-00004F030000}"/>
    <cellStyle name="Normal 11 22 29" xfId="7503" xr:uid="{00000000-0005-0000-0000-000050030000}"/>
    <cellStyle name="Normal 11 22 3" xfId="27639" xr:uid="{00000000-0005-0000-0000-000051030000}"/>
    <cellStyle name="Normal 11 22 30" xfId="6373" xr:uid="{00000000-0005-0000-0000-000052030000}"/>
    <cellStyle name="Normal 11 22 31" xfId="12039" xr:uid="{00000000-0005-0000-0000-000053030000}"/>
    <cellStyle name="Normal 11 22 32" xfId="10428" xr:uid="{00000000-0005-0000-0000-000054030000}"/>
    <cellStyle name="Normal 11 22 33" xfId="7381" xr:uid="{00000000-0005-0000-0000-000055030000}"/>
    <cellStyle name="Normal 11 22 34" xfId="6818" xr:uid="{00000000-0005-0000-0000-000056030000}"/>
    <cellStyle name="Normal 11 22 35" xfId="5414" xr:uid="{00000000-0005-0000-0000-000057030000}"/>
    <cellStyle name="Normal 11 22 36" xfId="7524" xr:uid="{00000000-0005-0000-0000-000058030000}"/>
    <cellStyle name="Normal 11 22 37" xfId="7398" xr:uid="{00000000-0005-0000-0000-000059030000}"/>
    <cellStyle name="Normal 11 22 38" xfId="5571" xr:uid="{00000000-0005-0000-0000-00005A030000}"/>
    <cellStyle name="Normal 11 22 39" xfId="5383" xr:uid="{00000000-0005-0000-0000-00005B030000}"/>
    <cellStyle name="Normal 11 22 4" xfId="27042" xr:uid="{00000000-0005-0000-0000-00005C030000}"/>
    <cellStyle name="Normal 11 22 40" xfId="6133" xr:uid="{00000000-0005-0000-0000-00005D030000}"/>
    <cellStyle name="Normal 11 22 41" xfId="5694" xr:uid="{00000000-0005-0000-0000-00005E030000}"/>
    <cellStyle name="Normal 11 22 42" xfId="8678" xr:uid="{00000000-0005-0000-0000-00005F030000}"/>
    <cellStyle name="Normal 11 22 43" xfId="4749" xr:uid="{00000000-0005-0000-0000-000060030000}"/>
    <cellStyle name="Normal 11 22 5" xfId="26446" xr:uid="{00000000-0005-0000-0000-000061030000}"/>
    <cellStyle name="Normal 11 22 6" xfId="25850" xr:uid="{00000000-0005-0000-0000-000062030000}"/>
    <cellStyle name="Normal 11 22 7" xfId="25253" xr:uid="{00000000-0005-0000-0000-000063030000}"/>
    <cellStyle name="Normal 11 22 8" xfId="24656" xr:uid="{00000000-0005-0000-0000-000064030000}"/>
    <cellStyle name="Normal 11 22 9" xfId="24059" xr:uid="{00000000-0005-0000-0000-000065030000}"/>
    <cellStyle name="Normal 11 23" xfId="28834" xr:uid="{00000000-0005-0000-0000-000066030000}"/>
    <cellStyle name="Normal 11 23 10" xfId="23461" xr:uid="{00000000-0005-0000-0000-000067030000}"/>
    <cellStyle name="Normal 11 23 11" xfId="22864" xr:uid="{00000000-0005-0000-0000-000068030000}"/>
    <cellStyle name="Normal 11 23 12" xfId="22268" xr:uid="{00000000-0005-0000-0000-000069030000}"/>
    <cellStyle name="Normal 11 23 13" xfId="21671" xr:uid="{00000000-0005-0000-0000-00006A030000}"/>
    <cellStyle name="Normal 11 23 14" xfId="21074" xr:uid="{00000000-0005-0000-0000-00006B030000}"/>
    <cellStyle name="Normal 11 23 15" xfId="20477" xr:uid="{00000000-0005-0000-0000-00006C030000}"/>
    <cellStyle name="Normal 11 23 16" xfId="19881" xr:uid="{00000000-0005-0000-0000-00006D030000}"/>
    <cellStyle name="Normal 11 23 17" xfId="19285" xr:uid="{00000000-0005-0000-0000-00006E030000}"/>
    <cellStyle name="Normal 11 23 18" xfId="18690" xr:uid="{00000000-0005-0000-0000-00006F030000}"/>
    <cellStyle name="Normal 11 23 19" xfId="18094" xr:uid="{00000000-0005-0000-0000-000070030000}"/>
    <cellStyle name="Normal 11 23 2" xfId="28235" xr:uid="{00000000-0005-0000-0000-000071030000}"/>
    <cellStyle name="Normal 11 23 20" xfId="15720" xr:uid="{00000000-0005-0000-0000-000072030000}"/>
    <cellStyle name="Normal 11 23 21" xfId="15459" xr:uid="{00000000-0005-0000-0000-000073030000}"/>
    <cellStyle name="Normal 11 23 22" xfId="16465" xr:uid="{00000000-0005-0000-0000-000074030000}"/>
    <cellStyle name="Normal 11 23 23" xfId="13887" xr:uid="{00000000-0005-0000-0000-000075030000}"/>
    <cellStyle name="Normal 11 23 24" xfId="16019" xr:uid="{00000000-0005-0000-0000-000076030000}"/>
    <cellStyle name="Normal 11 23 25" xfId="13785" xr:uid="{00000000-0005-0000-0000-000077030000}"/>
    <cellStyle name="Normal 11 23 26" xfId="13015" xr:uid="{00000000-0005-0000-0000-000078030000}"/>
    <cellStyle name="Normal 11 23 27" xfId="13708" xr:uid="{00000000-0005-0000-0000-000079030000}"/>
    <cellStyle name="Normal 11 23 28" xfId="12702" xr:uid="{00000000-0005-0000-0000-00007A030000}"/>
    <cellStyle name="Normal 11 23 29" xfId="11899" xr:uid="{00000000-0005-0000-0000-00007B030000}"/>
    <cellStyle name="Normal 11 23 3" xfId="27638" xr:uid="{00000000-0005-0000-0000-00007C030000}"/>
    <cellStyle name="Normal 11 23 30" xfId="11928" xr:uid="{00000000-0005-0000-0000-00007D030000}"/>
    <cellStyle name="Normal 11 23 31" xfId="9708" xr:uid="{00000000-0005-0000-0000-00007E030000}"/>
    <cellStyle name="Normal 11 23 32" xfId="9857" xr:uid="{00000000-0005-0000-0000-00007F030000}"/>
    <cellStyle name="Normal 11 23 33" xfId="9542" xr:uid="{00000000-0005-0000-0000-000080030000}"/>
    <cellStyle name="Normal 11 23 34" xfId="8258" xr:uid="{00000000-0005-0000-0000-000081030000}"/>
    <cellStyle name="Normal 11 23 35" xfId="8677" xr:uid="{00000000-0005-0000-0000-000082030000}"/>
    <cellStyle name="Normal 11 23 36" xfId="6530" xr:uid="{00000000-0005-0000-0000-000083030000}"/>
    <cellStyle name="Normal 11 23 37" xfId="9541" xr:uid="{00000000-0005-0000-0000-000084030000}"/>
    <cellStyle name="Normal 11 23 38" xfId="5212" xr:uid="{00000000-0005-0000-0000-000085030000}"/>
    <cellStyle name="Normal 11 23 39" xfId="11585" xr:uid="{00000000-0005-0000-0000-000086030000}"/>
    <cellStyle name="Normal 11 23 4" xfId="27041" xr:uid="{00000000-0005-0000-0000-000087030000}"/>
    <cellStyle name="Normal 11 23 40" xfId="3883" xr:uid="{00000000-0005-0000-0000-000088030000}"/>
    <cellStyle name="Normal 11 23 41" xfId="9069" xr:uid="{00000000-0005-0000-0000-000089030000}"/>
    <cellStyle name="Normal 11 23 42" xfId="7678" xr:uid="{00000000-0005-0000-0000-00008A030000}"/>
    <cellStyle name="Normal 11 23 43" xfId="11710" xr:uid="{00000000-0005-0000-0000-00008B030000}"/>
    <cellStyle name="Normal 11 23 5" xfId="26445" xr:uid="{00000000-0005-0000-0000-00008C030000}"/>
    <cellStyle name="Normal 11 23 6" xfId="25849" xr:uid="{00000000-0005-0000-0000-00008D030000}"/>
    <cellStyle name="Normal 11 23 7" xfId="25252" xr:uid="{00000000-0005-0000-0000-00008E030000}"/>
    <cellStyle name="Normal 11 23 8" xfId="24655" xr:uid="{00000000-0005-0000-0000-00008F030000}"/>
    <cellStyle name="Normal 11 23 9" xfId="24058" xr:uid="{00000000-0005-0000-0000-000090030000}"/>
    <cellStyle name="Normal 11 24" xfId="28833" xr:uid="{00000000-0005-0000-0000-000091030000}"/>
    <cellStyle name="Normal 11 24 10" xfId="23460" xr:uid="{00000000-0005-0000-0000-000092030000}"/>
    <cellStyle name="Normal 11 24 11" xfId="22863" xr:uid="{00000000-0005-0000-0000-000093030000}"/>
    <cellStyle name="Normal 11 24 12" xfId="22267" xr:uid="{00000000-0005-0000-0000-000094030000}"/>
    <cellStyle name="Normal 11 24 13" xfId="21670" xr:uid="{00000000-0005-0000-0000-000095030000}"/>
    <cellStyle name="Normal 11 24 14" xfId="21073" xr:uid="{00000000-0005-0000-0000-000096030000}"/>
    <cellStyle name="Normal 11 24 15" xfId="20476" xr:uid="{00000000-0005-0000-0000-000097030000}"/>
    <cellStyle name="Normal 11 24 16" xfId="19880" xr:uid="{00000000-0005-0000-0000-000098030000}"/>
    <cellStyle name="Normal 11 24 17" xfId="19284" xr:uid="{00000000-0005-0000-0000-000099030000}"/>
    <cellStyle name="Normal 11 24 18" xfId="18689" xr:uid="{00000000-0005-0000-0000-00009A030000}"/>
    <cellStyle name="Normal 11 24 19" xfId="18093" xr:uid="{00000000-0005-0000-0000-00009B030000}"/>
    <cellStyle name="Normal 11 24 2" xfId="28234" xr:uid="{00000000-0005-0000-0000-00009C030000}"/>
    <cellStyle name="Normal 11 24 20" xfId="15920" xr:uid="{00000000-0005-0000-0000-00009D030000}"/>
    <cellStyle name="Normal 11 24 21" xfId="15256" xr:uid="{00000000-0005-0000-0000-00009E030000}"/>
    <cellStyle name="Normal 11 24 22" xfId="16862" xr:uid="{00000000-0005-0000-0000-00009F030000}"/>
    <cellStyle name="Normal 11 24 23" xfId="14845" xr:uid="{00000000-0005-0000-0000-0000A0030000}"/>
    <cellStyle name="Normal 11 24 24" xfId="14630" xr:uid="{00000000-0005-0000-0000-0000A1030000}"/>
    <cellStyle name="Normal 11 24 25" xfId="13072" xr:uid="{00000000-0005-0000-0000-0000A2030000}"/>
    <cellStyle name="Normal 11 24 26" xfId="12996" xr:uid="{00000000-0005-0000-0000-0000A3030000}"/>
    <cellStyle name="Normal 11 24 27" xfId="14259" xr:uid="{00000000-0005-0000-0000-0000A4030000}"/>
    <cellStyle name="Normal 11 24 28" xfId="12701" xr:uid="{00000000-0005-0000-0000-0000A5030000}"/>
    <cellStyle name="Normal 11 24 29" xfId="8079" xr:uid="{00000000-0005-0000-0000-0000A6030000}"/>
    <cellStyle name="Normal 11 24 3" xfId="27637" xr:uid="{00000000-0005-0000-0000-0000A7030000}"/>
    <cellStyle name="Normal 11 24 30" xfId="6506" xr:uid="{00000000-0005-0000-0000-0000A8030000}"/>
    <cellStyle name="Normal 11 24 31" xfId="11333" xr:uid="{00000000-0005-0000-0000-0000A9030000}"/>
    <cellStyle name="Normal 11 24 32" xfId="6203" xr:uid="{00000000-0005-0000-0000-0000AA030000}"/>
    <cellStyle name="Normal 11 24 33" xfId="6986" xr:uid="{00000000-0005-0000-0000-0000AB030000}"/>
    <cellStyle name="Normal 11 24 34" xfId="7170" xr:uid="{00000000-0005-0000-0000-0000AC030000}"/>
    <cellStyle name="Normal 11 24 35" xfId="5179" xr:uid="{00000000-0005-0000-0000-0000AD030000}"/>
    <cellStyle name="Normal 11 24 36" xfId="5617" xr:uid="{00000000-0005-0000-0000-0000AE030000}"/>
    <cellStyle name="Normal 11 24 37" xfId="6228" xr:uid="{00000000-0005-0000-0000-0000AF030000}"/>
    <cellStyle name="Normal 11 24 38" xfId="10040" xr:uid="{00000000-0005-0000-0000-0000B0030000}"/>
    <cellStyle name="Normal 11 24 39" xfId="6978" xr:uid="{00000000-0005-0000-0000-0000B1030000}"/>
    <cellStyle name="Normal 11 24 4" xfId="27040" xr:uid="{00000000-0005-0000-0000-0000B2030000}"/>
    <cellStyle name="Normal 11 24 40" xfId="3441" xr:uid="{00000000-0005-0000-0000-0000B3030000}"/>
    <cellStyle name="Normal 11 24 41" xfId="8378" xr:uid="{00000000-0005-0000-0000-0000B4030000}"/>
    <cellStyle name="Normal 11 24 42" xfId="10593" xr:uid="{00000000-0005-0000-0000-0000B5030000}"/>
    <cellStyle name="Normal 11 24 43" xfId="8442" xr:uid="{00000000-0005-0000-0000-0000B6030000}"/>
    <cellStyle name="Normal 11 24 5" xfId="26444" xr:uid="{00000000-0005-0000-0000-0000B7030000}"/>
    <cellStyle name="Normal 11 24 6" xfId="25848" xr:uid="{00000000-0005-0000-0000-0000B8030000}"/>
    <cellStyle name="Normal 11 24 7" xfId="25251" xr:uid="{00000000-0005-0000-0000-0000B9030000}"/>
    <cellStyle name="Normal 11 24 8" xfId="24654" xr:uid="{00000000-0005-0000-0000-0000BA030000}"/>
    <cellStyle name="Normal 11 24 9" xfId="24057" xr:uid="{00000000-0005-0000-0000-0000BB030000}"/>
    <cellStyle name="Normal 11 25" xfId="28832" xr:uid="{00000000-0005-0000-0000-0000BC030000}"/>
    <cellStyle name="Normal 11 25 10" xfId="23459" xr:uid="{00000000-0005-0000-0000-0000BD030000}"/>
    <cellStyle name="Normal 11 25 11" xfId="22862" xr:uid="{00000000-0005-0000-0000-0000BE030000}"/>
    <cellStyle name="Normal 11 25 12" xfId="22266" xr:uid="{00000000-0005-0000-0000-0000BF030000}"/>
    <cellStyle name="Normal 11 25 13" xfId="21669" xr:uid="{00000000-0005-0000-0000-0000C0030000}"/>
    <cellStyle name="Normal 11 25 14" xfId="21072" xr:uid="{00000000-0005-0000-0000-0000C1030000}"/>
    <cellStyle name="Normal 11 25 15" xfId="20475" xr:uid="{00000000-0005-0000-0000-0000C2030000}"/>
    <cellStyle name="Normal 11 25 16" xfId="19879" xr:uid="{00000000-0005-0000-0000-0000C3030000}"/>
    <cellStyle name="Normal 11 25 17" xfId="19283" xr:uid="{00000000-0005-0000-0000-0000C4030000}"/>
    <cellStyle name="Normal 11 25 18" xfId="18688" xr:uid="{00000000-0005-0000-0000-0000C5030000}"/>
    <cellStyle name="Normal 11 25 19" xfId="18092" xr:uid="{00000000-0005-0000-0000-0000C6030000}"/>
    <cellStyle name="Normal 11 25 2" xfId="28233" xr:uid="{00000000-0005-0000-0000-0000C7030000}"/>
    <cellStyle name="Normal 11 25 20" xfId="16128" xr:uid="{00000000-0005-0000-0000-0000C8030000}"/>
    <cellStyle name="Normal 11 25 21" xfId="14638" xr:uid="{00000000-0005-0000-0000-0000C9030000}"/>
    <cellStyle name="Normal 11 25 22" xfId="14295" xr:uid="{00000000-0005-0000-0000-0000CA030000}"/>
    <cellStyle name="Normal 11 25 23" xfId="16706" xr:uid="{00000000-0005-0000-0000-0000CB030000}"/>
    <cellStyle name="Normal 11 25 24" xfId="14456" xr:uid="{00000000-0005-0000-0000-0000CC030000}"/>
    <cellStyle name="Normal 11 25 25" xfId="16678" xr:uid="{00000000-0005-0000-0000-0000CD030000}"/>
    <cellStyle name="Normal 11 25 26" xfId="15674" xr:uid="{00000000-0005-0000-0000-0000CE030000}"/>
    <cellStyle name="Normal 11 25 27" xfId="14253" xr:uid="{00000000-0005-0000-0000-0000CF030000}"/>
    <cellStyle name="Normal 11 25 28" xfId="12700" xr:uid="{00000000-0005-0000-0000-0000D0030000}"/>
    <cellStyle name="Normal 11 25 29" xfId="8287" xr:uid="{00000000-0005-0000-0000-0000D1030000}"/>
    <cellStyle name="Normal 11 25 3" xfId="27636" xr:uid="{00000000-0005-0000-0000-0000D2030000}"/>
    <cellStyle name="Normal 11 25 30" xfId="7994" xr:uid="{00000000-0005-0000-0000-0000D3030000}"/>
    <cellStyle name="Normal 11 25 31" xfId="6999" xr:uid="{00000000-0005-0000-0000-0000D4030000}"/>
    <cellStyle name="Normal 11 25 32" xfId="5690" xr:uid="{00000000-0005-0000-0000-0000D5030000}"/>
    <cellStyle name="Normal 11 25 33" xfId="9782" xr:uid="{00000000-0005-0000-0000-0000D6030000}"/>
    <cellStyle name="Normal 11 25 34" xfId="5055" xr:uid="{00000000-0005-0000-0000-0000D7030000}"/>
    <cellStyle name="Normal 11 25 35" xfId="11139" xr:uid="{00000000-0005-0000-0000-0000D8030000}"/>
    <cellStyle name="Normal 11 25 36" xfId="5180" xr:uid="{00000000-0005-0000-0000-0000D9030000}"/>
    <cellStyle name="Normal 11 25 37" xfId="5801" xr:uid="{00000000-0005-0000-0000-0000DA030000}"/>
    <cellStyle name="Normal 11 25 38" xfId="9847" xr:uid="{00000000-0005-0000-0000-0000DB030000}"/>
    <cellStyle name="Normal 11 25 39" xfId="8845" xr:uid="{00000000-0005-0000-0000-0000DC030000}"/>
    <cellStyle name="Normal 11 25 4" xfId="27039" xr:uid="{00000000-0005-0000-0000-0000DD030000}"/>
    <cellStyle name="Normal 11 25 40" xfId="10504" xr:uid="{00000000-0005-0000-0000-0000DE030000}"/>
    <cellStyle name="Normal 11 25 41" xfId="4413" xr:uid="{00000000-0005-0000-0000-0000DF030000}"/>
    <cellStyle name="Normal 11 25 42" xfId="10879" xr:uid="{00000000-0005-0000-0000-0000E0030000}"/>
    <cellStyle name="Normal 11 25 43" xfId="3228" xr:uid="{00000000-0005-0000-0000-0000E1030000}"/>
    <cellStyle name="Normal 11 25 5" xfId="26443" xr:uid="{00000000-0005-0000-0000-0000E2030000}"/>
    <cellStyle name="Normal 11 25 6" xfId="25847" xr:uid="{00000000-0005-0000-0000-0000E3030000}"/>
    <cellStyle name="Normal 11 25 7" xfId="25250" xr:uid="{00000000-0005-0000-0000-0000E4030000}"/>
    <cellStyle name="Normal 11 25 8" xfId="24653" xr:uid="{00000000-0005-0000-0000-0000E5030000}"/>
    <cellStyle name="Normal 11 25 9" xfId="24056" xr:uid="{00000000-0005-0000-0000-0000E6030000}"/>
    <cellStyle name="Normal 11 26" xfId="28831" xr:uid="{00000000-0005-0000-0000-0000E7030000}"/>
    <cellStyle name="Normal 11 26 10" xfId="23458" xr:uid="{00000000-0005-0000-0000-0000E8030000}"/>
    <cellStyle name="Normal 11 26 11" xfId="22861" xr:uid="{00000000-0005-0000-0000-0000E9030000}"/>
    <cellStyle name="Normal 11 26 12" xfId="22265" xr:uid="{00000000-0005-0000-0000-0000EA030000}"/>
    <cellStyle name="Normal 11 26 13" xfId="21668" xr:uid="{00000000-0005-0000-0000-0000EB030000}"/>
    <cellStyle name="Normal 11 26 14" xfId="21071" xr:uid="{00000000-0005-0000-0000-0000EC030000}"/>
    <cellStyle name="Normal 11 26 15" xfId="20474" xr:uid="{00000000-0005-0000-0000-0000ED030000}"/>
    <cellStyle name="Normal 11 26 16" xfId="19878" xr:uid="{00000000-0005-0000-0000-0000EE030000}"/>
    <cellStyle name="Normal 11 26 17" xfId="19282" xr:uid="{00000000-0005-0000-0000-0000EF030000}"/>
    <cellStyle name="Normal 11 26 18" xfId="18687" xr:uid="{00000000-0005-0000-0000-0000F0030000}"/>
    <cellStyle name="Normal 11 26 19" xfId="18091" xr:uid="{00000000-0005-0000-0000-0000F1030000}"/>
    <cellStyle name="Normal 11 26 2" xfId="28232" xr:uid="{00000000-0005-0000-0000-0000F2030000}"/>
    <cellStyle name="Normal 11 26 20" xfId="16329" xr:uid="{00000000-0005-0000-0000-0000F3030000}"/>
    <cellStyle name="Normal 11 26 21" xfId="14235" xr:uid="{00000000-0005-0000-0000-0000F4030000}"/>
    <cellStyle name="Normal 11 26 22" xfId="14329" xr:uid="{00000000-0005-0000-0000-0000F5030000}"/>
    <cellStyle name="Normal 11 26 23" xfId="14855" xr:uid="{00000000-0005-0000-0000-0000F6030000}"/>
    <cellStyle name="Normal 11 26 24" xfId="14035" xr:uid="{00000000-0005-0000-0000-0000F7030000}"/>
    <cellStyle name="Normal 11 26 25" xfId="17447" xr:uid="{00000000-0005-0000-0000-0000F8030000}"/>
    <cellStyle name="Normal 11 26 26" xfId="16460" xr:uid="{00000000-0005-0000-0000-0000F9030000}"/>
    <cellStyle name="Normal 11 26 27" xfId="13410" xr:uid="{00000000-0005-0000-0000-0000FA030000}"/>
    <cellStyle name="Normal 11 26 28" xfId="12699" xr:uid="{00000000-0005-0000-0000-0000FB030000}"/>
    <cellStyle name="Normal 11 26 29" xfId="8502" xr:uid="{00000000-0005-0000-0000-0000FC030000}"/>
    <cellStyle name="Normal 11 26 3" xfId="27635" xr:uid="{00000000-0005-0000-0000-0000FD030000}"/>
    <cellStyle name="Normal 11 26 30" xfId="9359" xr:uid="{00000000-0005-0000-0000-0000FE030000}"/>
    <cellStyle name="Normal 11 26 31" xfId="9497" xr:uid="{00000000-0005-0000-0000-0000FF030000}"/>
    <cellStyle name="Normal 11 26 32" xfId="11075" xr:uid="{00000000-0005-0000-0000-000000040000}"/>
    <cellStyle name="Normal 11 26 33" xfId="5883" xr:uid="{00000000-0005-0000-0000-000001040000}"/>
    <cellStyle name="Normal 11 26 34" xfId="10667" xr:uid="{00000000-0005-0000-0000-000002040000}"/>
    <cellStyle name="Normal 11 26 35" xfId="10158" xr:uid="{00000000-0005-0000-0000-000003040000}"/>
    <cellStyle name="Normal 11 26 36" xfId="7227" xr:uid="{00000000-0005-0000-0000-000004040000}"/>
    <cellStyle name="Normal 11 26 37" xfId="9288" xr:uid="{00000000-0005-0000-0000-000005040000}"/>
    <cellStyle name="Normal 11 26 38" xfId="8329" xr:uid="{00000000-0005-0000-0000-000006040000}"/>
    <cellStyle name="Normal 11 26 39" xfId="4101" xr:uid="{00000000-0005-0000-0000-000007040000}"/>
    <cellStyle name="Normal 11 26 4" xfId="27038" xr:uid="{00000000-0005-0000-0000-000008040000}"/>
    <cellStyle name="Normal 11 26 40" xfId="4737" xr:uid="{00000000-0005-0000-0000-000009040000}"/>
    <cellStyle name="Normal 11 26 41" xfId="6213" xr:uid="{00000000-0005-0000-0000-00000A040000}"/>
    <cellStyle name="Normal 11 26 42" xfId="11549" xr:uid="{00000000-0005-0000-0000-00000B040000}"/>
    <cellStyle name="Normal 11 26 43" xfId="4864" xr:uid="{00000000-0005-0000-0000-00000C040000}"/>
    <cellStyle name="Normal 11 26 5" xfId="26442" xr:uid="{00000000-0005-0000-0000-00000D040000}"/>
    <cellStyle name="Normal 11 26 6" xfId="25846" xr:uid="{00000000-0005-0000-0000-00000E040000}"/>
    <cellStyle name="Normal 11 26 7" xfId="25249" xr:uid="{00000000-0005-0000-0000-00000F040000}"/>
    <cellStyle name="Normal 11 26 8" xfId="24652" xr:uid="{00000000-0005-0000-0000-000010040000}"/>
    <cellStyle name="Normal 11 26 9" xfId="24055" xr:uid="{00000000-0005-0000-0000-000011040000}"/>
    <cellStyle name="Normal 11 27" xfId="28250" xr:uid="{00000000-0005-0000-0000-000012040000}"/>
    <cellStyle name="Normal 11 28" xfId="28163" xr:uid="{00000000-0005-0000-0000-000013040000}"/>
    <cellStyle name="Normal 11 29" xfId="27543" xr:uid="{00000000-0005-0000-0000-000014040000}"/>
    <cellStyle name="Normal 11 3" xfId="28830" xr:uid="{00000000-0005-0000-0000-000015040000}"/>
    <cellStyle name="Normal 11 3 10" xfId="23457" xr:uid="{00000000-0005-0000-0000-000016040000}"/>
    <cellStyle name="Normal 11 3 11" xfId="22860" xr:uid="{00000000-0005-0000-0000-000017040000}"/>
    <cellStyle name="Normal 11 3 12" xfId="22264" xr:uid="{00000000-0005-0000-0000-000018040000}"/>
    <cellStyle name="Normal 11 3 13" xfId="21667" xr:uid="{00000000-0005-0000-0000-000019040000}"/>
    <cellStyle name="Normal 11 3 14" xfId="21070" xr:uid="{00000000-0005-0000-0000-00001A040000}"/>
    <cellStyle name="Normal 11 3 15" xfId="20473" xr:uid="{00000000-0005-0000-0000-00001B040000}"/>
    <cellStyle name="Normal 11 3 16" xfId="19877" xr:uid="{00000000-0005-0000-0000-00001C040000}"/>
    <cellStyle name="Normal 11 3 17" xfId="19281" xr:uid="{00000000-0005-0000-0000-00001D040000}"/>
    <cellStyle name="Normal 11 3 18" xfId="18686" xr:uid="{00000000-0005-0000-0000-00001E040000}"/>
    <cellStyle name="Normal 11 3 19" xfId="18090" xr:uid="{00000000-0005-0000-0000-00001F040000}"/>
    <cellStyle name="Normal 11 3 2" xfId="28231" xr:uid="{00000000-0005-0000-0000-000020040000}"/>
    <cellStyle name="Normal 11 3 20" xfId="16519" xr:uid="{00000000-0005-0000-0000-000021040000}"/>
    <cellStyle name="Normal 11 3 21" xfId="17215" xr:uid="{00000000-0005-0000-0000-000022040000}"/>
    <cellStyle name="Normal 11 3 22" xfId="15363" xr:uid="{00000000-0005-0000-0000-000023040000}"/>
    <cellStyle name="Normal 11 3 23" xfId="14220" xr:uid="{00000000-0005-0000-0000-000024040000}"/>
    <cellStyle name="Normal 11 3 24" xfId="16423" xr:uid="{00000000-0005-0000-0000-000025040000}"/>
    <cellStyle name="Normal 11 3 25" xfId="14520" xr:uid="{00000000-0005-0000-0000-000026040000}"/>
    <cellStyle name="Normal 11 3 26" xfId="13234" xr:uid="{00000000-0005-0000-0000-000027040000}"/>
    <cellStyle name="Normal 11 3 27" xfId="15365" xr:uid="{00000000-0005-0000-0000-000028040000}"/>
    <cellStyle name="Normal 11 3 28" xfId="12698" xr:uid="{00000000-0005-0000-0000-000029040000}"/>
    <cellStyle name="Normal 11 3 29" xfId="8718" xr:uid="{00000000-0005-0000-0000-00002A040000}"/>
    <cellStyle name="Normal 11 3 3" xfId="27634" xr:uid="{00000000-0005-0000-0000-00002B040000}"/>
    <cellStyle name="Normal 11 3 30" xfId="8216" xr:uid="{00000000-0005-0000-0000-00002C040000}"/>
    <cellStyle name="Normal 11 3 31" xfId="10381" xr:uid="{00000000-0005-0000-0000-00002D040000}"/>
    <cellStyle name="Normal 11 3 32" xfId="7336" xr:uid="{00000000-0005-0000-0000-00002E040000}"/>
    <cellStyle name="Normal 11 3 33" xfId="5817" xr:uid="{00000000-0005-0000-0000-00002F040000}"/>
    <cellStyle name="Normal 11 3 34" xfId="11386" xr:uid="{00000000-0005-0000-0000-000030040000}"/>
    <cellStyle name="Normal 11 3 35" xfId="9773" xr:uid="{00000000-0005-0000-0000-000031040000}"/>
    <cellStyle name="Normal 11 3 36" xfId="6363" xr:uid="{00000000-0005-0000-0000-000032040000}"/>
    <cellStyle name="Normal 11 3 37" xfId="9120" xr:uid="{00000000-0005-0000-0000-000033040000}"/>
    <cellStyle name="Normal 11 3 38" xfId="4030" xr:uid="{00000000-0005-0000-0000-000034040000}"/>
    <cellStyle name="Normal 11 3 39" xfId="7387" xr:uid="{00000000-0005-0000-0000-000035040000}"/>
    <cellStyle name="Normal 11 3 4" xfId="27037" xr:uid="{00000000-0005-0000-0000-000036040000}"/>
    <cellStyle name="Normal 11 3 40" xfId="4414" xr:uid="{00000000-0005-0000-0000-000037040000}"/>
    <cellStyle name="Normal 11 3 41" xfId="7743" xr:uid="{00000000-0005-0000-0000-000038040000}"/>
    <cellStyle name="Normal 11 3 42" xfId="3897" xr:uid="{00000000-0005-0000-0000-000039040000}"/>
    <cellStyle name="Normal 11 3 43" xfId="6284" xr:uid="{00000000-0005-0000-0000-00003A040000}"/>
    <cellStyle name="Normal 11 3 44" xfId="3069" xr:uid="{00000000-0005-0000-0000-00003B040000}"/>
    <cellStyle name="Normal 11 3 45" xfId="2825" xr:uid="{00000000-0005-0000-0000-00003C040000}"/>
    <cellStyle name="Normal 11 3 46" xfId="2585" xr:uid="{00000000-0005-0000-0000-00003D040000}"/>
    <cellStyle name="Normal 11 3 47" xfId="2345" xr:uid="{00000000-0005-0000-0000-00003E040000}"/>
    <cellStyle name="Normal 11 3 48" xfId="2105" xr:uid="{00000000-0005-0000-0000-00003F040000}"/>
    <cellStyle name="Normal 11 3 49" xfId="1865" xr:uid="{00000000-0005-0000-0000-000040040000}"/>
    <cellStyle name="Normal 11 3 5" xfId="26441" xr:uid="{00000000-0005-0000-0000-000041040000}"/>
    <cellStyle name="Normal 11 3 50" xfId="1626" xr:uid="{00000000-0005-0000-0000-000042040000}"/>
    <cellStyle name="Normal 11 3 51" xfId="1386" xr:uid="{00000000-0005-0000-0000-000043040000}"/>
    <cellStyle name="Normal 11 3 52" xfId="1146" xr:uid="{00000000-0005-0000-0000-000044040000}"/>
    <cellStyle name="Normal 11 3 53" xfId="906" xr:uid="{00000000-0005-0000-0000-000045040000}"/>
    <cellStyle name="Normal 11 3 54" xfId="666" xr:uid="{00000000-0005-0000-0000-000046040000}"/>
    <cellStyle name="Normal 11 3 55" xfId="426" xr:uid="{00000000-0005-0000-0000-000047040000}"/>
    <cellStyle name="Normal 11 3 56" xfId="187" xr:uid="{00000000-0005-0000-0000-000048040000}"/>
    <cellStyle name="Normal 11 3 6" xfId="25845" xr:uid="{00000000-0005-0000-0000-000049040000}"/>
    <cellStyle name="Normal 11 3 7" xfId="25248" xr:uid="{00000000-0005-0000-0000-00004A040000}"/>
    <cellStyle name="Normal 11 3 8" xfId="24651" xr:uid="{00000000-0005-0000-0000-00004B040000}"/>
    <cellStyle name="Normal 11 3 9" xfId="24054" xr:uid="{00000000-0005-0000-0000-00004C040000}"/>
    <cellStyle name="Normal 11 30" xfId="26946" xr:uid="{00000000-0005-0000-0000-00004D040000}"/>
    <cellStyle name="Normal 11 31" xfId="26350" xr:uid="{00000000-0005-0000-0000-00004E040000}"/>
    <cellStyle name="Normal 11 32" xfId="25754" xr:uid="{00000000-0005-0000-0000-00004F040000}"/>
    <cellStyle name="Normal 11 33" xfId="25157" xr:uid="{00000000-0005-0000-0000-000050040000}"/>
    <cellStyle name="Normal 11 34" xfId="24560" xr:uid="{00000000-0005-0000-0000-000051040000}"/>
    <cellStyle name="Normal 11 35" xfId="23963" xr:uid="{00000000-0005-0000-0000-000052040000}"/>
    <cellStyle name="Normal 11 36" xfId="23366" xr:uid="{00000000-0005-0000-0000-000053040000}"/>
    <cellStyle name="Normal 11 37" xfId="22769" xr:uid="{00000000-0005-0000-0000-000054040000}"/>
    <cellStyle name="Normal 11 38" xfId="22173" xr:uid="{00000000-0005-0000-0000-000055040000}"/>
    <cellStyle name="Normal 11 39" xfId="21576" xr:uid="{00000000-0005-0000-0000-000056040000}"/>
    <cellStyle name="Normal 11 4" xfId="28829" xr:uid="{00000000-0005-0000-0000-000057040000}"/>
    <cellStyle name="Normal 11 4 10" xfId="23456" xr:uid="{00000000-0005-0000-0000-000058040000}"/>
    <cellStyle name="Normal 11 4 11" xfId="22859" xr:uid="{00000000-0005-0000-0000-000059040000}"/>
    <cellStyle name="Normal 11 4 12" xfId="22263" xr:uid="{00000000-0005-0000-0000-00005A040000}"/>
    <cellStyle name="Normal 11 4 13" xfId="21666" xr:uid="{00000000-0005-0000-0000-00005B040000}"/>
    <cellStyle name="Normal 11 4 14" xfId="21069" xr:uid="{00000000-0005-0000-0000-00005C040000}"/>
    <cellStyle name="Normal 11 4 15" xfId="20472" xr:uid="{00000000-0005-0000-0000-00005D040000}"/>
    <cellStyle name="Normal 11 4 16" xfId="19876" xr:uid="{00000000-0005-0000-0000-00005E040000}"/>
    <cellStyle name="Normal 11 4 17" xfId="19280" xr:uid="{00000000-0005-0000-0000-00005F040000}"/>
    <cellStyle name="Normal 11 4 18" xfId="18685" xr:uid="{00000000-0005-0000-0000-000060040000}"/>
    <cellStyle name="Normal 11 4 19" xfId="18089" xr:uid="{00000000-0005-0000-0000-000061040000}"/>
    <cellStyle name="Normal 11 4 2" xfId="28230" xr:uid="{00000000-0005-0000-0000-000062040000}"/>
    <cellStyle name="Normal 11 4 20" xfId="16713" xr:uid="{00000000-0005-0000-0000-000063040000}"/>
    <cellStyle name="Normal 11 4 21" xfId="16798" xr:uid="{00000000-0005-0000-0000-000064040000}"/>
    <cellStyle name="Normal 11 4 22" xfId="16391" xr:uid="{00000000-0005-0000-0000-000065040000}"/>
    <cellStyle name="Normal 11 4 23" xfId="17264" xr:uid="{00000000-0005-0000-0000-000066040000}"/>
    <cellStyle name="Normal 11 4 24" xfId="16166" xr:uid="{00000000-0005-0000-0000-000067040000}"/>
    <cellStyle name="Normal 11 4 25" xfId="15846" xr:uid="{00000000-0005-0000-0000-000068040000}"/>
    <cellStyle name="Normal 11 4 26" xfId="13157" xr:uid="{00000000-0005-0000-0000-000069040000}"/>
    <cellStyle name="Normal 11 4 27" xfId="12981" xr:uid="{00000000-0005-0000-0000-00006A040000}"/>
    <cellStyle name="Normal 11 4 28" xfId="12697" xr:uid="{00000000-0005-0000-0000-00006B040000}"/>
    <cellStyle name="Normal 11 4 29" xfId="8956" xr:uid="{00000000-0005-0000-0000-00006C040000}"/>
    <cellStyle name="Normal 11 4 3" xfId="27633" xr:uid="{00000000-0005-0000-0000-00006D040000}"/>
    <cellStyle name="Normal 11 4 30" xfId="11597" xr:uid="{00000000-0005-0000-0000-00006E040000}"/>
    <cellStyle name="Normal 11 4 31" xfId="8785" xr:uid="{00000000-0005-0000-0000-00006F040000}"/>
    <cellStyle name="Normal 11 4 32" xfId="12049" xr:uid="{00000000-0005-0000-0000-000070040000}"/>
    <cellStyle name="Normal 11 4 33" xfId="8277" xr:uid="{00000000-0005-0000-0000-000071040000}"/>
    <cellStyle name="Normal 11 4 34" xfId="8696" xr:uid="{00000000-0005-0000-0000-000072040000}"/>
    <cellStyle name="Normal 11 4 35" xfId="9173" xr:uid="{00000000-0005-0000-0000-000073040000}"/>
    <cellStyle name="Normal 11 4 36" xfId="7996" xr:uid="{00000000-0005-0000-0000-000074040000}"/>
    <cellStyle name="Normal 11 4 37" xfId="4834" xr:uid="{00000000-0005-0000-0000-000075040000}"/>
    <cellStyle name="Normal 11 4 38" xfId="4890" xr:uid="{00000000-0005-0000-0000-000076040000}"/>
    <cellStyle name="Normal 11 4 39" xfId="5843" xr:uid="{00000000-0005-0000-0000-000077040000}"/>
    <cellStyle name="Normal 11 4 4" xfId="27036" xr:uid="{00000000-0005-0000-0000-000078040000}"/>
    <cellStyle name="Normal 11 4 40" xfId="3821" xr:uid="{00000000-0005-0000-0000-000079040000}"/>
    <cellStyle name="Normal 11 4 41" xfId="3534" xr:uid="{00000000-0005-0000-0000-00007A040000}"/>
    <cellStyle name="Normal 11 4 42" xfId="4635" xr:uid="{00000000-0005-0000-0000-00007B040000}"/>
    <cellStyle name="Normal 11 4 43" xfId="4301" xr:uid="{00000000-0005-0000-0000-00007C040000}"/>
    <cellStyle name="Normal 11 4 44" xfId="3068" xr:uid="{00000000-0005-0000-0000-00007D040000}"/>
    <cellStyle name="Normal 11 4 45" xfId="2824" xr:uid="{00000000-0005-0000-0000-00007E040000}"/>
    <cellStyle name="Normal 11 4 46" xfId="2584" xr:uid="{00000000-0005-0000-0000-00007F040000}"/>
    <cellStyle name="Normal 11 4 47" xfId="2344" xr:uid="{00000000-0005-0000-0000-000080040000}"/>
    <cellStyle name="Normal 11 4 48" xfId="2104" xr:uid="{00000000-0005-0000-0000-000081040000}"/>
    <cellStyle name="Normal 11 4 49" xfId="1864" xr:uid="{00000000-0005-0000-0000-000082040000}"/>
    <cellStyle name="Normal 11 4 5" xfId="26440" xr:uid="{00000000-0005-0000-0000-000083040000}"/>
    <cellStyle name="Normal 11 4 50" xfId="1625" xr:uid="{00000000-0005-0000-0000-000084040000}"/>
    <cellStyle name="Normal 11 4 51" xfId="1385" xr:uid="{00000000-0005-0000-0000-000085040000}"/>
    <cellStyle name="Normal 11 4 52" xfId="1145" xr:uid="{00000000-0005-0000-0000-000086040000}"/>
    <cellStyle name="Normal 11 4 53" xfId="905" xr:uid="{00000000-0005-0000-0000-000087040000}"/>
    <cellStyle name="Normal 11 4 54" xfId="665" xr:uid="{00000000-0005-0000-0000-000088040000}"/>
    <cellStyle name="Normal 11 4 55" xfId="425" xr:uid="{00000000-0005-0000-0000-000089040000}"/>
    <cellStyle name="Normal 11 4 56" xfId="186" xr:uid="{00000000-0005-0000-0000-00008A040000}"/>
    <cellStyle name="Normal 11 4 6" xfId="25844" xr:uid="{00000000-0005-0000-0000-00008B040000}"/>
    <cellStyle name="Normal 11 4 7" xfId="25247" xr:uid="{00000000-0005-0000-0000-00008C040000}"/>
    <cellStyle name="Normal 11 4 8" xfId="24650" xr:uid="{00000000-0005-0000-0000-00008D040000}"/>
    <cellStyle name="Normal 11 4 9" xfId="24053" xr:uid="{00000000-0005-0000-0000-00008E040000}"/>
    <cellStyle name="Normal 11 40" xfId="20979" xr:uid="{00000000-0005-0000-0000-00008F040000}"/>
    <cellStyle name="Normal 11 41" xfId="20382" xr:uid="{00000000-0005-0000-0000-000090040000}"/>
    <cellStyle name="Normal 11 42" xfId="19786" xr:uid="{00000000-0005-0000-0000-000091040000}"/>
    <cellStyle name="Normal 11 43" xfId="19190" xr:uid="{00000000-0005-0000-0000-000092040000}"/>
    <cellStyle name="Normal 11 44" xfId="18109" xr:uid="{00000000-0005-0000-0000-000093040000}"/>
    <cellStyle name="Normal 11 45" xfId="16127" xr:uid="{00000000-0005-0000-0000-000094040000}"/>
    <cellStyle name="Normal 11 46" xfId="14838" xr:uid="{00000000-0005-0000-0000-000095040000}"/>
    <cellStyle name="Normal 11 47" xfId="14039" xr:uid="{00000000-0005-0000-0000-000096040000}"/>
    <cellStyle name="Normal 11 48" xfId="14422" xr:uid="{00000000-0005-0000-0000-000097040000}"/>
    <cellStyle name="Normal 11 49" xfId="16427" xr:uid="{00000000-0005-0000-0000-000098040000}"/>
    <cellStyle name="Normal 11 5" xfId="28828" xr:uid="{00000000-0005-0000-0000-000099040000}"/>
    <cellStyle name="Normal 11 5 10" xfId="23455" xr:uid="{00000000-0005-0000-0000-00009A040000}"/>
    <cellStyle name="Normal 11 5 11" xfId="22858" xr:uid="{00000000-0005-0000-0000-00009B040000}"/>
    <cellStyle name="Normal 11 5 12" xfId="22262" xr:uid="{00000000-0005-0000-0000-00009C040000}"/>
    <cellStyle name="Normal 11 5 13" xfId="21665" xr:uid="{00000000-0005-0000-0000-00009D040000}"/>
    <cellStyle name="Normal 11 5 14" xfId="21068" xr:uid="{00000000-0005-0000-0000-00009E040000}"/>
    <cellStyle name="Normal 11 5 15" xfId="20471" xr:uid="{00000000-0005-0000-0000-00009F040000}"/>
    <cellStyle name="Normal 11 5 16" xfId="19875" xr:uid="{00000000-0005-0000-0000-0000A0040000}"/>
    <cellStyle name="Normal 11 5 17" xfId="19279" xr:uid="{00000000-0005-0000-0000-0000A1040000}"/>
    <cellStyle name="Normal 11 5 18" xfId="18684" xr:uid="{00000000-0005-0000-0000-0000A2040000}"/>
    <cellStyle name="Normal 11 5 19" xfId="18088" xr:uid="{00000000-0005-0000-0000-0000A3040000}"/>
    <cellStyle name="Normal 11 5 2" xfId="28229" xr:uid="{00000000-0005-0000-0000-0000A4040000}"/>
    <cellStyle name="Normal 11 5 20" xfId="16910" xr:uid="{00000000-0005-0000-0000-0000A5040000}"/>
    <cellStyle name="Normal 11 5 21" xfId="17200" xr:uid="{00000000-0005-0000-0000-0000A6040000}"/>
    <cellStyle name="Normal 11 5 22" xfId="15603" xr:uid="{00000000-0005-0000-0000-0000A7040000}"/>
    <cellStyle name="Normal 11 5 23" xfId="14607" xr:uid="{00000000-0005-0000-0000-0000A8040000}"/>
    <cellStyle name="Normal 11 5 24" xfId="13519" xr:uid="{00000000-0005-0000-0000-0000A9040000}"/>
    <cellStyle name="Normal 11 5 25" xfId="15430" xr:uid="{00000000-0005-0000-0000-0000AA040000}"/>
    <cellStyle name="Normal 11 5 26" xfId="14770" xr:uid="{00000000-0005-0000-0000-0000AB040000}"/>
    <cellStyle name="Normal 11 5 27" xfId="15714" xr:uid="{00000000-0005-0000-0000-0000AC040000}"/>
    <cellStyle name="Normal 11 5 28" xfId="12696" xr:uid="{00000000-0005-0000-0000-0000AD040000}"/>
    <cellStyle name="Normal 11 5 29" xfId="9191" xr:uid="{00000000-0005-0000-0000-0000AE040000}"/>
    <cellStyle name="Normal 11 5 3" xfId="27632" xr:uid="{00000000-0005-0000-0000-0000AF040000}"/>
    <cellStyle name="Normal 11 5 30" xfId="8854" xr:uid="{00000000-0005-0000-0000-0000B0040000}"/>
    <cellStyle name="Normal 11 5 31" xfId="6329" xr:uid="{00000000-0005-0000-0000-0000B1040000}"/>
    <cellStyle name="Normal 11 5 32" xfId="6360" xr:uid="{00000000-0005-0000-0000-0000B2040000}"/>
    <cellStyle name="Normal 11 5 33" xfId="11507" xr:uid="{00000000-0005-0000-0000-0000B3040000}"/>
    <cellStyle name="Normal 11 5 34" xfId="8194" xr:uid="{00000000-0005-0000-0000-0000B4040000}"/>
    <cellStyle name="Normal 11 5 35" xfId="10886" xr:uid="{00000000-0005-0000-0000-0000B5040000}"/>
    <cellStyle name="Normal 11 5 36" xfId="11890" xr:uid="{00000000-0005-0000-0000-0000B6040000}"/>
    <cellStyle name="Normal 11 5 37" xfId="5846" xr:uid="{00000000-0005-0000-0000-0000B7040000}"/>
    <cellStyle name="Normal 11 5 38" xfId="9185" xr:uid="{00000000-0005-0000-0000-0000B8040000}"/>
    <cellStyle name="Normal 11 5 39" xfId="4237" xr:uid="{00000000-0005-0000-0000-0000B9040000}"/>
    <cellStyle name="Normal 11 5 4" xfId="27035" xr:uid="{00000000-0005-0000-0000-0000BA040000}"/>
    <cellStyle name="Normal 11 5 40" xfId="3705" xr:uid="{00000000-0005-0000-0000-0000BB040000}"/>
    <cellStyle name="Normal 11 5 41" xfId="9136" xr:uid="{00000000-0005-0000-0000-0000BC040000}"/>
    <cellStyle name="Normal 11 5 42" xfId="6907" xr:uid="{00000000-0005-0000-0000-0000BD040000}"/>
    <cellStyle name="Normal 11 5 43" xfId="3290" xr:uid="{00000000-0005-0000-0000-0000BE040000}"/>
    <cellStyle name="Normal 11 5 44" xfId="3067" xr:uid="{00000000-0005-0000-0000-0000BF040000}"/>
    <cellStyle name="Normal 11 5 45" xfId="2823" xr:uid="{00000000-0005-0000-0000-0000C0040000}"/>
    <cellStyle name="Normal 11 5 46" xfId="2583" xr:uid="{00000000-0005-0000-0000-0000C1040000}"/>
    <cellStyle name="Normal 11 5 47" xfId="2343" xr:uid="{00000000-0005-0000-0000-0000C2040000}"/>
    <cellStyle name="Normal 11 5 48" xfId="2103" xr:uid="{00000000-0005-0000-0000-0000C3040000}"/>
    <cellStyle name="Normal 11 5 49" xfId="1863" xr:uid="{00000000-0005-0000-0000-0000C4040000}"/>
    <cellStyle name="Normal 11 5 5" xfId="26439" xr:uid="{00000000-0005-0000-0000-0000C5040000}"/>
    <cellStyle name="Normal 11 5 50" xfId="1624" xr:uid="{00000000-0005-0000-0000-0000C6040000}"/>
    <cellStyle name="Normal 11 5 51" xfId="1384" xr:uid="{00000000-0005-0000-0000-0000C7040000}"/>
    <cellStyle name="Normal 11 5 52" xfId="1144" xr:uid="{00000000-0005-0000-0000-0000C8040000}"/>
    <cellStyle name="Normal 11 5 53" xfId="904" xr:uid="{00000000-0005-0000-0000-0000C9040000}"/>
    <cellStyle name="Normal 11 5 54" xfId="664" xr:uid="{00000000-0005-0000-0000-0000CA040000}"/>
    <cellStyle name="Normal 11 5 55" xfId="424" xr:uid="{00000000-0005-0000-0000-0000CB040000}"/>
    <cellStyle name="Normal 11 5 56" xfId="185" xr:uid="{00000000-0005-0000-0000-0000CC040000}"/>
    <cellStyle name="Normal 11 5 6" xfId="25843" xr:uid="{00000000-0005-0000-0000-0000CD040000}"/>
    <cellStyle name="Normal 11 5 7" xfId="25246" xr:uid="{00000000-0005-0000-0000-0000CE040000}"/>
    <cellStyle name="Normal 11 5 8" xfId="24649" xr:uid="{00000000-0005-0000-0000-0000CF040000}"/>
    <cellStyle name="Normal 11 5 9" xfId="24052" xr:uid="{00000000-0005-0000-0000-0000D0040000}"/>
    <cellStyle name="Normal 11 50" xfId="13839" xr:uid="{00000000-0005-0000-0000-0000D1040000}"/>
    <cellStyle name="Normal 11 51" xfId="13300" xr:uid="{00000000-0005-0000-0000-0000D2040000}"/>
    <cellStyle name="Normal 11 52" xfId="14681" xr:uid="{00000000-0005-0000-0000-0000D3040000}"/>
    <cellStyle name="Normal 11 53" xfId="12717" xr:uid="{00000000-0005-0000-0000-0000D4040000}"/>
    <cellStyle name="Normal 11 54" xfId="10337" xr:uid="{00000000-0005-0000-0000-0000D5040000}"/>
    <cellStyle name="Normal 11 55" xfId="10416" xr:uid="{00000000-0005-0000-0000-0000D6040000}"/>
    <cellStyle name="Normal 11 56" xfId="7795" xr:uid="{00000000-0005-0000-0000-0000D7040000}"/>
    <cellStyle name="Normal 11 57" xfId="11966" xr:uid="{00000000-0005-0000-0000-0000D8040000}"/>
    <cellStyle name="Normal 11 58" xfId="5912" xr:uid="{00000000-0005-0000-0000-0000D9040000}"/>
    <cellStyle name="Normal 11 59" xfId="10133" xr:uid="{00000000-0005-0000-0000-0000DA040000}"/>
    <cellStyle name="Normal 11 6" xfId="28827" xr:uid="{00000000-0005-0000-0000-0000DB040000}"/>
    <cellStyle name="Normal 11 6 10" xfId="23454" xr:uid="{00000000-0005-0000-0000-0000DC040000}"/>
    <cellStyle name="Normal 11 6 11" xfId="22857" xr:uid="{00000000-0005-0000-0000-0000DD040000}"/>
    <cellStyle name="Normal 11 6 12" xfId="22261" xr:uid="{00000000-0005-0000-0000-0000DE040000}"/>
    <cellStyle name="Normal 11 6 13" xfId="21664" xr:uid="{00000000-0005-0000-0000-0000DF040000}"/>
    <cellStyle name="Normal 11 6 14" xfId="21067" xr:uid="{00000000-0005-0000-0000-0000E0040000}"/>
    <cellStyle name="Normal 11 6 15" xfId="20470" xr:uid="{00000000-0005-0000-0000-0000E1040000}"/>
    <cellStyle name="Normal 11 6 16" xfId="19874" xr:uid="{00000000-0005-0000-0000-0000E2040000}"/>
    <cellStyle name="Normal 11 6 17" xfId="19278" xr:uid="{00000000-0005-0000-0000-0000E3040000}"/>
    <cellStyle name="Normal 11 6 18" xfId="18683" xr:uid="{00000000-0005-0000-0000-0000E4040000}"/>
    <cellStyle name="Normal 11 6 19" xfId="18087" xr:uid="{00000000-0005-0000-0000-0000E5040000}"/>
    <cellStyle name="Normal 11 6 2" xfId="28228" xr:uid="{00000000-0005-0000-0000-0000E6040000}"/>
    <cellStyle name="Normal 11 6 20" xfId="17117" xr:uid="{00000000-0005-0000-0000-0000E7040000}"/>
    <cellStyle name="Normal 11 6 21" xfId="14203" xr:uid="{00000000-0005-0000-0000-0000E8040000}"/>
    <cellStyle name="Normal 11 6 22" xfId="16773" xr:uid="{00000000-0005-0000-0000-0000E9040000}"/>
    <cellStyle name="Normal 11 6 23" xfId="15288" xr:uid="{00000000-0005-0000-0000-0000EA040000}"/>
    <cellStyle name="Normal 11 6 24" xfId="16752" xr:uid="{00000000-0005-0000-0000-0000EB040000}"/>
    <cellStyle name="Normal 11 6 25" xfId="16366" xr:uid="{00000000-0005-0000-0000-0000EC040000}"/>
    <cellStyle name="Normal 11 6 26" xfId="14443" xr:uid="{00000000-0005-0000-0000-0000ED040000}"/>
    <cellStyle name="Normal 11 6 27" xfId="17406" xr:uid="{00000000-0005-0000-0000-0000EE040000}"/>
    <cellStyle name="Normal 11 6 28" xfId="12695" xr:uid="{00000000-0005-0000-0000-0000EF040000}"/>
    <cellStyle name="Normal 11 6 29" xfId="9424" xr:uid="{00000000-0005-0000-0000-0000F0040000}"/>
    <cellStyle name="Normal 11 6 3" xfId="27631" xr:uid="{00000000-0005-0000-0000-0000F1040000}"/>
    <cellStyle name="Normal 11 6 30" xfId="9083" xr:uid="{00000000-0005-0000-0000-0000F2040000}"/>
    <cellStyle name="Normal 11 6 31" xfId="10436" xr:uid="{00000000-0005-0000-0000-0000F3040000}"/>
    <cellStyle name="Normal 11 6 32" xfId="5764" xr:uid="{00000000-0005-0000-0000-0000F4040000}"/>
    <cellStyle name="Normal 11 6 33" xfId="5882" xr:uid="{00000000-0005-0000-0000-0000F5040000}"/>
    <cellStyle name="Normal 11 6 34" xfId="11266" xr:uid="{00000000-0005-0000-0000-0000F6040000}"/>
    <cellStyle name="Normal 11 6 35" xfId="4832" xr:uid="{00000000-0005-0000-0000-0000F7040000}"/>
    <cellStyle name="Normal 11 6 36" xfId="7483" xr:uid="{00000000-0005-0000-0000-0000F8040000}"/>
    <cellStyle name="Normal 11 6 37" xfId="6042" xr:uid="{00000000-0005-0000-0000-0000F9040000}"/>
    <cellStyle name="Normal 11 6 38" xfId="5092" xr:uid="{00000000-0005-0000-0000-0000FA040000}"/>
    <cellStyle name="Normal 11 6 39" xfId="4705" xr:uid="{00000000-0005-0000-0000-0000FB040000}"/>
    <cellStyle name="Normal 11 6 4" xfId="27034" xr:uid="{00000000-0005-0000-0000-0000FC040000}"/>
    <cellStyle name="Normal 11 6 40" xfId="8270" xr:uid="{00000000-0005-0000-0000-0000FD040000}"/>
    <cellStyle name="Normal 11 6 41" xfId="6201" xr:uid="{00000000-0005-0000-0000-0000FE040000}"/>
    <cellStyle name="Normal 11 6 42" xfId="8352" xr:uid="{00000000-0005-0000-0000-0000FF040000}"/>
    <cellStyle name="Normal 11 6 43" xfId="10304" xr:uid="{00000000-0005-0000-0000-000000050000}"/>
    <cellStyle name="Normal 11 6 44" xfId="3066" xr:uid="{00000000-0005-0000-0000-000001050000}"/>
    <cellStyle name="Normal 11 6 45" xfId="2822" xr:uid="{00000000-0005-0000-0000-000002050000}"/>
    <cellStyle name="Normal 11 6 46" xfId="2582" xr:uid="{00000000-0005-0000-0000-000003050000}"/>
    <cellStyle name="Normal 11 6 47" xfId="2342" xr:uid="{00000000-0005-0000-0000-000004050000}"/>
    <cellStyle name="Normal 11 6 48" xfId="2102" xr:uid="{00000000-0005-0000-0000-000005050000}"/>
    <cellStyle name="Normal 11 6 49" xfId="1862" xr:uid="{00000000-0005-0000-0000-000006050000}"/>
    <cellStyle name="Normal 11 6 5" xfId="26438" xr:uid="{00000000-0005-0000-0000-000007050000}"/>
    <cellStyle name="Normal 11 6 50" xfId="1623" xr:uid="{00000000-0005-0000-0000-000008050000}"/>
    <cellStyle name="Normal 11 6 51" xfId="1383" xr:uid="{00000000-0005-0000-0000-000009050000}"/>
    <cellStyle name="Normal 11 6 52" xfId="1143" xr:uid="{00000000-0005-0000-0000-00000A050000}"/>
    <cellStyle name="Normal 11 6 53" xfId="903" xr:uid="{00000000-0005-0000-0000-00000B050000}"/>
    <cellStyle name="Normal 11 6 54" xfId="663" xr:uid="{00000000-0005-0000-0000-00000C050000}"/>
    <cellStyle name="Normal 11 6 55" xfId="423" xr:uid="{00000000-0005-0000-0000-00000D050000}"/>
    <cellStyle name="Normal 11 6 56" xfId="184" xr:uid="{00000000-0005-0000-0000-00000E050000}"/>
    <cellStyle name="Normal 11 6 6" xfId="25842" xr:uid="{00000000-0005-0000-0000-00000F050000}"/>
    <cellStyle name="Normal 11 6 7" xfId="25245" xr:uid="{00000000-0005-0000-0000-000010050000}"/>
    <cellStyle name="Normal 11 6 8" xfId="24648" xr:uid="{00000000-0005-0000-0000-000011050000}"/>
    <cellStyle name="Normal 11 6 9" xfId="24051" xr:uid="{00000000-0005-0000-0000-000012050000}"/>
    <cellStyle name="Normal 11 60" xfId="9753" xr:uid="{00000000-0005-0000-0000-000013050000}"/>
    <cellStyle name="Normal 11 61" xfId="9250" xr:uid="{00000000-0005-0000-0000-000014050000}"/>
    <cellStyle name="Normal 11 62" xfId="7505" xr:uid="{00000000-0005-0000-0000-000015050000}"/>
    <cellStyle name="Normal 11 63" xfId="10552" xr:uid="{00000000-0005-0000-0000-000016050000}"/>
    <cellStyle name="Normal 11 64" xfId="10561" xr:uid="{00000000-0005-0000-0000-000017050000}"/>
    <cellStyle name="Normal 11 65" xfId="6497" xr:uid="{00000000-0005-0000-0000-000018050000}"/>
    <cellStyle name="Normal 11 66" xfId="11183" xr:uid="{00000000-0005-0000-0000-000019050000}"/>
    <cellStyle name="Normal 11 67" xfId="4672" xr:uid="{00000000-0005-0000-0000-00001A050000}"/>
    <cellStyle name="Normal 11 68" xfId="4451" xr:uid="{00000000-0005-0000-0000-00001B050000}"/>
    <cellStyle name="Normal 11 69" xfId="3073" xr:uid="{00000000-0005-0000-0000-00001C050000}"/>
    <cellStyle name="Normal 11 7" xfId="28826" xr:uid="{00000000-0005-0000-0000-00001D050000}"/>
    <cellStyle name="Normal 11 7 10" xfId="23453" xr:uid="{00000000-0005-0000-0000-00001E050000}"/>
    <cellStyle name="Normal 11 7 11" xfId="22856" xr:uid="{00000000-0005-0000-0000-00001F050000}"/>
    <cellStyle name="Normal 11 7 12" xfId="22260" xr:uid="{00000000-0005-0000-0000-000020050000}"/>
    <cellStyle name="Normal 11 7 13" xfId="21663" xr:uid="{00000000-0005-0000-0000-000021050000}"/>
    <cellStyle name="Normal 11 7 14" xfId="21066" xr:uid="{00000000-0005-0000-0000-000022050000}"/>
    <cellStyle name="Normal 11 7 15" xfId="20469" xr:uid="{00000000-0005-0000-0000-000023050000}"/>
    <cellStyle name="Normal 11 7 16" xfId="19873" xr:uid="{00000000-0005-0000-0000-000024050000}"/>
    <cellStyle name="Normal 11 7 17" xfId="19277" xr:uid="{00000000-0005-0000-0000-000025050000}"/>
    <cellStyle name="Normal 11 7 18" xfId="18682" xr:uid="{00000000-0005-0000-0000-000026050000}"/>
    <cellStyle name="Normal 11 7 19" xfId="18086" xr:uid="{00000000-0005-0000-0000-000027050000}"/>
    <cellStyle name="Normal 11 7 2" xfId="28227" xr:uid="{00000000-0005-0000-0000-000028050000}"/>
    <cellStyle name="Normal 11 7 20" xfId="17310" xr:uid="{00000000-0005-0000-0000-000029050000}"/>
    <cellStyle name="Normal 11 7 21" xfId="17174" xr:uid="{00000000-0005-0000-0000-00002A050000}"/>
    <cellStyle name="Normal 11 7 22" xfId="16173" xr:uid="{00000000-0005-0000-0000-00002B050000}"/>
    <cellStyle name="Normal 11 7 23" xfId="17288" xr:uid="{00000000-0005-0000-0000-00002C050000}"/>
    <cellStyle name="Normal 11 7 24" xfId="17251" xr:uid="{00000000-0005-0000-0000-00002D050000}"/>
    <cellStyle name="Normal 11 7 25" xfId="13307" xr:uid="{00000000-0005-0000-0000-00002E050000}"/>
    <cellStyle name="Normal 11 7 26" xfId="16657" xr:uid="{00000000-0005-0000-0000-00002F050000}"/>
    <cellStyle name="Normal 11 7 27" xfId="17394" xr:uid="{00000000-0005-0000-0000-000030050000}"/>
    <cellStyle name="Normal 11 7 28" xfId="12694" xr:uid="{00000000-0005-0000-0000-000031050000}"/>
    <cellStyle name="Normal 11 7 29" xfId="9644" xr:uid="{00000000-0005-0000-0000-000032050000}"/>
    <cellStyle name="Normal 11 7 3" xfId="27630" xr:uid="{00000000-0005-0000-0000-000033050000}"/>
    <cellStyle name="Normal 11 7 30" xfId="9308" xr:uid="{00000000-0005-0000-0000-000034050000}"/>
    <cellStyle name="Normal 11 7 31" xfId="8625" xr:uid="{00000000-0005-0000-0000-000035050000}"/>
    <cellStyle name="Normal 11 7 32" xfId="11581" xr:uid="{00000000-0005-0000-0000-000036050000}"/>
    <cellStyle name="Normal 11 7 33" xfId="5640" xr:uid="{00000000-0005-0000-0000-000037050000}"/>
    <cellStyle name="Normal 11 7 34" xfId="8603" xr:uid="{00000000-0005-0000-0000-000038050000}"/>
    <cellStyle name="Normal 11 7 35" xfId="9749" xr:uid="{00000000-0005-0000-0000-000039050000}"/>
    <cellStyle name="Normal 11 7 36" xfId="5819" xr:uid="{00000000-0005-0000-0000-00003A050000}"/>
    <cellStyle name="Normal 11 7 37" xfId="7967" xr:uid="{00000000-0005-0000-0000-00003B050000}"/>
    <cellStyle name="Normal 11 7 38" xfId="7690" xr:uid="{00000000-0005-0000-0000-00003C050000}"/>
    <cellStyle name="Normal 11 7 39" xfId="3723" xr:uid="{00000000-0005-0000-0000-00003D050000}"/>
    <cellStyle name="Normal 11 7 4" xfId="27033" xr:uid="{00000000-0005-0000-0000-00003E050000}"/>
    <cellStyle name="Normal 11 7 40" xfId="5504" xr:uid="{00000000-0005-0000-0000-00003F050000}"/>
    <cellStyle name="Normal 11 7 41" xfId="6096" xr:uid="{00000000-0005-0000-0000-000040050000}"/>
    <cellStyle name="Normal 11 7 42" xfId="8315" xr:uid="{00000000-0005-0000-0000-000041050000}"/>
    <cellStyle name="Normal 11 7 43" xfId="3246" xr:uid="{00000000-0005-0000-0000-000042050000}"/>
    <cellStyle name="Normal 11 7 44" xfId="3065" xr:uid="{00000000-0005-0000-0000-000043050000}"/>
    <cellStyle name="Normal 11 7 45" xfId="2821" xr:uid="{00000000-0005-0000-0000-000044050000}"/>
    <cellStyle name="Normal 11 7 46" xfId="2581" xr:uid="{00000000-0005-0000-0000-000045050000}"/>
    <cellStyle name="Normal 11 7 47" xfId="2341" xr:uid="{00000000-0005-0000-0000-000046050000}"/>
    <cellStyle name="Normal 11 7 48" xfId="2101" xr:uid="{00000000-0005-0000-0000-000047050000}"/>
    <cellStyle name="Normal 11 7 49" xfId="1861" xr:uid="{00000000-0005-0000-0000-000048050000}"/>
    <cellStyle name="Normal 11 7 5" xfId="26437" xr:uid="{00000000-0005-0000-0000-000049050000}"/>
    <cellStyle name="Normal 11 7 50" xfId="1622" xr:uid="{00000000-0005-0000-0000-00004A050000}"/>
    <cellStyle name="Normal 11 7 51" xfId="1382" xr:uid="{00000000-0005-0000-0000-00004B050000}"/>
    <cellStyle name="Normal 11 7 52" xfId="1142" xr:uid="{00000000-0005-0000-0000-00004C050000}"/>
    <cellStyle name="Normal 11 7 53" xfId="902" xr:uid="{00000000-0005-0000-0000-00004D050000}"/>
    <cellStyle name="Normal 11 7 54" xfId="662" xr:uid="{00000000-0005-0000-0000-00004E050000}"/>
    <cellStyle name="Normal 11 7 55" xfId="422" xr:uid="{00000000-0005-0000-0000-00004F050000}"/>
    <cellStyle name="Normal 11 7 56" xfId="183" xr:uid="{00000000-0005-0000-0000-000050050000}"/>
    <cellStyle name="Normal 11 7 6" xfId="25841" xr:uid="{00000000-0005-0000-0000-000051050000}"/>
    <cellStyle name="Normal 11 7 7" xfId="25244" xr:uid="{00000000-0005-0000-0000-000052050000}"/>
    <cellStyle name="Normal 11 7 8" xfId="24647" xr:uid="{00000000-0005-0000-0000-000053050000}"/>
    <cellStyle name="Normal 11 7 9" xfId="24050" xr:uid="{00000000-0005-0000-0000-000054050000}"/>
    <cellStyle name="Normal 11 70" xfId="2829" xr:uid="{00000000-0005-0000-0000-000055050000}"/>
    <cellStyle name="Normal 11 71" xfId="2589" xr:uid="{00000000-0005-0000-0000-000056050000}"/>
    <cellStyle name="Normal 11 72" xfId="2349" xr:uid="{00000000-0005-0000-0000-000057050000}"/>
    <cellStyle name="Normal 11 73" xfId="2109" xr:uid="{00000000-0005-0000-0000-000058050000}"/>
    <cellStyle name="Normal 11 74" xfId="1869" xr:uid="{00000000-0005-0000-0000-000059050000}"/>
    <cellStyle name="Normal 11 75" xfId="1630" xr:uid="{00000000-0005-0000-0000-00005A050000}"/>
    <cellStyle name="Normal 11 76" xfId="1390" xr:uid="{00000000-0005-0000-0000-00005B050000}"/>
    <cellStyle name="Normal 11 77" xfId="1150" xr:uid="{00000000-0005-0000-0000-00005C050000}"/>
    <cellStyle name="Normal 11 78" xfId="910" xr:uid="{00000000-0005-0000-0000-00005D050000}"/>
    <cellStyle name="Normal 11 79" xfId="670" xr:uid="{00000000-0005-0000-0000-00005E050000}"/>
    <cellStyle name="Normal 11 8" xfId="28825" xr:uid="{00000000-0005-0000-0000-00005F050000}"/>
    <cellStyle name="Normal 11 8 10" xfId="23452" xr:uid="{00000000-0005-0000-0000-000060050000}"/>
    <cellStyle name="Normal 11 8 11" xfId="22855" xr:uid="{00000000-0005-0000-0000-000061050000}"/>
    <cellStyle name="Normal 11 8 12" xfId="22259" xr:uid="{00000000-0005-0000-0000-000062050000}"/>
    <cellStyle name="Normal 11 8 13" xfId="21662" xr:uid="{00000000-0005-0000-0000-000063050000}"/>
    <cellStyle name="Normal 11 8 14" xfId="21065" xr:uid="{00000000-0005-0000-0000-000064050000}"/>
    <cellStyle name="Normal 11 8 15" xfId="20468" xr:uid="{00000000-0005-0000-0000-000065050000}"/>
    <cellStyle name="Normal 11 8 16" xfId="19872" xr:uid="{00000000-0005-0000-0000-000066050000}"/>
    <cellStyle name="Normal 11 8 17" xfId="19276" xr:uid="{00000000-0005-0000-0000-000067050000}"/>
    <cellStyle name="Normal 11 8 18" xfId="18681" xr:uid="{00000000-0005-0000-0000-000068050000}"/>
    <cellStyle name="Normal 11 8 19" xfId="18085" xr:uid="{00000000-0005-0000-0000-000069050000}"/>
    <cellStyle name="Normal 11 8 2" xfId="28226" xr:uid="{00000000-0005-0000-0000-00006A050000}"/>
    <cellStyle name="Normal 11 8 20" xfId="14143" xr:uid="{00000000-0005-0000-0000-00006B050000}"/>
    <cellStyle name="Normal 11 8 21" xfId="16757" xr:uid="{00000000-0005-0000-0000-00006C050000}"/>
    <cellStyle name="Normal 11 8 22" xfId="16194" xr:uid="{00000000-0005-0000-0000-00006D050000}"/>
    <cellStyle name="Normal 11 8 23" xfId="16290" xr:uid="{00000000-0005-0000-0000-00006E050000}"/>
    <cellStyle name="Normal 11 8 24" xfId="15201" xr:uid="{00000000-0005-0000-0000-00006F050000}"/>
    <cellStyle name="Normal 11 8 25" xfId="16709" xr:uid="{00000000-0005-0000-0000-000070050000}"/>
    <cellStyle name="Normal 11 8 26" xfId="16020" xr:uid="{00000000-0005-0000-0000-000071050000}"/>
    <cellStyle name="Normal 11 8 27" xfId="16022" xr:uid="{00000000-0005-0000-0000-000072050000}"/>
    <cellStyle name="Normal 11 8 28" xfId="12693" xr:uid="{00000000-0005-0000-0000-000073050000}"/>
    <cellStyle name="Normal 11 8 29" xfId="9875" xr:uid="{00000000-0005-0000-0000-000074050000}"/>
    <cellStyle name="Normal 11 8 3" xfId="27629" xr:uid="{00000000-0005-0000-0000-000075050000}"/>
    <cellStyle name="Normal 11 8 30" xfId="9757" xr:uid="{00000000-0005-0000-0000-000076050000}"/>
    <cellStyle name="Normal 11 8 31" xfId="7076" xr:uid="{00000000-0005-0000-0000-000077050000}"/>
    <cellStyle name="Normal 11 8 32" xfId="6185" xr:uid="{00000000-0005-0000-0000-000078050000}"/>
    <cellStyle name="Normal 11 8 33" xfId="7128" xr:uid="{00000000-0005-0000-0000-000079050000}"/>
    <cellStyle name="Normal 11 8 34" xfId="6639" xr:uid="{00000000-0005-0000-0000-00007A050000}"/>
    <cellStyle name="Normal 11 8 35" xfId="5260" xr:uid="{00000000-0005-0000-0000-00007B050000}"/>
    <cellStyle name="Normal 11 8 36" xfId="5928" xr:uid="{00000000-0005-0000-0000-00007C050000}"/>
    <cellStyle name="Normal 11 8 37" xfId="5580" xr:uid="{00000000-0005-0000-0000-00007D050000}"/>
    <cellStyle name="Normal 11 8 38" xfId="5560" xr:uid="{00000000-0005-0000-0000-00007E050000}"/>
    <cellStyle name="Normal 11 8 39" xfId="4572" xr:uid="{00000000-0005-0000-0000-00007F050000}"/>
    <cellStyle name="Normal 11 8 4" xfId="27032" xr:uid="{00000000-0005-0000-0000-000080050000}"/>
    <cellStyle name="Normal 11 8 40" xfId="3717" xr:uid="{00000000-0005-0000-0000-000081050000}"/>
    <cellStyle name="Normal 11 8 41" xfId="8685" xr:uid="{00000000-0005-0000-0000-000082050000}"/>
    <cellStyle name="Normal 11 8 42" xfId="6178" xr:uid="{00000000-0005-0000-0000-000083050000}"/>
    <cellStyle name="Normal 11 8 43" xfId="5932" xr:uid="{00000000-0005-0000-0000-000084050000}"/>
    <cellStyle name="Normal 11 8 44" xfId="3064" xr:uid="{00000000-0005-0000-0000-000085050000}"/>
    <cellStyle name="Normal 11 8 45" xfId="2820" xr:uid="{00000000-0005-0000-0000-000086050000}"/>
    <cellStyle name="Normal 11 8 46" xfId="2580" xr:uid="{00000000-0005-0000-0000-000087050000}"/>
    <cellStyle name="Normal 11 8 47" xfId="2340" xr:uid="{00000000-0005-0000-0000-000088050000}"/>
    <cellStyle name="Normal 11 8 48" xfId="2100" xr:uid="{00000000-0005-0000-0000-000089050000}"/>
    <cellStyle name="Normal 11 8 49" xfId="1860" xr:uid="{00000000-0005-0000-0000-00008A050000}"/>
    <cellStyle name="Normal 11 8 5" xfId="26436" xr:uid="{00000000-0005-0000-0000-00008B050000}"/>
    <cellStyle name="Normal 11 8 50" xfId="1621" xr:uid="{00000000-0005-0000-0000-00008C050000}"/>
    <cellStyle name="Normal 11 8 51" xfId="1381" xr:uid="{00000000-0005-0000-0000-00008D050000}"/>
    <cellStyle name="Normal 11 8 52" xfId="1141" xr:uid="{00000000-0005-0000-0000-00008E050000}"/>
    <cellStyle name="Normal 11 8 53" xfId="901" xr:uid="{00000000-0005-0000-0000-00008F050000}"/>
    <cellStyle name="Normal 11 8 54" xfId="661" xr:uid="{00000000-0005-0000-0000-000090050000}"/>
    <cellStyle name="Normal 11 8 55" xfId="421" xr:uid="{00000000-0005-0000-0000-000091050000}"/>
    <cellStyle name="Normal 11 8 56" xfId="182" xr:uid="{00000000-0005-0000-0000-000092050000}"/>
    <cellStyle name="Normal 11 8 6" xfId="25840" xr:uid="{00000000-0005-0000-0000-000093050000}"/>
    <cellStyle name="Normal 11 8 7" xfId="25243" xr:uid="{00000000-0005-0000-0000-000094050000}"/>
    <cellStyle name="Normal 11 8 8" xfId="24646" xr:uid="{00000000-0005-0000-0000-000095050000}"/>
    <cellStyle name="Normal 11 8 9" xfId="24049" xr:uid="{00000000-0005-0000-0000-000096050000}"/>
    <cellStyle name="Normal 11 80" xfId="430" xr:uid="{00000000-0005-0000-0000-000097050000}"/>
    <cellStyle name="Normal 11 81" xfId="191" xr:uid="{00000000-0005-0000-0000-000098050000}"/>
    <cellStyle name="Normal 11 9" xfId="28824" xr:uid="{00000000-0005-0000-0000-000099050000}"/>
    <cellStyle name="Normal 11 9 10" xfId="23451" xr:uid="{00000000-0005-0000-0000-00009A050000}"/>
    <cellStyle name="Normal 11 9 11" xfId="22854" xr:uid="{00000000-0005-0000-0000-00009B050000}"/>
    <cellStyle name="Normal 11 9 12" xfId="22258" xr:uid="{00000000-0005-0000-0000-00009C050000}"/>
    <cellStyle name="Normal 11 9 13" xfId="21661" xr:uid="{00000000-0005-0000-0000-00009D050000}"/>
    <cellStyle name="Normal 11 9 14" xfId="21064" xr:uid="{00000000-0005-0000-0000-00009E050000}"/>
    <cellStyle name="Normal 11 9 15" xfId="20467" xr:uid="{00000000-0005-0000-0000-00009F050000}"/>
    <cellStyle name="Normal 11 9 16" xfId="19871" xr:uid="{00000000-0005-0000-0000-0000A0050000}"/>
    <cellStyle name="Normal 11 9 17" xfId="19275" xr:uid="{00000000-0005-0000-0000-0000A1050000}"/>
    <cellStyle name="Normal 11 9 18" xfId="18680" xr:uid="{00000000-0005-0000-0000-0000A2050000}"/>
    <cellStyle name="Normal 11 9 19" xfId="18084" xr:uid="{00000000-0005-0000-0000-0000A3050000}"/>
    <cellStyle name="Normal 11 9 2" xfId="28225" xr:uid="{00000000-0005-0000-0000-0000A4050000}"/>
    <cellStyle name="Normal 11 9 20" xfId="14332" xr:uid="{00000000-0005-0000-0000-0000A5050000}"/>
    <cellStyle name="Normal 11 9 21" xfId="13954" xr:uid="{00000000-0005-0000-0000-0000A6050000}"/>
    <cellStyle name="Normal 11 9 22" xfId="13577" xr:uid="{00000000-0005-0000-0000-0000A7050000}"/>
    <cellStyle name="Normal 11 9 23" xfId="13419" xr:uid="{00000000-0005-0000-0000-0000A8050000}"/>
    <cellStyle name="Normal 11 9 24" xfId="15042" xr:uid="{00000000-0005-0000-0000-0000A9050000}"/>
    <cellStyle name="Normal 11 9 25" xfId="13893" xr:uid="{00000000-0005-0000-0000-0000AA050000}"/>
    <cellStyle name="Normal 11 9 26" xfId="14487" xr:uid="{00000000-0005-0000-0000-0000AB050000}"/>
    <cellStyle name="Normal 11 9 27" xfId="16029" xr:uid="{00000000-0005-0000-0000-0000AC050000}"/>
    <cellStyle name="Normal 11 9 28" xfId="12692" xr:uid="{00000000-0005-0000-0000-0000AD050000}"/>
    <cellStyle name="Normal 11 9 29" xfId="10110" xr:uid="{00000000-0005-0000-0000-0000AE050000}"/>
    <cellStyle name="Normal 11 9 3" xfId="27628" xr:uid="{00000000-0005-0000-0000-0000AF050000}"/>
    <cellStyle name="Normal 11 9 30" xfId="9968" xr:uid="{00000000-0005-0000-0000-0000B0050000}"/>
    <cellStyle name="Normal 11 9 31" xfId="6291" xr:uid="{00000000-0005-0000-0000-0000B1050000}"/>
    <cellStyle name="Normal 11 9 32" xfId="10183" xr:uid="{00000000-0005-0000-0000-0000B2050000}"/>
    <cellStyle name="Normal 11 9 33" xfId="5720" xr:uid="{00000000-0005-0000-0000-0000B3050000}"/>
    <cellStyle name="Normal 11 9 34" xfId="6269" xr:uid="{00000000-0005-0000-0000-0000B4050000}"/>
    <cellStyle name="Normal 11 9 35" xfId="8210" xr:uid="{00000000-0005-0000-0000-0000B5050000}"/>
    <cellStyle name="Normal 11 9 36" xfId="5285" xr:uid="{00000000-0005-0000-0000-0000B6050000}"/>
    <cellStyle name="Normal 11 9 37" xfId="4783" xr:uid="{00000000-0005-0000-0000-0000B7050000}"/>
    <cellStyle name="Normal 11 9 38" xfId="11761" xr:uid="{00000000-0005-0000-0000-0000B8050000}"/>
    <cellStyle name="Normal 11 9 39" xfId="8017" xr:uid="{00000000-0005-0000-0000-0000B9050000}"/>
    <cellStyle name="Normal 11 9 4" xfId="27031" xr:uid="{00000000-0005-0000-0000-0000BA050000}"/>
    <cellStyle name="Normal 11 9 40" xfId="3825" xr:uid="{00000000-0005-0000-0000-0000BB050000}"/>
    <cellStyle name="Normal 11 9 41" xfId="12104" xr:uid="{00000000-0005-0000-0000-0000BC050000}"/>
    <cellStyle name="Normal 11 9 42" xfId="9474" xr:uid="{00000000-0005-0000-0000-0000BD050000}"/>
    <cellStyle name="Normal 11 9 43" xfId="4044" xr:uid="{00000000-0005-0000-0000-0000BE050000}"/>
    <cellStyle name="Normal 11 9 44" xfId="3063" xr:uid="{00000000-0005-0000-0000-0000BF050000}"/>
    <cellStyle name="Normal 11 9 45" xfId="2819" xr:uid="{00000000-0005-0000-0000-0000C0050000}"/>
    <cellStyle name="Normal 11 9 46" xfId="2579" xr:uid="{00000000-0005-0000-0000-0000C1050000}"/>
    <cellStyle name="Normal 11 9 47" xfId="2339" xr:uid="{00000000-0005-0000-0000-0000C2050000}"/>
    <cellStyle name="Normal 11 9 48" xfId="2099" xr:uid="{00000000-0005-0000-0000-0000C3050000}"/>
    <cellStyle name="Normal 11 9 49" xfId="1859" xr:uid="{00000000-0005-0000-0000-0000C4050000}"/>
    <cellStyle name="Normal 11 9 5" xfId="26435" xr:uid="{00000000-0005-0000-0000-0000C5050000}"/>
    <cellStyle name="Normal 11 9 50" xfId="1620" xr:uid="{00000000-0005-0000-0000-0000C6050000}"/>
    <cellStyle name="Normal 11 9 51" xfId="1380" xr:uid="{00000000-0005-0000-0000-0000C7050000}"/>
    <cellStyle name="Normal 11 9 52" xfId="1140" xr:uid="{00000000-0005-0000-0000-0000C8050000}"/>
    <cellStyle name="Normal 11 9 53" xfId="900" xr:uid="{00000000-0005-0000-0000-0000C9050000}"/>
    <cellStyle name="Normal 11 9 54" xfId="660" xr:uid="{00000000-0005-0000-0000-0000CA050000}"/>
    <cellStyle name="Normal 11 9 55" xfId="420" xr:uid="{00000000-0005-0000-0000-0000CB050000}"/>
    <cellStyle name="Normal 11 9 56" xfId="181" xr:uid="{00000000-0005-0000-0000-0000CC050000}"/>
    <cellStyle name="Normal 11 9 6" xfId="25839" xr:uid="{00000000-0005-0000-0000-0000CD050000}"/>
    <cellStyle name="Normal 11 9 7" xfId="25242" xr:uid="{00000000-0005-0000-0000-0000CE050000}"/>
    <cellStyle name="Normal 11 9 8" xfId="24645" xr:uid="{00000000-0005-0000-0000-0000CF050000}"/>
    <cellStyle name="Normal 11 9 9" xfId="24048" xr:uid="{00000000-0005-0000-0000-0000D0050000}"/>
    <cellStyle name="Normal 12" xfId="27653" xr:uid="{00000000-0005-0000-0000-0000D1050000}"/>
    <cellStyle name="Normal 12 2" xfId="28823" xr:uid="{00000000-0005-0000-0000-0000D2050000}"/>
    <cellStyle name="Normal 12 2 10" xfId="23450" xr:uid="{00000000-0005-0000-0000-0000D3050000}"/>
    <cellStyle name="Normal 12 2 11" xfId="22853" xr:uid="{00000000-0005-0000-0000-0000D4050000}"/>
    <cellStyle name="Normal 12 2 12" xfId="22257" xr:uid="{00000000-0005-0000-0000-0000D5050000}"/>
    <cellStyle name="Normal 12 2 13" xfId="21660" xr:uid="{00000000-0005-0000-0000-0000D6050000}"/>
    <cellStyle name="Normal 12 2 14" xfId="21063" xr:uid="{00000000-0005-0000-0000-0000D7050000}"/>
    <cellStyle name="Normal 12 2 15" xfId="20466" xr:uid="{00000000-0005-0000-0000-0000D8050000}"/>
    <cellStyle name="Normal 12 2 16" xfId="19870" xr:uid="{00000000-0005-0000-0000-0000D9050000}"/>
    <cellStyle name="Normal 12 2 17" xfId="19274" xr:uid="{00000000-0005-0000-0000-0000DA050000}"/>
    <cellStyle name="Normal 12 2 18" xfId="18679" xr:uid="{00000000-0005-0000-0000-0000DB050000}"/>
    <cellStyle name="Normal 12 2 19" xfId="18083" xr:uid="{00000000-0005-0000-0000-0000DC050000}"/>
    <cellStyle name="Normal 12 2 2" xfId="28224" xr:uid="{00000000-0005-0000-0000-0000DD050000}"/>
    <cellStyle name="Normal 12 2 20" xfId="14523" xr:uid="{00000000-0005-0000-0000-0000DE050000}"/>
    <cellStyle name="Normal 12 2 21" xfId="14125" xr:uid="{00000000-0005-0000-0000-0000DF050000}"/>
    <cellStyle name="Normal 12 2 22" xfId="16608" xr:uid="{00000000-0005-0000-0000-0000E0050000}"/>
    <cellStyle name="Normal 12 2 23" xfId="14974" xr:uid="{00000000-0005-0000-0000-0000E1050000}"/>
    <cellStyle name="Normal 12 2 24" xfId="16905" xr:uid="{00000000-0005-0000-0000-0000E2050000}"/>
    <cellStyle name="Normal 12 2 25" xfId="16226" xr:uid="{00000000-0005-0000-0000-0000E3050000}"/>
    <cellStyle name="Normal 12 2 26" xfId="13896" xr:uid="{00000000-0005-0000-0000-0000E4050000}"/>
    <cellStyle name="Normal 12 2 27" xfId="14712" xr:uid="{00000000-0005-0000-0000-0000E5050000}"/>
    <cellStyle name="Normal 12 2 28" xfId="12691" xr:uid="{00000000-0005-0000-0000-0000E6050000}"/>
    <cellStyle name="Normal 12 2 29" xfId="10338" xr:uid="{00000000-0005-0000-0000-0000E7050000}"/>
    <cellStyle name="Normal 12 2 3" xfId="27627" xr:uid="{00000000-0005-0000-0000-0000E8050000}"/>
    <cellStyle name="Normal 12 2 30" xfId="9963" xr:uid="{00000000-0005-0000-0000-0000E9050000}"/>
    <cellStyle name="Normal 12 2 31" xfId="10293" xr:uid="{00000000-0005-0000-0000-0000EA050000}"/>
    <cellStyle name="Normal 12 2 32" xfId="10194" xr:uid="{00000000-0005-0000-0000-0000EB050000}"/>
    <cellStyle name="Normal 12 2 33" xfId="10710" xr:uid="{00000000-0005-0000-0000-0000EC050000}"/>
    <cellStyle name="Normal 12 2 34" xfId="9027" xr:uid="{00000000-0005-0000-0000-0000ED050000}"/>
    <cellStyle name="Normal 12 2 35" xfId="8035" xr:uid="{00000000-0005-0000-0000-0000EE050000}"/>
    <cellStyle name="Normal 12 2 36" xfId="10246" xr:uid="{00000000-0005-0000-0000-0000EF050000}"/>
    <cellStyle name="Normal 12 2 37" xfId="11131" xr:uid="{00000000-0005-0000-0000-0000F0050000}"/>
    <cellStyle name="Normal 12 2 38" xfId="8803" xr:uid="{00000000-0005-0000-0000-0000F1050000}"/>
    <cellStyle name="Normal 12 2 39" xfId="11158" xr:uid="{00000000-0005-0000-0000-0000F2050000}"/>
    <cellStyle name="Normal 12 2 4" xfId="27030" xr:uid="{00000000-0005-0000-0000-0000F3050000}"/>
    <cellStyle name="Normal 12 2 40" xfId="11129" xr:uid="{00000000-0005-0000-0000-0000F4050000}"/>
    <cellStyle name="Normal 12 2 41" xfId="10544" xr:uid="{00000000-0005-0000-0000-0000F5050000}"/>
    <cellStyle name="Normal 12 2 42" xfId="9527" xr:uid="{00000000-0005-0000-0000-0000F6050000}"/>
    <cellStyle name="Normal 12 2 43" xfId="3747" xr:uid="{00000000-0005-0000-0000-0000F7050000}"/>
    <cellStyle name="Normal 12 2 44" xfId="3062" xr:uid="{00000000-0005-0000-0000-0000F8050000}"/>
    <cellStyle name="Normal 12 2 45" xfId="2818" xr:uid="{00000000-0005-0000-0000-0000F9050000}"/>
    <cellStyle name="Normal 12 2 46" xfId="2578" xr:uid="{00000000-0005-0000-0000-0000FA050000}"/>
    <cellStyle name="Normal 12 2 47" xfId="2338" xr:uid="{00000000-0005-0000-0000-0000FB050000}"/>
    <cellStyle name="Normal 12 2 48" xfId="2098" xr:uid="{00000000-0005-0000-0000-0000FC050000}"/>
    <cellStyle name="Normal 12 2 49" xfId="1858" xr:uid="{00000000-0005-0000-0000-0000FD050000}"/>
    <cellStyle name="Normal 12 2 5" xfId="26434" xr:uid="{00000000-0005-0000-0000-0000FE050000}"/>
    <cellStyle name="Normal 12 2 50" xfId="1619" xr:uid="{00000000-0005-0000-0000-0000FF050000}"/>
    <cellStyle name="Normal 12 2 51" xfId="1379" xr:uid="{00000000-0005-0000-0000-000000060000}"/>
    <cellStyle name="Normal 12 2 52" xfId="1139" xr:uid="{00000000-0005-0000-0000-000001060000}"/>
    <cellStyle name="Normal 12 2 53" xfId="899" xr:uid="{00000000-0005-0000-0000-000002060000}"/>
    <cellStyle name="Normal 12 2 54" xfId="659" xr:uid="{00000000-0005-0000-0000-000003060000}"/>
    <cellStyle name="Normal 12 2 55" xfId="419" xr:uid="{00000000-0005-0000-0000-000004060000}"/>
    <cellStyle name="Normal 12 2 56" xfId="180" xr:uid="{00000000-0005-0000-0000-000005060000}"/>
    <cellStyle name="Normal 12 2 6" xfId="25838" xr:uid="{00000000-0005-0000-0000-000006060000}"/>
    <cellStyle name="Normal 12 2 7" xfId="25241" xr:uid="{00000000-0005-0000-0000-000007060000}"/>
    <cellStyle name="Normal 12 2 8" xfId="24644" xr:uid="{00000000-0005-0000-0000-000008060000}"/>
    <cellStyle name="Normal 12 2 9" xfId="24047" xr:uid="{00000000-0005-0000-0000-000009060000}"/>
    <cellStyle name="Normal 12 3" xfId="28822" xr:uid="{00000000-0005-0000-0000-00000A060000}"/>
    <cellStyle name="Normal 12 3 10" xfId="23449" xr:uid="{00000000-0005-0000-0000-00000B060000}"/>
    <cellStyle name="Normal 12 3 11" xfId="22852" xr:uid="{00000000-0005-0000-0000-00000C060000}"/>
    <cellStyle name="Normal 12 3 12" xfId="22256" xr:uid="{00000000-0005-0000-0000-00000D060000}"/>
    <cellStyle name="Normal 12 3 13" xfId="21659" xr:uid="{00000000-0005-0000-0000-00000E060000}"/>
    <cellStyle name="Normal 12 3 14" xfId="21062" xr:uid="{00000000-0005-0000-0000-00000F060000}"/>
    <cellStyle name="Normal 12 3 15" xfId="20465" xr:uid="{00000000-0005-0000-0000-000010060000}"/>
    <cellStyle name="Normal 12 3 16" xfId="19869" xr:uid="{00000000-0005-0000-0000-000011060000}"/>
    <cellStyle name="Normal 12 3 17" xfId="19273" xr:uid="{00000000-0005-0000-0000-000012060000}"/>
    <cellStyle name="Normal 12 3 18" xfId="18678" xr:uid="{00000000-0005-0000-0000-000013060000}"/>
    <cellStyle name="Normal 12 3 19" xfId="18082" xr:uid="{00000000-0005-0000-0000-000014060000}"/>
    <cellStyle name="Normal 12 3 2" xfId="28223" xr:uid="{00000000-0005-0000-0000-000015060000}"/>
    <cellStyle name="Normal 12 3 20" xfId="14720" xr:uid="{00000000-0005-0000-0000-000016060000}"/>
    <cellStyle name="Normal 12 3 21" xfId="16115" xr:uid="{00000000-0005-0000-0000-000017060000}"/>
    <cellStyle name="Normal 12 3 22" xfId="13649" xr:uid="{00000000-0005-0000-0000-000018060000}"/>
    <cellStyle name="Normal 12 3 23" xfId="13483" xr:uid="{00000000-0005-0000-0000-000019060000}"/>
    <cellStyle name="Normal 12 3 24" xfId="13139" xr:uid="{00000000-0005-0000-0000-00001A060000}"/>
    <cellStyle name="Normal 12 3 25" xfId="14306" xr:uid="{00000000-0005-0000-0000-00001B060000}"/>
    <cellStyle name="Normal 12 3 26" xfId="14966" xr:uid="{00000000-0005-0000-0000-00001C060000}"/>
    <cellStyle name="Normal 12 3 27" xfId="13288" xr:uid="{00000000-0005-0000-0000-00001D060000}"/>
    <cellStyle name="Normal 12 3 28" xfId="12690" xr:uid="{00000000-0005-0000-0000-00001E060000}"/>
    <cellStyle name="Normal 12 3 29" xfId="10566" xr:uid="{00000000-0005-0000-0000-00001F060000}"/>
    <cellStyle name="Normal 12 3 3" xfId="27626" xr:uid="{00000000-0005-0000-0000-000020060000}"/>
    <cellStyle name="Normal 12 3 30" xfId="10189" xr:uid="{00000000-0005-0000-0000-000021060000}"/>
    <cellStyle name="Normal 12 3 31" xfId="6075" xr:uid="{00000000-0005-0000-0000-000022060000}"/>
    <cellStyle name="Normal 12 3 32" xfId="7196" xr:uid="{00000000-0005-0000-0000-000023060000}"/>
    <cellStyle name="Normal 12 3 33" xfId="8563" xr:uid="{00000000-0005-0000-0000-000024060000}"/>
    <cellStyle name="Normal 12 3 34" xfId="4893" xr:uid="{00000000-0005-0000-0000-000025060000}"/>
    <cellStyle name="Normal 12 3 35" xfId="11993" xr:uid="{00000000-0005-0000-0000-000026060000}"/>
    <cellStyle name="Normal 12 3 36" xfId="5590" xr:uid="{00000000-0005-0000-0000-000027060000}"/>
    <cellStyle name="Normal 12 3 37" xfId="10238" xr:uid="{00000000-0005-0000-0000-000028060000}"/>
    <cellStyle name="Normal 12 3 38" xfId="9582" xr:uid="{00000000-0005-0000-0000-000029060000}"/>
    <cellStyle name="Normal 12 3 39" xfId="8241" xr:uid="{00000000-0005-0000-0000-00002A060000}"/>
    <cellStyle name="Normal 12 3 4" xfId="27029" xr:uid="{00000000-0005-0000-0000-00002B060000}"/>
    <cellStyle name="Normal 12 3 40" xfId="5715" xr:uid="{00000000-0005-0000-0000-00002C060000}"/>
    <cellStyle name="Normal 12 3 41" xfId="11712" xr:uid="{00000000-0005-0000-0000-00002D060000}"/>
    <cellStyle name="Normal 12 3 42" xfId="8982" xr:uid="{00000000-0005-0000-0000-00002E060000}"/>
    <cellStyle name="Normal 12 3 43" xfId="3839" xr:uid="{00000000-0005-0000-0000-00002F060000}"/>
    <cellStyle name="Normal 12 3 44" xfId="3061" xr:uid="{00000000-0005-0000-0000-000030060000}"/>
    <cellStyle name="Normal 12 3 45" xfId="2817" xr:uid="{00000000-0005-0000-0000-000031060000}"/>
    <cellStyle name="Normal 12 3 46" xfId="2577" xr:uid="{00000000-0005-0000-0000-000032060000}"/>
    <cellStyle name="Normal 12 3 47" xfId="2337" xr:uid="{00000000-0005-0000-0000-000033060000}"/>
    <cellStyle name="Normal 12 3 48" xfId="2097" xr:uid="{00000000-0005-0000-0000-000034060000}"/>
    <cellStyle name="Normal 12 3 49" xfId="1857" xr:uid="{00000000-0005-0000-0000-000035060000}"/>
    <cellStyle name="Normal 12 3 5" xfId="26433" xr:uid="{00000000-0005-0000-0000-000036060000}"/>
    <cellStyle name="Normal 12 3 50" xfId="1618" xr:uid="{00000000-0005-0000-0000-000037060000}"/>
    <cellStyle name="Normal 12 3 51" xfId="1378" xr:uid="{00000000-0005-0000-0000-000038060000}"/>
    <cellStyle name="Normal 12 3 52" xfId="1138" xr:uid="{00000000-0005-0000-0000-000039060000}"/>
    <cellStyle name="Normal 12 3 53" xfId="898" xr:uid="{00000000-0005-0000-0000-00003A060000}"/>
    <cellStyle name="Normal 12 3 54" xfId="658" xr:uid="{00000000-0005-0000-0000-00003B060000}"/>
    <cellStyle name="Normal 12 3 55" xfId="418" xr:uid="{00000000-0005-0000-0000-00003C060000}"/>
    <cellStyle name="Normal 12 3 56" xfId="179" xr:uid="{00000000-0005-0000-0000-00003D060000}"/>
    <cellStyle name="Normal 12 3 6" xfId="25837" xr:uid="{00000000-0005-0000-0000-00003E060000}"/>
    <cellStyle name="Normal 12 3 7" xfId="25240" xr:uid="{00000000-0005-0000-0000-00003F060000}"/>
    <cellStyle name="Normal 12 3 8" xfId="24643" xr:uid="{00000000-0005-0000-0000-000040060000}"/>
    <cellStyle name="Normal 12 3 9" xfId="24046" xr:uid="{00000000-0005-0000-0000-000041060000}"/>
    <cellStyle name="Normal 12 4" xfId="28821" xr:uid="{00000000-0005-0000-0000-000042060000}"/>
    <cellStyle name="Normal 12 4 10" xfId="23448" xr:uid="{00000000-0005-0000-0000-000043060000}"/>
    <cellStyle name="Normal 12 4 11" xfId="22851" xr:uid="{00000000-0005-0000-0000-000044060000}"/>
    <cellStyle name="Normal 12 4 12" xfId="22255" xr:uid="{00000000-0005-0000-0000-000045060000}"/>
    <cellStyle name="Normal 12 4 13" xfId="21658" xr:uid="{00000000-0005-0000-0000-000046060000}"/>
    <cellStyle name="Normal 12 4 14" xfId="21061" xr:uid="{00000000-0005-0000-0000-000047060000}"/>
    <cellStyle name="Normal 12 4 15" xfId="20464" xr:uid="{00000000-0005-0000-0000-000048060000}"/>
    <cellStyle name="Normal 12 4 16" xfId="19868" xr:uid="{00000000-0005-0000-0000-000049060000}"/>
    <cellStyle name="Normal 12 4 17" xfId="19272" xr:uid="{00000000-0005-0000-0000-00004A060000}"/>
    <cellStyle name="Normal 12 4 18" xfId="18677" xr:uid="{00000000-0005-0000-0000-00004B060000}"/>
    <cellStyle name="Normal 12 4 19" xfId="18081" xr:uid="{00000000-0005-0000-0000-00004C060000}"/>
    <cellStyle name="Normal 12 4 2" xfId="28222" xr:uid="{00000000-0005-0000-0000-00004D060000}"/>
    <cellStyle name="Normal 12 4 20" xfId="14922" xr:uid="{00000000-0005-0000-0000-00004E060000}"/>
    <cellStyle name="Normal 12 4 21" xfId="16102" xr:uid="{00000000-0005-0000-0000-00004F060000}"/>
    <cellStyle name="Normal 12 4 22" xfId="13789" xr:uid="{00000000-0005-0000-0000-000050060000}"/>
    <cellStyle name="Normal 12 4 23" xfId="13518" xr:uid="{00000000-0005-0000-0000-000051060000}"/>
    <cellStyle name="Normal 12 4 24" xfId="13203" xr:uid="{00000000-0005-0000-0000-000052060000}"/>
    <cellStyle name="Normal 12 4 25" xfId="13019" xr:uid="{00000000-0005-0000-0000-000053060000}"/>
    <cellStyle name="Normal 12 4 26" xfId="14322" xr:uid="{00000000-0005-0000-0000-000054060000}"/>
    <cellStyle name="Normal 12 4 27" xfId="13588" xr:uid="{00000000-0005-0000-0000-000055060000}"/>
    <cellStyle name="Normal 12 4 28" xfId="12689" xr:uid="{00000000-0005-0000-0000-000056060000}"/>
    <cellStyle name="Normal 12 4 29" xfId="10781" xr:uid="{00000000-0005-0000-0000-000057060000}"/>
    <cellStyle name="Normal 12 4 3" xfId="27625" xr:uid="{00000000-0005-0000-0000-000058060000}"/>
    <cellStyle name="Normal 12 4 30" xfId="10407" xr:uid="{00000000-0005-0000-0000-000059060000}"/>
    <cellStyle name="Normal 12 4 31" xfId="9375" xr:uid="{00000000-0005-0000-0000-00005A060000}"/>
    <cellStyle name="Normal 12 4 32" xfId="5517" xr:uid="{00000000-0005-0000-0000-00005B060000}"/>
    <cellStyle name="Normal 12 4 33" xfId="10208" xr:uid="{00000000-0005-0000-0000-00005C060000}"/>
    <cellStyle name="Normal 12 4 34" xfId="11796" xr:uid="{00000000-0005-0000-0000-00005D060000}"/>
    <cellStyle name="Normal 12 4 35" xfId="11060" xr:uid="{00000000-0005-0000-0000-00005E060000}"/>
    <cellStyle name="Normal 12 4 36" xfId="5039" xr:uid="{00000000-0005-0000-0000-00005F060000}"/>
    <cellStyle name="Normal 12 4 37" xfId="9298" xr:uid="{00000000-0005-0000-0000-000060060000}"/>
    <cellStyle name="Normal 12 4 38" xfId="8228" xr:uid="{00000000-0005-0000-0000-000061060000}"/>
    <cellStyle name="Normal 12 4 39" xfId="5481" xr:uid="{00000000-0005-0000-0000-000062060000}"/>
    <cellStyle name="Normal 12 4 4" xfId="27028" xr:uid="{00000000-0005-0000-0000-000063060000}"/>
    <cellStyle name="Normal 12 4 40" xfId="7814" xr:uid="{00000000-0005-0000-0000-000064060000}"/>
    <cellStyle name="Normal 12 4 41" xfId="9479" xr:uid="{00000000-0005-0000-0000-000065060000}"/>
    <cellStyle name="Normal 12 4 42" xfId="3902" xr:uid="{00000000-0005-0000-0000-000066060000}"/>
    <cellStyle name="Normal 12 4 43" xfId="8381" xr:uid="{00000000-0005-0000-0000-000067060000}"/>
    <cellStyle name="Normal 12 4 44" xfId="3060" xr:uid="{00000000-0005-0000-0000-000068060000}"/>
    <cellStyle name="Normal 12 4 45" xfId="2816" xr:uid="{00000000-0005-0000-0000-000069060000}"/>
    <cellStyle name="Normal 12 4 46" xfId="2576" xr:uid="{00000000-0005-0000-0000-00006A060000}"/>
    <cellStyle name="Normal 12 4 47" xfId="2336" xr:uid="{00000000-0005-0000-0000-00006B060000}"/>
    <cellStyle name="Normal 12 4 48" xfId="2096" xr:uid="{00000000-0005-0000-0000-00006C060000}"/>
    <cellStyle name="Normal 12 4 49" xfId="1856" xr:uid="{00000000-0005-0000-0000-00006D060000}"/>
    <cellStyle name="Normal 12 4 5" xfId="26432" xr:uid="{00000000-0005-0000-0000-00006E060000}"/>
    <cellStyle name="Normal 12 4 50" xfId="1617" xr:uid="{00000000-0005-0000-0000-00006F060000}"/>
    <cellStyle name="Normal 12 4 51" xfId="1377" xr:uid="{00000000-0005-0000-0000-000070060000}"/>
    <cellStyle name="Normal 12 4 52" xfId="1137" xr:uid="{00000000-0005-0000-0000-000071060000}"/>
    <cellStyle name="Normal 12 4 53" xfId="897" xr:uid="{00000000-0005-0000-0000-000072060000}"/>
    <cellStyle name="Normal 12 4 54" xfId="657" xr:uid="{00000000-0005-0000-0000-000073060000}"/>
    <cellStyle name="Normal 12 4 55" xfId="417" xr:uid="{00000000-0005-0000-0000-000074060000}"/>
    <cellStyle name="Normal 12 4 56" xfId="178" xr:uid="{00000000-0005-0000-0000-000075060000}"/>
    <cellStyle name="Normal 12 4 6" xfId="25836" xr:uid="{00000000-0005-0000-0000-000076060000}"/>
    <cellStyle name="Normal 12 4 7" xfId="25239" xr:uid="{00000000-0005-0000-0000-000077060000}"/>
    <cellStyle name="Normal 12 4 8" xfId="24642" xr:uid="{00000000-0005-0000-0000-000078060000}"/>
    <cellStyle name="Normal 12 4 9" xfId="24045" xr:uid="{00000000-0005-0000-0000-000079060000}"/>
    <cellStyle name="Normal 12 5" xfId="28820" xr:uid="{00000000-0005-0000-0000-00007A060000}"/>
    <cellStyle name="Normal 12 5 10" xfId="23447" xr:uid="{00000000-0005-0000-0000-00007B060000}"/>
    <cellStyle name="Normal 12 5 11" xfId="22850" xr:uid="{00000000-0005-0000-0000-00007C060000}"/>
    <cellStyle name="Normal 12 5 12" xfId="22254" xr:uid="{00000000-0005-0000-0000-00007D060000}"/>
    <cellStyle name="Normal 12 5 13" xfId="21657" xr:uid="{00000000-0005-0000-0000-00007E060000}"/>
    <cellStyle name="Normal 12 5 14" xfId="21060" xr:uid="{00000000-0005-0000-0000-00007F060000}"/>
    <cellStyle name="Normal 12 5 15" xfId="20463" xr:uid="{00000000-0005-0000-0000-000080060000}"/>
    <cellStyle name="Normal 12 5 16" xfId="19867" xr:uid="{00000000-0005-0000-0000-000081060000}"/>
    <cellStyle name="Normal 12 5 17" xfId="19271" xr:uid="{00000000-0005-0000-0000-000082060000}"/>
    <cellStyle name="Normal 12 5 18" xfId="18676" xr:uid="{00000000-0005-0000-0000-000083060000}"/>
    <cellStyle name="Normal 12 5 19" xfId="18080" xr:uid="{00000000-0005-0000-0000-000084060000}"/>
    <cellStyle name="Normal 12 5 2" xfId="28221" xr:uid="{00000000-0005-0000-0000-000085060000}"/>
    <cellStyle name="Normal 12 5 20" xfId="15129" xr:uid="{00000000-0005-0000-0000-000086060000}"/>
    <cellStyle name="Normal 12 5 21" xfId="15888" xr:uid="{00000000-0005-0000-0000-000087060000}"/>
    <cellStyle name="Normal 12 5 22" xfId="13937" xr:uid="{00000000-0005-0000-0000-000088060000}"/>
    <cellStyle name="Normal 12 5 23" xfId="16450" xr:uid="{00000000-0005-0000-0000-000089060000}"/>
    <cellStyle name="Normal 12 5 24" xfId="13199" xr:uid="{00000000-0005-0000-0000-00008A060000}"/>
    <cellStyle name="Normal 12 5 25" xfId="12991" xr:uid="{00000000-0005-0000-0000-00008B060000}"/>
    <cellStyle name="Normal 12 5 26" xfId="12810" xr:uid="{00000000-0005-0000-0000-00008C060000}"/>
    <cellStyle name="Normal 12 5 27" xfId="17226" xr:uid="{00000000-0005-0000-0000-00008D060000}"/>
    <cellStyle name="Normal 12 5 28" xfId="12688" xr:uid="{00000000-0005-0000-0000-00008E060000}"/>
    <cellStyle name="Normal 12 5 29" xfId="11001" xr:uid="{00000000-0005-0000-0000-00008F060000}"/>
    <cellStyle name="Normal 12 5 3" xfId="27624" xr:uid="{00000000-0005-0000-0000-000090060000}"/>
    <cellStyle name="Normal 12 5 30" xfId="6437" xr:uid="{00000000-0005-0000-0000-000091060000}"/>
    <cellStyle name="Normal 12 5 31" xfId="6163" xr:uid="{00000000-0005-0000-0000-000092060000}"/>
    <cellStyle name="Normal 12 5 32" xfId="9253" xr:uid="{00000000-0005-0000-0000-000093060000}"/>
    <cellStyle name="Normal 12 5 33" xfId="6987" xr:uid="{00000000-0005-0000-0000-000094060000}"/>
    <cellStyle name="Normal 12 5 34" xfId="8223" xr:uid="{00000000-0005-0000-0000-000095060000}"/>
    <cellStyle name="Normal 12 5 35" xfId="8594" xr:uid="{00000000-0005-0000-0000-000096060000}"/>
    <cellStyle name="Normal 12 5 36" xfId="7433" xr:uid="{00000000-0005-0000-0000-000097060000}"/>
    <cellStyle name="Normal 12 5 37" xfId="11982" xr:uid="{00000000-0005-0000-0000-000098060000}"/>
    <cellStyle name="Normal 12 5 38" xfId="5193" xr:uid="{00000000-0005-0000-0000-000099060000}"/>
    <cellStyle name="Normal 12 5 39" xfId="10999" xr:uid="{00000000-0005-0000-0000-00009A060000}"/>
    <cellStyle name="Normal 12 5 4" xfId="27027" xr:uid="{00000000-0005-0000-0000-00009B060000}"/>
    <cellStyle name="Normal 12 5 40" xfId="4033" xr:uid="{00000000-0005-0000-0000-00009C060000}"/>
    <cellStyle name="Normal 12 5 41" xfId="3944" xr:uid="{00000000-0005-0000-0000-00009D060000}"/>
    <cellStyle name="Normal 12 5 42" xfId="5166" xr:uid="{00000000-0005-0000-0000-00009E060000}"/>
    <cellStyle name="Normal 12 5 43" xfId="10700" xr:uid="{00000000-0005-0000-0000-00009F060000}"/>
    <cellStyle name="Normal 12 5 44" xfId="3059" xr:uid="{00000000-0005-0000-0000-0000A0060000}"/>
    <cellStyle name="Normal 12 5 45" xfId="2815" xr:uid="{00000000-0005-0000-0000-0000A1060000}"/>
    <cellStyle name="Normal 12 5 46" xfId="2575" xr:uid="{00000000-0005-0000-0000-0000A2060000}"/>
    <cellStyle name="Normal 12 5 47" xfId="2335" xr:uid="{00000000-0005-0000-0000-0000A3060000}"/>
    <cellStyle name="Normal 12 5 48" xfId="2095" xr:uid="{00000000-0005-0000-0000-0000A4060000}"/>
    <cellStyle name="Normal 12 5 49" xfId="1855" xr:uid="{00000000-0005-0000-0000-0000A5060000}"/>
    <cellStyle name="Normal 12 5 5" xfId="26431" xr:uid="{00000000-0005-0000-0000-0000A6060000}"/>
    <cellStyle name="Normal 12 5 50" xfId="1616" xr:uid="{00000000-0005-0000-0000-0000A7060000}"/>
    <cellStyle name="Normal 12 5 51" xfId="1376" xr:uid="{00000000-0005-0000-0000-0000A8060000}"/>
    <cellStyle name="Normal 12 5 52" xfId="1136" xr:uid="{00000000-0005-0000-0000-0000A9060000}"/>
    <cellStyle name="Normal 12 5 53" xfId="896" xr:uid="{00000000-0005-0000-0000-0000AA060000}"/>
    <cellStyle name="Normal 12 5 54" xfId="656" xr:uid="{00000000-0005-0000-0000-0000AB060000}"/>
    <cellStyle name="Normal 12 5 55" xfId="416" xr:uid="{00000000-0005-0000-0000-0000AC060000}"/>
    <cellStyle name="Normal 12 5 56" xfId="177" xr:uid="{00000000-0005-0000-0000-0000AD060000}"/>
    <cellStyle name="Normal 12 5 6" xfId="25835" xr:uid="{00000000-0005-0000-0000-0000AE060000}"/>
    <cellStyle name="Normal 12 5 7" xfId="25238" xr:uid="{00000000-0005-0000-0000-0000AF060000}"/>
    <cellStyle name="Normal 12 5 8" xfId="24641" xr:uid="{00000000-0005-0000-0000-0000B0060000}"/>
    <cellStyle name="Normal 12 5 9" xfId="24044" xr:uid="{00000000-0005-0000-0000-0000B1060000}"/>
    <cellStyle name="Normal 12 6" xfId="28819" xr:uid="{00000000-0005-0000-0000-0000B2060000}"/>
    <cellStyle name="Normal 12 6 10" xfId="23446" xr:uid="{00000000-0005-0000-0000-0000B3060000}"/>
    <cellStyle name="Normal 12 6 11" xfId="22849" xr:uid="{00000000-0005-0000-0000-0000B4060000}"/>
    <cellStyle name="Normal 12 6 12" xfId="22253" xr:uid="{00000000-0005-0000-0000-0000B5060000}"/>
    <cellStyle name="Normal 12 6 13" xfId="21656" xr:uid="{00000000-0005-0000-0000-0000B6060000}"/>
    <cellStyle name="Normal 12 6 14" xfId="21059" xr:uid="{00000000-0005-0000-0000-0000B7060000}"/>
    <cellStyle name="Normal 12 6 15" xfId="20462" xr:uid="{00000000-0005-0000-0000-0000B8060000}"/>
    <cellStyle name="Normal 12 6 16" xfId="19866" xr:uid="{00000000-0005-0000-0000-0000B9060000}"/>
    <cellStyle name="Normal 12 6 17" xfId="19270" xr:uid="{00000000-0005-0000-0000-0000BA060000}"/>
    <cellStyle name="Normal 12 6 18" xfId="18675" xr:uid="{00000000-0005-0000-0000-0000BB060000}"/>
    <cellStyle name="Normal 12 6 19" xfId="18079" xr:uid="{00000000-0005-0000-0000-0000BC060000}"/>
    <cellStyle name="Normal 12 6 2" xfId="28220" xr:uid="{00000000-0005-0000-0000-0000BD060000}"/>
    <cellStyle name="Normal 12 6 20" xfId="15324" xr:uid="{00000000-0005-0000-0000-0000BE060000}"/>
    <cellStyle name="Normal 12 6 21" xfId="15876" xr:uid="{00000000-0005-0000-0000-0000BF060000}"/>
    <cellStyle name="Normal 12 6 22" xfId="16245" xr:uid="{00000000-0005-0000-0000-0000C0060000}"/>
    <cellStyle name="Normal 12 6 23" xfId="14822" xr:uid="{00000000-0005-0000-0000-0000C1060000}"/>
    <cellStyle name="Normal 12 6 24" xfId="16482" xr:uid="{00000000-0005-0000-0000-0000C2060000}"/>
    <cellStyle name="Normal 12 6 25" xfId="13268" xr:uid="{00000000-0005-0000-0000-0000C3060000}"/>
    <cellStyle name="Normal 12 6 26" xfId="16300" xr:uid="{00000000-0005-0000-0000-0000C4060000}"/>
    <cellStyle name="Normal 12 6 27" xfId="14762" xr:uid="{00000000-0005-0000-0000-0000C5060000}"/>
    <cellStyle name="Normal 12 6 28" xfId="12687" xr:uid="{00000000-0005-0000-0000-0000C6060000}"/>
    <cellStyle name="Normal 12 6 29" xfId="11228" xr:uid="{00000000-0005-0000-0000-0000C7060000}"/>
    <cellStyle name="Normal 12 6 3" xfId="27623" xr:uid="{00000000-0005-0000-0000-0000C8060000}"/>
    <cellStyle name="Normal 12 6 30" xfId="7322" xr:uid="{00000000-0005-0000-0000-0000C9060000}"/>
    <cellStyle name="Normal 12 6 31" xfId="6777" xr:uid="{00000000-0005-0000-0000-0000CA060000}"/>
    <cellStyle name="Normal 12 6 32" xfId="7273" xr:uid="{00000000-0005-0000-0000-0000CB060000}"/>
    <cellStyle name="Normal 12 6 33" xfId="9248" xr:uid="{00000000-0005-0000-0000-0000CC060000}"/>
    <cellStyle name="Normal 12 6 34" xfId="9571" xr:uid="{00000000-0005-0000-0000-0000CD060000}"/>
    <cellStyle name="Normal 12 6 35" xfId="8878" xr:uid="{00000000-0005-0000-0000-0000CE060000}"/>
    <cellStyle name="Normal 12 6 36" xfId="5268" xr:uid="{00000000-0005-0000-0000-0000CF060000}"/>
    <cellStyle name="Normal 12 6 37" xfId="6079" xr:uid="{00000000-0005-0000-0000-0000D0060000}"/>
    <cellStyle name="Normal 12 6 38" xfId="7862" xr:uid="{00000000-0005-0000-0000-0000D1060000}"/>
    <cellStyle name="Normal 12 6 39" xfId="12722" xr:uid="{00000000-0005-0000-0000-0000D2060000}"/>
    <cellStyle name="Normal 12 6 4" xfId="27026" xr:uid="{00000000-0005-0000-0000-0000D3060000}"/>
    <cellStyle name="Normal 12 6 40" xfId="7280" xr:uid="{00000000-0005-0000-0000-0000D4060000}"/>
    <cellStyle name="Normal 12 6 41" xfId="6585" xr:uid="{00000000-0005-0000-0000-0000D5060000}"/>
    <cellStyle name="Normal 12 6 42" xfId="7373" xr:uid="{00000000-0005-0000-0000-0000D6060000}"/>
    <cellStyle name="Normal 12 6 43" xfId="11615" xr:uid="{00000000-0005-0000-0000-0000D7060000}"/>
    <cellStyle name="Normal 12 6 44" xfId="3058" xr:uid="{00000000-0005-0000-0000-0000D8060000}"/>
    <cellStyle name="Normal 12 6 45" xfId="2814" xr:uid="{00000000-0005-0000-0000-0000D9060000}"/>
    <cellStyle name="Normal 12 6 46" xfId="2574" xr:uid="{00000000-0005-0000-0000-0000DA060000}"/>
    <cellStyle name="Normal 12 6 47" xfId="2334" xr:uid="{00000000-0005-0000-0000-0000DB060000}"/>
    <cellStyle name="Normal 12 6 48" xfId="2094" xr:uid="{00000000-0005-0000-0000-0000DC060000}"/>
    <cellStyle name="Normal 12 6 49" xfId="1854" xr:uid="{00000000-0005-0000-0000-0000DD060000}"/>
    <cellStyle name="Normal 12 6 5" xfId="26430" xr:uid="{00000000-0005-0000-0000-0000DE060000}"/>
    <cellStyle name="Normal 12 6 50" xfId="1615" xr:uid="{00000000-0005-0000-0000-0000DF060000}"/>
    <cellStyle name="Normal 12 6 51" xfId="1375" xr:uid="{00000000-0005-0000-0000-0000E0060000}"/>
    <cellStyle name="Normal 12 6 52" xfId="1135" xr:uid="{00000000-0005-0000-0000-0000E1060000}"/>
    <cellStyle name="Normal 12 6 53" xfId="895" xr:uid="{00000000-0005-0000-0000-0000E2060000}"/>
    <cellStyle name="Normal 12 6 54" xfId="655" xr:uid="{00000000-0005-0000-0000-0000E3060000}"/>
    <cellStyle name="Normal 12 6 55" xfId="415" xr:uid="{00000000-0005-0000-0000-0000E4060000}"/>
    <cellStyle name="Normal 12 6 56" xfId="176" xr:uid="{00000000-0005-0000-0000-0000E5060000}"/>
    <cellStyle name="Normal 12 6 6" xfId="25834" xr:uid="{00000000-0005-0000-0000-0000E6060000}"/>
    <cellStyle name="Normal 12 6 7" xfId="25237" xr:uid="{00000000-0005-0000-0000-0000E7060000}"/>
    <cellStyle name="Normal 12 6 8" xfId="24640" xr:uid="{00000000-0005-0000-0000-0000E8060000}"/>
    <cellStyle name="Normal 12 6 9" xfId="24043" xr:uid="{00000000-0005-0000-0000-0000E9060000}"/>
    <cellStyle name="Normal 12 7" xfId="28818" xr:uid="{00000000-0005-0000-0000-0000EA060000}"/>
    <cellStyle name="Normal 12 7 10" xfId="23445" xr:uid="{00000000-0005-0000-0000-0000EB060000}"/>
    <cellStyle name="Normal 12 7 11" xfId="22848" xr:uid="{00000000-0005-0000-0000-0000EC060000}"/>
    <cellStyle name="Normal 12 7 12" xfId="22252" xr:uid="{00000000-0005-0000-0000-0000ED060000}"/>
    <cellStyle name="Normal 12 7 13" xfId="21655" xr:uid="{00000000-0005-0000-0000-0000EE060000}"/>
    <cellStyle name="Normal 12 7 14" xfId="21058" xr:uid="{00000000-0005-0000-0000-0000EF060000}"/>
    <cellStyle name="Normal 12 7 15" xfId="20461" xr:uid="{00000000-0005-0000-0000-0000F0060000}"/>
    <cellStyle name="Normal 12 7 16" xfId="19865" xr:uid="{00000000-0005-0000-0000-0000F1060000}"/>
    <cellStyle name="Normal 12 7 17" xfId="19269" xr:uid="{00000000-0005-0000-0000-0000F2060000}"/>
    <cellStyle name="Normal 12 7 18" xfId="18674" xr:uid="{00000000-0005-0000-0000-0000F3060000}"/>
    <cellStyle name="Normal 12 7 19" xfId="18078" xr:uid="{00000000-0005-0000-0000-0000F4060000}"/>
    <cellStyle name="Normal 12 7 2" xfId="28219" xr:uid="{00000000-0005-0000-0000-0000F5060000}"/>
    <cellStyle name="Normal 12 7 20" xfId="15531" xr:uid="{00000000-0005-0000-0000-0000F6060000}"/>
    <cellStyle name="Normal 12 7 21" xfId="15469" xr:uid="{00000000-0005-0000-0000-0000F7060000}"/>
    <cellStyle name="Normal 12 7 22" xfId="15040" xr:uid="{00000000-0005-0000-0000-0000F8060000}"/>
    <cellStyle name="Normal 12 7 23" xfId="15984" xr:uid="{00000000-0005-0000-0000-0000F9060000}"/>
    <cellStyle name="Normal 12 7 24" xfId="13335" xr:uid="{00000000-0005-0000-0000-0000FA060000}"/>
    <cellStyle name="Normal 12 7 25" xfId="14621" xr:uid="{00000000-0005-0000-0000-0000FB060000}"/>
    <cellStyle name="Normal 12 7 26" xfId="12874" xr:uid="{00000000-0005-0000-0000-0000FC060000}"/>
    <cellStyle name="Normal 12 7 27" xfId="12745" xr:uid="{00000000-0005-0000-0000-0000FD060000}"/>
    <cellStyle name="Normal 12 7 28" xfId="12686" xr:uid="{00000000-0005-0000-0000-0000FE060000}"/>
    <cellStyle name="Normal 12 7 29" xfId="11461" xr:uid="{00000000-0005-0000-0000-0000FF060000}"/>
    <cellStyle name="Normal 12 7 3" xfId="27622" xr:uid="{00000000-0005-0000-0000-000000070000}"/>
    <cellStyle name="Normal 12 7 30" xfId="6673" xr:uid="{00000000-0005-0000-0000-000001070000}"/>
    <cellStyle name="Normal 12 7 31" xfId="5905" xr:uid="{00000000-0005-0000-0000-000002070000}"/>
    <cellStyle name="Normal 12 7 32" xfId="8312" xr:uid="{00000000-0005-0000-0000-000003070000}"/>
    <cellStyle name="Normal 12 7 33" xfId="7020" xr:uid="{00000000-0005-0000-0000-000004070000}"/>
    <cellStyle name="Normal 12 7 34" xfId="7517" xr:uid="{00000000-0005-0000-0000-000005070000}"/>
    <cellStyle name="Normal 12 7 35" xfId="7914" xr:uid="{00000000-0005-0000-0000-000006070000}"/>
    <cellStyle name="Normal 12 7 36" xfId="10543" xr:uid="{00000000-0005-0000-0000-000007070000}"/>
    <cellStyle name="Normal 12 7 37" xfId="6375" xr:uid="{00000000-0005-0000-0000-000008070000}"/>
    <cellStyle name="Normal 12 7 38" xfId="9066" xr:uid="{00000000-0005-0000-0000-000009070000}"/>
    <cellStyle name="Normal 12 7 39" xfId="11734" xr:uid="{00000000-0005-0000-0000-00000A070000}"/>
    <cellStyle name="Normal 12 7 4" xfId="27025" xr:uid="{00000000-0005-0000-0000-00000B070000}"/>
    <cellStyle name="Normal 12 7 40" xfId="6601" xr:uid="{00000000-0005-0000-0000-00000C070000}"/>
    <cellStyle name="Normal 12 7 41" xfId="8410" xr:uid="{00000000-0005-0000-0000-00000D070000}"/>
    <cellStyle name="Normal 12 7 42" xfId="6787" xr:uid="{00000000-0005-0000-0000-00000E070000}"/>
    <cellStyle name="Normal 12 7 43" xfId="6527" xr:uid="{00000000-0005-0000-0000-00000F070000}"/>
    <cellStyle name="Normal 12 7 44" xfId="3057" xr:uid="{00000000-0005-0000-0000-000010070000}"/>
    <cellStyle name="Normal 12 7 45" xfId="2813" xr:uid="{00000000-0005-0000-0000-000011070000}"/>
    <cellStyle name="Normal 12 7 46" xfId="2573" xr:uid="{00000000-0005-0000-0000-000012070000}"/>
    <cellStyle name="Normal 12 7 47" xfId="2333" xr:uid="{00000000-0005-0000-0000-000013070000}"/>
    <cellStyle name="Normal 12 7 48" xfId="2093" xr:uid="{00000000-0005-0000-0000-000014070000}"/>
    <cellStyle name="Normal 12 7 49" xfId="1853" xr:uid="{00000000-0005-0000-0000-000015070000}"/>
    <cellStyle name="Normal 12 7 5" xfId="26429" xr:uid="{00000000-0005-0000-0000-000016070000}"/>
    <cellStyle name="Normal 12 7 50" xfId="1614" xr:uid="{00000000-0005-0000-0000-000017070000}"/>
    <cellStyle name="Normal 12 7 51" xfId="1374" xr:uid="{00000000-0005-0000-0000-000018070000}"/>
    <cellStyle name="Normal 12 7 52" xfId="1134" xr:uid="{00000000-0005-0000-0000-000019070000}"/>
    <cellStyle name="Normal 12 7 53" xfId="894" xr:uid="{00000000-0005-0000-0000-00001A070000}"/>
    <cellStyle name="Normal 12 7 54" xfId="654" xr:uid="{00000000-0005-0000-0000-00001B070000}"/>
    <cellStyle name="Normal 12 7 55" xfId="414" xr:uid="{00000000-0005-0000-0000-00001C070000}"/>
    <cellStyle name="Normal 12 7 56" xfId="175" xr:uid="{00000000-0005-0000-0000-00001D070000}"/>
    <cellStyle name="Normal 12 7 6" xfId="25833" xr:uid="{00000000-0005-0000-0000-00001E070000}"/>
    <cellStyle name="Normal 12 7 7" xfId="25236" xr:uid="{00000000-0005-0000-0000-00001F070000}"/>
    <cellStyle name="Normal 12 7 8" xfId="24639" xr:uid="{00000000-0005-0000-0000-000020070000}"/>
    <cellStyle name="Normal 12 7 9" xfId="24042" xr:uid="{00000000-0005-0000-0000-000021070000}"/>
    <cellStyle name="Normal 12 8" xfId="28817" xr:uid="{00000000-0005-0000-0000-000022070000}"/>
    <cellStyle name="Normal 12 8 10" xfId="23444" xr:uid="{00000000-0005-0000-0000-000023070000}"/>
    <cellStyle name="Normal 12 8 11" xfId="22847" xr:uid="{00000000-0005-0000-0000-000024070000}"/>
    <cellStyle name="Normal 12 8 12" xfId="22251" xr:uid="{00000000-0005-0000-0000-000025070000}"/>
    <cellStyle name="Normal 12 8 13" xfId="21654" xr:uid="{00000000-0005-0000-0000-000026070000}"/>
    <cellStyle name="Normal 12 8 14" xfId="21057" xr:uid="{00000000-0005-0000-0000-000027070000}"/>
    <cellStyle name="Normal 12 8 15" xfId="20460" xr:uid="{00000000-0005-0000-0000-000028070000}"/>
    <cellStyle name="Normal 12 8 16" xfId="19864" xr:uid="{00000000-0005-0000-0000-000029070000}"/>
    <cellStyle name="Normal 12 8 17" xfId="19268" xr:uid="{00000000-0005-0000-0000-00002A070000}"/>
    <cellStyle name="Normal 12 8 18" xfId="18673" xr:uid="{00000000-0005-0000-0000-00002B070000}"/>
    <cellStyle name="Normal 12 8 19" xfId="18077" xr:uid="{00000000-0005-0000-0000-00002C070000}"/>
    <cellStyle name="Normal 12 8 2" xfId="28218" xr:uid="{00000000-0005-0000-0000-00002D070000}"/>
    <cellStyle name="Normal 12 8 20" xfId="15721" xr:uid="{00000000-0005-0000-0000-00002E070000}"/>
    <cellStyle name="Normal 12 8 21" xfId="15268" xr:uid="{00000000-0005-0000-0000-00002F070000}"/>
    <cellStyle name="Normal 12 8 22" xfId="15649" xr:uid="{00000000-0005-0000-0000-000030070000}"/>
    <cellStyle name="Normal 12 8 23" xfId="17030" xr:uid="{00000000-0005-0000-0000-000031070000}"/>
    <cellStyle name="Normal 12 8 24" xfId="13367" xr:uid="{00000000-0005-0000-0000-000032070000}"/>
    <cellStyle name="Normal 12 8 25" xfId="14373" xr:uid="{00000000-0005-0000-0000-000033070000}"/>
    <cellStyle name="Normal 12 8 26" xfId="13009" xr:uid="{00000000-0005-0000-0000-000034070000}"/>
    <cellStyle name="Normal 12 8 27" xfId="13190" xr:uid="{00000000-0005-0000-0000-000035070000}"/>
    <cellStyle name="Normal 12 8 28" xfId="12685" xr:uid="{00000000-0005-0000-0000-000036070000}"/>
    <cellStyle name="Normal 12 8 29" xfId="11685" xr:uid="{00000000-0005-0000-0000-000037070000}"/>
    <cellStyle name="Normal 12 8 3" xfId="27621" xr:uid="{00000000-0005-0000-0000-000038070000}"/>
    <cellStyle name="Normal 12 8 30" xfId="7542" xr:uid="{00000000-0005-0000-0000-000039070000}"/>
    <cellStyle name="Normal 12 8 31" xfId="9028" xr:uid="{00000000-0005-0000-0000-00003A070000}"/>
    <cellStyle name="Normal 12 8 32" xfId="5895" xr:uid="{00000000-0005-0000-0000-00003B070000}"/>
    <cellStyle name="Normal 12 8 33" xfId="8743" xr:uid="{00000000-0005-0000-0000-00003C070000}"/>
    <cellStyle name="Normal 12 8 34" xfId="7822" xr:uid="{00000000-0005-0000-0000-00003D070000}"/>
    <cellStyle name="Normal 12 8 35" xfId="10213" xr:uid="{00000000-0005-0000-0000-00003E070000}"/>
    <cellStyle name="Normal 12 8 36" xfId="10882" xr:uid="{00000000-0005-0000-0000-00003F070000}"/>
    <cellStyle name="Normal 12 8 37" xfId="11271" xr:uid="{00000000-0005-0000-0000-000040070000}"/>
    <cellStyle name="Normal 12 8 38" xfId="9593" xr:uid="{00000000-0005-0000-0000-000041070000}"/>
    <cellStyle name="Normal 12 8 39" xfId="5218" xr:uid="{00000000-0005-0000-0000-000042070000}"/>
    <cellStyle name="Normal 12 8 4" xfId="27024" xr:uid="{00000000-0005-0000-0000-000043070000}"/>
    <cellStyle name="Normal 12 8 40" xfId="5697" xr:uid="{00000000-0005-0000-0000-000044070000}"/>
    <cellStyle name="Normal 12 8 41" xfId="11652" xr:uid="{00000000-0005-0000-0000-000045070000}"/>
    <cellStyle name="Normal 12 8 42" xfId="5569" xr:uid="{00000000-0005-0000-0000-000046070000}"/>
    <cellStyle name="Normal 12 8 43" xfId="12074" xr:uid="{00000000-0005-0000-0000-000047070000}"/>
    <cellStyle name="Normal 12 8 44" xfId="3056" xr:uid="{00000000-0005-0000-0000-000048070000}"/>
    <cellStyle name="Normal 12 8 45" xfId="2812" xr:uid="{00000000-0005-0000-0000-000049070000}"/>
    <cellStyle name="Normal 12 8 46" xfId="2572" xr:uid="{00000000-0005-0000-0000-00004A070000}"/>
    <cellStyle name="Normal 12 8 47" xfId="2332" xr:uid="{00000000-0005-0000-0000-00004B070000}"/>
    <cellStyle name="Normal 12 8 48" xfId="2092" xr:uid="{00000000-0005-0000-0000-00004C070000}"/>
    <cellStyle name="Normal 12 8 49" xfId="1852" xr:uid="{00000000-0005-0000-0000-00004D070000}"/>
    <cellStyle name="Normal 12 8 5" xfId="26428" xr:uid="{00000000-0005-0000-0000-00004E070000}"/>
    <cellStyle name="Normal 12 8 50" xfId="1613" xr:uid="{00000000-0005-0000-0000-00004F070000}"/>
    <cellStyle name="Normal 12 8 51" xfId="1373" xr:uid="{00000000-0005-0000-0000-000050070000}"/>
    <cellStyle name="Normal 12 8 52" xfId="1133" xr:uid="{00000000-0005-0000-0000-000051070000}"/>
    <cellStyle name="Normal 12 8 53" xfId="893" xr:uid="{00000000-0005-0000-0000-000052070000}"/>
    <cellStyle name="Normal 12 8 54" xfId="653" xr:uid="{00000000-0005-0000-0000-000053070000}"/>
    <cellStyle name="Normal 12 8 55" xfId="413" xr:uid="{00000000-0005-0000-0000-000054070000}"/>
    <cellStyle name="Normal 12 8 56" xfId="174" xr:uid="{00000000-0005-0000-0000-000055070000}"/>
    <cellStyle name="Normal 12 8 6" xfId="25832" xr:uid="{00000000-0005-0000-0000-000056070000}"/>
    <cellStyle name="Normal 12 8 7" xfId="25235" xr:uid="{00000000-0005-0000-0000-000057070000}"/>
    <cellStyle name="Normal 12 8 8" xfId="24638" xr:uid="{00000000-0005-0000-0000-000058070000}"/>
    <cellStyle name="Normal 12 8 9" xfId="24041" xr:uid="{00000000-0005-0000-0000-000059070000}"/>
    <cellStyle name="Normal 13" xfId="28816" xr:uid="{00000000-0005-0000-0000-00005A070000}"/>
    <cellStyle name="Normal 13 10" xfId="28815" xr:uid="{00000000-0005-0000-0000-00005B070000}"/>
    <cellStyle name="Normal 13 10 10" xfId="23442" xr:uid="{00000000-0005-0000-0000-00005C070000}"/>
    <cellStyle name="Normal 13 10 11" xfId="22845" xr:uid="{00000000-0005-0000-0000-00005D070000}"/>
    <cellStyle name="Normal 13 10 12" xfId="22249" xr:uid="{00000000-0005-0000-0000-00005E070000}"/>
    <cellStyle name="Normal 13 10 13" xfId="21652" xr:uid="{00000000-0005-0000-0000-00005F070000}"/>
    <cellStyle name="Normal 13 10 14" xfId="21055" xr:uid="{00000000-0005-0000-0000-000060070000}"/>
    <cellStyle name="Normal 13 10 15" xfId="20458" xr:uid="{00000000-0005-0000-0000-000061070000}"/>
    <cellStyle name="Normal 13 10 16" xfId="19862" xr:uid="{00000000-0005-0000-0000-000062070000}"/>
    <cellStyle name="Normal 13 10 17" xfId="19266" xr:uid="{00000000-0005-0000-0000-000063070000}"/>
    <cellStyle name="Normal 13 10 18" xfId="18671" xr:uid="{00000000-0005-0000-0000-000064070000}"/>
    <cellStyle name="Normal 13 10 19" xfId="18075" xr:uid="{00000000-0005-0000-0000-000065070000}"/>
    <cellStyle name="Normal 13 10 2" xfId="28216" xr:uid="{00000000-0005-0000-0000-000066070000}"/>
    <cellStyle name="Normal 13 10 20" xfId="16129" xr:uid="{00000000-0005-0000-0000-000067070000}"/>
    <cellStyle name="Normal 13 10 21" xfId="14449" xr:uid="{00000000-0005-0000-0000-000068070000}"/>
    <cellStyle name="Normal 13 10 22" xfId="16861" xr:uid="{00000000-0005-0000-0000-000069070000}"/>
    <cellStyle name="Normal 13 10 23" xfId="13749" xr:uid="{00000000-0005-0000-0000-00006A070000}"/>
    <cellStyle name="Normal 13 10 24" xfId="15764" xr:uid="{00000000-0005-0000-0000-00006B070000}"/>
    <cellStyle name="Normal 13 10 25" xfId="16198" xr:uid="{00000000-0005-0000-0000-00006C070000}"/>
    <cellStyle name="Normal 13 10 26" xfId="17479" xr:uid="{00000000-0005-0000-0000-00006D070000}"/>
    <cellStyle name="Normal 13 10 27" xfId="12976" xr:uid="{00000000-0005-0000-0000-00006E070000}"/>
    <cellStyle name="Normal 13 10 28" xfId="12683" xr:uid="{00000000-0005-0000-0000-00006F070000}"/>
    <cellStyle name="Normal 13 10 29" xfId="7033" xr:uid="{00000000-0005-0000-0000-000070070000}"/>
    <cellStyle name="Normal 13 10 3" xfId="27619" xr:uid="{00000000-0005-0000-0000-000071070000}"/>
    <cellStyle name="Normal 13 10 30" xfId="6988" xr:uid="{00000000-0005-0000-0000-000072070000}"/>
    <cellStyle name="Normal 13 10 31" xfId="5572" xr:uid="{00000000-0005-0000-0000-000073070000}"/>
    <cellStyle name="Normal 13 10 32" xfId="5408" xr:uid="{00000000-0005-0000-0000-000074070000}"/>
    <cellStyle name="Normal 13 10 33" xfId="10267" xr:uid="{00000000-0005-0000-0000-000075070000}"/>
    <cellStyle name="Normal 13 10 34" xfId="5140" xr:uid="{00000000-0005-0000-0000-000076070000}"/>
    <cellStyle name="Normal 13 10 35" xfId="7384" xr:uid="{00000000-0005-0000-0000-000077070000}"/>
    <cellStyle name="Normal 13 10 36" xfId="7654" xr:uid="{00000000-0005-0000-0000-000078070000}"/>
    <cellStyle name="Normal 13 10 37" xfId="7313" xr:uid="{00000000-0005-0000-0000-000079070000}"/>
    <cellStyle name="Normal 13 10 38" xfId="8447" xr:uid="{00000000-0005-0000-0000-00007A070000}"/>
    <cellStyle name="Normal 13 10 39" xfId="7731" xr:uid="{00000000-0005-0000-0000-00007B070000}"/>
    <cellStyle name="Normal 13 10 4" xfId="27022" xr:uid="{00000000-0005-0000-0000-00007C070000}"/>
    <cellStyle name="Normal 13 10 40" xfId="4021" xr:uid="{00000000-0005-0000-0000-00007D070000}"/>
    <cellStyle name="Normal 13 10 41" xfId="10022" xr:uid="{00000000-0005-0000-0000-00007E070000}"/>
    <cellStyle name="Normal 13 10 42" xfId="8910" xr:uid="{00000000-0005-0000-0000-00007F070000}"/>
    <cellStyle name="Normal 13 10 43" xfId="3582" xr:uid="{00000000-0005-0000-0000-000080070000}"/>
    <cellStyle name="Normal 13 10 44" xfId="3054" xr:uid="{00000000-0005-0000-0000-000081070000}"/>
    <cellStyle name="Normal 13 10 45" xfId="2810" xr:uid="{00000000-0005-0000-0000-000082070000}"/>
    <cellStyle name="Normal 13 10 46" xfId="2570" xr:uid="{00000000-0005-0000-0000-000083070000}"/>
    <cellStyle name="Normal 13 10 47" xfId="2330" xr:uid="{00000000-0005-0000-0000-000084070000}"/>
    <cellStyle name="Normal 13 10 48" xfId="2090" xr:uid="{00000000-0005-0000-0000-000085070000}"/>
    <cellStyle name="Normal 13 10 49" xfId="1850" xr:uid="{00000000-0005-0000-0000-000086070000}"/>
    <cellStyle name="Normal 13 10 5" xfId="26426" xr:uid="{00000000-0005-0000-0000-000087070000}"/>
    <cellStyle name="Normal 13 10 50" xfId="1611" xr:uid="{00000000-0005-0000-0000-000088070000}"/>
    <cellStyle name="Normal 13 10 51" xfId="1371" xr:uid="{00000000-0005-0000-0000-000089070000}"/>
    <cellStyle name="Normal 13 10 52" xfId="1131" xr:uid="{00000000-0005-0000-0000-00008A070000}"/>
    <cellStyle name="Normal 13 10 53" xfId="891" xr:uid="{00000000-0005-0000-0000-00008B070000}"/>
    <cellStyle name="Normal 13 10 54" xfId="651" xr:uid="{00000000-0005-0000-0000-00008C070000}"/>
    <cellStyle name="Normal 13 10 55" xfId="411" xr:uid="{00000000-0005-0000-0000-00008D070000}"/>
    <cellStyle name="Normal 13 10 56" xfId="172" xr:uid="{00000000-0005-0000-0000-00008E070000}"/>
    <cellStyle name="Normal 13 10 6" xfId="25830" xr:uid="{00000000-0005-0000-0000-00008F070000}"/>
    <cellStyle name="Normal 13 10 7" xfId="25233" xr:uid="{00000000-0005-0000-0000-000090070000}"/>
    <cellStyle name="Normal 13 10 8" xfId="24636" xr:uid="{00000000-0005-0000-0000-000091070000}"/>
    <cellStyle name="Normal 13 10 9" xfId="24039" xr:uid="{00000000-0005-0000-0000-000092070000}"/>
    <cellStyle name="Normal 13 11" xfId="28814" xr:uid="{00000000-0005-0000-0000-000093070000}"/>
    <cellStyle name="Normal 13 11 10" xfId="23441" xr:uid="{00000000-0005-0000-0000-000094070000}"/>
    <cellStyle name="Normal 13 11 11" xfId="22844" xr:uid="{00000000-0005-0000-0000-000095070000}"/>
    <cellStyle name="Normal 13 11 12" xfId="22248" xr:uid="{00000000-0005-0000-0000-000096070000}"/>
    <cellStyle name="Normal 13 11 13" xfId="21651" xr:uid="{00000000-0005-0000-0000-000097070000}"/>
    <cellStyle name="Normal 13 11 14" xfId="21054" xr:uid="{00000000-0005-0000-0000-000098070000}"/>
    <cellStyle name="Normal 13 11 15" xfId="20457" xr:uid="{00000000-0005-0000-0000-000099070000}"/>
    <cellStyle name="Normal 13 11 16" xfId="19861" xr:uid="{00000000-0005-0000-0000-00009A070000}"/>
    <cellStyle name="Normal 13 11 17" xfId="19265" xr:uid="{00000000-0005-0000-0000-00009B070000}"/>
    <cellStyle name="Normal 13 11 18" xfId="18670" xr:uid="{00000000-0005-0000-0000-00009C070000}"/>
    <cellStyle name="Normal 13 11 19" xfId="18074" xr:uid="{00000000-0005-0000-0000-00009D070000}"/>
    <cellStyle name="Normal 13 11 2" xfId="28215" xr:uid="{00000000-0005-0000-0000-00009E070000}"/>
    <cellStyle name="Normal 13 11 20" xfId="16330" xr:uid="{00000000-0005-0000-0000-00009F070000}"/>
    <cellStyle name="Normal 13 11 21" xfId="17416" xr:uid="{00000000-0005-0000-0000-0000A0070000}"/>
    <cellStyle name="Normal 13 11 22" xfId="17075" xr:uid="{00000000-0005-0000-0000-0000A1070000}"/>
    <cellStyle name="Normal 13 11 23" xfId="17013" xr:uid="{00000000-0005-0000-0000-0000A2070000}"/>
    <cellStyle name="Normal 13 11 24" xfId="15182" xr:uid="{00000000-0005-0000-0000-0000A3070000}"/>
    <cellStyle name="Normal 13 11 25" xfId="13197" xr:uid="{00000000-0005-0000-0000-0000A4070000}"/>
    <cellStyle name="Normal 13 11 26" xfId="12909" xr:uid="{00000000-0005-0000-0000-0000A5070000}"/>
    <cellStyle name="Normal 13 11 27" xfId="14613" xr:uid="{00000000-0005-0000-0000-0000A6070000}"/>
    <cellStyle name="Normal 13 11 28" xfId="12682" xr:uid="{00000000-0005-0000-0000-0000A7070000}"/>
    <cellStyle name="Normal 13 11 29" xfId="7282" xr:uid="{00000000-0005-0000-0000-0000A8070000}"/>
    <cellStyle name="Normal 13 11 3" xfId="27618" xr:uid="{00000000-0005-0000-0000-0000A9070000}"/>
    <cellStyle name="Normal 13 11 30" xfId="10316" xr:uid="{00000000-0005-0000-0000-0000AA070000}"/>
    <cellStyle name="Normal 13 11 31" xfId="5664" xr:uid="{00000000-0005-0000-0000-0000AB070000}"/>
    <cellStyle name="Normal 13 11 32" xfId="7752" xr:uid="{00000000-0005-0000-0000-0000AC070000}"/>
    <cellStyle name="Normal 13 11 33" xfId="4786" xr:uid="{00000000-0005-0000-0000-0000AD070000}"/>
    <cellStyle name="Normal 13 11 34" xfId="4603" xr:uid="{00000000-0005-0000-0000-0000AE070000}"/>
    <cellStyle name="Normal 13 11 35" xfId="10314" xr:uid="{00000000-0005-0000-0000-0000AF070000}"/>
    <cellStyle name="Normal 13 11 36" xfId="12033" xr:uid="{00000000-0005-0000-0000-0000B0070000}"/>
    <cellStyle name="Normal 13 11 37" xfId="4408" xr:uid="{00000000-0005-0000-0000-0000B1070000}"/>
    <cellStyle name="Normal 13 11 38" xfId="5706" xr:uid="{00000000-0005-0000-0000-0000B2070000}"/>
    <cellStyle name="Normal 13 11 39" xfId="7867" xr:uid="{00000000-0005-0000-0000-0000B3070000}"/>
    <cellStyle name="Normal 13 11 4" xfId="27021" xr:uid="{00000000-0005-0000-0000-0000B4070000}"/>
    <cellStyle name="Normal 13 11 40" xfId="10063" xr:uid="{00000000-0005-0000-0000-0000B5070000}"/>
    <cellStyle name="Normal 13 11 41" xfId="4717" xr:uid="{00000000-0005-0000-0000-0000B6070000}"/>
    <cellStyle name="Normal 13 11 42" xfId="5089" xr:uid="{00000000-0005-0000-0000-0000B7070000}"/>
    <cellStyle name="Normal 13 11 43" xfId="5240" xr:uid="{00000000-0005-0000-0000-0000B8070000}"/>
    <cellStyle name="Normal 13 11 44" xfId="3053" xr:uid="{00000000-0005-0000-0000-0000B9070000}"/>
    <cellStyle name="Normal 13 11 45" xfId="2809" xr:uid="{00000000-0005-0000-0000-0000BA070000}"/>
    <cellStyle name="Normal 13 11 46" xfId="2569" xr:uid="{00000000-0005-0000-0000-0000BB070000}"/>
    <cellStyle name="Normal 13 11 47" xfId="2329" xr:uid="{00000000-0005-0000-0000-0000BC070000}"/>
    <cellStyle name="Normal 13 11 48" xfId="2089" xr:uid="{00000000-0005-0000-0000-0000BD070000}"/>
    <cellStyle name="Normal 13 11 49" xfId="1849" xr:uid="{00000000-0005-0000-0000-0000BE070000}"/>
    <cellStyle name="Normal 13 11 5" xfId="26425" xr:uid="{00000000-0005-0000-0000-0000BF070000}"/>
    <cellStyle name="Normal 13 11 50" xfId="1610" xr:uid="{00000000-0005-0000-0000-0000C0070000}"/>
    <cellStyle name="Normal 13 11 51" xfId="1370" xr:uid="{00000000-0005-0000-0000-0000C1070000}"/>
    <cellStyle name="Normal 13 11 52" xfId="1130" xr:uid="{00000000-0005-0000-0000-0000C2070000}"/>
    <cellStyle name="Normal 13 11 53" xfId="890" xr:uid="{00000000-0005-0000-0000-0000C3070000}"/>
    <cellStyle name="Normal 13 11 54" xfId="650" xr:uid="{00000000-0005-0000-0000-0000C4070000}"/>
    <cellStyle name="Normal 13 11 55" xfId="410" xr:uid="{00000000-0005-0000-0000-0000C5070000}"/>
    <cellStyle name="Normal 13 11 56" xfId="171" xr:uid="{00000000-0005-0000-0000-0000C6070000}"/>
    <cellStyle name="Normal 13 11 6" xfId="25829" xr:uid="{00000000-0005-0000-0000-0000C7070000}"/>
    <cellStyle name="Normal 13 11 7" xfId="25232" xr:uid="{00000000-0005-0000-0000-0000C8070000}"/>
    <cellStyle name="Normal 13 11 8" xfId="24635" xr:uid="{00000000-0005-0000-0000-0000C9070000}"/>
    <cellStyle name="Normal 13 11 9" xfId="24038" xr:uid="{00000000-0005-0000-0000-0000CA070000}"/>
    <cellStyle name="Normal 13 12" xfId="28813" xr:uid="{00000000-0005-0000-0000-0000CB070000}"/>
    <cellStyle name="Normal 13 12 10" xfId="23440" xr:uid="{00000000-0005-0000-0000-0000CC070000}"/>
    <cellStyle name="Normal 13 12 11" xfId="22843" xr:uid="{00000000-0005-0000-0000-0000CD070000}"/>
    <cellStyle name="Normal 13 12 12" xfId="22247" xr:uid="{00000000-0005-0000-0000-0000CE070000}"/>
    <cellStyle name="Normal 13 12 13" xfId="21650" xr:uid="{00000000-0005-0000-0000-0000CF070000}"/>
    <cellStyle name="Normal 13 12 14" xfId="21053" xr:uid="{00000000-0005-0000-0000-0000D0070000}"/>
    <cellStyle name="Normal 13 12 15" xfId="20456" xr:uid="{00000000-0005-0000-0000-0000D1070000}"/>
    <cellStyle name="Normal 13 12 16" xfId="19860" xr:uid="{00000000-0005-0000-0000-0000D2070000}"/>
    <cellStyle name="Normal 13 12 17" xfId="19264" xr:uid="{00000000-0005-0000-0000-0000D3070000}"/>
    <cellStyle name="Normal 13 12 18" xfId="18669" xr:uid="{00000000-0005-0000-0000-0000D4070000}"/>
    <cellStyle name="Normal 13 12 19" xfId="18073" xr:uid="{00000000-0005-0000-0000-0000D5070000}"/>
    <cellStyle name="Normal 13 12 2" xfId="28214" xr:uid="{00000000-0005-0000-0000-0000D6070000}"/>
    <cellStyle name="Normal 13 12 20" xfId="16520" xr:uid="{00000000-0005-0000-0000-0000D7070000}"/>
    <cellStyle name="Normal 13 12 21" xfId="17006" xr:uid="{00000000-0005-0000-0000-0000D8070000}"/>
    <cellStyle name="Normal 13 12 22" xfId="14305" xr:uid="{00000000-0005-0000-0000-0000D9070000}"/>
    <cellStyle name="Normal 13 12 23" xfId="16119" xr:uid="{00000000-0005-0000-0000-0000DA070000}"/>
    <cellStyle name="Normal 13 12 24" xfId="13762" xr:uid="{00000000-0005-0000-0000-0000DB070000}"/>
    <cellStyle name="Normal 13 12 25" xfId="15881" xr:uid="{00000000-0005-0000-0000-0000DC070000}"/>
    <cellStyle name="Normal 13 12 26" xfId="14291" xr:uid="{00000000-0005-0000-0000-0000DD070000}"/>
    <cellStyle name="Normal 13 12 27" xfId="13522" xr:uid="{00000000-0005-0000-0000-0000DE070000}"/>
    <cellStyle name="Normal 13 12 28" xfId="12681" xr:uid="{00000000-0005-0000-0000-0000DF070000}"/>
    <cellStyle name="Normal 13 12 29" xfId="6656" xr:uid="{00000000-0005-0000-0000-0000E0070000}"/>
    <cellStyle name="Normal 13 12 3" xfId="27617" xr:uid="{00000000-0005-0000-0000-0000E1070000}"/>
    <cellStyle name="Normal 13 12 30" xfId="10968" xr:uid="{00000000-0005-0000-0000-0000E2070000}"/>
    <cellStyle name="Normal 13 12 31" xfId="6037" xr:uid="{00000000-0005-0000-0000-0000E3070000}"/>
    <cellStyle name="Normal 13 12 32" xfId="5299" xr:uid="{00000000-0005-0000-0000-0000E4070000}"/>
    <cellStyle name="Normal 13 12 33" xfId="5198" xr:uid="{00000000-0005-0000-0000-0000E5070000}"/>
    <cellStyle name="Normal 13 12 34" xfId="4499" xr:uid="{00000000-0005-0000-0000-0000E6070000}"/>
    <cellStyle name="Normal 13 12 35" xfId="7934" xr:uid="{00000000-0005-0000-0000-0000E7070000}"/>
    <cellStyle name="Normal 13 12 36" xfId="4693" xr:uid="{00000000-0005-0000-0000-0000E8070000}"/>
    <cellStyle name="Normal 13 12 37" xfId="6989" xr:uid="{00000000-0005-0000-0000-0000E9070000}"/>
    <cellStyle name="Normal 13 12 38" xfId="12089" xr:uid="{00000000-0005-0000-0000-0000EA070000}"/>
    <cellStyle name="Normal 13 12 39" xfId="4059" xr:uid="{00000000-0005-0000-0000-0000EB070000}"/>
    <cellStyle name="Normal 13 12 4" xfId="27020" xr:uid="{00000000-0005-0000-0000-0000EC070000}"/>
    <cellStyle name="Normal 13 12 40" xfId="4161" xr:uid="{00000000-0005-0000-0000-0000ED070000}"/>
    <cellStyle name="Normal 13 12 41" xfId="5739" xr:uid="{00000000-0005-0000-0000-0000EE070000}"/>
    <cellStyle name="Normal 13 12 42" xfId="10400" xr:uid="{00000000-0005-0000-0000-0000EF070000}"/>
    <cellStyle name="Normal 13 12 43" xfId="4809" xr:uid="{00000000-0005-0000-0000-0000F0070000}"/>
    <cellStyle name="Normal 13 12 5" xfId="26424" xr:uid="{00000000-0005-0000-0000-0000F1070000}"/>
    <cellStyle name="Normal 13 12 6" xfId="25828" xr:uid="{00000000-0005-0000-0000-0000F2070000}"/>
    <cellStyle name="Normal 13 12 7" xfId="25231" xr:uid="{00000000-0005-0000-0000-0000F3070000}"/>
    <cellStyle name="Normal 13 12 8" xfId="24634" xr:uid="{00000000-0005-0000-0000-0000F4070000}"/>
    <cellStyle name="Normal 13 12 9" xfId="24037" xr:uid="{00000000-0005-0000-0000-0000F5070000}"/>
    <cellStyle name="Normal 13 13" xfId="28812" xr:uid="{00000000-0005-0000-0000-0000F6070000}"/>
    <cellStyle name="Normal 13 13 10" xfId="23439" xr:uid="{00000000-0005-0000-0000-0000F7070000}"/>
    <cellStyle name="Normal 13 13 11" xfId="22842" xr:uid="{00000000-0005-0000-0000-0000F8070000}"/>
    <cellStyle name="Normal 13 13 12" xfId="22246" xr:uid="{00000000-0005-0000-0000-0000F9070000}"/>
    <cellStyle name="Normal 13 13 13" xfId="21649" xr:uid="{00000000-0005-0000-0000-0000FA070000}"/>
    <cellStyle name="Normal 13 13 14" xfId="21052" xr:uid="{00000000-0005-0000-0000-0000FB070000}"/>
    <cellStyle name="Normal 13 13 15" xfId="20455" xr:uid="{00000000-0005-0000-0000-0000FC070000}"/>
    <cellStyle name="Normal 13 13 16" xfId="19859" xr:uid="{00000000-0005-0000-0000-0000FD070000}"/>
    <cellStyle name="Normal 13 13 17" xfId="19263" xr:uid="{00000000-0005-0000-0000-0000FE070000}"/>
    <cellStyle name="Normal 13 13 18" xfId="18668" xr:uid="{00000000-0005-0000-0000-0000FF070000}"/>
    <cellStyle name="Normal 13 13 19" xfId="18072" xr:uid="{00000000-0005-0000-0000-000000080000}"/>
    <cellStyle name="Normal 13 13 2" xfId="28213" xr:uid="{00000000-0005-0000-0000-000001080000}"/>
    <cellStyle name="Normal 13 13 20" xfId="16714" xr:uid="{00000000-0005-0000-0000-000002080000}"/>
    <cellStyle name="Normal 13 13 21" xfId="16610" xr:uid="{00000000-0005-0000-0000-000003080000}"/>
    <cellStyle name="Normal 13 13 22" xfId="14049" xr:uid="{00000000-0005-0000-0000-000004080000}"/>
    <cellStyle name="Normal 13 13 23" xfId="14875" xr:uid="{00000000-0005-0000-0000-000005080000}"/>
    <cellStyle name="Normal 13 13 24" xfId="15306" xr:uid="{00000000-0005-0000-0000-000006080000}"/>
    <cellStyle name="Normal 13 13 25" xfId="16571" xr:uid="{00000000-0005-0000-0000-000007080000}"/>
    <cellStyle name="Normal 13 13 26" xfId="16228" xr:uid="{00000000-0005-0000-0000-000008080000}"/>
    <cellStyle name="Normal 13 13 27" xfId="16234" xr:uid="{00000000-0005-0000-0000-000009080000}"/>
    <cellStyle name="Normal 13 13 28" xfId="12680" xr:uid="{00000000-0005-0000-0000-00000A080000}"/>
    <cellStyle name="Normal 13 13 29" xfId="7305" xr:uid="{00000000-0005-0000-0000-00000B080000}"/>
    <cellStyle name="Normal 13 13 3" xfId="27616" xr:uid="{00000000-0005-0000-0000-00000C080000}"/>
    <cellStyle name="Normal 13 13 30" xfId="8279" xr:uid="{00000000-0005-0000-0000-00000D080000}"/>
    <cellStyle name="Normal 13 13 31" xfId="8832" xr:uid="{00000000-0005-0000-0000-00000E080000}"/>
    <cellStyle name="Normal 13 13 32" xfId="5462" xr:uid="{00000000-0005-0000-0000-00000F080000}"/>
    <cellStyle name="Normal 13 13 33" xfId="6169" xr:uid="{00000000-0005-0000-0000-000010080000}"/>
    <cellStyle name="Normal 13 13 34" xfId="8249" xr:uid="{00000000-0005-0000-0000-000011080000}"/>
    <cellStyle name="Normal 13 13 35" xfId="4233" xr:uid="{00000000-0005-0000-0000-000012080000}"/>
    <cellStyle name="Normal 13 13 36" xfId="4109" xr:uid="{00000000-0005-0000-0000-000013080000}"/>
    <cellStyle name="Normal 13 13 37" xfId="4480" xr:uid="{00000000-0005-0000-0000-000014080000}"/>
    <cellStyle name="Normal 13 13 38" xfId="5726" xr:uid="{00000000-0005-0000-0000-000015080000}"/>
    <cellStyle name="Normal 13 13 39" xfId="10069" xr:uid="{00000000-0005-0000-0000-000016080000}"/>
    <cellStyle name="Normal 13 13 4" xfId="27019" xr:uid="{00000000-0005-0000-0000-000017080000}"/>
    <cellStyle name="Normal 13 13 40" xfId="3672" xr:uid="{00000000-0005-0000-0000-000018080000}"/>
    <cellStyle name="Normal 13 13 41" xfId="7637" xr:uid="{00000000-0005-0000-0000-000019080000}"/>
    <cellStyle name="Normal 13 13 42" xfId="3453" xr:uid="{00000000-0005-0000-0000-00001A080000}"/>
    <cellStyle name="Normal 13 13 43" xfId="7494" xr:uid="{00000000-0005-0000-0000-00001B080000}"/>
    <cellStyle name="Normal 13 13 5" xfId="26423" xr:uid="{00000000-0005-0000-0000-00001C080000}"/>
    <cellStyle name="Normal 13 13 6" xfId="25827" xr:uid="{00000000-0005-0000-0000-00001D080000}"/>
    <cellStyle name="Normal 13 13 7" xfId="25230" xr:uid="{00000000-0005-0000-0000-00001E080000}"/>
    <cellStyle name="Normal 13 13 8" xfId="24633" xr:uid="{00000000-0005-0000-0000-00001F080000}"/>
    <cellStyle name="Normal 13 13 9" xfId="24036" xr:uid="{00000000-0005-0000-0000-000020080000}"/>
    <cellStyle name="Normal 13 14" xfId="28811" xr:uid="{00000000-0005-0000-0000-000021080000}"/>
    <cellStyle name="Normal 13 14 10" xfId="23438" xr:uid="{00000000-0005-0000-0000-000022080000}"/>
    <cellStyle name="Normal 13 14 11" xfId="22841" xr:uid="{00000000-0005-0000-0000-000023080000}"/>
    <cellStyle name="Normal 13 14 12" xfId="22245" xr:uid="{00000000-0005-0000-0000-000024080000}"/>
    <cellStyle name="Normal 13 14 13" xfId="21648" xr:uid="{00000000-0005-0000-0000-000025080000}"/>
    <cellStyle name="Normal 13 14 14" xfId="21051" xr:uid="{00000000-0005-0000-0000-000026080000}"/>
    <cellStyle name="Normal 13 14 15" xfId="20454" xr:uid="{00000000-0005-0000-0000-000027080000}"/>
    <cellStyle name="Normal 13 14 16" xfId="19858" xr:uid="{00000000-0005-0000-0000-000028080000}"/>
    <cellStyle name="Normal 13 14 17" xfId="19262" xr:uid="{00000000-0005-0000-0000-000029080000}"/>
    <cellStyle name="Normal 13 14 18" xfId="18667" xr:uid="{00000000-0005-0000-0000-00002A080000}"/>
    <cellStyle name="Normal 13 14 19" xfId="18071" xr:uid="{00000000-0005-0000-0000-00002B080000}"/>
    <cellStyle name="Normal 13 14 2" xfId="28212" xr:uid="{00000000-0005-0000-0000-00002C080000}"/>
    <cellStyle name="Normal 13 14 20" xfId="16911" xr:uid="{00000000-0005-0000-0000-00002D080000}"/>
    <cellStyle name="Normal 13 14 21" xfId="16990" xr:uid="{00000000-0005-0000-0000-00002E080000}"/>
    <cellStyle name="Normal 13 14 22" xfId="15770" xr:uid="{00000000-0005-0000-0000-00002F080000}"/>
    <cellStyle name="Normal 13 14 23" xfId="16949" xr:uid="{00000000-0005-0000-0000-000030080000}"/>
    <cellStyle name="Normal 13 14 24" xfId="14050" xr:uid="{00000000-0005-0000-0000-000031080000}"/>
    <cellStyle name="Normal 13 14 25" xfId="13028" xr:uid="{00000000-0005-0000-0000-000032080000}"/>
    <cellStyle name="Normal 13 14 26" xfId="12889" xr:uid="{00000000-0005-0000-0000-000033080000}"/>
    <cellStyle name="Normal 13 14 27" xfId="14183" xr:uid="{00000000-0005-0000-0000-000034080000}"/>
    <cellStyle name="Normal 13 14 28" xfId="12679" xr:uid="{00000000-0005-0000-0000-000035080000}"/>
    <cellStyle name="Normal 13 14 29" xfId="7139" xr:uid="{00000000-0005-0000-0000-000036080000}"/>
    <cellStyle name="Normal 13 14 3" xfId="27615" xr:uid="{00000000-0005-0000-0000-000037080000}"/>
    <cellStyle name="Normal 13 14 30" xfId="10072" xr:uid="{00000000-0005-0000-0000-000038080000}"/>
    <cellStyle name="Normal 13 14 31" xfId="8159" xr:uid="{00000000-0005-0000-0000-000039080000}"/>
    <cellStyle name="Normal 13 14 32" xfId="6537" xr:uid="{00000000-0005-0000-0000-00003A080000}"/>
    <cellStyle name="Normal 13 14 33" xfId="5038" xr:uid="{00000000-0005-0000-0000-00003B080000}"/>
    <cellStyle name="Normal 13 14 34" xfId="6162" xr:uid="{00000000-0005-0000-0000-00003C080000}"/>
    <cellStyle name="Normal 13 14 35" xfId="4359" xr:uid="{00000000-0005-0000-0000-00003D080000}"/>
    <cellStyle name="Normal 13 14 36" xfId="6866" xr:uid="{00000000-0005-0000-0000-00003E080000}"/>
    <cellStyle name="Normal 13 14 37" xfId="4595" xr:uid="{00000000-0005-0000-0000-00003F080000}"/>
    <cellStyle name="Normal 13 14 38" xfId="4013" xr:uid="{00000000-0005-0000-0000-000040080000}"/>
    <cellStyle name="Normal 13 14 39" xfId="9909" xr:uid="{00000000-0005-0000-0000-000041080000}"/>
    <cellStyle name="Normal 13 14 4" xfId="27018" xr:uid="{00000000-0005-0000-0000-000042080000}"/>
    <cellStyle name="Normal 13 14 40" xfId="4753" xr:uid="{00000000-0005-0000-0000-000043080000}"/>
    <cellStyle name="Normal 13 14 41" xfId="4802" xr:uid="{00000000-0005-0000-0000-000044080000}"/>
    <cellStyle name="Normal 13 14 42" xfId="9804" xr:uid="{00000000-0005-0000-0000-000045080000}"/>
    <cellStyle name="Normal 13 14 43" xfId="7243" xr:uid="{00000000-0005-0000-0000-000046080000}"/>
    <cellStyle name="Normal 13 14 5" xfId="26422" xr:uid="{00000000-0005-0000-0000-000047080000}"/>
    <cellStyle name="Normal 13 14 6" xfId="25826" xr:uid="{00000000-0005-0000-0000-000048080000}"/>
    <cellStyle name="Normal 13 14 7" xfId="25229" xr:uid="{00000000-0005-0000-0000-000049080000}"/>
    <cellStyle name="Normal 13 14 8" xfId="24632" xr:uid="{00000000-0005-0000-0000-00004A080000}"/>
    <cellStyle name="Normal 13 14 9" xfId="24035" xr:uid="{00000000-0005-0000-0000-00004B080000}"/>
    <cellStyle name="Normal 13 15" xfId="28810" xr:uid="{00000000-0005-0000-0000-00004C080000}"/>
    <cellStyle name="Normal 13 15 10" xfId="23437" xr:uid="{00000000-0005-0000-0000-00004D080000}"/>
    <cellStyle name="Normal 13 15 11" xfId="22840" xr:uid="{00000000-0005-0000-0000-00004E080000}"/>
    <cellStyle name="Normal 13 15 12" xfId="22244" xr:uid="{00000000-0005-0000-0000-00004F080000}"/>
    <cellStyle name="Normal 13 15 13" xfId="21647" xr:uid="{00000000-0005-0000-0000-000050080000}"/>
    <cellStyle name="Normal 13 15 14" xfId="21050" xr:uid="{00000000-0005-0000-0000-000051080000}"/>
    <cellStyle name="Normal 13 15 15" xfId="20453" xr:uid="{00000000-0005-0000-0000-000052080000}"/>
    <cellStyle name="Normal 13 15 16" xfId="19857" xr:uid="{00000000-0005-0000-0000-000053080000}"/>
    <cellStyle name="Normal 13 15 17" xfId="19261" xr:uid="{00000000-0005-0000-0000-000054080000}"/>
    <cellStyle name="Normal 13 15 18" xfId="18666" xr:uid="{00000000-0005-0000-0000-000055080000}"/>
    <cellStyle name="Normal 13 15 19" xfId="18070" xr:uid="{00000000-0005-0000-0000-000056080000}"/>
    <cellStyle name="Normal 13 15 2" xfId="28211" xr:uid="{00000000-0005-0000-0000-000057080000}"/>
    <cellStyle name="Normal 13 15 20" xfId="17118" xr:uid="{00000000-0005-0000-0000-000058080000}"/>
    <cellStyle name="Normal 13 15 21" xfId="17373" xr:uid="{00000000-0005-0000-0000-000059080000}"/>
    <cellStyle name="Normal 13 15 22" xfId="15206" xr:uid="{00000000-0005-0000-0000-00005A080000}"/>
    <cellStyle name="Normal 13 15 23" xfId="13595" xr:uid="{00000000-0005-0000-0000-00005B080000}"/>
    <cellStyle name="Normal 13 15 24" xfId="14892" xr:uid="{00000000-0005-0000-0000-00005C080000}"/>
    <cellStyle name="Normal 13 15 25" xfId="15188" xr:uid="{00000000-0005-0000-0000-00005D080000}"/>
    <cellStyle name="Normal 13 15 26" xfId="16978" xr:uid="{00000000-0005-0000-0000-00005E080000}"/>
    <cellStyle name="Normal 13 15 27" xfId="17238" xr:uid="{00000000-0005-0000-0000-00005F080000}"/>
    <cellStyle name="Normal 13 15 28" xfId="12678" xr:uid="{00000000-0005-0000-0000-000060080000}"/>
    <cellStyle name="Normal 13 15 29" xfId="7465" xr:uid="{00000000-0005-0000-0000-000061080000}"/>
    <cellStyle name="Normal 13 15 3" xfId="27614" xr:uid="{00000000-0005-0000-0000-000062080000}"/>
    <cellStyle name="Normal 13 15 30" xfId="8932" xr:uid="{00000000-0005-0000-0000-000063080000}"/>
    <cellStyle name="Normal 13 15 31" xfId="10366" xr:uid="{00000000-0005-0000-0000-000064080000}"/>
    <cellStyle name="Normal 13 15 32" xfId="10596" xr:uid="{00000000-0005-0000-0000-000065080000}"/>
    <cellStyle name="Normal 13 15 33" xfId="11498" xr:uid="{00000000-0005-0000-0000-000066080000}"/>
    <cellStyle name="Normal 13 15 34" xfId="10394" xr:uid="{00000000-0005-0000-0000-000067080000}"/>
    <cellStyle name="Normal 13 15 35" xfId="4240" xr:uid="{00000000-0005-0000-0000-000068080000}"/>
    <cellStyle name="Normal 13 15 36" xfId="4118" xr:uid="{00000000-0005-0000-0000-000069080000}"/>
    <cellStyle name="Normal 13 15 37" xfId="3776" xr:uid="{00000000-0005-0000-0000-00006A080000}"/>
    <cellStyle name="Normal 13 15 38" xfId="7378" xr:uid="{00000000-0005-0000-0000-00006B080000}"/>
    <cellStyle name="Normal 13 15 39" xfId="6479" xr:uid="{00000000-0005-0000-0000-00006C080000}"/>
    <cellStyle name="Normal 13 15 4" xfId="27017" xr:uid="{00000000-0005-0000-0000-00006D080000}"/>
    <cellStyle name="Normal 13 15 40" xfId="5286" xr:uid="{00000000-0005-0000-0000-00006E080000}"/>
    <cellStyle name="Normal 13 15 41" xfId="3387" xr:uid="{00000000-0005-0000-0000-00006F080000}"/>
    <cellStyle name="Normal 13 15 42" xfId="4181" xr:uid="{00000000-0005-0000-0000-000070080000}"/>
    <cellStyle name="Normal 13 15 43" xfId="5354" xr:uid="{00000000-0005-0000-0000-000071080000}"/>
    <cellStyle name="Normal 13 15 5" xfId="26421" xr:uid="{00000000-0005-0000-0000-000072080000}"/>
    <cellStyle name="Normal 13 15 6" xfId="25825" xr:uid="{00000000-0005-0000-0000-000073080000}"/>
    <cellStyle name="Normal 13 15 7" xfId="25228" xr:uid="{00000000-0005-0000-0000-000074080000}"/>
    <cellStyle name="Normal 13 15 8" xfId="24631" xr:uid="{00000000-0005-0000-0000-000075080000}"/>
    <cellStyle name="Normal 13 15 9" xfId="24034" xr:uid="{00000000-0005-0000-0000-000076080000}"/>
    <cellStyle name="Normal 13 16" xfId="28809" xr:uid="{00000000-0005-0000-0000-000077080000}"/>
    <cellStyle name="Normal 13 16 10" xfId="23436" xr:uid="{00000000-0005-0000-0000-000078080000}"/>
    <cellStyle name="Normal 13 16 11" xfId="22839" xr:uid="{00000000-0005-0000-0000-000079080000}"/>
    <cellStyle name="Normal 13 16 12" xfId="22243" xr:uid="{00000000-0005-0000-0000-00007A080000}"/>
    <cellStyle name="Normal 13 16 13" xfId="21646" xr:uid="{00000000-0005-0000-0000-00007B080000}"/>
    <cellStyle name="Normal 13 16 14" xfId="21049" xr:uid="{00000000-0005-0000-0000-00007C080000}"/>
    <cellStyle name="Normal 13 16 15" xfId="20452" xr:uid="{00000000-0005-0000-0000-00007D080000}"/>
    <cellStyle name="Normal 13 16 16" xfId="19856" xr:uid="{00000000-0005-0000-0000-00007E080000}"/>
    <cellStyle name="Normal 13 16 17" xfId="19260" xr:uid="{00000000-0005-0000-0000-00007F080000}"/>
    <cellStyle name="Normal 13 16 18" xfId="18665" xr:uid="{00000000-0005-0000-0000-000080080000}"/>
    <cellStyle name="Normal 13 16 19" xfId="18069" xr:uid="{00000000-0005-0000-0000-000081080000}"/>
    <cellStyle name="Normal 13 16 2" xfId="28210" xr:uid="{00000000-0005-0000-0000-000082080000}"/>
    <cellStyle name="Normal 13 16 20" xfId="17311" xr:uid="{00000000-0005-0000-0000-000083080000}"/>
    <cellStyle name="Normal 13 16 21" xfId="16971" xr:uid="{00000000-0005-0000-0000-000084080000}"/>
    <cellStyle name="Normal 13 16 22" xfId="16009" xr:uid="{00000000-0005-0000-0000-000085080000}"/>
    <cellStyle name="Normal 13 16 23" xfId="14981" xr:uid="{00000000-0005-0000-0000-000086080000}"/>
    <cellStyle name="Normal 13 16 24" xfId="17066" xr:uid="{00000000-0005-0000-0000-000087080000}"/>
    <cellStyle name="Normal 13 16 25" xfId="14109" xr:uid="{00000000-0005-0000-0000-000088080000}"/>
    <cellStyle name="Normal 13 16 26" xfId="13641" xr:uid="{00000000-0005-0000-0000-000089080000}"/>
    <cellStyle name="Normal 13 16 27" xfId="16378" xr:uid="{00000000-0005-0000-0000-00008A080000}"/>
    <cellStyle name="Normal 13 16 28" xfId="12677" xr:uid="{00000000-0005-0000-0000-00008B080000}"/>
    <cellStyle name="Normal 13 16 29" xfId="7432" xr:uid="{00000000-0005-0000-0000-00008C080000}"/>
    <cellStyle name="Normal 13 16 3" xfId="27613" xr:uid="{00000000-0005-0000-0000-00008D080000}"/>
    <cellStyle name="Normal 13 16 30" xfId="6697" xr:uid="{00000000-0005-0000-0000-00008E080000}"/>
    <cellStyle name="Normal 13 16 31" xfId="9058" xr:uid="{00000000-0005-0000-0000-00008F080000}"/>
    <cellStyle name="Normal 13 16 32" xfId="5643" xr:uid="{00000000-0005-0000-0000-000090080000}"/>
    <cellStyle name="Normal 13 16 33" xfId="6391" xr:uid="{00000000-0005-0000-0000-000091080000}"/>
    <cellStyle name="Normal 13 16 34" xfId="5484" xr:uid="{00000000-0005-0000-0000-000092080000}"/>
    <cellStyle name="Normal 13 16 35" xfId="6315" xr:uid="{00000000-0005-0000-0000-000093080000}"/>
    <cellStyle name="Normal 13 16 36" xfId="10062" xr:uid="{00000000-0005-0000-0000-000094080000}"/>
    <cellStyle name="Normal 13 16 37" xfId="9022" xr:uid="{00000000-0005-0000-0000-000095080000}"/>
    <cellStyle name="Normal 13 16 38" xfId="3621" xr:uid="{00000000-0005-0000-0000-000096080000}"/>
    <cellStyle name="Normal 13 16 39" xfId="5082" xr:uid="{00000000-0005-0000-0000-000097080000}"/>
    <cellStyle name="Normal 13 16 4" xfId="27016" xr:uid="{00000000-0005-0000-0000-000098080000}"/>
    <cellStyle name="Normal 13 16 40" xfId="8202" xr:uid="{00000000-0005-0000-0000-000099080000}"/>
    <cellStyle name="Normal 13 16 41" xfId="10747" xr:uid="{00000000-0005-0000-0000-00009A080000}"/>
    <cellStyle name="Normal 13 16 42" xfId="3692" xr:uid="{00000000-0005-0000-0000-00009B080000}"/>
    <cellStyle name="Normal 13 16 43" xfId="4222" xr:uid="{00000000-0005-0000-0000-00009C080000}"/>
    <cellStyle name="Normal 13 16 5" xfId="26420" xr:uid="{00000000-0005-0000-0000-00009D080000}"/>
    <cellStyle name="Normal 13 16 6" xfId="25824" xr:uid="{00000000-0005-0000-0000-00009E080000}"/>
    <cellStyle name="Normal 13 16 7" xfId="25227" xr:uid="{00000000-0005-0000-0000-00009F080000}"/>
    <cellStyle name="Normal 13 16 8" xfId="24630" xr:uid="{00000000-0005-0000-0000-0000A0080000}"/>
    <cellStyle name="Normal 13 16 9" xfId="24033" xr:uid="{00000000-0005-0000-0000-0000A1080000}"/>
    <cellStyle name="Normal 13 17" xfId="28808" xr:uid="{00000000-0005-0000-0000-0000A2080000}"/>
    <cellStyle name="Normal 13 17 10" xfId="23435" xr:uid="{00000000-0005-0000-0000-0000A3080000}"/>
    <cellStyle name="Normal 13 17 11" xfId="22838" xr:uid="{00000000-0005-0000-0000-0000A4080000}"/>
    <cellStyle name="Normal 13 17 12" xfId="22242" xr:uid="{00000000-0005-0000-0000-0000A5080000}"/>
    <cellStyle name="Normal 13 17 13" xfId="21645" xr:uid="{00000000-0005-0000-0000-0000A6080000}"/>
    <cellStyle name="Normal 13 17 14" xfId="21048" xr:uid="{00000000-0005-0000-0000-0000A7080000}"/>
    <cellStyle name="Normal 13 17 15" xfId="20451" xr:uid="{00000000-0005-0000-0000-0000A8080000}"/>
    <cellStyle name="Normal 13 17 16" xfId="19855" xr:uid="{00000000-0005-0000-0000-0000A9080000}"/>
    <cellStyle name="Normal 13 17 17" xfId="19259" xr:uid="{00000000-0005-0000-0000-0000AA080000}"/>
    <cellStyle name="Normal 13 17 18" xfId="18664" xr:uid="{00000000-0005-0000-0000-0000AB080000}"/>
    <cellStyle name="Normal 13 17 19" xfId="18068" xr:uid="{00000000-0005-0000-0000-0000AC080000}"/>
    <cellStyle name="Normal 13 17 2" xfId="28209" xr:uid="{00000000-0005-0000-0000-0000AD080000}"/>
    <cellStyle name="Normal 13 17 20" xfId="14144" xr:uid="{00000000-0005-0000-0000-0000AE080000}"/>
    <cellStyle name="Normal 13 17 21" xfId="16561" xr:uid="{00000000-0005-0000-0000-0000AF080000}"/>
    <cellStyle name="Normal 13 17 22" xfId="16403" xr:uid="{00000000-0005-0000-0000-0000B0080000}"/>
    <cellStyle name="Normal 13 17 23" xfId="14672" xr:uid="{00000000-0005-0000-0000-0000B1080000}"/>
    <cellStyle name="Normal 13 17 24" xfId="16255" xr:uid="{00000000-0005-0000-0000-0000B2080000}"/>
    <cellStyle name="Normal 13 17 25" xfId="15634" xr:uid="{00000000-0005-0000-0000-0000B3080000}"/>
    <cellStyle name="Normal 13 17 26" xfId="17057" xr:uid="{00000000-0005-0000-0000-0000B4080000}"/>
    <cellStyle name="Normal 13 17 27" xfId="13143" xr:uid="{00000000-0005-0000-0000-0000B5080000}"/>
    <cellStyle name="Normal 13 17 28" xfId="12676" xr:uid="{00000000-0005-0000-0000-0000B6080000}"/>
    <cellStyle name="Normal 13 17 29" xfId="11900" xr:uid="{00000000-0005-0000-0000-0000B7080000}"/>
    <cellStyle name="Normal 13 17 3" xfId="27612" xr:uid="{00000000-0005-0000-0000-0000B8080000}"/>
    <cellStyle name="Normal 13 17 30" xfId="10741" xr:uid="{00000000-0005-0000-0000-0000B9080000}"/>
    <cellStyle name="Normal 13 17 31" xfId="9447" xr:uid="{00000000-0005-0000-0000-0000BA080000}"/>
    <cellStyle name="Normal 13 17 32" xfId="9809" xr:uid="{00000000-0005-0000-0000-0000BB080000}"/>
    <cellStyle name="Normal 13 17 33" xfId="5506" xr:uid="{00000000-0005-0000-0000-0000BC080000}"/>
    <cellStyle name="Normal 13 17 34" xfId="8942" xr:uid="{00000000-0005-0000-0000-0000BD080000}"/>
    <cellStyle name="Normal 13 17 35" xfId="5242" xr:uid="{00000000-0005-0000-0000-0000BE080000}"/>
    <cellStyle name="Normal 13 17 36" xfId="5151" xr:uid="{00000000-0005-0000-0000-0000BF080000}"/>
    <cellStyle name="Normal 13 17 37" xfId="3832" xr:uid="{00000000-0005-0000-0000-0000C0080000}"/>
    <cellStyle name="Normal 13 17 38" xfId="3605" xr:uid="{00000000-0005-0000-0000-0000C1080000}"/>
    <cellStyle name="Normal 13 17 39" xfId="8904" xr:uid="{00000000-0005-0000-0000-0000C2080000}"/>
    <cellStyle name="Normal 13 17 4" xfId="27015" xr:uid="{00000000-0005-0000-0000-0000C3080000}"/>
    <cellStyle name="Normal 13 17 40" xfId="11660" xr:uid="{00000000-0005-0000-0000-0000C4080000}"/>
    <cellStyle name="Normal 13 17 41" xfId="8332" xr:uid="{00000000-0005-0000-0000-0000C5080000}"/>
    <cellStyle name="Normal 13 17 42" xfId="3493" xr:uid="{00000000-0005-0000-0000-0000C6080000}"/>
    <cellStyle name="Normal 13 17 43" xfId="4404" xr:uid="{00000000-0005-0000-0000-0000C7080000}"/>
    <cellStyle name="Normal 13 17 5" xfId="26419" xr:uid="{00000000-0005-0000-0000-0000C8080000}"/>
    <cellStyle name="Normal 13 17 6" xfId="25823" xr:uid="{00000000-0005-0000-0000-0000C9080000}"/>
    <cellStyle name="Normal 13 17 7" xfId="25226" xr:uid="{00000000-0005-0000-0000-0000CA080000}"/>
    <cellStyle name="Normal 13 17 8" xfId="24629" xr:uid="{00000000-0005-0000-0000-0000CB080000}"/>
    <cellStyle name="Normal 13 17 9" xfId="24032" xr:uid="{00000000-0005-0000-0000-0000CC080000}"/>
    <cellStyle name="Normal 13 18" xfId="28807" xr:uid="{00000000-0005-0000-0000-0000CD080000}"/>
    <cellStyle name="Normal 13 18 10" xfId="23434" xr:uid="{00000000-0005-0000-0000-0000CE080000}"/>
    <cellStyle name="Normal 13 18 11" xfId="22837" xr:uid="{00000000-0005-0000-0000-0000CF080000}"/>
    <cellStyle name="Normal 13 18 12" xfId="22241" xr:uid="{00000000-0005-0000-0000-0000D0080000}"/>
    <cellStyle name="Normal 13 18 13" xfId="21644" xr:uid="{00000000-0005-0000-0000-0000D1080000}"/>
    <cellStyle name="Normal 13 18 14" xfId="21047" xr:uid="{00000000-0005-0000-0000-0000D2080000}"/>
    <cellStyle name="Normal 13 18 15" xfId="20450" xr:uid="{00000000-0005-0000-0000-0000D3080000}"/>
    <cellStyle name="Normal 13 18 16" xfId="19854" xr:uid="{00000000-0005-0000-0000-0000D4080000}"/>
    <cellStyle name="Normal 13 18 17" xfId="19258" xr:uid="{00000000-0005-0000-0000-0000D5080000}"/>
    <cellStyle name="Normal 13 18 18" xfId="18663" xr:uid="{00000000-0005-0000-0000-0000D6080000}"/>
    <cellStyle name="Normal 13 18 19" xfId="18067" xr:uid="{00000000-0005-0000-0000-0000D7080000}"/>
    <cellStyle name="Normal 13 18 2" xfId="28208" xr:uid="{00000000-0005-0000-0000-0000D8080000}"/>
    <cellStyle name="Normal 13 18 20" xfId="14333" xr:uid="{00000000-0005-0000-0000-0000D9080000}"/>
    <cellStyle name="Normal 13 18 21" xfId="13955" xr:uid="{00000000-0005-0000-0000-0000DA080000}"/>
    <cellStyle name="Normal 13 18 22" xfId="16572" xr:uid="{00000000-0005-0000-0000-0000DB080000}"/>
    <cellStyle name="Normal 13 18 23" xfId="13838" xr:uid="{00000000-0005-0000-0000-0000DC080000}"/>
    <cellStyle name="Normal 13 18 24" xfId="17463" xr:uid="{00000000-0005-0000-0000-0000DD080000}"/>
    <cellStyle name="Normal 13 18 25" xfId="13881" xr:uid="{00000000-0005-0000-0000-0000DE080000}"/>
    <cellStyle name="Normal 13 18 26" xfId="15675" xr:uid="{00000000-0005-0000-0000-0000DF080000}"/>
    <cellStyle name="Normal 13 18 27" xfId="14802" xr:uid="{00000000-0005-0000-0000-0000E0080000}"/>
    <cellStyle name="Normal 13 18 28" xfId="12675" xr:uid="{00000000-0005-0000-0000-0000E1080000}"/>
    <cellStyle name="Normal 13 18 29" xfId="8080" xr:uid="{00000000-0005-0000-0000-0000E2080000}"/>
    <cellStyle name="Normal 13 18 3" xfId="27611" xr:uid="{00000000-0005-0000-0000-0000E3080000}"/>
    <cellStyle name="Normal 13 18 30" xfId="7269" xr:uid="{00000000-0005-0000-0000-0000E4080000}"/>
    <cellStyle name="Normal 13 18 31" xfId="8808" xr:uid="{00000000-0005-0000-0000-0000E5080000}"/>
    <cellStyle name="Normal 13 18 32" xfId="5520" xr:uid="{00000000-0005-0000-0000-0000E6080000}"/>
    <cellStyle name="Normal 13 18 33" xfId="11181" xr:uid="{00000000-0005-0000-0000-0000E7080000}"/>
    <cellStyle name="Normal 13 18 34" xfId="9025" xr:uid="{00000000-0005-0000-0000-0000E8080000}"/>
    <cellStyle name="Normal 13 18 35" xfId="4539" xr:uid="{00000000-0005-0000-0000-0000E9080000}"/>
    <cellStyle name="Normal 13 18 36" xfId="11074" xr:uid="{00000000-0005-0000-0000-0000EA080000}"/>
    <cellStyle name="Normal 13 18 37" xfId="3965" xr:uid="{00000000-0005-0000-0000-0000EB080000}"/>
    <cellStyle name="Normal 13 18 38" xfId="5516" xr:uid="{00000000-0005-0000-0000-0000EC080000}"/>
    <cellStyle name="Normal 13 18 39" xfId="3481" xr:uid="{00000000-0005-0000-0000-0000ED080000}"/>
    <cellStyle name="Normal 13 18 4" xfId="27014" xr:uid="{00000000-0005-0000-0000-0000EE080000}"/>
    <cellStyle name="Normal 13 18 40" xfId="8600" xr:uid="{00000000-0005-0000-0000-0000EF080000}"/>
    <cellStyle name="Normal 13 18 41" xfId="4028" xr:uid="{00000000-0005-0000-0000-0000F0080000}"/>
    <cellStyle name="Normal 13 18 42" xfId="4157" xr:uid="{00000000-0005-0000-0000-0000F1080000}"/>
    <cellStyle name="Normal 13 18 43" xfId="3171" xr:uid="{00000000-0005-0000-0000-0000F2080000}"/>
    <cellStyle name="Normal 13 18 5" xfId="26418" xr:uid="{00000000-0005-0000-0000-0000F3080000}"/>
    <cellStyle name="Normal 13 18 6" xfId="25822" xr:uid="{00000000-0005-0000-0000-0000F4080000}"/>
    <cellStyle name="Normal 13 18 7" xfId="25225" xr:uid="{00000000-0005-0000-0000-0000F5080000}"/>
    <cellStyle name="Normal 13 18 8" xfId="24628" xr:uid="{00000000-0005-0000-0000-0000F6080000}"/>
    <cellStyle name="Normal 13 18 9" xfId="24031" xr:uid="{00000000-0005-0000-0000-0000F7080000}"/>
    <cellStyle name="Normal 13 19" xfId="28806" xr:uid="{00000000-0005-0000-0000-0000F8080000}"/>
    <cellStyle name="Normal 13 19 10" xfId="23433" xr:uid="{00000000-0005-0000-0000-0000F9080000}"/>
    <cellStyle name="Normal 13 19 11" xfId="22836" xr:uid="{00000000-0005-0000-0000-0000FA080000}"/>
    <cellStyle name="Normal 13 19 12" xfId="22240" xr:uid="{00000000-0005-0000-0000-0000FB080000}"/>
    <cellStyle name="Normal 13 19 13" xfId="21643" xr:uid="{00000000-0005-0000-0000-0000FC080000}"/>
    <cellStyle name="Normal 13 19 14" xfId="21046" xr:uid="{00000000-0005-0000-0000-0000FD080000}"/>
    <cellStyle name="Normal 13 19 15" xfId="20449" xr:uid="{00000000-0005-0000-0000-0000FE080000}"/>
    <cellStyle name="Normal 13 19 16" xfId="19853" xr:uid="{00000000-0005-0000-0000-0000FF080000}"/>
    <cellStyle name="Normal 13 19 17" xfId="19257" xr:uid="{00000000-0005-0000-0000-000000090000}"/>
    <cellStyle name="Normal 13 19 18" xfId="18662" xr:uid="{00000000-0005-0000-0000-000001090000}"/>
    <cellStyle name="Normal 13 19 19" xfId="18066" xr:uid="{00000000-0005-0000-0000-000002090000}"/>
    <cellStyle name="Normal 13 19 2" xfId="28207" xr:uid="{00000000-0005-0000-0000-000003090000}"/>
    <cellStyle name="Normal 13 19 20" xfId="14524" xr:uid="{00000000-0005-0000-0000-000004090000}"/>
    <cellStyle name="Normal 13 19 21" xfId="14126" xr:uid="{00000000-0005-0000-0000-000005090000}"/>
    <cellStyle name="Normal 13 19 22" xfId="16592" xr:uid="{00000000-0005-0000-0000-000006090000}"/>
    <cellStyle name="Normal 13 19 23" xfId="14446" xr:uid="{00000000-0005-0000-0000-000007090000}"/>
    <cellStyle name="Normal 13 19 24" xfId="13439" xr:uid="{00000000-0005-0000-0000-000008090000}"/>
    <cellStyle name="Normal 13 19 25" xfId="14026" xr:uid="{00000000-0005-0000-0000-000009090000}"/>
    <cellStyle name="Normal 13 19 26" xfId="13554" xr:uid="{00000000-0005-0000-0000-00000A090000}"/>
    <cellStyle name="Normal 13 19 27" xfId="17444" xr:uid="{00000000-0005-0000-0000-00000B090000}"/>
    <cellStyle name="Normal 13 19 28" xfId="12674" xr:uid="{00000000-0005-0000-0000-00000C090000}"/>
    <cellStyle name="Normal 13 19 29" xfId="8288" xr:uid="{00000000-0005-0000-0000-00000D090000}"/>
    <cellStyle name="Normal 13 19 3" xfId="27610" xr:uid="{00000000-0005-0000-0000-00000E090000}"/>
    <cellStyle name="Normal 13 19 30" xfId="11849" xr:uid="{00000000-0005-0000-0000-00000F090000}"/>
    <cellStyle name="Normal 13 19 31" xfId="10991" xr:uid="{00000000-0005-0000-0000-000010090000}"/>
    <cellStyle name="Normal 13 19 32" xfId="7034" xr:uid="{00000000-0005-0000-0000-000011090000}"/>
    <cellStyle name="Normal 13 19 33" xfId="9322" xr:uid="{00000000-0005-0000-0000-000012090000}"/>
    <cellStyle name="Normal 13 19 34" xfId="10160" xr:uid="{00000000-0005-0000-0000-000013090000}"/>
    <cellStyle name="Normal 13 19 35" xfId="7354" xr:uid="{00000000-0005-0000-0000-000014090000}"/>
    <cellStyle name="Normal 13 19 36" xfId="11568" xr:uid="{00000000-0005-0000-0000-000015090000}"/>
    <cellStyle name="Normal 13 19 37" xfId="3840" xr:uid="{00000000-0005-0000-0000-000016090000}"/>
    <cellStyle name="Normal 13 19 38" xfId="3664" xr:uid="{00000000-0005-0000-0000-000017090000}"/>
    <cellStyle name="Normal 13 19 39" xfId="3468" xr:uid="{00000000-0005-0000-0000-000018090000}"/>
    <cellStyle name="Normal 13 19 4" xfId="27013" xr:uid="{00000000-0005-0000-0000-000019090000}"/>
    <cellStyle name="Normal 13 19 40" xfId="4148" xr:uid="{00000000-0005-0000-0000-00001A090000}"/>
    <cellStyle name="Normal 13 19 41" xfId="3248" xr:uid="{00000000-0005-0000-0000-00001B090000}"/>
    <cellStyle name="Normal 13 19 42" xfId="3866" xr:uid="{00000000-0005-0000-0000-00001C090000}"/>
    <cellStyle name="Normal 13 19 43" xfId="3182" xr:uid="{00000000-0005-0000-0000-00001D090000}"/>
    <cellStyle name="Normal 13 19 5" xfId="26417" xr:uid="{00000000-0005-0000-0000-00001E090000}"/>
    <cellStyle name="Normal 13 19 6" xfId="25821" xr:uid="{00000000-0005-0000-0000-00001F090000}"/>
    <cellStyle name="Normal 13 19 7" xfId="25224" xr:uid="{00000000-0005-0000-0000-000020090000}"/>
    <cellStyle name="Normal 13 19 8" xfId="24627" xr:uid="{00000000-0005-0000-0000-000021090000}"/>
    <cellStyle name="Normal 13 19 9" xfId="24030" xr:uid="{00000000-0005-0000-0000-000022090000}"/>
    <cellStyle name="Normal 13 2" xfId="28805" xr:uid="{00000000-0005-0000-0000-000023090000}"/>
    <cellStyle name="Normal 13 2 10" xfId="23432" xr:uid="{00000000-0005-0000-0000-000024090000}"/>
    <cellStyle name="Normal 13 2 11" xfId="22835" xr:uid="{00000000-0005-0000-0000-000025090000}"/>
    <cellStyle name="Normal 13 2 12" xfId="22239" xr:uid="{00000000-0005-0000-0000-000026090000}"/>
    <cellStyle name="Normal 13 2 13" xfId="21642" xr:uid="{00000000-0005-0000-0000-000027090000}"/>
    <cellStyle name="Normal 13 2 14" xfId="21045" xr:uid="{00000000-0005-0000-0000-000028090000}"/>
    <cellStyle name="Normal 13 2 15" xfId="20448" xr:uid="{00000000-0005-0000-0000-000029090000}"/>
    <cellStyle name="Normal 13 2 16" xfId="19852" xr:uid="{00000000-0005-0000-0000-00002A090000}"/>
    <cellStyle name="Normal 13 2 17" xfId="19256" xr:uid="{00000000-0005-0000-0000-00002B090000}"/>
    <cellStyle name="Normal 13 2 18" xfId="18661" xr:uid="{00000000-0005-0000-0000-00002C090000}"/>
    <cellStyle name="Normal 13 2 19" xfId="18065" xr:uid="{00000000-0005-0000-0000-00002D090000}"/>
    <cellStyle name="Normal 13 2 2" xfId="28206" xr:uid="{00000000-0005-0000-0000-00002E090000}"/>
    <cellStyle name="Normal 13 2 20" xfId="14721" xr:uid="{00000000-0005-0000-0000-00002F090000}"/>
    <cellStyle name="Normal 13 2 21" xfId="15912" xr:uid="{00000000-0005-0000-0000-000030090000}"/>
    <cellStyle name="Normal 13 2 22" xfId="13572" xr:uid="{00000000-0005-0000-0000-000031090000}"/>
    <cellStyle name="Normal 13 2 23" xfId="13413" xr:uid="{00000000-0005-0000-0000-000032090000}"/>
    <cellStyle name="Normal 13 2 24" xfId="14889" xr:uid="{00000000-0005-0000-0000-000033090000}"/>
    <cellStyle name="Normal 13 2 25" xfId="14870" xr:uid="{00000000-0005-0000-0000-000034090000}"/>
    <cellStyle name="Normal 13 2 26" xfId="13534" xr:uid="{00000000-0005-0000-0000-000035090000}"/>
    <cellStyle name="Normal 13 2 27" xfId="14289" xr:uid="{00000000-0005-0000-0000-000036090000}"/>
    <cellStyle name="Normal 13 2 28" xfId="12673" xr:uid="{00000000-0005-0000-0000-000037090000}"/>
    <cellStyle name="Normal 13 2 29" xfId="8503" xr:uid="{00000000-0005-0000-0000-000038090000}"/>
    <cellStyle name="Normal 13 2 3" xfId="27609" xr:uid="{00000000-0005-0000-0000-000039090000}"/>
    <cellStyle name="Normal 13 2 30" xfId="11843" xr:uid="{00000000-0005-0000-0000-00003A090000}"/>
    <cellStyle name="Normal 13 2 31" xfId="11117" xr:uid="{00000000-0005-0000-0000-00003B090000}"/>
    <cellStyle name="Normal 13 2 32" xfId="8034" xr:uid="{00000000-0005-0000-0000-00003C090000}"/>
    <cellStyle name="Normal 13 2 33" xfId="11875" xr:uid="{00000000-0005-0000-0000-00003D090000}"/>
    <cellStyle name="Normal 13 2 34" xfId="7993" xr:uid="{00000000-0005-0000-0000-00003E090000}"/>
    <cellStyle name="Normal 13 2 35" xfId="10389" xr:uid="{00000000-0005-0000-0000-00003F090000}"/>
    <cellStyle name="Normal 13 2 36" xfId="8067" xr:uid="{00000000-0005-0000-0000-000040090000}"/>
    <cellStyle name="Normal 13 2 37" xfId="8617" xr:uid="{00000000-0005-0000-0000-000041090000}"/>
    <cellStyle name="Normal 13 2 38" xfId="11957" xr:uid="{00000000-0005-0000-0000-000042090000}"/>
    <cellStyle name="Normal 13 2 39" xfId="10769" xr:uid="{00000000-0005-0000-0000-000043090000}"/>
    <cellStyle name="Normal 13 2 4" xfId="27012" xr:uid="{00000000-0005-0000-0000-000044090000}"/>
    <cellStyle name="Normal 13 2 40" xfId="3365" xr:uid="{00000000-0005-0000-0000-000045090000}"/>
    <cellStyle name="Normal 13 2 41" xfId="3408" xr:uid="{00000000-0005-0000-0000-000046090000}"/>
    <cellStyle name="Normal 13 2 42" xfId="3232" xr:uid="{00000000-0005-0000-0000-000047090000}"/>
    <cellStyle name="Normal 13 2 43" xfId="3081" xr:uid="{00000000-0005-0000-0000-000048090000}"/>
    <cellStyle name="Normal 13 2 44" xfId="3052" xr:uid="{00000000-0005-0000-0000-000049090000}"/>
    <cellStyle name="Normal 13 2 45" xfId="2808" xr:uid="{00000000-0005-0000-0000-00004A090000}"/>
    <cellStyle name="Normal 13 2 46" xfId="2568" xr:uid="{00000000-0005-0000-0000-00004B090000}"/>
    <cellStyle name="Normal 13 2 47" xfId="2328" xr:uid="{00000000-0005-0000-0000-00004C090000}"/>
    <cellStyle name="Normal 13 2 48" xfId="2088" xr:uid="{00000000-0005-0000-0000-00004D090000}"/>
    <cellStyle name="Normal 13 2 49" xfId="1848" xr:uid="{00000000-0005-0000-0000-00004E090000}"/>
    <cellStyle name="Normal 13 2 5" xfId="26416" xr:uid="{00000000-0005-0000-0000-00004F090000}"/>
    <cellStyle name="Normal 13 2 50" xfId="1609" xr:uid="{00000000-0005-0000-0000-000050090000}"/>
    <cellStyle name="Normal 13 2 51" xfId="1369" xr:uid="{00000000-0005-0000-0000-000051090000}"/>
    <cellStyle name="Normal 13 2 52" xfId="1129" xr:uid="{00000000-0005-0000-0000-000052090000}"/>
    <cellStyle name="Normal 13 2 53" xfId="889" xr:uid="{00000000-0005-0000-0000-000053090000}"/>
    <cellStyle name="Normal 13 2 54" xfId="649" xr:uid="{00000000-0005-0000-0000-000054090000}"/>
    <cellStyle name="Normal 13 2 55" xfId="409" xr:uid="{00000000-0005-0000-0000-000055090000}"/>
    <cellStyle name="Normal 13 2 56" xfId="170" xr:uid="{00000000-0005-0000-0000-000056090000}"/>
    <cellStyle name="Normal 13 2 6" xfId="25820" xr:uid="{00000000-0005-0000-0000-000057090000}"/>
    <cellStyle name="Normal 13 2 7" xfId="25223" xr:uid="{00000000-0005-0000-0000-000058090000}"/>
    <cellStyle name="Normal 13 2 8" xfId="24626" xr:uid="{00000000-0005-0000-0000-000059090000}"/>
    <cellStyle name="Normal 13 2 9" xfId="24029" xr:uid="{00000000-0005-0000-0000-00005A090000}"/>
    <cellStyle name="Normal 13 20" xfId="28804" xr:uid="{00000000-0005-0000-0000-00005B090000}"/>
    <cellStyle name="Normal 13 20 10" xfId="23431" xr:uid="{00000000-0005-0000-0000-00005C090000}"/>
    <cellStyle name="Normal 13 20 11" xfId="22834" xr:uid="{00000000-0005-0000-0000-00005D090000}"/>
    <cellStyle name="Normal 13 20 12" xfId="22238" xr:uid="{00000000-0005-0000-0000-00005E090000}"/>
    <cellStyle name="Normal 13 20 13" xfId="21641" xr:uid="{00000000-0005-0000-0000-00005F090000}"/>
    <cellStyle name="Normal 13 20 14" xfId="21044" xr:uid="{00000000-0005-0000-0000-000060090000}"/>
    <cellStyle name="Normal 13 20 15" xfId="20447" xr:uid="{00000000-0005-0000-0000-000061090000}"/>
    <cellStyle name="Normal 13 20 16" xfId="19851" xr:uid="{00000000-0005-0000-0000-000062090000}"/>
    <cellStyle name="Normal 13 20 17" xfId="19255" xr:uid="{00000000-0005-0000-0000-000063090000}"/>
    <cellStyle name="Normal 13 20 18" xfId="18660" xr:uid="{00000000-0005-0000-0000-000064090000}"/>
    <cellStyle name="Normal 13 20 19" xfId="18064" xr:uid="{00000000-0005-0000-0000-000065090000}"/>
    <cellStyle name="Normal 13 20 2" xfId="28205" xr:uid="{00000000-0005-0000-0000-000066090000}"/>
    <cellStyle name="Normal 13 20 20" xfId="14923" xr:uid="{00000000-0005-0000-0000-000067090000}"/>
    <cellStyle name="Normal 13 20 21" xfId="15899" xr:uid="{00000000-0005-0000-0000-000068090000}"/>
    <cellStyle name="Normal 13 20 22" xfId="17004" xr:uid="{00000000-0005-0000-0000-000069090000}"/>
    <cellStyle name="Normal 13 20 23" xfId="14379" xr:uid="{00000000-0005-0000-0000-00006A090000}"/>
    <cellStyle name="Normal 13 20 24" xfId="16028" xr:uid="{00000000-0005-0000-0000-00006B090000}"/>
    <cellStyle name="Normal 13 20 25" xfId="13282" xr:uid="{00000000-0005-0000-0000-00006C090000}"/>
    <cellStyle name="Normal 13 20 26" xfId="16322" xr:uid="{00000000-0005-0000-0000-00006D090000}"/>
    <cellStyle name="Normal 13 20 27" xfId="14401" xr:uid="{00000000-0005-0000-0000-00006E090000}"/>
    <cellStyle name="Normal 13 20 28" xfId="12672" xr:uid="{00000000-0005-0000-0000-00006F090000}"/>
    <cellStyle name="Normal 13 20 29" xfId="8719" xr:uid="{00000000-0005-0000-0000-000070090000}"/>
    <cellStyle name="Normal 13 20 3" xfId="27608" xr:uid="{00000000-0005-0000-0000-000071090000}"/>
    <cellStyle name="Normal 13 20 30" xfId="10264" xr:uid="{00000000-0005-0000-0000-000072090000}"/>
    <cellStyle name="Normal 13 20 31" xfId="6335" xr:uid="{00000000-0005-0000-0000-000073090000}"/>
    <cellStyle name="Normal 13 20 32" xfId="10469" xr:uid="{00000000-0005-0000-0000-000074090000}"/>
    <cellStyle name="Normal 13 20 33" xfId="6776" xr:uid="{00000000-0005-0000-0000-000075090000}"/>
    <cellStyle name="Normal 13 20 34" xfId="6394" xr:uid="{00000000-0005-0000-0000-000076090000}"/>
    <cellStyle name="Normal 13 20 35" xfId="5805" xr:uid="{00000000-0005-0000-0000-000077090000}"/>
    <cellStyle name="Normal 13 20 36" xfId="6946" xr:uid="{00000000-0005-0000-0000-000078090000}"/>
    <cellStyle name="Normal 13 20 37" xfId="5295" xr:uid="{00000000-0005-0000-0000-000079090000}"/>
    <cellStyle name="Normal 13 20 38" xfId="3671" xr:uid="{00000000-0005-0000-0000-00007A090000}"/>
    <cellStyle name="Normal 13 20 39" xfId="3514" xr:uid="{00000000-0005-0000-0000-00007B090000}"/>
    <cellStyle name="Normal 13 20 4" xfId="27011" xr:uid="{00000000-0005-0000-0000-00007C090000}"/>
    <cellStyle name="Normal 13 20 40" xfId="3353" xr:uid="{00000000-0005-0000-0000-00007D090000}"/>
    <cellStyle name="Normal 13 20 41" xfId="10497" xr:uid="{00000000-0005-0000-0000-00007E090000}"/>
    <cellStyle name="Normal 13 20 42" xfId="3172" xr:uid="{00000000-0005-0000-0000-00007F090000}"/>
    <cellStyle name="Normal 13 20 43" xfId="8897" xr:uid="{00000000-0005-0000-0000-000080090000}"/>
    <cellStyle name="Normal 13 20 5" xfId="26415" xr:uid="{00000000-0005-0000-0000-000081090000}"/>
    <cellStyle name="Normal 13 20 6" xfId="25819" xr:uid="{00000000-0005-0000-0000-000082090000}"/>
    <cellStyle name="Normal 13 20 7" xfId="25222" xr:uid="{00000000-0005-0000-0000-000083090000}"/>
    <cellStyle name="Normal 13 20 8" xfId="24625" xr:uid="{00000000-0005-0000-0000-000084090000}"/>
    <cellStyle name="Normal 13 20 9" xfId="24028" xr:uid="{00000000-0005-0000-0000-000085090000}"/>
    <cellStyle name="Normal 13 21" xfId="28803" xr:uid="{00000000-0005-0000-0000-000086090000}"/>
    <cellStyle name="Normal 13 21 10" xfId="23430" xr:uid="{00000000-0005-0000-0000-000087090000}"/>
    <cellStyle name="Normal 13 21 11" xfId="22833" xr:uid="{00000000-0005-0000-0000-000088090000}"/>
    <cellStyle name="Normal 13 21 12" xfId="22237" xr:uid="{00000000-0005-0000-0000-000089090000}"/>
    <cellStyle name="Normal 13 21 13" xfId="21640" xr:uid="{00000000-0005-0000-0000-00008A090000}"/>
    <cellStyle name="Normal 13 21 14" xfId="21043" xr:uid="{00000000-0005-0000-0000-00008B090000}"/>
    <cellStyle name="Normal 13 21 15" xfId="20446" xr:uid="{00000000-0005-0000-0000-00008C090000}"/>
    <cellStyle name="Normal 13 21 16" xfId="19850" xr:uid="{00000000-0005-0000-0000-00008D090000}"/>
    <cellStyle name="Normal 13 21 17" xfId="19254" xr:uid="{00000000-0005-0000-0000-00008E090000}"/>
    <cellStyle name="Normal 13 21 18" xfId="18659" xr:uid="{00000000-0005-0000-0000-00008F090000}"/>
    <cellStyle name="Normal 13 21 19" xfId="18063" xr:uid="{00000000-0005-0000-0000-000090090000}"/>
    <cellStyle name="Normal 13 21 2" xfId="28204" xr:uid="{00000000-0005-0000-0000-000091090000}"/>
    <cellStyle name="Normal 13 21 20" xfId="15130" xr:uid="{00000000-0005-0000-0000-000092090000}"/>
    <cellStyle name="Normal 13 21 21" xfId="15693" xr:uid="{00000000-0005-0000-0000-000093090000}"/>
    <cellStyle name="Normal 13 21 22" xfId="13650" xr:uid="{00000000-0005-0000-0000-000094090000}"/>
    <cellStyle name="Normal 13 21 23" xfId="13484" xr:uid="{00000000-0005-0000-0000-000095090000}"/>
    <cellStyle name="Normal 13 21 24" xfId="16884" xr:uid="{00000000-0005-0000-0000-000096090000}"/>
    <cellStyle name="Normal 13 21 25" xfId="15504" xr:uid="{00000000-0005-0000-0000-000097090000}"/>
    <cellStyle name="Normal 13 21 26" xfId="12945" xr:uid="{00000000-0005-0000-0000-000098090000}"/>
    <cellStyle name="Normal 13 21 27" xfId="15216" xr:uid="{00000000-0005-0000-0000-000099090000}"/>
    <cellStyle name="Normal 13 21 28" xfId="12671" xr:uid="{00000000-0005-0000-0000-00009A090000}"/>
    <cellStyle name="Normal 13 21 29" xfId="8957" xr:uid="{00000000-0005-0000-0000-00009B090000}"/>
    <cellStyle name="Normal 13 21 3" xfId="27607" xr:uid="{00000000-0005-0000-0000-00009C090000}"/>
    <cellStyle name="Normal 13 21 30" xfId="12056" xr:uid="{00000000-0005-0000-0000-00009D090000}"/>
    <cellStyle name="Normal 13 21 31" xfId="8580" xr:uid="{00000000-0005-0000-0000-00009E090000}"/>
    <cellStyle name="Normal 13 21 32" xfId="5646" xr:uid="{00000000-0005-0000-0000-00009F090000}"/>
    <cellStyle name="Normal 13 21 33" xfId="7382" xr:uid="{00000000-0005-0000-0000-0000A0090000}"/>
    <cellStyle name="Normal 13 21 34" xfId="5525" xr:uid="{00000000-0005-0000-0000-0000A1090000}"/>
    <cellStyle name="Normal 13 21 35" xfId="9053" xr:uid="{00000000-0005-0000-0000-0000A2090000}"/>
    <cellStyle name="Normal 13 21 36" xfId="7484" xr:uid="{00000000-0005-0000-0000-0000A3090000}"/>
    <cellStyle name="Normal 13 21 37" xfId="5096" xr:uid="{00000000-0005-0000-0000-0000A4090000}"/>
    <cellStyle name="Normal 13 21 38" xfId="5757" xr:uid="{00000000-0005-0000-0000-0000A5090000}"/>
    <cellStyle name="Normal 13 21 39" xfId="3693" xr:uid="{00000000-0005-0000-0000-0000A6090000}"/>
    <cellStyle name="Normal 13 21 4" xfId="27010" xr:uid="{00000000-0005-0000-0000-0000A7090000}"/>
    <cellStyle name="Normal 13 21 40" xfId="8624" xr:uid="{00000000-0005-0000-0000-0000A8090000}"/>
    <cellStyle name="Normal 13 21 41" xfId="3269" xr:uid="{00000000-0005-0000-0000-0000A9090000}"/>
    <cellStyle name="Normal 13 21 42" xfId="6002" xr:uid="{00000000-0005-0000-0000-0000AA090000}"/>
    <cellStyle name="Normal 13 21 43" xfId="9568" xr:uid="{00000000-0005-0000-0000-0000AB090000}"/>
    <cellStyle name="Normal 13 21 5" xfId="26414" xr:uid="{00000000-0005-0000-0000-0000AC090000}"/>
    <cellStyle name="Normal 13 21 6" xfId="25818" xr:uid="{00000000-0005-0000-0000-0000AD090000}"/>
    <cellStyle name="Normal 13 21 7" xfId="25221" xr:uid="{00000000-0005-0000-0000-0000AE090000}"/>
    <cellStyle name="Normal 13 21 8" xfId="24624" xr:uid="{00000000-0005-0000-0000-0000AF090000}"/>
    <cellStyle name="Normal 13 21 9" xfId="24027" xr:uid="{00000000-0005-0000-0000-0000B0090000}"/>
    <cellStyle name="Normal 13 22" xfId="28802" xr:uid="{00000000-0005-0000-0000-0000B1090000}"/>
    <cellStyle name="Normal 13 22 10" xfId="23429" xr:uid="{00000000-0005-0000-0000-0000B2090000}"/>
    <cellStyle name="Normal 13 22 11" xfId="22832" xr:uid="{00000000-0005-0000-0000-0000B3090000}"/>
    <cellStyle name="Normal 13 22 12" xfId="22236" xr:uid="{00000000-0005-0000-0000-0000B4090000}"/>
    <cellStyle name="Normal 13 22 13" xfId="21639" xr:uid="{00000000-0005-0000-0000-0000B5090000}"/>
    <cellStyle name="Normal 13 22 14" xfId="21042" xr:uid="{00000000-0005-0000-0000-0000B6090000}"/>
    <cellStyle name="Normal 13 22 15" xfId="20445" xr:uid="{00000000-0005-0000-0000-0000B7090000}"/>
    <cellStyle name="Normal 13 22 16" xfId="19849" xr:uid="{00000000-0005-0000-0000-0000B8090000}"/>
    <cellStyle name="Normal 13 22 17" xfId="19253" xr:uid="{00000000-0005-0000-0000-0000B9090000}"/>
    <cellStyle name="Normal 13 22 18" xfId="18658" xr:uid="{00000000-0005-0000-0000-0000BA090000}"/>
    <cellStyle name="Normal 13 22 19" xfId="18062" xr:uid="{00000000-0005-0000-0000-0000BB090000}"/>
    <cellStyle name="Normal 13 22 2" xfId="28203" xr:uid="{00000000-0005-0000-0000-0000BC090000}"/>
    <cellStyle name="Normal 13 22 20" xfId="15325" xr:uid="{00000000-0005-0000-0000-0000BD090000}"/>
    <cellStyle name="Normal 13 22 21" xfId="15682" xr:uid="{00000000-0005-0000-0000-0000BE090000}"/>
    <cellStyle name="Normal 13 22 22" xfId="13790" xr:uid="{00000000-0005-0000-0000-0000BF090000}"/>
    <cellStyle name="Normal 13 22 23" xfId="14647" xr:uid="{00000000-0005-0000-0000-0000C0090000}"/>
    <cellStyle name="Normal 13 22 24" xfId="15755" xr:uid="{00000000-0005-0000-0000-0000C1090000}"/>
    <cellStyle name="Normal 13 22 25" xfId="16265" xr:uid="{00000000-0005-0000-0000-0000C2090000}"/>
    <cellStyle name="Normal 13 22 26" xfId="16552" xr:uid="{00000000-0005-0000-0000-0000C3090000}"/>
    <cellStyle name="Normal 13 22 27" xfId="14472" xr:uid="{00000000-0005-0000-0000-0000C4090000}"/>
    <cellStyle name="Normal 13 22 28" xfId="12670" xr:uid="{00000000-0005-0000-0000-0000C5090000}"/>
    <cellStyle name="Normal 13 22 29" xfId="9192" xr:uid="{00000000-0005-0000-0000-0000C6090000}"/>
    <cellStyle name="Normal 13 22 3" xfId="27606" xr:uid="{00000000-0005-0000-0000-0000C7090000}"/>
    <cellStyle name="Normal 13 22 30" xfId="11367" xr:uid="{00000000-0005-0000-0000-0000C8090000}"/>
    <cellStyle name="Normal 13 22 31" xfId="9932" xr:uid="{00000000-0005-0000-0000-0000C9090000}"/>
    <cellStyle name="Normal 13 22 32" xfId="8134" xr:uid="{00000000-0005-0000-0000-0000CA090000}"/>
    <cellStyle name="Normal 13 22 33" xfId="6850" xr:uid="{00000000-0005-0000-0000-0000CB090000}"/>
    <cellStyle name="Normal 13 22 34" xfId="8184" xr:uid="{00000000-0005-0000-0000-0000CC090000}"/>
    <cellStyle name="Normal 13 22 35" xfId="10009" xr:uid="{00000000-0005-0000-0000-0000CD090000}"/>
    <cellStyle name="Normal 13 22 36" xfId="7669" xr:uid="{00000000-0005-0000-0000-0000CE090000}"/>
    <cellStyle name="Normal 13 22 37" xfId="11737" xr:uid="{00000000-0005-0000-0000-0000CF090000}"/>
    <cellStyle name="Normal 13 22 38" xfId="8135" xr:uid="{00000000-0005-0000-0000-0000D0090000}"/>
    <cellStyle name="Normal 13 22 39" xfId="3521" xr:uid="{00000000-0005-0000-0000-0000D1090000}"/>
    <cellStyle name="Normal 13 22 4" xfId="27009" xr:uid="{00000000-0005-0000-0000-0000D2090000}"/>
    <cellStyle name="Normal 13 22 40" xfId="6105" xr:uid="{00000000-0005-0000-0000-0000D3090000}"/>
    <cellStyle name="Normal 13 22 41" xfId="3258" xr:uid="{00000000-0005-0000-0000-0000D4090000}"/>
    <cellStyle name="Normal 13 22 42" xfId="5934" xr:uid="{00000000-0005-0000-0000-0000D5090000}"/>
    <cellStyle name="Normal 13 22 43" xfId="3696" xr:uid="{00000000-0005-0000-0000-0000D6090000}"/>
    <cellStyle name="Normal 13 22 5" xfId="26413" xr:uid="{00000000-0005-0000-0000-0000D7090000}"/>
    <cellStyle name="Normal 13 22 6" xfId="25817" xr:uid="{00000000-0005-0000-0000-0000D8090000}"/>
    <cellStyle name="Normal 13 22 7" xfId="25220" xr:uid="{00000000-0005-0000-0000-0000D9090000}"/>
    <cellStyle name="Normal 13 22 8" xfId="24623" xr:uid="{00000000-0005-0000-0000-0000DA090000}"/>
    <cellStyle name="Normal 13 22 9" xfId="24026" xr:uid="{00000000-0005-0000-0000-0000DB090000}"/>
    <cellStyle name="Normal 13 23" xfId="28801" xr:uid="{00000000-0005-0000-0000-0000DC090000}"/>
    <cellStyle name="Normal 13 23 10" xfId="23428" xr:uid="{00000000-0005-0000-0000-0000DD090000}"/>
    <cellStyle name="Normal 13 23 11" xfId="22831" xr:uid="{00000000-0005-0000-0000-0000DE090000}"/>
    <cellStyle name="Normal 13 23 12" xfId="22235" xr:uid="{00000000-0005-0000-0000-0000DF090000}"/>
    <cellStyle name="Normal 13 23 13" xfId="21638" xr:uid="{00000000-0005-0000-0000-0000E0090000}"/>
    <cellStyle name="Normal 13 23 14" xfId="21041" xr:uid="{00000000-0005-0000-0000-0000E1090000}"/>
    <cellStyle name="Normal 13 23 15" xfId="20444" xr:uid="{00000000-0005-0000-0000-0000E2090000}"/>
    <cellStyle name="Normal 13 23 16" xfId="19848" xr:uid="{00000000-0005-0000-0000-0000E3090000}"/>
    <cellStyle name="Normal 13 23 17" xfId="19252" xr:uid="{00000000-0005-0000-0000-0000E4090000}"/>
    <cellStyle name="Normal 13 23 18" xfId="18657" xr:uid="{00000000-0005-0000-0000-0000E5090000}"/>
    <cellStyle name="Normal 13 23 19" xfId="18061" xr:uid="{00000000-0005-0000-0000-0000E6090000}"/>
    <cellStyle name="Normal 13 23 2" xfId="28202" xr:uid="{00000000-0005-0000-0000-0000E7090000}"/>
    <cellStyle name="Normal 13 23 20" xfId="15532" xr:uid="{00000000-0005-0000-0000-0000E8090000}"/>
    <cellStyle name="Normal 13 23 21" xfId="15277" xr:uid="{00000000-0005-0000-0000-0000E9090000}"/>
    <cellStyle name="Normal 13 23 22" xfId="13938" xr:uid="{00000000-0005-0000-0000-0000EA090000}"/>
    <cellStyle name="Normal 13 23 23" xfId="17457" xr:uid="{00000000-0005-0000-0000-0000EB090000}"/>
    <cellStyle name="Normal 13 23 24" xfId="13110" xr:uid="{00000000-0005-0000-0000-0000EC090000}"/>
    <cellStyle name="Normal 13 23 25" xfId="14247" xr:uid="{00000000-0005-0000-0000-0000ED090000}"/>
    <cellStyle name="Normal 13 23 26" xfId="13847" xr:uid="{00000000-0005-0000-0000-0000EE090000}"/>
    <cellStyle name="Normal 13 23 27" xfId="15244" xr:uid="{00000000-0005-0000-0000-0000EF090000}"/>
    <cellStyle name="Normal 13 23 28" xfId="12669" xr:uid="{00000000-0005-0000-0000-0000F0090000}"/>
    <cellStyle name="Normal 13 23 29" xfId="9425" xr:uid="{00000000-0005-0000-0000-0000F1090000}"/>
    <cellStyle name="Normal 13 23 3" xfId="27605" xr:uid="{00000000-0005-0000-0000-0000F2090000}"/>
    <cellStyle name="Normal 13 23 30" xfId="8621" xr:uid="{00000000-0005-0000-0000-0000F3090000}"/>
    <cellStyle name="Normal 13 23 31" xfId="11974" xr:uid="{00000000-0005-0000-0000-0000F4090000}"/>
    <cellStyle name="Normal 13 23 32" xfId="9590" xr:uid="{00000000-0005-0000-0000-0000F5090000}"/>
    <cellStyle name="Normal 13 23 33" xfId="8383" xr:uid="{00000000-0005-0000-0000-0000F6090000}"/>
    <cellStyle name="Normal 13 23 34" xfId="5184" xr:uid="{00000000-0005-0000-0000-0000F7090000}"/>
    <cellStyle name="Normal 13 23 35" xfId="9763" xr:uid="{00000000-0005-0000-0000-0000F8090000}"/>
    <cellStyle name="Normal 13 23 36" xfId="4334" xr:uid="{00000000-0005-0000-0000-0000F9090000}"/>
    <cellStyle name="Normal 13 23 37" xfId="6390" xr:uid="{00000000-0005-0000-0000-0000FA090000}"/>
    <cellStyle name="Normal 13 23 38" xfId="4537" xr:uid="{00000000-0005-0000-0000-0000FB090000}"/>
    <cellStyle name="Normal 13 23 39" xfId="10889" xr:uid="{00000000-0005-0000-0000-0000FC090000}"/>
    <cellStyle name="Normal 13 23 4" xfId="27008" xr:uid="{00000000-0005-0000-0000-0000FD090000}"/>
    <cellStyle name="Normal 13 23 40" xfId="4422" xr:uid="{00000000-0005-0000-0000-0000FE090000}"/>
    <cellStyle name="Normal 13 23 41" xfId="4469" xr:uid="{00000000-0005-0000-0000-0000FF090000}"/>
    <cellStyle name="Normal 13 23 42" xfId="8434" xr:uid="{00000000-0005-0000-0000-0000000A0000}"/>
    <cellStyle name="Normal 13 23 43" xfId="4629" xr:uid="{00000000-0005-0000-0000-0000010A0000}"/>
    <cellStyle name="Normal 13 23 5" xfId="26412" xr:uid="{00000000-0005-0000-0000-0000020A0000}"/>
    <cellStyle name="Normal 13 23 6" xfId="25816" xr:uid="{00000000-0005-0000-0000-0000030A0000}"/>
    <cellStyle name="Normal 13 23 7" xfId="25219" xr:uid="{00000000-0005-0000-0000-0000040A0000}"/>
    <cellStyle name="Normal 13 23 8" xfId="24622" xr:uid="{00000000-0005-0000-0000-0000050A0000}"/>
    <cellStyle name="Normal 13 23 9" xfId="24025" xr:uid="{00000000-0005-0000-0000-0000060A0000}"/>
    <cellStyle name="Normal 13 24" xfId="28800" xr:uid="{00000000-0005-0000-0000-0000070A0000}"/>
    <cellStyle name="Normal 13 24 10" xfId="23427" xr:uid="{00000000-0005-0000-0000-0000080A0000}"/>
    <cellStyle name="Normal 13 24 11" xfId="22830" xr:uid="{00000000-0005-0000-0000-0000090A0000}"/>
    <cellStyle name="Normal 13 24 12" xfId="22234" xr:uid="{00000000-0005-0000-0000-00000A0A0000}"/>
    <cellStyle name="Normal 13 24 13" xfId="21637" xr:uid="{00000000-0005-0000-0000-00000B0A0000}"/>
    <cellStyle name="Normal 13 24 14" xfId="21040" xr:uid="{00000000-0005-0000-0000-00000C0A0000}"/>
    <cellStyle name="Normal 13 24 15" xfId="20443" xr:uid="{00000000-0005-0000-0000-00000D0A0000}"/>
    <cellStyle name="Normal 13 24 16" xfId="19847" xr:uid="{00000000-0005-0000-0000-00000E0A0000}"/>
    <cellStyle name="Normal 13 24 17" xfId="19251" xr:uid="{00000000-0005-0000-0000-00000F0A0000}"/>
    <cellStyle name="Normal 13 24 18" xfId="18656" xr:uid="{00000000-0005-0000-0000-0000100A0000}"/>
    <cellStyle name="Normal 13 24 19" xfId="18060" xr:uid="{00000000-0005-0000-0000-0000110A0000}"/>
    <cellStyle name="Normal 13 24 2" xfId="28201" xr:uid="{00000000-0005-0000-0000-0000120A0000}"/>
    <cellStyle name="Normal 13 24 20" xfId="15722" xr:uid="{00000000-0005-0000-0000-0000130A0000}"/>
    <cellStyle name="Normal 13 24 21" xfId="15062" xr:uid="{00000000-0005-0000-0000-0000140A0000}"/>
    <cellStyle name="Normal 13 24 22" xfId="15053" xr:uid="{00000000-0005-0000-0000-0000150A0000}"/>
    <cellStyle name="Normal 13 24 23" xfId="17204" xr:uid="{00000000-0005-0000-0000-0000160A0000}"/>
    <cellStyle name="Normal 13 24 24" xfId="13204" xr:uid="{00000000-0005-0000-0000-0000170A0000}"/>
    <cellStyle name="Normal 13 24 25" xfId="16647" xr:uid="{00000000-0005-0000-0000-0000180A0000}"/>
    <cellStyle name="Normal 13 24 26" xfId="13093" xr:uid="{00000000-0005-0000-0000-0000190A0000}"/>
    <cellStyle name="Normal 13 24 27" xfId="17100" xr:uid="{00000000-0005-0000-0000-00001A0A0000}"/>
    <cellStyle name="Normal 13 24 28" xfId="12668" xr:uid="{00000000-0005-0000-0000-00001B0A0000}"/>
    <cellStyle name="Normal 13 24 29" xfId="9645" xr:uid="{00000000-0005-0000-0000-00001C0A0000}"/>
    <cellStyle name="Normal 13 24 3" xfId="27604" xr:uid="{00000000-0005-0000-0000-00001D0A0000}"/>
    <cellStyle name="Normal 13 24 30" xfId="8844" xr:uid="{00000000-0005-0000-0000-00001E0A0000}"/>
    <cellStyle name="Normal 13 24 31" xfId="7383" xr:uid="{00000000-0005-0000-0000-00001F0A0000}"/>
    <cellStyle name="Normal 13 24 32" xfId="9772" xr:uid="{00000000-0005-0000-0000-0000200A0000}"/>
    <cellStyle name="Normal 13 24 33" xfId="10502" xr:uid="{00000000-0005-0000-0000-0000210A0000}"/>
    <cellStyle name="Normal 13 24 34" xfId="6692" xr:uid="{00000000-0005-0000-0000-0000220A0000}"/>
    <cellStyle name="Normal 13 24 35" xfId="10707" xr:uid="{00000000-0005-0000-0000-0000230A0000}"/>
    <cellStyle name="Normal 13 24 36" xfId="10973" xr:uid="{00000000-0005-0000-0000-0000240A0000}"/>
    <cellStyle name="Normal 13 24 37" xfId="9908" xr:uid="{00000000-0005-0000-0000-0000250A0000}"/>
    <cellStyle name="Normal 13 24 38" xfId="5137" xr:uid="{00000000-0005-0000-0000-0000260A0000}"/>
    <cellStyle name="Normal 13 24 39" xfId="7687" xr:uid="{00000000-0005-0000-0000-0000270A0000}"/>
    <cellStyle name="Normal 13 24 4" xfId="27007" xr:uid="{00000000-0005-0000-0000-0000280A0000}"/>
    <cellStyle name="Normal 13 24 40" xfId="9081" xr:uid="{00000000-0005-0000-0000-0000290A0000}"/>
    <cellStyle name="Normal 13 24 41" xfId="6127" xr:uid="{00000000-0005-0000-0000-00002A0A0000}"/>
    <cellStyle name="Normal 13 24 42" xfId="7249" xr:uid="{00000000-0005-0000-0000-00002B0A0000}"/>
    <cellStyle name="Normal 13 24 43" xfId="3333" xr:uid="{00000000-0005-0000-0000-00002C0A0000}"/>
    <cellStyle name="Normal 13 24 5" xfId="26411" xr:uid="{00000000-0005-0000-0000-00002D0A0000}"/>
    <cellStyle name="Normal 13 24 6" xfId="25815" xr:uid="{00000000-0005-0000-0000-00002E0A0000}"/>
    <cellStyle name="Normal 13 24 7" xfId="25218" xr:uid="{00000000-0005-0000-0000-00002F0A0000}"/>
    <cellStyle name="Normal 13 24 8" xfId="24621" xr:uid="{00000000-0005-0000-0000-0000300A0000}"/>
    <cellStyle name="Normal 13 24 9" xfId="24024" xr:uid="{00000000-0005-0000-0000-0000310A0000}"/>
    <cellStyle name="Normal 13 25" xfId="28799" xr:uid="{00000000-0005-0000-0000-0000320A0000}"/>
    <cellStyle name="Normal 13 25 10" xfId="23426" xr:uid="{00000000-0005-0000-0000-0000330A0000}"/>
    <cellStyle name="Normal 13 25 11" xfId="22829" xr:uid="{00000000-0005-0000-0000-0000340A0000}"/>
    <cellStyle name="Normal 13 25 12" xfId="22233" xr:uid="{00000000-0005-0000-0000-0000350A0000}"/>
    <cellStyle name="Normal 13 25 13" xfId="21636" xr:uid="{00000000-0005-0000-0000-0000360A0000}"/>
    <cellStyle name="Normal 13 25 14" xfId="21039" xr:uid="{00000000-0005-0000-0000-0000370A0000}"/>
    <cellStyle name="Normal 13 25 15" xfId="20442" xr:uid="{00000000-0005-0000-0000-0000380A0000}"/>
    <cellStyle name="Normal 13 25 16" xfId="19846" xr:uid="{00000000-0005-0000-0000-0000390A0000}"/>
    <cellStyle name="Normal 13 25 17" xfId="19250" xr:uid="{00000000-0005-0000-0000-00003A0A0000}"/>
    <cellStyle name="Normal 13 25 18" xfId="18655" xr:uid="{00000000-0005-0000-0000-00003B0A0000}"/>
    <cellStyle name="Normal 13 25 19" xfId="18059" xr:uid="{00000000-0005-0000-0000-00003C0A0000}"/>
    <cellStyle name="Normal 13 25 2" xfId="28200" xr:uid="{00000000-0005-0000-0000-00003D0A0000}"/>
    <cellStyle name="Normal 13 25 20" xfId="15922" xr:uid="{00000000-0005-0000-0000-00003E0A0000}"/>
    <cellStyle name="Normal 13 25 21" xfId="14847" xr:uid="{00000000-0005-0000-0000-00003F0A0000}"/>
    <cellStyle name="Normal 13 25 22" xfId="15449" xr:uid="{00000000-0005-0000-0000-0000400A0000}"/>
    <cellStyle name="Normal 13 25 23" xfId="15783" xr:uid="{00000000-0005-0000-0000-0000410A0000}"/>
    <cellStyle name="Normal 13 25 24" xfId="13177" xr:uid="{00000000-0005-0000-0000-0000420A0000}"/>
    <cellStyle name="Normal 13 25 25" xfId="12926" xr:uid="{00000000-0005-0000-0000-0000430A0000}"/>
    <cellStyle name="Normal 13 25 26" xfId="13302" xr:uid="{00000000-0005-0000-0000-0000440A0000}"/>
    <cellStyle name="Normal 13 25 27" xfId="13161" xr:uid="{00000000-0005-0000-0000-0000450A0000}"/>
    <cellStyle name="Normal 13 25 28" xfId="12667" xr:uid="{00000000-0005-0000-0000-0000460A0000}"/>
    <cellStyle name="Normal 13 25 29" xfId="9876" xr:uid="{00000000-0005-0000-0000-0000470A0000}"/>
    <cellStyle name="Normal 13 25 3" xfId="27603" xr:uid="{00000000-0005-0000-0000-0000480A0000}"/>
    <cellStyle name="Normal 13 25 30" xfId="9075" xr:uid="{00000000-0005-0000-0000-0000490A0000}"/>
    <cellStyle name="Normal 13 25 31" xfId="10222" xr:uid="{00000000-0005-0000-0000-00004A0A0000}"/>
    <cellStyle name="Normal 13 25 32" xfId="11390" xr:uid="{00000000-0005-0000-0000-00004B0A0000}"/>
    <cellStyle name="Normal 13 25 33" xfId="8775" xr:uid="{00000000-0005-0000-0000-00004C0A0000}"/>
    <cellStyle name="Normal 13 25 34" xfId="11634" xr:uid="{00000000-0005-0000-0000-00004D0A0000}"/>
    <cellStyle name="Normal 13 25 35" xfId="7498" xr:uid="{00000000-0005-0000-0000-00004E0A0000}"/>
    <cellStyle name="Normal 13 25 36" xfId="8697" xr:uid="{00000000-0005-0000-0000-00004F0A0000}"/>
    <cellStyle name="Normal 13 25 37" xfId="4347" xr:uid="{00000000-0005-0000-0000-0000500A0000}"/>
    <cellStyle name="Normal 13 25 38" xfId="7979" xr:uid="{00000000-0005-0000-0000-0000510A0000}"/>
    <cellStyle name="Normal 13 25 39" xfId="12088" xr:uid="{00000000-0005-0000-0000-0000520A0000}"/>
    <cellStyle name="Normal 13 25 4" xfId="27006" xr:uid="{00000000-0005-0000-0000-0000530A0000}"/>
    <cellStyle name="Normal 13 25 40" xfId="6966" xr:uid="{00000000-0005-0000-0000-0000540A0000}"/>
    <cellStyle name="Normal 13 25 41" xfId="12107" xr:uid="{00000000-0005-0000-0000-0000550A0000}"/>
    <cellStyle name="Normal 13 25 42" xfId="10826" xr:uid="{00000000-0005-0000-0000-0000560A0000}"/>
    <cellStyle name="Normal 13 25 43" xfId="5638" xr:uid="{00000000-0005-0000-0000-0000570A0000}"/>
    <cellStyle name="Normal 13 25 5" xfId="26410" xr:uid="{00000000-0005-0000-0000-0000580A0000}"/>
    <cellStyle name="Normal 13 25 6" xfId="25814" xr:uid="{00000000-0005-0000-0000-0000590A0000}"/>
    <cellStyle name="Normal 13 25 7" xfId="25217" xr:uid="{00000000-0005-0000-0000-00005A0A0000}"/>
    <cellStyle name="Normal 13 25 8" xfId="24620" xr:uid="{00000000-0005-0000-0000-00005B0A0000}"/>
    <cellStyle name="Normal 13 25 9" xfId="24023" xr:uid="{00000000-0005-0000-0000-00005C0A0000}"/>
    <cellStyle name="Normal 13 26" xfId="28798" xr:uid="{00000000-0005-0000-0000-00005D0A0000}"/>
    <cellStyle name="Normal 13 26 10" xfId="23425" xr:uid="{00000000-0005-0000-0000-00005E0A0000}"/>
    <cellStyle name="Normal 13 26 11" xfId="22828" xr:uid="{00000000-0005-0000-0000-00005F0A0000}"/>
    <cellStyle name="Normal 13 26 12" xfId="22232" xr:uid="{00000000-0005-0000-0000-0000600A0000}"/>
    <cellStyle name="Normal 13 26 13" xfId="21635" xr:uid="{00000000-0005-0000-0000-0000610A0000}"/>
    <cellStyle name="Normal 13 26 14" xfId="21038" xr:uid="{00000000-0005-0000-0000-0000620A0000}"/>
    <cellStyle name="Normal 13 26 15" xfId="20441" xr:uid="{00000000-0005-0000-0000-0000630A0000}"/>
    <cellStyle name="Normal 13 26 16" xfId="19845" xr:uid="{00000000-0005-0000-0000-0000640A0000}"/>
    <cellStyle name="Normal 13 26 17" xfId="19249" xr:uid="{00000000-0005-0000-0000-0000650A0000}"/>
    <cellStyle name="Normal 13 26 18" xfId="18654" xr:uid="{00000000-0005-0000-0000-0000660A0000}"/>
    <cellStyle name="Normal 13 26 19" xfId="18058" xr:uid="{00000000-0005-0000-0000-0000670A0000}"/>
    <cellStyle name="Normal 13 26 2" xfId="28199" xr:uid="{00000000-0005-0000-0000-0000680A0000}"/>
    <cellStyle name="Normal 13 26 20" xfId="16130" xr:uid="{00000000-0005-0000-0000-0000690A0000}"/>
    <cellStyle name="Normal 13 26 21" xfId="14249" xr:uid="{00000000-0005-0000-0000-00006A0A0000}"/>
    <cellStyle name="Normal 13 26 22" xfId="15659" xr:uid="{00000000-0005-0000-0000-00006B0A0000}"/>
    <cellStyle name="Normal 13 26 23" xfId="17040" xr:uid="{00000000-0005-0000-0000-00006C0A0000}"/>
    <cellStyle name="Normal 13 26 24" xfId="14699" xr:uid="{00000000-0005-0000-0000-00006D0A0000}"/>
    <cellStyle name="Normal 13 26 25" xfId="12955" xr:uid="{00000000-0005-0000-0000-00006E0A0000}"/>
    <cellStyle name="Normal 13 26 26" xfId="14678" xr:uid="{00000000-0005-0000-0000-00006F0A0000}"/>
    <cellStyle name="Normal 13 26 27" xfId="13731" xr:uid="{00000000-0005-0000-0000-0000700A0000}"/>
    <cellStyle name="Normal 13 26 28" xfId="12666" xr:uid="{00000000-0005-0000-0000-0000710A0000}"/>
    <cellStyle name="Normal 13 26 29" xfId="10111" xr:uid="{00000000-0005-0000-0000-0000720A0000}"/>
    <cellStyle name="Normal 13 26 3" xfId="27602" xr:uid="{00000000-0005-0000-0000-0000730A0000}"/>
    <cellStyle name="Normal 13 26 30" xfId="9526" xr:uid="{00000000-0005-0000-0000-0000740A0000}"/>
    <cellStyle name="Normal 13 26 31" xfId="8212" xr:uid="{00000000-0005-0000-0000-0000750A0000}"/>
    <cellStyle name="Normal 13 26 32" xfId="5534" xr:uid="{00000000-0005-0000-0000-0000760A0000}"/>
    <cellStyle name="Normal 13 26 33" xfId="5396" xr:uid="{00000000-0005-0000-0000-0000770A0000}"/>
    <cellStyle name="Normal 13 26 34" xfId="4835" xr:uid="{00000000-0005-0000-0000-0000780A0000}"/>
    <cellStyle name="Normal 13 26 35" xfId="5914" xr:uid="{00000000-0005-0000-0000-0000790A0000}"/>
    <cellStyle name="Normal 13 26 36" xfId="5974" xr:uid="{00000000-0005-0000-0000-00007A0A0000}"/>
    <cellStyle name="Normal 13 26 37" xfId="11848" xr:uid="{00000000-0005-0000-0000-00007B0A0000}"/>
    <cellStyle name="Normal 13 26 38" xfId="9114" xr:uid="{00000000-0005-0000-0000-00007C0A0000}"/>
    <cellStyle name="Normal 13 26 39" xfId="9111" xr:uid="{00000000-0005-0000-0000-00007D0A0000}"/>
    <cellStyle name="Normal 13 26 4" xfId="27005" xr:uid="{00000000-0005-0000-0000-00007E0A0000}"/>
    <cellStyle name="Normal 13 26 40" xfId="3451" xr:uid="{00000000-0005-0000-0000-00007F0A0000}"/>
    <cellStyle name="Normal 13 26 41" xfId="4960" xr:uid="{00000000-0005-0000-0000-0000800A0000}"/>
    <cellStyle name="Normal 13 26 42" xfId="3477" xr:uid="{00000000-0005-0000-0000-0000810A0000}"/>
    <cellStyle name="Normal 13 26 43" xfId="3256" xr:uid="{00000000-0005-0000-0000-0000820A0000}"/>
    <cellStyle name="Normal 13 26 5" xfId="26409" xr:uid="{00000000-0005-0000-0000-0000830A0000}"/>
    <cellStyle name="Normal 13 26 6" xfId="25813" xr:uid="{00000000-0005-0000-0000-0000840A0000}"/>
    <cellStyle name="Normal 13 26 7" xfId="25216" xr:uid="{00000000-0005-0000-0000-0000850A0000}"/>
    <cellStyle name="Normal 13 26 8" xfId="24619" xr:uid="{00000000-0005-0000-0000-0000860A0000}"/>
    <cellStyle name="Normal 13 26 9" xfId="24022" xr:uid="{00000000-0005-0000-0000-0000870A0000}"/>
    <cellStyle name="Normal 13 27" xfId="28217" xr:uid="{00000000-0005-0000-0000-0000880A0000}"/>
    <cellStyle name="Normal 13 28" xfId="27620" xr:uid="{00000000-0005-0000-0000-0000890A0000}"/>
    <cellStyle name="Normal 13 29" xfId="27023" xr:uid="{00000000-0005-0000-0000-00008A0A0000}"/>
    <cellStyle name="Normal 13 3" xfId="28797" xr:uid="{00000000-0005-0000-0000-00008B0A0000}"/>
    <cellStyle name="Normal 13 3 10" xfId="23424" xr:uid="{00000000-0005-0000-0000-00008C0A0000}"/>
    <cellStyle name="Normal 13 3 11" xfId="22827" xr:uid="{00000000-0005-0000-0000-00008D0A0000}"/>
    <cellStyle name="Normal 13 3 12" xfId="22231" xr:uid="{00000000-0005-0000-0000-00008E0A0000}"/>
    <cellStyle name="Normal 13 3 13" xfId="21634" xr:uid="{00000000-0005-0000-0000-00008F0A0000}"/>
    <cellStyle name="Normal 13 3 14" xfId="21037" xr:uid="{00000000-0005-0000-0000-0000900A0000}"/>
    <cellStyle name="Normal 13 3 15" xfId="20440" xr:uid="{00000000-0005-0000-0000-0000910A0000}"/>
    <cellStyle name="Normal 13 3 16" xfId="19844" xr:uid="{00000000-0005-0000-0000-0000920A0000}"/>
    <cellStyle name="Normal 13 3 17" xfId="19248" xr:uid="{00000000-0005-0000-0000-0000930A0000}"/>
    <cellStyle name="Normal 13 3 18" xfId="18653" xr:uid="{00000000-0005-0000-0000-0000940A0000}"/>
    <cellStyle name="Normal 13 3 19" xfId="18057" xr:uid="{00000000-0005-0000-0000-0000950A0000}"/>
    <cellStyle name="Normal 13 3 2" xfId="28198" xr:uid="{00000000-0005-0000-0000-0000960A0000}"/>
    <cellStyle name="Normal 13 3 20" xfId="16331" xr:uid="{00000000-0005-0000-0000-0000970A0000}"/>
    <cellStyle name="Normal 13 3 21" xfId="17225" xr:uid="{00000000-0005-0000-0000-0000980A0000}"/>
    <cellStyle name="Normal 13 3 22" xfId="16263" xr:uid="{00000000-0005-0000-0000-0000990A0000}"/>
    <cellStyle name="Normal 13 3 23" xfId="17237" xr:uid="{00000000-0005-0000-0000-00009A0A0000}"/>
    <cellStyle name="Normal 13 3 24" xfId="13336" xr:uid="{00000000-0005-0000-0000-00009B0A0000}"/>
    <cellStyle name="Normal 13 3 25" xfId="16944" xr:uid="{00000000-0005-0000-0000-00009C0A0000}"/>
    <cellStyle name="Normal 13 3 26" xfId="12815" xr:uid="{00000000-0005-0000-0000-00009D0A0000}"/>
    <cellStyle name="Normal 13 3 27" xfId="12951" xr:uid="{00000000-0005-0000-0000-00009E0A0000}"/>
    <cellStyle name="Normal 13 3 28" xfId="12665" xr:uid="{00000000-0005-0000-0000-00009F0A0000}"/>
    <cellStyle name="Normal 13 3 29" xfId="10339" xr:uid="{00000000-0005-0000-0000-0000A00A0000}"/>
    <cellStyle name="Normal 13 3 3" xfId="27601" xr:uid="{00000000-0005-0000-0000-0000A10A0000}"/>
    <cellStyle name="Normal 13 3 30" xfId="9751" xr:uid="{00000000-0005-0000-0000-0000A20A0000}"/>
    <cellStyle name="Normal 13 3 31" xfId="7640" xr:uid="{00000000-0005-0000-0000-0000A30A0000}"/>
    <cellStyle name="Normal 13 3 32" xfId="9303" xr:uid="{00000000-0005-0000-0000-0000A40A0000}"/>
    <cellStyle name="Normal 13 3 33" xfId="8839" xr:uid="{00000000-0005-0000-0000-0000A50A0000}"/>
    <cellStyle name="Normal 13 3 34" xfId="7603" xr:uid="{00000000-0005-0000-0000-0000A60A0000}"/>
    <cellStyle name="Normal 13 3 35" xfId="5214" xr:uid="{00000000-0005-0000-0000-0000A70A0000}"/>
    <cellStyle name="Normal 13 3 36" xfId="11968" xr:uid="{00000000-0005-0000-0000-0000A80A0000}"/>
    <cellStyle name="Normal 13 3 37" xfId="11162" xr:uid="{00000000-0005-0000-0000-0000A90A0000}"/>
    <cellStyle name="Normal 13 3 38" xfId="8345" xr:uid="{00000000-0005-0000-0000-0000AA0A0000}"/>
    <cellStyle name="Normal 13 3 39" xfId="4644" xr:uid="{00000000-0005-0000-0000-0000AB0A0000}"/>
    <cellStyle name="Normal 13 3 4" xfId="27004" xr:uid="{00000000-0005-0000-0000-0000AC0A0000}"/>
    <cellStyle name="Normal 13 3 40" xfId="11494" xr:uid="{00000000-0005-0000-0000-0000AD0A0000}"/>
    <cellStyle name="Normal 13 3 41" xfId="7360" xr:uid="{00000000-0005-0000-0000-0000AE0A0000}"/>
    <cellStyle name="Normal 13 3 42" xfId="7873" xr:uid="{00000000-0005-0000-0000-0000AF0A0000}"/>
    <cellStyle name="Normal 13 3 43" xfId="3914" xr:uid="{00000000-0005-0000-0000-0000B00A0000}"/>
    <cellStyle name="Normal 13 3 44" xfId="3051" xr:uid="{00000000-0005-0000-0000-0000B10A0000}"/>
    <cellStyle name="Normal 13 3 45" xfId="2807" xr:uid="{00000000-0005-0000-0000-0000B20A0000}"/>
    <cellStyle name="Normal 13 3 46" xfId="2567" xr:uid="{00000000-0005-0000-0000-0000B30A0000}"/>
    <cellStyle name="Normal 13 3 47" xfId="2327" xr:uid="{00000000-0005-0000-0000-0000B40A0000}"/>
    <cellStyle name="Normal 13 3 48" xfId="2087" xr:uid="{00000000-0005-0000-0000-0000B50A0000}"/>
    <cellStyle name="Normal 13 3 49" xfId="1847" xr:uid="{00000000-0005-0000-0000-0000B60A0000}"/>
    <cellStyle name="Normal 13 3 5" xfId="26408" xr:uid="{00000000-0005-0000-0000-0000B70A0000}"/>
    <cellStyle name="Normal 13 3 50" xfId="1608" xr:uid="{00000000-0005-0000-0000-0000B80A0000}"/>
    <cellStyle name="Normal 13 3 51" xfId="1368" xr:uid="{00000000-0005-0000-0000-0000B90A0000}"/>
    <cellStyle name="Normal 13 3 52" xfId="1128" xr:uid="{00000000-0005-0000-0000-0000BA0A0000}"/>
    <cellStyle name="Normal 13 3 53" xfId="888" xr:uid="{00000000-0005-0000-0000-0000BB0A0000}"/>
    <cellStyle name="Normal 13 3 54" xfId="648" xr:uid="{00000000-0005-0000-0000-0000BC0A0000}"/>
    <cellStyle name="Normal 13 3 55" xfId="408" xr:uid="{00000000-0005-0000-0000-0000BD0A0000}"/>
    <cellStyle name="Normal 13 3 56" xfId="169" xr:uid="{00000000-0005-0000-0000-0000BE0A0000}"/>
    <cellStyle name="Normal 13 3 6" xfId="25812" xr:uid="{00000000-0005-0000-0000-0000BF0A0000}"/>
    <cellStyle name="Normal 13 3 7" xfId="25215" xr:uid="{00000000-0005-0000-0000-0000C00A0000}"/>
    <cellStyle name="Normal 13 3 8" xfId="24618" xr:uid="{00000000-0005-0000-0000-0000C10A0000}"/>
    <cellStyle name="Normal 13 3 9" xfId="24021" xr:uid="{00000000-0005-0000-0000-0000C20A0000}"/>
    <cellStyle name="Normal 13 30" xfId="26427" xr:uid="{00000000-0005-0000-0000-0000C30A0000}"/>
    <cellStyle name="Normal 13 31" xfId="25831" xr:uid="{00000000-0005-0000-0000-0000C40A0000}"/>
    <cellStyle name="Normal 13 32" xfId="25234" xr:uid="{00000000-0005-0000-0000-0000C50A0000}"/>
    <cellStyle name="Normal 13 33" xfId="24637" xr:uid="{00000000-0005-0000-0000-0000C60A0000}"/>
    <cellStyle name="Normal 13 34" xfId="24040" xr:uid="{00000000-0005-0000-0000-0000C70A0000}"/>
    <cellStyle name="Normal 13 35" xfId="23443" xr:uid="{00000000-0005-0000-0000-0000C80A0000}"/>
    <cellStyle name="Normal 13 36" xfId="22846" xr:uid="{00000000-0005-0000-0000-0000C90A0000}"/>
    <cellStyle name="Normal 13 37" xfId="22250" xr:uid="{00000000-0005-0000-0000-0000CA0A0000}"/>
    <cellStyle name="Normal 13 38" xfId="21653" xr:uid="{00000000-0005-0000-0000-0000CB0A0000}"/>
    <cellStyle name="Normal 13 39" xfId="21056" xr:uid="{00000000-0005-0000-0000-0000CC0A0000}"/>
    <cellStyle name="Normal 13 4" xfId="28796" xr:uid="{00000000-0005-0000-0000-0000CD0A0000}"/>
    <cellStyle name="Normal 13 4 10" xfId="23423" xr:uid="{00000000-0005-0000-0000-0000CE0A0000}"/>
    <cellStyle name="Normal 13 4 11" xfId="22826" xr:uid="{00000000-0005-0000-0000-0000CF0A0000}"/>
    <cellStyle name="Normal 13 4 12" xfId="22230" xr:uid="{00000000-0005-0000-0000-0000D00A0000}"/>
    <cellStyle name="Normal 13 4 13" xfId="21633" xr:uid="{00000000-0005-0000-0000-0000D10A0000}"/>
    <cellStyle name="Normal 13 4 14" xfId="21036" xr:uid="{00000000-0005-0000-0000-0000D20A0000}"/>
    <cellStyle name="Normal 13 4 15" xfId="20439" xr:uid="{00000000-0005-0000-0000-0000D30A0000}"/>
    <cellStyle name="Normal 13 4 16" xfId="19843" xr:uid="{00000000-0005-0000-0000-0000D40A0000}"/>
    <cellStyle name="Normal 13 4 17" xfId="19247" xr:uid="{00000000-0005-0000-0000-0000D50A0000}"/>
    <cellStyle name="Normal 13 4 18" xfId="18652" xr:uid="{00000000-0005-0000-0000-0000D60A0000}"/>
    <cellStyle name="Normal 13 4 19" xfId="18056" xr:uid="{00000000-0005-0000-0000-0000D70A0000}"/>
    <cellStyle name="Normal 13 4 2" xfId="28197" xr:uid="{00000000-0005-0000-0000-0000D80A0000}"/>
    <cellStyle name="Normal 13 4 20" xfId="16521" xr:uid="{00000000-0005-0000-0000-0000D90A0000}"/>
    <cellStyle name="Normal 13 4 21" xfId="16808" xr:uid="{00000000-0005-0000-0000-0000DA0A0000}"/>
    <cellStyle name="Normal 13 4 22" xfId="17073" xr:uid="{00000000-0005-0000-0000-0000DB0A0000}"/>
    <cellStyle name="Normal 13 4 23" xfId="15028" xr:uid="{00000000-0005-0000-0000-0000DC0A0000}"/>
    <cellStyle name="Normal 13 4 24" xfId="16502" xr:uid="{00000000-0005-0000-0000-0000DD0A0000}"/>
    <cellStyle name="Normal 13 4 25" xfId="13818" xr:uid="{00000000-0005-0000-0000-0000DE0A0000}"/>
    <cellStyle name="Normal 13 4 26" xfId="12835" xr:uid="{00000000-0005-0000-0000-0000DF0A0000}"/>
    <cellStyle name="Normal 13 4 27" xfId="13250" xr:uid="{00000000-0005-0000-0000-0000E00A0000}"/>
    <cellStyle name="Normal 13 4 28" xfId="12664" xr:uid="{00000000-0005-0000-0000-0000E10A0000}"/>
    <cellStyle name="Normal 13 4 29" xfId="10567" xr:uid="{00000000-0005-0000-0000-0000E20A0000}"/>
    <cellStyle name="Normal 13 4 3" xfId="27600" xr:uid="{00000000-0005-0000-0000-0000E30A0000}"/>
    <cellStyle name="Normal 13 4 30" xfId="9738" xr:uid="{00000000-0005-0000-0000-0000E40A0000}"/>
    <cellStyle name="Normal 13 4 31" xfId="9400" xr:uid="{00000000-0005-0000-0000-0000E50A0000}"/>
    <cellStyle name="Normal 13 4 32" xfId="7538" xr:uid="{00000000-0005-0000-0000-0000E60A0000}"/>
    <cellStyle name="Normal 13 4 33" xfId="9033" xr:uid="{00000000-0005-0000-0000-0000E70A0000}"/>
    <cellStyle name="Normal 13 4 34" xfId="9236" xr:uid="{00000000-0005-0000-0000-0000E80A0000}"/>
    <cellStyle name="Normal 13 4 35" xfId="10850" xr:uid="{00000000-0005-0000-0000-0000E90A0000}"/>
    <cellStyle name="Normal 13 4 36" xfId="10461" xr:uid="{00000000-0005-0000-0000-0000EA0A0000}"/>
    <cellStyle name="Normal 13 4 37" xfId="12109" xr:uid="{00000000-0005-0000-0000-0000EB0A0000}"/>
    <cellStyle name="Normal 13 4 38" xfId="4645" xr:uid="{00000000-0005-0000-0000-0000EC0A0000}"/>
    <cellStyle name="Normal 13 4 39" xfId="8916" xr:uid="{00000000-0005-0000-0000-0000ED0A0000}"/>
    <cellStyle name="Normal 13 4 4" xfId="27003" xr:uid="{00000000-0005-0000-0000-0000EE0A0000}"/>
    <cellStyle name="Normal 13 4 40" xfId="8602" xr:uid="{00000000-0005-0000-0000-0000EF0A0000}"/>
    <cellStyle name="Normal 13 4 41" xfId="9681" xr:uid="{00000000-0005-0000-0000-0000F00A0000}"/>
    <cellStyle name="Normal 13 4 42" xfId="8119" xr:uid="{00000000-0005-0000-0000-0000F10A0000}"/>
    <cellStyle name="Normal 13 4 43" xfId="8763" xr:uid="{00000000-0005-0000-0000-0000F20A0000}"/>
    <cellStyle name="Normal 13 4 44" xfId="3050" xr:uid="{00000000-0005-0000-0000-0000F30A0000}"/>
    <cellStyle name="Normal 13 4 45" xfId="2806" xr:uid="{00000000-0005-0000-0000-0000F40A0000}"/>
    <cellStyle name="Normal 13 4 46" xfId="2566" xr:uid="{00000000-0005-0000-0000-0000F50A0000}"/>
    <cellStyle name="Normal 13 4 47" xfId="2326" xr:uid="{00000000-0005-0000-0000-0000F60A0000}"/>
    <cellStyle name="Normal 13 4 48" xfId="2086" xr:uid="{00000000-0005-0000-0000-0000F70A0000}"/>
    <cellStyle name="Normal 13 4 49" xfId="1846" xr:uid="{00000000-0005-0000-0000-0000F80A0000}"/>
    <cellStyle name="Normal 13 4 5" xfId="26407" xr:uid="{00000000-0005-0000-0000-0000F90A0000}"/>
    <cellStyle name="Normal 13 4 50" xfId="1607" xr:uid="{00000000-0005-0000-0000-0000FA0A0000}"/>
    <cellStyle name="Normal 13 4 51" xfId="1367" xr:uid="{00000000-0005-0000-0000-0000FB0A0000}"/>
    <cellStyle name="Normal 13 4 52" xfId="1127" xr:uid="{00000000-0005-0000-0000-0000FC0A0000}"/>
    <cellStyle name="Normal 13 4 53" xfId="887" xr:uid="{00000000-0005-0000-0000-0000FD0A0000}"/>
    <cellStyle name="Normal 13 4 54" xfId="647" xr:uid="{00000000-0005-0000-0000-0000FE0A0000}"/>
    <cellStyle name="Normal 13 4 55" xfId="407" xr:uid="{00000000-0005-0000-0000-0000FF0A0000}"/>
    <cellStyle name="Normal 13 4 56" xfId="168" xr:uid="{00000000-0005-0000-0000-0000000B0000}"/>
    <cellStyle name="Normal 13 4 6" xfId="25811" xr:uid="{00000000-0005-0000-0000-0000010B0000}"/>
    <cellStyle name="Normal 13 4 7" xfId="25214" xr:uid="{00000000-0005-0000-0000-0000020B0000}"/>
    <cellStyle name="Normal 13 4 8" xfId="24617" xr:uid="{00000000-0005-0000-0000-0000030B0000}"/>
    <cellStyle name="Normal 13 4 9" xfId="24020" xr:uid="{00000000-0005-0000-0000-0000040B0000}"/>
    <cellStyle name="Normal 13 40" xfId="20459" xr:uid="{00000000-0005-0000-0000-0000050B0000}"/>
    <cellStyle name="Normal 13 41" xfId="19863" xr:uid="{00000000-0005-0000-0000-0000060B0000}"/>
    <cellStyle name="Normal 13 42" xfId="19267" xr:uid="{00000000-0005-0000-0000-0000070B0000}"/>
    <cellStyle name="Normal 13 43" xfId="18672" xr:uid="{00000000-0005-0000-0000-0000080B0000}"/>
    <cellStyle name="Normal 13 44" xfId="18076" xr:uid="{00000000-0005-0000-0000-0000090B0000}"/>
    <cellStyle name="Normal 13 45" xfId="15921" xr:uid="{00000000-0005-0000-0000-00000A0B0000}"/>
    <cellStyle name="Normal 13 46" xfId="15052" xr:uid="{00000000-0005-0000-0000-00000B0B0000}"/>
    <cellStyle name="Normal 13 47" xfId="16250" xr:uid="{00000000-0005-0000-0000-00000C0B0000}"/>
    <cellStyle name="Normal 13 48" xfId="14467" xr:uid="{00000000-0005-0000-0000-00000D0B0000}"/>
    <cellStyle name="Normal 13 49" xfId="14956" xr:uid="{00000000-0005-0000-0000-00000E0B0000}"/>
    <cellStyle name="Normal 13 5" xfId="28795" xr:uid="{00000000-0005-0000-0000-00000F0B0000}"/>
    <cellStyle name="Normal 13 5 10" xfId="23422" xr:uid="{00000000-0005-0000-0000-0000100B0000}"/>
    <cellStyle name="Normal 13 5 11" xfId="22825" xr:uid="{00000000-0005-0000-0000-0000110B0000}"/>
    <cellStyle name="Normal 13 5 12" xfId="22229" xr:uid="{00000000-0005-0000-0000-0000120B0000}"/>
    <cellStyle name="Normal 13 5 13" xfId="21632" xr:uid="{00000000-0005-0000-0000-0000130B0000}"/>
    <cellStyle name="Normal 13 5 14" xfId="21035" xr:uid="{00000000-0005-0000-0000-0000140B0000}"/>
    <cellStyle name="Normal 13 5 15" xfId="20438" xr:uid="{00000000-0005-0000-0000-0000150B0000}"/>
    <cellStyle name="Normal 13 5 16" xfId="19842" xr:uid="{00000000-0005-0000-0000-0000160B0000}"/>
    <cellStyle name="Normal 13 5 17" xfId="19246" xr:uid="{00000000-0005-0000-0000-0000170B0000}"/>
    <cellStyle name="Normal 13 5 18" xfId="18651" xr:uid="{00000000-0005-0000-0000-0000180B0000}"/>
    <cellStyle name="Normal 13 5 19" xfId="18055" xr:uid="{00000000-0005-0000-0000-0000190B0000}"/>
    <cellStyle name="Normal 13 5 2" xfId="28196" xr:uid="{00000000-0005-0000-0000-00001A0B0000}"/>
    <cellStyle name="Normal 13 5 20" xfId="16715" xr:uid="{00000000-0005-0000-0000-00001B0B0000}"/>
    <cellStyle name="Normal 13 5 21" xfId="16416" xr:uid="{00000000-0005-0000-0000-00001C0B0000}"/>
    <cellStyle name="Normal 13 5 22" xfId="17291" xr:uid="{00000000-0005-0000-0000-00001D0B0000}"/>
    <cellStyle name="Normal 13 5 23" xfId="15792" xr:uid="{00000000-0005-0000-0000-00001E0B0000}"/>
    <cellStyle name="Normal 13 5 24" xfId="17367" xr:uid="{00000000-0005-0000-0000-00001F0B0000}"/>
    <cellStyle name="Normal 13 5 25" xfId="14682" xr:uid="{00000000-0005-0000-0000-0000200B0000}"/>
    <cellStyle name="Normal 13 5 26" xfId="12850" xr:uid="{00000000-0005-0000-0000-0000210B0000}"/>
    <cellStyle name="Normal 13 5 27" xfId="13754" xr:uid="{00000000-0005-0000-0000-0000220B0000}"/>
    <cellStyle name="Normal 13 5 28" xfId="12663" xr:uid="{00000000-0005-0000-0000-0000230B0000}"/>
    <cellStyle name="Normal 13 5 29" xfId="10782" xr:uid="{00000000-0005-0000-0000-0000240B0000}"/>
    <cellStyle name="Normal 13 5 3" xfId="27599" xr:uid="{00000000-0005-0000-0000-0000250B0000}"/>
    <cellStyle name="Normal 13 5 30" xfId="9956" xr:uid="{00000000-0005-0000-0000-0000260B0000}"/>
    <cellStyle name="Normal 13 5 31" xfId="9399" xr:uid="{00000000-0005-0000-0000-0000270B0000}"/>
    <cellStyle name="Normal 13 5 32" xfId="7125" xr:uid="{00000000-0005-0000-0000-0000280B0000}"/>
    <cellStyle name="Normal 13 5 33" xfId="6242" xr:uid="{00000000-0005-0000-0000-0000290B0000}"/>
    <cellStyle name="Normal 13 5 34" xfId="6654" xr:uid="{00000000-0005-0000-0000-00002A0B0000}"/>
    <cellStyle name="Normal 13 5 35" xfId="9626" xr:uid="{00000000-0005-0000-0000-00002B0B0000}"/>
    <cellStyle name="Normal 13 5 36" xfId="10951" xr:uid="{00000000-0005-0000-0000-00002C0B0000}"/>
    <cellStyle name="Normal 13 5 37" xfId="9422" xr:uid="{00000000-0005-0000-0000-00002D0B0000}"/>
    <cellStyle name="Normal 13 5 38" xfId="3967" xr:uid="{00000000-0005-0000-0000-00002E0B0000}"/>
    <cellStyle name="Normal 13 5 39" xfId="5651" xr:uid="{00000000-0005-0000-0000-00002F0B0000}"/>
    <cellStyle name="Normal 13 5 4" xfId="27002" xr:uid="{00000000-0005-0000-0000-0000300B0000}"/>
    <cellStyle name="Normal 13 5 40" xfId="8995" xr:uid="{00000000-0005-0000-0000-0000310B0000}"/>
    <cellStyle name="Normal 13 5 41" xfId="7528" xr:uid="{00000000-0005-0000-0000-0000320B0000}"/>
    <cellStyle name="Normal 13 5 42" xfId="5196" xr:uid="{00000000-0005-0000-0000-0000330B0000}"/>
    <cellStyle name="Normal 13 5 43" xfId="4535" xr:uid="{00000000-0005-0000-0000-0000340B0000}"/>
    <cellStyle name="Normal 13 5 44" xfId="3049" xr:uid="{00000000-0005-0000-0000-0000350B0000}"/>
    <cellStyle name="Normal 13 5 45" xfId="2805" xr:uid="{00000000-0005-0000-0000-0000360B0000}"/>
    <cellStyle name="Normal 13 5 46" xfId="2565" xr:uid="{00000000-0005-0000-0000-0000370B0000}"/>
    <cellStyle name="Normal 13 5 47" xfId="2325" xr:uid="{00000000-0005-0000-0000-0000380B0000}"/>
    <cellStyle name="Normal 13 5 48" xfId="2085" xr:uid="{00000000-0005-0000-0000-0000390B0000}"/>
    <cellStyle name="Normal 13 5 49" xfId="1845" xr:uid="{00000000-0005-0000-0000-00003A0B0000}"/>
    <cellStyle name="Normal 13 5 5" xfId="26406" xr:uid="{00000000-0005-0000-0000-00003B0B0000}"/>
    <cellStyle name="Normal 13 5 50" xfId="1606" xr:uid="{00000000-0005-0000-0000-00003C0B0000}"/>
    <cellStyle name="Normal 13 5 51" xfId="1366" xr:uid="{00000000-0005-0000-0000-00003D0B0000}"/>
    <cellStyle name="Normal 13 5 52" xfId="1126" xr:uid="{00000000-0005-0000-0000-00003E0B0000}"/>
    <cellStyle name="Normal 13 5 53" xfId="886" xr:uid="{00000000-0005-0000-0000-00003F0B0000}"/>
    <cellStyle name="Normal 13 5 54" xfId="646" xr:uid="{00000000-0005-0000-0000-0000400B0000}"/>
    <cellStyle name="Normal 13 5 55" xfId="406" xr:uid="{00000000-0005-0000-0000-0000410B0000}"/>
    <cellStyle name="Normal 13 5 56" xfId="167" xr:uid="{00000000-0005-0000-0000-0000420B0000}"/>
    <cellStyle name="Normal 13 5 6" xfId="25810" xr:uid="{00000000-0005-0000-0000-0000430B0000}"/>
    <cellStyle name="Normal 13 5 7" xfId="25213" xr:uid="{00000000-0005-0000-0000-0000440B0000}"/>
    <cellStyle name="Normal 13 5 8" xfId="24616" xr:uid="{00000000-0005-0000-0000-0000450B0000}"/>
    <cellStyle name="Normal 13 5 9" xfId="24019" xr:uid="{00000000-0005-0000-0000-0000460B0000}"/>
    <cellStyle name="Normal 13 50" xfId="14803" xr:uid="{00000000-0005-0000-0000-0000470B0000}"/>
    <cellStyle name="Normal 13 51" xfId="13196" xr:uid="{00000000-0005-0000-0000-0000480B0000}"/>
    <cellStyle name="Normal 13 52" xfId="13353" xr:uid="{00000000-0005-0000-0000-0000490B0000}"/>
    <cellStyle name="Normal 13 53" xfId="12684" xr:uid="{00000000-0005-0000-0000-00004A0B0000}"/>
    <cellStyle name="Normal 13 54" xfId="6693" xr:uid="{00000000-0005-0000-0000-00004B0B0000}"/>
    <cellStyle name="Normal 13 55" xfId="5851" xr:uid="{00000000-0005-0000-0000-00004C0B0000}"/>
    <cellStyle name="Normal 13 56" xfId="7540" xr:uid="{00000000-0005-0000-0000-00004D0B0000}"/>
    <cellStyle name="Normal 13 57" xfId="6193" xr:uid="{00000000-0005-0000-0000-00004E0B0000}"/>
    <cellStyle name="Normal 13 58" xfId="9768" xr:uid="{00000000-0005-0000-0000-00004F0B0000}"/>
    <cellStyle name="Normal 13 59" xfId="11033" xr:uid="{00000000-0005-0000-0000-0000500B0000}"/>
    <cellStyle name="Normal 13 6" xfId="28794" xr:uid="{00000000-0005-0000-0000-0000510B0000}"/>
    <cellStyle name="Normal 13 6 10" xfId="23421" xr:uid="{00000000-0005-0000-0000-0000520B0000}"/>
    <cellStyle name="Normal 13 6 11" xfId="22824" xr:uid="{00000000-0005-0000-0000-0000530B0000}"/>
    <cellStyle name="Normal 13 6 12" xfId="22228" xr:uid="{00000000-0005-0000-0000-0000540B0000}"/>
    <cellStyle name="Normal 13 6 13" xfId="21631" xr:uid="{00000000-0005-0000-0000-0000550B0000}"/>
    <cellStyle name="Normal 13 6 14" xfId="21034" xr:uid="{00000000-0005-0000-0000-0000560B0000}"/>
    <cellStyle name="Normal 13 6 15" xfId="20437" xr:uid="{00000000-0005-0000-0000-0000570B0000}"/>
    <cellStyle name="Normal 13 6 16" xfId="19841" xr:uid="{00000000-0005-0000-0000-0000580B0000}"/>
    <cellStyle name="Normal 13 6 17" xfId="19245" xr:uid="{00000000-0005-0000-0000-0000590B0000}"/>
    <cellStyle name="Normal 13 6 18" xfId="18650" xr:uid="{00000000-0005-0000-0000-00005A0B0000}"/>
    <cellStyle name="Normal 13 6 19" xfId="18054" xr:uid="{00000000-0005-0000-0000-00005B0B0000}"/>
    <cellStyle name="Normal 13 6 2" xfId="28195" xr:uid="{00000000-0005-0000-0000-00005C0B0000}"/>
    <cellStyle name="Normal 13 6 20" xfId="16912" xr:uid="{00000000-0005-0000-0000-00005D0B0000}"/>
    <cellStyle name="Normal 13 6 21" xfId="16787" xr:uid="{00000000-0005-0000-0000-00005E0B0000}"/>
    <cellStyle name="Normal 13 6 22" xfId="14318" xr:uid="{00000000-0005-0000-0000-00005F0B0000}"/>
    <cellStyle name="Normal 13 6 23" xfId="16318" xr:uid="{00000000-0005-0000-0000-0000600B0000}"/>
    <cellStyle name="Normal 13 6 24" xfId="15204" xr:uid="{00000000-0005-0000-0000-0000610B0000}"/>
    <cellStyle name="Normal 13 6 25" xfId="17203" xr:uid="{00000000-0005-0000-0000-0000620B0000}"/>
    <cellStyle name="Normal 13 6 26" xfId="17103" xr:uid="{00000000-0005-0000-0000-0000630B0000}"/>
    <cellStyle name="Normal 13 6 27" xfId="12749" xr:uid="{00000000-0005-0000-0000-0000640B0000}"/>
    <cellStyle name="Normal 13 6 28" xfId="12662" xr:uid="{00000000-0005-0000-0000-0000650B0000}"/>
    <cellStyle name="Normal 13 6 29" xfId="11002" xr:uid="{00000000-0005-0000-0000-0000660B0000}"/>
    <cellStyle name="Normal 13 6 3" xfId="27598" xr:uid="{00000000-0005-0000-0000-0000670B0000}"/>
    <cellStyle name="Normal 13 6 30" xfId="7721" xr:uid="{00000000-0005-0000-0000-0000680B0000}"/>
    <cellStyle name="Normal 13 6 31" xfId="7078" xr:uid="{00000000-0005-0000-0000-0000690B0000}"/>
    <cellStyle name="Normal 13 6 32" xfId="7229" xr:uid="{00000000-0005-0000-0000-00006A0B0000}"/>
    <cellStyle name="Normal 13 6 33" xfId="11541" xr:uid="{00000000-0005-0000-0000-00006B0B0000}"/>
    <cellStyle name="Normal 13 6 34" xfId="10871" xr:uid="{00000000-0005-0000-0000-00006C0B0000}"/>
    <cellStyle name="Normal 13 6 35" xfId="9567" xr:uid="{00000000-0005-0000-0000-00006D0B0000}"/>
    <cellStyle name="Normal 13 6 36" xfId="4585" xr:uid="{00000000-0005-0000-0000-00006E0B0000}"/>
    <cellStyle name="Normal 13 6 37" xfId="5741" xr:uid="{00000000-0005-0000-0000-00006F0B0000}"/>
    <cellStyle name="Normal 13 6 38" xfId="3959" xr:uid="{00000000-0005-0000-0000-0000700B0000}"/>
    <cellStyle name="Normal 13 6 39" xfId="9115" xr:uid="{00000000-0005-0000-0000-0000710B0000}"/>
    <cellStyle name="Normal 13 6 4" xfId="27001" xr:uid="{00000000-0005-0000-0000-0000720B0000}"/>
    <cellStyle name="Normal 13 6 40" xfId="3669" xr:uid="{00000000-0005-0000-0000-0000730B0000}"/>
    <cellStyle name="Normal 13 6 41" xfId="9158" xr:uid="{00000000-0005-0000-0000-0000740B0000}"/>
    <cellStyle name="Normal 13 6 42" xfId="3748" xr:uid="{00000000-0005-0000-0000-0000750B0000}"/>
    <cellStyle name="Normal 13 6 43" xfId="3208" xr:uid="{00000000-0005-0000-0000-0000760B0000}"/>
    <cellStyle name="Normal 13 6 44" xfId="3048" xr:uid="{00000000-0005-0000-0000-0000770B0000}"/>
    <cellStyle name="Normal 13 6 45" xfId="2804" xr:uid="{00000000-0005-0000-0000-0000780B0000}"/>
    <cellStyle name="Normal 13 6 46" xfId="2564" xr:uid="{00000000-0005-0000-0000-0000790B0000}"/>
    <cellStyle name="Normal 13 6 47" xfId="2324" xr:uid="{00000000-0005-0000-0000-00007A0B0000}"/>
    <cellStyle name="Normal 13 6 48" xfId="2084" xr:uid="{00000000-0005-0000-0000-00007B0B0000}"/>
    <cellStyle name="Normal 13 6 49" xfId="1844" xr:uid="{00000000-0005-0000-0000-00007C0B0000}"/>
    <cellStyle name="Normal 13 6 5" xfId="26405" xr:uid="{00000000-0005-0000-0000-00007D0B0000}"/>
    <cellStyle name="Normal 13 6 50" xfId="1605" xr:uid="{00000000-0005-0000-0000-00007E0B0000}"/>
    <cellStyle name="Normal 13 6 51" xfId="1365" xr:uid="{00000000-0005-0000-0000-00007F0B0000}"/>
    <cellStyle name="Normal 13 6 52" xfId="1125" xr:uid="{00000000-0005-0000-0000-0000800B0000}"/>
    <cellStyle name="Normal 13 6 53" xfId="885" xr:uid="{00000000-0005-0000-0000-0000810B0000}"/>
    <cellStyle name="Normal 13 6 54" xfId="645" xr:uid="{00000000-0005-0000-0000-0000820B0000}"/>
    <cellStyle name="Normal 13 6 55" xfId="405" xr:uid="{00000000-0005-0000-0000-0000830B0000}"/>
    <cellStyle name="Normal 13 6 56" xfId="166" xr:uid="{00000000-0005-0000-0000-0000840B0000}"/>
    <cellStyle name="Normal 13 6 6" xfId="25809" xr:uid="{00000000-0005-0000-0000-0000850B0000}"/>
    <cellStyle name="Normal 13 6 7" xfId="25212" xr:uid="{00000000-0005-0000-0000-0000860B0000}"/>
    <cellStyle name="Normal 13 6 8" xfId="24615" xr:uid="{00000000-0005-0000-0000-0000870B0000}"/>
    <cellStyle name="Normal 13 6 9" xfId="24018" xr:uid="{00000000-0005-0000-0000-0000880B0000}"/>
    <cellStyle name="Normal 13 60" xfId="4838" xr:uid="{00000000-0005-0000-0000-0000890B0000}"/>
    <cellStyle name="Normal 13 61" xfId="9906" xr:uid="{00000000-0005-0000-0000-00008A0B0000}"/>
    <cellStyle name="Normal 13 62" xfId="8978" xr:uid="{00000000-0005-0000-0000-00008B0B0000}"/>
    <cellStyle name="Normal 13 63" xfId="7107" xr:uid="{00000000-0005-0000-0000-00008C0B0000}"/>
    <cellStyle name="Normal 13 64" xfId="11307" xr:uid="{00000000-0005-0000-0000-00008D0B0000}"/>
    <cellStyle name="Normal 13 65" xfId="4166" xr:uid="{00000000-0005-0000-0000-00008E0B0000}"/>
    <cellStyle name="Normal 13 66" xfId="10983" xr:uid="{00000000-0005-0000-0000-00008F0B0000}"/>
    <cellStyle name="Normal 13 67" xfId="3184" xr:uid="{00000000-0005-0000-0000-0000900B0000}"/>
    <cellStyle name="Normal 13 68" xfId="8122" xr:uid="{00000000-0005-0000-0000-0000910B0000}"/>
    <cellStyle name="Normal 13 69" xfId="3055" xr:uid="{00000000-0005-0000-0000-0000920B0000}"/>
    <cellStyle name="Normal 13 7" xfId="28793" xr:uid="{00000000-0005-0000-0000-0000930B0000}"/>
    <cellStyle name="Normal 13 7 10" xfId="23420" xr:uid="{00000000-0005-0000-0000-0000940B0000}"/>
    <cellStyle name="Normal 13 7 11" xfId="22823" xr:uid="{00000000-0005-0000-0000-0000950B0000}"/>
    <cellStyle name="Normal 13 7 12" xfId="22227" xr:uid="{00000000-0005-0000-0000-0000960B0000}"/>
    <cellStyle name="Normal 13 7 13" xfId="21630" xr:uid="{00000000-0005-0000-0000-0000970B0000}"/>
    <cellStyle name="Normal 13 7 14" xfId="21033" xr:uid="{00000000-0005-0000-0000-0000980B0000}"/>
    <cellStyle name="Normal 13 7 15" xfId="20436" xr:uid="{00000000-0005-0000-0000-0000990B0000}"/>
    <cellStyle name="Normal 13 7 16" xfId="19840" xr:uid="{00000000-0005-0000-0000-00009A0B0000}"/>
    <cellStyle name="Normal 13 7 17" xfId="19244" xr:uid="{00000000-0005-0000-0000-00009B0B0000}"/>
    <cellStyle name="Normal 13 7 18" xfId="18649" xr:uid="{00000000-0005-0000-0000-00009C0B0000}"/>
    <cellStyle name="Normal 13 7 19" xfId="18053" xr:uid="{00000000-0005-0000-0000-00009D0B0000}"/>
    <cellStyle name="Normal 13 7 2" xfId="28194" xr:uid="{00000000-0005-0000-0000-00009E0B0000}"/>
    <cellStyle name="Normal 13 7 20" xfId="17119" xr:uid="{00000000-0005-0000-0000-00009F0B0000}"/>
    <cellStyle name="Normal 13 7 21" xfId="17187" xr:uid="{00000000-0005-0000-0000-0000A00B0000}"/>
    <cellStyle name="Normal 13 7 22" xfId="14960" xr:uid="{00000000-0005-0000-0000-0000A10B0000}"/>
    <cellStyle name="Normal 13 7 23" xfId="15104" xr:uid="{00000000-0005-0000-0000-0000A20B0000}"/>
    <cellStyle name="Normal 13 7 24" xfId="13778" xr:uid="{00000000-0005-0000-0000-0000A30B0000}"/>
    <cellStyle name="Normal 13 7 25" xfId="14010" xr:uid="{00000000-0005-0000-0000-0000A40B0000}"/>
    <cellStyle name="Normal 13 7 26" xfId="14688" xr:uid="{00000000-0005-0000-0000-0000A50B0000}"/>
    <cellStyle name="Normal 13 7 27" xfId="12763" xr:uid="{00000000-0005-0000-0000-0000A60B0000}"/>
    <cellStyle name="Normal 13 7 28" xfId="12661" xr:uid="{00000000-0005-0000-0000-0000A70B0000}"/>
    <cellStyle name="Normal 13 7 29" xfId="11229" xr:uid="{00000000-0005-0000-0000-0000A80B0000}"/>
    <cellStyle name="Normal 13 7 3" xfId="27597" xr:uid="{00000000-0005-0000-0000-0000A90B0000}"/>
    <cellStyle name="Normal 13 7 30" xfId="11751" xr:uid="{00000000-0005-0000-0000-0000AA0B0000}"/>
    <cellStyle name="Normal 13 7 31" xfId="9389" xr:uid="{00000000-0005-0000-0000-0000AB0B0000}"/>
    <cellStyle name="Normal 13 7 32" xfId="10131" xr:uid="{00000000-0005-0000-0000-0000AC0B0000}"/>
    <cellStyle name="Normal 13 7 33" xfId="11631" xr:uid="{00000000-0005-0000-0000-0000AD0B0000}"/>
    <cellStyle name="Normal 13 7 34" xfId="5793" xr:uid="{00000000-0005-0000-0000-0000AE0B0000}"/>
    <cellStyle name="Normal 13 7 35" xfId="7455" xr:uid="{00000000-0005-0000-0000-0000AF0B0000}"/>
    <cellStyle name="Normal 13 7 36" xfId="5076" xr:uid="{00000000-0005-0000-0000-0000B00B0000}"/>
    <cellStyle name="Normal 13 7 37" xfId="4189" xr:uid="{00000000-0005-0000-0000-0000B10B0000}"/>
    <cellStyle name="Normal 13 7 38" xfId="8564" xr:uid="{00000000-0005-0000-0000-0000B20B0000}"/>
    <cellStyle name="Normal 13 7 39" xfId="4053" xr:uid="{00000000-0005-0000-0000-0000B30B0000}"/>
    <cellStyle name="Normal 13 7 4" xfId="27000" xr:uid="{00000000-0005-0000-0000-0000B40B0000}"/>
    <cellStyle name="Normal 13 7 40" xfId="3632" xr:uid="{00000000-0005-0000-0000-0000B50B0000}"/>
    <cellStyle name="Normal 13 7 41" xfId="10634" xr:uid="{00000000-0005-0000-0000-0000B60B0000}"/>
    <cellStyle name="Normal 13 7 42" xfId="3585" xr:uid="{00000000-0005-0000-0000-0000B70B0000}"/>
    <cellStyle name="Normal 13 7 43" xfId="5787" xr:uid="{00000000-0005-0000-0000-0000B80B0000}"/>
    <cellStyle name="Normal 13 7 44" xfId="3047" xr:uid="{00000000-0005-0000-0000-0000B90B0000}"/>
    <cellStyle name="Normal 13 7 45" xfId="2803" xr:uid="{00000000-0005-0000-0000-0000BA0B0000}"/>
    <cellStyle name="Normal 13 7 46" xfId="2563" xr:uid="{00000000-0005-0000-0000-0000BB0B0000}"/>
    <cellStyle name="Normal 13 7 47" xfId="2323" xr:uid="{00000000-0005-0000-0000-0000BC0B0000}"/>
    <cellStyle name="Normal 13 7 48" xfId="2083" xr:uid="{00000000-0005-0000-0000-0000BD0B0000}"/>
    <cellStyle name="Normal 13 7 49" xfId="1843" xr:uid="{00000000-0005-0000-0000-0000BE0B0000}"/>
    <cellStyle name="Normal 13 7 5" xfId="26404" xr:uid="{00000000-0005-0000-0000-0000BF0B0000}"/>
    <cellStyle name="Normal 13 7 50" xfId="1604" xr:uid="{00000000-0005-0000-0000-0000C00B0000}"/>
    <cellStyle name="Normal 13 7 51" xfId="1364" xr:uid="{00000000-0005-0000-0000-0000C10B0000}"/>
    <cellStyle name="Normal 13 7 52" xfId="1124" xr:uid="{00000000-0005-0000-0000-0000C20B0000}"/>
    <cellStyle name="Normal 13 7 53" xfId="884" xr:uid="{00000000-0005-0000-0000-0000C30B0000}"/>
    <cellStyle name="Normal 13 7 54" xfId="644" xr:uid="{00000000-0005-0000-0000-0000C40B0000}"/>
    <cellStyle name="Normal 13 7 55" xfId="404" xr:uid="{00000000-0005-0000-0000-0000C50B0000}"/>
    <cellStyle name="Normal 13 7 56" xfId="165" xr:uid="{00000000-0005-0000-0000-0000C60B0000}"/>
    <cellStyle name="Normal 13 7 6" xfId="25808" xr:uid="{00000000-0005-0000-0000-0000C70B0000}"/>
    <cellStyle name="Normal 13 7 7" xfId="25211" xr:uid="{00000000-0005-0000-0000-0000C80B0000}"/>
    <cellStyle name="Normal 13 7 8" xfId="24614" xr:uid="{00000000-0005-0000-0000-0000C90B0000}"/>
    <cellStyle name="Normal 13 7 9" xfId="24017" xr:uid="{00000000-0005-0000-0000-0000CA0B0000}"/>
    <cellStyle name="Normal 13 70" xfId="2811" xr:uid="{00000000-0005-0000-0000-0000CB0B0000}"/>
    <cellStyle name="Normal 13 71" xfId="2571" xr:uid="{00000000-0005-0000-0000-0000CC0B0000}"/>
    <cellStyle name="Normal 13 72" xfId="2331" xr:uid="{00000000-0005-0000-0000-0000CD0B0000}"/>
    <cellStyle name="Normal 13 73" xfId="2091" xr:uid="{00000000-0005-0000-0000-0000CE0B0000}"/>
    <cellStyle name="Normal 13 74" xfId="1851" xr:uid="{00000000-0005-0000-0000-0000CF0B0000}"/>
    <cellStyle name="Normal 13 75" xfId="1612" xr:uid="{00000000-0005-0000-0000-0000D00B0000}"/>
    <cellStyle name="Normal 13 76" xfId="1372" xr:uid="{00000000-0005-0000-0000-0000D10B0000}"/>
    <cellStyle name="Normal 13 77" xfId="1132" xr:uid="{00000000-0005-0000-0000-0000D20B0000}"/>
    <cellStyle name="Normal 13 78" xfId="892" xr:uid="{00000000-0005-0000-0000-0000D30B0000}"/>
    <cellStyle name="Normal 13 79" xfId="652" xr:uid="{00000000-0005-0000-0000-0000D40B0000}"/>
    <cellStyle name="Normal 13 8" xfId="28792" xr:uid="{00000000-0005-0000-0000-0000D50B0000}"/>
    <cellStyle name="Normal 13 8 10" xfId="23419" xr:uid="{00000000-0005-0000-0000-0000D60B0000}"/>
    <cellStyle name="Normal 13 8 11" xfId="22822" xr:uid="{00000000-0005-0000-0000-0000D70B0000}"/>
    <cellStyle name="Normal 13 8 12" xfId="22226" xr:uid="{00000000-0005-0000-0000-0000D80B0000}"/>
    <cellStyle name="Normal 13 8 13" xfId="21629" xr:uid="{00000000-0005-0000-0000-0000D90B0000}"/>
    <cellStyle name="Normal 13 8 14" xfId="21032" xr:uid="{00000000-0005-0000-0000-0000DA0B0000}"/>
    <cellStyle name="Normal 13 8 15" xfId="20435" xr:uid="{00000000-0005-0000-0000-0000DB0B0000}"/>
    <cellStyle name="Normal 13 8 16" xfId="19839" xr:uid="{00000000-0005-0000-0000-0000DC0B0000}"/>
    <cellStyle name="Normal 13 8 17" xfId="19243" xr:uid="{00000000-0005-0000-0000-0000DD0B0000}"/>
    <cellStyle name="Normal 13 8 18" xfId="18648" xr:uid="{00000000-0005-0000-0000-0000DE0B0000}"/>
    <cellStyle name="Normal 13 8 19" xfId="18052" xr:uid="{00000000-0005-0000-0000-0000DF0B0000}"/>
    <cellStyle name="Normal 13 8 2" xfId="28193" xr:uid="{00000000-0005-0000-0000-0000E00B0000}"/>
    <cellStyle name="Normal 13 8 20" xfId="17312" xr:uid="{00000000-0005-0000-0000-0000E10B0000}"/>
    <cellStyle name="Normal 13 8 21" xfId="16769" xr:uid="{00000000-0005-0000-0000-0000E20B0000}"/>
    <cellStyle name="Normal 13 8 22" xfId="16192" xr:uid="{00000000-0005-0000-0000-0000E30B0000}"/>
    <cellStyle name="Normal 13 8 23" xfId="17365" xr:uid="{00000000-0005-0000-0000-0000E40B0000}"/>
    <cellStyle name="Normal 13 8 24" xfId="15471" xr:uid="{00000000-0005-0000-0000-0000E50B0000}"/>
    <cellStyle name="Normal 13 8 25" xfId="13329" xr:uid="{00000000-0005-0000-0000-0000E60B0000}"/>
    <cellStyle name="Normal 13 8 26" xfId="15626" xr:uid="{00000000-0005-0000-0000-0000E70B0000}"/>
    <cellStyle name="Normal 13 8 27" xfId="16031" xr:uid="{00000000-0005-0000-0000-0000E80B0000}"/>
    <cellStyle name="Normal 13 8 28" xfId="12660" xr:uid="{00000000-0005-0000-0000-0000E90B0000}"/>
    <cellStyle name="Normal 13 8 29" xfId="11462" xr:uid="{00000000-0005-0000-0000-0000EA0B0000}"/>
    <cellStyle name="Normal 13 8 3" xfId="27596" xr:uid="{00000000-0005-0000-0000-0000EB0B0000}"/>
    <cellStyle name="Normal 13 8 30" xfId="6676" xr:uid="{00000000-0005-0000-0000-0000EC0B0000}"/>
    <cellStyle name="Normal 13 8 31" xfId="5917" xr:uid="{00000000-0005-0000-0000-0000ED0B0000}"/>
    <cellStyle name="Normal 13 8 32" xfId="8105" xr:uid="{00000000-0005-0000-0000-0000EE0B0000}"/>
    <cellStyle name="Normal 13 8 33" xfId="7374" xr:uid="{00000000-0005-0000-0000-0000EF0B0000}"/>
    <cellStyle name="Normal 13 8 34" xfId="5075" xr:uid="{00000000-0005-0000-0000-0000F00B0000}"/>
    <cellStyle name="Normal 13 8 35" xfId="6829" xr:uid="{00000000-0005-0000-0000-0000F10B0000}"/>
    <cellStyle name="Normal 13 8 36" xfId="9817" xr:uid="{00000000-0005-0000-0000-0000F20B0000}"/>
    <cellStyle name="Normal 13 8 37" xfId="9696" xr:uid="{00000000-0005-0000-0000-0000F30B0000}"/>
    <cellStyle name="Normal 13 8 38" xfId="5446" xr:uid="{00000000-0005-0000-0000-0000F40B0000}"/>
    <cellStyle name="Normal 13 8 39" xfId="11179" xr:uid="{00000000-0005-0000-0000-0000F50B0000}"/>
    <cellStyle name="Normal 13 8 4" xfId="26999" xr:uid="{00000000-0005-0000-0000-0000F60B0000}"/>
    <cellStyle name="Normal 13 8 40" xfId="11101" xr:uid="{00000000-0005-0000-0000-0000F70B0000}"/>
    <cellStyle name="Normal 13 8 41" xfId="6252" xr:uid="{00000000-0005-0000-0000-0000F80B0000}"/>
    <cellStyle name="Normal 13 8 42" xfId="6154" xr:uid="{00000000-0005-0000-0000-0000F90B0000}"/>
    <cellStyle name="Normal 13 8 43" xfId="3211" xr:uid="{00000000-0005-0000-0000-0000FA0B0000}"/>
    <cellStyle name="Normal 13 8 44" xfId="3046" xr:uid="{00000000-0005-0000-0000-0000FB0B0000}"/>
    <cellStyle name="Normal 13 8 45" xfId="2802" xr:uid="{00000000-0005-0000-0000-0000FC0B0000}"/>
    <cellStyle name="Normal 13 8 46" xfId="2562" xr:uid="{00000000-0005-0000-0000-0000FD0B0000}"/>
    <cellStyle name="Normal 13 8 47" xfId="2322" xr:uid="{00000000-0005-0000-0000-0000FE0B0000}"/>
    <cellStyle name="Normal 13 8 48" xfId="2082" xr:uid="{00000000-0005-0000-0000-0000FF0B0000}"/>
    <cellStyle name="Normal 13 8 49" xfId="1842" xr:uid="{00000000-0005-0000-0000-0000000C0000}"/>
    <cellStyle name="Normal 13 8 5" xfId="26403" xr:uid="{00000000-0005-0000-0000-0000010C0000}"/>
    <cellStyle name="Normal 13 8 50" xfId="1603" xr:uid="{00000000-0005-0000-0000-0000020C0000}"/>
    <cellStyle name="Normal 13 8 51" xfId="1363" xr:uid="{00000000-0005-0000-0000-0000030C0000}"/>
    <cellStyle name="Normal 13 8 52" xfId="1123" xr:uid="{00000000-0005-0000-0000-0000040C0000}"/>
    <cellStyle name="Normal 13 8 53" xfId="883" xr:uid="{00000000-0005-0000-0000-0000050C0000}"/>
    <cellStyle name="Normal 13 8 54" xfId="643" xr:uid="{00000000-0005-0000-0000-0000060C0000}"/>
    <cellStyle name="Normal 13 8 55" xfId="403" xr:uid="{00000000-0005-0000-0000-0000070C0000}"/>
    <cellStyle name="Normal 13 8 56" xfId="164" xr:uid="{00000000-0005-0000-0000-0000080C0000}"/>
    <cellStyle name="Normal 13 8 6" xfId="25807" xr:uid="{00000000-0005-0000-0000-0000090C0000}"/>
    <cellStyle name="Normal 13 8 7" xfId="25210" xr:uid="{00000000-0005-0000-0000-00000A0C0000}"/>
    <cellStyle name="Normal 13 8 8" xfId="24613" xr:uid="{00000000-0005-0000-0000-00000B0C0000}"/>
    <cellStyle name="Normal 13 8 9" xfId="24016" xr:uid="{00000000-0005-0000-0000-00000C0C0000}"/>
    <cellStyle name="Normal 13 80" xfId="412" xr:uid="{00000000-0005-0000-0000-00000D0C0000}"/>
    <cellStyle name="Normal 13 81" xfId="173" xr:uid="{00000000-0005-0000-0000-00000E0C0000}"/>
    <cellStyle name="Normal 13 9" xfId="28791" xr:uid="{00000000-0005-0000-0000-00000F0C0000}"/>
    <cellStyle name="Normal 13 9 10" xfId="23418" xr:uid="{00000000-0005-0000-0000-0000100C0000}"/>
    <cellStyle name="Normal 13 9 11" xfId="22821" xr:uid="{00000000-0005-0000-0000-0000110C0000}"/>
    <cellStyle name="Normal 13 9 12" xfId="22225" xr:uid="{00000000-0005-0000-0000-0000120C0000}"/>
    <cellStyle name="Normal 13 9 13" xfId="21628" xr:uid="{00000000-0005-0000-0000-0000130C0000}"/>
    <cellStyle name="Normal 13 9 14" xfId="21031" xr:uid="{00000000-0005-0000-0000-0000140C0000}"/>
    <cellStyle name="Normal 13 9 15" xfId="20434" xr:uid="{00000000-0005-0000-0000-0000150C0000}"/>
    <cellStyle name="Normal 13 9 16" xfId="19838" xr:uid="{00000000-0005-0000-0000-0000160C0000}"/>
    <cellStyle name="Normal 13 9 17" xfId="19242" xr:uid="{00000000-0005-0000-0000-0000170C0000}"/>
    <cellStyle name="Normal 13 9 18" xfId="18647" xr:uid="{00000000-0005-0000-0000-0000180C0000}"/>
    <cellStyle name="Normal 13 9 19" xfId="18051" xr:uid="{00000000-0005-0000-0000-0000190C0000}"/>
    <cellStyle name="Normal 13 9 2" xfId="28192" xr:uid="{00000000-0005-0000-0000-00001A0C0000}"/>
    <cellStyle name="Normal 13 9 20" xfId="14145" xr:uid="{00000000-0005-0000-0000-00001B0C0000}"/>
    <cellStyle name="Normal 13 9 21" xfId="16376" xr:uid="{00000000-0005-0000-0000-00001C0C0000}"/>
    <cellStyle name="Normal 13 9 22" xfId="15602" xr:uid="{00000000-0005-0000-0000-00001D0C0000}"/>
    <cellStyle name="Normal 13 9 23" xfId="13996" xr:uid="{00000000-0005-0000-0000-00001E0C0000}"/>
    <cellStyle name="Normal 13 9 24" xfId="14375" xr:uid="{00000000-0005-0000-0000-00001F0C0000}"/>
    <cellStyle name="Normal 13 9 25" xfId="14896" xr:uid="{00000000-0005-0000-0000-0000200C0000}"/>
    <cellStyle name="Normal 13 9 26" xfId="13768" xr:uid="{00000000-0005-0000-0000-0000210C0000}"/>
    <cellStyle name="Normal 13 9 27" xfId="17279" xr:uid="{00000000-0005-0000-0000-0000220C0000}"/>
    <cellStyle name="Normal 13 9 28" xfId="12659" xr:uid="{00000000-0005-0000-0000-0000230C0000}"/>
    <cellStyle name="Normal 13 9 29" xfId="11686" xr:uid="{00000000-0005-0000-0000-0000240C0000}"/>
    <cellStyle name="Normal 13 9 3" xfId="27595" xr:uid="{00000000-0005-0000-0000-0000250C0000}"/>
    <cellStyle name="Normal 13 9 30" xfId="7369" xr:uid="{00000000-0005-0000-0000-0000260C0000}"/>
    <cellStyle name="Normal 13 9 31" xfId="9245" xr:uid="{00000000-0005-0000-0000-0000270C0000}"/>
    <cellStyle name="Normal 13 9 32" xfId="10171" xr:uid="{00000000-0005-0000-0000-0000280C0000}"/>
    <cellStyle name="Normal 13 9 33" xfId="5161" xr:uid="{00000000-0005-0000-0000-0000290C0000}"/>
    <cellStyle name="Normal 13 9 34" xfId="5035" xr:uid="{00000000-0005-0000-0000-00002A0C0000}"/>
    <cellStyle name="Normal 13 9 35" xfId="10375" xr:uid="{00000000-0005-0000-0000-00002B0C0000}"/>
    <cellStyle name="Normal 13 9 36" xfId="4309" xr:uid="{00000000-0005-0000-0000-00002C0C0000}"/>
    <cellStyle name="Normal 13 9 37" xfId="4995" xr:uid="{00000000-0005-0000-0000-00002D0C0000}"/>
    <cellStyle name="Normal 13 9 38" xfId="10237" xr:uid="{00000000-0005-0000-0000-00002E0C0000}"/>
    <cellStyle name="Normal 13 9 39" xfId="10735" xr:uid="{00000000-0005-0000-0000-00002F0C0000}"/>
    <cellStyle name="Normal 13 9 4" xfId="26998" xr:uid="{00000000-0005-0000-0000-0000300C0000}"/>
    <cellStyle name="Normal 13 9 40" xfId="3610" xr:uid="{00000000-0005-0000-0000-0000310C0000}"/>
    <cellStyle name="Normal 13 9 41" xfId="4037" xr:uid="{00000000-0005-0000-0000-0000320C0000}"/>
    <cellStyle name="Normal 13 9 42" xfId="10934" xr:uid="{00000000-0005-0000-0000-0000330C0000}"/>
    <cellStyle name="Normal 13 9 43" xfId="11895" xr:uid="{00000000-0005-0000-0000-0000340C0000}"/>
    <cellStyle name="Normal 13 9 44" xfId="3045" xr:uid="{00000000-0005-0000-0000-0000350C0000}"/>
    <cellStyle name="Normal 13 9 45" xfId="2801" xr:uid="{00000000-0005-0000-0000-0000360C0000}"/>
    <cellStyle name="Normal 13 9 46" xfId="2561" xr:uid="{00000000-0005-0000-0000-0000370C0000}"/>
    <cellStyle name="Normal 13 9 47" xfId="2321" xr:uid="{00000000-0005-0000-0000-0000380C0000}"/>
    <cellStyle name="Normal 13 9 48" xfId="2081" xr:uid="{00000000-0005-0000-0000-0000390C0000}"/>
    <cellStyle name="Normal 13 9 49" xfId="1841" xr:uid="{00000000-0005-0000-0000-00003A0C0000}"/>
    <cellStyle name="Normal 13 9 5" xfId="26402" xr:uid="{00000000-0005-0000-0000-00003B0C0000}"/>
    <cellStyle name="Normal 13 9 50" xfId="1602" xr:uid="{00000000-0005-0000-0000-00003C0C0000}"/>
    <cellStyle name="Normal 13 9 51" xfId="1362" xr:uid="{00000000-0005-0000-0000-00003D0C0000}"/>
    <cellStyle name="Normal 13 9 52" xfId="1122" xr:uid="{00000000-0005-0000-0000-00003E0C0000}"/>
    <cellStyle name="Normal 13 9 53" xfId="882" xr:uid="{00000000-0005-0000-0000-00003F0C0000}"/>
    <cellStyle name="Normal 13 9 54" xfId="642" xr:uid="{00000000-0005-0000-0000-0000400C0000}"/>
    <cellStyle name="Normal 13 9 55" xfId="402" xr:uid="{00000000-0005-0000-0000-0000410C0000}"/>
    <cellStyle name="Normal 13 9 56" xfId="163" xr:uid="{00000000-0005-0000-0000-0000420C0000}"/>
    <cellStyle name="Normal 13 9 6" xfId="25806" xr:uid="{00000000-0005-0000-0000-0000430C0000}"/>
    <cellStyle name="Normal 13 9 7" xfId="25209" xr:uid="{00000000-0005-0000-0000-0000440C0000}"/>
    <cellStyle name="Normal 13 9 8" xfId="24612" xr:uid="{00000000-0005-0000-0000-0000450C0000}"/>
    <cellStyle name="Normal 13 9 9" xfId="24015" xr:uid="{00000000-0005-0000-0000-0000460C0000}"/>
    <cellStyle name="Normal 14" xfId="25862" xr:uid="{00000000-0005-0000-0000-0000470C0000}"/>
    <cellStyle name="Normal 14 2" xfId="28790" xr:uid="{00000000-0005-0000-0000-0000480C0000}"/>
    <cellStyle name="Normal 14 2 10" xfId="23417" xr:uid="{00000000-0005-0000-0000-0000490C0000}"/>
    <cellStyle name="Normal 14 2 11" xfId="22820" xr:uid="{00000000-0005-0000-0000-00004A0C0000}"/>
    <cellStyle name="Normal 14 2 12" xfId="22224" xr:uid="{00000000-0005-0000-0000-00004B0C0000}"/>
    <cellStyle name="Normal 14 2 13" xfId="21627" xr:uid="{00000000-0005-0000-0000-00004C0C0000}"/>
    <cellStyle name="Normal 14 2 14" xfId="21030" xr:uid="{00000000-0005-0000-0000-00004D0C0000}"/>
    <cellStyle name="Normal 14 2 15" xfId="20433" xr:uid="{00000000-0005-0000-0000-00004E0C0000}"/>
    <cellStyle name="Normal 14 2 16" xfId="19837" xr:uid="{00000000-0005-0000-0000-00004F0C0000}"/>
    <cellStyle name="Normal 14 2 17" xfId="19241" xr:uid="{00000000-0005-0000-0000-0000500C0000}"/>
    <cellStyle name="Normal 14 2 18" xfId="18646" xr:uid="{00000000-0005-0000-0000-0000510C0000}"/>
    <cellStyle name="Normal 14 2 19" xfId="18050" xr:uid="{00000000-0005-0000-0000-0000520C0000}"/>
    <cellStyle name="Normal 14 2 2" xfId="28191" xr:uid="{00000000-0005-0000-0000-0000530C0000}"/>
    <cellStyle name="Normal 14 2 20" xfId="14334" xr:uid="{00000000-0005-0000-0000-0000540C0000}"/>
    <cellStyle name="Normal 14 2 21" xfId="13956" xr:uid="{00000000-0005-0000-0000-0000550C0000}"/>
    <cellStyle name="Normal 14 2 22" xfId="16428" xr:uid="{00000000-0005-0000-0000-0000560C0000}"/>
    <cellStyle name="Normal 14 2 23" xfId="14180" xr:uid="{00000000-0005-0000-0000-0000570C0000}"/>
    <cellStyle name="Normal 14 2 24" xfId="15717" xr:uid="{00000000-0005-0000-0000-0000580C0000}"/>
    <cellStyle name="Normal 14 2 25" xfId="16244" xr:uid="{00000000-0005-0000-0000-0000590C0000}"/>
    <cellStyle name="Normal 14 2 26" xfId="17042" xr:uid="{00000000-0005-0000-0000-00005A0C0000}"/>
    <cellStyle name="Normal 14 2 27" xfId="16664" xr:uid="{00000000-0005-0000-0000-00005B0C0000}"/>
    <cellStyle name="Normal 14 2 28" xfId="12658" xr:uid="{00000000-0005-0000-0000-00005C0C0000}"/>
    <cellStyle name="Normal 14 2 29" xfId="7801" xr:uid="{00000000-0005-0000-0000-00005D0C0000}"/>
    <cellStyle name="Normal 14 2 3" xfId="27594" xr:uid="{00000000-0005-0000-0000-00005E0C0000}"/>
    <cellStyle name="Normal 14 2 30" xfId="6812" xr:uid="{00000000-0005-0000-0000-00005F0C0000}"/>
    <cellStyle name="Normal 14 2 31" xfId="6452" xr:uid="{00000000-0005-0000-0000-0000600C0000}"/>
    <cellStyle name="Normal 14 2 32" xfId="10932" xr:uid="{00000000-0005-0000-0000-0000610C0000}"/>
    <cellStyle name="Normal 14 2 33" xfId="11044" xr:uid="{00000000-0005-0000-0000-0000620C0000}"/>
    <cellStyle name="Normal 14 2 34" xfId="4938" xr:uid="{00000000-0005-0000-0000-0000630C0000}"/>
    <cellStyle name="Normal 14 2 35" xfId="6243" xr:uid="{00000000-0005-0000-0000-0000640C0000}"/>
    <cellStyle name="Normal 14 2 36" xfId="6050" xr:uid="{00000000-0005-0000-0000-0000650C0000}"/>
    <cellStyle name="Normal 14 2 37" xfId="6616" xr:uid="{00000000-0005-0000-0000-0000660C0000}"/>
    <cellStyle name="Normal 14 2 38" xfId="4522" xr:uid="{00000000-0005-0000-0000-0000670C0000}"/>
    <cellStyle name="Normal 14 2 39" xfId="11192" xr:uid="{00000000-0005-0000-0000-0000680C0000}"/>
    <cellStyle name="Normal 14 2 4" xfId="26997" xr:uid="{00000000-0005-0000-0000-0000690C0000}"/>
    <cellStyle name="Normal 14 2 40" xfId="7186" xr:uid="{00000000-0005-0000-0000-00006A0C0000}"/>
    <cellStyle name="Normal 14 2 41" xfId="5992" xr:uid="{00000000-0005-0000-0000-00006B0C0000}"/>
    <cellStyle name="Normal 14 2 42" xfId="3310" xr:uid="{00000000-0005-0000-0000-00006C0C0000}"/>
    <cellStyle name="Normal 14 2 43" xfId="10170" xr:uid="{00000000-0005-0000-0000-00006D0C0000}"/>
    <cellStyle name="Normal 14 2 44" xfId="3044" xr:uid="{00000000-0005-0000-0000-00006E0C0000}"/>
    <cellStyle name="Normal 14 2 45" xfId="2800" xr:uid="{00000000-0005-0000-0000-00006F0C0000}"/>
    <cellStyle name="Normal 14 2 46" xfId="2560" xr:uid="{00000000-0005-0000-0000-0000700C0000}"/>
    <cellStyle name="Normal 14 2 47" xfId="2320" xr:uid="{00000000-0005-0000-0000-0000710C0000}"/>
    <cellStyle name="Normal 14 2 48" xfId="2080" xr:uid="{00000000-0005-0000-0000-0000720C0000}"/>
    <cellStyle name="Normal 14 2 49" xfId="1840" xr:uid="{00000000-0005-0000-0000-0000730C0000}"/>
    <cellStyle name="Normal 14 2 5" xfId="26401" xr:uid="{00000000-0005-0000-0000-0000740C0000}"/>
    <cellStyle name="Normal 14 2 50" xfId="1601" xr:uid="{00000000-0005-0000-0000-0000750C0000}"/>
    <cellStyle name="Normal 14 2 51" xfId="1361" xr:uid="{00000000-0005-0000-0000-0000760C0000}"/>
    <cellStyle name="Normal 14 2 52" xfId="1121" xr:uid="{00000000-0005-0000-0000-0000770C0000}"/>
    <cellStyle name="Normal 14 2 53" xfId="881" xr:uid="{00000000-0005-0000-0000-0000780C0000}"/>
    <cellStyle name="Normal 14 2 54" xfId="641" xr:uid="{00000000-0005-0000-0000-0000790C0000}"/>
    <cellStyle name="Normal 14 2 55" xfId="401" xr:uid="{00000000-0005-0000-0000-00007A0C0000}"/>
    <cellStyle name="Normal 14 2 56" xfId="162" xr:uid="{00000000-0005-0000-0000-00007B0C0000}"/>
    <cellStyle name="Normal 14 2 6" xfId="25805" xr:uid="{00000000-0005-0000-0000-00007C0C0000}"/>
    <cellStyle name="Normal 14 2 7" xfId="25208" xr:uid="{00000000-0005-0000-0000-00007D0C0000}"/>
    <cellStyle name="Normal 14 2 8" xfId="24611" xr:uid="{00000000-0005-0000-0000-00007E0C0000}"/>
    <cellStyle name="Normal 14 2 9" xfId="24014" xr:uid="{00000000-0005-0000-0000-00007F0C0000}"/>
    <cellStyle name="Normal 14 3" xfId="28789" xr:uid="{00000000-0005-0000-0000-0000800C0000}"/>
    <cellStyle name="Normal 14 3 10" xfId="23416" xr:uid="{00000000-0005-0000-0000-0000810C0000}"/>
    <cellStyle name="Normal 14 3 11" xfId="22819" xr:uid="{00000000-0005-0000-0000-0000820C0000}"/>
    <cellStyle name="Normal 14 3 12" xfId="22223" xr:uid="{00000000-0005-0000-0000-0000830C0000}"/>
    <cellStyle name="Normal 14 3 13" xfId="21626" xr:uid="{00000000-0005-0000-0000-0000840C0000}"/>
    <cellStyle name="Normal 14 3 14" xfId="21029" xr:uid="{00000000-0005-0000-0000-0000850C0000}"/>
    <cellStyle name="Normal 14 3 15" xfId="20432" xr:uid="{00000000-0005-0000-0000-0000860C0000}"/>
    <cellStyle name="Normal 14 3 16" xfId="19836" xr:uid="{00000000-0005-0000-0000-0000870C0000}"/>
    <cellStyle name="Normal 14 3 17" xfId="19240" xr:uid="{00000000-0005-0000-0000-0000880C0000}"/>
    <cellStyle name="Normal 14 3 18" xfId="18645" xr:uid="{00000000-0005-0000-0000-0000890C0000}"/>
    <cellStyle name="Normal 14 3 19" xfId="18049" xr:uid="{00000000-0005-0000-0000-00008A0C0000}"/>
    <cellStyle name="Normal 14 3 2" xfId="28190" xr:uid="{00000000-0005-0000-0000-00008B0C0000}"/>
    <cellStyle name="Normal 14 3 20" xfId="14525" xr:uid="{00000000-0005-0000-0000-00008C0C0000}"/>
    <cellStyle name="Normal 14 3 21" xfId="14127" xr:uid="{00000000-0005-0000-0000-00008D0C0000}"/>
    <cellStyle name="Normal 14 3 22" xfId="15997" xr:uid="{00000000-0005-0000-0000-00008E0C0000}"/>
    <cellStyle name="Normal 14 3 23" xfId="14285" xr:uid="{00000000-0005-0000-0000-00008F0C0000}"/>
    <cellStyle name="Normal 14 3 24" xfId="16761" xr:uid="{00000000-0005-0000-0000-0000900C0000}"/>
    <cellStyle name="Normal 14 3 25" xfId="14274" xr:uid="{00000000-0005-0000-0000-0000910C0000}"/>
    <cellStyle name="Normal 14 3 26" xfId="13377" xr:uid="{00000000-0005-0000-0000-0000920C0000}"/>
    <cellStyle name="Normal 14 3 27" xfId="14251" xr:uid="{00000000-0005-0000-0000-0000930C0000}"/>
    <cellStyle name="Normal 14 3 28" xfId="12657" xr:uid="{00000000-0005-0000-0000-0000940C0000}"/>
    <cellStyle name="Normal 14 3 29" xfId="6632" xr:uid="{00000000-0005-0000-0000-0000950C0000}"/>
    <cellStyle name="Normal 14 3 3" xfId="27593" xr:uid="{00000000-0005-0000-0000-0000960C0000}"/>
    <cellStyle name="Normal 14 3 30" xfId="5852" xr:uid="{00000000-0005-0000-0000-0000970C0000}"/>
    <cellStyle name="Normal 14 3 31" xfId="8798" xr:uid="{00000000-0005-0000-0000-0000980C0000}"/>
    <cellStyle name="Normal 14 3 32" xfId="6015" xr:uid="{00000000-0005-0000-0000-0000990C0000}"/>
    <cellStyle name="Normal 14 3 33" xfId="10068" xr:uid="{00000000-0005-0000-0000-00009A0C0000}"/>
    <cellStyle name="Normal 14 3 34" xfId="8907" xr:uid="{00000000-0005-0000-0000-00009B0C0000}"/>
    <cellStyle name="Normal 14 3 35" xfId="12007" xr:uid="{00000000-0005-0000-0000-00009C0C0000}"/>
    <cellStyle name="Normal 14 3 36" xfId="11822" xr:uid="{00000000-0005-0000-0000-00009D0C0000}"/>
    <cellStyle name="Normal 14 3 37" xfId="4314" xr:uid="{00000000-0005-0000-0000-00009E0C0000}"/>
    <cellStyle name="Normal 14 3 38" xfId="5939" xr:uid="{00000000-0005-0000-0000-00009F0C0000}"/>
    <cellStyle name="Normal 14 3 39" xfId="5965" xr:uid="{00000000-0005-0000-0000-0000A00C0000}"/>
    <cellStyle name="Normal 14 3 4" xfId="26996" xr:uid="{00000000-0005-0000-0000-0000A10C0000}"/>
    <cellStyle name="Normal 14 3 40" xfId="3686" xr:uid="{00000000-0005-0000-0000-0000A20C0000}"/>
    <cellStyle name="Normal 14 3 41" xfId="5008" xr:uid="{00000000-0005-0000-0000-0000A30C0000}"/>
    <cellStyle name="Normal 14 3 42" xfId="6731" xr:uid="{00000000-0005-0000-0000-0000A40C0000}"/>
    <cellStyle name="Normal 14 3 43" xfId="4002" xr:uid="{00000000-0005-0000-0000-0000A50C0000}"/>
    <cellStyle name="Normal 14 3 44" xfId="3043" xr:uid="{00000000-0005-0000-0000-0000A60C0000}"/>
    <cellStyle name="Normal 14 3 45" xfId="2799" xr:uid="{00000000-0005-0000-0000-0000A70C0000}"/>
    <cellStyle name="Normal 14 3 46" xfId="2559" xr:uid="{00000000-0005-0000-0000-0000A80C0000}"/>
    <cellStyle name="Normal 14 3 47" xfId="2319" xr:uid="{00000000-0005-0000-0000-0000A90C0000}"/>
    <cellStyle name="Normal 14 3 48" xfId="2079" xr:uid="{00000000-0005-0000-0000-0000AA0C0000}"/>
    <cellStyle name="Normal 14 3 49" xfId="1839" xr:uid="{00000000-0005-0000-0000-0000AB0C0000}"/>
    <cellStyle name="Normal 14 3 5" xfId="26400" xr:uid="{00000000-0005-0000-0000-0000AC0C0000}"/>
    <cellStyle name="Normal 14 3 50" xfId="1600" xr:uid="{00000000-0005-0000-0000-0000AD0C0000}"/>
    <cellStyle name="Normal 14 3 51" xfId="1360" xr:uid="{00000000-0005-0000-0000-0000AE0C0000}"/>
    <cellStyle name="Normal 14 3 52" xfId="1120" xr:uid="{00000000-0005-0000-0000-0000AF0C0000}"/>
    <cellStyle name="Normal 14 3 53" xfId="880" xr:uid="{00000000-0005-0000-0000-0000B00C0000}"/>
    <cellStyle name="Normal 14 3 54" xfId="640" xr:uid="{00000000-0005-0000-0000-0000B10C0000}"/>
    <cellStyle name="Normal 14 3 55" xfId="400" xr:uid="{00000000-0005-0000-0000-0000B20C0000}"/>
    <cellStyle name="Normal 14 3 56" xfId="161" xr:uid="{00000000-0005-0000-0000-0000B30C0000}"/>
    <cellStyle name="Normal 14 3 6" xfId="25804" xr:uid="{00000000-0005-0000-0000-0000B40C0000}"/>
    <cellStyle name="Normal 14 3 7" xfId="25207" xr:uid="{00000000-0005-0000-0000-0000B50C0000}"/>
    <cellStyle name="Normal 14 3 8" xfId="24610" xr:uid="{00000000-0005-0000-0000-0000B60C0000}"/>
    <cellStyle name="Normal 14 3 9" xfId="24013" xr:uid="{00000000-0005-0000-0000-0000B70C0000}"/>
    <cellStyle name="Normal 15" xfId="28788" xr:uid="{00000000-0005-0000-0000-0000B80C0000}"/>
    <cellStyle name="Normal 15 10" xfId="28787" xr:uid="{00000000-0005-0000-0000-0000B90C0000}"/>
    <cellStyle name="Normal 15 10 10" xfId="23414" xr:uid="{00000000-0005-0000-0000-0000BA0C0000}"/>
    <cellStyle name="Normal 15 10 11" xfId="22817" xr:uid="{00000000-0005-0000-0000-0000BB0C0000}"/>
    <cellStyle name="Normal 15 10 12" xfId="22221" xr:uid="{00000000-0005-0000-0000-0000BC0C0000}"/>
    <cellStyle name="Normal 15 10 13" xfId="21624" xr:uid="{00000000-0005-0000-0000-0000BD0C0000}"/>
    <cellStyle name="Normal 15 10 14" xfId="21027" xr:uid="{00000000-0005-0000-0000-0000BE0C0000}"/>
    <cellStyle name="Normal 15 10 15" xfId="20430" xr:uid="{00000000-0005-0000-0000-0000BF0C0000}"/>
    <cellStyle name="Normal 15 10 16" xfId="19834" xr:uid="{00000000-0005-0000-0000-0000C00C0000}"/>
    <cellStyle name="Normal 15 10 17" xfId="19238" xr:uid="{00000000-0005-0000-0000-0000C10C0000}"/>
    <cellStyle name="Normal 15 10 18" xfId="18643" xr:uid="{00000000-0005-0000-0000-0000C20C0000}"/>
    <cellStyle name="Normal 15 10 19" xfId="18047" xr:uid="{00000000-0005-0000-0000-0000C30C0000}"/>
    <cellStyle name="Normal 15 10 2" xfId="28188" xr:uid="{00000000-0005-0000-0000-0000C40C0000}"/>
    <cellStyle name="Normal 15 10 20" xfId="14924" xr:uid="{00000000-0005-0000-0000-0000C50C0000}"/>
    <cellStyle name="Normal 15 10 21" xfId="15702" xr:uid="{00000000-0005-0000-0000-0000C60C0000}"/>
    <cellStyle name="Normal 15 10 22" xfId="16210" xr:uid="{00000000-0005-0000-0000-0000C70C0000}"/>
    <cellStyle name="Normal 15 10 23" xfId="14843" xr:uid="{00000000-0005-0000-0000-0000C80C0000}"/>
    <cellStyle name="Normal 15 10 24" xfId="13557" xr:uid="{00000000-0005-0000-0000-0000C90C0000}"/>
    <cellStyle name="Normal 15 10 25" xfId="14011" xr:uid="{00000000-0005-0000-0000-0000CA0C0000}"/>
    <cellStyle name="Normal 15 10 26" xfId="17297" xr:uid="{00000000-0005-0000-0000-0000CB0C0000}"/>
    <cellStyle name="Normal 15 10 27" xfId="13200" xr:uid="{00000000-0005-0000-0000-0000CC0C0000}"/>
    <cellStyle name="Normal 15 10 28" xfId="12655" xr:uid="{00000000-0005-0000-0000-0000CD0C0000}"/>
    <cellStyle name="Normal 15 10 29" xfId="6687" xr:uid="{00000000-0005-0000-0000-0000CE0C0000}"/>
    <cellStyle name="Normal 15 10 3" xfId="27591" xr:uid="{00000000-0005-0000-0000-0000CF0C0000}"/>
    <cellStyle name="Normal 15 10 30" xfId="10331" xr:uid="{00000000-0005-0000-0000-0000D00C0000}"/>
    <cellStyle name="Normal 15 10 31" xfId="5565" xr:uid="{00000000-0005-0000-0000-0000D10C0000}"/>
    <cellStyle name="Normal 15 10 32" xfId="9598" xr:uid="{00000000-0005-0000-0000-0000D20C0000}"/>
    <cellStyle name="Normal 15 10 33" xfId="5989" xr:uid="{00000000-0005-0000-0000-0000D30C0000}"/>
    <cellStyle name="Normal 15 10 34" xfId="11635" xr:uid="{00000000-0005-0000-0000-0000D40C0000}"/>
    <cellStyle name="Normal 15 10 35" xfId="10098" xr:uid="{00000000-0005-0000-0000-0000D50C0000}"/>
    <cellStyle name="Normal 15 10 36" xfId="10664" xr:uid="{00000000-0005-0000-0000-0000D60C0000}"/>
    <cellStyle name="Normal 15 10 37" xfId="4184" xr:uid="{00000000-0005-0000-0000-0000D70C0000}"/>
    <cellStyle name="Normal 15 10 38" xfId="5370" xr:uid="{00000000-0005-0000-0000-0000D80C0000}"/>
    <cellStyle name="Normal 15 10 39" xfId="11728" xr:uid="{00000000-0005-0000-0000-0000D90C0000}"/>
    <cellStyle name="Normal 15 10 4" xfId="26994" xr:uid="{00000000-0005-0000-0000-0000DA0C0000}"/>
    <cellStyle name="Normal 15 10 40" xfId="5382" xr:uid="{00000000-0005-0000-0000-0000DB0C0000}"/>
    <cellStyle name="Normal 15 10 41" xfId="10519" xr:uid="{00000000-0005-0000-0000-0000DC0C0000}"/>
    <cellStyle name="Normal 15 10 42" xfId="4759" xr:uid="{00000000-0005-0000-0000-0000DD0C0000}"/>
    <cellStyle name="Normal 15 10 43" xfId="3509" xr:uid="{00000000-0005-0000-0000-0000DE0C0000}"/>
    <cellStyle name="Normal 15 10 44" xfId="3041" xr:uid="{00000000-0005-0000-0000-0000DF0C0000}"/>
    <cellStyle name="Normal 15 10 45" xfId="2797" xr:uid="{00000000-0005-0000-0000-0000E00C0000}"/>
    <cellStyle name="Normal 15 10 46" xfId="2557" xr:uid="{00000000-0005-0000-0000-0000E10C0000}"/>
    <cellStyle name="Normal 15 10 47" xfId="2317" xr:uid="{00000000-0005-0000-0000-0000E20C0000}"/>
    <cellStyle name="Normal 15 10 48" xfId="2077" xr:uid="{00000000-0005-0000-0000-0000E30C0000}"/>
    <cellStyle name="Normal 15 10 49" xfId="1837" xr:uid="{00000000-0005-0000-0000-0000E40C0000}"/>
    <cellStyle name="Normal 15 10 5" xfId="26398" xr:uid="{00000000-0005-0000-0000-0000E50C0000}"/>
    <cellStyle name="Normal 15 10 50" xfId="1598" xr:uid="{00000000-0005-0000-0000-0000E60C0000}"/>
    <cellStyle name="Normal 15 10 51" xfId="1358" xr:uid="{00000000-0005-0000-0000-0000E70C0000}"/>
    <cellStyle name="Normal 15 10 52" xfId="1118" xr:uid="{00000000-0005-0000-0000-0000E80C0000}"/>
    <cellStyle name="Normal 15 10 53" xfId="878" xr:uid="{00000000-0005-0000-0000-0000E90C0000}"/>
    <cellStyle name="Normal 15 10 54" xfId="638" xr:uid="{00000000-0005-0000-0000-0000EA0C0000}"/>
    <cellStyle name="Normal 15 10 55" xfId="398" xr:uid="{00000000-0005-0000-0000-0000EB0C0000}"/>
    <cellStyle name="Normal 15 10 56" xfId="159" xr:uid="{00000000-0005-0000-0000-0000EC0C0000}"/>
    <cellStyle name="Normal 15 10 6" xfId="25802" xr:uid="{00000000-0005-0000-0000-0000ED0C0000}"/>
    <cellStyle name="Normal 15 10 7" xfId="25205" xr:uid="{00000000-0005-0000-0000-0000EE0C0000}"/>
    <cellStyle name="Normal 15 10 8" xfId="24608" xr:uid="{00000000-0005-0000-0000-0000EF0C0000}"/>
    <cellStyle name="Normal 15 10 9" xfId="24011" xr:uid="{00000000-0005-0000-0000-0000F00C0000}"/>
    <cellStyle name="Normal 15 11" xfId="28786" xr:uid="{00000000-0005-0000-0000-0000F10C0000}"/>
    <cellStyle name="Normal 15 11 10" xfId="23413" xr:uid="{00000000-0005-0000-0000-0000F20C0000}"/>
    <cellStyle name="Normal 15 11 11" xfId="22816" xr:uid="{00000000-0005-0000-0000-0000F30C0000}"/>
    <cellStyle name="Normal 15 11 12" xfId="22220" xr:uid="{00000000-0005-0000-0000-0000F40C0000}"/>
    <cellStyle name="Normal 15 11 13" xfId="21623" xr:uid="{00000000-0005-0000-0000-0000F50C0000}"/>
    <cellStyle name="Normal 15 11 14" xfId="21026" xr:uid="{00000000-0005-0000-0000-0000F60C0000}"/>
    <cellStyle name="Normal 15 11 15" xfId="20429" xr:uid="{00000000-0005-0000-0000-0000F70C0000}"/>
    <cellStyle name="Normal 15 11 16" xfId="19833" xr:uid="{00000000-0005-0000-0000-0000F80C0000}"/>
    <cellStyle name="Normal 15 11 17" xfId="19237" xr:uid="{00000000-0005-0000-0000-0000F90C0000}"/>
    <cellStyle name="Normal 15 11 18" xfId="18642" xr:uid="{00000000-0005-0000-0000-0000FA0C0000}"/>
    <cellStyle name="Normal 15 11 19" xfId="18046" xr:uid="{00000000-0005-0000-0000-0000FB0C0000}"/>
    <cellStyle name="Normal 15 11 2" xfId="28187" xr:uid="{00000000-0005-0000-0000-0000FC0C0000}"/>
    <cellStyle name="Normal 15 11 20" xfId="15131" xr:uid="{00000000-0005-0000-0000-0000FD0C0000}"/>
    <cellStyle name="Normal 15 11 21" xfId="15494" xr:uid="{00000000-0005-0000-0000-0000FE0C0000}"/>
    <cellStyle name="Normal 15 11 22" xfId="13564" xr:uid="{00000000-0005-0000-0000-0000FF0C0000}"/>
    <cellStyle name="Normal 15 11 23" xfId="13407" xr:uid="{00000000-0005-0000-0000-0000000D0000}"/>
    <cellStyle name="Normal 15 11 24" xfId="14225" xr:uid="{00000000-0005-0000-0000-0000010D0000}"/>
    <cellStyle name="Normal 15 11 25" xfId="17009" xr:uid="{00000000-0005-0000-0000-0000020D0000}"/>
    <cellStyle name="Normal 15 11 26" xfId="16123" xr:uid="{00000000-0005-0000-0000-0000030D0000}"/>
    <cellStyle name="Normal 15 11 27" xfId="14840" xr:uid="{00000000-0005-0000-0000-0000040D0000}"/>
    <cellStyle name="Normal 15 11 28" xfId="12654" xr:uid="{00000000-0005-0000-0000-0000050D0000}"/>
    <cellStyle name="Normal 15 11 29" xfId="6857" xr:uid="{00000000-0005-0000-0000-0000060D0000}"/>
    <cellStyle name="Normal 15 11 3" xfId="27590" xr:uid="{00000000-0005-0000-0000-0000070D0000}"/>
    <cellStyle name="Normal 15 11 30" xfId="8666" xr:uid="{00000000-0005-0000-0000-0000080D0000}"/>
    <cellStyle name="Normal 15 11 31" xfId="5665" xr:uid="{00000000-0005-0000-0000-0000090D0000}"/>
    <cellStyle name="Normal 15 11 32" xfId="5409" xr:uid="{00000000-0005-0000-0000-00000A0D0000}"/>
    <cellStyle name="Normal 15 11 33" xfId="9415" xr:uid="{00000000-0005-0000-0000-00000B0D0000}"/>
    <cellStyle name="Normal 15 11 34" xfId="10474" xr:uid="{00000000-0005-0000-0000-00000C0D0000}"/>
    <cellStyle name="Normal 15 11 35" xfId="9851" xr:uid="{00000000-0005-0000-0000-00000D0D0000}"/>
    <cellStyle name="Normal 15 11 36" xfId="5005" xr:uid="{00000000-0005-0000-0000-00000E0D0000}"/>
    <cellStyle name="Normal 15 11 37" xfId="4197" xr:uid="{00000000-0005-0000-0000-00000F0D0000}"/>
    <cellStyle name="Normal 15 11 38" xfId="3964" xr:uid="{00000000-0005-0000-0000-0000100D0000}"/>
    <cellStyle name="Normal 15 11 39" xfId="10277" xr:uid="{00000000-0005-0000-0000-0000110D0000}"/>
    <cellStyle name="Normal 15 11 4" xfId="26993" xr:uid="{00000000-0005-0000-0000-0000120D0000}"/>
    <cellStyle name="Normal 15 11 40" xfId="3749" xr:uid="{00000000-0005-0000-0000-0000130D0000}"/>
    <cellStyle name="Normal 15 11 41" xfId="5874" xr:uid="{00000000-0005-0000-0000-0000140D0000}"/>
    <cellStyle name="Normal 15 11 42" xfId="10445" xr:uid="{00000000-0005-0000-0000-0000150D0000}"/>
    <cellStyle name="Normal 15 11 43" xfId="8177" xr:uid="{00000000-0005-0000-0000-0000160D0000}"/>
    <cellStyle name="Normal 15 11 44" xfId="3040" xr:uid="{00000000-0005-0000-0000-0000170D0000}"/>
    <cellStyle name="Normal 15 11 45" xfId="2796" xr:uid="{00000000-0005-0000-0000-0000180D0000}"/>
    <cellStyle name="Normal 15 11 46" xfId="2556" xr:uid="{00000000-0005-0000-0000-0000190D0000}"/>
    <cellStyle name="Normal 15 11 47" xfId="2316" xr:uid="{00000000-0005-0000-0000-00001A0D0000}"/>
    <cellStyle name="Normal 15 11 48" xfId="2076" xr:uid="{00000000-0005-0000-0000-00001B0D0000}"/>
    <cellStyle name="Normal 15 11 49" xfId="1836" xr:uid="{00000000-0005-0000-0000-00001C0D0000}"/>
    <cellStyle name="Normal 15 11 5" xfId="26397" xr:uid="{00000000-0005-0000-0000-00001D0D0000}"/>
    <cellStyle name="Normal 15 11 50" xfId="1597" xr:uid="{00000000-0005-0000-0000-00001E0D0000}"/>
    <cellStyle name="Normal 15 11 51" xfId="1357" xr:uid="{00000000-0005-0000-0000-00001F0D0000}"/>
    <cellStyle name="Normal 15 11 52" xfId="1117" xr:uid="{00000000-0005-0000-0000-0000200D0000}"/>
    <cellStyle name="Normal 15 11 53" xfId="877" xr:uid="{00000000-0005-0000-0000-0000210D0000}"/>
    <cellStyle name="Normal 15 11 54" xfId="637" xr:uid="{00000000-0005-0000-0000-0000220D0000}"/>
    <cellStyle name="Normal 15 11 55" xfId="397" xr:uid="{00000000-0005-0000-0000-0000230D0000}"/>
    <cellStyle name="Normal 15 11 56" xfId="158" xr:uid="{00000000-0005-0000-0000-0000240D0000}"/>
    <cellStyle name="Normal 15 11 6" xfId="25801" xr:uid="{00000000-0005-0000-0000-0000250D0000}"/>
    <cellStyle name="Normal 15 11 7" xfId="25204" xr:uid="{00000000-0005-0000-0000-0000260D0000}"/>
    <cellStyle name="Normal 15 11 8" xfId="24607" xr:uid="{00000000-0005-0000-0000-0000270D0000}"/>
    <cellStyle name="Normal 15 11 9" xfId="24010" xr:uid="{00000000-0005-0000-0000-0000280D0000}"/>
    <cellStyle name="Normal 15 12" xfId="28785" xr:uid="{00000000-0005-0000-0000-0000290D0000}"/>
    <cellStyle name="Normal 15 12 10" xfId="23412" xr:uid="{00000000-0005-0000-0000-00002A0D0000}"/>
    <cellStyle name="Normal 15 12 11" xfId="22815" xr:uid="{00000000-0005-0000-0000-00002B0D0000}"/>
    <cellStyle name="Normal 15 12 12" xfId="22219" xr:uid="{00000000-0005-0000-0000-00002C0D0000}"/>
    <cellStyle name="Normal 15 12 13" xfId="21622" xr:uid="{00000000-0005-0000-0000-00002D0D0000}"/>
    <cellStyle name="Normal 15 12 14" xfId="21025" xr:uid="{00000000-0005-0000-0000-00002E0D0000}"/>
    <cellStyle name="Normal 15 12 15" xfId="20428" xr:uid="{00000000-0005-0000-0000-00002F0D0000}"/>
    <cellStyle name="Normal 15 12 16" xfId="19832" xr:uid="{00000000-0005-0000-0000-0000300D0000}"/>
    <cellStyle name="Normal 15 12 17" xfId="19236" xr:uid="{00000000-0005-0000-0000-0000310D0000}"/>
    <cellStyle name="Normal 15 12 18" xfId="18641" xr:uid="{00000000-0005-0000-0000-0000320D0000}"/>
    <cellStyle name="Normal 15 12 19" xfId="18045" xr:uid="{00000000-0005-0000-0000-0000330D0000}"/>
    <cellStyle name="Normal 15 12 2" xfId="28186" xr:uid="{00000000-0005-0000-0000-0000340D0000}"/>
    <cellStyle name="Normal 15 12 20" xfId="15326" xr:uid="{00000000-0005-0000-0000-0000350D0000}"/>
    <cellStyle name="Normal 15 12 21" xfId="15483" xr:uid="{00000000-0005-0000-0000-0000360D0000}"/>
    <cellStyle name="Normal 15 12 22" xfId="17413" xr:uid="{00000000-0005-0000-0000-0000370D0000}"/>
    <cellStyle name="Normal 15 12 23" xfId="14187" xr:uid="{00000000-0005-0000-0000-0000380D0000}"/>
    <cellStyle name="Normal 15 12 24" xfId="13599" xr:uid="{00000000-0005-0000-0000-0000390D0000}"/>
    <cellStyle name="Normal 15 12 25" xfId="15096" xr:uid="{00000000-0005-0000-0000-00003A0D0000}"/>
    <cellStyle name="Normal 15 12 26" xfId="17411" xr:uid="{00000000-0005-0000-0000-00003B0D0000}"/>
    <cellStyle name="Normal 15 12 27" xfId="16203" xr:uid="{00000000-0005-0000-0000-00003C0D0000}"/>
    <cellStyle name="Normal 15 12 28" xfId="12653" xr:uid="{00000000-0005-0000-0000-00003D0D0000}"/>
    <cellStyle name="Normal 15 12 29" xfId="6983" xr:uid="{00000000-0005-0000-0000-00003E0D0000}"/>
    <cellStyle name="Normal 15 12 3" xfId="27589" xr:uid="{00000000-0005-0000-0000-00003F0D0000}"/>
    <cellStyle name="Normal 15 12 30" xfId="11221" xr:uid="{00000000-0005-0000-0000-0000400D0000}"/>
    <cellStyle name="Normal 15 12 31" xfId="9856" xr:uid="{00000000-0005-0000-0000-0000410D0000}"/>
    <cellStyle name="Normal 15 12 32" xfId="7461" xr:uid="{00000000-0005-0000-0000-0000420D0000}"/>
    <cellStyle name="Normal 15 12 33" xfId="8929" xr:uid="{00000000-0005-0000-0000-0000430D0000}"/>
    <cellStyle name="Normal 15 12 34" xfId="10921" xr:uid="{00000000-0005-0000-0000-0000440D0000}"/>
    <cellStyle name="Normal 15 12 35" xfId="6407" xr:uid="{00000000-0005-0000-0000-0000450D0000}"/>
    <cellStyle name="Normal 15 12 36" xfId="7971" xr:uid="{00000000-0005-0000-0000-0000460D0000}"/>
    <cellStyle name="Normal 15 12 37" xfId="9916" xr:uid="{00000000-0005-0000-0000-0000470D0000}"/>
    <cellStyle name="Normal 15 12 38" xfId="4275" xr:uid="{00000000-0005-0000-0000-0000480D0000}"/>
    <cellStyle name="Normal 15 12 39" xfId="10379" xr:uid="{00000000-0005-0000-0000-0000490D0000}"/>
    <cellStyle name="Normal 15 12 4" xfId="26992" xr:uid="{00000000-0005-0000-0000-00004A0D0000}"/>
    <cellStyle name="Normal 15 12 40" xfId="9001" xr:uid="{00000000-0005-0000-0000-00004B0D0000}"/>
    <cellStyle name="Normal 15 12 41" xfId="5476" xr:uid="{00000000-0005-0000-0000-00004C0D0000}"/>
    <cellStyle name="Normal 15 12 42" xfId="3456" xr:uid="{00000000-0005-0000-0000-00004D0D0000}"/>
    <cellStyle name="Normal 15 12 43" xfId="5069" xr:uid="{00000000-0005-0000-0000-00004E0D0000}"/>
    <cellStyle name="Normal 15 12 5" xfId="26396" xr:uid="{00000000-0005-0000-0000-00004F0D0000}"/>
    <cellStyle name="Normal 15 12 6" xfId="25800" xr:uid="{00000000-0005-0000-0000-0000500D0000}"/>
    <cellStyle name="Normal 15 12 7" xfId="25203" xr:uid="{00000000-0005-0000-0000-0000510D0000}"/>
    <cellStyle name="Normal 15 12 8" xfId="24606" xr:uid="{00000000-0005-0000-0000-0000520D0000}"/>
    <cellStyle name="Normal 15 12 9" xfId="24009" xr:uid="{00000000-0005-0000-0000-0000530D0000}"/>
    <cellStyle name="Normal 15 13" xfId="28784" xr:uid="{00000000-0005-0000-0000-0000540D0000}"/>
    <cellStyle name="Normal 15 13 10" xfId="23411" xr:uid="{00000000-0005-0000-0000-0000550D0000}"/>
    <cellStyle name="Normal 15 13 11" xfId="22814" xr:uid="{00000000-0005-0000-0000-0000560D0000}"/>
    <cellStyle name="Normal 15 13 12" xfId="22218" xr:uid="{00000000-0005-0000-0000-0000570D0000}"/>
    <cellStyle name="Normal 15 13 13" xfId="21621" xr:uid="{00000000-0005-0000-0000-0000580D0000}"/>
    <cellStyle name="Normal 15 13 14" xfId="21024" xr:uid="{00000000-0005-0000-0000-0000590D0000}"/>
    <cellStyle name="Normal 15 13 15" xfId="20427" xr:uid="{00000000-0005-0000-0000-00005A0D0000}"/>
    <cellStyle name="Normal 15 13 16" xfId="19831" xr:uid="{00000000-0005-0000-0000-00005B0D0000}"/>
    <cellStyle name="Normal 15 13 17" xfId="19235" xr:uid="{00000000-0005-0000-0000-00005C0D0000}"/>
    <cellStyle name="Normal 15 13 18" xfId="18640" xr:uid="{00000000-0005-0000-0000-00005D0D0000}"/>
    <cellStyle name="Normal 15 13 19" xfId="18044" xr:uid="{00000000-0005-0000-0000-00005E0D0000}"/>
    <cellStyle name="Normal 15 13 2" xfId="28185" xr:uid="{00000000-0005-0000-0000-00005F0D0000}"/>
    <cellStyle name="Normal 15 13 20" xfId="15533" xr:uid="{00000000-0005-0000-0000-0000600D0000}"/>
    <cellStyle name="Normal 15 13 21" xfId="15069" xr:uid="{00000000-0005-0000-0000-0000610D0000}"/>
    <cellStyle name="Normal 15 13 22" xfId="13651" xr:uid="{00000000-0005-0000-0000-0000620D0000}"/>
    <cellStyle name="Normal 15 13 23" xfId="13485" xr:uid="{00000000-0005-0000-0000-0000630D0000}"/>
    <cellStyle name="Normal 15 13 24" xfId="14561" xr:uid="{00000000-0005-0000-0000-0000640D0000}"/>
    <cellStyle name="Normal 15 13 25" xfId="15650" xr:uid="{00000000-0005-0000-0000-0000650D0000}"/>
    <cellStyle name="Normal 15 13 26" xfId="13709" xr:uid="{00000000-0005-0000-0000-0000660D0000}"/>
    <cellStyle name="Normal 15 13 27" xfId="13471" xr:uid="{00000000-0005-0000-0000-0000670D0000}"/>
    <cellStyle name="Normal 15 13 28" xfId="12652" xr:uid="{00000000-0005-0000-0000-0000680D0000}"/>
    <cellStyle name="Normal 15 13 29" xfId="7469" xr:uid="{00000000-0005-0000-0000-0000690D0000}"/>
    <cellStyle name="Normal 15 13 3" xfId="27588" xr:uid="{00000000-0005-0000-0000-00006A0D0000}"/>
    <cellStyle name="Normal 15 13 30" xfId="8273" xr:uid="{00000000-0005-0000-0000-00006B0D0000}"/>
    <cellStyle name="Normal 15 13 31" xfId="7063" xr:uid="{00000000-0005-0000-0000-00006C0D0000}"/>
    <cellStyle name="Normal 15 13 32" xfId="5283" xr:uid="{00000000-0005-0000-0000-00006D0D0000}"/>
    <cellStyle name="Normal 15 13 33" xfId="4800" xr:uid="{00000000-0005-0000-0000-00006E0D0000}"/>
    <cellStyle name="Normal 15 13 34" xfId="11505" xr:uid="{00000000-0005-0000-0000-00006F0D0000}"/>
    <cellStyle name="Normal 15 13 35" xfId="6769" xr:uid="{00000000-0005-0000-0000-0000700D0000}"/>
    <cellStyle name="Normal 15 13 36" xfId="5901" xr:uid="{00000000-0005-0000-0000-0000710D0000}"/>
    <cellStyle name="Normal 15 13 37" xfId="8242" xr:uid="{00000000-0005-0000-0000-0000720D0000}"/>
    <cellStyle name="Normal 15 13 38" xfId="8350" xr:uid="{00000000-0005-0000-0000-0000730D0000}"/>
    <cellStyle name="Normal 15 13 39" xfId="10994" xr:uid="{00000000-0005-0000-0000-0000740D0000}"/>
    <cellStyle name="Normal 15 13 4" xfId="26991" xr:uid="{00000000-0005-0000-0000-0000750D0000}"/>
    <cellStyle name="Normal 15 13 40" xfId="3989" xr:uid="{00000000-0005-0000-0000-0000760D0000}"/>
    <cellStyle name="Normal 15 13 41" xfId="3675" xr:uid="{00000000-0005-0000-0000-0000770D0000}"/>
    <cellStyle name="Normal 15 13 42" xfId="5154" xr:uid="{00000000-0005-0000-0000-0000780D0000}"/>
    <cellStyle name="Normal 15 13 43" xfId="3374" xr:uid="{00000000-0005-0000-0000-0000790D0000}"/>
    <cellStyle name="Normal 15 13 5" xfId="26395" xr:uid="{00000000-0005-0000-0000-00007A0D0000}"/>
    <cellStyle name="Normal 15 13 6" xfId="25799" xr:uid="{00000000-0005-0000-0000-00007B0D0000}"/>
    <cellStyle name="Normal 15 13 7" xfId="25202" xr:uid="{00000000-0005-0000-0000-00007C0D0000}"/>
    <cellStyle name="Normal 15 13 8" xfId="24605" xr:uid="{00000000-0005-0000-0000-00007D0D0000}"/>
    <cellStyle name="Normal 15 13 9" xfId="24008" xr:uid="{00000000-0005-0000-0000-00007E0D0000}"/>
    <cellStyle name="Normal 15 14" xfId="28783" xr:uid="{00000000-0005-0000-0000-00007F0D0000}"/>
    <cellStyle name="Normal 15 14 10" xfId="23410" xr:uid="{00000000-0005-0000-0000-0000800D0000}"/>
    <cellStyle name="Normal 15 14 11" xfId="22813" xr:uid="{00000000-0005-0000-0000-0000810D0000}"/>
    <cellStyle name="Normal 15 14 12" xfId="22217" xr:uid="{00000000-0005-0000-0000-0000820D0000}"/>
    <cellStyle name="Normal 15 14 13" xfId="21620" xr:uid="{00000000-0005-0000-0000-0000830D0000}"/>
    <cellStyle name="Normal 15 14 14" xfId="21023" xr:uid="{00000000-0005-0000-0000-0000840D0000}"/>
    <cellStyle name="Normal 15 14 15" xfId="20426" xr:uid="{00000000-0005-0000-0000-0000850D0000}"/>
    <cellStyle name="Normal 15 14 16" xfId="19830" xr:uid="{00000000-0005-0000-0000-0000860D0000}"/>
    <cellStyle name="Normal 15 14 17" xfId="19234" xr:uid="{00000000-0005-0000-0000-0000870D0000}"/>
    <cellStyle name="Normal 15 14 18" xfId="18639" xr:uid="{00000000-0005-0000-0000-0000880D0000}"/>
    <cellStyle name="Normal 15 14 19" xfId="18043" xr:uid="{00000000-0005-0000-0000-0000890D0000}"/>
    <cellStyle name="Normal 15 14 2" xfId="28184" xr:uid="{00000000-0005-0000-0000-00008A0D0000}"/>
    <cellStyle name="Normal 15 14 20" xfId="15723" xr:uid="{00000000-0005-0000-0000-00008B0D0000}"/>
    <cellStyle name="Normal 15 14 21" xfId="14859" xr:uid="{00000000-0005-0000-0000-00008C0D0000}"/>
    <cellStyle name="Normal 15 14 22" xfId="13791" xr:uid="{00000000-0005-0000-0000-00008D0D0000}"/>
    <cellStyle name="Normal 15 14 23" xfId="16632" xr:uid="{00000000-0005-0000-0000-00008E0D0000}"/>
    <cellStyle name="Normal 15 14 24" xfId="17038" xr:uid="{00000000-0005-0000-0000-00008F0D0000}"/>
    <cellStyle name="Normal 15 14 25" xfId="17003" xr:uid="{00000000-0005-0000-0000-0000900D0000}"/>
    <cellStyle name="Normal 15 14 26" xfId="15059" xr:uid="{00000000-0005-0000-0000-0000910D0000}"/>
    <cellStyle name="Normal 15 14 27" xfId="12866" xr:uid="{00000000-0005-0000-0000-0000920D0000}"/>
    <cellStyle name="Normal 15 14 28" xfId="12651" xr:uid="{00000000-0005-0000-0000-0000930D0000}"/>
    <cellStyle name="Normal 15 14 29" xfId="7356" xr:uid="{00000000-0005-0000-0000-0000940D0000}"/>
    <cellStyle name="Normal 15 14 3" xfId="27587" xr:uid="{00000000-0005-0000-0000-0000950D0000}"/>
    <cellStyle name="Normal 15 14 30" xfId="6346" xr:uid="{00000000-0005-0000-0000-0000960D0000}"/>
    <cellStyle name="Normal 15 14 31" xfId="6592" xr:uid="{00000000-0005-0000-0000-0000970D0000}"/>
    <cellStyle name="Normal 15 14 32" xfId="5463" xr:uid="{00000000-0005-0000-0000-0000980D0000}"/>
    <cellStyle name="Normal 15 14 33" xfId="6936" xr:uid="{00000000-0005-0000-0000-0000990D0000}"/>
    <cellStyle name="Normal 15 14 34" xfId="4504" xr:uid="{00000000-0005-0000-0000-00009A0D0000}"/>
    <cellStyle name="Normal 15 14 35" xfId="7201" xr:uid="{00000000-0005-0000-0000-00009B0D0000}"/>
    <cellStyle name="Normal 15 14 36" xfId="5334" xr:uid="{00000000-0005-0000-0000-00009C0D0000}"/>
    <cellStyle name="Normal 15 14 37" xfId="11633" xr:uid="{00000000-0005-0000-0000-00009D0D0000}"/>
    <cellStyle name="Normal 15 14 38" xfId="8914" xr:uid="{00000000-0005-0000-0000-00009E0D0000}"/>
    <cellStyle name="Normal 15 14 39" xfId="7847" xr:uid="{00000000-0005-0000-0000-00009F0D0000}"/>
    <cellStyle name="Normal 15 14 4" xfId="26990" xr:uid="{00000000-0005-0000-0000-0000A00D0000}"/>
    <cellStyle name="Normal 15 14 40" xfId="10309" xr:uid="{00000000-0005-0000-0000-0000A10D0000}"/>
    <cellStyle name="Normal 15 14 41" xfId="8326" xr:uid="{00000000-0005-0000-0000-0000A20D0000}"/>
    <cellStyle name="Normal 15 14 42" xfId="11283" xr:uid="{00000000-0005-0000-0000-0000A30D0000}"/>
    <cellStyle name="Normal 15 14 43" xfId="3320" xr:uid="{00000000-0005-0000-0000-0000A40D0000}"/>
    <cellStyle name="Normal 15 14 5" xfId="26394" xr:uid="{00000000-0005-0000-0000-0000A50D0000}"/>
    <cellStyle name="Normal 15 14 6" xfId="25798" xr:uid="{00000000-0005-0000-0000-0000A60D0000}"/>
    <cellStyle name="Normal 15 14 7" xfId="25201" xr:uid="{00000000-0005-0000-0000-0000A70D0000}"/>
    <cellStyle name="Normal 15 14 8" xfId="24604" xr:uid="{00000000-0005-0000-0000-0000A80D0000}"/>
    <cellStyle name="Normal 15 14 9" xfId="24007" xr:uid="{00000000-0005-0000-0000-0000A90D0000}"/>
    <cellStyle name="Normal 15 15" xfId="28782" xr:uid="{00000000-0005-0000-0000-0000AA0D0000}"/>
    <cellStyle name="Normal 15 15 10" xfId="23409" xr:uid="{00000000-0005-0000-0000-0000AB0D0000}"/>
    <cellStyle name="Normal 15 15 11" xfId="22812" xr:uid="{00000000-0005-0000-0000-0000AC0D0000}"/>
    <cellStyle name="Normal 15 15 12" xfId="22216" xr:uid="{00000000-0005-0000-0000-0000AD0D0000}"/>
    <cellStyle name="Normal 15 15 13" xfId="21619" xr:uid="{00000000-0005-0000-0000-0000AE0D0000}"/>
    <cellStyle name="Normal 15 15 14" xfId="21022" xr:uid="{00000000-0005-0000-0000-0000AF0D0000}"/>
    <cellStyle name="Normal 15 15 15" xfId="20425" xr:uid="{00000000-0005-0000-0000-0000B00D0000}"/>
    <cellStyle name="Normal 15 15 16" xfId="19829" xr:uid="{00000000-0005-0000-0000-0000B10D0000}"/>
    <cellStyle name="Normal 15 15 17" xfId="19233" xr:uid="{00000000-0005-0000-0000-0000B20D0000}"/>
    <cellStyle name="Normal 15 15 18" xfId="18638" xr:uid="{00000000-0005-0000-0000-0000B30D0000}"/>
    <cellStyle name="Normal 15 15 19" xfId="18042" xr:uid="{00000000-0005-0000-0000-0000B40D0000}"/>
    <cellStyle name="Normal 15 15 2" xfId="28183" xr:uid="{00000000-0005-0000-0000-0000B50D0000}"/>
    <cellStyle name="Normal 15 15 20" xfId="15923" xr:uid="{00000000-0005-0000-0000-0000B60D0000}"/>
    <cellStyle name="Normal 15 15 21" xfId="14650" xr:uid="{00000000-0005-0000-0000-0000B70D0000}"/>
    <cellStyle name="Normal 15 15 22" xfId="13939" xr:uid="{00000000-0005-0000-0000-0000B80D0000}"/>
    <cellStyle name="Normal 15 15 23" xfId="16600" xr:uid="{00000000-0005-0000-0000-0000B90D0000}"/>
    <cellStyle name="Normal 15 15 24" xfId="15514" xr:uid="{00000000-0005-0000-0000-0000BA0D0000}"/>
    <cellStyle name="Normal 15 15 25" xfId="13331" xr:uid="{00000000-0005-0000-0000-0000BB0D0000}"/>
    <cellStyle name="Normal 15 15 26" xfId="14772" xr:uid="{00000000-0005-0000-0000-0000BC0D0000}"/>
    <cellStyle name="Normal 15 15 27" xfId="15880" xr:uid="{00000000-0005-0000-0000-0000BD0D0000}"/>
    <cellStyle name="Normal 15 15 28" xfId="12650" xr:uid="{00000000-0005-0000-0000-0000BE0D0000}"/>
    <cellStyle name="Normal 15 15 29" xfId="11901" xr:uid="{00000000-0005-0000-0000-0000BF0D0000}"/>
    <cellStyle name="Normal 15 15 3" xfId="27586" xr:uid="{00000000-0005-0000-0000-0000C00D0000}"/>
    <cellStyle name="Normal 15 15 30" xfId="9849" xr:uid="{00000000-0005-0000-0000-0000C10D0000}"/>
    <cellStyle name="Normal 15 15 31" xfId="6911" xr:uid="{00000000-0005-0000-0000-0000C20D0000}"/>
    <cellStyle name="Normal 15 15 32" xfId="10661" xr:uid="{00000000-0005-0000-0000-0000C30D0000}"/>
    <cellStyle name="Normal 15 15 33" xfId="10418" xr:uid="{00000000-0005-0000-0000-0000C40D0000}"/>
    <cellStyle name="Normal 15 15 34" xfId="4516" xr:uid="{00000000-0005-0000-0000-0000C50D0000}"/>
    <cellStyle name="Normal 15 15 35" xfId="6061" xr:uid="{00000000-0005-0000-0000-0000C60D0000}"/>
    <cellStyle name="Normal 15 15 36" xfId="12051" xr:uid="{00000000-0005-0000-0000-0000C70D0000}"/>
    <cellStyle name="Normal 15 15 37" xfId="4600" xr:uid="{00000000-0005-0000-0000-0000C80D0000}"/>
    <cellStyle name="Normal 15 15 38" xfId="7408" xr:uid="{00000000-0005-0000-0000-0000C90D0000}"/>
    <cellStyle name="Normal 15 15 39" xfId="11502" xr:uid="{00000000-0005-0000-0000-0000CA0D0000}"/>
    <cellStyle name="Normal 15 15 4" xfId="26989" xr:uid="{00000000-0005-0000-0000-0000CB0D0000}"/>
    <cellStyle name="Normal 15 15 40" xfId="10692" xr:uid="{00000000-0005-0000-0000-0000CC0D0000}"/>
    <cellStyle name="Normal 15 15 41" xfId="8390" xr:uid="{00000000-0005-0000-0000-0000CD0D0000}"/>
    <cellStyle name="Normal 15 15 42" xfId="3373" xr:uid="{00000000-0005-0000-0000-0000CE0D0000}"/>
    <cellStyle name="Normal 15 15 43" xfId="8318" xr:uid="{00000000-0005-0000-0000-0000CF0D0000}"/>
    <cellStyle name="Normal 15 15 5" xfId="26393" xr:uid="{00000000-0005-0000-0000-0000D00D0000}"/>
    <cellStyle name="Normal 15 15 6" xfId="25797" xr:uid="{00000000-0005-0000-0000-0000D10D0000}"/>
    <cellStyle name="Normal 15 15 7" xfId="25200" xr:uid="{00000000-0005-0000-0000-0000D20D0000}"/>
    <cellStyle name="Normal 15 15 8" xfId="24603" xr:uid="{00000000-0005-0000-0000-0000D30D0000}"/>
    <cellStyle name="Normal 15 15 9" xfId="24006" xr:uid="{00000000-0005-0000-0000-0000D40D0000}"/>
    <cellStyle name="Normal 15 16" xfId="28781" xr:uid="{00000000-0005-0000-0000-0000D50D0000}"/>
    <cellStyle name="Normal 15 16 10" xfId="23408" xr:uid="{00000000-0005-0000-0000-0000D60D0000}"/>
    <cellStyle name="Normal 15 16 11" xfId="22811" xr:uid="{00000000-0005-0000-0000-0000D70D0000}"/>
    <cellStyle name="Normal 15 16 12" xfId="22215" xr:uid="{00000000-0005-0000-0000-0000D80D0000}"/>
    <cellStyle name="Normal 15 16 13" xfId="21618" xr:uid="{00000000-0005-0000-0000-0000D90D0000}"/>
    <cellStyle name="Normal 15 16 14" xfId="21021" xr:uid="{00000000-0005-0000-0000-0000DA0D0000}"/>
    <cellStyle name="Normal 15 16 15" xfId="20424" xr:uid="{00000000-0005-0000-0000-0000DB0D0000}"/>
    <cellStyle name="Normal 15 16 16" xfId="19828" xr:uid="{00000000-0005-0000-0000-0000DC0D0000}"/>
    <cellStyle name="Normal 15 16 17" xfId="19232" xr:uid="{00000000-0005-0000-0000-0000DD0D0000}"/>
    <cellStyle name="Normal 15 16 18" xfId="18637" xr:uid="{00000000-0005-0000-0000-0000DE0D0000}"/>
    <cellStyle name="Normal 15 16 19" xfId="18041" xr:uid="{00000000-0005-0000-0000-0000DF0D0000}"/>
    <cellStyle name="Normal 15 16 2" xfId="28182" xr:uid="{00000000-0005-0000-0000-0000E00D0000}"/>
    <cellStyle name="Normal 15 16 20" xfId="16131" xr:uid="{00000000-0005-0000-0000-0000E10D0000}"/>
    <cellStyle name="Normal 15 16 21" xfId="17429" xr:uid="{00000000-0005-0000-0000-0000E20D0000}"/>
    <cellStyle name="Normal 15 16 22" xfId="14271" xr:uid="{00000000-0005-0000-0000-0000E30D0000}"/>
    <cellStyle name="Normal 15 16 23" xfId="15006" xr:uid="{00000000-0005-0000-0000-0000E40D0000}"/>
    <cellStyle name="Normal 15 16 24" xfId="15193" xr:uid="{00000000-0005-0000-0000-0000E50D0000}"/>
    <cellStyle name="Normal 15 16 25" xfId="16082" xr:uid="{00000000-0005-0000-0000-0000E60D0000}"/>
    <cellStyle name="Normal 15 16 26" xfId="12983" xr:uid="{00000000-0005-0000-0000-0000E70D0000}"/>
    <cellStyle name="Normal 15 16 27" xfId="13183" xr:uid="{00000000-0005-0000-0000-0000E80D0000}"/>
    <cellStyle name="Normal 15 16 28" xfId="12649" xr:uid="{00000000-0005-0000-0000-0000E90D0000}"/>
    <cellStyle name="Normal 15 16 29" xfId="8081" xr:uid="{00000000-0005-0000-0000-0000EA0D0000}"/>
    <cellStyle name="Normal 15 16 3" xfId="27585" xr:uid="{00000000-0005-0000-0000-0000EB0D0000}"/>
    <cellStyle name="Normal 15 16 30" xfId="8265" xr:uid="{00000000-0005-0000-0000-0000EC0D0000}"/>
    <cellStyle name="Normal 15 16 31" xfId="7917" xr:uid="{00000000-0005-0000-0000-0000ED0D0000}"/>
    <cellStyle name="Normal 15 16 32" xfId="6587" xr:uid="{00000000-0005-0000-0000-0000EE0D0000}"/>
    <cellStyle name="Normal 15 16 33" xfId="5019" xr:uid="{00000000-0005-0000-0000-0000EF0D0000}"/>
    <cellStyle name="Normal 15 16 34" xfId="9462" xr:uid="{00000000-0005-0000-0000-0000F00D0000}"/>
    <cellStyle name="Normal 15 16 35" xfId="5379" xr:uid="{00000000-0005-0000-0000-0000F10D0000}"/>
    <cellStyle name="Normal 15 16 36" xfId="5566" xr:uid="{00000000-0005-0000-0000-0000F20D0000}"/>
    <cellStyle name="Normal 15 16 37" xfId="5573" xr:uid="{00000000-0005-0000-0000-0000F30D0000}"/>
    <cellStyle name="Normal 15 16 38" xfId="6677" xr:uid="{00000000-0005-0000-0000-0000F40D0000}"/>
    <cellStyle name="Normal 15 16 39" xfId="12095" xr:uid="{00000000-0005-0000-0000-0000F50D0000}"/>
    <cellStyle name="Normal 15 16 4" xfId="26988" xr:uid="{00000000-0005-0000-0000-0000F60D0000}"/>
    <cellStyle name="Normal 15 16 40" xfId="4464" xr:uid="{00000000-0005-0000-0000-0000F70D0000}"/>
    <cellStyle name="Normal 15 16 41" xfId="5709" xr:uid="{00000000-0005-0000-0000-0000F80D0000}"/>
    <cellStyle name="Normal 15 16 42" xfId="11767" xr:uid="{00000000-0005-0000-0000-0000F90D0000}"/>
    <cellStyle name="Normal 15 16 43" xfId="10997" xr:uid="{00000000-0005-0000-0000-0000FA0D0000}"/>
    <cellStyle name="Normal 15 16 5" xfId="26392" xr:uid="{00000000-0005-0000-0000-0000FB0D0000}"/>
    <cellStyle name="Normal 15 16 6" xfId="25796" xr:uid="{00000000-0005-0000-0000-0000FC0D0000}"/>
    <cellStyle name="Normal 15 16 7" xfId="25199" xr:uid="{00000000-0005-0000-0000-0000FD0D0000}"/>
    <cellStyle name="Normal 15 16 8" xfId="24602" xr:uid="{00000000-0005-0000-0000-0000FE0D0000}"/>
    <cellStyle name="Normal 15 16 9" xfId="24005" xr:uid="{00000000-0005-0000-0000-0000FF0D0000}"/>
    <cellStyle name="Normal 15 17" xfId="28780" xr:uid="{00000000-0005-0000-0000-0000000E0000}"/>
    <cellStyle name="Normal 15 17 10" xfId="23407" xr:uid="{00000000-0005-0000-0000-0000010E0000}"/>
    <cellStyle name="Normal 15 17 11" xfId="22810" xr:uid="{00000000-0005-0000-0000-0000020E0000}"/>
    <cellStyle name="Normal 15 17 12" xfId="22214" xr:uid="{00000000-0005-0000-0000-0000030E0000}"/>
    <cellStyle name="Normal 15 17 13" xfId="21617" xr:uid="{00000000-0005-0000-0000-0000040E0000}"/>
    <cellStyle name="Normal 15 17 14" xfId="21020" xr:uid="{00000000-0005-0000-0000-0000050E0000}"/>
    <cellStyle name="Normal 15 17 15" xfId="20423" xr:uid="{00000000-0005-0000-0000-0000060E0000}"/>
    <cellStyle name="Normal 15 17 16" xfId="19827" xr:uid="{00000000-0005-0000-0000-0000070E0000}"/>
    <cellStyle name="Normal 15 17 17" xfId="19231" xr:uid="{00000000-0005-0000-0000-0000080E0000}"/>
    <cellStyle name="Normal 15 17 18" xfId="18636" xr:uid="{00000000-0005-0000-0000-0000090E0000}"/>
    <cellStyle name="Normal 15 17 19" xfId="18040" xr:uid="{00000000-0005-0000-0000-00000A0E0000}"/>
    <cellStyle name="Normal 15 17 2" xfId="28181" xr:uid="{00000000-0005-0000-0000-00000B0E0000}"/>
    <cellStyle name="Normal 15 17 20" xfId="16332" xr:uid="{00000000-0005-0000-0000-00000C0E0000}"/>
    <cellStyle name="Normal 15 17 21" xfId="17019" xr:uid="{00000000-0005-0000-0000-00000D0E0000}"/>
    <cellStyle name="Normal 15 17 22" xfId="17055" xr:uid="{00000000-0005-0000-0000-00000E0E0000}"/>
    <cellStyle name="Normal 15 17 23" xfId="13907" xr:uid="{00000000-0005-0000-0000-00000F0E0000}"/>
    <cellStyle name="Normal 15 17 24" xfId="13121" xr:uid="{00000000-0005-0000-0000-0000100E0000}"/>
    <cellStyle name="Normal 15 17 25" xfId="14219" xr:uid="{00000000-0005-0000-0000-0000110E0000}"/>
    <cellStyle name="Normal 15 17 26" xfId="15712" xr:uid="{00000000-0005-0000-0000-0000120E0000}"/>
    <cellStyle name="Normal 15 17 27" xfId="13141" xr:uid="{00000000-0005-0000-0000-0000130E0000}"/>
    <cellStyle name="Normal 15 17 28" xfId="12648" xr:uid="{00000000-0005-0000-0000-0000140E0000}"/>
    <cellStyle name="Normal 15 17 29" xfId="8289" xr:uid="{00000000-0005-0000-0000-0000150E0000}"/>
    <cellStyle name="Normal 15 17 3" xfId="27584" xr:uid="{00000000-0005-0000-0000-0000160E0000}"/>
    <cellStyle name="Normal 15 17 30" xfId="7554" xr:uid="{00000000-0005-0000-0000-0000170E0000}"/>
    <cellStyle name="Normal 15 17 31" xfId="11046" xr:uid="{00000000-0005-0000-0000-0000180E0000}"/>
    <cellStyle name="Normal 15 17 32" xfId="5996" xr:uid="{00000000-0005-0000-0000-0000190E0000}"/>
    <cellStyle name="Normal 15 17 33" xfId="10824" xr:uid="{00000000-0005-0000-0000-00001A0E0000}"/>
    <cellStyle name="Normal 15 17 34" xfId="12005" xr:uid="{00000000-0005-0000-0000-00001B0E0000}"/>
    <cellStyle name="Normal 15 17 35" xfId="5923" xr:uid="{00000000-0005-0000-0000-00001C0E0000}"/>
    <cellStyle name="Normal 15 17 36" xfId="10985" xr:uid="{00000000-0005-0000-0000-00001D0E0000}"/>
    <cellStyle name="Normal 15 17 37" xfId="10105" xr:uid="{00000000-0005-0000-0000-00001E0E0000}"/>
    <cellStyle name="Normal 15 17 38" xfId="6156" xr:uid="{00000000-0005-0000-0000-00001F0E0000}"/>
    <cellStyle name="Normal 15 17 39" xfId="4121" xr:uid="{00000000-0005-0000-0000-0000200E0000}"/>
    <cellStyle name="Normal 15 17 4" xfId="26987" xr:uid="{00000000-0005-0000-0000-0000210E0000}"/>
    <cellStyle name="Normal 15 17 40" xfId="4479" xr:uid="{00000000-0005-0000-0000-0000220E0000}"/>
    <cellStyle name="Normal 15 17 41" xfId="10750" xr:uid="{00000000-0005-0000-0000-0000230E0000}"/>
    <cellStyle name="Normal 15 17 42" xfId="11154" xr:uid="{00000000-0005-0000-0000-0000240E0000}"/>
    <cellStyle name="Normal 15 17 43" xfId="9984" xr:uid="{00000000-0005-0000-0000-0000250E0000}"/>
    <cellStyle name="Normal 15 17 5" xfId="26391" xr:uid="{00000000-0005-0000-0000-0000260E0000}"/>
    <cellStyle name="Normal 15 17 6" xfId="25795" xr:uid="{00000000-0005-0000-0000-0000270E0000}"/>
    <cellStyle name="Normal 15 17 7" xfId="25198" xr:uid="{00000000-0005-0000-0000-0000280E0000}"/>
    <cellStyle name="Normal 15 17 8" xfId="24601" xr:uid="{00000000-0005-0000-0000-0000290E0000}"/>
    <cellStyle name="Normal 15 17 9" xfId="24004" xr:uid="{00000000-0005-0000-0000-00002A0E0000}"/>
    <cellStyle name="Normal 15 18" xfId="28779" xr:uid="{00000000-0005-0000-0000-00002B0E0000}"/>
    <cellStyle name="Normal 15 18 10" xfId="23406" xr:uid="{00000000-0005-0000-0000-00002C0E0000}"/>
    <cellStyle name="Normal 15 18 11" xfId="22809" xr:uid="{00000000-0005-0000-0000-00002D0E0000}"/>
    <cellStyle name="Normal 15 18 12" xfId="22213" xr:uid="{00000000-0005-0000-0000-00002E0E0000}"/>
    <cellStyle name="Normal 15 18 13" xfId="21616" xr:uid="{00000000-0005-0000-0000-00002F0E0000}"/>
    <cellStyle name="Normal 15 18 14" xfId="21019" xr:uid="{00000000-0005-0000-0000-0000300E0000}"/>
    <cellStyle name="Normal 15 18 15" xfId="20422" xr:uid="{00000000-0005-0000-0000-0000310E0000}"/>
    <cellStyle name="Normal 15 18 16" xfId="19826" xr:uid="{00000000-0005-0000-0000-0000320E0000}"/>
    <cellStyle name="Normal 15 18 17" xfId="19230" xr:uid="{00000000-0005-0000-0000-0000330E0000}"/>
    <cellStyle name="Normal 15 18 18" xfId="18635" xr:uid="{00000000-0005-0000-0000-0000340E0000}"/>
    <cellStyle name="Normal 15 18 19" xfId="18039" xr:uid="{00000000-0005-0000-0000-0000350E0000}"/>
    <cellStyle name="Normal 15 18 2" xfId="28180" xr:uid="{00000000-0005-0000-0000-0000360E0000}"/>
    <cellStyle name="Normal 15 18 20" xfId="16522" xr:uid="{00000000-0005-0000-0000-0000370E0000}"/>
    <cellStyle name="Normal 15 18 21" xfId="16622" xr:uid="{00000000-0005-0000-0000-0000380E0000}"/>
    <cellStyle name="Normal 15 18 22" xfId="16074" xr:uid="{00000000-0005-0000-0000-0000390E0000}"/>
    <cellStyle name="Normal 15 18 23" xfId="16842" xr:uid="{00000000-0005-0000-0000-00003A0E0000}"/>
    <cellStyle name="Normal 15 18 24" xfId="13241" xr:uid="{00000000-0005-0000-0000-00003B0E0000}"/>
    <cellStyle name="Normal 15 18 25" xfId="13308" xr:uid="{00000000-0005-0000-0000-00003C0E0000}"/>
    <cellStyle name="Normal 15 18 26" xfId="16897" xr:uid="{00000000-0005-0000-0000-00003D0E0000}"/>
    <cellStyle name="Normal 15 18 27" xfId="15580" xr:uid="{00000000-0005-0000-0000-00003E0E0000}"/>
    <cellStyle name="Normal 15 18 28" xfId="12647" xr:uid="{00000000-0005-0000-0000-00003F0E0000}"/>
    <cellStyle name="Normal 15 18 29" xfId="8504" xr:uid="{00000000-0005-0000-0000-0000400E0000}"/>
    <cellStyle name="Normal 15 18 3" xfId="27583" xr:uid="{00000000-0005-0000-0000-0000410E0000}"/>
    <cellStyle name="Normal 15 18 30" xfId="11632" xr:uid="{00000000-0005-0000-0000-0000420E0000}"/>
    <cellStyle name="Normal 15 18 31" xfId="8459" xr:uid="{00000000-0005-0000-0000-0000430E0000}"/>
    <cellStyle name="Normal 15 18 32" xfId="11438" xr:uid="{00000000-0005-0000-0000-0000440E0000}"/>
    <cellStyle name="Normal 15 18 33" xfId="6630" xr:uid="{00000000-0005-0000-0000-0000450E0000}"/>
    <cellStyle name="Normal 15 18 34" xfId="9061" xr:uid="{00000000-0005-0000-0000-0000460E0000}"/>
    <cellStyle name="Normal 15 18 35" xfId="4253" xr:uid="{00000000-0005-0000-0000-0000470E0000}"/>
    <cellStyle name="Normal 15 18 36" xfId="4127" xr:uid="{00000000-0005-0000-0000-0000480E0000}"/>
    <cellStyle name="Normal 15 18 37" xfId="6410" xr:uid="{00000000-0005-0000-0000-0000490E0000}"/>
    <cellStyle name="Normal 15 18 38" xfId="7834" xr:uid="{00000000-0005-0000-0000-00004A0E0000}"/>
    <cellStyle name="Normal 15 18 39" xfId="8396" xr:uid="{00000000-0005-0000-0000-00004B0E0000}"/>
    <cellStyle name="Normal 15 18 4" xfId="26986" xr:uid="{00000000-0005-0000-0000-00004C0E0000}"/>
    <cellStyle name="Normal 15 18 40" xfId="7949" xr:uid="{00000000-0005-0000-0000-00004D0E0000}"/>
    <cellStyle name="Normal 15 18 41" xfId="11883" xr:uid="{00000000-0005-0000-0000-00004E0E0000}"/>
    <cellStyle name="Normal 15 18 42" xfId="6514" xr:uid="{00000000-0005-0000-0000-00004F0E0000}"/>
    <cellStyle name="Normal 15 18 43" xfId="9031" xr:uid="{00000000-0005-0000-0000-0000500E0000}"/>
    <cellStyle name="Normal 15 18 5" xfId="26390" xr:uid="{00000000-0005-0000-0000-0000510E0000}"/>
    <cellStyle name="Normal 15 18 6" xfId="25794" xr:uid="{00000000-0005-0000-0000-0000520E0000}"/>
    <cellStyle name="Normal 15 18 7" xfId="25197" xr:uid="{00000000-0005-0000-0000-0000530E0000}"/>
    <cellStyle name="Normal 15 18 8" xfId="24600" xr:uid="{00000000-0005-0000-0000-0000540E0000}"/>
    <cellStyle name="Normal 15 18 9" xfId="24003" xr:uid="{00000000-0005-0000-0000-0000550E0000}"/>
    <cellStyle name="Normal 15 19" xfId="28778" xr:uid="{00000000-0005-0000-0000-0000560E0000}"/>
    <cellStyle name="Normal 15 19 10" xfId="23405" xr:uid="{00000000-0005-0000-0000-0000570E0000}"/>
    <cellStyle name="Normal 15 19 11" xfId="22808" xr:uid="{00000000-0005-0000-0000-0000580E0000}"/>
    <cellStyle name="Normal 15 19 12" xfId="22212" xr:uid="{00000000-0005-0000-0000-0000590E0000}"/>
    <cellStyle name="Normal 15 19 13" xfId="21615" xr:uid="{00000000-0005-0000-0000-00005A0E0000}"/>
    <cellStyle name="Normal 15 19 14" xfId="21018" xr:uid="{00000000-0005-0000-0000-00005B0E0000}"/>
    <cellStyle name="Normal 15 19 15" xfId="20421" xr:uid="{00000000-0005-0000-0000-00005C0E0000}"/>
    <cellStyle name="Normal 15 19 16" xfId="19825" xr:uid="{00000000-0005-0000-0000-00005D0E0000}"/>
    <cellStyle name="Normal 15 19 17" xfId="19229" xr:uid="{00000000-0005-0000-0000-00005E0E0000}"/>
    <cellStyle name="Normal 15 19 18" xfId="18634" xr:uid="{00000000-0005-0000-0000-00005F0E0000}"/>
    <cellStyle name="Normal 15 19 19" xfId="18038" xr:uid="{00000000-0005-0000-0000-0000600E0000}"/>
    <cellStyle name="Normal 15 19 2" xfId="28179" xr:uid="{00000000-0005-0000-0000-0000610E0000}"/>
    <cellStyle name="Normal 15 19 20" xfId="16716" xr:uid="{00000000-0005-0000-0000-0000620E0000}"/>
    <cellStyle name="Normal 15 19 21" xfId="16212" xr:uid="{00000000-0005-0000-0000-0000630E0000}"/>
    <cellStyle name="Normal 15 19 22" xfId="16672" xr:uid="{00000000-0005-0000-0000-0000640E0000}"/>
    <cellStyle name="Normal 15 19 23" xfId="16233" xr:uid="{00000000-0005-0000-0000-0000650E0000}"/>
    <cellStyle name="Normal 15 19 24" xfId="13160" xr:uid="{00000000-0005-0000-0000-0000660E0000}"/>
    <cellStyle name="Normal 15 19 25" xfId="14054" xr:uid="{00000000-0005-0000-0000-0000670E0000}"/>
    <cellStyle name="Normal 15 19 26" xfId="12975" xr:uid="{00000000-0005-0000-0000-0000680E0000}"/>
    <cellStyle name="Normal 15 19 27" xfId="13264" xr:uid="{00000000-0005-0000-0000-0000690E0000}"/>
    <cellStyle name="Normal 15 19 28" xfId="12646" xr:uid="{00000000-0005-0000-0000-00006A0E0000}"/>
    <cellStyle name="Normal 15 19 29" xfId="8720" xr:uid="{00000000-0005-0000-0000-00006B0E0000}"/>
    <cellStyle name="Normal 15 19 3" xfId="27582" xr:uid="{00000000-0005-0000-0000-00006C0E0000}"/>
    <cellStyle name="Normal 15 19 30" xfId="11624" xr:uid="{00000000-0005-0000-0000-00006D0E0000}"/>
    <cellStyle name="Normal 15 19 31" xfId="6878" xr:uid="{00000000-0005-0000-0000-00006E0E0000}"/>
    <cellStyle name="Normal 15 19 32" xfId="11339" xr:uid="{00000000-0005-0000-0000-00006F0E0000}"/>
    <cellStyle name="Normal 15 19 33" xfId="11805" xr:uid="{00000000-0005-0000-0000-0000700E0000}"/>
    <cellStyle name="Normal 15 19 34" xfId="7002" xr:uid="{00000000-0005-0000-0000-0000710E0000}"/>
    <cellStyle name="Normal 15 19 35" xfId="4265" xr:uid="{00000000-0005-0000-0000-0000720E0000}"/>
    <cellStyle name="Normal 15 19 36" xfId="4141" xr:uid="{00000000-0005-0000-0000-0000730E0000}"/>
    <cellStyle name="Normal 15 19 37" xfId="11829" xr:uid="{00000000-0005-0000-0000-0000740E0000}"/>
    <cellStyle name="Normal 15 19 38" xfId="4171" xr:uid="{00000000-0005-0000-0000-0000750E0000}"/>
    <cellStyle name="Normal 15 19 39" xfId="3943" xr:uid="{00000000-0005-0000-0000-0000760E0000}"/>
    <cellStyle name="Normal 15 19 4" xfId="26985" xr:uid="{00000000-0005-0000-0000-0000770E0000}"/>
    <cellStyle name="Normal 15 19 40" xfId="11878" xr:uid="{00000000-0005-0000-0000-0000780E0000}"/>
    <cellStyle name="Normal 15 19 41" xfId="7358" xr:uid="{00000000-0005-0000-0000-0000790E0000}"/>
    <cellStyle name="Normal 15 19 42" xfId="5659" xr:uid="{00000000-0005-0000-0000-00007A0E0000}"/>
    <cellStyle name="Normal 15 19 43" xfId="5073" xr:uid="{00000000-0005-0000-0000-00007B0E0000}"/>
    <cellStyle name="Normal 15 19 5" xfId="26389" xr:uid="{00000000-0005-0000-0000-00007C0E0000}"/>
    <cellStyle name="Normal 15 19 6" xfId="25793" xr:uid="{00000000-0005-0000-0000-00007D0E0000}"/>
    <cellStyle name="Normal 15 19 7" xfId="25196" xr:uid="{00000000-0005-0000-0000-00007E0E0000}"/>
    <cellStyle name="Normal 15 19 8" xfId="24599" xr:uid="{00000000-0005-0000-0000-00007F0E0000}"/>
    <cellStyle name="Normal 15 19 9" xfId="24002" xr:uid="{00000000-0005-0000-0000-0000800E0000}"/>
    <cellStyle name="Normal 15 2" xfId="28777" xr:uid="{00000000-0005-0000-0000-0000810E0000}"/>
    <cellStyle name="Normal 15 2 10" xfId="23404" xr:uid="{00000000-0005-0000-0000-0000820E0000}"/>
    <cellStyle name="Normal 15 2 11" xfId="22807" xr:uid="{00000000-0005-0000-0000-0000830E0000}"/>
    <cellStyle name="Normal 15 2 12" xfId="22211" xr:uid="{00000000-0005-0000-0000-0000840E0000}"/>
    <cellStyle name="Normal 15 2 13" xfId="21614" xr:uid="{00000000-0005-0000-0000-0000850E0000}"/>
    <cellStyle name="Normal 15 2 14" xfId="21017" xr:uid="{00000000-0005-0000-0000-0000860E0000}"/>
    <cellStyle name="Normal 15 2 15" xfId="20420" xr:uid="{00000000-0005-0000-0000-0000870E0000}"/>
    <cellStyle name="Normal 15 2 16" xfId="19824" xr:uid="{00000000-0005-0000-0000-0000880E0000}"/>
    <cellStyle name="Normal 15 2 17" xfId="19228" xr:uid="{00000000-0005-0000-0000-0000890E0000}"/>
    <cellStyle name="Normal 15 2 18" xfId="18633" xr:uid="{00000000-0005-0000-0000-00008A0E0000}"/>
    <cellStyle name="Normal 15 2 19" xfId="18037" xr:uid="{00000000-0005-0000-0000-00008B0E0000}"/>
    <cellStyle name="Normal 15 2 2" xfId="28178" xr:uid="{00000000-0005-0000-0000-00008C0E0000}"/>
    <cellStyle name="Normal 15 2 20" xfId="16913" xr:uid="{00000000-0005-0000-0000-00008D0E0000}"/>
    <cellStyle name="Normal 15 2 21" xfId="16595" xr:uid="{00000000-0005-0000-0000-00008E0E0000}"/>
    <cellStyle name="Normal 15 2 22" xfId="17290" xr:uid="{00000000-0005-0000-0000-00008F0E0000}"/>
    <cellStyle name="Normal 15 2 23" xfId="13551" xr:uid="{00000000-0005-0000-0000-0000900E0000}"/>
    <cellStyle name="Normal 15 2 24" xfId="15521" xr:uid="{00000000-0005-0000-0000-0000910E0000}"/>
    <cellStyle name="Normal 15 2 25" xfId="13023" xr:uid="{00000000-0005-0000-0000-0000920E0000}"/>
    <cellStyle name="Normal 15 2 26" xfId="14596" xr:uid="{00000000-0005-0000-0000-0000930E0000}"/>
    <cellStyle name="Normal 15 2 27" xfId="15523" xr:uid="{00000000-0005-0000-0000-0000940E0000}"/>
    <cellStyle name="Normal 15 2 28" xfId="12645" xr:uid="{00000000-0005-0000-0000-0000950E0000}"/>
    <cellStyle name="Normal 15 2 29" xfId="8958" xr:uid="{00000000-0005-0000-0000-0000960E0000}"/>
    <cellStyle name="Normal 15 2 3" xfId="27581" xr:uid="{00000000-0005-0000-0000-0000970E0000}"/>
    <cellStyle name="Normal 15 2 30" xfId="10026" xr:uid="{00000000-0005-0000-0000-0000980E0000}"/>
    <cellStyle name="Normal 15 2 31" xfId="11587" xr:uid="{00000000-0005-0000-0000-0000990E0000}"/>
    <cellStyle name="Normal 15 2 32" xfId="11226" xr:uid="{00000000-0005-0000-0000-00009A0E0000}"/>
    <cellStyle name="Normal 15 2 33" xfId="10460" xr:uid="{00000000-0005-0000-0000-00009B0E0000}"/>
    <cellStyle name="Normal 15 2 34" xfId="11319" xr:uid="{00000000-0005-0000-0000-00009C0E0000}"/>
    <cellStyle name="Normal 15 2 35" xfId="4763" xr:uid="{00000000-0005-0000-0000-00009D0E0000}"/>
    <cellStyle name="Normal 15 2 36" xfId="5417" xr:uid="{00000000-0005-0000-0000-00009E0E0000}"/>
    <cellStyle name="Normal 15 2 37" xfId="6250" xr:uid="{00000000-0005-0000-0000-00009F0E0000}"/>
    <cellStyle name="Normal 15 2 38" xfId="7636" xr:uid="{00000000-0005-0000-0000-0000A00E0000}"/>
    <cellStyle name="Normal 15 2 39" xfId="11808" xr:uid="{00000000-0005-0000-0000-0000A10E0000}"/>
    <cellStyle name="Normal 15 2 4" xfId="26984" xr:uid="{00000000-0005-0000-0000-0000A20E0000}"/>
    <cellStyle name="Normal 15 2 40" xfId="4418" xr:uid="{00000000-0005-0000-0000-0000A30E0000}"/>
    <cellStyle name="Normal 15 2 41" xfId="5163" xr:uid="{00000000-0005-0000-0000-0000A40E0000}"/>
    <cellStyle name="Normal 15 2 42" xfId="9485" xr:uid="{00000000-0005-0000-0000-0000A50E0000}"/>
    <cellStyle name="Normal 15 2 43" xfId="3754" xr:uid="{00000000-0005-0000-0000-0000A60E0000}"/>
    <cellStyle name="Normal 15 2 44" xfId="3039" xr:uid="{00000000-0005-0000-0000-0000A70E0000}"/>
    <cellStyle name="Normal 15 2 45" xfId="2795" xr:uid="{00000000-0005-0000-0000-0000A80E0000}"/>
    <cellStyle name="Normal 15 2 46" xfId="2555" xr:uid="{00000000-0005-0000-0000-0000A90E0000}"/>
    <cellStyle name="Normal 15 2 47" xfId="2315" xr:uid="{00000000-0005-0000-0000-0000AA0E0000}"/>
    <cellStyle name="Normal 15 2 48" xfId="2075" xr:uid="{00000000-0005-0000-0000-0000AB0E0000}"/>
    <cellStyle name="Normal 15 2 49" xfId="1835" xr:uid="{00000000-0005-0000-0000-0000AC0E0000}"/>
    <cellStyle name="Normal 15 2 5" xfId="26388" xr:uid="{00000000-0005-0000-0000-0000AD0E0000}"/>
    <cellStyle name="Normal 15 2 50" xfId="1596" xr:uid="{00000000-0005-0000-0000-0000AE0E0000}"/>
    <cellStyle name="Normal 15 2 51" xfId="1356" xr:uid="{00000000-0005-0000-0000-0000AF0E0000}"/>
    <cellStyle name="Normal 15 2 52" xfId="1116" xr:uid="{00000000-0005-0000-0000-0000B00E0000}"/>
    <cellStyle name="Normal 15 2 53" xfId="876" xr:uid="{00000000-0005-0000-0000-0000B10E0000}"/>
    <cellStyle name="Normal 15 2 54" xfId="636" xr:uid="{00000000-0005-0000-0000-0000B20E0000}"/>
    <cellStyle name="Normal 15 2 55" xfId="396" xr:uid="{00000000-0005-0000-0000-0000B30E0000}"/>
    <cellStyle name="Normal 15 2 56" xfId="157" xr:uid="{00000000-0005-0000-0000-0000B40E0000}"/>
    <cellStyle name="Normal 15 2 6" xfId="25792" xr:uid="{00000000-0005-0000-0000-0000B50E0000}"/>
    <cellStyle name="Normal 15 2 7" xfId="25195" xr:uid="{00000000-0005-0000-0000-0000B60E0000}"/>
    <cellStyle name="Normal 15 2 8" xfId="24598" xr:uid="{00000000-0005-0000-0000-0000B70E0000}"/>
    <cellStyle name="Normal 15 2 9" xfId="24001" xr:uid="{00000000-0005-0000-0000-0000B80E0000}"/>
    <cellStyle name="Normal 15 20" xfId="28776" xr:uid="{00000000-0005-0000-0000-0000B90E0000}"/>
    <cellStyle name="Normal 15 20 10" xfId="23403" xr:uid="{00000000-0005-0000-0000-0000BA0E0000}"/>
    <cellStyle name="Normal 15 20 11" xfId="22806" xr:uid="{00000000-0005-0000-0000-0000BB0E0000}"/>
    <cellStyle name="Normal 15 20 12" xfId="22210" xr:uid="{00000000-0005-0000-0000-0000BC0E0000}"/>
    <cellStyle name="Normal 15 20 13" xfId="21613" xr:uid="{00000000-0005-0000-0000-0000BD0E0000}"/>
    <cellStyle name="Normal 15 20 14" xfId="21016" xr:uid="{00000000-0005-0000-0000-0000BE0E0000}"/>
    <cellStyle name="Normal 15 20 15" xfId="20419" xr:uid="{00000000-0005-0000-0000-0000BF0E0000}"/>
    <cellStyle name="Normal 15 20 16" xfId="19823" xr:uid="{00000000-0005-0000-0000-0000C00E0000}"/>
    <cellStyle name="Normal 15 20 17" xfId="19227" xr:uid="{00000000-0005-0000-0000-0000C10E0000}"/>
    <cellStyle name="Normal 15 20 18" xfId="18632" xr:uid="{00000000-0005-0000-0000-0000C20E0000}"/>
    <cellStyle name="Normal 15 20 19" xfId="18036" xr:uid="{00000000-0005-0000-0000-0000C30E0000}"/>
    <cellStyle name="Normal 15 20 2" xfId="28177" xr:uid="{00000000-0005-0000-0000-0000C40E0000}"/>
    <cellStyle name="Normal 15 20 20" xfId="17120" xr:uid="{00000000-0005-0000-0000-0000C50E0000}"/>
    <cellStyle name="Normal 15 20 21" xfId="16984" xr:uid="{00000000-0005-0000-0000-0000C60E0000}"/>
    <cellStyle name="Normal 15 20 22" xfId="15313" xr:uid="{00000000-0005-0000-0000-0000C70E0000}"/>
    <cellStyle name="Normal 15 20 23" xfId="16581" xr:uid="{00000000-0005-0000-0000-0000C80E0000}"/>
    <cellStyle name="Normal 15 20 24" xfId="13337" xr:uid="{00000000-0005-0000-0000-0000C90E0000}"/>
    <cellStyle name="Normal 15 20 25" xfId="12973" xr:uid="{00000000-0005-0000-0000-0000CA0E0000}"/>
    <cellStyle name="Normal 15 20 26" xfId="16447" xr:uid="{00000000-0005-0000-0000-0000CB0E0000}"/>
    <cellStyle name="Normal 15 20 27" xfId="16820" xr:uid="{00000000-0005-0000-0000-0000CC0E0000}"/>
    <cellStyle name="Normal 15 20 28" xfId="12644" xr:uid="{00000000-0005-0000-0000-0000CD0E0000}"/>
    <cellStyle name="Normal 15 20 29" xfId="9193" xr:uid="{00000000-0005-0000-0000-0000CE0E0000}"/>
    <cellStyle name="Normal 15 20 3" xfId="27580" xr:uid="{00000000-0005-0000-0000-0000CF0E0000}"/>
    <cellStyle name="Normal 15 20 30" xfId="6794" xr:uid="{00000000-0005-0000-0000-0000D00E0000}"/>
    <cellStyle name="Normal 15 20 31" xfId="11745" xr:uid="{00000000-0005-0000-0000-0000D10E0000}"/>
    <cellStyle name="Normal 15 20 32" xfId="8588" xr:uid="{00000000-0005-0000-0000-0000D20E0000}"/>
    <cellStyle name="Normal 15 20 33" xfId="10444" xr:uid="{00000000-0005-0000-0000-0000D30E0000}"/>
    <cellStyle name="Normal 15 20 34" xfId="8578" xr:uid="{00000000-0005-0000-0000-0000D40E0000}"/>
    <cellStyle name="Normal 15 20 35" xfId="6652" xr:uid="{00000000-0005-0000-0000-0000D50E0000}"/>
    <cellStyle name="Normal 15 20 36" xfId="8641" xr:uid="{00000000-0005-0000-0000-0000D60E0000}"/>
    <cellStyle name="Normal 15 20 37" xfId="3987" xr:uid="{00000000-0005-0000-0000-0000D70E0000}"/>
    <cellStyle name="Normal 15 20 38" xfId="3848" xr:uid="{00000000-0005-0000-0000-0000D80E0000}"/>
    <cellStyle name="Normal 15 20 39" xfId="4031" xr:uid="{00000000-0005-0000-0000-0000D90E0000}"/>
    <cellStyle name="Normal 15 20 4" xfId="26983" xr:uid="{00000000-0005-0000-0000-0000DA0E0000}"/>
    <cellStyle name="Normal 15 20 40" xfId="3601" xr:uid="{00000000-0005-0000-0000-0000DB0E0000}"/>
    <cellStyle name="Normal 15 20 41" xfId="11602" xr:uid="{00000000-0005-0000-0000-0000DC0E0000}"/>
    <cellStyle name="Normal 15 20 42" xfId="7573" xr:uid="{00000000-0005-0000-0000-0000DD0E0000}"/>
    <cellStyle name="Normal 15 20 43" xfId="7337" xr:uid="{00000000-0005-0000-0000-0000DE0E0000}"/>
    <cellStyle name="Normal 15 20 5" xfId="26387" xr:uid="{00000000-0005-0000-0000-0000DF0E0000}"/>
    <cellStyle name="Normal 15 20 6" xfId="25791" xr:uid="{00000000-0005-0000-0000-0000E00E0000}"/>
    <cellStyle name="Normal 15 20 7" xfId="25194" xr:uid="{00000000-0005-0000-0000-0000E10E0000}"/>
    <cellStyle name="Normal 15 20 8" xfId="24597" xr:uid="{00000000-0005-0000-0000-0000E20E0000}"/>
    <cellStyle name="Normal 15 20 9" xfId="24000" xr:uid="{00000000-0005-0000-0000-0000E30E0000}"/>
    <cellStyle name="Normal 15 21" xfId="28775" xr:uid="{00000000-0005-0000-0000-0000E40E0000}"/>
    <cellStyle name="Normal 15 21 10" xfId="23402" xr:uid="{00000000-0005-0000-0000-0000E50E0000}"/>
    <cellStyle name="Normal 15 21 11" xfId="22805" xr:uid="{00000000-0005-0000-0000-0000E60E0000}"/>
    <cellStyle name="Normal 15 21 12" xfId="22209" xr:uid="{00000000-0005-0000-0000-0000E70E0000}"/>
    <cellStyle name="Normal 15 21 13" xfId="21612" xr:uid="{00000000-0005-0000-0000-0000E80E0000}"/>
    <cellStyle name="Normal 15 21 14" xfId="21015" xr:uid="{00000000-0005-0000-0000-0000E90E0000}"/>
    <cellStyle name="Normal 15 21 15" xfId="20418" xr:uid="{00000000-0005-0000-0000-0000EA0E0000}"/>
    <cellStyle name="Normal 15 21 16" xfId="19822" xr:uid="{00000000-0005-0000-0000-0000EB0E0000}"/>
    <cellStyle name="Normal 15 21 17" xfId="19226" xr:uid="{00000000-0005-0000-0000-0000EC0E0000}"/>
    <cellStyle name="Normal 15 21 18" xfId="18631" xr:uid="{00000000-0005-0000-0000-0000ED0E0000}"/>
    <cellStyle name="Normal 15 21 19" xfId="18035" xr:uid="{00000000-0005-0000-0000-0000EE0E0000}"/>
    <cellStyle name="Normal 15 21 2" xfId="28176" xr:uid="{00000000-0005-0000-0000-0000EF0E0000}"/>
    <cellStyle name="Normal 15 21 20" xfId="17313" xr:uid="{00000000-0005-0000-0000-0000F00E0000}"/>
    <cellStyle name="Normal 15 21 21" xfId="16576" xr:uid="{00000000-0005-0000-0000-0000F10E0000}"/>
    <cellStyle name="Normal 15 21 22" xfId="14328" xr:uid="{00000000-0005-0000-0000-0000F20E0000}"/>
    <cellStyle name="Normal 15 21 23" xfId="16116" xr:uid="{00000000-0005-0000-0000-0000F30E0000}"/>
    <cellStyle name="Normal 15 21 24" xfId="14967" xr:uid="{00000000-0005-0000-0000-0000F40E0000}"/>
    <cellStyle name="Normal 15 21 25" xfId="15812" xr:uid="{00000000-0005-0000-0000-0000F50E0000}"/>
    <cellStyle name="Normal 15 21 26" xfId="17501" xr:uid="{00000000-0005-0000-0000-0000F60E0000}"/>
    <cellStyle name="Normal 15 21 27" xfId="13057" xr:uid="{00000000-0005-0000-0000-0000F70E0000}"/>
    <cellStyle name="Normal 15 21 28" xfId="12643" xr:uid="{00000000-0005-0000-0000-0000F80E0000}"/>
    <cellStyle name="Normal 15 21 29" xfId="9426" xr:uid="{00000000-0005-0000-0000-0000F90E0000}"/>
    <cellStyle name="Normal 15 21 3" xfId="27579" xr:uid="{00000000-0005-0000-0000-0000FA0E0000}"/>
    <cellStyle name="Normal 15 21 30" xfId="11138" xr:uid="{00000000-0005-0000-0000-0000FB0E0000}"/>
    <cellStyle name="Normal 15 21 31" xfId="11554" xr:uid="{00000000-0005-0000-0000-0000FC0E0000}"/>
    <cellStyle name="Normal 15 21 32" xfId="11321" xr:uid="{00000000-0005-0000-0000-0000FD0E0000}"/>
    <cellStyle name="Normal 15 21 33" xfId="8607" xr:uid="{00000000-0005-0000-0000-0000FE0E0000}"/>
    <cellStyle name="Normal 15 21 34" xfId="7169" xr:uid="{00000000-0005-0000-0000-0000FF0E0000}"/>
    <cellStyle name="Normal 15 21 35" xfId="5705" xr:uid="{00000000-0005-0000-0000-0000000F0000}"/>
    <cellStyle name="Normal 15 21 36" xfId="9320" xr:uid="{00000000-0005-0000-0000-0000010F0000}"/>
    <cellStyle name="Normal 15 21 37" xfId="3837" xr:uid="{00000000-0005-0000-0000-0000020F0000}"/>
    <cellStyle name="Normal 15 21 38" xfId="4332" xr:uid="{00000000-0005-0000-0000-0000030F0000}"/>
    <cellStyle name="Normal 15 21 39" xfId="8253" xr:uid="{00000000-0005-0000-0000-0000040F0000}"/>
    <cellStyle name="Normal 15 21 4" xfId="26982" xr:uid="{00000000-0005-0000-0000-0000050F0000}"/>
    <cellStyle name="Normal 15 21 40" xfId="12030" xr:uid="{00000000-0005-0000-0000-0000060F0000}"/>
    <cellStyle name="Normal 15 21 41" xfId="7216" xr:uid="{00000000-0005-0000-0000-0000070F0000}"/>
    <cellStyle name="Normal 15 21 42" xfId="3385" xr:uid="{00000000-0005-0000-0000-0000080F0000}"/>
    <cellStyle name="Normal 15 21 43" xfId="7064" xr:uid="{00000000-0005-0000-0000-0000090F0000}"/>
    <cellStyle name="Normal 15 21 5" xfId="26386" xr:uid="{00000000-0005-0000-0000-00000A0F0000}"/>
    <cellStyle name="Normal 15 21 6" xfId="25790" xr:uid="{00000000-0005-0000-0000-00000B0F0000}"/>
    <cellStyle name="Normal 15 21 7" xfId="25193" xr:uid="{00000000-0005-0000-0000-00000C0F0000}"/>
    <cellStyle name="Normal 15 21 8" xfId="24596" xr:uid="{00000000-0005-0000-0000-00000D0F0000}"/>
    <cellStyle name="Normal 15 21 9" xfId="23999" xr:uid="{00000000-0005-0000-0000-00000E0F0000}"/>
    <cellStyle name="Normal 15 22" xfId="28774" xr:uid="{00000000-0005-0000-0000-00000F0F0000}"/>
    <cellStyle name="Normal 15 22 10" xfId="23401" xr:uid="{00000000-0005-0000-0000-0000100F0000}"/>
    <cellStyle name="Normal 15 22 11" xfId="22804" xr:uid="{00000000-0005-0000-0000-0000110F0000}"/>
    <cellStyle name="Normal 15 22 12" xfId="22208" xr:uid="{00000000-0005-0000-0000-0000120F0000}"/>
    <cellStyle name="Normal 15 22 13" xfId="21611" xr:uid="{00000000-0005-0000-0000-0000130F0000}"/>
    <cellStyle name="Normal 15 22 14" xfId="21014" xr:uid="{00000000-0005-0000-0000-0000140F0000}"/>
    <cellStyle name="Normal 15 22 15" xfId="20417" xr:uid="{00000000-0005-0000-0000-0000150F0000}"/>
    <cellStyle name="Normal 15 22 16" xfId="19821" xr:uid="{00000000-0005-0000-0000-0000160F0000}"/>
    <cellStyle name="Normal 15 22 17" xfId="19225" xr:uid="{00000000-0005-0000-0000-0000170F0000}"/>
    <cellStyle name="Normal 15 22 18" xfId="18630" xr:uid="{00000000-0005-0000-0000-0000180F0000}"/>
    <cellStyle name="Normal 15 22 19" xfId="18034" xr:uid="{00000000-0005-0000-0000-0000190F0000}"/>
    <cellStyle name="Normal 15 22 2" xfId="28175" xr:uid="{00000000-0005-0000-0000-00001A0F0000}"/>
    <cellStyle name="Normal 15 22 20" xfId="14146" xr:uid="{00000000-0005-0000-0000-00001B0F0000}"/>
    <cellStyle name="Normal 15 22 21" xfId="16175" xr:uid="{00000000-0005-0000-0000-00001C0F0000}"/>
    <cellStyle name="Normal 15 22 22" xfId="15370" xr:uid="{00000000-0005-0000-0000-00001D0F0000}"/>
    <cellStyle name="Normal 15 22 23" xfId="14676" xr:uid="{00000000-0005-0000-0000-00001E0F0000}"/>
    <cellStyle name="Normal 15 22 24" xfId="15221" xr:uid="{00000000-0005-0000-0000-00001F0F0000}"/>
    <cellStyle name="Normal 15 22 25" xfId="13014" xr:uid="{00000000-0005-0000-0000-0000200F0000}"/>
    <cellStyle name="Normal 15 22 26" xfId="12790" xr:uid="{00000000-0005-0000-0000-0000210F0000}"/>
    <cellStyle name="Normal 15 22 27" xfId="12803" xr:uid="{00000000-0005-0000-0000-0000220F0000}"/>
    <cellStyle name="Normal 15 22 28" xfId="12642" xr:uid="{00000000-0005-0000-0000-0000230F0000}"/>
    <cellStyle name="Normal 15 22 29" xfId="9646" xr:uid="{00000000-0005-0000-0000-0000240F0000}"/>
    <cellStyle name="Normal 15 22 3" xfId="27578" xr:uid="{00000000-0005-0000-0000-0000250F0000}"/>
    <cellStyle name="Normal 15 22 30" xfId="8405" xr:uid="{00000000-0005-0000-0000-0000260F0000}"/>
    <cellStyle name="Normal 15 22 31" xfId="9488" xr:uid="{00000000-0005-0000-0000-0000270F0000}"/>
    <cellStyle name="Normal 15 22 32" xfId="10974" xr:uid="{00000000-0005-0000-0000-0000280F0000}"/>
    <cellStyle name="Normal 15 22 33" xfId="7300" xr:uid="{00000000-0005-0000-0000-0000290F0000}"/>
    <cellStyle name="Normal 15 22 34" xfId="10360" xr:uid="{00000000-0005-0000-0000-00002A0F0000}"/>
    <cellStyle name="Normal 15 22 35" xfId="6925" xr:uid="{00000000-0005-0000-0000-00002B0F0000}"/>
    <cellStyle name="Normal 15 22 36" xfId="4497" xr:uid="{00000000-0005-0000-0000-00002C0F0000}"/>
    <cellStyle name="Normal 15 22 37" xfId="6598" xr:uid="{00000000-0005-0000-0000-00002D0F0000}"/>
    <cellStyle name="Normal 15 22 38" xfId="3613" xr:uid="{00000000-0005-0000-0000-00002E0F0000}"/>
    <cellStyle name="Normal 15 22 39" xfId="3905" xr:uid="{00000000-0005-0000-0000-00002F0F0000}"/>
    <cellStyle name="Normal 15 22 4" xfId="26981" xr:uid="{00000000-0005-0000-0000-0000300F0000}"/>
    <cellStyle name="Normal 15 22 40" xfId="8490" xr:uid="{00000000-0005-0000-0000-0000310F0000}"/>
    <cellStyle name="Normal 15 22 41" xfId="8325" xr:uid="{00000000-0005-0000-0000-0000320F0000}"/>
    <cellStyle name="Normal 15 22 42" xfId="12087" xr:uid="{00000000-0005-0000-0000-0000330F0000}"/>
    <cellStyle name="Normal 15 22 43" xfId="5478" xr:uid="{00000000-0005-0000-0000-0000340F0000}"/>
    <cellStyle name="Normal 15 22 5" xfId="26385" xr:uid="{00000000-0005-0000-0000-0000350F0000}"/>
    <cellStyle name="Normal 15 22 6" xfId="25789" xr:uid="{00000000-0005-0000-0000-0000360F0000}"/>
    <cellStyle name="Normal 15 22 7" xfId="25192" xr:uid="{00000000-0005-0000-0000-0000370F0000}"/>
    <cellStyle name="Normal 15 22 8" xfId="24595" xr:uid="{00000000-0005-0000-0000-0000380F0000}"/>
    <cellStyle name="Normal 15 22 9" xfId="23998" xr:uid="{00000000-0005-0000-0000-0000390F0000}"/>
    <cellStyle name="Normal 15 23" xfId="28773" xr:uid="{00000000-0005-0000-0000-00003A0F0000}"/>
    <cellStyle name="Normal 15 23 10" xfId="23400" xr:uid="{00000000-0005-0000-0000-00003B0F0000}"/>
    <cellStyle name="Normal 15 23 11" xfId="22803" xr:uid="{00000000-0005-0000-0000-00003C0F0000}"/>
    <cellStyle name="Normal 15 23 12" xfId="22207" xr:uid="{00000000-0005-0000-0000-00003D0F0000}"/>
    <cellStyle name="Normal 15 23 13" xfId="21610" xr:uid="{00000000-0005-0000-0000-00003E0F0000}"/>
    <cellStyle name="Normal 15 23 14" xfId="21013" xr:uid="{00000000-0005-0000-0000-00003F0F0000}"/>
    <cellStyle name="Normal 15 23 15" xfId="20416" xr:uid="{00000000-0005-0000-0000-0000400F0000}"/>
    <cellStyle name="Normal 15 23 16" xfId="19820" xr:uid="{00000000-0005-0000-0000-0000410F0000}"/>
    <cellStyle name="Normal 15 23 17" xfId="19224" xr:uid="{00000000-0005-0000-0000-0000420F0000}"/>
    <cellStyle name="Normal 15 23 18" xfId="18629" xr:uid="{00000000-0005-0000-0000-0000430F0000}"/>
    <cellStyle name="Normal 15 23 19" xfId="18033" xr:uid="{00000000-0005-0000-0000-0000440F0000}"/>
    <cellStyle name="Normal 15 23 2" xfId="28174" xr:uid="{00000000-0005-0000-0000-0000450F0000}"/>
    <cellStyle name="Normal 15 23 20" xfId="14335" xr:uid="{00000000-0005-0000-0000-0000460F0000}"/>
    <cellStyle name="Normal 15 23 21" xfId="13957" xr:uid="{00000000-0005-0000-0000-0000470F0000}"/>
    <cellStyle name="Normal 15 23 22" xfId="15785" xr:uid="{00000000-0005-0000-0000-0000480F0000}"/>
    <cellStyle name="Normal 15 23 23" xfId="14101" xr:uid="{00000000-0005-0000-0000-0000490F0000}"/>
    <cellStyle name="Normal 15 23 24" xfId="17021" xr:uid="{00000000-0005-0000-0000-00004A0F0000}"/>
    <cellStyle name="Normal 15 23 25" xfId="15990" xr:uid="{00000000-0005-0000-0000-00004B0F0000}"/>
    <cellStyle name="Normal 15 23 26" xfId="15429" xr:uid="{00000000-0005-0000-0000-00004C0F0000}"/>
    <cellStyle name="Normal 15 23 27" xfId="16061" xr:uid="{00000000-0005-0000-0000-00004D0F0000}"/>
    <cellStyle name="Normal 15 23 28" xfId="12641" xr:uid="{00000000-0005-0000-0000-00004E0F0000}"/>
    <cellStyle name="Normal 15 23 29" xfId="9877" xr:uid="{00000000-0005-0000-0000-00004F0F0000}"/>
    <cellStyle name="Normal 15 23 3" xfId="27577" xr:uid="{00000000-0005-0000-0000-0000500F0000}"/>
    <cellStyle name="Normal 15 23 30" xfId="8615" xr:uid="{00000000-0005-0000-0000-0000510F0000}"/>
    <cellStyle name="Normal 15 23 31" xfId="7986" xr:uid="{00000000-0005-0000-0000-0000520F0000}"/>
    <cellStyle name="Normal 15 23 32" xfId="9680" xr:uid="{00000000-0005-0000-0000-0000530F0000}"/>
    <cellStyle name="Normal 15 23 33" xfId="9006" xr:uid="{00000000-0005-0000-0000-0000540F0000}"/>
    <cellStyle name="Normal 15 23 34" xfId="9971" xr:uid="{00000000-0005-0000-0000-0000550F0000}"/>
    <cellStyle name="Normal 15 23 35" xfId="10625" xr:uid="{00000000-0005-0000-0000-0000560F0000}"/>
    <cellStyle name="Normal 15 23 36" xfId="10663" xr:uid="{00000000-0005-0000-0000-0000570F0000}"/>
    <cellStyle name="Normal 15 23 37" xfId="3850" xr:uid="{00000000-0005-0000-0000-0000580F0000}"/>
    <cellStyle name="Normal 15 23 38" xfId="9226" xr:uid="{00000000-0005-0000-0000-0000590F0000}"/>
    <cellStyle name="Normal 15 23 39" xfId="5713" xr:uid="{00000000-0005-0000-0000-00005A0F0000}"/>
    <cellStyle name="Normal 15 23 4" xfId="26980" xr:uid="{00000000-0005-0000-0000-00005B0F0000}"/>
    <cellStyle name="Normal 15 23 40" xfId="3895" xr:uid="{00000000-0005-0000-0000-00005C0F0000}"/>
    <cellStyle name="Normal 15 23 41" xfId="7666" xr:uid="{00000000-0005-0000-0000-00005D0F0000}"/>
    <cellStyle name="Normal 15 23 42" xfId="7200" xr:uid="{00000000-0005-0000-0000-00005E0F0000}"/>
    <cellStyle name="Normal 15 23 43" xfId="3390" xr:uid="{00000000-0005-0000-0000-00005F0F0000}"/>
    <cellStyle name="Normal 15 23 5" xfId="26384" xr:uid="{00000000-0005-0000-0000-0000600F0000}"/>
    <cellStyle name="Normal 15 23 6" xfId="25788" xr:uid="{00000000-0005-0000-0000-0000610F0000}"/>
    <cellStyle name="Normal 15 23 7" xfId="25191" xr:uid="{00000000-0005-0000-0000-0000620F0000}"/>
    <cellStyle name="Normal 15 23 8" xfId="24594" xr:uid="{00000000-0005-0000-0000-0000630F0000}"/>
    <cellStyle name="Normal 15 23 9" xfId="23997" xr:uid="{00000000-0005-0000-0000-0000640F0000}"/>
    <cellStyle name="Normal 15 24" xfId="28772" xr:uid="{00000000-0005-0000-0000-0000650F0000}"/>
    <cellStyle name="Normal 15 24 10" xfId="23399" xr:uid="{00000000-0005-0000-0000-0000660F0000}"/>
    <cellStyle name="Normal 15 24 11" xfId="22802" xr:uid="{00000000-0005-0000-0000-0000670F0000}"/>
    <cellStyle name="Normal 15 24 12" xfId="22206" xr:uid="{00000000-0005-0000-0000-0000680F0000}"/>
    <cellStyle name="Normal 15 24 13" xfId="21609" xr:uid="{00000000-0005-0000-0000-0000690F0000}"/>
    <cellStyle name="Normal 15 24 14" xfId="21012" xr:uid="{00000000-0005-0000-0000-00006A0F0000}"/>
    <cellStyle name="Normal 15 24 15" xfId="20415" xr:uid="{00000000-0005-0000-0000-00006B0F0000}"/>
    <cellStyle name="Normal 15 24 16" xfId="19819" xr:uid="{00000000-0005-0000-0000-00006C0F0000}"/>
    <cellStyle name="Normal 15 24 17" xfId="19223" xr:uid="{00000000-0005-0000-0000-00006D0F0000}"/>
    <cellStyle name="Normal 15 24 18" xfId="18628" xr:uid="{00000000-0005-0000-0000-00006E0F0000}"/>
    <cellStyle name="Normal 15 24 19" xfId="18032" xr:uid="{00000000-0005-0000-0000-00006F0F0000}"/>
    <cellStyle name="Normal 15 24 2" xfId="28173" xr:uid="{00000000-0005-0000-0000-0000700F0000}"/>
    <cellStyle name="Normal 15 24 20" xfId="14526" xr:uid="{00000000-0005-0000-0000-0000710F0000}"/>
    <cellStyle name="Normal 15 24 21" xfId="14128" xr:uid="{00000000-0005-0000-0000-0000720F0000}"/>
    <cellStyle name="Normal 15 24 22" xfId="16008" xr:uid="{00000000-0005-0000-0000-0000730F0000}"/>
    <cellStyle name="Normal 15 24 23" xfId="14704" xr:uid="{00000000-0005-0000-0000-0000740F0000}"/>
    <cellStyle name="Normal 15 24 24" xfId="14430" xr:uid="{00000000-0005-0000-0000-0000750F0000}"/>
    <cellStyle name="Normal 15 24 25" xfId="13417" xr:uid="{00000000-0005-0000-0000-0000760F0000}"/>
    <cellStyle name="Normal 15 24 26" xfId="12859" xr:uid="{00000000-0005-0000-0000-0000770F0000}"/>
    <cellStyle name="Normal 15 24 27" xfId="14980" xr:uid="{00000000-0005-0000-0000-0000780F0000}"/>
    <cellStyle name="Normal 15 24 28" xfId="12640" xr:uid="{00000000-0005-0000-0000-0000790F0000}"/>
    <cellStyle name="Normal 15 24 29" xfId="10112" xr:uid="{00000000-0005-0000-0000-00007A0F0000}"/>
    <cellStyle name="Normal 15 24 3" xfId="27576" xr:uid="{00000000-0005-0000-0000-00007B0F0000}"/>
    <cellStyle name="Normal 15 24 30" xfId="8838" xr:uid="{00000000-0005-0000-0000-00007C0F0000}"/>
    <cellStyle name="Normal 15 24 31" xfId="7478" xr:uid="{00000000-0005-0000-0000-00007D0F0000}"/>
    <cellStyle name="Normal 15 24 32" xfId="6495" xr:uid="{00000000-0005-0000-0000-00007E0F0000}"/>
    <cellStyle name="Normal 15 24 33" xfId="8669" xr:uid="{00000000-0005-0000-0000-00007F0F0000}"/>
    <cellStyle name="Normal 15 24 34" xfId="8604" xr:uid="{00000000-0005-0000-0000-0000800F0000}"/>
    <cellStyle name="Normal 15 24 35" xfId="8415" xr:uid="{00000000-0005-0000-0000-0000810F0000}"/>
    <cellStyle name="Normal 15 24 36" xfId="9232" xr:uid="{00000000-0005-0000-0000-0000820F0000}"/>
    <cellStyle name="Normal 15 24 37" xfId="3869" xr:uid="{00000000-0005-0000-0000-0000830F0000}"/>
    <cellStyle name="Normal 15 24 38" xfId="3667" xr:uid="{00000000-0005-0000-0000-0000840F0000}"/>
    <cellStyle name="Normal 15 24 39" xfId="3417" xr:uid="{00000000-0005-0000-0000-0000850F0000}"/>
    <cellStyle name="Normal 15 24 4" xfId="26979" xr:uid="{00000000-0005-0000-0000-0000860F0000}"/>
    <cellStyle name="Normal 15 24 40" xfId="4344" xr:uid="{00000000-0005-0000-0000-0000870F0000}"/>
    <cellStyle name="Normal 15 24 41" xfId="4767" xr:uid="{00000000-0005-0000-0000-0000880F0000}"/>
    <cellStyle name="Normal 15 24 42" xfId="7394" xr:uid="{00000000-0005-0000-0000-0000890F0000}"/>
    <cellStyle name="Normal 15 24 43" xfId="5290" xr:uid="{00000000-0005-0000-0000-00008A0F0000}"/>
    <cellStyle name="Normal 15 24 5" xfId="26383" xr:uid="{00000000-0005-0000-0000-00008B0F0000}"/>
    <cellStyle name="Normal 15 24 6" xfId="25787" xr:uid="{00000000-0005-0000-0000-00008C0F0000}"/>
    <cellStyle name="Normal 15 24 7" xfId="25190" xr:uid="{00000000-0005-0000-0000-00008D0F0000}"/>
    <cellStyle name="Normal 15 24 8" xfId="24593" xr:uid="{00000000-0005-0000-0000-00008E0F0000}"/>
    <cellStyle name="Normal 15 24 9" xfId="23996" xr:uid="{00000000-0005-0000-0000-00008F0F0000}"/>
    <cellStyle name="Normal 15 25" xfId="28771" xr:uid="{00000000-0005-0000-0000-0000900F0000}"/>
    <cellStyle name="Normal 15 25 10" xfId="23398" xr:uid="{00000000-0005-0000-0000-0000910F0000}"/>
    <cellStyle name="Normal 15 25 11" xfId="22801" xr:uid="{00000000-0005-0000-0000-0000920F0000}"/>
    <cellStyle name="Normal 15 25 12" xfId="22205" xr:uid="{00000000-0005-0000-0000-0000930F0000}"/>
    <cellStyle name="Normal 15 25 13" xfId="21608" xr:uid="{00000000-0005-0000-0000-0000940F0000}"/>
    <cellStyle name="Normal 15 25 14" xfId="21011" xr:uid="{00000000-0005-0000-0000-0000950F0000}"/>
    <cellStyle name="Normal 15 25 15" xfId="20414" xr:uid="{00000000-0005-0000-0000-0000960F0000}"/>
    <cellStyle name="Normal 15 25 16" xfId="19818" xr:uid="{00000000-0005-0000-0000-0000970F0000}"/>
    <cellStyle name="Normal 15 25 17" xfId="19222" xr:uid="{00000000-0005-0000-0000-0000980F0000}"/>
    <cellStyle name="Normal 15 25 18" xfId="18627" xr:uid="{00000000-0005-0000-0000-0000990F0000}"/>
    <cellStyle name="Normal 15 25 19" xfId="18031" xr:uid="{00000000-0005-0000-0000-00009A0F0000}"/>
    <cellStyle name="Normal 15 25 2" xfId="28172" xr:uid="{00000000-0005-0000-0000-00009B0F0000}"/>
    <cellStyle name="Normal 15 25 20" xfId="14723" xr:uid="{00000000-0005-0000-0000-00009C0F0000}"/>
    <cellStyle name="Normal 15 25 21" xfId="15517" xr:uid="{00000000-0005-0000-0000-00009D0F0000}"/>
    <cellStyle name="Normal 15 25 22" xfId="16826" xr:uid="{00000000-0005-0000-0000-00009E0F0000}"/>
    <cellStyle name="Normal 15 25 23" xfId="16707" xr:uid="{00000000-0005-0000-0000-00009F0F0000}"/>
    <cellStyle name="Normal 15 25 24" xfId="13781" xr:uid="{00000000-0005-0000-0000-0000A00F0000}"/>
    <cellStyle name="Normal 15 25 25" xfId="13786" xr:uid="{00000000-0005-0000-0000-0000A10F0000}"/>
    <cellStyle name="Normal 15 25 26" xfId="15428" xr:uid="{00000000-0005-0000-0000-0000A20F0000}"/>
    <cellStyle name="Normal 15 25 27" xfId="12753" xr:uid="{00000000-0005-0000-0000-0000A30F0000}"/>
    <cellStyle name="Normal 15 25 28" xfId="12639" xr:uid="{00000000-0005-0000-0000-0000A40F0000}"/>
    <cellStyle name="Normal 15 25 29" xfId="10340" xr:uid="{00000000-0005-0000-0000-0000A50F0000}"/>
    <cellStyle name="Normal 15 25 3" xfId="27575" xr:uid="{00000000-0005-0000-0000-0000A60F0000}"/>
    <cellStyle name="Normal 15 25 30" xfId="9301" xr:uid="{00000000-0005-0000-0000-0000A70F0000}"/>
    <cellStyle name="Normal 15 25 31" xfId="10000" xr:uid="{00000000-0005-0000-0000-0000A80F0000}"/>
    <cellStyle name="Normal 15 25 32" xfId="9790" xr:uid="{00000000-0005-0000-0000-0000A90F0000}"/>
    <cellStyle name="Normal 15 25 33" xfId="10950" xr:uid="{00000000-0005-0000-0000-0000AA0F0000}"/>
    <cellStyle name="Normal 15 25 34" xfId="6663" xr:uid="{00000000-0005-0000-0000-0000AB0F0000}"/>
    <cellStyle name="Normal 15 25 35" xfId="6498" xr:uid="{00000000-0005-0000-0000-0000AC0F0000}"/>
    <cellStyle name="Normal 15 25 36" xfId="4621" xr:uid="{00000000-0005-0000-0000-0000AD0F0000}"/>
    <cellStyle name="Normal 15 25 37" xfId="5232" xr:uid="{00000000-0005-0000-0000-0000AE0F0000}"/>
    <cellStyle name="Normal 15 25 38" xfId="5704" xr:uid="{00000000-0005-0000-0000-0000AF0F0000}"/>
    <cellStyle name="Normal 15 25 39" xfId="3475" xr:uid="{00000000-0005-0000-0000-0000B00F0000}"/>
    <cellStyle name="Normal 15 25 4" xfId="26978" xr:uid="{00000000-0005-0000-0000-0000B10F0000}"/>
    <cellStyle name="Normal 15 25 40" xfId="4048" xr:uid="{00000000-0005-0000-0000-0000B20F0000}"/>
    <cellStyle name="Normal 15 25 41" xfId="7057" xr:uid="{00000000-0005-0000-0000-0000B30F0000}"/>
    <cellStyle name="Normal 15 25 42" xfId="7060" xr:uid="{00000000-0005-0000-0000-0000B40F0000}"/>
    <cellStyle name="Normal 15 25 43" xfId="3471" xr:uid="{00000000-0005-0000-0000-0000B50F0000}"/>
    <cellStyle name="Normal 15 25 5" xfId="26382" xr:uid="{00000000-0005-0000-0000-0000B60F0000}"/>
    <cellStyle name="Normal 15 25 6" xfId="25786" xr:uid="{00000000-0005-0000-0000-0000B70F0000}"/>
    <cellStyle name="Normal 15 25 7" xfId="25189" xr:uid="{00000000-0005-0000-0000-0000B80F0000}"/>
    <cellStyle name="Normal 15 25 8" xfId="24592" xr:uid="{00000000-0005-0000-0000-0000B90F0000}"/>
    <cellStyle name="Normal 15 25 9" xfId="23995" xr:uid="{00000000-0005-0000-0000-0000BA0F0000}"/>
    <cellStyle name="Normal 15 26" xfId="28770" xr:uid="{00000000-0005-0000-0000-0000BB0F0000}"/>
    <cellStyle name="Normal 15 26 10" xfId="23397" xr:uid="{00000000-0005-0000-0000-0000BC0F0000}"/>
    <cellStyle name="Normal 15 26 11" xfId="22800" xr:uid="{00000000-0005-0000-0000-0000BD0F0000}"/>
    <cellStyle name="Normal 15 26 12" xfId="22204" xr:uid="{00000000-0005-0000-0000-0000BE0F0000}"/>
    <cellStyle name="Normal 15 26 13" xfId="21607" xr:uid="{00000000-0005-0000-0000-0000BF0F0000}"/>
    <cellStyle name="Normal 15 26 14" xfId="21010" xr:uid="{00000000-0005-0000-0000-0000C00F0000}"/>
    <cellStyle name="Normal 15 26 15" xfId="20413" xr:uid="{00000000-0005-0000-0000-0000C10F0000}"/>
    <cellStyle name="Normal 15 26 16" xfId="19817" xr:uid="{00000000-0005-0000-0000-0000C20F0000}"/>
    <cellStyle name="Normal 15 26 17" xfId="19221" xr:uid="{00000000-0005-0000-0000-0000C30F0000}"/>
    <cellStyle name="Normal 15 26 18" xfId="18626" xr:uid="{00000000-0005-0000-0000-0000C40F0000}"/>
    <cellStyle name="Normal 15 26 19" xfId="18030" xr:uid="{00000000-0005-0000-0000-0000C50F0000}"/>
    <cellStyle name="Normal 15 26 2" xfId="28171" xr:uid="{00000000-0005-0000-0000-0000C60F0000}"/>
    <cellStyle name="Normal 15 26 20" xfId="14925" xr:uid="{00000000-0005-0000-0000-0000C70F0000}"/>
    <cellStyle name="Normal 15 26 21" xfId="15507" xr:uid="{00000000-0005-0000-0000-0000C80F0000}"/>
    <cellStyle name="Normal 15 26 22" xfId="16420" xr:uid="{00000000-0005-0000-0000-0000C90F0000}"/>
    <cellStyle name="Normal 15 26 23" xfId="17461" xr:uid="{00000000-0005-0000-0000-0000CA0F0000}"/>
    <cellStyle name="Normal 15 26 24" xfId="16779" xr:uid="{00000000-0005-0000-0000-0000CB0F0000}"/>
    <cellStyle name="Normal 15 26 25" xfId="13038" xr:uid="{00000000-0005-0000-0000-0000CC0F0000}"/>
    <cellStyle name="Normal 15 26 26" xfId="15960" xr:uid="{00000000-0005-0000-0000-0000CD0F0000}"/>
    <cellStyle name="Normal 15 26 27" xfId="12735" xr:uid="{00000000-0005-0000-0000-0000CE0F0000}"/>
    <cellStyle name="Normal 15 26 28" xfId="12638" xr:uid="{00000000-0005-0000-0000-0000CF0F0000}"/>
    <cellStyle name="Normal 15 26 29" xfId="10568" xr:uid="{00000000-0005-0000-0000-0000D00F0000}"/>
    <cellStyle name="Normal 15 26 3" xfId="27574" xr:uid="{00000000-0005-0000-0000-0000D10F0000}"/>
    <cellStyle name="Normal 15 26 30" xfId="9514" xr:uid="{00000000-0005-0000-0000-0000D20F0000}"/>
    <cellStyle name="Normal 15 26 31" xfId="7185" xr:uid="{00000000-0005-0000-0000-0000D30F0000}"/>
    <cellStyle name="Normal 15 26 32" xfId="6026" xr:uid="{00000000-0005-0000-0000-0000D40F0000}"/>
    <cellStyle name="Normal 15 26 33" xfId="5342" xr:uid="{00000000-0005-0000-0000-0000D50F0000}"/>
    <cellStyle name="Normal 15 26 34" xfId="7928" xr:uid="{00000000-0005-0000-0000-0000D60F0000}"/>
    <cellStyle name="Normal 15 26 35" xfId="7024" xr:uid="{00000000-0005-0000-0000-0000D70F0000}"/>
    <cellStyle name="Normal 15 26 36" xfId="6891" xr:uid="{00000000-0005-0000-0000-0000D80F0000}"/>
    <cellStyle name="Normal 15 26 37" xfId="10522" xr:uid="{00000000-0005-0000-0000-0000D90F0000}"/>
    <cellStyle name="Normal 15 26 38" xfId="3683" xr:uid="{00000000-0005-0000-0000-0000DA0F0000}"/>
    <cellStyle name="Normal 15 26 39" xfId="8546" xr:uid="{00000000-0005-0000-0000-0000DB0F0000}"/>
    <cellStyle name="Normal 15 26 4" xfId="26977" xr:uid="{00000000-0005-0000-0000-0000DC0F0000}"/>
    <cellStyle name="Normal 15 26 40" xfId="7587" xr:uid="{00000000-0005-0000-0000-0000DD0F0000}"/>
    <cellStyle name="Normal 15 26 41" xfId="11214" xr:uid="{00000000-0005-0000-0000-0000DE0F0000}"/>
    <cellStyle name="Normal 15 26 42" xfId="10599" xr:uid="{00000000-0005-0000-0000-0000DF0F0000}"/>
    <cellStyle name="Normal 15 26 43" xfId="3247" xr:uid="{00000000-0005-0000-0000-0000E00F0000}"/>
    <cellStyle name="Normal 15 26 5" xfId="26381" xr:uid="{00000000-0005-0000-0000-0000E10F0000}"/>
    <cellStyle name="Normal 15 26 6" xfId="25785" xr:uid="{00000000-0005-0000-0000-0000E20F0000}"/>
    <cellStyle name="Normal 15 26 7" xfId="25188" xr:uid="{00000000-0005-0000-0000-0000E30F0000}"/>
    <cellStyle name="Normal 15 26 8" xfId="24591" xr:uid="{00000000-0005-0000-0000-0000E40F0000}"/>
    <cellStyle name="Normal 15 26 9" xfId="23994" xr:uid="{00000000-0005-0000-0000-0000E50F0000}"/>
    <cellStyle name="Normal 15 27" xfId="28189" xr:uid="{00000000-0005-0000-0000-0000E60F0000}"/>
    <cellStyle name="Normal 15 28" xfId="27592" xr:uid="{00000000-0005-0000-0000-0000E70F0000}"/>
    <cellStyle name="Normal 15 29" xfId="26995" xr:uid="{00000000-0005-0000-0000-0000E80F0000}"/>
    <cellStyle name="Normal 15 3" xfId="28769" xr:uid="{00000000-0005-0000-0000-0000E90F0000}"/>
    <cellStyle name="Normal 15 3 10" xfId="23396" xr:uid="{00000000-0005-0000-0000-0000EA0F0000}"/>
    <cellStyle name="Normal 15 3 11" xfId="22799" xr:uid="{00000000-0005-0000-0000-0000EB0F0000}"/>
    <cellStyle name="Normal 15 3 12" xfId="22203" xr:uid="{00000000-0005-0000-0000-0000EC0F0000}"/>
    <cellStyle name="Normal 15 3 13" xfId="21606" xr:uid="{00000000-0005-0000-0000-0000ED0F0000}"/>
    <cellStyle name="Normal 15 3 14" xfId="21009" xr:uid="{00000000-0005-0000-0000-0000EE0F0000}"/>
    <cellStyle name="Normal 15 3 15" xfId="20412" xr:uid="{00000000-0005-0000-0000-0000EF0F0000}"/>
    <cellStyle name="Normal 15 3 16" xfId="19816" xr:uid="{00000000-0005-0000-0000-0000F00F0000}"/>
    <cellStyle name="Normal 15 3 17" xfId="19220" xr:uid="{00000000-0005-0000-0000-0000F10F0000}"/>
    <cellStyle name="Normal 15 3 18" xfId="18625" xr:uid="{00000000-0005-0000-0000-0000F20F0000}"/>
    <cellStyle name="Normal 15 3 19" xfId="18029" xr:uid="{00000000-0005-0000-0000-0000F30F0000}"/>
    <cellStyle name="Normal 15 3 2" xfId="28170" xr:uid="{00000000-0005-0000-0000-0000F40F0000}"/>
    <cellStyle name="Normal 15 3 20" xfId="15132" xr:uid="{00000000-0005-0000-0000-0000F50F0000}"/>
    <cellStyle name="Normal 15 3 21" xfId="15296" xr:uid="{00000000-0005-0000-0000-0000F60F0000}"/>
    <cellStyle name="Normal 15 3 22" xfId="16591" xr:uid="{00000000-0005-0000-0000-0000F70F0000}"/>
    <cellStyle name="Normal 15 3 23" xfId="16849" xr:uid="{00000000-0005-0000-0000-0000F80F0000}"/>
    <cellStyle name="Normal 15 3 24" xfId="13402" xr:uid="{00000000-0005-0000-0000-0000F90F0000}"/>
    <cellStyle name="Normal 15 3 25" xfId="14812" xr:uid="{00000000-0005-0000-0000-0000FA0F0000}"/>
    <cellStyle name="Normal 15 3 26" xfId="13842" xr:uid="{00000000-0005-0000-0000-0000FB0F0000}"/>
    <cellStyle name="Normal 15 3 27" xfId="12915" xr:uid="{00000000-0005-0000-0000-0000FC0F0000}"/>
    <cellStyle name="Normal 15 3 28" xfId="12637" xr:uid="{00000000-0005-0000-0000-0000FD0F0000}"/>
    <cellStyle name="Normal 15 3 29" xfId="10783" xr:uid="{00000000-0005-0000-0000-0000FE0F0000}"/>
    <cellStyle name="Normal 15 3 3" xfId="27573" xr:uid="{00000000-0005-0000-0000-0000FF0F0000}"/>
    <cellStyle name="Normal 15 3 30" xfId="9507" xr:uid="{00000000-0005-0000-0000-000000100000}"/>
    <cellStyle name="Normal 15 3 31" xfId="7042" xr:uid="{00000000-0005-0000-0000-000001100000}"/>
    <cellStyle name="Normal 15 3 32" xfId="6821" xr:uid="{00000000-0005-0000-0000-000002100000}"/>
    <cellStyle name="Normal 15 3 33" xfId="9898" xr:uid="{00000000-0005-0000-0000-000003100000}"/>
    <cellStyle name="Normal 15 3 34" xfId="9580" xr:uid="{00000000-0005-0000-0000-000004100000}"/>
    <cellStyle name="Normal 15 3 35" xfId="4715" xr:uid="{00000000-0005-0000-0000-000005100000}"/>
    <cellStyle name="Normal 15 3 36" xfId="5897" xr:uid="{00000000-0005-0000-0000-000006100000}"/>
    <cellStyle name="Normal 15 3 37" xfId="10065" xr:uid="{00000000-0005-0000-0000-000007100000}"/>
    <cellStyle name="Normal 15 3 38" xfId="3699" xr:uid="{00000000-0005-0000-0000-000008100000}"/>
    <cellStyle name="Normal 15 3 39" xfId="3517" xr:uid="{00000000-0005-0000-0000-000009100000}"/>
    <cellStyle name="Normal 15 3 4" xfId="26976" xr:uid="{00000000-0005-0000-0000-00000A100000}"/>
    <cellStyle name="Normal 15 3 40" xfId="3301" xr:uid="{00000000-0005-0000-0000-00000B100000}"/>
    <cellStyle name="Normal 15 3 41" xfId="5540" xr:uid="{00000000-0005-0000-0000-00000C100000}"/>
    <cellStyle name="Normal 15 3 42" xfId="5756" xr:uid="{00000000-0005-0000-0000-00000D100000}"/>
    <cellStyle name="Normal 15 3 43" xfId="3336" xr:uid="{00000000-0005-0000-0000-00000E100000}"/>
    <cellStyle name="Normal 15 3 44" xfId="3038" xr:uid="{00000000-0005-0000-0000-00000F100000}"/>
    <cellStyle name="Normal 15 3 45" xfId="2794" xr:uid="{00000000-0005-0000-0000-000010100000}"/>
    <cellStyle name="Normal 15 3 46" xfId="2554" xr:uid="{00000000-0005-0000-0000-000011100000}"/>
    <cellStyle name="Normal 15 3 47" xfId="2314" xr:uid="{00000000-0005-0000-0000-000012100000}"/>
    <cellStyle name="Normal 15 3 48" xfId="2074" xr:uid="{00000000-0005-0000-0000-000013100000}"/>
    <cellStyle name="Normal 15 3 49" xfId="1834" xr:uid="{00000000-0005-0000-0000-000014100000}"/>
    <cellStyle name="Normal 15 3 5" xfId="26380" xr:uid="{00000000-0005-0000-0000-000015100000}"/>
    <cellStyle name="Normal 15 3 50" xfId="1595" xr:uid="{00000000-0005-0000-0000-000016100000}"/>
    <cellStyle name="Normal 15 3 51" xfId="1355" xr:uid="{00000000-0005-0000-0000-000017100000}"/>
    <cellStyle name="Normal 15 3 52" xfId="1115" xr:uid="{00000000-0005-0000-0000-000018100000}"/>
    <cellStyle name="Normal 15 3 53" xfId="875" xr:uid="{00000000-0005-0000-0000-000019100000}"/>
    <cellStyle name="Normal 15 3 54" xfId="635" xr:uid="{00000000-0005-0000-0000-00001A100000}"/>
    <cellStyle name="Normal 15 3 55" xfId="395" xr:uid="{00000000-0005-0000-0000-00001B100000}"/>
    <cellStyle name="Normal 15 3 56" xfId="156" xr:uid="{00000000-0005-0000-0000-00001C100000}"/>
    <cellStyle name="Normal 15 3 6" xfId="25784" xr:uid="{00000000-0005-0000-0000-00001D100000}"/>
    <cellStyle name="Normal 15 3 7" xfId="25187" xr:uid="{00000000-0005-0000-0000-00001E100000}"/>
    <cellStyle name="Normal 15 3 8" xfId="24590" xr:uid="{00000000-0005-0000-0000-00001F100000}"/>
    <cellStyle name="Normal 15 3 9" xfId="23993" xr:uid="{00000000-0005-0000-0000-000020100000}"/>
    <cellStyle name="Normal 15 30" xfId="26399" xr:uid="{00000000-0005-0000-0000-000021100000}"/>
    <cellStyle name="Normal 15 31" xfId="25803" xr:uid="{00000000-0005-0000-0000-000022100000}"/>
    <cellStyle name="Normal 15 32" xfId="25206" xr:uid="{00000000-0005-0000-0000-000023100000}"/>
    <cellStyle name="Normal 15 33" xfId="24609" xr:uid="{00000000-0005-0000-0000-000024100000}"/>
    <cellStyle name="Normal 15 34" xfId="24012" xr:uid="{00000000-0005-0000-0000-000025100000}"/>
    <cellStyle name="Normal 15 35" xfId="23415" xr:uid="{00000000-0005-0000-0000-000026100000}"/>
    <cellStyle name="Normal 15 36" xfId="22818" xr:uid="{00000000-0005-0000-0000-000027100000}"/>
    <cellStyle name="Normal 15 37" xfId="22222" xr:uid="{00000000-0005-0000-0000-000028100000}"/>
    <cellStyle name="Normal 15 38" xfId="21625" xr:uid="{00000000-0005-0000-0000-000029100000}"/>
    <cellStyle name="Normal 15 39" xfId="21028" xr:uid="{00000000-0005-0000-0000-00002A100000}"/>
    <cellStyle name="Normal 15 4" xfId="28768" xr:uid="{00000000-0005-0000-0000-00002B100000}"/>
    <cellStyle name="Normal 15 4 10" xfId="23395" xr:uid="{00000000-0005-0000-0000-00002C100000}"/>
    <cellStyle name="Normal 15 4 11" xfId="22798" xr:uid="{00000000-0005-0000-0000-00002D100000}"/>
    <cellStyle name="Normal 15 4 12" xfId="22202" xr:uid="{00000000-0005-0000-0000-00002E100000}"/>
    <cellStyle name="Normal 15 4 13" xfId="21605" xr:uid="{00000000-0005-0000-0000-00002F100000}"/>
    <cellStyle name="Normal 15 4 14" xfId="21008" xr:uid="{00000000-0005-0000-0000-000030100000}"/>
    <cellStyle name="Normal 15 4 15" xfId="20411" xr:uid="{00000000-0005-0000-0000-000031100000}"/>
    <cellStyle name="Normal 15 4 16" xfId="19815" xr:uid="{00000000-0005-0000-0000-000032100000}"/>
    <cellStyle name="Normal 15 4 17" xfId="19219" xr:uid="{00000000-0005-0000-0000-000033100000}"/>
    <cellStyle name="Normal 15 4 18" xfId="18624" xr:uid="{00000000-0005-0000-0000-000034100000}"/>
    <cellStyle name="Normal 15 4 19" xfId="18028" xr:uid="{00000000-0005-0000-0000-000035100000}"/>
    <cellStyle name="Normal 15 4 2" xfId="28169" xr:uid="{00000000-0005-0000-0000-000036100000}"/>
    <cellStyle name="Normal 15 4 20" xfId="15327" xr:uid="{00000000-0005-0000-0000-000037100000}"/>
    <cellStyle name="Normal 15 4 21" xfId="15286" xr:uid="{00000000-0005-0000-0000-000038100000}"/>
    <cellStyle name="Normal 15 4 22" xfId="15805" xr:uid="{00000000-0005-0000-0000-000039100000}"/>
    <cellStyle name="Normal 15 4 23" xfId="17011" xr:uid="{00000000-0005-0000-0000-00003A100000}"/>
    <cellStyle name="Normal 15 4 24" xfId="17188" xr:uid="{00000000-0005-0000-0000-00003B100000}"/>
    <cellStyle name="Normal 15 4 25" xfId="14651" xr:uid="{00000000-0005-0000-0000-00003C100000}"/>
    <cellStyle name="Normal 15 4 26" xfId="12960" xr:uid="{00000000-0005-0000-0000-00003D100000}"/>
    <cellStyle name="Normal 15 4 27" xfId="13718" xr:uid="{00000000-0005-0000-0000-00003E100000}"/>
    <cellStyle name="Normal 15 4 28" xfId="12636" xr:uid="{00000000-0005-0000-0000-00003F100000}"/>
    <cellStyle name="Normal 15 4 29" xfId="11003" xr:uid="{00000000-0005-0000-0000-000040100000}"/>
    <cellStyle name="Normal 15 4 3" xfId="27572" xr:uid="{00000000-0005-0000-0000-000041100000}"/>
    <cellStyle name="Normal 15 4 30" xfId="9728" xr:uid="{00000000-0005-0000-0000-000042100000}"/>
    <cellStyle name="Normal 15 4 31" xfId="9159" xr:uid="{00000000-0005-0000-0000-000043100000}"/>
    <cellStyle name="Normal 15 4 32" xfId="9498" xr:uid="{00000000-0005-0000-0000-000044100000}"/>
    <cellStyle name="Normal 15 4 33" xfId="10604" xr:uid="{00000000-0005-0000-0000-000045100000}"/>
    <cellStyle name="Normal 15 4 34" xfId="11678" xr:uid="{00000000-0005-0000-0000-000046100000}"/>
    <cellStyle name="Normal 15 4 35" xfId="4523" xr:uid="{00000000-0005-0000-0000-000047100000}"/>
    <cellStyle name="Normal 15 4 36" xfId="5362" xr:uid="{00000000-0005-0000-0000-000048100000}"/>
    <cellStyle name="Normal 15 4 37" xfId="11804" xr:uid="{00000000-0005-0000-0000-000049100000}"/>
    <cellStyle name="Normal 15 4 38" xfId="9071" xr:uid="{00000000-0005-0000-0000-00004A100000}"/>
    <cellStyle name="Normal 15 4 39" xfId="7349" xr:uid="{00000000-0005-0000-0000-00004B100000}"/>
    <cellStyle name="Normal 15 4 4" xfId="26975" xr:uid="{00000000-0005-0000-0000-00004C100000}"/>
    <cellStyle name="Normal 15 4 40" xfId="3359" xr:uid="{00000000-0005-0000-0000-00004D100000}"/>
    <cellStyle name="Normal 15 4 41" xfId="9275" xr:uid="{00000000-0005-0000-0000-00004E100000}"/>
    <cellStyle name="Normal 15 4 42" xfId="4313" xr:uid="{00000000-0005-0000-0000-00004F100000}"/>
    <cellStyle name="Normal 15 4 43" xfId="5330" xr:uid="{00000000-0005-0000-0000-000050100000}"/>
    <cellStyle name="Normal 15 4 44" xfId="3037" xr:uid="{00000000-0005-0000-0000-000051100000}"/>
    <cellStyle name="Normal 15 4 45" xfId="2793" xr:uid="{00000000-0005-0000-0000-000052100000}"/>
    <cellStyle name="Normal 15 4 46" xfId="2553" xr:uid="{00000000-0005-0000-0000-000053100000}"/>
    <cellStyle name="Normal 15 4 47" xfId="2313" xr:uid="{00000000-0005-0000-0000-000054100000}"/>
    <cellStyle name="Normal 15 4 48" xfId="2073" xr:uid="{00000000-0005-0000-0000-000055100000}"/>
    <cellStyle name="Normal 15 4 49" xfId="1833" xr:uid="{00000000-0005-0000-0000-000056100000}"/>
    <cellStyle name="Normal 15 4 5" xfId="26379" xr:uid="{00000000-0005-0000-0000-000057100000}"/>
    <cellStyle name="Normal 15 4 50" xfId="1594" xr:uid="{00000000-0005-0000-0000-000058100000}"/>
    <cellStyle name="Normal 15 4 51" xfId="1354" xr:uid="{00000000-0005-0000-0000-000059100000}"/>
    <cellStyle name="Normal 15 4 52" xfId="1114" xr:uid="{00000000-0005-0000-0000-00005A100000}"/>
    <cellStyle name="Normal 15 4 53" xfId="874" xr:uid="{00000000-0005-0000-0000-00005B100000}"/>
    <cellStyle name="Normal 15 4 54" xfId="634" xr:uid="{00000000-0005-0000-0000-00005C100000}"/>
    <cellStyle name="Normal 15 4 55" xfId="394" xr:uid="{00000000-0005-0000-0000-00005D100000}"/>
    <cellStyle name="Normal 15 4 56" xfId="155" xr:uid="{00000000-0005-0000-0000-00005E100000}"/>
    <cellStyle name="Normal 15 4 6" xfId="25783" xr:uid="{00000000-0005-0000-0000-00005F100000}"/>
    <cellStyle name="Normal 15 4 7" xfId="25186" xr:uid="{00000000-0005-0000-0000-000060100000}"/>
    <cellStyle name="Normal 15 4 8" xfId="24589" xr:uid="{00000000-0005-0000-0000-000061100000}"/>
    <cellStyle name="Normal 15 4 9" xfId="23992" xr:uid="{00000000-0005-0000-0000-000062100000}"/>
    <cellStyle name="Normal 15 40" xfId="20431" xr:uid="{00000000-0005-0000-0000-000063100000}"/>
    <cellStyle name="Normal 15 41" xfId="19835" xr:uid="{00000000-0005-0000-0000-000064100000}"/>
    <cellStyle name="Normal 15 42" xfId="19239" xr:uid="{00000000-0005-0000-0000-000065100000}"/>
    <cellStyle name="Normal 15 43" xfId="18644" xr:uid="{00000000-0005-0000-0000-000066100000}"/>
    <cellStyle name="Normal 15 44" xfId="18048" xr:uid="{00000000-0005-0000-0000-000067100000}"/>
    <cellStyle name="Normal 15 45" xfId="14722" xr:uid="{00000000-0005-0000-0000-000068100000}"/>
    <cellStyle name="Normal 15 46" xfId="15711" xr:uid="{00000000-0005-0000-0000-000069100000}"/>
    <cellStyle name="Normal 15 47" xfId="16980" xr:uid="{00000000-0005-0000-0000-00006A100000}"/>
    <cellStyle name="Normal 15 48" xfId="13691" xr:uid="{00000000-0005-0000-0000-00006B100000}"/>
    <cellStyle name="Normal 15 49" xfId="13772" xr:uid="{00000000-0005-0000-0000-00006C100000}"/>
    <cellStyle name="Normal 15 5" xfId="28767" xr:uid="{00000000-0005-0000-0000-00006D100000}"/>
    <cellStyle name="Normal 15 5 10" xfId="23394" xr:uid="{00000000-0005-0000-0000-00006E100000}"/>
    <cellStyle name="Normal 15 5 11" xfId="22797" xr:uid="{00000000-0005-0000-0000-00006F100000}"/>
    <cellStyle name="Normal 15 5 12" xfId="22201" xr:uid="{00000000-0005-0000-0000-000070100000}"/>
    <cellStyle name="Normal 15 5 13" xfId="21604" xr:uid="{00000000-0005-0000-0000-000071100000}"/>
    <cellStyle name="Normal 15 5 14" xfId="21007" xr:uid="{00000000-0005-0000-0000-000072100000}"/>
    <cellStyle name="Normal 15 5 15" xfId="20410" xr:uid="{00000000-0005-0000-0000-000073100000}"/>
    <cellStyle name="Normal 15 5 16" xfId="19814" xr:uid="{00000000-0005-0000-0000-000074100000}"/>
    <cellStyle name="Normal 15 5 17" xfId="19218" xr:uid="{00000000-0005-0000-0000-000075100000}"/>
    <cellStyle name="Normal 15 5 18" xfId="18623" xr:uid="{00000000-0005-0000-0000-000076100000}"/>
    <cellStyle name="Normal 15 5 19" xfId="18027" xr:uid="{00000000-0005-0000-0000-000077100000}"/>
    <cellStyle name="Normal 15 5 2" xfId="28168" xr:uid="{00000000-0005-0000-0000-000078100000}"/>
    <cellStyle name="Normal 15 5 20" xfId="15534" xr:uid="{00000000-0005-0000-0000-000079100000}"/>
    <cellStyle name="Normal 15 5 21" xfId="14872" xr:uid="{00000000-0005-0000-0000-00007A100000}"/>
    <cellStyle name="Normal 15 5 22" xfId="13549" xr:uid="{00000000-0005-0000-0000-00007B100000}"/>
    <cellStyle name="Normal 15 5 23" xfId="13399" xr:uid="{00000000-0005-0000-0000-00007C100000}"/>
    <cellStyle name="Normal 15 5 24" xfId="16750" xr:uid="{00000000-0005-0000-0000-00007D100000}"/>
    <cellStyle name="Normal 15 5 25" xfId="16868" xr:uid="{00000000-0005-0000-0000-00007E100000}"/>
    <cellStyle name="Normal 15 5 26" xfId="14283" xr:uid="{00000000-0005-0000-0000-00007F100000}"/>
    <cellStyle name="Normal 15 5 27" xfId="17399" xr:uid="{00000000-0005-0000-0000-000080100000}"/>
    <cellStyle name="Normal 15 5 28" xfId="12635" xr:uid="{00000000-0005-0000-0000-000081100000}"/>
    <cellStyle name="Normal 15 5 29" xfId="11230" xr:uid="{00000000-0005-0000-0000-000082100000}"/>
    <cellStyle name="Normal 15 5 3" xfId="27571" xr:uid="{00000000-0005-0000-0000-000083100000}"/>
    <cellStyle name="Normal 15 5 30" xfId="7294" xr:uid="{00000000-0005-0000-0000-000084100000}"/>
    <cellStyle name="Normal 15 5 31" xfId="6582" xr:uid="{00000000-0005-0000-0000-000085100000}"/>
    <cellStyle name="Normal 15 5 32" xfId="7203" xr:uid="{00000000-0005-0000-0000-000086100000}"/>
    <cellStyle name="Normal 15 5 33" xfId="8124" xr:uid="{00000000-0005-0000-0000-000087100000}"/>
    <cellStyle name="Normal 15 5 34" xfId="10591" xr:uid="{00000000-0005-0000-0000-000088100000}"/>
    <cellStyle name="Normal 15 5 35" xfId="6221" xr:uid="{00000000-0005-0000-0000-000089100000}"/>
    <cellStyle name="Normal 15 5 36" xfId="4485" xr:uid="{00000000-0005-0000-0000-00008A100000}"/>
    <cellStyle name="Normal 15 5 37" xfId="10186" xr:uid="{00000000-0005-0000-0000-00008B100000}"/>
    <cellStyle name="Normal 15 5 38" xfId="7095" xr:uid="{00000000-0005-0000-0000-00008C100000}"/>
    <cellStyle name="Normal 15 5 39" xfId="3531" xr:uid="{00000000-0005-0000-0000-00008D100000}"/>
    <cellStyle name="Normal 15 5 4" xfId="26974" xr:uid="{00000000-0005-0000-0000-00008E100000}"/>
    <cellStyle name="Normal 15 5 40" xfId="4911" xr:uid="{00000000-0005-0000-0000-00008F100000}"/>
    <cellStyle name="Normal 15 5 41" xfId="3445" xr:uid="{00000000-0005-0000-0000-000090100000}"/>
    <cellStyle name="Normal 15 5 42" xfId="7121" xr:uid="{00000000-0005-0000-0000-000091100000}"/>
    <cellStyle name="Normal 15 5 43" xfId="10536" xr:uid="{00000000-0005-0000-0000-000092100000}"/>
    <cellStyle name="Normal 15 5 44" xfId="3036" xr:uid="{00000000-0005-0000-0000-000093100000}"/>
    <cellStyle name="Normal 15 5 45" xfId="2792" xr:uid="{00000000-0005-0000-0000-000094100000}"/>
    <cellStyle name="Normal 15 5 46" xfId="2552" xr:uid="{00000000-0005-0000-0000-000095100000}"/>
    <cellStyle name="Normal 15 5 47" xfId="2312" xr:uid="{00000000-0005-0000-0000-000096100000}"/>
    <cellStyle name="Normal 15 5 48" xfId="2072" xr:uid="{00000000-0005-0000-0000-000097100000}"/>
    <cellStyle name="Normal 15 5 49" xfId="1832" xr:uid="{00000000-0005-0000-0000-000098100000}"/>
    <cellStyle name="Normal 15 5 5" xfId="26378" xr:uid="{00000000-0005-0000-0000-000099100000}"/>
    <cellStyle name="Normal 15 5 50" xfId="1593" xr:uid="{00000000-0005-0000-0000-00009A100000}"/>
    <cellStyle name="Normal 15 5 51" xfId="1353" xr:uid="{00000000-0005-0000-0000-00009B100000}"/>
    <cellStyle name="Normal 15 5 52" xfId="1113" xr:uid="{00000000-0005-0000-0000-00009C100000}"/>
    <cellStyle name="Normal 15 5 53" xfId="873" xr:uid="{00000000-0005-0000-0000-00009D100000}"/>
    <cellStyle name="Normal 15 5 54" xfId="633" xr:uid="{00000000-0005-0000-0000-00009E100000}"/>
    <cellStyle name="Normal 15 5 55" xfId="393" xr:uid="{00000000-0005-0000-0000-00009F100000}"/>
    <cellStyle name="Normal 15 5 56" xfId="154" xr:uid="{00000000-0005-0000-0000-0000A0100000}"/>
    <cellStyle name="Normal 15 5 6" xfId="25782" xr:uid="{00000000-0005-0000-0000-0000A1100000}"/>
    <cellStyle name="Normal 15 5 7" xfId="25185" xr:uid="{00000000-0005-0000-0000-0000A2100000}"/>
    <cellStyle name="Normal 15 5 8" xfId="24588" xr:uid="{00000000-0005-0000-0000-0000A3100000}"/>
    <cellStyle name="Normal 15 5 9" xfId="23991" xr:uid="{00000000-0005-0000-0000-0000A4100000}"/>
    <cellStyle name="Normal 15 50" xfId="16886" xr:uid="{00000000-0005-0000-0000-0000A5100000}"/>
    <cellStyle name="Normal 15 51" xfId="12880" xr:uid="{00000000-0005-0000-0000-0000A6100000}"/>
    <cellStyle name="Normal 15 52" xfId="13206" xr:uid="{00000000-0005-0000-0000-0000A7100000}"/>
    <cellStyle name="Normal 15 53" xfId="12656" xr:uid="{00000000-0005-0000-0000-0000A8100000}"/>
    <cellStyle name="Normal 15 54" xfId="7798" xr:uid="{00000000-0005-0000-0000-0000A9100000}"/>
    <cellStyle name="Normal 15 55" xfId="7344" xr:uid="{00000000-0005-0000-0000-0000AA100000}"/>
    <cellStyle name="Normal 15 56" xfId="6503" xr:uid="{00000000-0005-0000-0000-0000AB100000}"/>
    <cellStyle name="Normal 15 57" xfId="7147" xr:uid="{00000000-0005-0000-0000-0000AC100000}"/>
    <cellStyle name="Normal 15 58" xfId="11716" xr:uid="{00000000-0005-0000-0000-0000AD100000}"/>
    <cellStyle name="Normal 15 59" xfId="7833" xr:uid="{00000000-0005-0000-0000-0000AE100000}"/>
    <cellStyle name="Normal 15 6" xfId="28766" xr:uid="{00000000-0005-0000-0000-0000AF100000}"/>
    <cellStyle name="Normal 15 6 10" xfId="23393" xr:uid="{00000000-0005-0000-0000-0000B0100000}"/>
    <cellStyle name="Normal 15 6 11" xfId="22796" xr:uid="{00000000-0005-0000-0000-0000B1100000}"/>
    <cellStyle name="Normal 15 6 12" xfId="22200" xr:uid="{00000000-0005-0000-0000-0000B2100000}"/>
    <cellStyle name="Normal 15 6 13" xfId="21603" xr:uid="{00000000-0005-0000-0000-0000B3100000}"/>
    <cellStyle name="Normal 15 6 14" xfId="21006" xr:uid="{00000000-0005-0000-0000-0000B4100000}"/>
    <cellStyle name="Normal 15 6 15" xfId="20409" xr:uid="{00000000-0005-0000-0000-0000B5100000}"/>
    <cellStyle name="Normal 15 6 16" xfId="19813" xr:uid="{00000000-0005-0000-0000-0000B6100000}"/>
    <cellStyle name="Normal 15 6 17" xfId="19217" xr:uid="{00000000-0005-0000-0000-0000B7100000}"/>
    <cellStyle name="Normal 15 6 18" xfId="18622" xr:uid="{00000000-0005-0000-0000-0000B8100000}"/>
    <cellStyle name="Normal 15 6 19" xfId="18026" xr:uid="{00000000-0005-0000-0000-0000B9100000}"/>
    <cellStyle name="Normal 15 6 2" xfId="28167" xr:uid="{00000000-0005-0000-0000-0000BA100000}"/>
    <cellStyle name="Normal 15 6 20" xfId="15724" xr:uid="{00000000-0005-0000-0000-0000BB100000}"/>
    <cellStyle name="Normal 15 6 21" xfId="14659" xr:uid="{00000000-0005-0000-0000-0000BC100000}"/>
    <cellStyle name="Normal 15 6 22" xfId="14447" xr:uid="{00000000-0005-0000-0000-0000BD100000}"/>
    <cellStyle name="Normal 15 6 23" xfId="14559" xr:uid="{00000000-0005-0000-0000-0000BE100000}"/>
    <cellStyle name="Normal 15 6 24" xfId="16636" xr:uid="{00000000-0005-0000-0000-0000BF100000}"/>
    <cellStyle name="Normal 15 6 25" xfId="16587" xr:uid="{00000000-0005-0000-0000-0000C0100000}"/>
    <cellStyle name="Normal 15 6 26" xfId="12941" xr:uid="{00000000-0005-0000-0000-0000C1100000}"/>
    <cellStyle name="Normal 15 6 27" xfId="13716" xr:uid="{00000000-0005-0000-0000-0000C2100000}"/>
    <cellStyle name="Normal 15 6 28" xfId="12634" xr:uid="{00000000-0005-0000-0000-0000C3100000}"/>
    <cellStyle name="Normal 15 6 29" xfId="11463" xr:uid="{00000000-0005-0000-0000-0000C4100000}"/>
    <cellStyle name="Normal 15 6 3" xfId="27570" xr:uid="{00000000-0005-0000-0000-0000C5100000}"/>
    <cellStyle name="Normal 15 6 30" xfId="11526" xr:uid="{00000000-0005-0000-0000-0000C6100000}"/>
    <cellStyle name="Normal 15 6 31" xfId="5931" xr:uid="{00000000-0005-0000-0000-0000C7100000}"/>
    <cellStyle name="Normal 15 6 32" xfId="9557" xr:uid="{00000000-0005-0000-0000-0000C8100000}"/>
    <cellStyle name="Normal 15 6 33" xfId="11121" xr:uid="{00000000-0005-0000-0000-0000C9100000}"/>
    <cellStyle name="Normal 15 6 34" xfId="7395" xr:uid="{00000000-0005-0000-0000-0000CA100000}"/>
    <cellStyle name="Normal 15 6 35" xfId="6593" xr:uid="{00000000-0005-0000-0000-0000CB100000}"/>
    <cellStyle name="Normal 15 6 36" xfId="7809" xr:uid="{00000000-0005-0000-0000-0000CC100000}"/>
    <cellStyle name="Normal 15 6 37" xfId="5298" xr:uid="{00000000-0005-0000-0000-0000CD100000}"/>
    <cellStyle name="Normal 15 6 38" xfId="5558" xr:uid="{00000000-0005-0000-0000-0000CE100000}"/>
    <cellStyle name="Normal 15 6 39" xfId="4563" xr:uid="{00000000-0005-0000-0000-0000CF100000}"/>
    <cellStyle name="Normal 15 6 4" xfId="26973" xr:uid="{00000000-0005-0000-0000-0000D0100000}"/>
    <cellStyle name="Normal 15 6 40" xfId="11755" xr:uid="{00000000-0005-0000-0000-0000D1100000}"/>
    <cellStyle name="Normal 15 6 41" xfId="3216" xr:uid="{00000000-0005-0000-0000-0000D2100000}"/>
    <cellStyle name="Normal 15 6 42" xfId="7362" xr:uid="{00000000-0005-0000-0000-0000D3100000}"/>
    <cellStyle name="Normal 15 6 43" xfId="4252" xr:uid="{00000000-0005-0000-0000-0000D4100000}"/>
    <cellStyle name="Normal 15 6 44" xfId="3035" xr:uid="{00000000-0005-0000-0000-0000D5100000}"/>
    <cellStyle name="Normal 15 6 45" xfId="2791" xr:uid="{00000000-0005-0000-0000-0000D6100000}"/>
    <cellStyle name="Normal 15 6 46" xfId="2551" xr:uid="{00000000-0005-0000-0000-0000D7100000}"/>
    <cellStyle name="Normal 15 6 47" xfId="2311" xr:uid="{00000000-0005-0000-0000-0000D8100000}"/>
    <cellStyle name="Normal 15 6 48" xfId="2071" xr:uid="{00000000-0005-0000-0000-0000D9100000}"/>
    <cellStyle name="Normal 15 6 49" xfId="1831" xr:uid="{00000000-0005-0000-0000-0000DA100000}"/>
    <cellStyle name="Normal 15 6 5" xfId="26377" xr:uid="{00000000-0005-0000-0000-0000DB100000}"/>
    <cellStyle name="Normal 15 6 50" xfId="1592" xr:uid="{00000000-0005-0000-0000-0000DC100000}"/>
    <cellStyle name="Normal 15 6 51" xfId="1352" xr:uid="{00000000-0005-0000-0000-0000DD100000}"/>
    <cellStyle name="Normal 15 6 52" xfId="1112" xr:uid="{00000000-0005-0000-0000-0000DE100000}"/>
    <cellStyle name="Normal 15 6 53" xfId="872" xr:uid="{00000000-0005-0000-0000-0000DF100000}"/>
    <cellStyle name="Normal 15 6 54" xfId="632" xr:uid="{00000000-0005-0000-0000-0000E0100000}"/>
    <cellStyle name="Normal 15 6 55" xfId="392" xr:uid="{00000000-0005-0000-0000-0000E1100000}"/>
    <cellStyle name="Normal 15 6 56" xfId="153" xr:uid="{00000000-0005-0000-0000-0000E2100000}"/>
    <cellStyle name="Normal 15 6 6" xfId="25781" xr:uid="{00000000-0005-0000-0000-0000E3100000}"/>
    <cellStyle name="Normal 15 6 7" xfId="25184" xr:uid="{00000000-0005-0000-0000-0000E4100000}"/>
    <cellStyle name="Normal 15 6 8" xfId="24587" xr:uid="{00000000-0005-0000-0000-0000E5100000}"/>
    <cellStyle name="Normal 15 6 9" xfId="23990" xr:uid="{00000000-0005-0000-0000-0000E6100000}"/>
    <cellStyle name="Normal 15 60" xfId="6773" xr:uid="{00000000-0005-0000-0000-0000E7100000}"/>
    <cellStyle name="Normal 15 61" xfId="6674" xr:uid="{00000000-0005-0000-0000-0000E8100000}"/>
    <cellStyle name="Normal 15 62" xfId="12028" xr:uid="{00000000-0005-0000-0000-0000E9100000}"/>
    <cellStyle name="Normal 15 63" xfId="3966" xr:uid="{00000000-0005-0000-0000-0000EA100000}"/>
    <cellStyle name="Normal 15 64" xfId="4690" xr:uid="{00000000-0005-0000-0000-0000EB100000}"/>
    <cellStyle name="Normal 15 65" xfId="4673" xr:uid="{00000000-0005-0000-0000-0000EC100000}"/>
    <cellStyle name="Normal 15 66" xfId="5760" xr:uid="{00000000-0005-0000-0000-0000ED100000}"/>
    <cellStyle name="Normal 15 67" xfId="5084" xr:uid="{00000000-0005-0000-0000-0000EE100000}"/>
    <cellStyle name="Normal 15 68" xfId="3167" xr:uid="{00000000-0005-0000-0000-0000EF100000}"/>
    <cellStyle name="Normal 15 69" xfId="3042" xr:uid="{00000000-0005-0000-0000-0000F0100000}"/>
    <cellStyle name="Normal 15 7" xfId="28765" xr:uid="{00000000-0005-0000-0000-0000F1100000}"/>
    <cellStyle name="Normal 15 7 10" xfId="23392" xr:uid="{00000000-0005-0000-0000-0000F2100000}"/>
    <cellStyle name="Normal 15 7 11" xfId="22795" xr:uid="{00000000-0005-0000-0000-0000F3100000}"/>
    <cellStyle name="Normal 15 7 12" xfId="22199" xr:uid="{00000000-0005-0000-0000-0000F4100000}"/>
    <cellStyle name="Normal 15 7 13" xfId="21602" xr:uid="{00000000-0005-0000-0000-0000F5100000}"/>
    <cellStyle name="Normal 15 7 14" xfId="21005" xr:uid="{00000000-0005-0000-0000-0000F6100000}"/>
    <cellStyle name="Normal 15 7 15" xfId="20408" xr:uid="{00000000-0005-0000-0000-0000F7100000}"/>
    <cellStyle name="Normal 15 7 16" xfId="19812" xr:uid="{00000000-0005-0000-0000-0000F8100000}"/>
    <cellStyle name="Normal 15 7 17" xfId="19216" xr:uid="{00000000-0005-0000-0000-0000F9100000}"/>
    <cellStyle name="Normal 15 7 18" xfId="18621" xr:uid="{00000000-0005-0000-0000-0000FA100000}"/>
    <cellStyle name="Normal 15 7 19" xfId="18025" xr:uid="{00000000-0005-0000-0000-0000FB100000}"/>
    <cellStyle name="Normal 15 7 2" xfId="28166" xr:uid="{00000000-0005-0000-0000-0000FC100000}"/>
    <cellStyle name="Normal 15 7 20" xfId="14167" xr:uid="{00000000-0005-0000-0000-0000FD100000}"/>
    <cellStyle name="Normal 15 7 21" xfId="14455" xr:uid="{00000000-0005-0000-0000-0000FE100000}"/>
    <cellStyle name="Normal 15 7 22" xfId="13652" xr:uid="{00000000-0005-0000-0000-0000FF100000}"/>
    <cellStyle name="Normal 15 7 23" xfId="13486" xr:uid="{00000000-0005-0000-0000-000000110000}"/>
    <cellStyle name="Normal 15 7 24" xfId="15417" xr:uid="{00000000-0005-0000-0000-000001110000}"/>
    <cellStyle name="Normal 15 7 25" xfId="13195" xr:uid="{00000000-0005-0000-0000-000002110000}"/>
    <cellStyle name="Normal 15 7 26" xfId="16704" xr:uid="{00000000-0005-0000-0000-000003110000}"/>
    <cellStyle name="Normal 15 7 27" xfId="15809" xr:uid="{00000000-0005-0000-0000-000004110000}"/>
    <cellStyle name="Normal 15 7 28" xfId="12633" xr:uid="{00000000-0005-0000-0000-000005110000}"/>
    <cellStyle name="Normal 15 7 29" xfId="11687" xr:uid="{00000000-0005-0000-0000-000006110000}"/>
    <cellStyle name="Normal 15 7 3" xfId="27569" xr:uid="{00000000-0005-0000-0000-000007110000}"/>
    <cellStyle name="Normal 15 7 30" xfId="7673" xr:uid="{00000000-0005-0000-0000-000008110000}"/>
    <cellStyle name="Normal 15 7 31" xfId="5922" xr:uid="{00000000-0005-0000-0000-000009110000}"/>
    <cellStyle name="Normal 15 7 32" xfId="9472" xr:uid="{00000000-0005-0000-0000-00000A110000}"/>
    <cellStyle name="Normal 15 7 33" xfId="8386" xr:uid="{00000000-0005-0000-0000-00000B110000}"/>
    <cellStyle name="Normal 15 7 34" xfId="5346" xr:uid="{00000000-0005-0000-0000-00000C110000}"/>
    <cellStyle name="Normal 15 7 35" xfId="10273" xr:uid="{00000000-0005-0000-0000-00000D110000}"/>
    <cellStyle name="Normal 15 7 36" xfId="8793" xr:uid="{00000000-0005-0000-0000-00000E110000}"/>
    <cellStyle name="Normal 15 7 37" xfId="5599" xr:uid="{00000000-0005-0000-0000-00000F110000}"/>
    <cellStyle name="Normal 15 7 38" xfId="5158" xr:uid="{00000000-0005-0000-0000-000010110000}"/>
    <cellStyle name="Normal 15 7 39" xfId="3616" xr:uid="{00000000-0005-0000-0000-000011110000}"/>
    <cellStyle name="Normal 15 7 4" xfId="26972" xr:uid="{00000000-0005-0000-0000-000012110000}"/>
    <cellStyle name="Normal 15 7 40" xfId="7016" xr:uid="{00000000-0005-0000-0000-000013110000}"/>
    <cellStyle name="Normal 15 7 41" xfId="3263" xr:uid="{00000000-0005-0000-0000-000014110000}"/>
    <cellStyle name="Normal 15 7 42" xfId="5160" xr:uid="{00000000-0005-0000-0000-000015110000}"/>
    <cellStyle name="Normal 15 7 43" xfId="10628" xr:uid="{00000000-0005-0000-0000-000016110000}"/>
    <cellStyle name="Normal 15 7 44" xfId="3034" xr:uid="{00000000-0005-0000-0000-000017110000}"/>
    <cellStyle name="Normal 15 7 45" xfId="2790" xr:uid="{00000000-0005-0000-0000-000018110000}"/>
    <cellStyle name="Normal 15 7 46" xfId="2550" xr:uid="{00000000-0005-0000-0000-000019110000}"/>
    <cellStyle name="Normal 15 7 47" xfId="2310" xr:uid="{00000000-0005-0000-0000-00001A110000}"/>
    <cellStyle name="Normal 15 7 48" xfId="2070" xr:uid="{00000000-0005-0000-0000-00001B110000}"/>
    <cellStyle name="Normal 15 7 49" xfId="1830" xr:uid="{00000000-0005-0000-0000-00001C110000}"/>
    <cellStyle name="Normal 15 7 5" xfId="26376" xr:uid="{00000000-0005-0000-0000-00001D110000}"/>
    <cellStyle name="Normal 15 7 50" xfId="1591" xr:uid="{00000000-0005-0000-0000-00001E110000}"/>
    <cellStyle name="Normal 15 7 51" xfId="1351" xr:uid="{00000000-0005-0000-0000-00001F110000}"/>
    <cellStyle name="Normal 15 7 52" xfId="1111" xr:uid="{00000000-0005-0000-0000-000020110000}"/>
    <cellStyle name="Normal 15 7 53" xfId="871" xr:uid="{00000000-0005-0000-0000-000021110000}"/>
    <cellStyle name="Normal 15 7 54" xfId="631" xr:uid="{00000000-0005-0000-0000-000022110000}"/>
    <cellStyle name="Normal 15 7 55" xfId="391" xr:uid="{00000000-0005-0000-0000-000023110000}"/>
    <cellStyle name="Normal 15 7 56" xfId="152" xr:uid="{00000000-0005-0000-0000-000024110000}"/>
    <cellStyle name="Normal 15 7 6" xfId="25780" xr:uid="{00000000-0005-0000-0000-000025110000}"/>
    <cellStyle name="Normal 15 7 7" xfId="25183" xr:uid="{00000000-0005-0000-0000-000026110000}"/>
    <cellStyle name="Normal 15 7 8" xfId="24586" xr:uid="{00000000-0005-0000-0000-000027110000}"/>
    <cellStyle name="Normal 15 7 9" xfId="23989" xr:uid="{00000000-0005-0000-0000-000028110000}"/>
    <cellStyle name="Normal 15 70" xfId="2798" xr:uid="{00000000-0005-0000-0000-000029110000}"/>
    <cellStyle name="Normal 15 71" xfId="2558" xr:uid="{00000000-0005-0000-0000-00002A110000}"/>
    <cellStyle name="Normal 15 72" xfId="2318" xr:uid="{00000000-0005-0000-0000-00002B110000}"/>
    <cellStyle name="Normal 15 73" xfId="2078" xr:uid="{00000000-0005-0000-0000-00002C110000}"/>
    <cellStyle name="Normal 15 74" xfId="1838" xr:uid="{00000000-0005-0000-0000-00002D110000}"/>
    <cellStyle name="Normal 15 75" xfId="1599" xr:uid="{00000000-0005-0000-0000-00002E110000}"/>
    <cellStyle name="Normal 15 76" xfId="1359" xr:uid="{00000000-0005-0000-0000-00002F110000}"/>
    <cellStyle name="Normal 15 77" xfId="1119" xr:uid="{00000000-0005-0000-0000-000030110000}"/>
    <cellStyle name="Normal 15 78" xfId="879" xr:uid="{00000000-0005-0000-0000-000031110000}"/>
    <cellStyle name="Normal 15 79" xfId="639" xr:uid="{00000000-0005-0000-0000-000032110000}"/>
    <cellStyle name="Normal 15 8" xfId="28764" xr:uid="{00000000-0005-0000-0000-000033110000}"/>
    <cellStyle name="Normal 15 8 10" xfId="23391" xr:uid="{00000000-0005-0000-0000-000034110000}"/>
    <cellStyle name="Normal 15 8 11" xfId="22794" xr:uid="{00000000-0005-0000-0000-000035110000}"/>
    <cellStyle name="Normal 15 8 12" xfId="22198" xr:uid="{00000000-0005-0000-0000-000036110000}"/>
    <cellStyle name="Normal 15 8 13" xfId="21601" xr:uid="{00000000-0005-0000-0000-000037110000}"/>
    <cellStyle name="Normal 15 8 14" xfId="21004" xr:uid="{00000000-0005-0000-0000-000038110000}"/>
    <cellStyle name="Normal 15 8 15" xfId="20407" xr:uid="{00000000-0005-0000-0000-000039110000}"/>
    <cellStyle name="Normal 15 8 16" xfId="19811" xr:uid="{00000000-0005-0000-0000-00003A110000}"/>
    <cellStyle name="Normal 15 8 17" xfId="19215" xr:uid="{00000000-0005-0000-0000-00003B110000}"/>
    <cellStyle name="Normal 15 8 18" xfId="18620" xr:uid="{00000000-0005-0000-0000-00003C110000}"/>
    <cellStyle name="Normal 15 8 19" xfId="18024" xr:uid="{00000000-0005-0000-0000-00003D110000}"/>
    <cellStyle name="Normal 15 8 2" xfId="28165" xr:uid="{00000000-0005-0000-0000-00003E110000}"/>
    <cellStyle name="Normal 15 8 20" xfId="14356" xr:uid="{00000000-0005-0000-0000-00003F110000}"/>
    <cellStyle name="Normal 15 8 21" xfId="13978" xr:uid="{00000000-0005-0000-0000-000040110000}"/>
    <cellStyle name="Normal 15 8 22" xfId="13792" xr:uid="{00000000-0005-0000-0000-000041110000}"/>
    <cellStyle name="Normal 15 8 23" xfId="16219" xr:uid="{00000000-0005-0000-0000-000042110000}"/>
    <cellStyle name="Normal 15 8 24" xfId="15961" xr:uid="{00000000-0005-0000-0000-000043110000}"/>
    <cellStyle name="Normal 15 8 25" xfId="15197" xr:uid="{00000000-0005-0000-0000-000044110000}"/>
    <cellStyle name="Normal 15 8 26" xfId="16602" xr:uid="{00000000-0005-0000-0000-000045110000}"/>
    <cellStyle name="Normal 15 8 27" xfId="15658" xr:uid="{00000000-0005-0000-0000-000046110000}"/>
    <cellStyle name="Normal 15 8 28" xfId="12632" xr:uid="{00000000-0005-0000-0000-000047110000}"/>
    <cellStyle name="Normal 15 8 29" xfId="6392" xr:uid="{00000000-0005-0000-0000-000048110000}"/>
    <cellStyle name="Normal 15 8 3" xfId="27568" xr:uid="{00000000-0005-0000-0000-000049110000}"/>
    <cellStyle name="Normal 15 8 30" xfId="7815" xr:uid="{00000000-0005-0000-0000-00004A110000}"/>
    <cellStyle name="Normal 15 8 31" xfId="8115" xr:uid="{00000000-0005-0000-0000-00004B110000}"/>
    <cellStyle name="Normal 15 8 32" xfId="10940" xr:uid="{00000000-0005-0000-0000-00004C110000}"/>
    <cellStyle name="Normal 15 8 33" xfId="10860" xr:uid="{00000000-0005-0000-0000-00004D110000}"/>
    <cellStyle name="Normal 15 8 34" xfId="10202" xr:uid="{00000000-0005-0000-0000-00004E110000}"/>
    <cellStyle name="Normal 15 8 35" xfId="8252" xr:uid="{00000000-0005-0000-0000-00004F110000}"/>
    <cellStyle name="Normal 15 8 36" xfId="4363" xr:uid="{00000000-0005-0000-0000-000050110000}"/>
    <cellStyle name="Normal 15 8 37" xfId="12094" xr:uid="{00000000-0005-0000-0000-000051110000}"/>
    <cellStyle name="Normal 15 8 38" xfId="8643" xr:uid="{00000000-0005-0000-0000-000052110000}"/>
    <cellStyle name="Normal 15 8 39" xfId="10562" xr:uid="{00000000-0005-0000-0000-000053110000}"/>
    <cellStyle name="Normal 15 8 4" xfId="26971" xr:uid="{00000000-0005-0000-0000-000054110000}"/>
    <cellStyle name="Normal 15 8 40" xfId="6863" xr:uid="{00000000-0005-0000-0000-000055110000}"/>
    <cellStyle name="Normal 15 8 41" xfId="4842" xr:uid="{00000000-0005-0000-0000-000056110000}"/>
    <cellStyle name="Normal 15 8 42" xfId="5498" xr:uid="{00000000-0005-0000-0000-000057110000}"/>
    <cellStyle name="Normal 15 8 43" xfId="5190" xr:uid="{00000000-0005-0000-0000-000058110000}"/>
    <cellStyle name="Normal 15 8 44" xfId="3033" xr:uid="{00000000-0005-0000-0000-000059110000}"/>
    <cellStyle name="Normal 15 8 45" xfId="2789" xr:uid="{00000000-0005-0000-0000-00005A110000}"/>
    <cellStyle name="Normal 15 8 46" xfId="2549" xr:uid="{00000000-0005-0000-0000-00005B110000}"/>
    <cellStyle name="Normal 15 8 47" xfId="2309" xr:uid="{00000000-0005-0000-0000-00005C110000}"/>
    <cellStyle name="Normal 15 8 48" xfId="2069" xr:uid="{00000000-0005-0000-0000-00005D110000}"/>
    <cellStyle name="Normal 15 8 49" xfId="1829" xr:uid="{00000000-0005-0000-0000-00005E110000}"/>
    <cellStyle name="Normal 15 8 5" xfId="26375" xr:uid="{00000000-0005-0000-0000-00005F110000}"/>
    <cellStyle name="Normal 15 8 50" xfId="1590" xr:uid="{00000000-0005-0000-0000-000060110000}"/>
    <cellStyle name="Normal 15 8 51" xfId="1350" xr:uid="{00000000-0005-0000-0000-000061110000}"/>
    <cellStyle name="Normal 15 8 52" xfId="1110" xr:uid="{00000000-0005-0000-0000-000062110000}"/>
    <cellStyle name="Normal 15 8 53" xfId="870" xr:uid="{00000000-0005-0000-0000-000063110000}"/>
    <cellStyle name="Normal 15 8 54" xfId="630" xr:uid="{00000000-0005-0000-0000-000064110000}"/>
    <cellStyle name="Normal 15 8 55" xfId="390" xr:uid="{00000000-0005-0000-0000-000065110000}"/>
    <cellStyle name="Normal 15 8 56" xfId="151" xr:uid="{00000000-0005-0000-0000-000066110000}"/>
    <cellStyle name="Normal 15 8 6" xfId="25779" xr:uid="{00000000-0005-0000-0000-000067110000}"/>
    <cellStyle name="Normal 15 8 7" xfId="25182" xr:uid="{00000000-0005-0000-0000-000068110000}"/>
    <cellStyle name="Normal 15 8 8" xfId="24585" xr:uid="{00000000-0005-0000-0000-000069110000}"/>
    <cellStyle name="Normal 15 8 9" xfId="23988" xr:uid="{00000000-0005-0000-0000-00006A110000}"/>
    <cellStyle name="Normal 15 80" xfId="399" xr:uid="{00000000-0005-0000-0000-00006B110000}"/>
    <cellStyle name="Normal 15 81" xfId="160" xr:uid="{00000000-0005-0000-0000-00006C110000}"/>
    <cellStyle name="Normal 15 9" xfId="28763" xr:uid="{00000000-0005-0000-0000-00006D110000}"/>
    <cellStyle name="Normal 15 9 10" xfId="23390" xr:uid="{00000000-0005-0000-0000-00006E110000}"/>
    <cellStyle name="Normal 15 9 11" xfId="22793" xr:uid="{00000000-0005-0000-0000-00006F110000}"/>
    <cellStyle name="Normal 15 9 12" xfId="22197" xr:uid="{00000000-0005-0000-0000-000070110000}"/>
    <cellStyle name="Normal 15 9 13" xfId="21600" xr:uid="{00000000-0005-0000-0000-000071110000}"/>
    <cellStyle name="Normal 15 9 14" xfId="21003" xr:uid="{00000000-0005-0000-0000-000072110000}"/>
    <cellStyle name="Normal 15 9 15" xfId="20406" xr:uid="{00000000-0005-0000-0000-000073110000}"/>
    <cellStyle name="Normal 15 9 16" xfId="19810" xr:uid="{00000000-0005-0000-0000-000074110000}"/>
    <cellStyle name="Normal 15 9 17" xfId="19214" xr:uid="{00000000-0005-0000-0000-000075110000}"/>
    <cellStyle name="Normal 15 9 18" xfId="18619" xr:uid="{00000000-0005-0000-0000-000076110000}"/>
    <cellStyle name="Normal 15 9 19" xfId="18023" xr:uid="{00000000-0005-0000-0000-000077110000}"/>
    <cellStyle name="Normal 15 9 2" xfId="28164" xr:uid="{00000000-0005-0000-0000-000078110000}"/>
    <cellStyle name="Normal 15 9 20" xfId="14547" xr:uid="{00000000-0005-0000-0000-000079110000}"/>
    <cellStyle name="Normal 15 9 21" xfId="14717" xr:uid="{00000000-0005-0000-0000-00007A110000}"/>
    <cellStyle name="Normal 15 9 22" xfId="13940" xr:uid="{00000000-0005-0000-0000-00007B110000}"/>
    <cellStyle name="Normal 15 9 23" xfId="17046" xr:uid="{00000000-0005-0000-0000-00007C110000}"/>
    <cellStyle name="Normal 15 9 24" xfId="16593" xr:uid="{00000000-0005-0000-0000-00007D110000}"/>
    <cellStyle name="Normal 15 9 25" xfId="13601" xr:uid="{00000000-0005-0000-0000-00007E110000}"/>
    <cellStyle name="Normal 15 9 26" xfId="13464" xr:uid="{00000000-0005-0000-0000-00007F110000}"/>
    <cellStyle name="Normal 15 9 27" xfId="13099" xr:uid="{00000000-0005-0000-0000-000080110000}"/>
    <cellStyle name="Normal 15 9 28" xfId="12631" xr:uid="{00000000-0005-0000-0000-000081110000}"/>
    <cellStyle name="Normal 15 9 29" xfId="6573" xr:uid="{00000000-0005-0000-0000-000082110000}"/>
    <cellStyle name="Normal 15 9 3" xfId="27567" xr:uid="{00000000-0005-0000-0000-000083110000}"/>
    <cellStyle name="Normal 15 9 30" xfId="6834" xr:uid="{00000000-0005-0000-0000-000084110000}"/>
    <cellStyle name="Normal 15 9 31" xfId="11524" xr:uid="{00000000-0005-0000-0000-000085110000}"/>
    <cellStyle name="Normal 15 9 32" xfId="7662" xr:uid="{00000000-0005-0000-0000-000086110000}"/>
    <cellStyle name="Normal 15 9 33" xfId="8333" xr:uid="{00000000-0005-0000-0000-000087110000}"/>
    <cellStyle name="Normal 15 9 34" xfId="7553" xr:uid="{00000000-0005-0000-0000-000088110000}"/>
    <cellStyle name="Normal 15 9 35" xfId="10151" xr:uid="{00000000-0005-0000-0000-000089110000}"/>
    <cellStyle name="Normal 15 9 36" xfId="4773" xr:uid="{00000000-0005-0000-0000-00008A110000}"/>
    <cellStyle name="Normal 15 9 37" xfId="11953" xr:uid="{00000000-0005-0000-0000-00008B110000}"/>
    <cellStyle name="Normal 15 9 38" xfId="11785" xr:uid="{00000000-0005-0000-0000-00008C110000}"/>
    <cellStyle name="Normal 15 9 39" xfId="4692" xr:uid="{00000000-0005-0000-0000-00008D110000}"/>
    <cellStyle name="Normal 15 9 4" xfId="26970" xr:uid="{00000000-0005-0000-0000-00008E110000}"/>
    <cellStyle name="Normal 15 9 40" xfId="3394" xr:uid="{00000000-0005-0000-0000-00008F110000}"/>
    <cellStyle name="Normal 15 9 41" xfId="3280" xr:uid="{00000000-0005-0000-0000-000090110000}"/>
    <cellStyle name="Normal 15 9 42" xfId="3150" xr:uid="{00000000-0005-0000-0000-000091110000}"/>
    <cellStyle name="Normal 15 9 43" xfId="3328" xr:uid="{00000000-0005-0000-0000-000092110000}"/>
    <cellStyle name="Normal 15 9 44" xfId="3032" xr:uid="{00000000-0005-0000-0000-000093110000}"/>
    <cellStyle name="Normal 15 9 45" xfId="2788" xr:uid="{00000000-0005-0000-0000-000094110000}"/>
    <cellStyle name="Normal 15 9 46" xfId="2548" xr:uid="{00000000-0005-0000-0000-000095110000}"/>
    <cellStyle name="Normal 15 9 47" xfId="2308" xr:uid="{00000000-0005-0000-0000-000096110000}"/>
    <cellStyle name="Normal 15 9 48" xfId="2068" xr:uid="{00000000-0005-0000-0000-000097110000}"/>
    <cellStyle name="Normal 15 9 49" xfId="1828" xr:uid="{00000000-0005-0000-0000-000098110000}"/>
    <cellStyle name="Normal 15 9 5" xfId="26374" xr:uid="{00000000-0005-0000-0000-000099110000}"/>
    <cellStyle name="Normal 15 9 50" xfId="1589" xr:uid="{00000000-0005-0000-0000-00009A110000}"/>
    <cellStyle name="Normal 15 9 51" xfId="1349" xr:uid="{00000000-0005-0000-0000-00009B110000}"/>
    <cellStyle name="Normal 15 9 52" xfId="1109" xr:uid="{00000000-0005-0000-0000-00009C110000}"/>
    <cellStyle name="Normal 15 9 53" xfId="869" xr:uid="{00000000-0005-0000-0000-00009D110000}"/>
    <cellStyle name="Normal 15 9 54" xfId="629" xr:uid="{00000000-0005-0000-0000-00009E110000}"/>
    <cellStyle name="Normal 15 9 55" xfId="389" xr:uid="{00000000-0005-0000-0000-00009F110000}"/>
    <cellStyle name="Normal 15 9 56" xfId="150" xr:uid="{00000000-0005-0000-0000-0000A0110000}"/>
    <cellStyle name="Normal 15 9 6" xfId="25778" xr:uid="{00000000-0005-0000-0000-0000A1110000}"/>
    <cellStyle name="Normal 15 9 7" xfId="25181" xr:uid="{00000000-0005-0000-0000-0000A2110000}"/>
    <cellStyle name="Normal 15 9 8" xfId="24584" xr:uid="{00000000-0005-0000-0000-0000A3110000}"/>
    <cellStyle name="Normal 15 9 9" xfId="23987" xr:uid="{00000000-0005-0000-0000-0000A4110000}"/>
    <cellStyle name="Normal 16" xfId="28762" xr:uid="{00000000-0005-0000-0000-0000A5110000}"/>
    <cellStyle name="Normal 16 10" xfId="28761" xr:uid="{00000000-0005-0000-0000-0000A6110000}"/>
    <cellStyle name="Normal 16 10 10" xfId="23388" xr:uid="{00000000-0005-0000-0000-0000A7110000}"/>
    <cellStyle name="Normal 16 10 11" xfId="22791" xr:uid="{00000000-0005-0000-0000-0000A8110000}"/>
    <cellStyle name="Normal 16 10 12" xfId="22195" xr:uid="{00000000-0005-0000-0000-0000A9110000}"/>
    <cellStyle name="Normal 16 10 13" xfId="21598" xr:uid="{00000000-0005-0000-0000-0000AA110000}"/>
    <cellStyle name="Normal 16 10 14" xfId="21001" xr:uid="{00000000-0005-0000-0000-0000AB110000}"/>
    <cellStyle name="Normal 16 10 15" xfId="20404" xr:uid="{00000000-0005-0000-0000-0000AC110000}"/>
    <cellStyle name="Normal 16 10 16" xfId="19808" xr:uid="{00000000-0005-0000-0000-0000AD110000}"/>
    <cellStyle name="Normal 16 10 17" xfId="19212" xr:uid="{00000000-0005-0000-0000-0000AE110000}"/>
    <cellStyle name="Normal 16 10 18" xfId="18618" xr:uid="{00000000-0005-0000-0000-0000AF110000}"/>
    <cellStyle name="Normal 16 10 19" xfId="18022" xr:uid="{00000000-0005-0000-0000-0000B0110000}"/>
    <cellStyle name="Normal 16 10 2" xfId="28162" xr:uid="{00000000-0005-0000-0000-0000B1110000}"/>
    <cellStyle name="Normal 16 10 20" xfId="15924" xr:uid="{00000000-0005-0000-0000-0000B2110000}"/>
    <cellStyle name="Normal 16 10 21" xfId="14700" xr:uid="{00000000-0005-0000-0000-0000B3110000}"/>
    <cellStyle name="Normal 16 10 22" xfId="15865" xr:uid="{00000000-0005-0000-0000-0000B4110000}"/>
    <cellStyle name="Normal 16 10 23" xfId="13767" xr:uid="{00000000-0005-0000-0000-0000B5110000}"/>
    <cellStyle name="Normal 16 10 24" xfId="14113" xr:uid="{00000000-0005-0000-0000-0000B6110000}"/>
    <cellStyle name="Normal 16 10 25" xfId="13619" xr:uid="{00000000-0005-0000-0000-0000B7110000}"/>
    <cellStyle name="Normal 16 10 26" xfId="16695" xr:uid="{00000000-0005-0000-0000-0000B8110000}"/>
    <cellStyle name="Normal 16 10 27" xfId="14641" xr:uid="{00000000-0005-0000-0000-0000B9110000}"/>
    <cellStyle name="Normal 16 10 28" xfId="12630" xr:uid="{00000000-0005-0000-0000-0000BA110000}"/>
    <cellStyle name="Normal 16 10 29" xfId="6521" xr:uid="{00000000-0005-0000-0000-0000BB110000}"/>
    <cellStyle name="Normal 16 10 3" xfId="27565" xr:uid="{00000000-0005-0000-0000-0000BC110000}"/>
    <cellStyle name="Normal 16 10 30" xfId="6155" xr:uid="{00000000-0005-0000-0000-0000BD110000}"/>
    <cellStyle name="Normal 16 10 31" xfId="11988" xr:uid="{00000000-0005-0000-0000-0000BE110000}"/>
    <cellStyle name="Normal 16 10 32" xfId="11868" xr:uid="{00000000-0005-0000-0000-0000BF110000}"/>
    <cellStyle name="Normal 16 10 33" xfId="8716" xr:uid="{00000000-0005-0000-0000-0000C0110000}"/>
    <cellStyle name="Normal 16 10 34" xfId="5009" xr:uid="{00000000-0005-0000-0000-0000C1110000}"/>
    <cellStyle name="Normal 16 10 35" xfId="8700" xr:uid="{00000000-0005-0000-0000-0000C2110000}"/>
    <cellStyle name="Normal 16 10 36" xfId="7740" xr:uid="{00000000-0005-0000-0000-0000C3110000}"/>
    <cellStyle name="Normal 16 10 37" xfId="8018" xr:uid="{00000000-0005-0000-0000-0000C4110000}"/>
    <cellStyle name="Normal 16 10 38" xfId="9404" xr:uid="{00000000-0005-0000-0000-0000C5110000}"/>
    <cellStyle name="Normal 16 10 39" xfId="3820" xr:uid="{00000000-0005-0000-0000-0000C6110000}"/>
    <cellStyle name="Normal 16 10 4" xfId="26968" xr:uid="{00000000-0005-0000-0000-0000C7110000}"/>
    <cellStyle name="Normal 16 10 40" xfId="3504" xr:uid="{00000000-0005-0000-0000-0000C8110000}"/>
    <cellStyle name="Normal 16 10 41" xfId="5403" xr:uid="{00000000-0005-0000-0000-0000C9110000}"/>
    <cellStyle name="Normal 16 10 42" xfId="11815" xr:uid="{00000000-0005-0000-0000-0000CA110000}"/>
    <cellStyle name="Normal 16 10 43" xfId="6139" xr:uid="{00000000-0005-0000-0000-0000CB110000}"/>
    <cellStyle name="Normal 16 10 44" xfId="3030" xr:uid="{00000000-0005-0000-0000-0000CC110000}"/>
    <cellStyle name="Normal 16 10 45" xfId="2786" xr:uid="{00000000-0005-0000-0000-0000CD110000}"/>
    <cellStyle name="Normal 16 10 46" xfId="2546" xr:uid="{00000000-0005-0000-0000-0000CE110000}"/>
    <cellStyle name="Normal 16 10 47" xfId="2306" xr:uid="{00000000-0005-0000-0000-0000CF110000}"/>
    <cellStyle name="Normal 16 10 48" xfId="2066" xr:uid="{00000000-0005-0000-0000-0000D0110000}"/>
    <cellStyle name="Normal 16 10 49" xfId="1826" xr:uid="{00000000-0005-0000-0000-0000D1110000}"/>
    <cellStyle name="Normal 16 10 5" xfId="26372" xr:uid="{00000000-0005-0000-0000-0000D2110000}"/>
    <cellStyle name="Normal 16 10 50" xfId="1587" xr:uid="{00000000-0005-0000-0000-0000D3110000}"/>
    <cellStyle name="Normal 16 10 51" xfId="1347" xr:uid="{00000000-0005-0000-0000-0000D4110000}"/>
    <cellStyle name="Normal 16 10 52" xfId="1107" xr:uid="{00000000-0005-0000-0000-0000D5110000}"/>
    <cellStyle name="Normal 16 10 53" xfId="867" xr:uid="{00000000-0005-0000-0000-0000D6110000}"/>
    <cellStyle name="Normal 16 10 54" xfId="627" xr:uid="{00000000-0005-0000-0000-0000D7110000}"/>
    <cellStyle name="Normal 16 10 55" xfId="387" xr:uid="{00000000-0005-0000-0000-0000D8110000}"/>
    <cellStyle name="Normal 16 10 56" xfId="149" xr:uid="{00000000-0005-0000-0000-0000D9110000}"/>
    <cellStyle name="Normal 16 10 6" xfId="25776" xr:uid="{00000000-0005-0000-0000-0000DA110000}"/>
    <cellStyle name="Normal 16 10 7" xfId="25179" xr:uid="{00000000-0005-0000-0000-0000DB110000}"/>
    <cellStyle name="Normal 16 10 8" xfId="24582" xr:uid="{00000000-0005-0000-0000-0000DC110000}"/>
    <cellStyle name="Normal 16 10 9" xfId="23985" xr:uid="{00000000-0005-0000-0000-0000DD110000}"/>
    <cellStyle name="Normal 16 11" xfId="28760" xr:uid="{00000000-0005-0000-0000-0000DE110000}"/>
    <cellStyle name="Normal 16 11 10" xfId="23387" xr:uid="{00000000-0005-0000-0000-0000DF110000}"/>
    <cellStyle name="Normal 16 11 11" xfId="22790" xr:uid="{00000000-0005-0000-0000-0000E0110000}"/>
    <cellStyle name="Normal 16 11 12" xfId="22194" xr:uid="{00000000-0005-0000-0000-0000E1110000}"/>
    <cellStyle name="Normal 16 11 13" xfId="21597" xr:uid="{00000000-0005-0000-0000-0000E2110000}"/>
    <cellStyle name="Normal 16 11 14" xfId="21000" xr:uid="{00000000-0005-0000-0000-0000E3110000}"/>
    <cellStyle name="Normal 16 11 15" xfId="20403" xr:uid="{00000000-0005-0000-0000-0000E4110000}"/>
    <cellStyle name="Normal 16 11 16" xfId="19807" xr:uid="{00000000-0005-0000-0000-0000E5110000}"/>
    <cellStyle name="Normal 16 11 17" xfId="19211" xr:uid="{00000000-0005-0000-0000-0000E6110000}"/>
    <cellStyle name="Normal 16 11 18" xfId="18617" xr:uid="{00000000-0005-0000-0000-0000E7110000}"/>
    <cellStyle name="Normal 16 11 19" xfId="18021" xr:uid="{00000000-0005-0000-0000-0000E8110000}"/>
    <cellStyle name="Normal 16 11 2" xfId="28161" xr:uid="{00000000-0005-0000-0000-0000E9110000}"/>
    <cellStyle name="Normal 16 11 20" xfId="16132" xr:uid="{00000000-0005-0000-0000-0000EA110000}"/>
    <cellStyle name="Normal 16 11 21" xfId="17236" xr:uid="{00000000-0005-0000-0000-0000EB110000}"/>
    <cellStyle name="Normal 16 11 22" xfId="16286" xr:uid="{00000000-0005-0000-0000-0000EC110000}"/>
    <cellStyle name="Normal 16 11 23" xfId="13903" xr:uid="{00000000-0005-0000-0000-0000ED110000}"/>
    <cellStyle name="Normal 16 11 24" xfId="13535" xr:uid="{00000000-0005-0000-0000-0000EE110000}"/>
    <cellStyle name="Normal 16 11 25" xfId="15009" xr:uid="{00000000-0005-0000-0000-0000EF110000}"/>
    <cellStyle name="Normal 16 11 26" xfId="17257" xr:uid="{00000000-0005-0000-0000-0000F0110000}"/>
    <cellStyle name="Normal 16 11 27" xfId="13777" xr:uid="{00000000-0005-0000-0000-0000F1110000}"/>
    <cellStyle name="Normal 16 11 28" xfId="12629" xr:uid="{00000000-0005-0000-0000-0000F2110000}"/>
    <cellStyle name="Normal 16 11 29" xfId="7325" xr:uid="{00000000-0005-0000-0000-0000F3110000}"/>
    <cellStyle name="Normal 16 11 3" xfId="27564" xr:uid="{00000000-0005-0000-0000-0000F4110000}"/>
    <cellStyle name="Normal 16 11 30" xfId="10334" xr:uid="{00000000-0005-0000-0000-0000F5110000}"/>
    <cellStyle name="Normal 16 11 31" xfId="7619" xr:uid="{00000000-0005-0000-0000-0000F6110000}"/>
    <cellStyle name="Normal 16 11 32" xfId="7800" xr:uid="{00000000-0005-0000-0000-0000F7110000}"/>
    <cellStyle name="Normal 16 11 33" xfId="6180" xr:uid="{00000000-0005-0000-0000-0000F8110000}"/>
    <cellStyle name="Normal 16 11 34" xfId="9942" xr:uid="{00000000-0005-0000-0000-0000F9110000}"/>
    <cellStyle name="Normal 16 11 35" xfId="7763" xr:uid="{00000000-0005-0000-0000-0000FA110000}"/>
    <cellStyle name="Normal 16 11 36" xfId="4914" xr:uid="{00000000-0005-0000-0000-0000FB110000}"/>
    <cellStyle name="Normal 16 11 37" xfId="4653" xr:uid="{00000000-0005-0000-0000-0000FC110000}"/>
    <cellStyle name="Normal 16 11 38" xfId="4190" xr:uid="{00000000-0005-0000-0000-0000FD110000}"/>
    <cellStyle name="Normal 16 11 39" xfId="4268" xr:uid="{00000000-0005-0000-0000-0000FE110000}"/>
    <cellStyle name="Normal 16 11 4" xfId="26967" xr:uid="{00000000-0005-0000-0000-0000FF110000}"/>
    <cellStyle name="Normal 16 11 40" xfId="3829" xr:uid="{00000000-0005-0000-0000-000000120000}"/>
    <cellStyle name="Normal 16 11 41" xfId="5431" xr:uid="{00000000-0005-0000-0000-000001120000}"/>
    <cellStyle name="Normal 16 11 42" xfId="7441" xr:uid="{00000000-0005-0000-0000-000002120000}"/>
    <cellStyle name="Normal 16 11 43" xfId="3106" xr:uid="{00000000-0005-0000-0000-000003120000}"/>
    <cellStyle name="Normal 16 11 44" xfId="3029" xr:uid="{00000000-0005-0000-0000-000004120000}"/>
    <cellStyle name="Normal 16 11 45" xfId="2785" xr:uid="{00000000-0005-0000-0000-000005120000}"/>
    <cellStyle name="Normal 16 11 46" xfId="2545" xr:uid="{00000000-0005-0000-0000-000006120000}"/>
    <cellStyle name="Normal 16 11 47" xfId="2305" xr:uid="{00000000-0005-0000-0000-000007120000}"/>
    <cellStyle name="Normal 16 11 48" xfId="2065" xr:uid="{00000000-0005-0000-0000-000008120000}"/>
    <cellStyle name="Normal 16 11 49" xfId="1825" xr:uid="{00000000-0005-0000-0000-000009120000}"/>
    <cellStyle name="Normal 16 11 5" xfId="26371" xr:uid="{00000000-0005-0000-0000-00000A120000}"/>
    <cellStyle name="Normal 16 11 50" xfId="1586" xr:uid="{00000000-0005-0000-0000-00000B120000}"/>
    <cellStyle name="Normal 16 11 51" xfId="1346" xr:uid="{00000000-0005-0000-0000-00000C120000}"/>
    <cellStyle name="Normal 16 11 52" xfId="1106" xr:uid="{00000000-0005-0000-0000-00000D120000}"/>
    <cellStyle name="Normal 16 11 53" xfId="866" xr:uid="{00000000-0005-0000-0000-00000E120000}"/>
    <cellStyle name="Normal 16 11 54" xfId="626" xr:uid="{00000000-0005-0000-0000-00000F120000}"/>
    <cellStyle name="Normal 16 11 55" xfId="386" xr:uid="{00000000-0005-0000-0000-000010120000}"/>
    <cellStyle name="Normal 16 11 56" xfId="148" xr:uid="{00000000-0005-0000-0000-000011120000}"/>
    <cellStyle name="Normal 16 11 6" xfId="25775" xr:uid="{00000000-0005-0000-0000-000012120000}"/>
    <cellStyle name="Normal 16 11 7" xfId="25178" xr:uid="{00000000-0005-0000-0000-000013120000}"/>
    <cellStyle name="Normal 16 11 8" xfId="24581" xr:uid="{00000000-0005-0000-0000-000014120000}"/>
    <cellStyle name="Normal 16 11 9" xfId="23984" xr:uid="{00000000-0005-0000-0000-000015120000}"/>
    <cellStyle name="Normal 16 12" xfId="28759" xr:uid="{00000000-0005-0000-0000-000016120000}"/>
    <cellStyle name="Normal 16 12 10" xfId="23386" xr:uid="{00000000-0005-0000-0000-000017120000}"/>
    <cellStyle name="Normal 16 12 11" xfId="22789" xr:uid="{00000000-0005-0000-0000-000018120000}"/>
    <cellStyle name="Normal 16 12 12" xfId="22193" xr:uid="{00000000-0005-0000-0000-000019120000}"/>
    <cellStyle name="Normal 16 12 13" xfId="21596" xr:uid="{00000000-0005-0000-0000-00001A120000}"/>
    <cellStyle name="Normal 16 12 14" xfId="20999" xr:uid="{00000000-0005-0000-0000-00001B120000}"/>
    <cellStyle name="Normal 16 12 15" xfId="20402" xr:uid="{00000000-0005-0000-0000-00001C120000}"/>
    <cellStyle name="Normal 16 12 16" xfId="19806" xr:uid="{00000000-0005-0000-0000-00001D120000}"/>
    <cellStyle name="Normal 16 12 17" xfId="19210" xr:uid="{00000000-0005-0000-0000-00001E120000}"/>
    <cellStyle name="Normal 16 12 18" xfId="18616" xr:uid="{00000000-0005-0000-0000-00001F120000}"/>
    <cellStyle name="Normal 16 12 19" xfId="18020" xr:uid="{00000000-0005-0000-0000-000020120000}"/>
    <cellStyle name="Normal 16 12 2" xfId="28160" xr:uid="{00000000-0005-0000-0000-000021120000}"/>
    <cellStyle name="Normal 16 12 20" xfId="16333" xr:uid="{00000000-0005-0000-0000-000022120000}"/>
    <cellStyle name="Normal 16 12 21" xfId="16816" xr:uid="{00000000-0005-0000-0000-000023120000}"/>
    <cellStyle name="Normal 16 12 22" xfId="16873" xr:uid="{00000000-0005-0000-0000-000024120000}"/>
    <cellStyle name="Normal 16 12 23" xfId="15418" xr:uid="{00000000-0005-0000-0000-000025120000}"/>
    <cellStyle name="Normal 16 12 24" xfId="13052" xr:uid="{00000000-0005-0000-0000-000026120000}"/>
    <cellStyle name="Normal 16 12 25" xfId="13416" xr:uid="{00000000-0005-0000-0000-000027120000}"/>
    <cellStyle name="Normal 16 12 26" xfId="14584" xr:uid="{00000000-0005-0000-0000-000028120000}"/>
    <cellStyle name="Normal 16 12 27" xfId="15868" xr:uid="{00000000-0005-0000-0000-000029120000}"/>
    <cellStyle name="Normal 16 12 28" xfId="12628" xr:uid="{00000000-0005-0000-0000-00002A120000}"/>
    <cellStyle name="Normal 16 12 29" xfId="7058" xr:uid="{00000000-0005-0000-0000-00002B120000}"/>
    <cellStyle name="Normal 16 12 3" xfId="27563" xr:uid="{00000000-0005-0000-0000-00002C120000}"/>
    <cellStyle name="Normal 16 12 30" xfId="8944" xr:uid="{00000000-0005-0000-0000-00002D120000}"/>
    <cellStyle name="Normal 16 12 31" xfId="5559" xr:uid="{00000000-0005-0000-0000-00002E120000}"/>
    <cellStyle name="Normal 16 12 32" xfId="10524" xr:uid="{00000000-0005-0000-0000-00002F120000}"/>
    <cellStyle name="Normal 16 12 33" xfId="7607" xr:uid="{00000000-0005-0000-0000-000030120000}"/>
    <cellStyle name="Normal 16 12 34" xfId="9321" xr:uid="{00000000-0005-0000-0000-000031120000}"/>
    <cellStyle name="Normal 16 12 35" xfId="10631" xr:uid="{00000000-0005-0000-0000-000032120000}"/>
    <cellStyle name="Normal 16 12 36" xfId="9466" xr:uid="{00000000-0005-0000-0000-000033120000}"/>
    <cellStyle name="Normal 16 12 37" xfId="7866" xr:uid="{00000000-0005-0000-0000-000034120000}"/>
    <cellStyle name="Normal 16 12 38" xfId="4098" xr:uid="{00000000-0005-0000-0000-000035120000}"/>
    <cellStyle name="Normal 16 12 39" xfId="6432" xr:uid="{00000000-0005-0000-0000-000036120000}"/>
    <cellStyle name="Normal 16 12 4" xfId="26966" xr:uid="{00000000-0005-0000-0000-000037120000}"/>
    <cellStyle name="Normal 16 12 40" xfId="5015" xr:uid="{00000000-0005-0000-0000-000038120000}"/>
    <cellStyle name="Normal 16 12 41" xfId="6833" xr:uid="{00000000-0005-0000-0000-000039120000}"/>
    <cellStyle name="Normal 16 12 42" xfId="4605" xr:uid="{00000000-0005-0000-0000-00003A120000}"/>
    <cellStyle name="Normal 16 12 43" xfId="7765" xr:uid="{00000000-0005-0000-0000-00003B120000}"/>
    <cellStyle name="Normal 16 12 5" xfId="26370" xr:uid="{00000000-0005-0000-0000-00003C120000}"/>
    <cellStyle name="Normal 16 12 6" xfId="25774" xr:uid="{00000000-0005-0000-0000-00003D120000}"/>
    <cellStyle name="Normal 16 12 7" xfId="25177" xr:uid="{00000000-0005-0000-0000-00003E120000}"/>
    <cellStyle name="Normal 16 12 8" xfId="24580" xr:uid="{00000000-0005-0000-0000-00003F120000}"/>
    <cellStyle name="Normal 16 12 9" xfId="23983" xr:uid="{00000000-0005-0000-0000-000040120000}"/>
    <cellStyle name="Normal 16 13" xfId="28758" xr:uid="{00000000-0005-0000-0000-000041120000}"/>
    <cellStyle name="Normal 16 13 10" xfId="23385" xr:uid="{00000000-0005-0000-0000-000042120000}"/>
    <cellStyle name="Normal 16 13 11" xfId="22788" xr:uid="{00000000-0005-0000-0000-000043120000}"/>
    <cellStyle name="Normal 16 13 12" xfId="22192" xr:uid="{00000000-0005-0000-0000-000044120000}"/>
    <cellStyle name="Normal 16 13 13" xfId="21595" xr:uid="{00000000-0005-0000-0000-000045120000}"/>
    <cellStyle name="Normal 16 13 14" xfId="20998" xr:uid="{00000000-0005-0000-0000-000046120000}"/>
    <cellStyle name="Normal 16 13 15" xfId="20401" xr:uid="{00000000-0005-0000-0000-000047120000}"/>
    <cellStyle name="Normal 16 13 16" xfId="19805" xr:uid="{00000000-0005-0000-0000-000048120000}"/>
    <cellStyle name="Normal 16 13 17" xfId="19209" xr:uid="{00000000-0005-0000-0000-000049120000}"/>
    <cellStyle name="Normal 16 13 18" xfId="18615" xr:uid="{00000000-0005-0000-0000-00004A120000}"/>
    <cellStyle name="Normal 16 13 19" xfId="18019" xr:uid="{00000000-0005-0000-0000-00004B120000}"/>
    <cellStyle name="Normal 16 13 2" xfId="28159" xr:uid="{00000000-0005-0000-0000-00004C120000}"/>
    <cellStyle name="Normal 16 13 20" xfId="16523" xr:uid="{00000000-0005-0000-0000-00004D120000}"/>
    <cellStyle name="Normal 16 13 21" xfId="16422" xr:uid="{00000000-0005-0000-0000-00004E120000}"/>
    <cellStyle name="Normal 16 13 22" xfId="17096" xr:uid="{00000000-0005-0000-0000-00004F120000}"/>
    <cellStyle name="Normal 16 13 23" xfId="15645" xr:uid="{00000000-0005-0000-0000-000050120000}"/>
    <cellStyle name="Normal 16 13 24" xfId="13242" xr:uid="{00000000-0005-0000-0000-000051120000}"/>
    <cellStyle name="Normal 16 13 25" xfId="14201" xr:uid="{00000000-0005-0000-0000-000052120000}"/>
    <cellStyle name="Normal 16 13 26" xfId="13997" xr:uid="{00000000-0005-0000-0000-000053120000}"/>
    <cellStyle name="Normal 16 13 27" xfId="14799" xr:uid="{00000000-0005-0000-0000-000054120000}"/>
    <cellStyle name="Normal 16 13 28" xfId="12627" xr:uid="{00000000-0005-0000-0000-000055120000}"/>
    <cellStyle name="Normal 16 13 29" xfId="7617" xr:uid="{00000000-0005-0000-0000-000056120000}"/>
    <cellStyle name="Normal 16 13 3" xfId="27562" xr:uid="{00000000-0005-0000-0000-000057120000}"/>
    <cellStyle name="Normal 16 13 30" xfId="12062" xr:uid="{00000000-0005-0000-0000-000058120000}"/>
    <cellStyle name="Normal 16 13 31" xfId="5666" xr:uid="{00000000-0005-0000-0000-000059120000}"/>
    <cellStyle name="Normal 16 13 32" xfId="8859" xr:uid="{00000000-0005-0000-0000-00005A120000}"/>
    <cellStyle name="Normal 16 13 33" xfId="7199" xr:uid="{00000000-0005-0000-0000-00005B120000}"/>
    <cellStyle name="Normal 16 13 34" xfId="10817" xr:uid="{00000000-0005-0000-0000-00005C120000}"/>
    <cellStyle name="Normal 16 13 35" xfId="9382" xr:uid="{00000000-0005-0000-0000-00005D120000}"/>
    <cellStyle name="Normal 16 13 36" xfId="12041" xr:uid="{00000000-0005-0000-0000-00005E120000}"/>
    <cellStyle name="Normal 16 13 37" xfId="10862" xr:uid="{00000000-0005-0000-0000-00005F120000}"/>
    <cellStyle name="Normal 16 13 38" xfId="5685" xr:uid="{00000000-0005-0000-0000-000060120000}"/>
    <cellStyle name="Normal 16 13 39" xfId="10716" xr:uid="{00000000-0005-0000-0000-000061120000}"/>
    <cellStyle name="Normal 16 13 4" xfId="26965" xr:uid="{00000000-0005-0000-0000-000062120000}"/>
    <cellStyle name="Normal 16 13 40" xfId="9039" xr:uid="{00000000-0005-0000-0000-000063120000}"/>
    <cellStyle name="Normal 16 13 41" xfId="11980" xr:uid="{00000000-0005-0000-0000-000064120000}"/>
    <cellStyle name="Normal 16 13 42" xfId="9637" xr:uid="{00000000-0005-0000-0000-000065120000}"/>
    <cellStyle name="Normal 16 13 43" xfId="3710" xr:uid="{00000000-0005-0000-0000-000066120000}"/>
    <cellStyle name="Normal 16 13 5" xfId="26369" xr:uid="{00000000-0005-0000-0000-000067120000}"/>
    <cellStyle name="Normal 16 13 6" xfId="25773" xr:uid="{00000000-0005-0000-0000-000068120000}"/>
    <cellStyle name="Normal 16 13 7" xfId="25176" xr:uid="{00000000-0005-0000-0000-000069120000}"/>
    <cellStyle name="Normal 16 13 8" xfId="24579" xr:uid="{00000000-0005-0000-0000-00006A120000}"/>
    <cellStyle name="Normal 16 13 9" xfId="23982" xr:uid="{00000000-0005-0000-0000-00006B120000}"/>
    <cellStyle name="Normal 16 14" xfId="28757" xr:uid="{00000000-0005-0000-0000-00006C120000}"/>
    <cellStyle name="Normal 16 14 10" xfId="23384" xr:uid="{00000000-0005-0000-0000-00006D120000}"/>
    <cellStyle name="Normal 16 14 11" xfId="22787" xr:uid="{00000000-0005-0000-0000-00006E120000}"/>
    <cellStyle name="Normal 16 14 12" xfId="22191" xr:uid="{00000000-0005-0000-0000-00006F120000}"/>
    <cellStyle name="Normal 16 14 13" xfId="21594" xr:uid="{00000000-0005-0000-0000-000070120000}"/>
    <cellStyle name="Normal 16 14 14" xfId="20997" xr:uid="{00000000-0005-0000-0000-000071120000}"/>
    <cellStyle name="Normal 16 14 15" xfId="20400" xr:uid="{00000000-0005-0000-0000-000072120000}"/>
    <cellStyle name="Normal 16 14 16" xfId="19804" xr:uid="{00000000-0005-0000-0000-000073120000}"/>
    <cellStyle name="Normal 16 14 17" xfId="19208" xr:uid="{00000000-0005-0000-0000-000074120000}"/>
    <cellStyle name="Normal 16 14 18" xfId="18614" xr:uid="{00000000-0005-0000-0000-000075120000}"/>
    <cellStyle name="Normal 16 14 19" xfId="18018" xr:uid="{00000000-0005-0000-0000-000076120000}"/>
    <cellStyle name="Normal 16 14 2" xfId="28158" xr:uid="{00000000-0005-0000-0000-000077120000}"/>
    <cellStyle name="Normal 16 14 20" xfId="16717" xr:uid="{00000000-0005-0000-0000-000078120000}"/>
    <cellStyle name="Normal 16 14 21" xfId="16001" xr:uid="{00000000-0005-0000-0000-000079120000}"/>
    <cellStyle name="Normal 16 14 22" xfId="17109" xr:uid="{00000000-0005-0000-0000-00007A120000}"/>
    <cellStyle name="Normal 16 14 23" xfId="16260" xr:uid="{00000000-0005-0000-0000-00007B120000}"/>
    <cellStyle name="Normal 16 14 24" xfId="13147" xr:uid="{00000000-0005-0000-0000-00007C120000}"/>
    <cellStyle name="Normal 16 14 25" xfId="13181" xr:uid="{00000000-0005-0000-0000-00007D120000}"/>
    <cellStyle name="Normal 16 14 26" xfId="13574" xr:uid="{00000000-0005-0000-0000-00007E120000}"/>
    <cellStyle name="Normal 16 14 27" xfId="13248" xr:uid="{00000000-0005-0000-0000-00007F120000}"/>
    <cellStyle name="Normal 16 14 28" xfId="12626" xr:uid="{00000000-0005-0000-0000-000080120000}"/>
    <cellStyle name="Normal 16 14 29" xfId="7268" xr:uid="{00000000-0005-0000-0000-000081120000}"/>
    <cellStyle name="Normal 16 14 3" xfId="27561" xr:uid="{00000000-0005-0000-0000-000082120000}"/>
    <cellStyle name="Normal 16 14 30" xfId="11666" xr:uid="{00000000-0005-0000-0000-000083120000}"/>
    <cellStyle name="Normal 16 14 31" xfId="12045" xr:uid="{00000000-0005-0000-0000-000084120000}"/>
    <cellStyle name="Normal 16 14 32" xfId="5397" xr:uid="{00000000-0005-0000-0000-000085120000}"/>
    <cellStyle name="Normal 16 14 33" xfId="5577" xr:uid="{00000000-0005-0000-0000-000086120000}"/>
    <cellStyle name="Normal 16 14 34" xfId="10988" xr:uid="{00000000-0005-0000-0000-000087120000}"/>
    <cellStyle name="Normal 16 14 35" xfId="10078" xr:uid="{00000000-0005-0000-0000-000088120000}"/>
    <cellStyle name="Normal 16 14 36" xfId="6196" xr:uid="{00000000-0005-0000-0000-000089120000}"/>
    <cellStyle name="Normal 16 14 37" xfId="7770" xr:uid="{00000000-0005-0000-0000-00008A120000}"/>
    <cellStyle name="Normal 16 14 38" xfId="4954" xr:uid="{00000000-0005-0000-0000-00008B120000}"/>
    <cellStyle name="Normal 16 14 39" xfId="11676" xr:uid="{00000000-0005-0000-0000-00008C120000}"/>
    <cellStyle name="Normal 16 14 4" xfId="26964" xr:uid="{00000000-0005-0000-0000-00008D120000}"/>
    <cellStyle name="Normal 16 14 40" xfId="9871" xr:uid="{00000000-0005-0000-0000-00008E120000}"/>
    <cellStyle name="Normal 16 14 41" xfId="10377" xr:uid="{00000000-0005-0000-0000-00008F120000}"/>
    <cellStyle name="Normal 16 14 42" xfId="3634" xr:uid="{00000000-0005-0000-0000-000090120000}"/>
    <cellStyle name="Normal 16 14 43" xfId="8121" xr:uid="{00000000-0005-0000-0000-000091120000}"/>
    <cellStyle name="Normal 16 14 5" xfId="26368" xr:uid="{00000000-0005-0000-0000-000092120000}"/>
    <cellStyle name="Normal 16 14 6" xfId="25772" xr:uid="{00000000-0005-0000-0000-000093120000}"/>
    <cellStyle name="Normal 16 14 7" xfId="25175" xr:uid="{00000000-0005-0000-0000-000094120000}"/>
    <cellStyle name="Normal 16 14 8" xfId="24578" xr:uid="{00000000-0005-0000-0000-000095120000}"/>
    <cellStyle name="Normal 16 14 9" xfId="23981" xr:uid="{00000000-0005-0000-0000-000096120000}"/>
    <cellStyle name="Normal 16 15" xfId="28756" xr:uid="{00000000-0005-0000-0000-000097120000}"/>
    <cellStyle name="Normal 16 15 10" xfId="23383" xr:uid="{00000000-0005-0000-0000-000098120000}"/>
    <cellStyle name="Normal 16 15 11" xfId="22786" xr:uid="{00000000-0005-0000-0000-000099120000}"/>
    <cellStyle name="Normal 16 15 12" xfId="22190" xr:uid="{00000000-0005-0000-0000-00009A120000}"/>
    <cellStyle name="Normal 16 15 13" xfId="21593" xr:uid="{00000000-0005-0000-0000-00009B120000}"/>
    <cellStyle name="Normal 16 15 14" xfId="20996" xr:uid="{00000000-0005-0000-0000-00009C120000}"/>
    <cellStyle name="Normal 16 15 15" xfId="20399" xr:uid="{00000000-0005-0000-0000-00009D120000}"/>
    <cellStyle name="Normal 16 15 16" xfId="19803" xr:uid="{00000000-0005-0000-0000-00009E120000}"/>
    <cellStyle name="Normal 16 15 17" xfId="19207" xr:uid="{00000000-0005-0000-0000-00009F120000}"/>
    <cellStyle name="Normal 16 15 18" xfId="18613" xr:uid="{00000000-0005-0000-0000-0000A0120000}"/>
    <cellStyle name="Normal 16 15 19" xfId="18017" xr:uid="{00000000-0005-0000-0000-0000A1120000}"/>
    <cellStyle name="Normal 16 15 2" xfId="28157" xr:uid="{00000000-0005-0000-0000-0000A2120000}"/>
    <cellStyle name="Normal 16 15 20" xfId="16914" xr:uid="{00000000-0005-0000-0000-0000A3120000}"/>
    <cellStyle name="Normal 16 15 21" xfId="16407" xr:uid="{00000000-0005-0000-0000-0000A4120000}"/>
    <cellStyle name="Normal 16 15 22" xfId="14062" xr:uid="{00000000-0005-0000-0000-0000A5120000}"/>
    <cellStyle name="Normal 16 15 23" xfId="13874" xr:uid="{00000000-0005-0000-0000-0000A6120000}"/>
    <cellStyle name="Normal 16 15 24" xfId="16227" xr:uid="{00000000-0005-0000-0000-0000A7120000}"/>
    <cellStyle name="Normal 16 15 25" xfId="16424" xr:uid="{00000000-0005-0000-0000-0000A8120000}"/>
    <cellStyle name="Normal 16 15 26" xfId="16705" xr:uid="{00000000-0005-0000-0000-0000A9120000}"/>
    <cellStyle name="Normal 16 15 27" xfId="14844" xr:uid="{00000000-0005-0000-0000-0000AA120000}"/>
    <cellStyle name="Normal 16 15 28" xfId="12625" xr:uid="{00000000-0005-0000-0000-0000AB120000}"/>
    <cellStyle name="Normal 16 15 29" xfId="11902" xr:uid="{00000000-0005-0000-0000-0000AC120000}"/>
    <cellStyle name="Normal 16 15 3" xfId="27560" xr:uid="{00000000-0005-0000-0000-0000AD120000}"/>
    <cellStyle name="Normal 16 15 30" xfId="10977" xr:uid="{00000000-0005-0000-0000-0000AE120000}"/>
    <cellStyle name="Normal 16 15 31" xfId="8321" xr:uid="{00000000-0005-0000-0000-0000AF120000}"/>
    <cellStyle name="Normal 16 15 32" xfId="7901" xr:uid="{00000000-0005-0000-0000-0000B0120000}"/>
    <cellStyle name="Normal 16 15 33" xfId="7334" xr:uid="{00000000-0005-0000-0000-0000B1120000}"/>
    <cellStyle name="Normal 16 15 34" xfId="6864" xr:uid="{00000000-0005-0000-0000-0000B2120000}"/>
    <cellStyle name="Normal 16 15 35" xfId="9989" xr:uid="{00000000-0005-0000-0000-0000B3120000}"/>
    <cellStyle name="Normal 16 15 36" xfId="4923" xr:uid="{00000000-0005-0000-0000-0000B4120000}"/>
    <cellStyle name="Normal 16 15 37" xfId="5512" xr:uid="{00000000-0005-0000-0000-0000B5120000}"/>
    <cellStyle name="Normal 16 15 38" xfId="4596" xr:uid="{00000000-0005-0000-0000-0000B6120000}"/>
    <cellStyle name="Normal 16 15 39" xfId="11409" xr:uid="{00000000-0005-0000-0000-0000B7120000}"/>
    <cellStyle name="Normal 16 15 4" xfId="26963" xr:uid="{00000000-0005-0000-0000-0000B8120000}"/>
    <cellStyle name="Normal 16 15 40" xfId="5824" xr:uid="{00000000-0005-0000-0000-0000B9120000}"/>
    <cellStyle name="Normal 16 15 41" xfId="9553" xr:uid="{00000000-0005-0000-0000-0000BA120000}"/>
    <cellStyle name="Normal 16 15 42" xfId="4617" xr:uid="{00000000-0005-0000-0000-0000BB120000}"/>
    <cellStyle name="Normal 16 15 43" xfId="5719" xr:uid="{00000000-0005-0000-0000-0000BC120000}"/>
    <cellStyle name="Normal 16 15 5" xfId="26367" xr:uid="{00000000-0005-0000-0000-0000BD120000}"/>
    <cellStyle name="Normal 16 15 6" xfId="25771" xr:uid="{00000000-0005-0000-0000-0000BE120000}"/>
    <cellStyle name="Normal 16 15 7" xfId="25174" xr:uid="{00000000-0005-0000-0000-0000BF120000}"/>
    <cellStyle name="Normal 16 15 8" xfId="24577" xr:uid="{00000000-0005-0000-0000-0000C0120000}"/>
    <cellStyle name="Normal 16 15 9" xfId="23980" xr:uid="{00000000-0005-0000-0000-0000C1120000}"/>
    <cellStyle name="Normal 16 16" xfId="28755" xr:uid="{00000000-0005-0000-0000-0000C2120000}"/>
    <cellStyle name="Normal 16 16 10" xfId="23382" xr:uid="{00000000-0005-0000-0000-0000C3120000}"/>
    <cellStyle name="Normal 16 16 11" xfId="22785" xr:uid="{00000000-0005-0000-0000-0000C4120000}"/>
    <cellStyle name="Normal 16 16 12" xfId="22189" xr:uid="{00000000-0005-0000-0000-0000C5120000}"/>
    <cellStyle name="Normal 16 16 13" xfId="21592" xr:uid="{00000000-0005-0000-0000-0000C6120000}"/>
    <cellStyle name="Normal 16 16 14" xfId="20995" xr:uid="{00000000-0005-0000-0000-0000C7120000}"/>
    <cellStyle name="Normal 16 16 15" xfId="20398" xr:uid="{00000000-0005-0000-0000-0000C8120000}"/>
    <cellStyle name="Normal 16 16 16" xfId="19802" xr:uid="{00000000-0005-0000-0000-0000C9120000}"/>
    <cellStyle name="Normal 16 16 17" xfId="19206" xr:uid="{00000000-0005-0000-0000-0000CA120000}"/>
    <cellStyle name="Normal 16 16 18" xfId="18612" xr:uid="{00000000-0005-0000-0000-0000CB120000}"/>
    <cellStyle name="Normal 16 16 19" xfId="18016" xr:uid="{00000000-0005-0000-0000-0000CC120000}"/>
    <cellStyle name="Normal 16 16 2" xfId="28156" xr:uid="{00000000-0005-0000-0000-0000CD120000}"/>
    <cellStyle name="Normal 16 16 20" xfId="17121" xr:uid="{00000000-0005-0000-0000-0000CE120000}"/>
    <cellStyle name="Normal 16 16 21" xfId="16776" xr:uid="{00000000-0005-0000-0000-0000CF120000}"/>
    <cellStyle name="Normal 16 16 22" xfId="13539" xr:uid="{00000000-0005-0000-0000-0000D0120000}"/>
    <cellStyle name="Normal 16 16 23" xfId="13389" xr:uid="{00000000-0005-0000-0000-0000D1120000}"/>
    <cellStyle name="Normal 16 16 24" xfId="13338" xr:uid="{00000000-0005-0000-0000-0000D2120000}"/>
    <cellStyle name="Normal 16 16 25" xfId="15902" xr:uid="{00000000-0005-0000-0000-0000D3120000}"/>
    <cellStyle name="Normal 16 16 26" xfId="13322" xr:uid="{00000000-0005-0000-0000-0000D4120000}"/>
    <cellStyle name="Normal 16 16 27" xfId="14506" xr:uid="{00000000-0005-0000-0000-0000D5120000}"/>
    <cellStyle name="Normal 16 16 28" xfId="12624" xr:uid="{00000000-0005-0000-0000-0000D6120000}"/>
    <cellStyle name="Normal 16 16 29" xfId="8082" xr:uid="{00000000-0005-0000-0000-0000D7120000}"/>
    <cellStyle name="Normal 16 16 3" xfId="27559" xr:uid="{00000000-0005-0000-0000-0000D8120000}"/>
    <cellStyle name="Normal 16 16 30" xfId="9388" xr:uid="{00000000-0005-0000-0000-0000D9120000}"/>
    <cellStyle name="Normal 16 16 31" xfId="7462" xr:uid="{00000000-0005-0000-0000-0000DA120000}"/>
    <cellStyle name="Normal 16 16 32" xfId="5269" xr:uid="{00000000-0005-0000-0000-0000DB120000}"/>
    <cellStyle name="Normal 16 16 33" xfId="5788" xr:uid="{00000000-0005-0000-0000-0000DC120000}"/>
    <cellStyle name="Normal 16 16 34" xfId="8744" xr:uid="{00000000-0005-0000-0000-0000DD120000}"/>
    <cellStyle name="Normal 16 16 35" xfId="6446" xr:uid="{00000000-0005-0000-0000-0000DE120000}"/>
    <cellStyle name="Normal 16 16 36" xfId="11303" xr:uid="{00000000-0005-0000-0000-0000DF120000}"/>
    <cellStyle name="Normal 16 16 37" xfId="10036" xr:uid="{00000000-0005-0000-0000-0000E0120000}"/>
    <cellStyle name="Normal 16 16 38" xfId="3862" xr:uid="{00000000-0005-0000-0000-0000E1120000}"/>
    <cellStyle name="Normal 16 16 39" xfId="8575" xr:uid="{00000000-0005-0000-0000-0000E2120000}"/>
    <cellStyle name="Normal 16 16 4" xfId="26962" xr:uid="{00000000-0005-0000-0000-0000E3120000}"/>
    <cellStyle name="Normal 16 16 40" xfId="6696" xr:uid="{00000000-0005-0000-0000-0000E4120000}"/>
    <cellStyle name="Normal 16 16 41" xfId="10016" xr:uid="{00000000-0005-0000-0000-0000E5120000}"/>
    <cellStyle name="Normal 16 16 42" xfId="8068" xr:uid="{00000000-0005-0000-0000-0000E6120000}"/>
    <cellStyle name="Normal 16 16 43" xfId="4257" xr:uid="{00000000-0005-0000-0000-0000E7120000}"/>
    <cellStyle name="Normal 16 16 5" xfId="26366" xr:uid="{00000000-0005-0000-0000-0000E8120000}"/>
    <cellStyle name="Normal 16 16 6" xfId="25770" xr:uid="{00000000-0005-0000-0000-0000E9120000}"/>
    <cellStyle name="Normal 16 16 7" xfId="25173" xr:uid="{00000000-0005-0000-0000-0000EA120000}"/>
    <cellStyle name="Normal 16 16 8" xfId="24576" xr:uid="{00000000-0005-0000-0000-0000EB120000}"/>
    <cellStyle name="Normal 16 16 9" xfId="23979" xr:uid="{00000000-0005-0000-0000-0000EC120000}"/>
    <cellStyle name="Normal 16 17" xfId="28754" xr:uid="{00000000-0005-0000-0000-0000ED120000}"/>
    <cellStyle name="Normal 16 17 10" xfId="23381" xr:uid="{00000000-0005-0000-0000-0000EE120000}"/>
    <cellStyle name="Normal 16 17 11" xfId="22784" xr:uid="{00000000-0005-0000-0000-0000EF120000}"/>
    <cellStyle name="Normal 16 17 12" xfId="22188" xr:uid="{00000000-0005-0000-0000-0000F0120000}"/>
    <cellStyle name="Normal 16 17 13" xfId="21591" xr:uid="{00000000-0005-0000-0000-0000F1120000}"/>
    <cellStyle name="Normal 16 17 14" xfId="20994" xr:uid="{00000000-0005-0000-0000-0000F2120000}"/>
    <cellStyle name="Normal 16 17 15" xfId="20397" xr:uid="{00000000-0005-0000-0000-0000F3120000}"/>
    <cellStyle name="Normal 16 17 16" xfId="19801" xr:uid="{00000000-0005-0000-0000-0000F4120000}"/>
    <cellStyle name="Normal 16 17 17" xfId="19205" xr:uid="{00000000-0005-0000-0000-0000F5120000}"/>
    <cellStyle name="Normal 16 17 18" xfId="18611" xr:uid="{00000000-0005-0000-0000-0000F6120000}"/>
    <cellStyle name="Normal 16 17 19" xfId="18015" xr:uid="{00000000-0005-0000-0000-0000F7120000}"/>
    <cellStyle name="Normal 16 17 2" xfId="28155" xr:uid="{00000000-0005-0000-0000-0000F8120000}"/>
    <cellStyle name="Normal 16 17 20" xfId="17314" xr:uid="{00000000-0005-0000-0000-0000F9120000}"/>
    <cellStyle name="Normal 16 17 21" xfId="16387" xr:uid="{00000000-0005-0000-0000-0000FA120000}"/>
    <cellStyle name="Normal 16 17 22" xfId="13673" xr:uid="{00000000-0005-0000-0000-0000FB120000}"/>
    <cellStyle name="Normal 16 17 23" xfId="13787" xr:uid="{00000000-0005-0000-0000-0000FC120000}"/>
    <cellStyle name="Normal 16 17 24" xfId="15652" xr:uid="{00000000-0005-0000-0000-0000FD120000}"/>
    <cellStyle name="Normal 16 17 25" xfId="12898" xr:uid="{00000000-0005-0000-0000-0000FE120000}"/>
    <cellStyle name="Normal 16 17 26" xfId="15195" xr:uid="{00000000-0005-0000-0000-0000FF120000}"/>
    <cellStyle name="Normal 16 17 27" xfId="13988" xr:uid="{00000000-0005-0000-0000-000000130000}"/>
    <cellStyle name="Normal 16 17 28" xfId="12623" xr:uid="{00000000-0005-0000-0000-000001130000}"/>
    <cellStyle name="Normal 16 17 29" xfId="8290" xr:uid="{00000000-0005-0000-0000-000002130000}"/>
    <cellStyle name="Normal 16 17 3" xfId="27558" xr:uid="{00000000-0005-0000-0000-000003130000}"/>
    <cellStyle name="Normal 16 17 30" xfId="6396" xr:uid="{00000000-0005-0000-0000-000004130000}"/>
    <cellStyle name="Normal 16 17 31" xfId="8461" xr:uid="{00000000-0005-0000-0000-000005130000}"/>
    <cellStyle name="Normal 16 17 32" xfId="5464" xr:uid="{00000000-0005-0000-0000-000006130000}"/>
    <cellStyle name="Normal 16 17 33" xfId="4988" xr:uid="{00000000-0005-0000-0000-000007130000}"/>
    <cellStyle name="Normal 16 17 34" xfId="8991" xr:uid="{00000000-0005-0000-0000-000008130000}"/>
    <cellStyle name="Normal 16 17 35" xfId="4866" xr:uid="{00000000-0005-0000-0000-000009130000}"/>
    <cellStyle name="Normal 16 17 36" xfId="4456" xr:uid="{00000000-0005-0000-0000-00000A130000}"/>
    <cellStyle name="Normal 16 17 37" xfId="4921" xr:uid="{00000000-0005-0000-0000-00000B130000}"/>
    <cellStyle name="Normal 16 17 38" xfId="5376" xr:uid="{00000000-0005-0000-0000-00000C130000}"/>
    <cellStyle name="Normal 16 17 39" xfId="5310" xr:uid="{00000000-0005-0000-0000-00000D130000}"/>
    <cellStyle name="Normal 16 17 4" xfId="26961" xr:uid="{00000000-0005-0000-0000-00000E130000}"/>
    <cellStyle name="Normal 16 17 40" xfId="8032" xr:uid="{00000000-0005-0000-0000-00000F130000}"/>
    <cellStyle name="Normal 16 17 41" xfId="4524" xr:uid="{00000000-0005-0000-0000-000010130000}"/>
    <cellStyle name="Normal 16 17 42" xfId="6846" xr:uid="{00000000-0005-0000-0000-000011130000}"/>
    <cellStyle name="Normal 16 17 43" xfId="3557" xr:uid="{00000000-0005-0000-0000-000012130000}"/>
    <cellStyle name="Normal 16 17 5" xfId="26365" xr:uid="{00000000-0005-0000-0000-000013130000}"/>
    <cellStyle name="Normal 16 17 6" xfId="25769" xr:uid="{00000000-0005-0000-0000-000014130000}"/>
    <cellStyle name="Normal 16 17 7" xfId="25172" xr:uid="{00000000-0005-0000-0000-000015130000}"/>
    <cellStyle name="Normal 16 17 8" xfId="24575" xr:uid="{00000000-0005-0000-0000-000016130000}"/>
    <cellStyle name="Normal 16 17 9" xfId="23978" xr:uid="{00000000-0005-0000-0000-000017130000}"/>
    <cellStyle name="Normal 16 18" xfId="28753" xr:uid="{00000000-0005-0000-0000-000018130000}"/>
    <cellStyle name="Normal 16 18 10" xfId="23380" xr:uid="{00000000-0005-0000-0000-000019130000}"/>
    <cellStyle name="Normal 16 18 11" xfId="22783" xr:uid="{00000000-0005-0000-0000-00001A130000}"/>
    <cellStyle name="Normal 16 18 12" xfId="22187" xr:uid="{00000000-0005-0000-0000-00001B130000}"/>
    <cellStyle name="Normal 16 18 13" xfId="21590" xr:uid="{00000000-0005-0000-0000-00001C130000}"/>
    <cellStyle name="Normal 16 18 14" xfId="20993" xr:uid="{00000000-0005-0000-0000-00001D130000}"/>
    <cellStyle name="Normal 16 18 15" xfId="20396" xr:uid="{00000000-0005-0000-0000-00001E130000}"/>
    <cellStyle name="Normal 16 18 16" xfId="19800" xr:uid="{00000000-0005-0000-0000-00001F130000}"/>
    <cellStyle name="Normal 16 18 17" xfId="19204" xr:uid="{00000000-0005-0000-0000-000020130000}"/>
    <cellStyle name="Normal 16 18 18" xfId="18610" xr:uid="{00000000-0005-0000-0000-000021130000}"/>
    <cellStyle name="Normal 16 18 19" xfId="18014" xr:uid="{00000000-0005-0000-0000-000022130000}"/>
    <cellStyle name="Normal 16 18 2" xfId="28154" xr:uid="{00000000-0005-0000-0000-000023130000}"/>
    <cellStyle name="Normal 16 18 20" xfId="14147" xr:uid="{00000000-0005-0000-0000-000024130000}"/>
    <cellStyle name="Normal 16 18 21" xfId="15965" xr:uid="{00000000-0005-0000-0000-000025130000}"/>
    <cellStyle name="Normal 16 18 22" xfId="13812" xr:uid="{00000000-0005-0000-0000-000026130000}"/>
    <cellStyle name="Normal 16 18 23" xfId="14025" xr:uid="{00000000-0005-0000-0000-000027130000}"/>
    <cellStyle name="Normal 16 18 24" xfId="14639" xr:uid="{00000000-0005-0000-0000-000028130000}"/>
    <cellStyle name="Normal 16 18 25" xfId="16193" xr:uid="{00000000-0005-0000-0000-000029130000}"/>
    <cellStyle name="Normal 16 18 26" xfId="14698" xr:uid="{00000000-0005-0000-0000-00002A130000}"/>
    <cellStyle name="Normal 16 18 27" xfId="13040" xr:uid="{00000000-0005-0000-0000-00002B130000}"/>
    <cellStyle name="Normal 16 18 28" xfId="12622" xr:uid="{00000000-0005-0000-0000-00002C130000}"/>
    <cellStyle name="Normal 16 18 29" xfId="8505" xr:uid="{00000000-0005-0000-0000-00002D130000}"/>
    <cellStyle name="Normal 16 18 3" xfId="27557" xr:uid="{00000000-0005-0000-0000-00002E130000}"/>
    <cellStyle name="Normal 16 18 30" xfId="7526" xr:uid="{00000000-0005-0000-0000-00002F130000}"/>
    <cellStyle name="Normal 16 18 31" xfId="9742" xr:uid="{00000000-0005-0000-0000-000030130000}"/>
    <cellStyle name="Normal 16 18 32" xfId="11831" xr:uid="{00000000-0005-0000-0000-000031130000}"/>
    <cellStyle name="Normal 16 18 33" xfId="9503" xr:uid="{00000000-0005-0000-0000-000032130000}"/>
    <cellStyle name="Normal 16 18 34" xfId="5662" xr:uid="{00000000-0005-0000-0000-000033130000}"/>
    <cellStyle name="Normal 16 18 35" xfId="10089" xr:uid="{00000000-0005-0000-0000-000034130000}"/>
    <cellStyle name="Normal 16 18 36" xfId="9589" xr:uid="{00000000-0005-0000-0000-000035130000}"/>
    <cellStyle name="Normal 16 18 37" xfId="7951" xr:uid="{00000000-0005-0000-0000-000036130000}"/>
    <cellStyle name="Normal 16 18 38" xfId="3805" xr:uid="{00000000-0005-0000-0000-000037130000}"/>
    <cellStyle name="Normal 16 18 39" xfId="4991" xr:uid="{00000000-0005-0000-0000-000038130000}"/>
    <cellStyle name="Normal 16 18 4" xfId="26960" xr:uid="{00000000-0005-0000-0000-000039130000}"/>
    <cellStyle name="Normal 16 18 40" xfId="9912" xr:uid="{00000000-0005-0000-0000-00003A130000}"/>
    <cellStyle name="Normal 16 18 41" xfId="9918" xr:uid="{00000000-0005-0000-0000-00003B130000}"/>
    <cellStyle name="Normal 16 18 42" xfId="3210" xr:uid="{00000000-0005-0000-0000-00003C130000}"/>
    <cellStyle name="Normal 16 18 43" xfId="4997" xr:uid="{00000000-0005-0000-0000-00003D130000}"/>
    <cellStyle name="Normal 16 18 5" xfId="26364" xr:uid="{00000000-0005-0000-0000-00003E130000}"/>
    <cellStyle name="Normal 16 18 6" xfId="25768" xr:uid="{00000000-0005-0000-0000-00003F130000}"/>
    <cellStyle name="Normal 16 18 7" xfId="25171" xr:uid="{00000000-0005-0000-0000-000040130000}"/>
    <cellStyle name="Normal 16 18 8" xfId="24574" xr:uid="{00000000-0005-0000-0000-000041130000}"/>
    <cellStyle name="Normal 16 18 9" xfId="23977" xr:uid="{00000000-0005-0000-0000-000042130000}"/>
    <cellStyle name="Normal 16 19" xfId="28752" xr:uid="{00000000-0005-0000-0000-000043130000}"/>
    <cellStyle name="Normal 16 19 10" xfId="23379" xr:uid="{00000000-0005-0000-0000-000044130000}"/>
    <cellStyle name="Normal 16 19 11" xfId="22782" xr:uid="{00000000-0005-0000-0000-000045130000}"/>
    <cellStyle name="Normal 16 19 12" xfId="22186" xr:uid="{00000000-0005-0000-0000-000046130000}"/>
    <cellStyle name="Normal 16 19 13" xfId="21589" xr:uid="{00000000-0005-0000-0000-000047130000}"/>
    <cellStyle name="Normal 16 19 14" xfId="20992" xr:uid="{00000000-0005-0000-0000-000048130000}"/>
    <cellStyle name="Normal 16 19 15" xfId="20395" xr:uid="{00000000-0005-0000-0000-000049130000}"/>
    <cellStyle name="Normal 16 19 16" xfId="19799" xr:uid="{00000000-0005-0000-0000-00004A130000}"/>
    <cellStyle name="Normal 16 19 17" xfId="19203" xr:uid="{00000000-0005-0000-0000-00004B130000}"/>
    <cellStyle name="Normal 16 19 18" xfId="18609" xr:uid="{00000000-0005-0000-0000-00004C130000}"/>
    <cellStyle name="Normal 16 19 19" xfId="18013" xr:uid="{00000000-0005-0000-0000-00004D130000}"/>
    <cellStyle name="Normal 16 19 2" xfId="28153" xr:uid="{00000000-0005-0000-0000-00004E130000}"/>
    <cellStyle name="Normal 16 19 20" xfId="14336" xr:uid="{00000000-0005-0000-0000-00004F130000}"/>
    <cellStyle name="Normal 16 19 21" xfId="13958" xr:uid="{00000000-0005-0000-0000-000050130000}"/>
    <cellStyle name="Normal 16 19 22" xfId="16900" xr:uid="{00000000-0005-0000-0000-000051130000}"/>
    <cellStyle name="Normal 16 19 23" xfId="15309" xr:uid="{00000000-0005-0000-0000-000052130000}"/>
    <cellStyle name="Normal 16 19 24" xfId="16870" xr:uid="{00000000-0005-0000-0000-000053130000}"/>
    <cellStyle name="Normal 16 19 25" xfId="13002" xr:uid="{00000000-0005-0000-0000-000054130000}"/>
    <cellStyle name="Normal 16 19 26" xfId="17056" xr:uid="{00000000-0005-0000-0000-000055130000}"/>
    <cellStyle name="Normal 16 19 27" xfId="13505" xr:uid="{00000000-0005-0000-0000-000056130000}"/>
    <cellStyle name="Normal 16 19 28" xfId="12621" xr:uid="{00000000-0005-0000-0000-000057130000}"/>
    <cellStyle name="Normal 16 19 29" xfId="8721" xr:uid="{00000000-0005-0000-0000-000058130000}"/>
    <cellStyle name="Normal 16 19 3" xfId="27556" xr:uid="{00000000-0005-0000-0000-000059130000}"/>
    <cellStyle name="Normal 16 19 30" xfId="11406" xr:uid="{00000000-0005-0000-0000-00005A130000}"/>
    <cellStyle name="Normal 16 19 31" xfId="7854" xr:uid="{00000000-0005-0000-0000-00005B130000}"/>
    <cellStyle name="Normal 16 19 32" xfId="6402" xr:uid="{00000000-0005-0000-0000-00005C130000}"/>
    <cellStyle name="Normal 16 19 33" xfId="5149" xr:uid="{00000000-0005-0000-0000-00005D130000}"/>
    <cellStyle name="Normal 16 19 34" xfId="8861" xr:uid="{00000000-0005-0000-0000-00005E130000}"/>
    <cellStyle name="Normal 16 19 35" xfId="9538" xr:uid="{00000000-0005-0000-0000-00005F130000}"/>
    <cellStyle name="Normal 16 19 36" xfId="9529" xr:uid="{00000000-0005-0000-0000-000060130000}"/>
    <cellStyle name="Normal 16 19 37" xfId="8497" xr:uid="{00000000-0005-0000-0000-000061130000}"/>
    <cellStyle name="Normal 16 19 38" xfId="4501" xr:uid="{00000000-0005-0000-0000-000062130000}"/>
    <cellStyle name="Normal 16 19 39" xfId="8395" xr:uid="{00000000-0005-0000-0000-000063130000}"/>
    <cellStyle name="Normal 16 19 4" xfId="26959" xr:uid="{00000000-0005-0000-0000-000064130000}"/>
    <cellStyle name="Normal 16 19 40" xfId="10197" xr:uid="{00000000-0005-0000-0000-000065130000}"/>
    <cellStyle name="Normal 16 19 41" xfId="4143" xr:uid="{00000000-0005-0000-0000-000066130000}"/>
    <cellStyle name="Normal 16 19 42" xfId="7272" xr:uid="{00000000-0005-0000-0000-000067130000}"/>
    <cellStyle name="Normal 16 19 43" xfId="10590" xr:uid="{00000000-0005-0000-0000-000068130000}"/>
    <cellStyle name="Normal 16 19 5" xfId="26363" xr:uid="{00000000-0005-0000-0000-000069130000}"/>
    <cellStyle name="Normal 16 19 6" xfId="25767" xr:uid="{00000000-0005-0000-0000-00006A130000}"/>
    <cellStyle name="Normal 16 19 7" xfId="25170" xr:uid="{00000000-0005-0000-0000-00006B130000}"/>
    <cellStyle name="Normal 16 19 8" xfId="24573" xr:uid="{00000000-0005-0000-0000-00006C130000}"/>
    <cellStyle name="Normal 16 19 9" xfId="23976" xr:uid="{00000000-0005-0000-0000-00006D130000}"/>
    <cellStyle name="Normal 16 2" xfId="28751" xr:uid="{00000000-0005-0000-0000-00006E130000}"/>
    <cellStyle name="Normal 16 2 10" xfId="23378" xr:uid="{00000000-0005-0000-0000-00006F130000}"/>
    <cellStyle name="Normal 16 2 11" xfId="22781" xr:uid="{00000000-0005-0000-0000-000070130000}"/>
    <cellStyle name="Normal 16 2 12" xfId="22185" xr:uid="{00000000-0005-0000-0000-000071130000}"/>
    <cellStyle name="Normal 16 2 13" xfId="21588" xr:uid="{00000000-0005-0000-0000-000072130000}"/>
    <cellStyle name="Normal 16 2 14" xfId="20991" xr:uid="{00000000-0005-0000-0000-000073130000}"/>
    <cellStyle name="Normal 16 2 15" xfId="20394" xr:uid="{00000000-0005-0000-0000-000074130000}"/>
    <cellStyle name="Normal 16 2 16" xfId="19798" xr:uid="{00000000-0005-0000-0000-000075130000}"/>
    <cellStyle name="Normal 16 2 17" xfId="19202" xr:uid="{00000000-0005-0000-0000-000076130000}"/>
    <cellStyle name="Normal 16 2 18" xfId="18608" xr:uid="{00000000-0005-0000-0000-000077130000}"/>
    <cellStyle name="Normal 16 2 19" xfId="18012" xr:uid="{00000000-0005-0000-0000-000078130000}"/>
    <cellStyle name="Normal 16 2 2" xfId="28152" xr:uid="{00000000-0005-0000-0000-000079130000}"/>
    <cellStyle name="Normal 16 2 20" xfId="14527" xr:uid="{00000000-0005-0000-0000-00007A130000}"/>
    <cellStyle name="Normal 16 2 21" xfId="14129" xr:uid="{00000000-0005-0000-0000-00007B130000}"/>
    <cellStyle name="Normal 16 2 22" xfId="16117" xr:uid="{00000000-0005-0000-0000-00007C130000}"/>
    <cellStyle name="Normal 16 2 23" xfId="14099" xr:uid="{00000000-0005-0000-0000-00007D130000}"/>
    <cellStyle name="Normal 16 2 24" xfId="17364" xr:uid="{00000000-0005-0000-0000-00007E130000}"/>
    <cellStyle name="Normal 16 2 25" xfId="15004" xr:uid="{00000000-0005-0000-0000-00007F130000}"/>
    <cellStyle name="Normal 16 2 26" xfId="13116" xr:uid="{00000000-0005-0000-0000-000080130000}"/>
    <cellStyle name="Normal 16 2 27" xfId="13684" xr:uid="{00000000-0005-0000-0000-000081130000}"/>
    <cellStyle name="Normal 16 2 28" xfId="12620" xr:uid="{00000000-0005-0000-0000-000082130000}"/>
    <cellStyle name="Normal 16 2 29" xfId="8959" xr:uid="{00000000-0005-0000-0000-000083130000}"/>
    <cellStyle name="Normal 16 2 3" xfId="27555" xr:uid="{00000000-0005-0000-0000-000084130000}"/>
    <cellStyle name="Normal 16 2 30" xfId="11400" xr:uid="{00000000-0005-0000-0000-000085130000}"/>
    <cellStyle name="Normal 16 2 31" xfId="10655" xr:uid="{00000000-0005-0000-0000-000086130000}"/>
    <cellStyle name="Normal 16 2 32" xfId="9828" xr:uid="{00000000-0005-0000-0000-000087130000}"/>
    <cellStyle name="Normal 16 2 33" xfId="4996" xr:uid="{00000000-0005-0000-0000-000088130000}"/>
    <cellStyle name="Normal 16 2 34" xfId="4745" xr:uid="{00000000-0005-0000-0000-000089130000}"/>
    <cellStyle name="Normal 16 2 35" xfId="9545" xr:uid="{00000000-0005-0000-0000-00008A130000}"/>
    <cellStyle name="Normal 16 2 36" xfId="9669" xr:uid="{00000000-0005-0000-0000-00008B130000}"/>
    <cellStyle name="Normal 16 2 37" xfId="4656" xr:uid="{00000000-0005-0000-0000-00008C130000}"/>
    <cellStyle name="Normal 16 2 38" xfId="3778" xr:uid="{00000000-0005-0000-0000-00008D130000}"/>
    <cellStyle name="Normal 16 2 39" xfId="4123" xr:uid="{00000000-0005-0000-0000-00008E130000}"/>
    <cellStyle name="Normal 16 2 4" xfId="26958" xr:uid="{00000000-0005-0000-0000-00008F130000}"/>
    <cellStyle name="Normal 16 2 40" xfId="3567" xr:uid="{00000000-0005-0000-0000-000090130000}"/>
    <cellStyle name="Normal 16 2 41" xfId="11405" xr:uid="{00000000-0005-0000-0000-000091130000}"/>
    <cellStyle name="Normal 16 2 42" xfId="3523" xr:uid="{00000000-0005-0000-0000-000092130000}"/>
    <cellStyle name="Normal 16 2 43" xfId="7891" xr:uid="{00000000-0005-0000-0000-000093130000}"/>
    <cellStyle name="Normal 16 2 44" xfId="3028" xr:uid="{00000000-0005-0000-0000-000094130000}"/>
    <cellStyle name="Normal 16 2 45" xfId="2784" xr:uid="{00000000-0005-0000-0000-000095130000}"/>
    <cellStyle name="Normal 16 2 46" xfId="2544" xr:uid="{00000000-0005-0000-0000-000096130000}"/>
    <cellStyle name="Normal 16 2 47" xfId="2304" xr:uid="{00000000-0005-0000-0000-000097130000}"/>
    <cellStyle name="Normal 16 2 48" xfId="2064" xr:uid="{00000000-0005-0000-0000-000098130000}"/>
    <cellStyle name="Normal 16 2 49" xfId="1824" xr:uid="{00000000-0005-0000-0000-000099130000}"/>
    <cellStyle name="Normal 16 2 5" xfId="26362" xr:uid="{00000000-0005-0000-0000-00009A130000}"/>
    <cellStyle name="Normal 16 2 50" xfId="1585" xr:uid="{00000000-0005-0000-0000-00009B130000}"/>
    <cellStyle name="Normal 16 2 51" xfId="1345" xr:uid="{00000000-0005-0000-0000-00009C130000}"/>
    <cellStyle name="Normal 16 2 52" xfId="1105" xr:uid="{00000000-0005-0000-0000-00009D130000}"/>
    <cellStyle name="Normal 16 2 53" xfId="865" xr:uid="{00000000-0005-0000-0000-00009E130000}"/>
    <cellStyle name="Normal 16 2 54" xfId="625" xr:uid="{00000000-0005-0000-0000-00009F130000}"/>
    <cellStyle name="Normal 16 2 55" xfId="385" xr:uid="{00000000-0005-0000-0000-0000A0130000}"/>
    <cellStyle name="Normal 16 2 56" xfId="147" xr:uid="{00000000-0005-0000-0000-0000A1130000}"/>
    <cellStyle name="Normal 16 2 6" xfId="25766" xr:uid="{00000000-0005-0000-0000-0000A2130000}"/>
    <cellStyle name="Normal 16 2 7" xfId="25169" xr:uid="{00000000-0005-0000-0000-0000A3130000}"/>
    <cellStyle name="Normal 16 2 8" xfId="24572" xr:uid="{00000000-0005-0000-0000-0000A4130000}"/>
    <cellStyle name="Normal 16 2 9" xfId="23975" xr:uid="{00000000-0005-0000-0000-0000A5130000}"/>
    <cellStyle name="Normal 16 20" xfId="28750" xr:uid="{00000000-0005-0000-0000-0000A6130000}"/>
    <cellStyle name="Normal 16 20 10" xfId="23377" xr:uid="{00000000-0005-0000-0000-0000A7130000}"/>
    <cellStyle name="Normal 16 20 11" xfId="22780" xr:uid="{00000000-0005-0000-0000-0000A8130000}"/>
    <cellStyle name="Normal 16 20 12" xfId="22184" xr:uid="{00000000-0005-0000-0000-0000A9130000}"/>
    <cellStyle name="Normal 16 20 13" xfId="21587" xr:uid="{00000000-0005-0000-0000-0000AA130000}"/>
    <cellStyle name="Normal 16 20 14" xfId="20990" xr:uid="{00000000-0005-0000-0000-0000AB130000}"/>
    <cellStyle name="Normal 16 20 15" xfId="20393" xr:uid="{00000000-0005-0000-0000-0000AC130000}"/>
    <cellStyle name="Normal 16 20 16" xfId="19797" xr:uid="{00000000-0005-0000-0000-0000AD130000}"/>
    <cellStyle name="Normal 16 20 17" xfId="19201" xr:uid="{00000000-0005-0000-0000-0000AE130000}"/>
    <cellStyle name="Normal 16 20 18" xfId="18607" xr:uid="{00000000-0005-0000-0000-0000AF130000}"/>
    <cellStyle name="Normal 16 20 19" xfId="18011" xr:uid="{00000000-0005-0000-0000-0000B0130000}"/>
    <cellStyle name="Normal 16 20 2" xfId="28151" xr:uid="{00000000-0005-0000-0000-0000B1130000}"/>
    <cellStyle name="Normal 16 20 20" xfId="14724" xr:uid="{00000000-0005-0000-0000-0000B2130000}"/>
    <cellStyle name="Normal 16 20 21" xfId="15315" xr:uid="{00000000-0005-0000-0000-0000B3130000}"/>
    <cellStyle name="Normal 16 20 22" xfId="16319" xr:uid="{00000000-0005-0000-0000-0000B4130000}"/>
    <cellStyle name="Normal 16 20 23" xfId="13499" xr:uid="{00000000-0005-0000-0000-0000B5130000}"/>
    <cellStyle name="Normal 16 20 24" xfId="14907" xr:uid="{00000000-0005-0000-0000-0000B6130000}"/>
    <cellStyle name="Normal 16 20 25" xfId="15038" xr:uid="{00000000-0005-0000-0000-0000B7130000}"/>
    <cellStyle name="Normal 16 20 26" xfId="14792" xr:uid="{00000000-0005-0000-0000-0000B8130000}"/>
    <cellStyle name="Normal 16 20 27" xfId="13578" xr:uid="{00000000-0005-0000-0000-0000B9130000}"/>
    <cellStyle name="Normal 16 20 28" xfId="12619" xr:uid="{00000000-0005-0000-0000-0000BA130000}"/>
    <cellStyle name="Normal 16 20 29" xfId="9194" xr:uid="{00000000-0005-0000-0000-0000BB130000}"/>
    <cellStyle name="Normal 16 20 3" xfId="27554" xr:uid="{00000000-0005-0000-0000-0000BC130000}"/>
    <cellStyle name="Normal 16 20 30" xfId="9807" xr:uid="{00000000-0005-0000-0000-0000BD130000}"/>
    <cellStyle name="Normal 16 20 31" xfId="11278" xr:uid="{00000000-0005-0000-0000-0000BE130000}"/>
    <cellStyle name="Normal 16 20 32" xfId="9928" xr:uid="{00000000-0005-0000-0000-0000BF130000}"/>
    <cellStyle name="Normal 16 20 33" xfId="5644" xr:uid="{00000000-0005-0000-0000-0000C0130000}"/>
    <cellStyle name="Normal 16 20 34" xfId="7792" xr:uid="{00000000-0005-0000-0000-0000C1130000}"/>
    <cellStyle name="Normal 16 20 35" xfId="11530" xr:uid="{00000000-0005-0000-0000-0000C2130000}"/>
    <cellStyle name="Normal 16 20 36" xfId="5275" xr:uid="{00000000-0005-0000-0000-0000C3130000}"/>
    <cellStyle name="Normal 16 20 37" xfId="4192" xr:uid="{00000000-0005-0000-0000-0000C4130000}"/>
    <cellStyle name="Normal 16 20 38" xfId="11224" xr:uid="{00000000-0005-0000-0000-0000C5130000}"/>
    <cellStyle name="Normal 16 20 39" xfId="11058" xr:uid="{00000000-0005-0000-0000-0000C6130000}"/>
    <cellStyle name="Normal 16 20 4" xfId="26957" xr:uid="{00000000-0005-0000-0000-0000C7130000}"/>
    <cellStyle name="Normal 16 20 40" xfId="4399" xr:uid="{00000000-0005-0000-0000-0000C8130000}"/>
    <cellStyle name="Normal 16 20 41" xfId="8639" xr:uid="{00000000-0005-0000-0000-0000C9130000}"/>
    <cellStyle name="Normal 16 20 42" xfId="6477" xr:uid="{00000000-0005-0000-0000-0000CA130000}"/>
    <cellStyle name="Normal 16 20 43" xfId="9267" xr:uid="{00000000-0005-0000-0000-0000CB130000}"/>
    <cellStyle name="Normal 16 20 5" xfId="26361" xr:uid="{00000000-0005-0000-0000-0000CC130000}"/>
    <cellStyle name="Normal 16 20 6" xfId="25765" xr:uid="{00000000-0005-0000-0000-0000CD130000}"/>
    <cellStyle name="Normal 16 20 7" xfId="25168" xr:uid="{00000000-0005-0000-0000-0000CE130000}"/>
    <cellStyle name="Normal 16 20 8" xfId="24571" xr:uid="{00000000-0005-0000-0000-0000CF130000}"/>
    <cellStyle name="Normal 16 20 9" xfId="23974" xr:uid="{00000000-0005-0000-0000-0000D0130000}"/>
    <cellStyle name="Normal 16 21" xfId="28749" xr:uid="{00000000-0005-0000-0000-0000D1130000}"/>
    <cellStyle name="Normal 16 21 10" xfId="23376" xr:uid="{00000000-0005-0000-0000-0000D2130000}"/>
    <cellStyle name="Normal 16 21 11" xfId="22779" xr:uid="{00000000-0005-0000-0000-0000D3130000}"/>
    <cellStyle name="Normal 16 21 12" xfId="22183" xr:uid="{00000000-0005-0000-0000-0000D4130000}"/>
    <cellStyle name="Normal 16 21 13" xfId="21586" xr:uid="{00000000-0005-0000-0000-0000D5130000}"/>
    <cellStyle name="Normal 16 21 14" xfId="20989" xr:uid="{00000000-0005-0000-0000-0000D6130000}"/>
    <cellStyle name="Normal 16 21 15" xfId="20392" xr:uid="{00000000-0005-0000-0000-0000D7130000}"/>
    <cellStyle name="Normal 16 21 16" xfId="19796" xr:uid="{00000000-0005-0000-0000-0000D8130000}"/>
    <cellStyle name="Normal 16 21 17" xfId="19200" xr:uid="{00000000-0005-0000-0000-0000D9130000}"/>
    <cellStyle name="Normal 16 21 18" xfId="18606" xr:uid="{00000000-0005-0000-0000-0000DA130000}"/>
    <cellStyle name="Normal 16 21 19" xfId="18010" xr:uid="{00000000-0005-0000-0000-0000DB130000}"/>
    <cellStyle name="Normal 16 21 2" xfId="28150" xr:uid="{00000000-0005-0000-0000-0000DC130000}"/>
    <cellStyle name="Normal 16 21 20" xfId="14926" xr:uid="{00000000-0005-0000-0000-0000DD130000}"/>
    <cellStyle name="Normal 16 21 21" xfId="15303" xr:uid="{00000000-0005-0000-0000-0000DE130000}"/>
    <cellStyle name="Normal 16 21 22" xfId="15777" xr:uid="{00000000-0005-0000-0000-0000DF130000}"/>
    <cellStyle name="Normal 16 21 23" xfId="17248" xr:uid="{00000000-0005-0000-0000-0000E0130000}"/>
    <cellStyle name="Normal 16 21 24" xfId="15824" xr:uid="{00000000-0005-0000-0000-0000E1130000}"/>
    <cellStyle name="Normal 16 21 25" xfId="16617" xr:uid="{00000000-0005-0000-0000-0000E2130000}"/>
    <cellStyle name="Normal 16 21 26" xfId="12813" xr:uid="{00000000-0005-0000-0000-0000E3130000}"/>
    <cellStyle name="Normal 16 21 27" xfId="13113" xr:uid="{00000000-0005-0000-0000-0000E4130000}"/>
    <cellStyle name="Normal 16 21 28" xfId="12618" xr:uid="{00000000-0005-0000-0000-0000E5130000}"/>
    <cellStyle name="Normal 16 21 29" xfId="9427" xr:uid="{00000000-0005-0000-0000-0000E6130000}"/>
    <cellStyle name="Normal 16 21 3" xfId="27553" xr:uid="{00000000-0005-0000-0000-0000E7130000}"/>
    <cellStyle name="Normal 16 21 30" xfId="6955" xr:uid="{00000000-0005-0000-0000-0000E8130000}"/>
    <cellStyle name="Normal 16 21 31" xfId="7156" xr:uid="{00000000-0005-0000-0000-0000E9130000}"/>
    <cellStyle name="Normal 16 21 32" xfId="12064" xr:uid="{00000000-0005-0000-0000-0000EA130000}"/>
    <cellStyle name="Normal 16 21 33" xfId="10317" xr:uid="{00000000-0005-0000-0000-0000EB130000}"/>
    <cellStyle name="Normal 16 21 34" xfId="5030" xr:uid="{00000000-0005-0000-0000-0000EC130000}"/>
    <cellStyle name="Normal 16 21 35" xfId="7491" xr:uid="{00000000-0005-0000-0000-0000ED130000}"/>
    <cellStyle name="Normal 16 21 36" xfId="9693" xr:uid="{00000000-0005-0000-0000-0000EE130000}"/>
    <cellStyle name="Normal 16 21 37" xfId="9124" xr:uid="{00000000-0005-0000-0000-0000EF130000}"/>
    <cellStyle name="Normal 16 21 38" xfId="6923" xr:uid="{00000000-0005-0000-0000-0000F0130000}"/>
    <cellStyle name="Normal 16 21 39" xfId="5780" xr:uid="{00000000-0005-0000-0000-0000F1130000}"/>
    <cellStyle name="Normal 16 21 4" xfId="26956" xr:uid="{00000000-0005-0000-0000-0000F2130000}"/>
    <cellStyle name="Normal 16 21 40" xfId="7832" xr:uid="{00000000-0005-0000-0000-0000F3130000}"/>
    <cellStyle name="Normal 16 21 41" xfId="3708" xr:uid="{00000000-0005-0000-0000-0000F4130000}"/>
    <cellStyle name="Normal 16 21 42" xfId="8542" xr:uid="{00000000-0005-0000-0000-0000F5130000}"/>
    <cellStyle name="Normal 16 21 43" xfId="8340" xr:uid="{00000000-0005-0000-0000-0000F6130000}"/>
    <cellStyle name="Normal 16 21 5" xfId="26360" xr:uid="{00000000-0005-0000-0000-0000F7130000}"/>
    <cellStyle name="Normal 16 21 6" xfId="25764" xr:uid="{00000000-0005-0000-0000-0000F8130000}"/>
    <cellStyle name="Normal 16 21 7" xfId="25167" xr:uid="{00000000-0005-0000-0000-0000F9130000}"/>
    <cellStyle name="Normal 16 21 8" xfId="24570" xr:uid="{00000000-0005-0000-0000-0000FA130000}"/>
    <cellStyle name="Normal 16 21 9" xfId="23973" xr:uid="{00000000-0005-0000-0000-0000FB130000}"/>
    <cellStyle name="Normal 16 22" xfId="28748" xr:uid="{00000000-0005-0000-0000-0000FC130000}"/>
    <cellStyle name="Normal 16 22 10" xfId="23375" xr:uid="{00000000-0005-0000-0000-0000FD130000}"/>
    <cellStyle name="Normal 16 22 11" xfId="22778" xr:uid="{00000000-0005-0000-0000-0000FE130000}"/>
    <cellStyle name="Normal 16 22 12" xfId="22182" xr:uid="{00000000-0005-0000-0000-0000FF130000}"/>
    <cellStyle name="Normal 16 22 13" xfId="21585" xr:uid="{00000000-0005-0000-0000-000000140000}"/>
    <cellStyle name="Normal 16 22 14" xfId="20988" xr:uid="{00000000-0005-0000-0000-000001140000}"/>
    <cellStyle name="Normal 16 22 15" xfId="20391" xr:uid="{00000000-0005-0000-0000-000002140000}"/>
    <cellStyle name="Normal 16 22 16" xfId="19795" xr:uid="{00000000-0005-0000-0000-000003140000}"/>
    <cellStyle name="Normal 16 22 17" xfId="19199" xr:uid="{00000000-0005-0000-0000-000004140000}"/>
    <cellStyle name="Normal 16 22 18" xfId="18605" xr:uid="{00000000-0005-0000-0000-000005140000}"/>
    <cellStyle name="Normal 16 22 19" xfId="18009" xr:uid="{00000000-0005-0000-0000-000006140000}"/>
    <cellStyle name="Normal 16 22 2" xfId="28149" xr:uid="{00000000-0005-0000-0000-000007140000}"/>
    <cellStyle name="Normal 16 22 20" xfId="15133" xr:uid="{00000000-0005-0000-0000-000008140000}"/>
    <cellStyle name="Normal 16 22 21" xfId="15094" xr:uid="{00000000-0005-0000-0000-000009140000}"/>
    <cellStyle name="Normal 16 22 22" xfId="15401" xr:uid="{00000000-0005-0000-0000-00000A140000}"/>
    <cellStyle name="Normal 16 22 23" xfId="15974" xr:uid="{00000000-0005-0000-0000-00000B140000}"/>
    <cellStyle name="Normal 16 22 24" xfId="13531" xr:uid="{00000000-0005-0000-0000-00000C140000}"/>
    <cellStyle name="Normal 16 22 25" xfId="16867" xr:uid="{00000000-0005-0000-0000-00000D140000}"/>
    <cellStyle name="Normal 16 22 26" xfId="15638" xr:uid="{00000000-0005-0000-0000-00000E140000}"/>
    <cellStyle name="Normal 16 22 27" xfId="16454" xr:uid="{00000000-0005-0000-0000-00000F140000}"/>
    <cellStyle name="Normal 16 22 28" xfId="12617" xr:uid="{00000000-0005-0000-0000-000010140000}"/>
    <cellStyle name="Normal 16 22 29" xfId="9647" xr:uid="{00000000-0005-0000-0000-000011140000}"/>
    <cellStyle name="Normal 16 22 3" xfId="27552" xr:uid="{00000000-0005-0000-0000-000012140000}"/>
    <cellStyle name="Normal 16 22 30" xfId="10910" xr:uid="{00000000-0005-0000-0000-000013140000}"/>
    <cellStyle name="Normal 16 22 31" xfId="11293" xr:uid="{00000000-0005-0000-0000-000014140000}"/>
    <cellStyle name="Normal 16 22 32" xfId="9171" xr:uid="{00000000-0005-0000-0000-000015140000}"/>
    <cellStyle name="Normal 16 22 33" xfId="5236" xr:uid="{00000000-0005-0000-0000-000016140000}"/>
    <cellStyle name="Normal 16 22 34" xfId="4760" xr:uid="{00000000-0005-0000-0000-000017140000}"/>
    <cellStyle name="Normal 16 22 35" xfId="11656" xr:uid="{00000000-0005-0000-0000-000018140000}"/>
    <cellStyle name="Normal 16 22 36" xfId="9633" xr:uid="{00000000-0005-0000-0000-000019140000}"/>
    <cellStyle name="Normal 16 22 37" xfId="10528" xr:uid="{00000000-0005-0000-0000-00001A140000}"/>
    <cellStyle name="Normal 16 22 38" xfId="4836" xr:uid="{00000000-0005-0000-0000-00001B140000}"/>
    <cellStyle name="Normal 16 22 39" xfId="9640" xr:uid="{00000000-0005-0000-0000-00001C140000}"/>
    <cellStyle name="Normal 16 22 4" xfId="26955" xr:uid="{00000000-0005-0000-0000-00001D140000}"/>
    <cellStyle name="Normal 16 22 40" xfId="4564" xr:uid="{00000000-0005-0000-0000-00001E140000}"/>
    <cellStyle name="Normal 16 22 41" xfId="11285" xr:uid="{00000000-0005-0000-0000-00001F140000}"/>
    <cellStyle name="Normal 16 22 42" xfId="10362" xr:uid="{00000000-0005-0000-0000-000020140000}"/>
    <cellStyle name="Normal 16 22 43" xfId="4386" xr:uid="{00000000-0005-0000-0000-000021140000}"/>
    <cellStyle name="Normal 16 22 5" xfId="26359" xr:uid="{00000000-0005-0000-0000-000022140000}"/>
    <cellStyle name="Normal 16 22 6" xfId="25763" xr:uid="{00000000-0005-0000-0000-000023140000}"/>
    <cellStyle name="Normal 16 22 7" xfId="25166" xr:uid="{00000000-0005-0000-0000-000024140000}"/>
    <cellStyle name="Normal 16 22 8" xfId="24569" xr:uid="{00000000-0005-0000-0000-000025140000}"/>
    <cellStyle name="Normal 16 22 9" xfId="23972" xr:uid="{00000000-0005-0000-0000-000026140000}"/>
    <cellStyle name="Normal 16 23" xfId="28747" xr:uid="{00000000-0005-0000-0000-000027140000}"/>
    <cellStyle name="Normal 16 23 10" xfId="23374" xr:uid="{00000000-0005-0000-0000-000028140000}"/>
    <cellStyle name="Normal 16 23 11" xfId="22777" xr:uid="{00000000-0005-0000-0000-000029140000}"/>
    <cellStyle name="Normal 16 23 12" xfId="22181" xr:uid="{00000000-0005-0000-0000-00002A140000}"/>
    <cellStyle name="Normal 16 23 13" xfId="21584" xr:uid="{00000000-0005-0000-0000-00002B140000}"/>
    <cellStyle name="Normal 16 23 14" xfId="20987" xr:uid="{00000000-0005-0000-0000-00002C140000}"/>
    <cellStyle name="Normal 16 23 15" xfId="20390" xr:uid="{00000000-0005-0000-0000-00002D140000}"/>
    <cellStyle name="Normal 16 23 16" xfId="19794" xr:uid="{00000000-0005-0000-0000-00002E140000}"/>
    <cellStyle name="Normal 16 23 17" xfId="19198" xr:uid="{00000000-0005-0000-0000-00002F140000}"/>
    <cellStyle name="Normal 16 23 18" xfId="18604" xr:uid="{00000000-0005-0000-0000-000030140000}"/>
    <cellStyle name="Normal 16 23 19" xfId="18008" xr:uid="{00000000-0005-0000-0000-000031140000}"/>
    <cellStyle name="Normal 16 23 2" xfId="28148" xr:uid="{00000000-0005-0000-0000-000032140000}"/>
    <cellStyle name="Normal 16 23 20" xfId="15328" xr:uid="{00000000-0005-0000-0000-000033140000}"/>
    <cellStyle name="Normal 16 23 21" xfId="15080" xr:uid="{00000000-0005-0000-0000-000034140000}"/>
    <cellStyle name="Normal 16 23 22" xfId="17012" xr:uid="{00000000-0005-0000-0000-000035140000}"/>
    <cellStyle name="Normal 16 23 23" xfId="14505" xr:uid="{00000000-0005-0000-0000-000036140000}"/>
    <cellStyle name="Normal 16 23 24" xfId="14103" xr:uid="{00000000-0005-0000-0000-000037140000}"/>
    <cellStyle name="Normal 16 23 25" xfId="13404" xr:uid="{00000000-0005-0000-0000-000038140000}"/>
    <cellStyle name="Normal 16 23 26" xfId="15184" xr:uid="{00000000-0005-0000-0000-000039140000}"/>
    <cellStyle name="Normal 16 23 27" xfId="13710" xr:uid="{00000000-0005-0000-0000-00003A140000}"/>
    <cellStyle name="Normal 16 23 28" xfId="12616" xr:uid="{00000000-0005-0000-0000-00003B140000}"/>
    <cellStyle name="Normal 16 23 29" xfId="9878" xr:uid="{00000000-0005-0000-0000-00003C140000}"/>
    <cellStyle name="Normal 16 23 3" xfId="27551" xr:uid="{00000000-0005-0000-0000-00003D140000}"/>
    <cellStyle name="Normal 16 23 30" xfId="8197" xr:uid="{00000000-0005-0000-0000-00003E140000}"/>
    <cellStyle name="Normal 16 23 31" xfId="8380" xr:uid="{00000000-0005-0000-0000-00003F140000}"/>
    <cellStyle name="Normal 16 23 32" xfId="10033" xr:uid="{00000000-0005-0000-0000-000040140000}"/>
    <cellStyle name="Normal 16 23 33" xfId="10336" xr:uid="{00000000-0005-0000-0000-000041140000}"/>
    <cellStyle name="Normal 16 23 34" xfId="10944" xr:uid="{00000000-0005-0000-0000-000042140000}"/>
    <cellStyle name="Normal 16 23 35" xfId="10147" xr:uid="{00000000-0005-0000-0000-000043140000}"/>
    <cellStyle name="Normal 16 23 36" xfId="5051" xr:uid="{00000000-0005-0000-0000-000044140000}"/>
    <cellStyle name="Normal 16 23 37" xfId="8128" xr:uid="{00000000-0005-0000-0000-000045140000}"/>
    <cellStyle name="Normal 16 23 38" xfId="5514" xr:uid="{00000000-0005-0000-0000-000046140000}"/>
    <cellStyle name="Normal 16 23 39" xfId="4424" xr:uid="{00000000-0005-0000-0000-000047140000}"/>
    <cellStyle name="Normal 16 23 4" xfId="26954" xr:uid="{00000000-0005-0000-0000-000048140000}"/>
    <cellStyle name="Normal 16 23 40" xfId="11642" xr:uid="{00000000-0005-0000-0000-000049140000}"/>
    <cellStyle name="Normal 16 23 41" xfId="4042" xr:uid="{00000000-0005-0000-0000-00004A140000}"/>
    <cellStyle name="Normal 16 23 42" xfId="9149" xr:uid="{00000000-0005-0000-0000-00004B140000}"/>
    <cellStyle name="Normal 16 23 43" xfId="7136" xr:uid="{00000000-0005-0000-0000-00004C140000}"/>
    <cellStyle name="Normal 16 23 5" xfId="26358" xr:uid="{00000000-0005-0000-0000-00004D140000}"/>
    <cellStyle name="Normal 16 23 6" xfId="25762" xr:uid="{00000000-0005-0000-0000-00004E140000}"/>
    <cellStyle name="Normal 16 23 7" xfId="25165" xr:uid="{00000000-0005-0000-0000-00004F140000}"/>
    <cellStyle name="Normal 16 23 8" xfId="24568" xr:uid="{00000000-0005-0000-0000-000050140000}"/>
    <cellStyle name="Normal 16 23 9" xfId="23971" xr:uid="{00000000-0005-0000-0000-000051140000}"/>
    <cellStyle name="Normal 16 24" xfId="28746" xr:uid="{00000000-0005-0000-0000-000052140000}"/>
    <cellStyle name="Normal 16 24 10" xfId="23373" xr:uid="{00000000-0005-0000-0000-000053140000}"/>
    <cellStyle name="Normal 16 24 11" xfId="22776" xr:uid="{00000000-0005-0000-0000-000054140000}"/>
    <cellStyle name="Normal 16 24 12" xfId="22180" xr:uid="{00000000-0005-0000-0000-000055140000}"/>
    <cellStyle name="Normal 16 24 13" xfId="21583" xr:uid="{00000000-0005-0000-0000-000056140000}"/>
    <cellStyle name="Normal 16 24 14" xfId="20986" xr:uid="{00000000-0005-0000-0000-000057140000}"/>
    <cellStyle name="Normal 16 24 15" xfId="20389" xr:uid="{00000000-0005-0000-0000-000058140000}"/>
    <cellStyle name="Normal 16 24 16" xfId="19793" xr:uid="{00000000-0005-0000-0000-000059140000}"/>
    <cellStyle name="Normal 16 24 17" xfId="19197" xr:uid="{00000000-0005-0000-0000-00005A140000}"/>
    <cellStyle name="Normal 16 24 18" xfId="18603" xr:uid="{00000000-0005-0000-0000-00005B140000}"/>
    <cellStyle name="Normal 16 24 19" xfId="18007" xr:uid="{00000000-0005-0000-0000-00005C140000}"/>
    <cellStyle name="Normal 16 24 2" xfId="28147" xr:uid="{00000000-0005-0000-0000-00005D140000}"/>
    <cellStyle name="Normal 16 24 20" xfId="15535" xr:uid="{00000000-0005-0000-0000-00005E140000}"/>
    <cellStyle name="Normal 16 24 21" xfId="14671" xr:uid="{00000000-0005-0000-0000-00005F140000}"/>
    <cellStyle name="Normal 16 24 22" xfId="17437" xr:uid="{00000000-0005-0000-0000-000060140000}"/>
    <cellStyle name="Normal 16 24 23" xfId="15005" xr:uid="{00000000-0005-0000-0000-000061140000}"/>
    <cellStyle name="Normal 16 24 24" xfId="14064" xr:uid="{00000000-0005-0000-0000-000062140000}"/>
    <cellStyle name="Normal 16 24 25" xfId="16287" xr:uid="{00000000-0005-0000-0000-000063140000}"/>
    <cellStyle name="Normal 16 24 26" xfId="13858" xr:uid="{00000000-0005-0000-0000-000064140000}"/>
    <cellStyle name="Normal 16 24 27" xfId="12731" xr:uid="{00000000-0005-0000-0000-000065140000}"/>
    <cellStyle name="Normal 16 24 28" xfId="12615" xr:uid="{00000000-0005-0000-0000-000066140000}"/>
    <cellStyle name="Normal 16 24 29" xfId="10113" xr:uid="{00000000-0005-0000-0000-000067140000}"/>
    <cellStyle name="Normal 16 24 3" xfId="27550" xr:uid="{00000000-0005-0000-0000-000068140000}"/>
    <cellStyle name="Normal 16 24 30" xfId="8400" xr:uid="{00000000-0005-0000-0000-000069140000}"/>
    <cellStyle name="Normal 16 24 31" xfId="8571" xr:uid="{00000000-0005-0000-0000-00006A140000}"/>
    <cellStyle name="Normal 16 24 32" xfId="6570" xr:uid="{00000000-0005-0000-0000-00006B140000}"/>
    <cellStyle name="Normal 16 24 33" xfId="7100" xr:uid="{00000000-0005-0000-0000-00006C140000}"/>
    <cellStyle name="Normal 16 24 34" xfId="4807" xr:uid="{00000000-0005-0000-0000-00006D140000}"/>
    <cellStyle name="Normal 16 24 35" xfId="9559" xr:uid="{00000000-0005-0000-0000-00006E140000}"/>
    <cellStyle name="Normal 16 24 36" xfId="4829" xr:uid="{00000000-0005-0000-0000-00006F140000}"/>
    <cellStyle name="Normal 16 24 37" xfId="4261" xr:uid="{00000000-0005-0000-0000-000070140000}"/>
    <cellStyle name="Normal 16 24 38" xfId="10756" xr:uid="{00000000-0005-0000-0000-000071140000}"/>
    <cellStyle name="Normal 16 24 39" xfId="3865" xr:uid="{00000000-0005-0000-0000-000072140000}"/>
    <cellStyle name="Normal 16 24 4" xfId="26953" xr:uid="{00000000-0005-0000-0000-000073140000}"/>
    <cellStyle name="Normal 16 24 40" xfId="4840" xr:uid="{00000000-0005-0000-0000-000074140000}"/>
    <cellStyle name="Normal 16 24 41" xfId="11028" xr:uid="{00000000-0005-0000-0000-000075140000}"/>
    <cellStyle name="Normal 16 24 42" xfId="10261" xr:uid="{00000000-0005-0000-0000-000076140000}"/>
    <cellStyle name="Normal 16 24 43" xfId="3906" xr:uid="{00000000-0005-0000-0000-000077140000}"/>
    <cellStyle name="Normal 16 24 5" xfId="26357" xr:uid="{00000000-0005-0000-0000-000078140000}"/>
    <cellStyle name="Normal 16 24 6" xfId="25761" xr:uid="{00000000-0005-0000-0000-000079140000}"/>
    <cellStyle name="Normal 16 24 7" xfId="25164" xr:uid="{00000000-0005-0000-0000-00007A140000}"/>
    <cellStyle name="Normal 16 24 8" xfId="24567" xr:uid="{00000000-0005-0000-0000-00007B140000}"/>
    <cellStyle name="Normal 16 24 9" xfId="23970" xr:uid="{00000000-0005-0000-0000-00007C140000}"/>
    <cellStyle name="Normal 16 25" xfId="28745" xr:uid="{00000000-0005-0000-0000-00007D140000}"/>
    <cellStyle name="Normal 16 25 10" xfId="23372" xr:uid="{00000000-0005-0000-0000-00007E140000}"/>
    <cellStyle name="Normal 16 25 11" xfId="22775" xr:uid="{00000000-0005-0000-0000-00007F140000}"/>
    <cellStyle name="Normal 16 25 12" xfId="22179" xr:uid="{00000000-0005-0000-0000-000080140000}"/>
    <cellStyle name="Normal 16 25 13" xfId="21582" xr:uid="{00000000-0005-0000-0000-000081140000}"/>
    <cellStyle name="Normal 16 25 14" xfId="20985" xr:uid="{00000000-0005-0000-0000-000082140000}"/>
    <cellStyle name="Normal 16 25 15" xfId="20388" xr:uid="{00000000-0005-0000-0000-000083140000}"/>
    <cellStyle name="Normal 16 25 16" xfId="19792" xr:uid="{00000000-0005-0000-0000-000084140000}"/>
    <cellStyle name="Normal 16 25 17" xfId="19196" xr:uid="{00000000-0005-0000-0000-000085140000}"/>
    <cellStyle name="Normal 16 25 18" xfId="18602" xr:uid="{00000000-0005-0000-0000-000086140000}"/>
    <cellStyle name="Normal 16 25 19" xfId="18006" xr:uid="{00000000-0005-0000-0000-000087140000}"/>
    <cellStyle name="Normal 16 25 2" xfId="28146" xr:uid="{00000000-0005-0000-0000-000088140000}"/>
    <cellStyle name="Normal 16 25 20" xfId="15725" xr:uid="{00000000-0005-0000-0000-000089140000}"/>
    <cellStyle name="Normal 16 25 21" xfId="14465" xr:uid="{00000000-0005-0000-0000-00008A140000}"/>
    <cellStyle name="Normal 16 25 22" xfId="16812" xr:uid="{00000000-0005-0000-0000-00008B140000}"/>
    <cellStyle name="Normal 16 25 23" xfId="17267" xr:uid="{00000000-0005-0000-0000-00008C140000}"/>
    <cellStyle name="Normal 16 25 24" xfId="13330" xr:uid="{00000000-0005-0000-0000-00008D140000}"/>
    <cellStyle name="Normal 16 25 25" xfId="16624" xr:uid="{00000000-0005-0000-0000-00008E140000}"/>
    <cellStyle name="Normal 16 25 26" xfId="16513" xr:uid="{00000000-0005-0000-0000-00008F140000}"/>
    <cellStyle name="Normal 16 25 27" xfId="16985" xr:uid="{00000000-0005-0000-0000-000090140000}"/>
    <cellStyle name="Normal 16 25 28" xfId="12614" xr:uid="{00000000-0005-0000-0000-000091140000}"/>
    <cellStyle name="Normal 16 25 29" xfId="6455" xr:uid="{00000000-0005-0000-0000-000092140000}"/>
    <cellStyle name="Normal 16 25 3" xfId="27549" xr:uid="{00000000-0005-0000-0000-000093140000}"/>
    <cellStyle name="Normal 16 25 30" xfId="8608" xr:uid="{00000000-0005-0000-0000-000094140000}"/>
    <cellStyle name="Normal 16 25 31" xfId="8001" xr:uid="{00000000-0005-0000-0000-000095140000}"/>
    <cellStyle name="Normal 16 25 32" xfId="11659" xr:uid="{00000000-0005-0000-0000-000096140000}"/>
    <cellStyle name="Normal 16 25 33" xfId="7727" xr:uid="{00000000-0005-0000-0000-000097140000}"/>
    <cellStyle name="Normal 16 25 34" xfId="8746" xr:uid="{00000000-0005-0000-0000-000098140000}"/>
    <cellStyle name="Normal 16 25 35" xfId="7025" xr:uid="{00000000-0005-0000-0000-000099140000}"/>
    <cellStyle name="Normal 16 25 36" xfId="8314" xr:uid="{00000000-0005-0000-0000-00009A140000}"/>
    <cellStyle name="Normal 16 25 37" xfId="4881" xr:uid="{00000000-0005-0000-0000-00009B140000}"/>
    <cellStyle name="Normal 16 25 38" xfId="7754" xr:uid="{00000000-0005-0000-0000-00009C140000}"/>
    <cellStyle name="Normal 16 25 39" xfId="3962" xr:uid="{00000000-0005-0000-0000-00009D140000}"/>
    <cellStyle name="Normal 16 25 4" xfId="26952" xr:uid="{00000000-0005-0000-0000-00009E140000}"/>
    <cellStyle name="Normal 16 25 40" xfId="6753" xr:uid="{00000000-0005-0000-0000-00009F140000}"/>
    <cellStyle name="Normal 16 25 41" xfId="6858" xr:uid="{00000000-0005-0000-0000-0000A0140000}"/>
    <cellStyle name="Normal 16 25 42" xfId="11976" xr:uid="{00000000-0005-0000-0000-0000A1140000}"/>
    <cellStyle name="Normal 16 25 43" xfId="8413" xr:uid="{00000000-0005-0000-0000-0000A2140000}"/>
    <cellStyle name="Normal 16 25 5" xfId="26356" xr:uid="{00000000-0005-0000-0000-0000A3140000}"/>
    <cellStyle name="Normal 16 25 6" xfId="25760" xr:uid="{00000000-0005-0000-0000-0000A4140000}"/>
    <cellStyle name="Normal 16 25 7" xfId="25163" xr:uid="{00000000-0005-0000-0000-0000A5140000}"/>
    <cellStyle name="Normal 16 25 8" xfId="24566" xr:uid="{00000000-0005-0000-0000-0000A6140000}"/>
    <cellStyle name="Normal 16 25 9" xfId="23969" xr:uid="{00000000-0005-0000-0000-0000A7140000}"/>
    <cellStyle name="Normal 16 26" xfId="28744" xr:uid="{00000000-0005-0000-0000-0000A8140000}"/>
    <cellStyle name="Normal 16 26 10" xfId="23371" xr:uid="{00000000-0005-0000-0000-0000A9140000}"/>
    <cellStyle name="Normal 16 26 11" xfId="22774" xr:uid="{00000000-0005-0000-0000-0000AA140000}"/>
    <cellStyle name="Normal 16 26 12" xfId="22178" xr:uid="{00000000-0005-0000-0000-0000AB140000}"/>
    <cellStyle name="Normal 16 26 13" xfId="21581" xr:uid="{00000000-0005-0000-0000-0000AC140000}"/>
    <cellStyle name="Normal 16 26 14" xfId="20984" xr:uid="{00000000-0005-0000-0000-0000AD140000}"/>
    <cellStyle name="Normal 16 26 15" xfId="20387" xr:uid="{00000000-0005-0000-0000-0000AE140000}"/>
    <cellStyle name="Normal 16 26 16" xfId="19791" xr:uid="{00000000-0005-0000-0000-0000AF140000}"/>
    <cellStyle name="Normal 16 26 17" xfId="19195" xr:uid="{00000000-0005-0000-0000-0000B0140000}"/>
    <cellStyle name="Normal 16 26 18" xfId="18601" xr:uid="{00000000-0005-0000-0000-0000B1140000}"/>
    <cellStyle name="Normal 16 26 19" xfId="18005" xr:uid="{00000000-0005-0000-0000-0000B2140000}"/>
    <cellStyle name="Normal 16 26 2" xfId="28145" xr:uid="{00000000-0005-0000-0000-0000B3140000}"/>
    <cellStyle name="Normal 16 26 20" xfId="14946" xr:uid="{00000000-0005-0000-0000-0000B4140000}"/>
    <cellStyle name="Normal 16 26 21" xfId="14258" xr:uid="{00000000-0005-0000-0000-0000B5140000}"/>
    <cellStyle name="Normal 16 26 22" xfId="16209" xr:uid="{00000000-0005-0000-0000-0000B6140000}"/>
    <cellStyle name="Normal 16 26 23" xfId="13529" xr:uid="{00000000-0005-0000-0000-0000B7140000}"/>
    <cellStyle name="Normal 16 26 24" xfId="13273" xr:uid="{00000000-0005-0000-0000-0000B8140000}"/>
    <cellStyle name="Normal 16 26 25" xfId="14627" xr:uid="{00000000-0005-0000-0000-0000B9140000}"/>
    <cellStyle name="Normal 16 26 26" xfId="17383" xr:uid="{00000000-0005-0000-0000-0000BA140000}"/>
    <cellStyle name="Normal 16 26 27" xfId="13170" xr:uid="{00000000-0005-0000-0000-0000BB140000}"/>
    <cellStyle name="Normal 16 26 28" xfId="12613" xr:uid="{00000000-0005-0000-0000-0000BC140000}"/>
    <cellStyle name="Normal 16 26 29" xfId="7738" xr:uid="{00000000-0005-0000-0000-0000BD140000}"/>
    <cellStyle name="Normal 16 26 3" xfId="27548" xr:uid="{00000000-0005-0000-0000-0000BE140000}"/>
    <cellStyle name="Normal 16 26 30" xfId="9067" xr:uid="{00000000-0005-0000-0000-0000BF140000}"/>
    <cellStyle name="Normal 16 26 31" xfId="11329" xr:uid="{00000000-0005-0000-0000-0000C0140000}"/>
    <cellStyle name="Normal 16 26 32" xfId="6183" xr:uid="{00000000-0005-0000-0000-0000C1140000}"/>
    <cellStyle name="Normal 16 26 33" xfId="9515" xr:uid="{00000000-0005-0000-0000-0000C2140000}"/>
    <cellStyle name="Normal 16 26 34" xfId="10959" xr:uid="{00000000-0005-0000-0000-0000C3140000}"/>
    <cellStyle name="Normal 16 26 35" xfId="7692" xr:uid="{00000000-0005-0000-0000-0000C4140000}"/>
    <cellStyle name="Normal 16 26 36" xfId="11312" xr:uid="{00000000-0005-0000-0000-0000C5140000}"/>
    <cellStyle name="Normal 16 26 37" xfId="7428" xr:uid="{00000000-0005-0000-0000-0000C6140000}"/>
    <cellStyle name="Normal 16 26 38" xfId="9917" xr:uid="{00000000-0005-0000-0000-0000C7140000}"/>
    <cellStyle name="Normal 16 26 39" xfId="4712" xr:uid="{00000000-0005-0000-0000-0000C8140000}"/>
    <cellStyle name="Normal 16 26 4" xfId="26951" xr:uid="{00000000-0005-0000-0000-0000C9140000}"/>
    <cellStyle name="Normal 16 26 40" xfId="6328" xr:uid="{00000000-0005-0000-0000-0000CA140000}"/>
    <cellStyle name="Normal 16 26 41" xfId="3753" xr:uid="{00000000-0005-0000-0000-0000CB140000}"/>
    <cellStyle name="Normal 16 26 42" xfId="5584" xr:uid="{00000000-0005-0000-0000-0000CC140000}"/>
    <cellStyle name="Normal 16 26 43" xfId="11145" xr:uid="{00000000-0005-0000-0000-0000CD140000}"/>
    <cellStyle name="Normal 16 26 5" xfId="26355" xr:uid="{00000000-0005-0000-0000-0000CE140000}"/>
    <cellStyle name="Normal 16 26 6" xfId="25759" xr:uid="{00000000-0005-0000-0000-0000CF140000}"/>
    <cellStyle name="Normal 16 26 7" xfId="25162" xr:uid="{00000000-0005-0000-0000-0000D0140000}"/>
    <cellStyle name="Normal 16 26 8" xfId="24565" xr:uid="{00000000-0005-0000-0000-0000D1140000}"/>
    <cellStyle name="Normal 16 26 9" xfId="23968" xr:uid="{00000000-0005-0000-0000-0000D2140000}"/>
    <cellStyle name="Normal 16 27" xfId="3031" xr:uid="{00000000-0005-0000-0000-0000D3140000}"/>
    <cellStyle name="Normal 16 27 2" xfId="28900" xr:uid="{00000000-0005-0000-0000-0000D4140000}"/>
    <cellStyle name="Normal 16 3" xfId="28743" xr:uid="{00000000-0005-0000-0000-0000D5140000}"/>
    <cellStyle name="Normal 16 3 10" xfId="23370" xr:uid="{00000000-0005-0000-0000-0000D6140000}"/>
    <cellStyle name="Normal 16 3 11" xfId="22773" xr:uid="{00000000-0005-0000-0000-0000D7140000}"/>
    <cellStyle name="Normal 16 3 12" xfId="22177" xr:uid="{00000000-0005-0000-0000-0000D8140000}"/>
    <cellStyle name="Normal 16 3 13" xfId="21580" xr:uid="{00000000-0005-0000-0000-0000D9140000}"/>
    <cellStyle name="Normal 16 3 14" xfId="20983" xr:uid="{00000000-0005-0000-0000-0000DA140000}"/>
    <cellStyle name="Normal 16 3 15" xfId="20386" xr:uid="{00000000-0005-0000-0000-0000DB140000}"/>
    <cellStyle name="Normal 16 3 16" xfId="19790" xr:uid="{00000000-0005-0000-0000-0000DC140000}"/>
    <cellStyle name="Normal 16 3 17" xfId="19194" xr:uid="{00000000-0005-0000-0000-0000DD140000}"/>
    <cellStyle name="Normal 16 3 18" xfId="18600" xr:uid="{00000000-0005-0000-0000-0000DE140000}"/>
    <cellStyle name="Normal 16 3 19" xfId="18004" xr:uid="{00000000-0005-0000-0000-0000DF140000}"/>
    <cellStyle name="Normal 16 3 2" xfId="28144" xr:uid="{00000000-0005-0000-0000-0000E0140000}"/>
    <cellStyle name="Normal 16 3 20" xfId="15153" xr:uid="{00000000-0005-0000-0000-0000E1140000}"/>
    <cellStyle name="Normal 16 3 21" xfId="14494" xr:uid="{00000000-0005-0000-0000-0000E2140000}"/>
    <cellStyle name="Normal 16 3 22" xfId="17016" xr:uid="{00000000-0005-0000-0000-0000E3140000}"/>
    <cellStyle name="Normal 16 3 23" xfId="16399" xr:uid="{00000000-0005-0000-0000-0000E4140000}"/>
    <cellStyle name="Normal 16 3 24" xfId="13131" xr:uid="{00000000-0005-0000-0000-0000E5140000}"/>
    <cellStyle name="Normal 16 3 25" xfId="13239" xr:uid="{00000000-0005-0000-0000-0000E6140000}"/>
    <cellStyle name="Normal 16 3 26" xfId="13573" xr:uid="{00000000-0005-0000-0000-0000E7140000}"/>
    <cellStyle name="Normal 16 3 27" xfId="12747" xr:uid="{00000000-0005-0000-0000-0000E8140000}"/>
    <cellStyle name="Normal 16 3 28" xfId="12612" xr:uid="{00000000-0005-0000-0000-0000E9140000}"/>
    <cellStyle name="Normal 16 3 29" xfId="7474" xr:uid="{00000000-0005-0000-0000-0000EA140000}"/>
    <cellStyle name="Normal 16 3 3" xfId="27547" xr:uid="{00000000-0005-0000-0000-0000EB140000}"/>
    <cellStyle name="Normal 16 3 30" xfId="9290" xr:uid="{00000000-0005-0000-0000-0000EC140000}"/>
    <cellStyle name="Normal 16 3 31" xfId="9781" xr:uid="{00000000-0005-0000-0000-0000ED140000}"/>
    <cellStyle name="Normal 16 3 32" xfId="6494" xr:uid="{00000000-0005-0000-0000-0000EE140000}"/>
    <cellStyle name="Normal 16 3 33" xfId="5542" xr:uid="{00000000-0005-0000-0000-0000EF140000}"/>
    <cellStyle name="Normal 16 3 34" xfId="6984" xr:uid="{00000000-0005-0000-0000-0000F0140000}"/>
    <cellStyle name="Normal 16 3 35" xfId="11342" xr:uid="{00000000-0005-0000-0000-0000F1140000}"/>
    <cellStyle name="Normal 16 3 36" xfId="5197" xr:uid="{00000000-0005-0000-0000-0000F2140000}"/>
    <cellStyle name="Normal 16 3 37" xfId="11647" xr:uid="{00000000-0005-0000-0000-0000F3140000}"/>
    <cellStyle name="Normal 16 3 38" xfId="7416" xr:uid="{00000000-0005-0000-0000-0000F4140000}"/>
    <cellStyle name="Normal 16 3 39" xfId="9094" xr:uid="{00000000-0005-0000-0000-0000F5140000}"/>
    <cellStyle name="Normal 16 3 4" xfId="26950" xr:uid="{00000000-0005-0000-0000-0000F6140000}"/>
    <cellStyle name="Normal 16 3 40" xfId="4710" xr:uid="{00000000-0005-0000-0000-0000F7140000}"/>
    <cellStyle name="Normal 16 3 41" xfId="4678" xr:uid="{00000000-0005-0000-0000-0000F8140000}"/>
    <cellStyle name="Normal 16 3 42" xfId="6323" xr:uid="{00000000-0005-0000-0000-0000F9140000}"/>
    <cellStyle name="Normal 16 3 43" xfId="11332" xr:uid="{00000000-0005-0000-0000-0000FA140000}"/>
    <cellStyle name="Normal 16 3 44" xfId="3027" xr:uid="{00000000-0005-0000-0000-0000FB140000}"/>
    <cellStyle name="Normal 16 3 45" xfId="2783" xr:uid="{00000000-0005-0000-0000-0000FC140000}"/>
    <cellStyle name="Normal 16 3 46" xfId="2543" xr:uid="{00000000-0005-0000-0000-0000FD140000}"/>
    <cellStyle name="Normal 16 3 47" xfId="2303" xr:uid="{00000000-0005-0000-0000-0000FE140000}"/>
    <cellStyle name="Normal 16 3 48" xfId="2063" xr:uid="{00000000-0005-0000-0000-0000FF140000}"/>
    <cellStyle name="Normal 16 3 49" xfId="1823" xr:uid="{00000000-0005-0000-0000-000000150000}"/>
    <cellStyle name="Normal 16 3 5" xfId="26354" xr:uid="{00000000-0005-0000-0000-000001150000}"/>
    <cellStyle name="Normal 16 3 50" xfId="1584" xr:uid="{00000000-0005-0000-0000-000002150000}"/>
    <cellStyle name="Normal 16 3 51" xfId="1344" xr:uid="{00000000-0005-0000-0000-000003150000}"/>
    <cellStyle name="Normal 16 3 52" xfId="1104" xr:uid="{00000000-0005-0000-0000-000004150000}"/>
    <cellStyle name="Normal 16 3 53" xfId="864" xr:uid="{00000000-0005-0000-0000-000005150000}"/>
    <cellStyle name="Normal 16 3 54" xfId="624" xr:uid="{00000000-0005-0000-0000-000006150000}"/>
    <cellStyle name="Normal 16 3 55" xfId="384" xr:uid="{00000000-0005-0000-0000-000007150000}"/>
    <cellStyle name="Normal 16 3 56" xfId="146" xr:uid="{00000000-0005-0000-0000-000008150000}"/>
    <cellStyle name="Normal 16 3 6" xfId="25758" xr:uid="{00000000-0005-0000-0000-000009150000}"/>
    <cellStyle name="Normal 16 3 7" xfId="25161" xr:uid="{00000000-0005-0000-0000-00000A150000}"/>
    <cellStyle name="Normal 16 3 8" xfId="24564" xr:uid="{00000000-0005-0000-0000-00000B150000}"/>
    <cellStyle name="Normal 16 3 9" xfId="23967" xr:uid="{00000000-0005-0000-0000-00000C150000}"/>
    <cellStyle name="Normal 16 4" xfId="28742" xr:uid="{00000000-0005-0000-0000-00000D150000}"/>
    <cellStyle name="Normal 16 4 10" xfId="23369" xr:uid="{00000000-0005-0000-0000-00000E150000}"/>
    <cellStyle name="Normal 16 4 11" xfId="22772" xr:uid="{00000000-0005-0000-0000-00000F150000}"/>
    <cellStyle name="Normal 16 4 12" xfId="22176" xr:uid="{00000000-0005-0000-0000-000010150000}"/>
    <cellStyle name="Normal 16 4 13" xfId="21579" xr:uid="{00000000-0005-0000-0000-000011150000}"/>
    <cellStyle name="Normal 16 4 14" xfId="20982" xr:uid="{00000000-0005-0000-0000-000012150000}"/>
    <cellStyle name="Normal 16 4 15" xfId="20385" xr:uid="{00000000-0005-0000-0000-000013150000}"/>
    <cellStyle name="Normal 16 4 16" xfId="19789" xr:uid="{00000000-0005-0000-0000-000014150000}"/>
    <cellStyle name="Normal 16 4 17" xfId="19193" xr:uid="{00000000-0005-0000-0000-000015150000}"/>
    <cellStyle name="Normal 16 4 18" xfId="18599" xr:uid="{00000000-0005-0000-0000-000016150000}"/>
    <cellStyle name="Normal 16 4 19" xfId="18003" xr:uid="{00000000-0005-0000-0000-000017150000}"/>
    <cellStyle name="Normal 16 4 2" xfId="28143" xr:uid="{00000000-0005-0000-0000-000018150000}"/>
    <cellStyle name="Normal 16 4 20" xfId="15348" xr:uid="{00000000-0005-0000-0000-000019150000}"/>
    <cellStyle name="Normal 16 4 21" xfId="14485" xr:uid="{00000000-0005-0000-0000-00001A150000}"/>
    <cellStyle name="Normal 16 4 22" xfId="13540" xr:uid="{00000000-0005-0000-0000-00001B150000}"/>
    <cellStyle name="Normal 16 4 23" xfId="13390" xr:uid="{00000000-0005-0000-0000-00001C150000}"/>
    <cellStyle name="Normal 16 4 24" xfId="15505" xr:uid="{00000000-0005-0000-0000-00001D150000}"/>
    <cellStyle name="Normal 16 4 25" xfId="15515" xr:uid="{00000000-0005-0000-0000-00001E150000}"/>
    <cellStyle name="Normal 16 4 26" xfId="16996" xr:uid="{00000000-0005-0000-0000-00001F150000}"/>
    <cellStyle name="Normal 16 4 27" xfId="15882" xr:uid="{00000000-0005-0000-0000-000020150000}"/>
    <cellStyle name="Normal 16 4 28" xfId="12611" xr:uid="{00000000-0005-0000-0000-000021150000}"/>
    <cellStyle name="Normal 16 4 29" xfId="10341" xr:uid="{00000000-0005-0000-0000-000022150000}"/>
    <cellStyle name="Normal 16 4 3" xfId="27546" xr:uid="{00000000-0005-0000-0000-000023150000}"/>
    <cellStyle name="Normal 16 4 30" xfId="5872" xr:uid="{00000000-0005-0000-0000-000024150000}"/>
    <cellStyle name="Normal 16 4 31" xfId="6385" xr:uid="{00000000-0005-0000-0000-000025150000}"/>
    <cellStyle name="Normal 16 4 32" xfId="11572" xr:uid="{00000000-0005-0000-0000-000026150000}"/>
    <cellStyle name="Normal 16 4 33" xfId="5533" xr:uid="{00000000-0005-0000-0000-000027150000}"/>
    <cellStyle name="Normal 16 4 34" xfId="8698" xr:uid="{00000000-0005-0000-0000-000028150000}"/>
    <cellStyle name="Normal 16 4 35" xfId="9256" xr:uid="{00000000-0005-0000-0000-000029150000}"/>
    <cellStyle name="Normal 16 4 36" xfId="6914" xr:uid="{00000000-0005-0000-0000-00002A150000}"/>
    <cellStyle name="Normal 16 4 37" xfId="9090" xr:uid="{00000000-0005-0000-0000-00002B150000}"/>
    <cellStyle name="Normal 16 4 38" xfId="10054" xr:uid="{00000000-0005-0000-0000-00002C150000}"/>
    <cellStyle name="Normal 16 4 39" xfId="4306" xr:uid="{00000000-0005-0000-0000-00002D150000}"/>
    <cellStyle name="Normal 16 4 4" xfId="26949" xr:uid="{00000000-0005-0000-0000-00002E150000}"/>
    <cellStyle name="Normal 16 4 40" xfId="11661" xr:uid="{00000000-0005-0000-0000-00002F150000}"/>
    <cellStyle name="Normal 16 4 41" xfId="4380" xr:uid="{00000000-0005-0000-0000-000030150000}"/>
    <cellStyle name="Normal 16 4 42" xfId="6004" xr:uid="{00000000-0005-0000-0000-000031150000}"/>
    <cellStyle name="Normal 16 4 43" xfId="11153" xr:uid="{00000000-0005-0000-0000-000032150000}"/>
    <cellStyle name="Normal 16 4 44" xfId="3026" xr:uid="{00000000-0005-0000-0000-000033150000}"/>
    <cellStyle name="Normal 16 4 45" xfId="2782" xr:uid="{00000000-0005-0000-0000-000034150000}"/>
    <cellStyle name="Normal 16 4 46" xfId="2542" xr:uid="{00000000-0005-0000-0000-000035150000}"/>
    <cellStyle name="Normal 16 4 47" xfId="2302" xr:uid="{00000000-0005-0000-0000-000036150000}"/>
    <cellStyle name="Normal 16 4 48" xfId="2062" xr:uid="{00000000-0005-0000-0000-000037150000}"/>
    <cellStyle name="Normal 16 4 49" xfId="1822" xr:uid="{00000000-0005-0000-0000-000038150000}"/>
    <cellStyle name="Normal 16 4 5" xfId="26353" xr:uid="{00000000-0005-0000-0000-000039150000}"/>
    <cellStyle name="Normal 16 4 50" xfId="1583" xr:uid="{00000000-0005-0000-0000-00003A150000}"/>
    <cellStyle name="Normal 16 4 51" xfId="1343" xr:uid="{00000000-0005-0000-0000-00003B150000}"/>
    <cellStyle name="Normal 16 4 52" xfId="1103" xr:uid="{00000000-0005-0000-0000-00003C150000}"/>
    <cellStyle name="Normal 16 4 53" xfId="863" xr:uid="{00000000-0005-0000-0000-00003D150000}"/>
    <cellStyle name="Normal 16 4 54" xfId="623" xr:uid="{00000000-0005-0000-0000-00003E150000}"/>
    <cellStyle name="Normal 16 4 55" xfId="383" xr:uid="{00000000-0005-0000-0000-00003F150000}"/>
    <cellStyle name="Normal 16 4 56" xfId="145" xr:uid="{00000000-0005-0000-0000-000040150000}"/>
    <cellStyle name="Normal 16 4 6" xfId="25757" xr:uid="{00000000-0005-0000-0000-000041150000}"/>
    <cellStyle name="Normal 16 4 7" xfId="25160" xr:uid="{00000000-0005-0000-0000-000042150000}"/>
    <cellStyle name="Normal 16 4 8" xfId="24563" xr:uid="{00000000-0005-0000-0000-000043150000}"/>
    <cellStyle name="Normal 16 4 9" xfId="23966" xr:uid="{00000000-0005-0000-0000-000044150000}"/>
    <cellStyle name="Normal 16 5" xfId="28741" xr:uid="{00000000-0005-0000-0000-000045150000}"/>
    <cellStyle name="Normal 16 5 10" xfId="23368" xr:uid="{00000000-0005-0000-0000-000046150000}"/>
    <cellStyle name="Normal 16 5 11" xfId="22771" xr:uid="{00000000-0005-0000-0000-000047150000}"/>
    <cellStyle name="Normal 16 5 12" xfId="22175" xr:uid="{00000000-0005-0000-0000-000048150000}"/>
    <cellStyle name="Normal 16 5 13" xfId="21578" xr:uid="{00000000-0005-0000-0000-000049150000}"/>
    <cellStyle name="Normal 16 5 14" xfId="20981" xr:uid="{00000000-0005-0000-0000-00004A150000}"/>
    <cellStyle name="Normal 16 5 15" xfId="20384" xr:uid="{00000000-0005-0000-0000-00004B150000}"/>
    <cellStyle name="Normal 16 5 16" xfId="19788" xr:uid="{00000000-0005-0000-0000-00004C150000}"/>
    <cellStyle name="Normal 16 5 17" xfId="19192" xr:uid="{00000000-0005-0000-0000-00004D150000}"/>
    <cellStyle name="Normal 16 5 18" xfId="18598" xr:uid="{00000000-0005-0000-0000-00004E150000}"/>
    <cellStyle name="Normal 16 5 19" xfId="18002" xr:uid="{00000000-0005-0000-0000-00004F150000}"/>
    <cellStyle name="Normal 16 5 2" xfId="28142" xr:uid="{00000000-0005-0000-0000-000050150000}"/>
    <cellStyle name="Normal 16 5 20" xfId="15555" xr:uid="{00000000-0005-0000-0000-000051150000}"/>
    <cellStyle name="Normal 16 5 21" xfId="17459" xr:uid="{00000000-0005-0000-0000-000052150000}"/>
    <cellStyle name="Normal 16 5 22" xfId="15050" xr:uid="{00000000-0005-0000-0000-000053150000}"/>
    <cellStyle name="Normal 16 5 23" xfId="13825" xr:uid="{00000000-0005-0000-0000-000054150000}"/>
    <cellStyle name="Normal 16 5 24" xfId="17443" xr:uid="{00000000-0005-0000-0000-000055150000}"/>
    <cellStyle name="Normal 16 5 25" xfId="13923" xr:uid="{00000000-0005-0000-0000-000056150000}"/>
    <cellStyle name="Normal 16 5 26" xfId="13747" xr:uid="{00000000-0005-0000-0000-000057150000}"/>
    <cellStyle name="Normal 16 5 27" xfId="15811" xr:uid="{00000000-0005-0000-0000-000058150000}"/>
    <cellStyle name="Normal 16 5 28" xfId="12610" xr:uid="{00000000-0005-0000-0000-000059150000}"/>
    <cellStyle name="Normal 16 5 29" xfId="10569" xr:uid="{00000000-0005-0000-0000-00005A150000}"/>
    <cellStyle name="Normal 16 5 3" xfId="27545" xr:uid="{00000000-0005-0000-0000-00005B150000}"/>
    <cellStyle name="Normal 16 5 30" xfId="6217" xr:uid="{00000000-0005-0000-0000-00005C150000}"/>
    <cellStyle name="Normal 16 5 31" xfId="8455" xr:uid="{00000000-0005-0000-0000-00005D150000}"/>
    <cellStyle name="Normal 16 5 32" xfId="7278" xr:uid="{00000000-0005-0000-0000-00005E150000}"/>
    <cellStyle name="Normal 16 5 33" xfId="11519" xr:uid="{00000000-0005-0000-0000-00005F150000}"/>
    <cellStyle name="Normal 16 5 34" xfId="11518" xr:uid="{00000000-0005-0000-0000-000060150000}"/>
    <cellStyle name="Normal 16 5 35" xfId="11344" xr:uid="{00000000-0005-0000-0000-000061150000}"/>
    <cellStyle name="Normal 16 5 36" xfId="4787" xr:uid="{00000000-0005-0000-0000-000062150000}"/>
    <cellStyle name="Normal 16 5 37" xfId="3780" xr:uid="{00000000-0005-0000-0000-000063150000}"/>
    <cellStyle name="Normal 16 5 38" xfId="11317" xr:uid="{00000000-0005-0000-0000-000064150000}"/>
    <cellStyle name="Normal 16 5 39" xfId="6532" xr:uid="{00000000-0005-0000-0000-000065150000}"/>
    <cellStyle name="Normal 16 5 4" xfId="26948" xr:uid="{00000000-0005-0000-0000-000066150000}"/>
    <cellStyle name="Normal 16 5 40" xfId="6070" xr:uid="{00000000-0005-0000-0000-000067150000}"/>
    <cellStyle name="Normal 16 5 41" xfId="8880" xr:uid="{00000000-0005-0000-0000-000068150000}"/>
    <cellStyle name="Normal 16 5 42" xfId="8283" xr:uid="{00000000-0005-0000-0000-000069150000}"/>
    <cellStyle name="Normal 16 5 43" xfId="6103" xr:uid="{00000000-0005-0000-0000-00006A150000}"/>
    <cellStyle name="Normal 16 5 44" xfId="3025" xr:uid="{00000000-0005-0000-0000-00006B150000}"/>
    <cellStyle name="Normal 16 5 45" xfId="2781" xr:uid="{00000000-0005-0000-0000-00006C150000}"/>
    <cellStyle name="Normal 16 5 46" xfId="2541" xr:uid="{00000000-0005-0000-0000-00006D150000}"/>
    <cellStyle name="Normal 16 5 47" xfId="2301" xr:uid="{00000000-0005-0000-0000-00006E150000}"/>
    <cellStyle name="Normal 16 5 48" xfId="2061" xr:uid="{00000000-0005-0000-0000-00006F150000}"/>
    <cellStyle name="Normal 16 5 49" xfId="1821" xr:uid="{00000000-0005-0000-0000-000070150000}"/>
    <cellStyle name="Normal 16 5 5" xfId="26352" xr:uid="{00000000-0005-0000-0000-000071150000}"/>
    <cellStyle name="Normal 16 5 50" xfId="1582" xr:uid="{00000000-0005-0000-0000-000072150000}"/>
    <cellStyle name="Normal 16 5 51" xfId="1342" xr:uid="{00000000-0005-0000-0000-000073150000}"/>
    <cellStyle name="Normal 16 5 52" xfId="1102" xr:uid="{00000000-0005-0000-0000-000074150000}"/>
    <cellStyle name="Normal 16 5 53" xfId="862" xr:uid="{00000000-0005-0000-0000-000075150000}"/>
    <cellStyle name="Normal 16 5 54" xfId="622" xr:uid="{00000000-0005-0000-0000-000076150000}"/>
    <cellStyle name="Normal 16 5 55" xfId="382" xr:uid="{00000000-0005-0000-0000-000077150000}"/>
    <cellStyle name="Normal 16 5 56" xfId="144" xr:uid="{00000000-0005-0000-0000-000078150000}"/>
    <cellStyle name="Normal 16 5 6" xfId="25756" xr:uid="{00000000-0005-0000-0000-000079150000}"/>
    <cellStyle name="Normal 16 5 7" xfId="25159" xr:uid="{00000000-0005-0000-0000-00007A150000}"/>
    <cellStyle name="Normal 16 5 8" xfId="24562" xr:uid="{00000000-0005-0000-0000-00007B150000}"/>
    <cellStyle name="Normal 16 5 9" xfId="23965" xr:uid="{00000000-0005-0000-0000-00007C150000}"/>
    <cellStyle name="Normal 16 6" xfId="28740" xr:uid="{00000000-0005-0000-0000-00007D150000}"/>
    <cellStyle name="Normal 16 6 10" xfId="23367" xr:uid="{00000000-0005-0000-0000-00007E150000}"/>
    <cellStyle name="Normal 16 6 11" xfId="22770" xr:uid="{00000000-0005-0000-0000-00007F150000}"/>
    <cellStyle name="Normal 16 6 12" xfId="22174" xr:uid="{00000000-0005-0000-0000-000080150000}"/>
    <cellStyle name="Normal 16 6 13" xfId="21577" xr:uid="{00000000-0005-0000-0000-000081150000}"/>
    <cellStyle name="Normal 16 6 14" xfId="20980" xr:uid="{00000000-0005-0000-0000-000082150000}"/>
    <cellStyle name="Normal 16 6 15" xfId="20383" xr:uid="{00000000-0005-0000-0000-000083150000}"/>
    <cellStyle name="Normal 16 6 16" xfId="19787" xr:uid="{00000000-0005-0000-0000-000084150000}"/>
    <cellStyle name="Normal 16 6 17" xfId="19191" xr:uid="{00000000-0005-0000-0000-000085150000}"/>
    <cellStyle name="Normal 16 6 18" xfId="18597" xr:uid="{00000000-0005-0000-0000-000086150000}"/>
    <cellStyle name="Normal 16 6 19" xfId="18001" xr:uid="{00000000-0005-0000-0000-000087150000}"/>
    <cellStyle name="Normal 16 6 2" xfId="28141" xr:uid="{00000000-0005-0000-0000-000088150000}"/>
    <cellStyle name="Normal 16 6 20" xfId="15745" xr:uid="{00000000-0005-0000-0000-000089150000}"/>
    <cellStyle name="Normal 16 6 21" xfId="17449" xr:uid="{00000000-0005-0000-0000-00008A150000}"/>
    <cellStyle name="Normal 16 6 22" xfId="13653" xr:uid="{00000000-0005-0000-0000-00008B150000}"/>
    <cellStyle name="Normal 16 6 23" xfId="13487" xr:uid="{00000000-0005-0000-0000-00008C150000}"/>
    <cellStyle name="Normal 16 6 24" xfId="17205" xr:uid="{00000000-0005-0000-0000-00008D150000}"/>
    <cellStyle name="Normal 16 6 25" xfId="16658" xr:uid="{00000000-0005-0000-0000-00008E150000}"/>
    <cellStyle name="Normal 16 6 26" xfId="16559" xr:uid="{00000000-0005-0000-0000-00008F150000}"/>
    <cellStyle name="Normal 16 6 27" xfId="13164" xr:uid="{00000000-0005-0000-0000-000090150000}"/>
    <cellStyle name="Normal 16 6 28" xfId="12609" xr:uid="{00000000-0005-0000-0000-000091150000}"/>
    <cellStyle name="Normal 16 6 29" xfId="10784" xr:uid="{00000000-0005-0000-0000-000092150000}"/>
    <cellStyle name="Normal 16 6 3" xfId="27544" xr:uid="{00000000-0005-0000-0000-000093150000}"/>
    <cellStyle name="Normal 16 6 30" xfId="6384" xr:uid="{00000000-0005-0000-0000-000094150000}"/>
    <cellStyle name="Normal 16 6 31" xfId="7626" xr:uid="{00000000-0005-0000-0000-000095150000}"/>
    <cellStyle name="Normal 16 6 32" xfId="9394" xr:uid="{00000000-0005-0000-0000-000096150000}"/>
    <cellStyle name="Normal 16 6 33" xfId="6970" xr:uid="{00000000-0005-0000-0000-000097150000}"/>
    <cellStyle name="Normal 16 6 34" xfId="11443" xr:uid="{00000000-0005-0000-0000-000098150000}"/>
    <cellStyle name="Normal 16 6 35" xfId="6917" xr:uid="{00000000-0005-0000-0000-000099150000}"/>
    <cellStyle name="Normal 16 6 36" xfId="7293" xr:uid="{00000000-0005-0000-0000-00009A150000}"/>
    <cellStyle name="Normal 16 6 37" xfId="3996" xr:uid="{00000000-0005-0000-0000-00009B150000}"/>
    <cellStyle name="Normal 16 6 38" xfId="10820" xr:uid="{00000000-0005-0000-0000-00009C150000}"/>
    <cellStyle name="Normal 16 6 39" xfId="4284" xr:uid="{00000000-0005-0000-0000-00009D150000}"/>
    <cellStyle name="Normal 16 6 4" xfId="26947" xr:uid="{00000000-0005-0000-0000-00009E150000}"/>
    <cellStyle name="Normal 16 6 40" xfId="3988" xr:uid="{00000000-0005-0000-0000-00009F150000}"/>
    <cellStyle name="Normal 16 6 41" xfId="3659" xr:uid="{00000000-0005-0000-0000-0000A0150000}"/>
    <cellStyle name="Normal 16 6 42" xfId="4646" xr:uid="{00000000-0005-0000-0000-0000A1150000}"/>
    <cellStyle name="Normal 16 6 43" xfId="7925" xr:uid="{00000000-0005-0000-0000-0000A2150000}"/>
    <cellStyle name="Normal 16 6 44" xfId="3024" xr:uid="{00000000-0005-0000-0000-0000A3150000}"/>
    <cellStyle name="Normal 16 6 45" xfId="2780" xr:uid="{00000000-0005-0000-0000-0000A4150000}"/>
    <cellStyle name="Normal 16 6 46" xfId="2540" xr:uid="{00000000-0005-0000-0000-0000A5150000}"/>
    <cellStyle name="Normal 16 6 47" xfId="2300" xr:uid="{00000000-0005-0000-0000-0000A6150000}"/>
    <cellStyle name="Normal 16 6 48" xfId="2060" xr:uid="{00000000-0005-0000-0000-0000A7150000}"/>
    <cellStyle name="Normal 16 6 49" xfId="1820" xr:uid="{00000000-0005-0000-0000-0000A8150000}"/>
    <cellStyle name="Normal 16 6 5" xfId="26351" xr:uid="{00000000-0005-0000-0000-0000A9150000}"/>
    <cellStyle name="Normal 16 6 50" xfId="1581" xr:uid="{00000000-0005-0000-0000-0000AA150000}"/>
    <cellStyle name="Normal 16 6 51" xfId="1341" xr:uid="{00000000-0005-0000-0000-0000AB150000}"/>
    <cellStyle name="Normal 16 6 52" xfId="1101" xr:uid="{00000000-0005-0000-0000-0000AC150000}"/>
    <cellStyle name="Normal 16 6 53" xfId="861" xr:uid="{00000000-0005-0000-0000-0000AD150000}"/>
    <cellStyle name="Normal 16 6 54" xfId="621" xr:uid="{00000000-0005-0000-0000-0000AE150000}"/>
    <cellStyle name="Normal 16 6 55" xfId="381" xr:uid="{00000000-0005-0000-0000-0000AF150000}"/>
    <cellStyle name="Normal 16 6 56" xfId="143" xr:uid="{00000000-0005-0000-0000-0000B0150000}"/>
    <cellStyle name="Normal 16 6 6" xfId="25755" xr:uid="{00000000-0005-0000-0000-0000B1150000}"/>
    <cellStyle name="Normal 16 6 7" xfId="25158" xr:uid="{00000000-0005-0000-0000-0000B2150000}"/>
    <cellStyle name="Normal 16 6 8" xfId="24561" xr:uid="{00000000-0005-0000-0000-0000B3150000}"/>
    <cellStyle name="Normal 16 6 9" xfId="23964" xr:uid="{00000000-0005-0000-0000-0000B4150000}"/>
    <cellStyle name="Normal 16 7" xfId="28739" xr:uid="{00000000-0005-0000-0000-0000B5150000}"/>
    <cellStyle name="Normal 16 7 10" xfId="28738" xr:uid="{00000000-0005-0000-0000-0000B6150000}"/>
    <cellStyle name="Normal 16 7 10 10" xfId="23365" xr:uid="{00000000-0005-0000-0000-0000B7150000}"/>
    <cellStyle name="Normal 16 7 10 11" xfId="22768" xr:uid="{00000000-0005-0000-0000-0000B8150000}"/>
    <cellStyle name="Normal 16 7 10 12" xfId="22172" xr:uid="{00000000-0005-0000-0000-0000B9150000}"/>
    <cellStyle name="Normal 16 7 10 13" xfId="21575" xr:uid="{00000000-0005-0000-0000-0000BA150000}"/>
    <cellStyle name="Normal 16 7 10 14" xfId="20978" xr:uid="{00000000-0005-0000-0000-0000BB150000}"/>
    <cellStyle name="Normal 16 7 10 15" xfId="20381" xr:uid="{00000000-0005-0000-0000-0000BC150000}"/>
    <cellStyle name="Normal 16 7 10 16" xfId="19785" xr:uid="{00000000-0005-0000-0000-0000BD150000}"/>
    <cellStyle name="Normal 16 7 10 17" xfId="19189" xr:uid="{00000000-0005-0000-0000-0000BE150000}"/>
    <cellStyle name="Normal 16 7 10 18" xfId="18596" xr:uid="{00000000-0005-0000-0000-0000BF150000}"/>
    <cellStyle name="Normal 16 7 10 19" xfId="18000" xr:uid="{00000000-0005-0000-0000-0000C0150000}"/>
    <cellStyle name="Normal 16 7 10 2" xfId="28139" xr:uid="{00000000-0005-0000-0000-0000C1150000}"/>
    <cellStyle name="Normal 16 7 10 20" xfId="16152" xr:uid="{00000000-0005-0000-0000-0000C2150000}"/>
    <cellStyle name="Normal 16 7 10 21" xfId="16644" xr:uid="{00000000-0005-0000-0000-0000C3150000}"/>
    <cellStyle name="Normal 16 7 10 22" xfId="13941" xr:uid="{00000000-0005-0000-0000-0000C4150000}"/>
    <cellStyle name="Normal 16 7 10 23" xfId="15823" xr:uid="{00000000-0005-0000-0000-0000C5150000}"/>
    <cellStyle name="Normal 16 7 10 24" xfId="13352" xr:uid="{00000000-0005-0000-0000-0000C6150000}"/>
    <cellStyle name="Normal 16 7 10 25" xfId="13127" xr:uid="{00000000-0005-0000-0000-0000C7150000}"/>
    <cellStyle name="Normal 16 7 10 26" xfId="13544" xr:uid="{00000000-0005-0000-0000-0000C8150000}"/>
    <cellStyle name="Normal 16 7 10 27" xfId="17272" xr:uid="{00000000-0005-0000-0000-0000C9150000}"/>
    <cellStyle name="Normal 16 7 10 28" xfId="12608" xr:uid="{00000000-0005-0000-0000-0000CA150000}"/>
    <cellStyle name="Normal 16 7 10 29" xfId="11231" xr:uid="{00000000-0005-0000-0000-0000CB150000}"/>
    <cellStyle name="Normal 16 7 10 3" xfId="27542" xr:uid="{00000000-0005-0000-0000-0000CC150000}"/>
    <cellStyle name="Normal 16 7 10 30" xfId="9282" xr:uid="{00000000-0005-0000-0000-0000CD150000}"/>
    <cellStyle name="Normal 16 7 10 31" xfId="5589" xr:uid="{00000000-0005-0000-0000-0000CE150000}"/>
    <cellStyle name="Normal 16 7 10 32" xfId="6563" xr:uid="{00000000-0005-0000-0000-0000CF150000}"/>
    <cellStyle name="Normal 16 7 10 33" xfId="10535" xr:uid="{00000000-0005-0000-0000-0000D0150000}"/>
    <cellStyle name="Normal 16 7 10 34" xfId="4867" xr:uid="{00000000-0005-0000-0000-0000D1150000}"/>
    <cellStyle name="Normal 16 7 10 35" xfId="11563" xr:uid="{00000000-0005-0000-0000-0000D2150000}"/>
    <cellStyle name="Normal 16 7 10 36" xfId="7705" xr:uid="{00000000-0005-0000-0000-0000D3150000}"/>
    <cellStyle name="Normal 16 7 10 37" xfId="4085" xr:uid="{00000000-0005-0000-0000-0000D4150000}"/>
    <cellStyle name="Normal 16 7 10 38" xfId="11424" xr:uid="{00000000-0005-0000-0000-0000D5150000}"/>
    <cellStyle name="Normal 16 7 10 39" xfId="9758" xr:uid="{00000000-0005-0000-0000-0000D6150000}"/>
    <cellStyle name="Normal 16 7 10 4" xfId="26945" xr:uid="{00000000-0005-0000-0000-0000D7150000}"/>
    <cellStyle name="Normal 16 7 10 40" xfId="3499" xr:uid="{00000000-0005-0000-0000-0000D8150000}"/>
    <cellStyle name="Normal 16 7 10 41" xfId="3485" xr:uid="{00000000-0005-0000-0000-0000D9150000}"/>
    <cellStyle name="Normal 16 7 10 42" xfId="3375" xr:uid="{00000000-0005-0000-0000-0000DA150000}"/>
    <cellStyle name="Normal 16 7 10 43" xfId="4453" xr:uid="{00000000-0005-0000-0000-0000DB150000}"/>
    <cellStyle name="Normal 16 7 10 5" xfId="26349" xr:uid="{00000000-0005-0000-0000-0000DC150000}"/>
    <cellStyle name="Normal 16 7 10 6" xfId="25753" xr:uid="{00000000-0005-0000-0000-0000DD150000}"/>
    <cellStyle name="Normal 16 7 10 7" xfId="25156" xr:uid="{00000000-0005-0000-0000-0000DE150000}"/>
    <cellStyle name="Normal 16 7 10 8" xfId="24559" xr:uid="{00000000-0005-0000-0000-0000DF150000}"/>
    <cellStyle name="Normal 16 7 10 9" xfId="23962" xr:uid="{00000000-0005-0000-0000-0000E0150000}"/>
    <cellStyle name="Normal 16 7 11" xfId="28737" xr:uid="{00000000-0005-0000-0000-0000E1150000}"/>
    <cellStyle name="Normal 16 7 11 10" xfId="23364" xr:uid="{00000000-0005-0000-0000-0000E2150000}"/>
    <cellStyle name="Normal 16 7 11 11" xfId="22767" xr:uid="{00000000-0005-0000-0000-0000E3150000}"/>
    <cellStyle name="Normal 16 7 11 12" xfId="22171" xr:uid="{00000000-0005-0000-0000-0000E4150000}"/>
    <cellStyle name="Normal 16 7 11 13" xfId="21574" xr:uid="{00000000-0005-0000-0000-0000E5150000}"/>
    <cellStyle name="Normal 16 7 11 14" xfId="20977" xr:uid="{00000000-0005-0000-0000-0000E6150000}"/>
    <cellStyle name="Normal 16 7 11 15" xfId="20380" xr:uid="{00000000-0005-0000-0000-0000E7150000}"/>
    <cellStyle name="Normal 16 7 11 16" xfId="19784" xr:uid="{00000000-0005-0000-0000-0000E8150000}"/>
    <cellStyle name="Normal 16 7 11 17" xfId="19188" xr:uid="{00000000-0005-0000-0000-0000E9150000}"/>
    <cellStyle name="Normal 16 7 11 18" xfId="18595" xr:uid="{00000000-0005-0000-0000-0000EA150000}"/>
    <cellStyle name="Normal 16 7 11 19" xfId="17999" xr:uid="{00000000-0005-0000-0000-0000EB150000}"/>
    <cellStyle name="Normal 16 7 11 2" xfId="28138" xr:uid="{00000000-0005-0000-0000-0000EC150000}"/>
    <cellStyle name="Normal 16 7 11 20" xfId="16353" xr:uid="{00000000-0005-0000-0000-0000ED150000}"/>
    <cellStyle name="Normal 16 7 11 21" xfId="16229" xr:uid="{00000000-0005-0000-0000-0000EE150000}"/>
    <cellStyle name="Normal 16 7 11 22" xfId="15877" xr:uid="{00000000-0005-0000-0000-0000EF150000}"/>
    <cellStyle name="Normal 16 7 11 23" xfId="16565" xr:uid="{00000000-0005-0000-0000-0000F0150000}"/>
    <cellStyle name="Normal 16 7 11 24" xfId="17478" xr:uid="{00000000-0005-0000-0000-0000F1150000}"/>
    <cellStyle name="Normal 16 7 11 25" xfId="12985" xr:uid="{00000000-0005-0000-0000-0000F2150000}"/>
    <cellStyle name="Normal 16 7 11 26" xfId="14869" xr:uid="{00000000-0005-0000-0000-0000F3150000}"/>
    <cellStyle name="Normal 16 7 11 27" xfId="14814" xr:uid="{00000000-0005-0000-0000-0000F4150000}"/>
    <cellStyle name="Normal 16 7 11 28" xfId="12607" xr:uid="{00000000-0005-0000-0000-0000F5150000}"/>
    <cellStyle name="Normal 16 7 11 29" xfId="11464" xr:uid="{00000000-0005-0000-0000-0000F6150000}"/>
    <cellStyle name="Normal 16 7 11 3" xfId="27541" xr:uid="{00000000-0005-0000-0000-0000F7150000}"/>
    <cellStyle name="Normal 16 7 11 30" xfId="9502" xr:uid="{00000000-0005-0000-0000-0000F8150000}"/>
    <cellStyle name="Normal 16 7 11 31" xfId="5684" xr:uid="{00000000-0005-0000-0000-0000F9150000}"/>
    <cellStyle name="Normal 16 7 11 32" xfId="11575" xr:uid="{00000000-0005-0000-0000-0000FA150000}"/>
    <cellStyle name="Normal 16 7 11 33" xfId="11216" xr:uid="{00000000-0005-0000-0000-0000FB150000}"/>
    <cellStyle name="Normal 16 7 11 34" xfId="5588" xr:uid="{00000000-0005-0000-0000-0000FC150000}"/>
    <cellStyle name="Normal 16 7 11 35" xfId="9125" xr:uid="{00000000-0005-0000-0000-0000FD150000}"/>
    <cellStyle name="Normal 16 7 11 36" xfId="6353" xr:uid="{00000000-0005-0000-0000-0000FE150000}"/>
    <cellStyle name="Normal 16 7 11 37" xfId="10845" xr:uid="{00000000-0005-0000-0000-0000FF150000}"/>
    <cellStyle name="Normal 16 7 11 38" xfId="3598" xr:uid="{00000000-0005-0000-0000-000000160000}"/>
    <cellStyle name="Normal 16 7 11 39" xfId="6032" xr:uid="{00000000-0005-0000-0000-000001160000}"/>
    <cellStyle name="Normal 16 7 11 4" xfId="26944" xr:uid="{00000000-0005-0000-0000-000002160000}"/>
    <cellStyle name="Normal 16 7 11 40" xfId="6847" xr:uid="{00000000-0005-0000-0000-000003160000}"/>
    <cellStyle name="Normal 16 7 11 41" xfId="3454" xr:uid="{00000000-0005-0000-0000-000004160000}"/>
    <cellStyle name="Normal 16 7 11 42" xfId="10933" xr:uid="{00000000-0005-0000-0000-000005160000}"/>
    <cellStyle name="Normal 16 7 11 43" xfId="3440" xr:uid="{00000000-0005-0000-0000-000006160000}"/>
    <cellStyle name="Normal 16 7 11 5" xfId="26348" xr:uid="{00000000-0005-0000-0000-000007160000}"/>
    <cellStyle name="Normal 16 7 11 6" xfId="25752" xr:uid="{00000000-0005-0000-0000-000008160000}"/>
    <cellStyle name="Normal 16 7 11 7" xfId="25155" xr:uid="{00000000-0005-0000-0000-000009160000}"/>
    <cellStyle name="Normal 16 7 11 8" xfId="24558" xr:uid="{00000000-0005-0000-0000-00000A160000}"/>
    <cellStyle name="Normal 16 7 11 9" xfId="23961" xr:uid="{00000000-0005-0000-0000-00000B160000}"/>
    <cellStyle name="Normal 16 7 12" xfId="28736" xr:uid="{00000000-0005-0000-0000-00000C160000}"/>
    <cellStyle name="Normal 16 7 12 10" xfId="23363" xr:uid="{00000000-0005-0000-0000-00000D160000}"/>
    <cellStyle name="Normal 16 7 12 11" xfId="22766" xr:uid="{00000000-0005-0000-0000-00000E160000}"/>
    <cellStyle name="Normal 16 7 12 12" xfId="22170" xr:uid="{00000000-0005-0000-0000-00000F160000}"/>
    <cellStyle name="Normal 16 7 12 13" xfId="21573" xr:uid="{00000000-0005-0000-0000-000010160000}"/>
    <cellStyle name="Normal 16 7 12 14" xfId="20976" xr:uid="{00000000-0005-0000-0000-000011160000}"/>
    <cellStyle name="Normal 16 7 12 15" xfId="20379" xr:uid="{00000000-0005-0000-0000-000012160000}"/>
    <cellStyle name="Normal 16 7 12 16" xfId="19783" xr:uid="{00000000-0005-0000-0000-000013160000}"/>
    <cellStyle name="Normal 16 7 12 17" xfId="19187" xr:uid="{00000000-0005-0000-0000-000014160000}"/>
    <cellStyle name="Normal 16 7 12 18" xfId="18594" xr:uid="{00000000-0005-0000-0000-000015160000}"/>
    <cellStyle name="Normal 16 7 12 19" xfId="17998" xr:uid="{00000000-0005-0000-0000-000016160000}"/>
    <cellStyle name="Normal 16 7 12 2" xfId="28137" xr:uid="{00000000-0005-0000-0000-000017160000}"/>
    <cellStyle name="Normal 16 7 12 20" xfId="16543" xr:uid="{00000000-0005-0000-0000-000018160000}"/>
    <cellStyle name="Normal 16 7 12 21" xfId="15806" xr:uid="{00000000-0005-0000-0000-000019160000}"/>
    <cellStyle name="Normal 16 7 12 22" xfId="16284" xr:uid="{00000000-0005-0000-0000-00001A160000}"/>
    <cellStyle name="Normal 16 7 12 23" xfId="13987" xr:uid="{00000000-0005-0000-0000-00001B160000}"/>
    <cellStyle name="Normal 16 7 12 24" xfId="15044" xr:uid="{00000000-0005-0000-0000-00001C160000}"/>
    <cellStyle name="Normal 16 7 12 25" xfId="16469" xr:uid="{00000000-0005-0000-0000-00001D160000}"/>
    <cellStyle name="Normal 16 7 12 26" xfId="16397" xr:uid="{00000000-0005-0000-0000-00001E160000}"/>
    <cellStyle name="Normal 16 7 12 27" xfId="12885" xr:uid="{00000000-0005-0000-0000-00001F160000}"/>
    <cellStyle name="Normal 16 7 12 28" xfId="12606" xr:uid="{00000000-0005-0000-0000-000020160000}"/>
    <cellStyle name="Normal 16 7 12 29" xfId="11688" xr:uid="{00000000-0005-0000-0000-000021160000}"/>
    <cellStyle name="Normal 16 7 12 3" xfId="27540" xr:uid="{00000000-0005-0000-0000-000022160000}"/>
    <cellStyle name="Normal 16 7 12 30" xfId="6430" xr:uid="{00000000-0005-0000-0000-000023160000}"/>
    <cellStyle name="Normal 16 7 12 31" xfId="11500" xr:uid="{00000000-0005-0000-0000-000024160000}"/>
    <cellStyle name="Normal 16 7 12 32" xfId="7715" xr:uid="{00000000-0005-0000-0000-000025160000}"/>
    <cellStyle name="Normal 16 7 12 33" xfId="8257" xr:uid="{00000000-0005-0000-0000-000026160000}"/>
    <cellStyle name="Normal 16 7 12 34" xfId="9674" xr:uid="{00000000-0005-0000-0000-000027160000}"/>
    <cellStyle name="Normal 16 7 12 35" xfId="10899" xr:uid="{00000000-0005-0000-0000-000028160000}"/>
    <cellStyle name="Normal 16 7 12 36" xfId="4968" xr:uid="{00000000-0005-0000-0000-000029160000}"/>
    <cellStyle name="Normal 16 7 12 37" xfId="8424" xr:uid="{00000000-0005-0000-0000-00002A160000}"/>
    <cellStyle name="Normal 16 7 12 38" xfId="3611" xr:uid="{00000000-0005-0000-0000-00002B160000}"/>
    <cellStyle name="Normal 16 7 12 39" xfId="11211" xr:uid="{00000000-0005-0000-0000-00002C160000}"/>
    <cellStyle name="Normal 16 7 12 4" xfId="26943" xr:uid="{00000000-0005-0000-0000-00002D160000}"/>
    <cellStyle name="Normal 16 7 12 40" xfId="3706" xr:uid="{00000000-0005-0000-0000-00002E160000}"/>
    <cellStyle name="Normal 16 7 12 41" xfId="3386" xr:uid="{00000000-0005-0000-0000-00002F160000}"/>
    <cellStyle name="Normal 16 7 12 42" xfId="3236" xr:uid="{00000000-0005-0000-0000-000030160000}"/>
    <cellStyle name="Normal 16 7 12 43" xfId="4730" xr:uid="{00000000-0005-0000-0000-000031160000}"/>
    <cellStyle name="Normal 16 7 12 5" xfId="26347" xr:uid="{00000000-0005-0000-0000-000032160000}"/>
    <cellStyle name="Normal 16 7 12 6" xfId="25751" xr:uid="{00000000-0005-0000-0000-000033160000}"/>
    <cellStyle name="Normal 16 7 12 7" xfId="25154" xr:uid="{00000000-0005-0000-0000-000034160000}"/>
    <cellStyle name="Normal 16 7 12 8" xfId="24557" xr:uid="{00000000-0005-0000-0000-000035160000}"/>
    <cellStyle name="Normal 16 7 12 9" xfId="23960" xr:uid="{00000000-0005-0000-0000-000036160000}"/>
    <cellStyle name="Normal 16 7 13" xfId="28735" xr:uid="{00000000-0005-0000-0000-000037160000}"/>
    <cellStyle name="Normal 16 7 13 10" xfId="23362" xr:uid="{00000000-0005-0000-0000-000038160000}"/>
    <cellStyle name="Normal 16 7 13 11" xfId="22765" xr:uid="{00000000-0005-0000-0000-000039160000}"/>
    <cellStyle name="Normal 16 7 13 12" xfId="22169" xr:uid="{00000000-0005-0000-0000-00003A160000}"/>
    <cellStyle name="Normal 16 7 13 13" xfId="21572" xr:uid="{00000000-0005-0000-0000-00003B160000}"/>
    <cellStyle name="Normal 16 7 13 14" xfId="20975" xr:uid="{00000000-0005-0000-0000-00003C160000}"/>
    <cellStyle name="Normal 16 7 13 15" xfId="20378" xr:uid="{00000000-0005-0000-0000-00003D160000}"/>
    <cellStyle name="Normal 16 7 13 16" xfId="19782" xr:uid="{00000000-0005-0000-0000-00003E160000}"/>
    <cellStyle name="Normal 16 7 13 17" xfId="19186" xr:uid="{00000000-0005-0000-0000-00003F160000}"/>
    <cellStyle name="Normal 16 7 13 18" xfId="18593" xr:uid="{00000000-0005-0000-0000-000040160000}"/>
    <cellStyle name="Normal 16 7 13 19" xfId="17997" xr:uid="{00000000-0005-0000-0000-000041160000}"/>
    <cellStyle name="Normal 16 7 13 2" xfId="28136" xr:uid="{00000000-0005-0000-0000-000042160000}"/>
    <cellStyle name="Normal 16 7 13 20" xfId="16737" xr:uid="{00000000-0005-0000-0000-000043160000}"/>
    <cellStyle name="Normal 16 7 13 21" xfId="15403" xr:uid="{00000000-0005-0000-0000-000044160000}"/>
    <cellStyle name="Normal 16 7 13 22" xfId="16491" xr:uid="{00000000-0005-0000-0000-000045160000}"/>
    <cellStyle name="Normal 16 7 13 23" xfId="13763" xr:uid="{00000000-0005-0000-0000-000046160000}"/>
    <cellStyle name="Normal 16 7 13 24" xfId="13695" xr:uid="{00000000-0005-0000-0000-000047160000}"/>
    <cellStyle name="Normal 16 7 13 25" xfId="16494" xr:uid="{00000000-0005-0000-0000-000048160000}"/>
    <cellStyle name="Normal 16 7 13 26" xfId="12814" xr:uid="{00000000-0005-0000-0000-000049160000}"/>
    <cellStyle name="Normal 16 7 13 27" xfId="16311" xr:uid="{00000000-0005-0000-0000-00004A160000}"/>
    <cellStyle name="Normal 16 7 13 28" xfId="12605" xr:uid="{00000000-0005-0000-0000-00004B160000}"/>
    <cellStyle name="Normal 16 7 13 29" xfId="6979" xr:uid="{00000000-0005-0000-0000-00004C160000}"/>
    <cellStyle name="Normal 16 7 13 3" xfId="27539" xr:uid="{00000000-0005-0000-0000-00004D160000}"/>
    <cellStyle name="Normal 16 7 13 30" xfId="11291" xr:uid="{00000000-0005-0000-0000-00004E160000}"/>
    <cellStyle name="Normal 16 7 13 31" xfId="9509" xr:uid="{00000000-0005-0000-0000-00004F160000}"/>
    <cellStyle name="Normal 16 7 13 32" xfId="7778" xr:uid="{00000000-0005-0000-0000-000050160000}"/>
    <cellStyle name="Normal 16 7 13 33" xfId="7609" xr:uid="{00000000-0005-0000-0000-000051160000}"/>
    <cellStyle name="Normal 16 7 13 34" xfId="9959" xr:uid="{00000000-0005-0000-0000-000052160000}"/>
    <cellStyle name="Normal 16 7 13 35" xfId="4909" xr:uid="{00000000-0005-0000-0000-000053160000}"/>
    <cellStyle name="Normal 16 7 13 36" xfId="4858" xr:uid="{00000000-0005-0000-0000-000054160000}"/>
    <cellStyle name="Normal 16 7 13 37" xfId="7970" xr:uid="{00000000-0005-0000-0000-000055160000}"/>
    <cellStyle name="Normal 16 7 13 38" xfId="6918" xr:uid="{00000000-0005-0000-0000-000056160000}"/>
    <cellStyle name="Normal 16 7 13 39" xfId="7897" xr:uid="{00000000-0005-0000-0000-000057160000}"/>
    <cellStyle name="Normal 16 7 13 4" xfId="26942" xr:uid="{00000000-0005-0000-0000-000058160000}"/>
    <cellStyle name="Normal 16 7 13 40" xfId="9356" xr:uid="{00000000-0005-0000-0000-000059160000}"/>
    <cellStyle name="Normal 16 7 13 41" xfId="6667" xr:uid="{00000000-0005-0000-0000-00005A160000}"/>
    <cellStyle name="Normal 16 7 13 42" xfId="5225" xr:uid="{00000000-0005-0000-0000-00005B160000}"/>
    <cellStyle name="Normal 16 7 13 43" xfId="10028" xr:uid="{00000000-0005-0000-0000-00005C160000}"/>
    <cellStyle name="Normal 16 7 13 5" xfId="26346" xr:uid="{00000000-0005-0000-0000-00005D160000}"/>
    <cellStyle name="Normal 16 7 13 6" xfId="25750" xr:uid="{00000000-0005-0000-0000-00005E160000}"/>
    <cellStyle name="Normal 16 7 13 7" xfId="25153" xr:uid="{00000000-0005-0000-0000-00005F160000}"/>
    <cellStyle name="Normal 16 7 13 8" xfId="24556" xr:uid="{00000000-0005-0000-0000-000060160000}"/>
    <cellStyle name="Normal 16 7 13 9" xfId="23959" xr:uid="{00000000-0005-0000-0000-000061160000}"/>
    <cellStyle name="Normal 16 7 14" xfId="28734" xr:uid="{00000000-0005-0000-0000-000062160000}"/>
    <cellStyle name="Normal 16 7 14 10" xfId="23361" xr:uid="{00000000-0005-0000-0000-000063160000}"/>
    <cellStyle name="Normal 16 7 14 11" xfId="22764" xr:uid="{00000000-0005-0000-0000-000064160000}"/>
    <cellStyle name="Normal 16 7 14 12" xfId="22168" xr:uid="{00000000-0005-0000-0000-000065160000}"/>
    <cellStyle name="Normal 16 7 14 13" xfId="21571" xr:uid="{00000000-0005-0000-0000-000066160000}"/>
    <cellStyle name="Normal 16 7 14 14" xfId="20974" xr:uid="{00000000-0005-0000-0000-000067160000}"/>
    <cellStyle name="Normal 16 7 14 15" xfId="20377" xr:uid="{00000000-0005-0000-0000-000068160000}"/>
    <cellStyle name="Normal 16 7 14 16" xfId="19781" xr:uid="{00000000-0005-0000-0000-000069160000}"/>
    <cellStyle name="Normal 16 7 14 17" xfId="19185" xr:uid="{00000000-0005-0000-0000-00006A160000}"/>
    <cellStyle name="Normal 16 7 14 18" xfId="18592" xr:uid="{00000000-0005-0000-0000-00006B160000}"/>
    <cellStyle name="Normal 16 7 14 19" xfId="17996" xr:uid="{00000000-0005-0000-0000-00006C160000}"/>
    <cellStyle name="Normal 16 7 14 2" xfId="28135" xr:uid="{00000000-0005-0000-0000-00006D160000}"/>
    <cellStyle name="Normal 16 7 14 20" xfId="15925" xr:uid="{00000000-0005-0000-0000-00006E160000}"/>
    <cellStyle name="Normal 16 7 14 21" xfId="15790" xr:uid="{00000000-0005-0000-0000-00006F160000}"/>
    <cellStyle name="Normal 16 7 14 22" xfId="17080" xr:uid="{00000000-0005-0000-0000-000070160000}"/>
    <cellStyle name="Normal 16 7 14 23" xfId="14114" xr:uid="{00000000-0005-0000-0000-000071160000}"/>
    <cellStyle name="Normal 16 7 14 24" xfId="16276" xr:uid="{00000000-0005-0000-0000-000072160000}"/>
    <cellStyle name="Normal 16 7 14 25" xfId="13054" xr:uid="{00000000-0005-0000-0000-000073160000}"/>
    <cellStyle name="Normal 16 7 14 26" xfId="13279" xr:uid="{00000000-0005-0000-0000-000074160000}"/>
    <cellStyle name="Normal 16 7 14 27" xfId="14264" xr:uid="{00000000-0005-0000-0000-000075160000}"/>
    <cellStyle name="Normal 16 7 14 28" xfId="12604" xr:uid="{00000000-0005-0000-0000-000076160000}"/>
    <cellStyle name="Normal 16 7 14 29" xfId="7864" xr:uid="{00000000-0005-0000-0000-000077160000}"/>
    <cellStyle name="Normal 16 7 14 3" xfId="27538" xr:uid="{00000000-0005-0000-0000-000078160000}"/>
    <cellStyle name="Normal 16 7 14 30" xfId="7315" xr:uid="{00000000-0005-0000-0000-000079160000}"/>
    <cellStyle name="Normal 16 7 14 31" xfId="9049" xr:uid="{00000000-0005-0000-0000-00007A160000}"/>
    <cellStyle name="Normal 16 7 14 32" xfId="5244" xr:uid="{00000000-0005-0000-0000-00007B160000}"/>
    <cellStyle name="Normal 16 7 14 33" xfId="11356" xr:uid="{00000000-0005-0000-0000-00007C160000}"/>
    <cellStyle name="Normal 16 7 14 34" xfId="9832" xr:uid="{00000000-0005-0000-0000-00007D160000}"/>
    <cellStyle name="Normal 16 7 14 35" xfId="5730" xr:uid="{00000000-0005-0000-0000-00007E160000}"/>
    <cellStyle name="Normal 16 7 14 36" xfId="9284" xr:uid="{00000000-0005-0000-0000-00007F160000}"/>
    <cellStyle name="Normal 16 7 14 37" xfId="4155" xr:uid="{00000000-0005-0000-0000-000080160000}"/>
    <cellStyle name="Normal 16 7 14 38" xfId="11456" xr:uid="{00000000-0005-0000-0000-000081160000}"/>
    <cellStyle name="Normal 16 7 14 39" xfId="9117" xr:uid="{00000000-0005-0000-0000-000082160000}"/>
    <cellStyle name="Normal 16 7 14 4" xfId="26941" xr:uid="{00000000-0005-0000-0000-000083160000}"/>
    <cellStyle name="Normal 16 7 14 40" xfId="3527" xr:uid="{00000000-0005-0000-0000-000084160000}"/>
    <cellStyle name="Normal 16 7 14 41" xfId="6056" xr:uid="{00000000-0005-0000-0000-000085160000}"/>
    <cellStyle name="Normal 16 7 14 42" xfId="5001" xr:uid="{00000000-0005-0000-0000-000086160000}"/>
    <cellStyle name="Normal 16 7 14 43" xfId="6028" xr:uid="{00000000-0005-0000-0000-000087160000}"/>
    <cellStyle name="Normal 16 7 14 5" xfId="26345" xr:uid="{00000000-0005-0000-0000-000088160000}"/>
    <cellStyle name="Normal 16 7 14 6" xfId="25749" xr:uid="{00000000-0005-0000-0000-000089160000}"/>
    <cellStyle name="Normal 16 7 14 7" xfId="25152" xr:uid="{00000000-0005-0000-0000-00008A160000}"/>
    <cellStyle name="Normal 16 7 14 8" xfId="24555" xr:uid="{00000000-0005-0000-0000-00008B160000}"/>
    <cellStyle name="Normal 16 7 14 9" xfId="23958" xr:uid="{00000000-0005-0000-0000-00008C160000}"/>
    <cellStyle name="Normal 16 7 15" xfId="28733" xr:uid="{00000000-0005-0000-0000-00008D160000}"/>
    <cellStyle name="Normal 16 7 15 10" xfId="23360" xr:uid="{00000000-0005-0000-0000-00008E160000}"/>
    <cellStyle name="Normal 16 7 15 11" xfId="22763" xr:uid="{00000000-0005-0000-0000-00008F160000}"/>
    <cellStyle name="Normal 16 7 15 12" xfId="22167" xr:uid="{00000000-0005-0000-0000-000090160000}"/>
    <cellStyle name="Normal 16 7 15 13" xfId="21570" xr:uid="{00000000-0005-0000-0000-000091160000}"/>
    <cellStyle name="Normal 16 7 15 14" xfId="20973" xr:uid="{00000000-0005-0000-0000-000092160000}"/>
    <cellStyle name="Normal 16 7 15 15" xfId="20376" xr:uid="{00000000-0005-0000-0000-000093160000}"/>
    <cellStyle name="Normal 16 7 15 16" xfId="19780" xr:uid="{00000000-0005-0000-0000-000094160000}"/>
    <cellStyle name="Normal 16 7 15 17" xfId="19184" xr:uid="{00000000-0005-0000-0000-000095160000}"/>
    <cellStyle name="Normal 16 7 15 18" xfId="18591" xr:uid="{00000000-0005-0000-0000-000096160000}"/>
    <cellStyle name="Normal 16 7 15 19" xfId="17995" xr:uid="{00000000-0005-0000-0000-000097160000}"/>
    <cellStyle name="Normal 16 7 15 2" xfId="28134" xr:uid="{00000000-0005-0000-0000-000098160000}"/>
    <cellStyle name="Normal 16 7 15 20" xfId="16133" xr:uid="{00000000-0005-0000-0000-000099160000}"/>
    <cellStyle name="Normal 16 7 15 21" xfId="17028" xr:uid="{00000000-0005-0000-0000-00009A160000}"/>
    <cellStyle name="Normal 16 7 15 22" xfId="15488" xr:uid="{00000000-0005-0000-0000-00009B160000}"/>
    <cellStyle name="Normal 16 7 15 23" xfId="14585" xr:uid="{00000000-0005-0000-0000-00009C160000}"/>
    <cellStyle name="Normal 16 7 15 24" xfId="14756" xr:uid="{00000000-0005-0000-0000-00009D160000}"/>
    <cellStyle name="Normal 16 7 15 25" xfId="14013" xr:uid="{00000000-0005-0000-0000-00009E160000}"/>
    <cellStyle name="Normal 16 7 15 26" xfId="12958" xr:uid="{00000000-0005-0000-0000-00009F160000}"/>
    <cellStyle name="Normal 16 7 15 27" xfId="12831" xr:uid="{00000000-0005-0000-0000-0000A0160000}"/>
    <cellStyle name="Normal 16 7 15 28" xfId="12603" xr:uid="{00000000-0005-0000-0000-0000A1160000}"/>
    <cellStyle name="Normal 16 7 15 29" xfId="6456" xr:uid="{00000000-0005-0000-0000-0000A2160000}"/>
    <cellStyle name="Normal 16 7 15 3" xfId="27537" xr:uid="{00000000-0005-0000-0000-0000A3160000}"/>
    <cellStyle name="Normal 16 7 15 30" xfId="7911" xr:uid="{00000000-0005-0000-0000-0000A4160000}"/>
    <cellStyle name="Normal 16 7 15 31" xfId="10148" xr:uid="{00000000-0005-0000-0000-0000A5160000}"/>
    <cellStyle name="Normal 16 7 15 32" xfId="5325" xr:uid="{00000000-0005-0000-0000-0000A6160000}"/>
    <cellStyle name="Normal 16 7 15 33" xfId="5205" xr:uid="{00000000-0005-0000-0000-0000A7160000}"/>
    <cellStyle name="Normal 16 7 15 34" xfId="11888" xr:uid="{00000000-0005-0000-0000-0000A8160000}"/>
    <cellStyle name="Normal 16 7 15 35" xfId="11204" xr:uid="{00000000-0005-0000-0000-0000A9160000}"/>
    <cellStyle name="Normal 16 7 15 36" xfId="4766" xr:uid="{00000000-0005-0000-0000-0000AA160000}"/>
    <cellStyle name="Normal 16 7 15 37" xfId="9969" xr:uid="{00000000-0005-0000-0000-0000AB160000}"/>
    <cellStyle name="Normal 16 7 15 38" xfId="8686" xr:uid="{00000000-0005-0000-0000-0000AC160000}"/>
    <cellStyle name="Normal 16 7 15 39" xfId="5043" xr:uid="{00000000-0005-0000-0000-0000AD160000}"/>
    <cellStyle name="Normal 16 7 15 4" xfId="26940" xr:uid="{00000000-0005-0000-0000-0000AE160000}"/>
    <cellStyle name="Normal 16 7 15 40" xfId="7625" xr:uid="{00000000-0005-0000-0000-0000AF160000}"/>
    <cellStyle name="Normal 16 7 15 41" xfId="12019" xr:uid="{00000000-0005-0000-0000-0000B0160000}"/>
    <cellStyle name="Normal 16 7 15 42" xfId="3123" xr:uid="{00000000-0005-0000-0000-0000B1160000}"/>
    <cellStyle name="Normal 16 7 15 43" xfId="3257" xr:uid="{00000000-0005-0000-0000-0000B2160000}"/>
    <cellStyle name="Normal 16 7 15 5" xfId="26344" xr:uid="{00000000-0005-0000-0000-0000B3160000}"/>
    <cellStyle name="Normal 16 7 15 6" xfId="25748" xr:uid="{00000000-0005-0000-0000-0000B4160000}"/>
    <cellStyle name="Normal 16 7 15 7" xfId="25151" xr:uid="{00000000-0005-0000-0000-0000B5160000}"/>
    <cellStyle name="Normal 16 7 15 8" xfId="24554" xr:uid="{00000000-0005-0000-0000-0000B6160000}"/>
    <cellStyle name="Normal 16 7 15 9" xfId="23957" xr:uid="{00000000-0005-0000-0000-0000B7160000}"/>
    <cellStyle name="Normal 16 7 16" xfId="28732" xr:uid="{00000000-0005-0000-0000-0000B8160000}"/>
    <cellStyle name="Normal 16 7 16 10" xfId="23359" xr:uid="{00000000-0005-0000-0000-0000B9160000}"/>
    <cellStyle name="Normal 16 7 16 11" xfId="22762" xr:uid="{00000000-0005-0000-0000-0000BA160000}"/>
    <cellStyle name="Normal 16 7 16 12" xfId="22166" xr:uid="{00000000-0005-0000-0000-0000BB160000}"/>
    <cellStyle name="Normal 16 7 16 13" xfId="21569" xr:uid="{00000000-0005-0000-0000-0000BC160000}"/>
    <cellStyle name="Normal 16 7 16 14" xfId="20972" xr:uid="{00000000-0005-0000-0000-0000BD160000}"/>
    <cellStyle name="Normal 16 7 16 15" xfId="20375" xr:uid="{00000000-0005-0000-0000-0000BE160000}"/>
    <cellStyle name="Normal 16 7 16 16" xfId="19779" xr:uid="{00000000-0005-0000-0000-0000BF160000}"/>
    <cellStyle name="Normal 16 7 16 17" xfId="19183" xr:uid="{00000000-0005-0000-0000-0000C0160000}"/>
    <cellStyle name="Normal 16 7 16 18" xfId="18590" xr:uid="{00000000-0005-0000-0000-0000C1160000}"/>
    <cellStyle name="Normal 16 7 16 19" xfId="17994" xr:uid="{00000000-0005-0000-0000-0000C2160000}"/>
    <cellStyle name="Normal 16 7 16 2" xfId="28133" xr:uid="{00000000-0005-0000-0000-0000C3160000}"/>
    <cellStyle name="Normal 16 7 16 20" xfId="16334" xr:uid="{00000000-0005-0000-0000-0000C4160000}"/>
    <cellStyle name="Normal 16 7 16 21" xfId="16634" xr:uid="{00000000-0005-0000-0000-0000C5160000}"/>
    <cellStyle name="Normal 16 7 16 22" xfId="14069" xr:uid="{00000000-0005-0000-0000-0000C6160000}"/>
    <cellStyle name="Normal 16 7 16 23" xfId="17206" xr:uid="{00000000-0005-0000-0000-0000C7160000}"/>
    <cellStyle name="Normal 16 7 16 24" xfId="13379" xr:uid="{00000000-0005-0000-0000-0000C8160000}"/>
    <cellStyle name="Normal 16 7 16 25" xfId="15170" xr:uid="{00000000-0005-0000-0000-0000C9160000}"/>
    <cellStyle name="Normal 16 7 16 26" xfId="13503" xr:uid="{00000000-0005-0000-0000-0000CA160000}"/>
    <cellStyle name="Normal 16 7 16 27" xfId="13209" xr:uid="{00000000-0005-0000-0000-0000CB160000}"/>
    <cellStyle name="Normal 16 7 16 28" xfId="12602" xr:uid="{00000000-0005-0000-0000-0000CC160000}"/>
    <cellStyle name="Normal 16 7 16 29" xfId="7286" xr:uid="{00000000-0005-0000-0000-0000CD160000}"/>
    <cellStyle name="Normal 16 7 16 3" xfId="27536" xr:uid="{00000000-0005-0000-0000-0000CE160000}"/>
    <cellStyle name="Normal 16 7 16 30" xfId="6683" xr:uid="{00000000-0005-0000-0000-0000CF160000}"/>
    <cellStyle name="Normal 16 7 16 31" xfId="9227" xr:uid="{00000000-0005-0000-0000-0000D0160000}"/>
    <cellStyle name="Normal 16 7 16 32" xfId="10835" xr:uid="{00000000-0005-0000-0000-0000D1160000}"/>
    <cellStyle name="Normal 16 7 16 33" xfId="10640" xr:uid="{00000000-0005-0000-0000-0000D2160000}"/>
    <cellStyle name="Normal 16 7 16 34" xfId="11708" xr:uid="{00000000-0005-0000-0000-0000D3160000}"/>
    <cellStyle name="Normal 16 7 16 35" xfId="11108" xr:uid="{00000000-0005-0000-0000-0000D4160000}"/>
    <cellStyle name="Normal 16 7 16 36" xfId="9953" xr:uid="{00000000-0005-0000-0000-0000D5160000}"/>
    <cellStyle name="Normal 16 7 16 37" xfId="4571" xr:uid="{00000000-0005-0000-0000-0000D6160000}"/>
    <cellStyle name="Normal 16 7 16 38" xfId="3752" xr:uid="{00000000-0005-0000-0000-0000D7160000}"/>
    <cellStyle name="Normal 16 7 16 39" xfId="3462" xr:uid="{00000000-0005-0000-0000-0000D8160000}"/>
    <cellStyle name="Normal 16 7 16 4" xfId="26939" xr:uid="{00000000-0005-0000-0000-0000D9160000}"/>
    <cellStyle name="Normal 16 7 16 40" xfId="10885" xr:uid="{00000000-0005-0000-0000-0000DA160000}"/>
    <cellStyle name="Normal 16 7 16 41" xfId="6288" xr:uid="{00000000-0005-0000-0000-0000DB160000}"/>
    <cellStyle name="Normal 16 7 16 42" xfId="9699" xr:uid="{00000000-0005-0000-0000-0000DC160000}"/>
    <cellStyle name="Normal 16 7 16 43" xfId="11929" xr:uid="{00000000-0005-0000-0000-0000DD160000}"/>
    <cellStyle name="Normal 16 7 16 5" xfId="26343" xr:uid="{00000000-0005-0000-0000-0000DE160000}"/>
    <cellStyle name="Normal 16 7 16 6" xfId="25747" xr:uid="{00000000-0005-0000-0000-0000DF160000}"/>
    <cellStyle name="Normal 16 7 16 7" xfId="25150" xr:uid="{00000000-0005-0000-0000-0000E0160000}"/>
    <cellStyle name="Normal 16 7 16 8" xfId="24553" xr:uid="{00000000-0005-0000-0000-0000E1160000}"/>
    <cellStyle name="Normal 16 7 16 9" xfId="23956" xr:uid="{00000000-0005-0000-0000-0000E2160000}"/>
    <cellStyle name="Normal 16 7 17" xfId="28731" xr:uid="{00000000-0005-0000-0000-0000E3160000}"/>
    <cellStyle name="Normal 16 7 17 10" xfId="23358" xr:uid="{00000000-0005-0000-0000-0000E4160000}"/>
    <cellStyle name="Normal 16 7 17 11" xfId="22761" xr:uid="{00000000-0005-0000-0000-0000E5160000}"/>
    <cellStyle name="Normal 16 7 17 12" xfId="22165" xr:uid="{00000000-0005-0000-0000-0000E6160000}"/>
    <cellStyle name="Normal 16 7 17 13" xfId="21568" xr:uid="{00000000-0005-0000-0000-0000E7160000}"/>
    <cellStyle name="Normal 16 7 17 14" xfId="20971" xr:uid="{00000000-0005-0000-0000-0000E8160000}"/>
    <cellStyle name="Normal 16 7 17 15" xfId="20374" xr:uid="{00000000-0005-0000-0000-0000E9160000}"/>
    <cellStyle name="Normal 16 7 17 16" xfId="19778" xr:uid="{00000000-0005-0000-0000-0000EA160000}"/>
    <cellStyle name="Normal 16 7 17 17" xfId="19182" xr:uid="{00000000-0005-0000-0000-0000EB160000}"/>
    <cellStyle name="Normal 16 7 17 18" xfId="18589" xr:uid="{00000000-0005-0000-0000-0000EC160000}"/>
    <cellStyle name="Normal 16 7 17 19" xfId="17993" xr:uid="{00000000-0005-0000-0000-0000ED160000}"/>
    <cellStyle name="Normal 16 7 17 2" xfId="28132" xr:uid="{00000000-0005-0000-0000-0000EE160000}"/>
    <cellStyle name="Normal 16 7 17 20" xfId="16524" xr:uid="{00000000-0005-0000-0000-0000EF160000}"/>
    <cellStyle name="Normal 16 7 17 21" xfId="16222" xr:uid="{00000000-0005-0000-0000-0000F0160000}"/>
    <cellStyle name="Normal 16 7 17 22" xfId="14958" xr:uid="{00000000-0005-0000-0000-0000F1160000}"/>
    <cellStyle name="Normal 16 7 17 23" xfId="13736" xr:uid="{00000000-0005-0000-0000-0000F2160000}"/>
    <cellStyle name="Normal 16 7 17 24" xfId="17283" xr:uid="{00000000-0005-0000-0000-0000F3160000}"/>
    <cellStyle name="Normal 16 7 17 25" xfId="17481" xr:uid="{00000000-0005-0000-0000-0000F4160000}"/>
    <cellStyle name="Normal 16 7 17 26" xfId="12868" xr:uid="{00000000-0005-0000-0000-0000F5160000}"/>
    <cellStyle name="Normal 16 7 17 27" xfId="17452" xr:uid="{00000000-0005-0000-0000-0000F6160000}"/>
    <cellStyle name="Normal 16 7 17 28" xfId="12601" xr:uid="{00000000-0005-0000-0000-0000F7160000}"/>
    <cellStyle name="Normal 16 7 17 29" xfId="7468" xr:uid="{00000000-0005-0000-0000-0000F8160000}"/>
    <cellStyle name="Normal 16 7 17 3" xfId="27535" xr:uid="{00000000-0005-0000-0000-0000F9160000}"/>
    <cellStyle name="Normal 16 7 17 30" xfId="5854" xr:uid="{00000000-0005-0000-0000-0000FA160000}"/>
    <cellStyle name="Normal 16 7 17 31" xfId="11944" xr:uid="{00000000-0005-0000-0000-0000FB160000}"/>
    <cellStyle name="Normal 16 7 17 32" xfId="7756" xr:uid="{00000000-0005-0000-0000-0000FC160000}"/>
    <cellStyle name="Normal 16 7 17 33" xfId="12029" xr:uid="{00000000-0005-0000-0000-0000FD160000}"/>
    <cellStyle name="Normal 16 7 17 34" xfId="10516" xr:uid="{00000000-0005-0000-0000-0000FE160000}"/>
    <cellStyle name="Normal 16 7 17 35" xfId="5583" xr:uid="{00000000-0005-0000-0000-0000FF160000}"/>
    <cellStyle name="Normal 16 7 17 36" xfId="4762" xr:uid="{00000000-0005-0000-0000-000000170000}"/>
    <cellStyle name="Normal 16 7 17 37" xfId="4702" xr:uid="{00000000-0005-0000-0000-000001170000}"/>
    <cellStyle name="Normal 16 7 17 38" xfId="8717" xr:uid="{00000000-0005-0000-0000-000002170000}"/>
    <cellStyle name="Normal 16 7 17 39" xfId="3472" xr:uid="{00000000-0005-0000-0000-000003170000}"/>
    <cellStyle name="Normal 16 7 17 4" xfId="26938" xr:uid="{00000000-0005-0000-0000-000004170000}"/>
    <cellStyle name="Normal 16 7 17 40" xfId="7969" xr:uid="{00000000-0005-0000-0000-000005170000}"/>
    <cellStyle name="Normal 16 7 17 41" xfId="3991" xr:uid="{00000000-0005-0000-0000-000006170000}"/>
    <cellStyle name="Normal 16 7 17 42" xfId="11425" xr:uid="{00000000-0005-0000-0000-000007170000}"/>
    <cellStyle name="Normal 16 7 17 43" xfId="3617" xr:uid="{00000000-0005-0000-0000-000008170000}"/>
    <cellStyle name="Normal 16 7 17 5" xfId="26342" xr:uid="{00000000-0005-0000-0000-000009170000}"/>
    <cellStyle name="Normal 16 7 17 6" xfId="25746" xr:uid="{00000000-0005-0000-0000-00000A170000}"/>
    <cellStyle name="Normal 16 7 17 7" xfId="25149" xr:uid="{00000000-0005-0000-0000-00000B170000}"/>
    <cellStyle name="Normal 16 7 17 8" xfId="24552" xr:uid="{00000000-0005-0000-0000-00000C170000}"/>
    <cellStyle name="Normal 16 7 17 9" xfId="23955" xr:uid="{00000000-0005-0000-0000-00000D170000}"/>
    <cellStyle name="Normal 16 7 18" xfId="28730" xr:uid="{00000000-0005-0000-0000-00000E170000}"/>
    <cellStyle name="Normal 16 7 18 10" xfId="23357" xr:uid="{00000000-0005-0000-0000-00000F170000}"/>
    <cellStyle name="Normal 16 7 18 11" xfId="22760" xr:uid="{00000000-0005-0000-0000-000010170000}"/>
    <cellStyle name="Normal 16 7 18 12" xfId="22164" xr:uid="{00000000-0005-0000-0000-000011170000}"/>
    <cellStyle name="Normal 16 7 18 13" xfId="21567" xr:uid="{00000000-0005-0000-0000-000012170000}"/>
    <cellStyle name="Normal 16 7 18 14" xfId="20970" xr:uid="{00000000-0005-0000-0000-000013170000}"/>
    <cellStyle name="Normal 16 7 18 15" xfId="20373" xr:uid="{00000000-0005-0000-0000-000014170000}"/>
    <cellStyle name="Normal 16 7 18 16" xfId="19777" xr:uid="{00000000-0005-0000-0000-000015170000}"/>
    <cellStyle name="Normal 16 7 18 17" xfId="19181" xr:uid="{00000000-0005-0000-0000-000016170000}"/>
    <cellStyle name="Normal 16 7 18 18" xfId="18588" xr:uid="{00000000-0005-0000-0000-000017170000}"/>
    <cellStyle name="Normal 16 7 18 19" xfId="17992" xr:uid="{00000000-0005-0000-0000-000018170000}"/>
    <cellStyle name="Normal 16 7 18 2" xfId="28131" xr:uid="{00000000-0005-0000-0000-000019170000}"/>
    <cellStyle name="Normal 16 7 18 20" xfId="16718" xr:uid="{00000000-0005-0000-0000-00001A170000}"/>
    <cellStyle name="Normal 16 7 18 21" xfId="15797" xr:uid="{00000000-0005-0000-0000-00001B170000}"/>
    <cellStyle name="Normal 16 7 18 22" xfId="14096" xr:uid="{00000000-0005-0000-0000-00001C170000}"/>
    <cellStyle name="Normal 16 7 18 23" xfId="16086" xr:uid="{00000000-0005-0000-0000-00001D170000}"/>
    <cellStyle name="Normal 16 7 18 24" xfId="13046" xr:uid="{00000000-0005-0000-0000-00001E170000}"/>
    <cellStyle name="Normal 16 7 18 25" xfId="13855" xr:uid="{00000000-0005-0000-0000-00001F170000}"/>
    <cellStyle name="Normal 16 7 18 26" xfId="15903" xr:uid="{00000000-0005-0000-0000-000020170000}"/>
    <cellStyle name="Normal 16 7 18 27" xfId="17093" xr:uid="{00000000-0005-0000-0000-000021170000}"/>
    <cellStyle name="Normal 16 7 18 28" xfId="12600" xr:uid="{00000000-0005-0000-0000-000022170000}"/>
    <cellStyle name="Normal 16 7 18 29" xfId="6678" xr:uid="{00000000-0005-0000-0000-000023170000}"/>
    <cellStyle name="Normal 16 7 18 3" xfId="27534" xr:uid="{00000000-0005-0000-0000-000024170000}"/>
    <cellStyle name="Normal 16 7 18 30" xfId="7180" xr:uid="{00000000-0005-0000-0000-000025170000}"/>
    <cellStyle name="Normal 16 7 18 31" xfId="7848" xr:uid="{00000000-0005-0000-0000-000026170000}"/>
    <cellStyle name="Normal 16 7 18 32" xfId="10419" xr:uid="{00000000-0005-0000-0000-000027170000}"/>
    <cellStyle name="Normal 16 7 18 33" xfId="4830" xr:uid="{00000000-0005-0000-0000-000028170000}"/>
    <cellStyle name="Normal 16 7 18 34" xfId="4924" xr:uid="{00000000-0005-0000-0000-000029170000}"/>
    <cellStyle name="Normal 16 7 18 35" xfId="5686" xr:uid="{00000000-0005-0000-0000-00002A170000}"/>
    <cellStyle name="Normal 16 7 18 36" xfId="6016" xr:uid="{00000000-0005-0000-0000-00002B170000}"/>
    <cellStyle name="Normal 16 7 18 37" xfId="6929" xr:uid="{00000000-0005-0000-0000-00002C170000}"/>
    <cellStyle name="Normal 16 7 18 38" xfId="8374" xr:uid="{00000000-0005-0000-0000-00002D170000}"/>
    <cellStyle name="Normal 16 7 18 39" xfId="4244" xr:uid="{00000000-0005-0000-0000-00002E170000}"/>
    <cellStyle name="Normal 16 7 18 4" xfId="26937" xr:uid="{00000000-0005-0000-0000-00002F170000}"/>
    <cellStyle name="Normal 16 7 18 40" xfId="5167" xr:uid="{00000000-0005-0000-0000-000030170000}"/>
    <cellStyle name="Normal 16 7 18 41" xfId="6702" xr:uid="{00000000-0005-0000-0000-000031170000}"/>
    <cellStyle name="Normal 16 7 18 42" xfId="11573" xr:uid="{00000000-0005-0000-0000-000032170000}"/>
    <cellStyle name="Normal 16 7 18 43" xfId="3086" xr:uid="{00000000-0005-0000-0000-000033170000}"/>
    <cellStyle name="Normal 16 7 18 5" xfId="26341" xr:uid="{00000000-0005-0000-0000-000034170000}"/>
    <cellStyle name="Normal 16 7 18 6" xfId="25745" xr:uid="{00000000-0005-0000-0000-000035170000}"/>
    <cellStyle name="Normal 16 7 18 7" xfId="25148" xr:uid="{00000000-0005-0000-0000-000036170000}"/>
    <cellStyle name="Normal 16 7 18 8" xfId="24551" xr:uid="{00000000-0005-0000-0000-000037170000}"/>
    <cellStyle name="Normal 16 7 18 9" xfId="23954" xr:uid="{00000000-0005-0000-0000-000038170000}"/>
    <cellStyle name="Normal 16 7 19" xfId="28729" xr:uid="{00000000-0005-0000-0000-000039170000}"/>
    <cellStyle name="Normal 16 7 19 10" xfId="23356" xr:uid="{00000000-0005-0000-0000-00003A170000}"/>
    <cellStyle name="Normal 16 7 19 11" xfId="22759" xr:uid="{00000000-0005-0000-0000-00003B170000}"/>
    <cellStyle name="Normal 16 7 19 12" xfId="22163" xr:uid="{00000000-0005-0000-0000-00003C170000}"/>
    <cellStyle name="Normal 16 7 19 13" xfId="21566" xr:uid="{00000000-0005-0000-0000-00003D170000}"/>
    <cellStyle name="Normal 16 7 19 14" xfId="20969" xr:uid="{00000000-0005-0000-0000-00003E170000}"/>
    <cellStyle name="Normal 16 7 19 15" xfId="20372" xr:uid="{00000000-0005-0000-0000-00003F170000}"/>
    <cellStyle name="Normal 16 7 19 16" xfId="19776" xr:uid="{00000000-0005-0000-0000-000040170000}"/>
    <cellStyle name="Normal 16 7 19 17" xfId="19180" xr:uid="{00000000-0005-0000-0000-000041170000}"/>
    <cellStyle name="Normal 16 7 19 18" xfId="18587" xr:uid="{00000000-0005-0000-0000-000042170000}"/>
    <cellStyle name="Normal 16 7 19 19" xfId="17991" xr:uid="{00000000-0005-0000-0000-000043170000}"/>
    <cellStyle name="Normal 16 7 19 2" xfId="28130" xr:uid="{00000000-0005-0000-0000-000044170000}"/>
    <cellStyle name="Normal 16 7 19 20" xfId="16915" xr:uid="{00000000-0005-0000-0000-000045170000}"/>
    <cellStyle name="Normal 16 7 19 21" xfId="16205" xr:uid="{00000000-0005-0000-0000-000046170000}"/>
    <cellStyle name="Normal 16 7 19 22" xfId="14089" xr:uid="{00000000-0005-0000-0000-000047170000}"/>
    <cellStyle name="Normal 16 7 19 23" xfId="15200" xr:uid="{00000000-0005-0000-0000-000048170000}"/>
    <cellStyle name="Normal 16 7 19 24" xfId="13258" xr:uid="{00000000-0005-0000-0000-000049170000}"/>
    <cellStyle name="Normal 16 7 19 25" xfId="15261" xr:uid="{00000000-0005-0000-0000-00004A170000}"/>
    <cellStyle name="Normal 16 7 19 26" xfId="17503" xr:uid="{00000000-0005-0000-0000-00004B170000}"/>
    <cellStyle name="Normal 16 7 19 27" xfId="12748" xr:uid="{00000000-0005-0000-0000-00004C170000}"/>
    <cellStyle name="Normal 16 7 19 28" xfId="12599" xr:uid="{00000000-0005-0000-0000-00004D170000}"/>
    <cellStyle name="Normal 16 7 19 29" xfId="7624" xr:uid="{00000000-0005-0000-0000-00004E170000}"/>
    <cellStyle name="Normal 16 7 19 3" xfId="27533" xr:uid="{00000000-0005-0000-0000-00004F170000}"/>
    <cellStyle name="Normal 16 7 19 30" xfId="6386" xr:uid="{00000000-0005-0000-0000-000050170000}"/>
    <cellStyle name="Normal 16 7 19 31" xfId="7218" xr:uid="{00000000-0005-0000-0000-000051170000}"/>
    <cellStyle name="Normal 16 7 19 32" xfId="10276" xr:uid="{00000000-0005-0000-0000-000052170000}"/>
    <cellStyle name="Normal 16 7 19 33" xfId="4973" xr:uid="{00000000-0005-0000-0000-000053170000}"/>
    <cellStyle name="Normal 16 7 19 34" xfId="9224" xr:uid="{00000000-0005-0000-0000-000054170000}"/>
    <cellStyle name="Normal 16 7 19 35" xfId="4728" xr:uid="{00000000-0005-0000-0000-000055170000}"/>
    <cellStyle name="Normal 16 7 19 36" xfId="7908" xr:uid="{00000000-0005-0000-0000-000056170000}"/>
    <cellStyle name="Normal 16 7 19 37" xfId="11351" xr:uid="{00000000-0005-0000-0000-000057170000}"/>
    <cellStyle name="Normal 16 7 19 38" xfId="7555" xr:uid="{00000000-0005-0000-0000-000058170000}"/>
    <cellStyle name="Normal 16 7 19 39" xfId="3913" xr:uid="{00000000-0005-0000-0000-000059170000}"/>
    <cellStyle name="Normal 16 7 19 4" xfId="26936" xr:uid="{00000000-0005-0000-0000-00005A170000}"/>
    <cellStyle name="Normal 16 7 19 40" xfId="3326" xr:uid="{00000000-0005-0000-0000-00005B170000}"/>
    <cellStyle name="Normal 16 7 19 41" xfId="6513" xr:uid="{00000000-0005-0000-0000-00005C170000}"/>
    <cellStyle name="Normal 16 7 19 42" xfId="3787" xr:uid="{00000000-0005-0000-0000-00005D170000}"/>
    <cellStyle name="Normal 16 7 19 43" xfId="3085" xr:uid="{00000000-0005-0000-0000-00005E170000}"/>
    <cellStyle name="Normal 16 7 19 5" xfId="26340" xr:uid="{00000000-0005-0000-0000-00005F170000}"/>
    <cellStyle name="Normal 16 7 19 6" xfId="25744" xr:uid="{00000000-0005-0000-0000-000060170000}"/>
    <cellStyle name="Normal 16 7 19 7" xfId="25147" xr:uid="{00000000-0005-0000-0000-000061170000}"/>
    <cellStyle name="Normal 16 7 19 8" xfId="24550" xr:uid="{00000000-0005-0000-0000-000062170000}"/>
    <cellStyle name="Normal 16 7 19 9" xfId="23953" xr:uid="{00000000-0005-0000-0000-000063170000}"/>
    <cellStyle name="Normal 16 7 2" xfId="28728" xr:uid="{00000000-0005-0000-0000-000064170000}"/>
    <cellStyle name="Normal 16 7 2 10" xfId="23355" xr:uid="{00000000-0005-0000-0000-000065170000}"/>
    <cellStyle name="Normal 16 7 2 11" xfId="22758" xr:uid="{00000000-0005-0000-0000-000066170000}"/>
    <cellStyle name="Normal 16 7 2 12" xfId="22162" xr:uid="{00000000-0005-0000-0000-000067170000}"/>
    <cellStyle name="Normal 16 7 2 13" xfId="21565" xr:uid="{00000000-0005-0000-0000-000068170000}"/>
    <cellStyle name="Normal 16 7 2 14" xfId="20968" xr:uid="{00000000-0005-0000-0000-000069170000}"/>
    <cellStyle name="Normal 16 7 2 15" xfId="20371" xr:uid="{00000000-0005-0000-0000-00006A170000}"/>
    <cellStyle name="Normal 16 7 2 16" xfId="19775" xr:uid="{00000000-0005-0000-0000-00006B170000}"/>
    <cellStyle name="Normal 16 7 2 17" xfId="19179" xr:uid="{00000000-0005-0000-0000-00006C170000}"/>
    <cellStyle name="Normal 16 7 2 18" xfId="18586" xr:uid="{00000000-0005-0000-0000-00006D170000}"/>
    <cellStyle name="Normal 16 7 2 19" xfId="17990" xr:uid="{00000000-0005-0000-0000-00006E170000}"/>
    <cellStyle name="Normal 16 7 2 2" xfId="28129" xr:uid="{00000000-0005-0000-0000-00006F170000}"/>
    <cellStyle name="Normal 16 7 2 20" xfId="17122" xr:uid="{00000000-0005-0000-0000-000070170000}"/>
    <cellStyle name="Normal 16 7 2 21" xfId="16586" xr:uid="{00000000-0005-0000-0000-000071170000}"/>
    <cellStyle name="Normal 16 7 2 22" xfId="14968" xr:uid="{00000000-0005-0000-0000-000072170000}"/>
    <cellStyle name="Normal 16 7 2 23" xfId="16954" xr:uid="{00000000-0005-0000-0000-000073170000}"/>
    <cellStyle name="Normal 16 7 2 24" xfId="13132" xr:uid="{00000000-0005-0000-0000-000074170000}"/>
    <cellStyle name="Normal 16 7 2 25" xfId="13884" xr:uid="{00000000-0005-0000-0000-000075170000}"/>
    <cellStyle name="Normal 16 7 2 26" xfId="15775" xr:uid="{00000000-0005-0000-0000-000076170000}"/>
    <cellStyle name="Normal 16 7 2 27" xfId="16021" xr:uid="{00000000-0005-0000-0000-000077170000}"/>
    <cellStyle name="Normal 16 7 2 28" xfId="12598" xr:uid="{00000000-0005-0000-0000-000078170000}"/>
    <cellStyle name="Normal 16 7 2 29" xfId="7195" xr:uid="{00000000-0005-0000-0000-000079170000}"/>
    <cellStyle name="Normal 16 7 2 3" xfId="27532" xr:uid="{00000000-0005-0000-0000-00007A170000}"/>
    <cellStyle name="Normal 16 7 2 30" xfId="6220" xr:uid="{00000000-0005-0000-0000-00007B170000}"/>
    <cellStyle name="Normal 16 7 2 31" xfId="12000" xr:uid="{00000000-0005-0000-0000-00007C170000}"/>
    <cellStyle name="Normal 16 7 2 32" xfId="6885" xr:uid="{00000000-0005-0000-0000-00007D170000}"/>
    <cellStyle name="Normal 16 7 2 33" xfId="5078" xr:uid="{00000000-0005-0000-0000-00007E170000}"/>
    <cellStyle name="Normal 16 7 2 34" xfId="8066" xr:uid="{00000000-0005-0000-0000-00007F170000}"/>
    <cellStyle name="Normal 16 7 2 35" xfId="6629" xr:uid="{00000000-0005-0000-0000-000080170000}"/>
    <cellStyle name="Normal 16 7 2 36" xfId="5639" xr:uid="{00000000-0005-0000-0000-000081170000}"/>
    <cellStyle name="Normal 16 7 2 37" xfId="9493" xr:uid="{00000000-0005-0000-0000-000082170000}"/>
    <cellStyle name="Normal 16 7 2 38" xfId="10966" xr:uid="{00000000-0005-0000-0000-000083170000}"/>
    <cellStyle name="Normal 16 7 2 39" xfId="8357" xr:uid="{00000000-0005-0000-0000-000084170000}"/>
    <cellStyle name="Normal 16 7 2 4" xfId="26935" xr:uid="{00000000-0005-0000-0000-000085170000}"/>
    <cellStyle name="Normal 16 7 2 40" xfId="6766" xr:uid="{00000000-0005-0000-0000-000086170000}"/>
    <cellStyle name="Normal 16 7 2 41" xfId="6510" xr:uid="{00000000-0005-0000-0000-000087170000}"/>
    <cellStyle name="Normal 16 7 2 42" xfId="4062" xr:uid="{00000000-0005-0000-0000-000088170000}"/>
    <cellStyle name="Normal 16 7 2 43" xfId="3187" xr:uid="{00000000-0005-0000-0000-000089170000}"/>
    <cellStyle name="Normal 16 7 2 44" xfId="3022" xr:uid="{00000000-0005-0000-0000-00008A170000}"/>
    <cellStyle name="Normal 16 7 2 45" xfId="2778" xr:uid="{00000000-0005-0000-0000-00008B170000}"/>
    <cellStyle name="Normal 16 7 2 46" xfId="2538" xr:uid="{00000000-0005-0000-0000-00008C170000}"/>
    <cellStyle name="Normal 16 7 2 47" xfId="2298" xr:uid="{00000000-0005-0000-0000-00008D170000}"/>
    <cellStyle name="Normal 16 7 2 48" xfId="2058" xr:uid="{00000000-0005-0000-0000-00008E170000}"/>
    <cellStyle name="Normal 16 7 2 49" xfId="1818" xr:uid="{00000000-0005-0000-0000-00008F170000}"/>
    <cellStyle name="Normal 16 7 2 5" xfId="26339" xr:uid="{00000000-0005-0000-0000-000090170000}"/>
    <cellStyle name="Normal 16 7 2 50" xfId="1579" xr:uid="{00000000-0005-0000-0000-000091170000}"/>
    <cellStyle name="Normal 16 7 2 51" xfId="1339" xr:uid="{00000000-0005-0000-0000-000092170000}"/>
    <cellStyle name="Normal 16 7 2 52" xfId="1099" xr:uid="{00000000-0005-0000-0000-000093170000}"/>
    <cellStyle name="Normal 16 7 2 53" xfId="859" xr:uid="{00000000-0005-0000-0000-000094170000}"/>
    <cellStyle name="Normal 16 7 2 54" xfId="619" xr:uid="{00000000-0005-0000-0000-000095170000}"/>
    <cellStyle name="Normal 16 7 2 55" xfId="380" xr:uid="{00000000-0005-0000-0000-000096170000}"/>
    <cellStyle name="Normal 16 7 2 56" xfId="142" xr:uid="{00000000-0005-0000-0000-000097170000}"/>
    <cellStyle name="Normal 16 7 2 6" xfId="25743" xr:uid="{00000000-0005-0000-0000-000098170000}"/>
    <cellStyle name="Normal 16 7 2 7" xfId="25146" xr:uid="{00000000-0005-0000-0000-000099170000}"/>
    <cellStyle name="Normal 16 7 2 8" xfId="24549" xr:uid="{00000000-0005-0000-0000-00009A170000}"/>
    <cellStyle name="Normal 16 7 2 9" xfId="23952" xr:uid="{00000000-0005-0000-0000-00009B170000}"/>
    <cellStyle name="Normal 16 7 20" xfId="28727" xr:uid="{00000000-0005-0000-0000-00009C170000}"/>
    <cellStyle name="Normal 16 7 20 10" xfId="23354" xr:uid="{00000000-0005-0000-0000-00009D170000}"/>
    <cellStyle name="Normal 16 7 20 11" xfId="22757" xr:uid="{00000000-0005-0000-0000-00009E170000}"/>
    <cellStyle name="Normal 16 7 20 12" xfId="22161" xr:uid="{00000000-0005-0000-0000-00009F170000}"/>
    <cellStyle name="Normal 16 7 20 13" xfId="21564" xr:uid="{00000000-0005-0000-0000-0000A0170000}"/>
    <cellStyle name="Normal 16 7 20 14" xfId="20967" xr:uid="{00000000-0005-0000-0000-0000A1170000}"/>
    <cellStyle name="Normal 16 7 20 15" xfId="20370" xr:uid="{00000000-0005-0000-0000-0000A2170000}"/>
    <cellStyle name="Normal 16 7 20 16" xfId="19774" xr:uid="{00000000-0005-0000-0000-0000A3170000}"/>
    <cellStyle name="Normal 16 7 20 17" xfId="19178" xr:uid="{00000000-0005-0000-0000-0000A4170000}"/>
    <cellStyle name="Normal 16 7 20 18" xfId="18585" xr:uid="{00000000-0005-0000-0000-0000A5170000}"/>
    <cellStyle name="Normal 16 7 20 19" xfId="17989" xr:uid="{00000000-0005-0000-0000-0000A6170000}"/>
    <cellStyle name="Normal 16 7 20 2" xfId="28128" xr:uid="{00000000-0005-0000-0000-0000A7170000}"/>
    <cellStyle name="Normal 16 7 20 20" xfId="17315" xr:uid="{00000000-0005-0000-0000-0000A8170000}"/>
    <cellStyle name="Normal 16 7 20 21" xfId="16189" xr:uid="{00000000-0005-0000-0000-0000A9170000}"/>
    <cellStyle name="Normal 16 7 20 22" xfId="14380" xr:uid="{00000000-0005-0000-0000-0000AA170000}"/>
    <cellStyle name="Normal 16 7 20 23" xfId="16181" xr:uid="{00000000-0005-0000-0000-0000AB170000}"/>
    <cellStyle name="Normal 16 7 20 24" xfId="15604" xr:uid="{00000000-0005-0000-0000-0000AC170000}"/>
    <cellStyle name="Normal 16 7 20 25" xfId="14393" xr:uid="{00000000-0005-0000-0000-0000AD170000}"/>
    <cellStyle name="Normal 16 7 20 26" xfId="15891" xr:uid="{00000000-0005-0000-0000-0000AE170000}"/>
    <cellStyle name="Normal 16 7 20 27" xfId="14708" xr:uid="{00000000-0005-0000-0000-0000AF170000}"/>
    <cellStyle name="Normal 16 7 20 28" xfId="12597" xr:uid="{00000000-0005-0000-0000-0000B0170000}"/>
    <cellStyle name="Normal 16 7 20 29" xfId="11903" xr:uid="{00000000-0005-0000-0000-0000B1170000}"/>
    <cellStyle name="Normal 16 7 20 3" xfId="27531" xr:uid="{00000000-0005-0000-0000-0000B2170000}"/>
    <cellStyle name="Normal 16 7 20 30" xfId="8689" xr:uid="{00000000-0005-0000-0000-0000B3170000}"/>
    <cellStyle name="Normal 16 7 20 31" xfId="7534" xr:uid="{00000000-0005-0000-0000-0000B4170000}"/>
    <cellStyle name="Normal 16 7 20 32" xfId="6131" xr:uid="{00000000-0005-0000-0000-0000B5170000}"/>
    <cellStyle name="Normal 16 7 20 33" xfId="5886" xr:uid="{00000000-0005-0000-0000-0000B6170000}"/>
    <cellStyle name="Normal 16 7 20 34" xfId="6666" xr:uid="{00000000-0005-0000-0000-0000B7170000}"/>
    <cellStyle name="Normal 16 7 20 35" xfId="11520" xr:uid="{00000000-0005-0000-0000-0000B8170000}"/>
    <cellStyle name="Normal 16 7 20 36" xfId="10071" xr:uid="{00000000-0005-0000-0000-0000B9170000}"/>
    <cellStyle name="Normal 16 7 20 37" xfId="8154" xr:uid="{00000000-0005-0000-0000-0000BA170000}"/>
    <cellStyle name="Normal 16 7 20 38" xfId="6292" xr:uid="{00000000-0005-0000-0000-0000BB170000}"/>
    <cellStyle name="Normal 16 7 20 39" xfId="5304" xr:uid="{00000000-0005-0000-0000-0000BC170000}"/>
    <cellStyle name="Normal 16 7 20 4" xfId="26934" xr:uid="{00000000-0005-0000-0000-0000BD170000}"/>
    <cellStyle name="Normal 16 7 20 40" xfId="3345" xr:uid="{00000000-0005-0000-0000-0000BE170000}"/>
    <cellStyle name="Normal 16 7 20 41" xfId="3724" xr:uid="{00000000-0005-0000-0000-0000BF170000}"/>
    <cellStyle name="Normal 16 7 20 42" xfId="11045" xr:uid="{00000000-0005-0000-0000-0000C0170000}"/>
    <cellStyle name="Normal 16 7 20 43" xfId="3751" xr:uid="{00000000-0005-0000-0000-0000C1170000}"/>
    <cellStyle name="Normal 16 7 20 5" xfId="26338" xr:uid="{00000000-0005-0000-0000-0000C2170000}"/>
    <cellStyle name="Normal 16 7 20 6" xfId="25742" xr:uid="{00000000-0005-0000-0000-0000C3170000}"/>
    <cellStyle name="Normal 16 7 20 7" xfId="25145" xr:uid="{00000000-0005-0000-0000-0000C4170000}"/>
    <cellStyle name="Normal 16 7 20 8" xfId="24548" xr:uid="{00000000-0005-0000-0000-0000C5170000}"/>
    <cellStyle name="Normal 16 7 20 9" xfId="23951" xr:uid="{00000000-0005-0000-0000-0000C6170000}"/>
    <cellStyle name="Normal 16 7 21" xfId="3023" xr:uid="{00000000-0005-0000-0000-0000C7170000}"/>
    <cellStyle name="Normal 16 7 21 2" xfId="28901" xr:uid="{00000000-0005-0000-0000-0000C8170000}"/>
    <cellStyle name="Normal 16 7 3" xfId="28726" xr:uid="{00000000-0005-0000-0000-0000C9170000}"/>
    <cellStyle name="Normal 16 7 3 10" xfId="23353" xr:uid="{00000000-0005-0000-0000-0000CA170000}"/>
    <cellStyle name="Normal 16 7 3 11" xfId="22756" xr:uid="{00000000-0005-0000-0000-0000CB170000}"/>
    <cellStyle name="Normal 16 7 3 12" xfId="22160" xr:uid="{00000000-0005-0000-0000-0000CC170000}"/>
    <cellStyle name="Normal 16 7 3 13" xfId="21563" xr:uid="{00000000-0005-0000-0000-0000CD170000}"/>
    <cellStyle name="Normal 16 7 3 14" xfId="20966" xr:uid="{00000000-0005-0000-0000-0000CE170000}"/>
    <cellStyle name="Normal 16 7 3 15" xfId="20369" xr:uid="{00000000-0005-0000-0000-0000CF170000}"/>
    <cellStyle name="Normal 16 7 3 16" xfId="19773" xr:uid="{00000000-0005-0000-0000-0000D0170000}"/>
    <cellStyle name="Normal 16 7 3 17" xfId="19177" xr:uid="{00000000-0005-0000-0000-0000D1170000}"/>
    <cellStyle name="Normal 16 7 3 18" xfId="18584" xr:uid="{00000000-0005-0000-0000-0000D2170000}"/>
    <cellStyle name="Normal 16 7 3 19" xfId="17988" xr:uid="{00000000-0005-0000-0000-0000D3170000}"/>
    <cellStyle name="Normal 16 7 3 2" xfId="28127" xr:uid="{00000000-0005-0000-0000-0000D4170000}"/>
    <cellStyle name="Normal 16 7 3 20" xfId="14148" xr:uid="{00000000-0005-0000-0000-0000D5170000}"/>
    <cellStyle name="Normal 16 7 3 21" xfId="15766" xr:uid="{00000000-0005-0000-0000-0000D6170000}"/>
    <cellStyle name="Normal 16 7 3 22" xfId="15320" xr:uid="{00000000-0005-0000-0000-0000D7170000}"/>
    <cellStyle name="Normal 16 7 3 23" xfId="15467" xr:uid="{00000000-0005-0000-0000-0000D8170000}"/>
    <cellStyle name="Normal 16 7 3 24" xfId="13339" xr:uid="{00000000-0005-0000-0000-0000D9170000}"/>
    <cellStyle name="Normal 16 7 3 25" xfId="13031" xr:uid="{00000000-0005-0000-0000-0000DA170000}"/>
    <cellStyle name="Normal 16 7 3 26" xfId="14212" xr:uid="{00000000-0005-0000-0000-0000DB170000}"/>
    <cellStyle name="Normal 16 7 3 27" xfId="15617" xr:uid="{00000000-0005-0000-0000-0000DC170000}"/>
    <cellStyle name="Normal 16 7 3 28" xfId="12596" xr:uid="{00000000-0005-0000-0000-0000DD170000}"/>
    <cellStyle name="Normal 16 7 3 29" xfId="8083" xr:uid="{00000000-0005-0000-0000-0000DE170000}"/>
    <cellStyle name="Normal 16 7 3 3" xfId="27530" xr:uid="{00000000-0005-0000-0000-0000DF170000}"/>
    <cellStyle name="Normal 16 7 3 30" xfId="11657" xr:uid="{00000000-0005-0000-0000-0000E0170000}"/>
    <cellStyle name="Normal 16 7 3 31" xfId="5550" xr:uid="{00000000-0005-0000-0000-0000E1170000}"/>
    <cellStyle name="Normal 16 7 3 32" xfId="6438" xr:uid="{00000000-0005-0000-0000-0000E2170000}"/>
    <cellStyle name="Normal 16 7 3 33" xfId="12035" xr:uid="{00000000-0005-0000-0000-0000E3170000}"/>
    <cellStyle name="Normal 16 7 3 34" xfId="4555" xr:uid="{00000000-0005-0000-0000-0000E4170000}"/>
    <cellStyle name="Normal 16 7 3 35" xfId="8144" xr:uid="{00000000-0005-0000-0000-0000E5170000}"/>
    <cellStyle name="Normal 16 7 3 36" xfId="6146" xr:uid="{00000000-0005-0000-0000-0000E6170000}"/>
    <cellStyle name="Normal 16 7 3 37" xfId="9927" xr:uid="{00000000-0005-0000-0000-0000E7170000}"/>
    <cellStyle name="Normal 16 7 3 38" xfId="3885" xr:uid="{00000000-0005-0000-0000-0000E8170000}"/>
    <cellStyle name="Normal 16 7 3 39" xfId="7449" xr:uid="{00000000-0005-0000-0000-0000E9170000}"/>
    <cellStyle name="Normal 16 7 3 4" xfId="26933" xr:uid="{00000000-0005-0000-0000-0000EA170000}"/>
    <cellStyle name="Normal 16 7 3 40" xfId="3357" xr:uid="{00000000-0005-0000-0000-0000EB170000}"/>
    <cellStyle name="Normal 16 7 3 41" xfId="5896" xr:uid="{00000000-0005-0000-0000-0000EC170000}"/>
    <cellStyle name="Normal 16 7 3 42" xfId="5933" xr:uid="{00000000-0005-0000-0000-0000ED170000}"/>
    <cellStyle name="Normal 16 7 3 43" xfId="5703" xr:uid="{00000000-0005-0000-0000-0000EE170000}"/>
    <cellStyle name="Normal 16 7 3 44" xfId="3021" xr:uid="{00000000-0005-0000-0000-0000EF170000}"/>
    <cellStyle name="Normal 16 7 3 45" xfId="2777" xr:uid="{00000000-0005-0000-0000-0000F0170000}"/>
    <cellStyle name="Normal 16 7 3 46" xfId="2537" xr:uid="{00000000-0005-0000-0000-0000F1170000}"/>
    <cellStyle name="Normal 16 7 3 47" xfId="2297" xr:uid="{00000000-0005-0000-0000-0000F2170000}"/>
    <cellStyle name="Normal 16 7 3 48" xfId="2057" xr:uid="{00000000-0005-0000-0000-0000F3170000}"/>
    <cellStyle name="Normal 16 7 3 49" xfId="1817" xr:uid="{00000000-0005-0000-0000-0000F4170000}"/>
    <cellStyle name="Normal 16 7 3 5" xfId="26337" xr:uid="{00000000-0005-0000-0000-0000F5170000}"/>
    <cellStyle name="Normal 16 7 3 50" xfId="1578" xr:uid="{00000000-0005-0000-0000-0000F6170000}"/>
    <cellStyle name="Normal 16 7 3 51" xfId="1338" xr:uid="{00000000-0005-0000-0000-0000F7170000}"/>
    <cellStyle name="Normal 16 7 3 52" xfId="1098" xr:uid="{00000000-0005-0000-0000-0000F8170000}"/>
    <cellStyle name="Normal 16 7 3 53" xfId="858" xr:uid="{00000000-0005-0000-0000-0000F9170000}"/>
    <cellStyle name="Normal 16 7 3 54" xfId="618" xr:uid="{00000000-0005-0000-0000-0000FA170000}"/>
    <cellStyle name="Normal 16 7 3 55" xfId="379" xr:uid="{00000000-0005-0000-0000-0000FB170000}"/>
    <cellStyle name="Normal 16 7 3 56" xfId="141" xr:uid="{00000000-0005-0000-0000-0000FC170000}"/>
    <cellStyle name="Normal 16 7 3 6" xfId="25741" xr:uid="{00000000-0005-0000-0000-0000FD170000}"/>
    <cellStyle name="Normal 16 7 3 7" xfId="25144" xr:uid="{00000000-0005-0000-0000-0000FE170000}"/>
    <cellStyle name="Normal 16 7 3 8" xfId="24547" xr:uid="{00000000-0005-0000-0000-0000FF170000}"/>
    <cellStyle name="Normal 16 7 3 9" xfId="23950" xr:uid="{00000000-0005-0000-0000-000000180000}"/>
    <cellStyle name="Normal 16 7 4" xfId="28725" xr:uid="{00000000-0005-0000-0000-000001180000}"/>
    <cellStyle name="Normal 16 7 4 10" xfId="23352" xr:uid="{00000000-0005-0000-0000-000002180000}"/>
    <cellStyle name="Normal 16 7 4 11" xfId="22755" xr:uid="{00000000-0005-0000-0000-000003180000}"/>
    <cellStyle name="Normal 16 7 4 12" xfId="22159" xr:uid="{00000000-0005-0000-0000-000004180000}"/>
    <cellStyle name="Normal 16 7 4 13" xfId="21562" xr:uid="{00000000-0005-0000-0000-000005180000}"/>
    <cellStyle name="Normal 16 7 4 14" xfId="20965" xr:uid="{00000000-0005-0000-0000-000006180000}"/>
    <cellStyle name="Normal 16 7 4 15" xfId="20368" xr:uid="{00000000-0005-0000-0000-000007180000}"/>
    <cellStyle name="Normal 16 7 4 16" xfId="19772" xr:uid="{00000000-0005-0000-0000-000008180000}"/>
    <cellStyle name="Normal 16 7 4 17" xfId="19176" xr:uid="{00000000-0005-0000-0000-000009180000}"/>
    <cellStyle name="Normal 16 7 4 18" xfId="18583" xr:uid="{00000000-0005-0000-0000-00000A180000}"/>
    <cellStyle name="Normal 16 7 4 19" xfId="17987" xr:uid="{00000000-0005-0000-0000-00000B180000}"/>
    <cellStyle name="Normal 16 7 4 2" xfId="28126" xr:uid="{00000000-0005-0000-0000-00000C180000}"/>
    <cellStyle name="Normal 16 7 4 20" xfId="14337" xr:uid="{00000000-0005-0000-0000-00000D180000}"/>
    <cellStyle name="Normal 16 7 4 21" xfId="13959" xr:uid="{00000000-0005-0000-0000-00000E180000}"/>
    <cellStyle name="Normal 16 7 4 22" xfId="15613" xr:uid="{00000000-0005-0000-0000-00000F180000}"/>
    <cellStyle name="Normal 16 7 4 23" xfId="15815" xr:uid="{00000000-0005-0000-0000-000010180000}"/>
    <cellStyle name="Normal 16 7 4 24" xfId="16037" xr:uid="{00000000-0005-0000-0000-000011180000}"/>
    <cellStyle name="Normal 16 7 4 25" xfId="16683" xr:uid="{00000000-0005-0000-0000-000012180000}"/>
    <cellStyle name="Normal 16 7 4 26" xfId="12895" xr:uid="{00000000-0005-0000-0000-000013180000}"/>
    <cellStyle name="Normal 16 7 4 27" xfId="12783" xr:uid="{00000000-0005-0000-0000-000014180000}"/>
    <cellStyle name="Normal 16 7 4 28" xfId="12595" xr:uid="{00000000-0005-0000-0000-000015180000}"/>
    <cellStyle name="Normal 16 7 4 29" xfId="8291" xr:uid="{00000000-0005-0000-0000-000016180000}"/>
    <cellStyle name="Normal 16 7 4 3" xfId="27529" xr:uid="{00000000-0005-0000-0000-000017180000}"/>
    <cellStyle name="Normal 16 7 4 30" xfId="11892" xr:uid="{00000000-0005-0000-0000-000018180000}"/>
    <cellStyle name="Normal 16 7 4 31" xfId="5667" xr:uid="{00000000-0005-0000-0000-000019180000}"/>
    <cellStyle name="Normal 16 7 4 32" xfId="7909" xr:uid="{00000000-0005-0000-0000-00001A180000}"/>
    <cellStyle name="Normal 16 7 4 33" xfId="8285" xr:uid="{00000000-0005-0000-0000-00001B180000}"/>
    <cellStyle name="Normal 16 7 4 34" xfId="4722" xr:uid="{00000000-0005-0000-0000-00001C180000}"/>
    <cellStyle name="Normal 16 7 4 35" xfId="4659" xr:uid="{00000000-0005-0000-0000-00001D180000}"/>
    <cellStyle name="Normal 16 7 4 36" xfId="6849" xr:uid="{00000000-0005-0000-0000-00001E180000}"/>
    <cellStyle name="Normal 16 7 4 37" xfId="9348" xr:uid="{00000000-0005-0000-0000-00001F180000}"/>
    <cellStyle name="Normal 16 7 4 38" xfId="8771" xr:uid="{00000000-0005-0000-0000-000020180000}"/>
    <cellStyle name="Normal 16 7 4 39" xfId="3972" xr:uid="{00000000-0005-0000-0000-000021180000}"/>
    <cellStyle name="Normal 16 7 4 4" xfId="26932" xr:uid="{00000000-0005-0000-0000-000022180000}"/>
    <cellStyle name="Normal 16 7 4 40" xfId="3915" xr:uid="{00000000-0005-0000-0000-000023180000}"/>
    <cellStyle name="Normal 16 7 4 41" xfId="3223" xr:uid="{00000000-0005-0000-0000-000024180000}"/>
    <cellStyle name="Normal 16 7 4 42" xfId="5338" xr:uid="{00000000-0005-0000-0000-000025180000}"/>
    <cellStyle name="Normal 16 7 4 43" xfId="8262" xr:uid="{00000000-0005-0000-0000-000026180000}"/>
    <cellStyle name="Normal 16 7 4 44" xfId="3020" xr:uid="{00000000-0005-0000-0000-000027180000}"/>
    <cellStyle name="Normal 16 7 4 45" xfId="2776" xr:uid="{00000000-0005-0000-0000-000028180000}"/>
    <cellStyle name="Normal 16 7 4 46" xfId="2536" xr:uid="{00000000-0005-0000-0000-000029180000}"/>
    <cellStyle name="Normal 16 7 4 47" xfId="2296" xr:uid="{00000000-0005-0000-0000-00002A180000}"/>
    <cellStyle name="Normal 16 7 4 48" xfId="2056" xr:uid="{00000000-0005-0000-0000-00002B180000}"/>
    <cellStyle name="Normal 16 7 4 49" xfId="1816" xr:uid="{00000000-0005-0000-0000-00002C180000}"/>
    <cellStyle name="Normal 16 7 4 5" xfId="26336" xr:uid="{00000000-0005-0000-0000-00002D180000}"/>
    <cellStyle name="Normal 16 7 4 50" xfId="1577" xr:uid="{00000000-0005-0000-0000-00002E180000}"/>
    <cellStyle name="Normal 16 7 4 51" xfId="1337" xr:uid="{00000000-0005-0000-0000-00002F180000}"/>
    <cellStyle name="Normal 16 7 4 52" xfId="1097" xr:uid="{00000000-0005-0000-0000-000030180000}"/>
    <cellStyle name="Normal 16 7 4 53" xfId="857" xr:uid="{00000000-0005-0000-0000-000031180000}"/>
    <cellStyle name="Normal 16 7 4 54" xfId="617" xr:uid="{00000000-0005-0000-0000-000032180000}"/>
    <cellStyle name="Normal 16 7 4 55" xfId="378" xr:uid="{00000000-0005-0000-0000-000033180000}"/>
    <cellStyle name="Normal 16 7 4 56" xfId="140" xr:uid="{00000000-0005-0000-0000-000034180000}"/>
    <cellStyle name="Normal 16 7 4 6" xfId="25740" xr:uid="{00000000-0005-0000-0000-000035180000}"/>
    <cellStyle name="Normal 16 7 4 7" xfId="25143" xr:uid="{00000000-0005-0000-0000-000036180000}"/>
    <cellStyle name="Normal 16 7 4 8" xfId="24546" xr:uid="{00000000-0005-0000-0000-000037180000}"/>
    <cellStyle name="Normal 16 7 4 9" xfId="23949" xr:uid="{00000000-0005-0000-0000-000038180000}"/>
    <cellStyle name="Normal 16 7 5" xfId="28724" xr:uid="{00000000-0005-0000-0000-000039180000}"/>
    <cellStyle name="Normal 16 7 5 10" xfId="23351" xr:uid="{00000000-0005-0000-0000-00003A180000}"/>
    <cellStyle name="Normal 16 7 5 11" xfId="22754" xr:uid="{00000000-0005-0000-0000-00003B180000}"/>
    <cellStyle name="Normal 16 7 5 12" xfId="22158" xr:uid="{00000000-0005-0000-0000-00003C180000}"/>
    <cellStyle name="Normal 16 7 5 13" xfId="21561" xr:uid="{00000000-0005-0000-0000-00003D180000}"/>
    <cellStyle name="Normal 16 7 5 14" xfId="20964" xr:uid="{00000000-0005-0000-0000-00003E180000}"/>
    <cellStyle name="Normal 16 7 5 15" xfId="20367" xr:uid="{00000000-0005-0000-0000-00003F180000}"/>
    <cellStyle name="Normal 16 7 5 16" xfId="19771" xr:uid="{00000000-0005-0000-0000-000040180000}"/>
    <cellStyle name="Normal 16 7 5 17" xfId="19175" xr:uid="{00000000-0005-0000-0000-000041180000}"/>
    <cellStyle name="Normal 16 7 5 18" xfId="18582" xr:uid="{00000000-0005-0000-0000-000042180000}"/>
    <cellStyle name="Normal 16 7 5 19" xfId="17986" xr:uid="{00000000-0005-0000-0000-000043180000}"/>
    <cellStyle name="Normal 16 7 5 2" xfId="28125" xr:uid="{00000000-0005-0000-0000-000044180000}"/>
    <cellStyle name="Normal 16 7 5 20" xfId="14528" xr:uid="{00000000-0005-0000-0000-000045180000}"/>
    <cellStyle name="Normal 16 7 5 21" xfId="14130" xr:uid="{00000000-0005-0000-0000-000046180000}"/>
    <cellStyle name="Normal 16 7 5 22" xfId="16823" xr:uid="{00000000-0005-0000-0000-000047180000}"/>
    <cellStyle name="Normal 16 7 5 23" xfId="16176" xr:uid="{00000000-0005-0000-0000-000048180000}"/>
    <cellStyle name="Normal 16 7 5 24" xfId="15631" xr:uid="{00000000-0005-0000-0000-000049180000}"/>
    <cellStyle name="Normal 16 7 5 25" xfId="16864" xr:uid="{00000000-0005-0000-0000-00004A180000}"/>
    <cellStyle name="Normal 16 7 5 26" xfId="14955" xr:uid="{00000000-0005-0000-0000-00004B180000}"/>
    <cellStyle name="Normal 16 7 5 27" xfId="17305" xr:uid="{00000000-0005-0000-0000-00004C180000}"/>
    <cellStyle name="Normal 16 7 5 28" xfId="12594" xr:uid="{00000000-0005-0000-0000-00004D180000}"/>
    <cellStyle name="Normal 16 7 5 29" xfId="8506" xr:uid="{00000000-0005-0000-0000-00004E180000}"/>
    <cellStyle name="Normal 16 7 5 3" xfId="27528" xr:uid="{00000000-0005-0000-0000-00004F180000}"/>
    <cellStyle name="Normal 16 7 5 30" xfId="6574" xr:uid="{00000000-0005-0000-0000-000050180000}"/>
    <cellStyle name="Normal 16 7 5 31" xfId="10727" xr:uid="{00000000-0005-0000-0000-000051180000}"/>
    <cellStyle name="Normal 16 7 5 32" xfId="11654" xr:uid="{00000000-0005-0000-0000-000052180000}"/>
    <cellStyle name="Normal 16 7 5 33" xfId="7444" xr:uid="{00000000-0005-0000-0000-000053180000}"/>
    <cellStyle name="Normal 16 7 5 34" xfId="10538" xr:uid="{00000000-0005-0000-0000-000054180000}"/>
    <cellStyle name="Normal 16 7 5 35" xfId="11509" xr:uid="{00000000-0005-0000-0000-000055180000}"/>
    <cellStyle name="Normal 16 7 5 36" xfId="5785" xr:uid="{00000000-0005-0000-0000-000056180000}"/>
    <cellStyle name="Normal 16 7 5 37" xfId="5098" xr:uid="{00000000-0005-0000-0000-000057180000}"/>
    <cellStyle name="Normal 16 7 5 38" xfId="9767" xr:uid="{00000000-0005-0000-0000-000058180000}"/>
    <cellStyle name="Normal 16 7 5 39" xfId="7481" xr:uid="{00000000-0005-0000-0000-000059180000}"/>
    <cellStyle name="Normal 16 7 5 4" xfId="26931" xr:uid="{00000000-0005-0000-0000-00005A180000}"/>
    <cellStyle name="Normal 16 7 5 40" xfId="6548" xr:uid="{00000000-0005-0000-0000-00005B180000}"/>
    <cellStyle name="Normal 16 7 5 41" xfId="3233" xr:uid="{00000000-0005-0000-0000-00005C180000}"/>
    <cellStyle name="Normal 16 7 5 42" xfId="8582" xr:uid="{00000000-0005-0000-0000-00005D180000}"/>
    <cellStyle name="Normal 16 7 5 43" xfId="7768" xr:uid="{00000000-0005-0000-0000-00005E180000}"/>
    <cellStyle name="Normal 16 7 5 44" xfId="3019" xr:uid="{00000000-0005-0000-0000-00005F180000}"/>
    <cellStyle name="Normal 16 7 5 45" xfId="2775" xr:uid="{00000000-0005-0000-0000-000060180000}"/>
    <cellStyle name="Normal 16 7 5 46" xfId="2535" xr:uid="{00000000-0005-0000-0000-000061180000}"/>
    <cellStyle name="Normal 16 7 5 47" xfId="2295" xr:uid="{00000000-0005-0000-0000-000062180000}"/>
    <cellStyle name="Normal 16 7 5 48" xfId="2055" xr:uid="{00000000-0005-0000-0000-000063180000}"/>
    <cellStyle name="Normal 16 7 5 49" xfId="1815" xr:uid="{00000000-0005-0000-0000-000064180000}"/>
    <cellStyle name="Normal 16 7 5 5" xfId="26335" xr:uid="{00000000-0005-0000-0000-000065180000}"/>
    <cellStyle name="Normal 16 7 5 50" xfId="1576" xr:uid="{00000000-0005-0000-0000-000066180000}"/>
    <cellStyle name="Normal 16 7 5 51" xfId="1336" xr:uid="{00000000-0005-0000-0000-000067180000}"/>
    <cellStyle name="Normal 16 7 5 52" xfId="1096" xr:uid="{00000000-0005-0000-0000-000068180000}"/>
    <cellStyle name="Normal 16 7 5 53" xfId="856" xr:uid="{00000000-0005-0000-0000-000069180000}"/>
    <cellStyle name="Normal 16 7 5 54" xfId="616" xr:uid="{00000000-0005-0000-0000-00006A180000}"/>
    <cellStyle name="Normal 16 7 5 55" xfId="377" xr:uid="{00000000-0005-0000-0000-00006B180000}"/>
    <cellStyle name="Normal 16 7 5 56" xfId="139" xr:uid="{00000000-0005-0000-0000-00006C180000}"/>
    <cellStyle name="Normal 16 7 5 6" xfId="25739" xr:uid="{00000000-0005-0000-0000-00006D180000}"/>
    <cellStyle name="Normal 16 7 5 7" xfId="25142" xr:uid="{00000000-0005-0000-0000-00006E180000}"/>
    <cellStyle name="Normal 16 7 5 8" xfId="24545" xr:uid="{00000000-0005-0000-0000-00006F180000}"/>
    <cellStyle name="Normal 16 7 5 9" xfId="23948" xr:uid="{00000000-0005-0000-0000-000070180000}"/>
    <cellStyle name="Normal 16 7 6" xfId="28723" xr:uid="{00000000-0005-0000-0000-000071180000}"/>
    <cellStyle name="Normal 16 7 6 10" xfId="23350" xr:uid="{00000000-0005-0000-0000-000072180000}"/>
    <cellStyle name="Normal 16 7 6 11" xfId="22753" xr:uid="{00000000-0005-0000-0000-000073180000}"/>
    <cellStyle name="Normal 16 7 6 12" xfId="22157" xr:uid="{00000000-0005-0000-0000-000074180000}"/>
    <cellStyle name="Normal 16 7 6 13" xfId="21560" xr:uid="{00000000-0005-0000-0000-000075180000}"/>
    <cellStyle name="Normal 16 7 6 14" xfId="20963" xr:uid="{00000000-0005-0000-0000-000076180000}"/>
    <cellStyle name="Normal 16 7 6 15" xfId="20366" xr:uid="{00000000-0005-0000-0000-000077180000}"/>
    <cellStyle name="Normal 16 7 6 16" xfId="19770" xr:uid="{00000000-0005-0000-0000-000078180000}"/>
    <cellStyle name="Normal 16 7 6 17" xfId="19174" xr:uid="{00000000-0005-0000-0000-000079180000}"/>
    <cellStyle name="Normal 16 7 6 18" xfId="18581" xr:uid="{00000000-0005-0000-0000-00007A180000}"/>
    <cellStyle name="Normal 16 7 6 19" xfId="17985" xr:uid="{00000000-0005-0000-0000-00007B180000}"/>
    <cellStyle name="Normal 16 7 6 2" xfId="28124" xr:uid="{00000000-0005-0000-0000-00007C180000}"/>
    <cellStyle name="Normal 16 7 6 20" xfId="14725" xr:uid="{00000000-0005-0000-0000-00007D180000}"/>
    <cellStyle name="Normal 16 7 6 21" xfId="15118" xr:uid="{00000000-0005-0000-0000-00007E180000}"/>
    <cellStyle name="Normal 16 7 6 22" xfId="14654" xr:uid="{00000000-0005-0000-0000-00007F180000}"/>
    <cellStyle name="Normal 16 7 6 23" xfId="15571" xr:uid="{00000000-0005-0000-0000-000080180000}"/>
    <cellStyle name="Normal 16 7 6 24" xfId="14903" xr:uid="{00000000-0005-0000-0000-000081180000}"/>
    <cellStyle name="Normal 16 7 6 25" xfId="12892" xr:uid="{00000000-0005-0000-0000-000082180000}"/>
    <cellStyle name="Normal 16 7 6 26" xfId="15821" xr:uid="{00000000-0005-0000-0000-000083180000}"/>
    <cellStyle name="Normal 16 7 6 27" xfId="15632" xr:uid="{00000000-0005-0000-0000-000084180000}"/>
    <cellStyle name="Normal 16 7 6 28" xfId="12593" xr:uid="{00000000-0005-0000-0000-000085180000}"/>
    <cellStyle name="Normal 16 7 6 29" xfId="8722" xr:uid="{00000000-0005-0000-0000-000086180000}"/>
    <cellStyle name="Normal 16 7 6 3" xfId="27527" xr:uid="{00000000-0005-0000-0000-000087180000}"/>
    <cellStyle name="Normal 16 7 6 30" xfId="9167" xr:uid="{00000000-0005-0000-0000-000088180000}"/>
    <cellStyle name="Normal 16 7 6 31" xfId="9788" xr:uid="{00000000-0005-0000-0000-000089180000}"/>
    <cellStyle name="Normal 16 7 6 32" xfId="10761" xr:uid="{00000000-0005-0000-0000-00008A180000}"/>
    <cellStyle name="Normal 16 7 6 33" xfId="6540" xr:uid="{00000000-0005-0000-0000-00008B180000}"/>
    <cellStyle name="Normal 16 7 6 34" xfId="10443" xr:uid="{00000000-0005-0000-0000-00008C180000}"/>
    <cellStyle name="Normal 16 7 6 35" xfId="5353" xr:uid="{00000000-0005-0000-0000-00008D180000}"/>
    <cellStyle name="Normal 16 7 6 36" xfId="5940" xr:uid="{00000000-0005-0000-0000-00008E180000}"/>
    <cellStyle name="Normal 16 7 6 37" xfId="6512" xr:uid="{00000000-0005-0000-0000-00008F180000}"/>
    <cellStyle name="Normal 16 7 6 38" xfId="7390" xr:uid="{00000000-0005-0000-0000-000090180000}"/>
    <cellStyle name="Normal 16 7 6 39" xfId="9489" xr:uid="{00000000-0005-0000-0000-000091180000}"/>
    <cellStyle name="Normal 16 7 6 4" xfId="26930" xr:uid="{00000000-0005-0000-0000-000092180000}"/>
    <cellStyle name="Normal 16 7 6 40" xfId="4402" xr:uid="{00000000-0005-0000-0000-000093180000}"/>
    <cellStyle name="Normal 16 7 6 41" xfId="3907" xr:uid="{00000000-0005-0000-0000-000094180000}"/>
    <cellStyle name="Normal 16 7 6 42" xfId="4081" xr:uid="{00000000-0005-0000-0000-000095180000}"/>
    <cellStyle name="Normal 16 7 6 43" xfId="3334" xr:uid="{00000000-0005-0000-0000-000096180000}"/>
    <cellStyle name="Normal 16 7 6 5" xfId="26334" xr:uid="{00000000-0005-0000-0000-000097180000}"/>
    <cellStyle name="Normal 16 7 6 6" xfId="25738" xr:uid="{00000000-0005-0000-0000-000098180000}"/>
    <cellStyle name="Normal 16 7 6 7" xfId="25141" xr:uid="{00000000-0005-0000-0000-000099180000}"/>
    <cellStyle name="Normal 16 7 6 8" xfId="24544" xr:uid="{00000000-0005-0000-0000-00009A180000}"/>
    <cellStyle name="Normal 16 7 6 9" xfId="23947" xr:uid="{00000000-0005-0000-0000-00009B180000}"/>
    <cellStyle name="Normal 16 7 7" xfId="28722" xr:uid="{00000000-0005-0000-0000-00009C180000}"/>
    <cellStyle name="Normal 16 7 7 10" xfId="23349" xr:uid="{00000000-0005-0000-0000-00009D180000}"/>
    <cellStyle name="Normal 16 7 7 11" xfId="22752" xr:uid="{00000000-0005-0000-0000-00009E180000}"/>
    <cellStyle name="Normal 16 7 7 12" xfId="22156" xr:uid="{00000000-0005-0000-0000-00009F180000}"/>
    <cellStyle name="Normal 16 7 7 13" xfId="21559" xr:uid="{00000000-0005-0000-0000-0000A0180000}"/>
    <cellStyle name="Normal 16 7 7 14" xfId="20962" xr:uid="{00000000-0005-0000-0000-0000A1180000}"/>
    <cellStyle name="Normal 16 7 7 15" xfId="20365" xr:uid="{00000000-0005-0000-0000-0000A2180000}"/>
    <cellStyle name="Normal 16 7 7 16" xfId="19769" xr:uid="{00000000-0005-0000-0000-0000A3180000}"/>
    <cellStyle name="Normal 16 7 7 17" xfId="19173" xr:uid="{00000000-0005-0000-0000-0000A4180000}"/>
    <cellStyle name="Normal 16 7 7 18" xfId="18580" xr:uid="{00000000-0005-0000-0000-0000A5180000}"/>
    <cellStyle name="Normal 16 7 7 19" xfId="17984" xr:uid="{00000000-0005-0000-0000-0000A6180000}"/>
    <cellStyle name="Normal 16 7 7 2" xfId="28123" xr:uid="{00000000-0005-0000-0000-0000A7180000}"/>
    <cellStyle name="Normal 16 7 7 20" xfId="14927" xr:uid="{00000000-0005-0000-0000-0000A8180000}"/>
    <cellStyle name="Normal 16 7 7 21" xfId="15109" xr:uid="{00000000-0005-0000-0000-0000A9180000}"/>
    <cellStyle name="Normal 16 7 7 22" xfId="15075" xr:uid="{00000000-0005-0000-0000-0000AA180000}"/>
    <cellStyle name="Normal 16 7 7 23" xfId="15789" xr:uid="{00000000-0005-0000-0000-0000AB180000}"/>
    <cellStyle name="Normal 16 7 7 24" xfId="14711" xr:uid="{00000000-0005-0000-0000-0000AC180000}"/>
    <cellStyle name="Normal 16 7 7 25" xfId="16368" xr:uid="{00000000-0005-0000-0000-0000AD180000}"/>
    <cellStyle name="Normal 16 7 7 26" xfId="16629" xr:uid="{00000000-0005-0000-0000-0000AE180000}"/>
    <cellStyle name="Normal 16 7 7 27" xfId="14382" xr:uid="{00000000-0005-0000-0000-0000AF180000}"/>
    <cellStyle name="Normal 16 7 7 28" xfId="12592" xr:uid="{00000000-0005-0000-0000-0000B0180000}"/>
    <cellStyle name="Normal 16 7 7 29" xfId="8960" xr:uid="{00000000-0005-0000-0000-0000B1180000}"/>
    <cellStyle name="Normal 16 7 7 3" xfId="27526" xr:uid="{00000000-0005-0000-0000-0000B2180000}"/>
    <cellStyle name="Normal 16 7 7 30" xfId="7966" xr:uid="{00000000-0005-0000-0000-0000B3180000}"/>
    <cellStyle name="Normal 16 7 7 31" xfId="8171" xr:uid="{00000000-0005-0000-0000-0000B4180000}"/>
    <cellStyle name="Normal 16 7 7 32" xfId="5371" xr:uid="{00000000-0005-0000-0000-0000B5180000}"/>
    <cellStyle name="Normal 16 7 7 33" xfId="5655" xr:uid="{00000000-0005-0000-0000-0000B6180000}"/>
    <cellStyle name="Normal 16 7 7 34" xfId="9013" xr:uid="{00000000-0005-0000-0000-0000B7180000}"/>
    <cellStyle name="Normal 16 7 7 35" xfId="4283" xr:uid="{00000000-0005-0000-0000-0000B8180000}"/>
    <cellStyle name="Normal 16 7 7 36" xfId="4152" xr:uid="{00000000-0005-0000-0000-0000B9180000}"/>
    <cellStyle name="Normal 16 7 7 37" xfId="5546" xr:uid="{00000000-0005-0000-0000-0000BA180000}"/>
    <cellStyle name="Normal 16 7 7 38" xfId="7295" xr:uid="{00000000-0005-0000-0000-0000BB180000}"/>
    <cellStyle name="Normal 16 7 7 39" xfId="7333" xr:uid="{00000000-0005-0000-0000-0000BC180000}"/>
    <cellStyle name="Normal 16 7 7 4" xfId="26929" xr:uid="{00000000-0005-0000-0000-0000BD180000}"/>
    <cellStyle name="Normal 16 7 7 40" xfId="10090" xr:uid="{00000000-0005-0000-0000-0000BE180000}"/>
    <cellStyle name="Normal 16 7 7 41" xfId="3254" xr:uid="{00000000-0005-0000-0000-0000BF180000}"/>
    <cellStyle name="Normal 16 7 7 42" xfId="3130" xr:uid="{00000000-0005-0000-0000-0000C0180000}"/>
    <cellStyle name="Normal 16 7 7 43" xfId="10409" xr:uid="{00000000-0005-0000-0000-0000C1180000}"/>
    <cellStyle name="Normal 16 7 7 5" xfId="26333" xr:uid="{00000000-0005-0000-0000-0000C2180000}"/>
    <cellStyle name="Normal 16 7 7 6" xfId="25737" xr:uid="{00000000-0005-0000-0000-0000C3180000}"/>
    <cellStyle name="Normal 16 7 7 7" xfId="25140" xr:uid="{00000000-0005-0000-0000-0000C4180000}"/>
    <cellStyle name="Normal 16 7 7 8" xfId="24543" xr:uid="{00000000-0005-0000-0000-0000C5180000}"/>
    <cellStyle name="Normal 16 7 7 9" xfId="23946" xr:uid="{00000000-0005-0000-0000-0000C6180000}"/>
    <cellStyle name="Normal 16 7 8" xfId="28721" xr:uid="{00000000-0005-0000-0000-0000C7180000}"/>
    <cellStyle name="Normal 16 7 8 10" xfId="23348" xr:uid="{00000000-0005-0000-0000-0000C8180000}"/>
    <cellStyle name="Normal 16 7 8 11" xfId="22751" xr:uid="{00000000-0005-0000-0000-0000C9180000}"/>
    <cellStyle name="Normal 16 7 8 12" xfId="22155" xr:uid="{00000000-0005-0000-0000-0000CA180000}"/>
    <cellStyle name="Normal 16 7 8 13" xfId="21558" xr:uid="{00000000-0005-0000-0000-0000CB180000}"/>
    <cellStyle name="Normal 16 7 8 14" xfId="20961" xr:uid="{00000000-0005-0000-0000-0000CC180000}"/>
    <cellStyle name="Normal 16 7 8 15" xfId="20364" xr:uid="{00000000-0005-0000-0000-0000CD180000}"/>
    <cellStyle name="Normal 16 7 8 16" xfId="19768" xr:uid="{00000000-0005-0000-0000-0000CE180000}"/>
    <cellStyle name="Normal 16 7 8 17" xfId="19172" xr:uid="{00000000-0005-0000-0000-0000CF180000}"/>
    <cellStyle name="Normal 16 7 8 18" xfId="18579" xr:uid="{00000000-0005-0000-0000-0000D0180000}"/>
    <cellStyle name="Normal 16 7 8 19" xfId="17983" xr:uid="{00000000-0005-0000-0000-0000D1180000}"/>
    <cellStyle name="Normal 16 7 8 2" xfId="28122" xr:uid="{00000000-0005-0000-0000-0000D2180000}"/>
    <cellStyle name="Normal 16 7 8 20" xfId="15134" xr:uid="{00000000-0005-0000-0000-0000D3180000}"/>
    <cellStyle name="Normal 16 7 8 21" xfId="14888" xr:uid="{00000000-0005-0000-0000-0000D4180000}"/>
    <cellStyle name="Normal 16 7 8 22" xfId="15056" xr:uid="{00000000-0005-0000-0000-0000D5180000}"/>
    <cellStyle name="Normal 16 7 8 23" xfId="13844" xr:uid="{00000000-0005-0000-0000-0000D6180000}"/>
    <cellStyle name="Normal 16 7 8 24" xfId="15433" xr:uid="{00000000-0005-0000-0000-0000D7180000}"/>
    <cellStyle name="Normal 16 7 8 25" xfId="12986" xr:uid="{00000000-0005-0000-0000-0000D8180000}"/>
    <cellStyle name="Normal 16 7 8 26" xfId="13391" xr:uid="{00000000-0005-0000-0000-0000D9180000}"/>
    <cellStyle name="Normal 16 7 8 27" xfId="14100" xr:uid="{00000000-0005-0000-0000-0000DA180000}"/>
    <cellStyle name="Normal 16 7 8 28" xfId="12591" xr:uid="{00000000-0005-0000-0000-0000DB180000}"/>
    <cellStyle name="Normal 16 7 8 29" xfId="9195" xr:uid="{00000000-0005-0000-0000-0000DC180000}"/>
    <cellStyle name="Normal 16 7 8 3" xfId="27525" xr:uid="{00000000-0005-0000-0000-0000DD180000}"/>
    <cellStyle name="Normal 16 7 8 30" xfId="11171" xr:uid="{00000000-0005-0000-0000-0000DE180000}"/>
    <cellStyle name="Normal 16 7 8 31" xfId="11845" xr:uid="{00000000-0005-0000-0000-0000DF180000}"/>
    <cellStyle name="Normal 16 7 8 32" xfId="11258" xr:uid="{00000000-0005-0000-0000-0000E0180000}"/>
    <cellStyle name="Normal 16 7 8 33" xfId="9109" xr:uid="{00000000-0005-0000-0000-0000E1180000}"/>
    <cellStyle name="Normal 16 7 8 34" xfId="9189" xr:uid="{00000000-0005-0000-0000-0000E2180000}"/>
    <cellStyle name="Normal 16 7 8 35" xfId="8439" xr:uid="{00000000-0005-0000-0000-0000E3180000}"/>
    <cellStyle name="Normal 16 7 8 36" xfId="10299" xr:uid="{00000000-0005-0000-0000-0000E4180000}"/>
    <cellStyle name="Normal 16 7 8 37" xfId="11130" xr:uid="{00000000-0005-0000-0000-0000E5180000}"/>
    <cellStyle name="Normal 16 7 8 38" xfId="11940" xr:uid="{00000000-0005-0000-0000-0000E6180000}"/>
    <cellStyle name="Normal 16 7 8 39" xfId="5605" xr:uid="{00000000-0005-0000-0000-0000E7180000}"/>
    <cellStyle name="Normal 16 7 8 4" xfId="26928" xr:uid="{00000000-0005-0000-0000-0000E8180000}"/>
    <cellStyle name="Normal 16 7 8 40" xfId="3976" xr:uid="{00000000-0005-0000-0000-0000E9180000}"/>
    <cellStyle name="Normal 16 7 8 41" xfId="3259" xr:uid="{00000000-0005-0000-0000-0000EA180000}"/>
    <cellStyle name="Normal 16 7 8 42" xfId="12108" xr:uid="{00000000-0005-0000-0000-0000EB180000}"/>
    <cellStyle name="Normal 16 7 8 43" xfId="10097" xr:uid="{00000000-0005-0000-0000-0000EC180000}"/>
    <cellStyle name="Normal 16 7 8 5" xfId="26332" xr:uid="{00000000-0005-0000-0000-0000ED180000}"/>
    <cellStyle name="Normal 16 7 8 6" xfId="25736" xr:uid="{00000000-0005-0000-0000-0000EE180000}"/>
    <cellStyle name="Normal 16 7 8 7" xfId="25139" xr:uid="{00000000-0005-0000-0000-0000EF180000}"/>
    <cellStyle name="Normal 16 7 8 8" xfId="24542" xr:uid="{00000000-0005-0000-0000-0000F0180000}"/>
    <cellStyle name="Normal 16 7 8 9" xfId="23945" xr:uid="{00000000-0005-0000-0000-0000F1180000}"/>
    <cellStyle name="Normal 16 7 9" xfId="28720" xr:uid="{00000000-0005-0000-0000-0000F2180000}"/>
    <cellStyle name="Normal 16 7 9 10" xfId="23347" xr:uid="{00000000-0005-0000-0000-0000F3180000}"/>
    <cellStyle name="Normal 16 7 9 11" xfId="22750" xr:uid="{00000000-0005-0000-0000-0000F4180000}"/>
    <cellStyle name="Normal 16 7 9 12" xfId="22154" xr:uid="{00000000-0005-0000-0000-0000F5180000}"/>
    <cellStyle name="Normal 16 7 9 13" xfId="21557" xr:uid="{00000000-0005-0000-0000-0000F6180000}"/>
    <cellStyle name="Normal 16 7 9 14" xfId="20960" xr:uid="{00000000-0005-0000-0000-0000F7180000}"/>
    <cellStyle name="Normal 16 7 9 15" xfId="20363" xr:uid="{00000000-0005-0000-0000-0000F8180000}"/>
    <cellStyle name="Normal 16 7 9 16" xfId="19767" xr:uid="{00000000-0005-0000-0000-0000F9180000}"/>
    <cellStyle name="Normal 16 7 9 17" xfId="19171" xr:uid="{00000000-0005-0000-0000-0000FA180000}"/>
    <cellStyle name="Normal 16 7 9 18" xfId="18578" xr:uid="{00000000-0005-0000-0000-0000FB180000}"/>
    <cellStyle name="Normal 16 7 9 19" xfId="17982" xr:uid="{00000000-0005-0000-0000-0000FC180000}"/>
    <cellStyle name="Normal 16 7 9 2" xfId="28121" xr:uid="{00000000-0005-0000-0000-0000FD180000}"/>
    <cellStyle name="Normal 16 7 9 20" xfId="15329" xr:uid="{00000000-0005-0000-0000-0000FE180000}"/>
    <cellStyle name="Normal 16 7 9 21" xfId="14878" xr:uid="{00000000-0005-0000-0000-0000FF180000}"/>
    <cellStyle name="Normal 16 7 9 22" xfId="15388" xr:uid="{00000000-0005-0000-0000-000000190000}"/>
    <cellStyle name="Normal 16 7 9 23" xfId="16236" xr:uid="{00000000-0005-0000-0000-000001190000}"/>
    <cellStyle name="Normal 16 7 9 24" xfId="14497" xr:uid="{00000000-0005-0000-0000-000002190000}"/>
    <cellStyle name="Normal 16 7 9 25" xfId="15886" xr:uid="{00000000-0005-0000-0000-000003190000}"/>
    <cellStyle name="Normal 16 7 9 26" xfId="13174" xr:uid="{00000000-0005-0000-0000-000004190000}"/>
    <cellStyle name="Normal 16 7 9 27" xfId="14435" xr:uid="{00000000-0005-0000-0000-000005190000}"/>
    <cellStyle name="Normal 16 7 9 28" xfId="12590" xr:uid="{00000000-0005-0000-0000-000006190000}"/>
    <cellStyle name="Normal 16 7 9 29" xfId="9428" xr:uid="{00000000-0005-0000-0000-000007190000}"/>
    <cellStyle name="Normal 16 7 9 3" xfId="27524" xr:uid="{00000000-0005-0000-0000-000008190000}"/>
    <cellStyle name="Normal 16 7 9 30" xfId="11164" xr:uid="{00000000-0005-0000-0000-000009190000}"/>
    <cellStyle name="Normal 16 7 9 31" xfId="11590" xr:uid="{00000000-0005-0000-0000-00000A190000}"/>
    <cellStyle name="Normal 16 7 9 32" xfId="5256" xr:uid="{00000000-0005-0000-0000-00000B190000}"/>
    <cellStyle name="Normal 16 7 9 33" xfId="6030" xr:uid="{00000000-0005-0000-0000-00000C190000}"/>
    <cellStyle name="Normal 16 7 9 34" xfId="9116" xr:uid="{00000000-0005-0000-0000-00000D190000}"/>
    <cellStyle name="Normal 16 7 9 35" xfId="4308" xr:uid="{00000000-0005-0000-0000-00000E190000}"/>
    <cellStyle name="Normal 16 7 9 36" xfId="4183" xr:uid="{00000000-0005-0000-0000-00000F190000}"/>
    <cellStyle name="Normal 16 7 9 37" xfId="7351" xr:uid="{00000000-0005-0000-0000-000010190000}"/>
    <cellStyle name="Normal 16 7 9 38" xfId="5063" xr:uid="{00000000-0005-0000-0000-000011190000}"/>
    <cellStyle name="Normal 16 7 9 39" xfId="9777" xr:uid="{00000000-0005-0000-0000-000012190000}"/>
    <cellStyle name="Normal 16 7 9 4" xfId="26927" xr:uid="{00000000-0005-0000-0000-000013190000}"/>
    <cellStyle name="Normal 16 7 9 40" xfId="3854" xr:uid="{00000000-0005-0000-0000-000014190000}"/>
    <cellStyle name="Normal 16 7 9 41" xfId="11198" xr:uid="{00000000-0005-0000-0000-000015190000}"/>
    <cellStyle name="Normal 16 7 9 42" xfId="3157" xr:uid="{00000000-0005-0000-0000-000016190000}"/>
    <cellStyle name="Normal 16 7 9 43" xfId="6876" xr:uid="{00000000-0005-0000-0000-000017190000}"/>
    <cellStyle name="Normal 16 7 9 5" xfId="26331" xr:uid="{00000000-0005-0000-0000-000018190000}"/>
    <cellStyle name="Normal 16 7 9 6" xfId="25735" xr:uid="{00000000-0005-0000-0000-000019190000}"/>
    <cellStyle name="Normal 16 7 9 7" xfId="25138" xr:uid="{00000000-0005-0000-0000-00001A190000}"/>
    <cellStyle name="Normal 16 7 9 8" xfId="24541" xr:uid="{00000000-0005-0000-0000-00001B190000}"/>
    <cellStyle name="Normal 16 7 9 9" xfId="23944" xr:uid="{00000000-0005-0000-0000-00001C190000}"/>
    <cellStyle name="Normal 16 8" xfId="28719" xr:uid="{00000000-0005-0000-0000-00001D190000}"/>
    <cellStyle name="Normal 16 8 10" xfId="23346" xr:uid="{00000000-0005-0000-0000-00001E190000}"/>
    <cellStyle name="Normal 16 8 11" xfId="22749" xr:uid="{00000000-0005-0000-0000-00001F190000}"/>
    <cellStyle name="Normal 16 8 12" xfId="22153" xr:uid="{00000000-0005-0000-0000-000020190000}"/>
    <cellStyle name="Normal 16 8 13" xfId="21556" xr:uid="{00000000-0005-0000-0000-000021190000}"/>
    <cellStyle name="Normal 16 8 14" xfId="20959" xr:uid="{00000000-0005-0000-0000-000022190000}"/>
    <cellStyle name="Normal 16 8 15" xfId="20362" xr:uid="{00000000-0005-0000-0000-000023190000}"/>
    <cellStyle name="Normal 16 8 16" xfId="19766" xr:uid="{00000000-0005-0000-0000-000024190000}"/>
    <cellStyle name="Normal 16 8 17" xfId="19170" xr:uid="{00000000-0005-0000-0000-000025190000}"/>
    <cellStyle name="Normal 16 8 18" xfId="18577" xr:uid="{00000000-0005-0000-0000-000026190000}"/>
    <cellStyle name="Normal 16 8 19" xfId="17981" xr:uid="{00000000-0005-0000-0000-000027190000}"/>
    <cellStyle name="Normal 16 8 2" xfId="28120" xr:uid="{00000000-0005-0000-0000-000028190000}"/>
    <cellStyle name="Normal 16 8 20" xfId="15536" xr:uid="{00000000-0005-0000-0000-000029190000}"/>
    <cellStyle name="Normal 16 8 21" xfId="14475" xr:uid="{00000000-0005-0000-0000-00002A190000}"/>
    <cellStyle name="Normal 16 8 22" xfId="15803" xr:uid="{00000000-0005-0000-0000-00002B190000}"/>
    <cellStyle name="Normal 16 8 23" xfId="16577" xr:uid="{00000000-0005-0000-0000-00002C190000}"/>
    <cellStyle name="Normal 16 8 24" xfId="14684" xr:uid="{00000000-0005-0000-0000-00002D190000}"/>
    <cellStyle name="Normal 16 8 25" xfId="14917" xr:uid="{00000000-0005-0000-0000-00002E190000}"/>
    <cellStyle name="Normal 16 8 26" xfId="13278" xr:uid="{00000000-0005-0000-0000-00002F190000}"/>
    <cellStyle name="Normal 16 8 27" xfId="17496" xr:uid="{00000000-0005-0000-0000-000030190000}"/>
    <cellStyle name="Normal 16 8 28" xfId="12589" xr:uid="{00000000-0005-0000-0000-000031190000}"/>
    <cellStyle name="Normal 16 8 29" xfId="9648" xr:uid="{00000000-0005-0000-0000-000032190000}"/>
    <cellStyle name="Normal 16 8 3" xfId="27523" xr:uid="{00000000-0005-0000-0000-000033190000}"/>
    <cellStyle name="Normal 16 8 30" xfId="9577" xr:uid="{00000000-0005-0000-0000-000034190000}"/>
    <cellStyle name="Normal 16 8 31" xfId="7655" xr:uid="{00000000-0005-0000-0000-000035190000}"/>
    <cellStyle name="Normal 16 8 32" xfId="5465" xr:uid="{00000000-0005-0000-0000-000036190000}"/>
    <cellStyle name="Normal 16 8 33" xfId="7571" xr:uid="{00000000-0005-0000-0000-000037190000}"/>
    <cellStyle name="Normal 16 8 34" xfId="8862" xr:uid="{00000000-0005-0000-0000-000038190000}"/>
    <cellStyle name="Normal 16 8 35" xfId="4521" xr:uid="{00000000-0005-0000-0000-000039190000}"/>
    <cellStyle name="Normal 16 8 36" xfId="11320" xr:uid="{00000000-0005-0000-0000-00003A190000}"/>
    <cellStyle name="Normal 16 8 37" xfId="4731" xr:uid="{00000000-0005-0000-0000-00003B190000}"/>
    <cellStyle name="Normal 16 8 38" xfId="10890" xr:uid="{00000000-0005-0000-0000-00003C190000}"/>
    <cellStyle name="Normal 16 8 39" xfId="9793" xr:uid="{00000000-0005-0000-0000-00003D190000}"/>
    <cellStyle name="Normal 16 8 4" xfId="26926" xr:uid="{00000000-0005-0000-0000-00003E190000}"/>
    <cellStyle name="Normal 16 8 40" xfId="3772" xr:uid="{00000000-0005-0000-0000-00003F190000}"/>
    <cellStyle name="Normal 16 8 41" xfId="3575" xr:uid="{00000000-0005-0000-0000-000040190000}"/>
    <cellStyle name="Normal 16 8 42" xfId="3161" xr:uid="{00000000-0005-0000-0000-000041190000}"/>
    <cellStyle name="Normal 16 8 43" xfId="6223" xr:uid="{00000000-0005-0000-0000-000042190000}"/>
    <cellStyle name="Normal 16 8 44" xfId="3018" xr:uid="{00000000-0005-0000-0000-000043190000}"/>
    <cellStyle name="Normal 16 8 45" xfId="2774" xr:uid="{00000000-0005-0000-0000-000044190000}"/>
    <cellStyle name="Normal 16 8 46" xfId="2534" xr:uid="{00000000-0005-0000-0000-000045190000}"/>
    <cellStyle name="Normal 16 8 47" xfId="2294" xr:uid="{00000000-0005-0000-0000-000046190000}"/>
    <cellStyle name="Normal 16 8 48" xfId="2054" xr:uid="{00000000-0005-0000-0000-000047190000}"/>
    <cellStyle name="Normal 16 8 49" xfId="1814" xr:uid="{00000000-0005-0000-0000-000048190000}"/>
    <cellStyle name="Normal 16 8 5" xfId="26330" xr:uid="{00000000-0005-0000-0000-000049190000}"/>
    <cellStyle name="Normal 16 8 50" xfId="1575" xr:uid="{00000000-0005-0000-0000-00004A190000}"/>
    <cellStyle name="Normal 16 8 51" xfId="1335" xr:uid="{00000000-0005-0000-0000-00004B190000}"/>
    <cellStyle name="Normal 16 8 52" xfId="1095" xr:uid="{00000000-0005-0000-0000-00004C190000}"/>
    <cellStyle name="Normal 16 8 53" xfId="855" xr:uid="{00000000-0005-0000-0000-00004D190000}"/>
    <cellStyle name="Normal 16 8 54" xfId="615" xr:uid="{00000000-0005-0000-0000-00004E190000}"/>
    <cellStyle name="Normal 16 8 55" xfId="376" xr:uid="{00000000-0005-0000-0000-00004F190000}"/>
    <cellStyle name="Normal 16 8 56" xfId="138" xr:uid="{00000000-0005-0000-0000-000050190000}"/>
    <cellStyle name="Normal 16 8 6" xfId="25734" xr:uid="{00000000-0005-0000-0000-000051190000}"/>
    <cellStyle name="Normal 16 8 7" xfId="25137" xr:uid="{00000000-0005-0000-0000-000052190000}"/>
    <cellStyle name="Normal 16 8 8" xfId="24540" xr:uid="{00000000-0005-0000-0000-000053190000}"/>
    <cellStyle name="Normal 16 8 9" xfId="23943" xr:uid="{00000000-0005-0000-0000-000054190000}"/>
    <cellStyle name="Normal 16 9" xfId="28718" xr:uid="{00000000-0005-0000-0000-000055190000}"/>
    <cellStyle name="Normal 16 9 10" xfId="23345" xr:uid="{00000000-0005-0000-0000-000056190000}"/>
    <cellStyle name="Normal 16 9 11" xfId="22748" xr:uid="{00000000-0005-0000-0000-000057190000}"/>
    <cellStyle name="Normal 16 9 12" xfId="22152" xr:uid="{00000000-0005-0000-0000-000058190000}"/>
    <cellStyle name="Normal 16 9 13" xfId="21555" xr:uid="{00000000-0005-0000-0000-000059190000}"/>
    <cellStyle name="Normal 16 9 14" xfId="20958" xr:uid="{00000000-0005-0000-0000-00005A190000}"/>
    <cellStyle name="Normal 16 9 15" xfId="20361" xr:uid="{00000000-0005-0000-0000-00005B190000}"/>
    <cellStyle name="Normal 16 9 16" xfId="19765" xr:uid="{00000000-0005-0000-0000-00005C190000}"/>
    <cellStyle name="Normal 16 9 17" xfId="19169" xr:uid="{00000000-0005-0000-0000-00005D190000}"/>
    <cellStyle name="Normal 16 9 18" xfId="18576" xr:uid="{00000000-0005-0000-0000-00005E190000}"/>
    <cellStyle name="Normal 16 9 19" xfId="17980" xr:uid="{00000000-0005-0000-0000-00005F190000}"/>
    <cellStyle name="Normal 16 9 2" xfId="28119" xr:uid="{00000000-0005-0000-0000-000060190000}"/>
    <cellStyle name="Normal 16 9 20" xfId="15726" xr:uid="{00000000-0005-0000-0000-000061190000}"/>
    <cellStyle name="Normal 16 9 21" xfId="14270" xr:uid="{00000000-0005-0000-0000-000062190000}"/>
    <cellStyle name="Normal 16 9 22" xfId="16825" xr:uid="{00000000-0005-0000-0000-000063190000}"/>
    <cellStyle name="Normal 16 9 23" xfId="15372" xr:uid="{00000000-0005-0000-0000-000064190000}"/>
    <cellStyle name="Normal 16 9 24" xfId="16169" xr:uid="{00000000-0005-0000-0000-000065190000}"/>
    <cellStyle name="Normal 16 9 25" xfId="15085" xr:uid="{00000000-0005-0000-0000-000066190000}"/>
    <cellStyle name="Normal 16 9 26" xfId="16837" xr:uid="{00000000-0005-0000-0000-000067190000}"/>
    <cellStyle name="Normal 16 9 27" xfId="13632" xr:uid="{00000000-0005-0000-0000-000068190000}"/>
    <cellStyle name="Normal 16 9 28" xfId="12588" xr:uid="{00000000-0005-0000-0000-000069190000}"/>
    <cellStyle name="Normal 16 9 29" xfId="9879" xr:uid="{00000000-0005-0000-0000-00006A190000}"/>
    <cellStyle name="Normal 16 9 3" xfId="27522" xr:uid="{00000000-0005-0000-0000-00006B190000}"/>
    <cellStyle name="Normal 16 9 30" xfId="6854" xr:uid="{00000000-0005-0000-0000-00006C190000}"/>
    <cellStyle name="Normal 16 9 31" xfId="10748" xr:uid="{00000000-0005-0000-0000-00006D190000}"/>
    <cellStyle name="Normal 16 9 32" xfId="6651" xr:uid="{00000000-0005-0000-0000-00006E190000}"/>
    <cellStyle name="Normal 16 9 33" xfId="9222" xr:uid="{00000000-0005-0000-0000-00006F190000}"/>
    <cellStyle name="Normal 16 9 34" xfId="10530" xr:uid="{00000000-0005-0000-0000-000070190000}"/>
    <cellStyle name="Normal 16 9 35" xfId="11078" xr:uid="{00000000-0005-0000-0000-000071190000}"/>
    <cellStyle name="Normal 16 9 36" xfId="5222" xr:uid="{00000000-0005-0000-0000-000072190000}"/>
    <cellStyle name="Normal 16 9 37" xfId="4569" xr:uid="{00000000-0005-0000-0000-000073190000}"/>
    <cellStyle name="Normal 16 9 38" xfId="3830" xr:uid="{00000000-0005-0000-0000-000074190000}"/>
    <cellStyle name="Normal 16 9 39" xfId="8391" xr:uid="{00000000-0005-0000-0000-000075190000}"/>
    <cellStyle name="Normal 16 9 4" xfId="26925" xr:uid="{00000000-0005-0000-0000-000076190000}"/>
    <cellStyle name="Normal 16 9 40" xfId="4106" xr:uid="{00000000-0005-0000-0000-000077190000}"/>
    <cellStyle name="Normal 16 9 41" xfId="9327" xr:uid="{00000000-0005-0000-0000-000078190000}"/>
    <cellStyle name="Normal 16 9 42" xfId="8530" xr:uid="{00000000-0005-0000-0000-000079190000}"/>
    <cellStyle name="Normal 16 9 43" xfId="3586" xr:uid="{00000000-0005-0000-0000-00007A190000}"/>
    <cellStyle name="Normal 16 9 44" xfId="3017" xr:uid="{00000000-0005-0000-0000-00007B190000}"/>
    <cellStyle name="Normal 16 9 45" xfId="2773" xr:uid="{00000000-0005-0000-0000-00007C190000}"/>
    <cellStyle name="Normal 16 9 46" xfId="2533" xr:uid="{00000000-0005-0000-0000-00007D190000}"/>
    <cellStyle name="Normal 16 9 47" xfId="2293" xr:uid="{00000000-0005-0000-0000-00007E190000}"/>
    <cellStyle name="Normal 16 9 48" xfId="2053" xr:uid="{00000000-0005-0000-0000-00007F190000}"/>
    <cellStyle name="Normal 16 9 49" xfId="1813" xr:uid="{00000000-0005-0000-0000-000080190000}"/>
    <cellStyle name="Normal 16 9 5" xfId="26329" xr:uid="{00000000-0005-0000-0000-000081190000}"/>
    <cellStyle name="Normal 16 9 50" xfId="1574" xr:uid="{00000000-0005-0000-0000-000082190000}"/>
    <cellStyle name="Normal 16 9 51" xfId="1334" xr:uid="{00000000-0005-0000-0000-000083190000}"/>
    <cellStyle name="Normal 16 9 52" xfId="1094" xr:uid="{00000000-0005-0000-0000-000084190000}"/>
    <cellStyle name="Normal 16 9 53" xfId="854" xr:uid="{00000000-0005-0000-0000-000085190000}"/>
    <cellStyle name="Normal 16 9 54" xfId="614" xr:uid="{00000000-0005-0000-0000-000086190000}"/>
    <cellStyle name="Normal 16 9 55" xfId="375" xr:uid="{00000000-0005-0000-0000-000087190000}"/>
    <cellStyle name="Normal 16 9 56" xfId="137" xr:uid="{00000000-0005-0000-0000-000088190000}"/>
    <cellStyle name="Normal 16 9 6" xfId="25733" xr:uid="{00000000-0005-0000-0000-000089190000}"/>
    <cellStyle name="Normal 16 9 7" xfId="25136" xr:uid="{00000000-0005-0000-0000-00008A190000}"/>
    <cellStyle name="Normal 16 9 8" xfId="24539" xr:uid="{00000000-0005-0000-0000-00008B190000}"/>
    <cellStyle name="Normal 16 9 9" xfId="23942" xr:uid="{00000000-0005-0000-0000-00008C190000}"/>
    <cellStyle name="Normal 17" xfId="25266" xr:uid="{00000000-0005-0000-0000-00008D190000}"/>
    <cellStyle name="Normal 17 2" xfId="28717" xr:uid="{00000000-0005-0000-0000-00008E190000}"/>
    <cellStyle name="Normal 17 2 10" xfId="23344" xr:uid="{00000000-0005-0000-0000-00008F190000}"/>
    <cellStyle name="Normal 17 2 11" xfId="22747" xr:uid="{00000000-0005-0000-0000-000090190000}"/>
    <cellStyle name="Normal 17 2 12" xfId="22151" xr:uid="{00000000-0005-0000-0000-000091190000}"/>
    <cellStyle name="Normal 17 2 13" xfId="21554" xr:uid="{00000000-0005-0000-0000-000092190000}"/>
    <cellStyle name="Normal 17 2 14" xfId="20957" xr:uid="{00000000-0005-0000-0000-000093190000}"/>
    <cellStyle name="Normal 17 2 15" xfId="20360" xr:uid="{00000000-0005-0000-0000-000094190000}"/>
    <cellStyle name="Normal 17 2 16" xfId="19764" xr:uid="{00000000-0005-0000-0000-000095190000}"/>
    <cellStyle name="Normal 17 2 17" xfId="19168" xr:uid="{00000000-0005-0000-0000-000096190000}"/>
    <cellStyle name="Normal 17 2 18" xfId="18575" xr:uid="{00000000-0005-0000-0000-000097190000}"/>
    <cellStyle name="Normal 17 2 19" xfId="17979" xr:uid="{00000000-0005-0000-0000-000098190000}"/>
    <cellStyle name="Normal 17 2 2" xfId="28118" xr:uid="{00000000-0005-0000-0000-000099190000}"/>
    <cellStyle name="Normal 17 2 20" xfId="16934" xr:uid="{00000000-0005-0000-0000-00009A190000}"/>
    <cellStyle name="Normal 17 2 21" xfId="17442" xr:uid="{00000000-0005-0000-0000-00009B190000}"/>
    <cellStyle name="Normal 17 2 22" xfId="14461" xr:uid="{00000000-0005-0000-0000-00009C190000}"/>
    <cellStyle name="Normal 17 2 23" xfId="15625" xr:uid="{00000000-0005-0000-0000-00009D190000}"/>
    <cellStyle name="Normal 17 2 24" xfId="16405" xr:uid="{00000000-0005-0000-0000-00009E190000}"/>
    <cellStyle name="Normal 17 2 25" xfId="13642" xr:uid="{00000000-0005-0000-0000-00009F190000}"/>
    <cellStyle name="Normal 17 2 26" xfId="12908" xr:uid="{00000000-0005-0000-0000-0000A0190000}"/>
    <cellStyle name="Normal 17 2 27" xfId="15020" xr:uid="{00000000-0005-0000-0000-0000A1190000}"/>
    <cellStyle name="Normal 17 2 28" xfId="12587" xr:uid="{00000000-0005-0000-0000-0000A2190000}"/>
    <cellStyle name="Normal 17 2 29" xfId="10114" xr:uid="{00000000-0005-0000-0000-0000A3190000}"/>
    <cellStyle name="Normal 17 2 3" xfId="27521" xr:uid="{00000000-0005-0000-0000-0000A4190000}"/>
    <cellStyle name="Normal 17 2 30" xfId="10691" xr:uid="{00000000-0005-0000-0000-0000A5190000}"/>
    <cellStyle name="Normal 17 2 31" xfId="7316" xr:uid="{00000000-0005-0000-0000-0000A6190000}"/>
    <cellStyle name="Normal 17 2 32" xfId="9641" xr:uid="{00000000-0005-0000-0000-0000A7190000}"/>
    <cellStyle name="Normal 17 2 33" xfId="7173" xr:uid="{00000000-0005-0000-0000-0000A8190000}"/>
    <cellStyle name="Normal 17 2 34" xfId="8053" xr:uid="{00000000-0005-0000-0000-0000A9190000}"/>
    <cellStyle name="Normal 17 2 35" xfId="6646" xr:uid="{00000000-0005-0000-0000-0000AA190000}"/>
    <cellStyle name="Normal 17 2 36" xfId="11059" xr:uid="{00000000-0005-0000-0000-0000AB190000}"/>
    <cellStyle name="Normal 17 2 37" xfId="5398" xr:uid="{00000000-0005-0000-0000-0000AC190000}"/>
    <cellStyle name="Normal 17 2 38" xfId="6087" xr:uid="{00000000-0005-0000-0000-0000AD190000}"/>
    <cellStyle name="Normal 17 2 39" xfId="9370" xr:uid="{00000000-0005-0000-0000-0000AE190000}"/>
    <cellStyle name="Normal 17 2 4" xfId="26924" xr:uid="{00000000-0005-0000-0000-0000AF190000}"/>
    <cellStyle name="Normal 17 2 40" xfId="11497" xr:uid="{00000000-0005-0000-0000-0000B0190000}"/>
    <cellStyle name="Normal 17 2 41" xfId="5696" xr:uid="{00000000-0005-0000-0000-0000B1190000}"/>
    <cellStyle name="Normal 17 2 42" xfId="3177" xr:uid="{00000000-0005-0000-0000-0000B2190000}"/>
    <cellStyle name="Normal 17 2 43" xfId="3091" xr:uid="{00000000-0005-0000-0000-0000B3190000}"/>
    <cellStyle name="Normal 17 2 44" xfId="3016" xr:uid="{00000000-0005-0000-0000-0000B4190000}"/>
    <cellStyle name="Normal 17 2 45" xfId="2772" xr:uid="{00000000-0005-0000-0000-0000B5190000}"/>
    <cellStyle name="Normal 17 2 46" xfId="2532" xr:uid="{00000000-0005-0000-0000-0000B6190000}"/>
    <cellStyle name="Normal 17 2 47" xfId="2292" xr:uid="{00000000-0005-0000-0000-0000B7190000}"/>
    <cellStyle name="Normal 17 2 48" xfId="2052" xr:uid="{00000000-0005-0000-0000-0000B8190000}"/>
    <cellStyle name="Normal 17 2 49" xfId="1812" xr:uid="{00000000-0005-0000-0000-0000B9190000}"/>
    <cellStyle name="Normal 17 2 5" xfId="26328" xr:uid="{00000000-0005-0000-0000-0000BA190000}"/>
    <cellStyle name="Normal 17 2 50" xfId="1573" xr:uid="{00000000-0005-0000-0000-0000BB190000}"/>
    <cellStyle name="Normal 17 2 51" xfId="1333" xr:uid="{00000000-0005-0000-0000-0000BC190000}"/>
    <cellStyle name="Normal 17 2 52" xfId="1093" xr:uid="{00000000-0005-0000-0000-0000BD190000}"/>
    <cellStyle name="Normal 17 2 53" xfId="853" xr:uid="{00000000-0005-0000-0000-0000BE190000}"/>
    <cellStyle name="Normal 17 2 54" xfId="613" xr:uid="{00000000-0005-0000-0000-0000BF190000}"/>
    <cellStyle name="Normal 17 2 55" xfId="374" xr:uid="{00000000-0005-0000-0000-0000C0190000}"/>
    <cellStyle name="Normal 17 2 56" xfId="136" xr:uid="{00000000-0005-0000-0000-0000C1190000}"/>
    <cellStyle name="Normal 17 2 6" xfId="25732" xr:uid="{00000000-0005-0000-0000-0000C2190000}"/>
    <cellStyle name="Normal 17 2 7" xfId="25135" xr:uid="{00000000-0005-0000-0000-0000C3190000}"/>
    <cellStyle name="Normal 17 2 8" xfId="24538" xr:uid="{00000000-0005-0000-0000-0000C4190000}"/>
    <cellStyle name="Normal 17 2 9" xfId="23941" xr:uid="{00000000-0005-0000-0000-0000C5190000}"/>
    <cellStyle name="Normal 18" xfId="28716" xr:uid="{00000000-0005-0000-0000-0000C6190000}"/>
    <cellStyle name="Normal 18 10" xfId="28715" xr:uid="{00000000-0005-0000-0000-0000C7190000}"/>
    <cellStyle name="Normal 18 10 10" xfId="23342" xr:uid="{00000000-0005-0000-0000-0000C8190000}"/>
    <cellStyle name="Normal 18 10 11" xfId="22745" xr:uid="{00000000-0005-0000-0000-0000C9190000}"/>
    <cellStyle name="Normal 18 10 12" xfId="22149" xr:uid="{00000000-0005-0000-0000-0000CA190000}"/>
    <cellStyle name="Normal 18 10 13" xfId="21552" xr:uid="{00000000-0005-0000-0000-0000CB190000}"/>
    <cellStyle name="Normal 18 10 14" xfId="20955" xr:uid="{00000000-0005-0000-0000-0000CC190000}"/>
    <cellStyle name="Normal 18 10 15" xfId="20358" xr:uid="{00000000-0005-0000-0000-0000CD190000}"/>
    <cellStyle name="Normal 18 10 16" xfId="19762" xr:uid="{00000000-0005-0000-0000-0000CE190000}"/>
    <cellStyle name="Normal 18 10 17" xfId="19166" xr:uid="{00000000-0005-0000-0000-0000CF190000}"/>
    <cellStyle name="Normal 18 10 18" xfId="18573" xr:uid="{00000000-0005-0000-0000-0000D0190000}"/>
    <cellStyle name="Normal 18 10 19" xfId="17977" xr:uid="{00000000-0005-0000-0000-0000D1190000}"/>
    <cellStyle name="Normal 18 10 2" xfId="28116" xr:uid="{00000000-0005-0000-0000-0000D2190000}"/>
    <cellStyle name="Normal 18 10 20" xfId="17334" xr:uid="{00000000-0005-0000-0000-0000D3190000}"/>
    <cellStyle name="Normal 18 10 21" xfId="15773" xr:uid="{00000000-0005-0000-0000-0000D4190000}"/>
    <cellStyle name="Normal 18 10 22" xfId="16619" xr:uid="{00000000-0005-0000-0000-0000D5190000}"/>
    <cellStyle name="Normal 18 10 23" xfId="15633" xr:uid="{00000000-0005-0000-0000-0000D6190000}"/>
    <cellStyle name="Normal 18 10 24" xfId="17026" xr:uid="{00000000-0005-0000-0000-0000D7190000}"/>
    <cellStyle name="Normal 18 10 25" xfId="14012" xr:uid="{00000000-0005-0000-0000-0000D8190000}"/>
    <cellStyle name="Normal 18 10 26" xfId="15095" xr:uid="{00000000-0005-0000-0000-0000D9190000}"/>
    <cellStyle name="Normal 18 10 27" xfId="12873" xr:uid="{00000000-0005-0000-0000-0000DA190000}"/>
    <cellStyle name="Normal 18 10 28" xfId="12585" xr:uid="{00000000-0005-0000-0000-0000DB190000}"/>
    <cellStyle name="Normal 18 10 29" xfId="7634" xr:uid="{00000000-0005-0000-0000-0000DC190000}"/>
    <cellStyle name="Normal 18 10 3" xfId="27519" xr:uid="{00000000-0005-0000-0000-0000DD190000}"/>
    <cellStyle name="Normal 18 10 30" xfId="8189" xr:uid="{00000000-0005-0000-0000-0000DE190000}"/>
    <cellStyle name="Normal 18 10 31" xfId="10411" xr:uid="{00000000-0005-0000-0000-0000DF190000}"/>
    <cellStyle name="Normal 18 10 32" xfId="8614" xr:uid="{00000000-0005-0000-0000-0000E0190000}"/>
    <cellStyle name="Normal 18 10 33" xfId="7519" xr:uid="{00000000-0005-0000-0000-0000E1190000}"/>
    <cellStyle name="Normal 18 10 34" xfId="11512" xr:uid="{00000000-0005-0000-0000-0000E2190000}"/>
    <cellStyle name="Normal 18 10 35" xfId="9385" xr:uid="{00000000-0005-0000-0000-0000E3190000}"/>
    <cellStyle name="Normal 18 10 36" xfId="11385" xr:uid="{00000000-0005-0000-0000-0000E4190000}"/>
    <cellStyle name="Normal 18 10 37" xfId="10434" xr:uid="{00000000-0005-0000-0000-0000E5190000}"/>
    <cellStyle name="Normal 18 10 38" xfId="9631" xr:uid="{00000000-0005-0000-0000-0000E6190000}"/>
    <cellStyle name="Normal 18 10 39" xfId="5029" xr:uid="{00000000-0005-0000-0000-0000E7190000}"/>
    <cellStyle name="Normal 18 10 4" xfId="26922" xr:uid="{00000000-0005-0000-0000-0000E8190000}"/>
    <cellStyle name="Normal 18 10 40" xfId="6949" xr:uid="{00000000-0005-0000-0000-0000E9190000}"/>
    <cellStyle name="Normal 18 10 41" xfId="5447" xr:uid="{00000000-0005-0000-0000-0000EA190000}"/>
    <cellStyle name="Normal 18 10 42" xfId="4406" xr:uid="{00000000-0005-0000-0000-0000EB190000}"/>
    <cellStyle name="Normal 18 10 43" xfId="3109" xr:uid="{00000000-0005-0000-0000-0000EC190000}"/>
    <cellStyle name="Normal 18 10 44" xfId="3015" xr:uid="{00000000-0005-0000-0000-0000ED190000}"/>
    <cellStyle name="Normal 18 10 45" xfId="2771" xr:uid="{00000000-0005-0000-0000-0000EE190000}"/>
    <cellStyle name="Normal 18 10 46" xfId="2531" xr:uid="{00000000-0005-0000-0000-0000EF190000}"/>
    <cellStyle name="Normal 18 10 47" xfId="2291" xr:uid="{00000000-0005-0000-0000-0000F0190000}"/>
    <cellStyle name="Normal 18 10 48" xfId="2051" xr:uid="{00000000-0005-0000-0000-0000F1190000}"/>
    <cellStyle name="Normal 18 10 49" xfId="1811" xr:uid="{00000000-0005-0000-0000-0000F2190000}"/>
    <cellStyle name="Normal 18 10 5" xfId="26326" xr:uid="{00000000-0005-0000-0000-0000F3190000}"/>
    <cellStyle name="Normal 18 10 50" xfId="1572" xr:uid="{00000000-0005-0000-0000-0000F4190000}"/>
    <cellStyle name="Normal 18 10 51" xfId="1332" xr:uid="{00000000-0005-0000-0000-0000F5190000}"/>
    <cellStyle name="Normal 18 10 52" xfId="1092" xr:uid="{00000000-0005-0000-0000-0000F6190000}"/>
    <cellStyle name="Normal 18 10 53" xfId="852" xr:uid="{00000000-0005-0000-0000-0000F7190000}"/>
    <cellStyle name="Normal 18 10 54" xfId="612" xr:uid="{00000000-0005-0000-0000-0000F8190000}"/>
    <cellStyle name="Normal 18 10 55" xfId="373" xr:uid="{00000000-0005-0000-0000-0000F9190000}"/>
    <cellStyle name="Normal 18 10 56" xfId="135" xr:uid="{00000000-0005-0000-0000-0000FA190000}"/>
    <cellStyle name="Normal 18 10 6" xfId="25730" xr:uid="{00000000-0005-0000-0000-0000FB190000}"/>
    <cellStyle name="Normal 18 10 7" xfId="25133" xr:uid="{00000000-0005-0000-0000-0000FC190000}"/>
    <cellStyle name="Normal 18 10 8" xfId="24536" xr:uid="{00000000-0005-0000-0000-0000FD190000}"/>
    <cellStyle name="Normal 18 10 9" xfId="23939" xr:uid="{00000000-0005-0000-0000-0000FE190000}"/>
    <cellStyle name="Normal 18 11" xfId="28714" xr:uid="{00000000-0005-0000-0000-0000FF190000}"/>
    <cellStyle name="Normal 18 11 10" xfId="23341" xr:uid="{00000000-0005-0000-0000-0000001A0000}"/>
    <cellStyle name="Normal 18 11 11" xfId="22744" xr:uid="{00000000-0005-0000-0000-0000011A0000}"/>
    <cellStyle name="Normal 18 11 12" xfId="22148" xr:uid="{00000000-0005-0000-0000-0000021A0000}"/>
    <cellStyle name="Normal 18 11 13" xfId="21551" xr:uid="{00000000-0005-0000-0000-0000031A0000}"/>
    <cellStyle name="Normal 18 11 14" xfId="20954" xr:uid="{00000000-0005-0000-0000-0000041A0000}"/>
    <cellStyle name="Normal 18 11 15" xfId="20357" xr:uid="{00000000-0005-0000-0000-0000051A0000}"/>
    <cellStyle name="Normal 18 11 16" xfId="19761" xr:uid="{00000000-0005-0000-0000-0000061A0000}"/>
    <cellStyle name="Normal 18 11 17" xfId="19165" xr:uid="{00000000-0005-0000-0000-0000071A0000}"/>
    <cellStyle name="Normal 18 11 18" xfId="18572" xr:uid="{00000000-0005-0000-0000-0000081A0000}"/>
    <cellStyle name="Normal 18 11 19" xfId="17976" xr:uid="{00000000-0005-0000-0000-0000091A0000}"/>
    <cellStyle name="Normal 18 11 2" xfId="28115" xr:uid="{00000000-0005-0000-0000-00000A1A0000}"/>
    <cellStyle name="Normal 18 11 20" xfId="15926" xr:uid="{00000000-0005-0000-0000-00000B1A0000}"/>
    <cellStyle name="Normal 18 11 21" xfId="15366" xr:uid="{00000000-0005-0000-0000-00000C1A0000}"/>
    <cellStyle name="Normal 18 11 22" xfId="17426" xr:uid="{00000000-0005-0000-0000-00000D1A0000}"/>
    <cellStyle name="Normal 18 11 23" xfId="15176" xr:uid="{00000000-0005-0000-0000-00000E1A0000}"/>
    <cellStyle name="Normal 18 11 24" xfId="14982" xr:uid="{00000000-0005-0000-0000-00000F1A0000}"/>
    <cellStyle name="Normal 18 11 25" xfId="14673" xr:uid="{00000000-0005-0000-0000-0000101A0000}"/>
    <cellStyle name="Normal 18 11 26" xfId="12869" xr:uid="{00000000-0005-0000-0000-0000111A0000}"/>
    <cellStyle name="Normal 18 11 27" xfId="12845" xr:uid="{00000000-0005-0000-0000-0000121A0000}"/>
    <cellStyle name="Normal 18 11 28" xfId="12584" xr:uid="{00000000-0005-0000-0000-0000131A0000}"/>
    <cellStyle name="Normal 18 11 29" xfId="8052" xr:uid="{00000000-0005-0000-0000-0000141A0000}"/>
    <cellStyle name="Normal 18 11 3" xfId="27518" xr:uid="{00000000-0005-0000-0000-0000151A0000}"/>
    <cellStyle name="Normal 18 11 30" xfId="8393" xr:uid="{00000000-0005-0000-0000-0000161A0000}"/>
    <cellStyle name="Normal 18 11 31" xfId="12013" xr:uid="{00000000-0005-0000-0000-0000171A0000}"/>
    <cellStyle name="Normal 18 11 32" xfId="9126" xr:uid="{00000000-0005-0000-0000-0000181A0000}"/>
    <cellStyle name="Normal 18 11 33" xfId="4984" xr:uid="{00000000-0005-0000-0000-0000191A0000}"/>
    <cellStyle name="Normal 18 11 34" xfId="9787" xr:uid="{00000000-0005-0000-0000-00001A1A0000}"/>
    <cellStyle name="Normal 18 11 35" xfId="8951" xr:uid="{00000000-0005-0000-0000-00001B1A0000}"/>
    <cellStyle name="Normal 18 11 36" xfId="8814" xr:uid="{00000000-0005-0000-0000-00001C1A0000}"/>
    <cellStyle name="Normal 18 11 37" xfId="9023" xr:uid="{00000000-0005-0000-0000-00001D1A0000}"/>
    <cellStyle name="Normal 18 11 38" xfId="10180" xr:uid="{00000000-0005-0000-0000-00001E1A0000}"/>
    <cellStyle name="Normal 18 11 39" xfId="7679" xr:uid="{00000000-0005-0000-0000-00001F1A0000}"/>
    <cellStyle name="Normal 18 11 4" xfId="26921" xr:uid="{00000000-0005-0000-0000-0000201A0000}"/>
    <cellStyle name="Normal 18 11 40" xfId="5823" xr:uid="{00000000-0005-0000-0000-0000211A0000}"/>
    <cellStyle name="Normal 18 11 41" xfId="3842" xr:uid="{00000000-0005-0000-0000-0000221A0000}"/>
    <cellStyle name="Normal 18 11 42" xfId="5321" xr:uid="{00000000-0005-0000-0000-0000231A0000}"/>
    <cellStyle name="Normal 18 11 43" xfId="3113" xr:uid="{00000000-0005-0000-0000-0000241A0000}"/>
    <cellStyle name="Normal 18 11 44" xfId="3014" xr:uid="{00000000-0005-0000-0000-0000251A0000}"/>
    <cellStyle name="Normal 18 11 45" xfId="2770" xr:uid="{00000000-0005-0000-0000-0000261A0000}"/>
    <cellStyle name="Normal 18 11 46" xfId="2530" xr:uid="{00000000-0005-0000-0000-0000271A0000}"/>
    <cellStyle name="Normal 18 11 47" xfId="2290" xr:uid="{00000000-0005-0000-0000-0000281A0000}"/>
    <cellStyle name="Normal 18 11 48" xfId="2050" xr:uid="{00000000-0005-0000-0000-0000291A0000}"/>
    <cellStyle name="Normal 18 11 49" xfId="1810" xr:uid="{00000000-0005-0000-0000-00002A1A0000}"/>
    <cellStyle name="Normal 18 11 5" xfId="26325" xr:uid="{00000000-0005-0000-0000-00002B1A0000}"/>
    <cellStyle name="Normal 18 11 50" xfId="1571" xr:uid="{00000000-0005-0000-0000-00002C1A0000}"/>
    <cellStyle name="Normal 18 11 51" xfId="1331" xr:uid="{00000000-0005-0000-0000-00002D1A0000}"/>
    <cellStyle name="Normal 18 11 52" xfId="1091" xr:uid="{00000000-0005-0000-0000-00002E1A0000}"/>
    <cellStyle name="Normal 18 11 53" xfId="851" xr:uid="{00000000-0005-0000-0000-00002F1A0000}"/>
    <cellStyle name="Normal 18 11 54" xfId="611" xr:uid="{00000000-0005-0000-0000-0000301A0000}"/>
    <cellStyle name="Normal 18 11 55" xfId="372" xr:uid="{00000000-0005-0000-0000-0000311A0000}"/>
    <cellStyle name="Normal 18 11 56" xfId="134" xr:uid="{00000000-0005-0000-0000-0000321A0000}"/>
    <cellStyle name="Normal 18 11 6" xfId="25729" xr:uid="{00000000-0005-0000-0000-0000331A0000}"/>
    <cellStyle name="Normal 18 11 7" xfId="25132" xr:uid="{00000000-0005-0000-0000-0000341A0000}"/>
    <cellStyle name="Normal 18 11 8" xfId="24535" xr:uid="{00000000-0005-0000-0000-0000351A0000}"/>
    <cellStyle name="Normal 18 11 9" xfId="23938" xr:uid="{00000000-0005-0000-0000-0000361A0000}"/>
    <cellStyle name="Normal 18 12" xfId="28713" xr:uid="{00000000-0005-0000-0000-0000371A0000}"/>
    <cellStyle name="Normal 18 12 10" xfId="23340" xr:uid="{00000000-0005-0000-0000-0000381A0000}"/>
    <cellStyle name="Normal 18 12 11" xfId="22743" xr:uid="{00000000-0005-0000-0000-0000391A0000}"/>
    <cellStyle name="Normal 18 12 12" xfId="22147" xr:uid="{00000000-0005-0000-0000-00003A1A0000}"/>
    <cellStyle name="Normal 18 12 13" xfId="21550" xr:uid="{00000000-0005-0000-0000-00003B1A0000}"/>
    <cellStyle name="Normal 18 12 14" xfId="20953" xr:uid="{00000000-0005-0000-0000-00003C1A0000}"/>
    <cellStyle name="Normal 18 12 15" xfId="20356" xr:uid="{00000000-0005-0000-0000-00003D1A0000}"/>
    <cellStyle name="Normal 18 12 16" xfId="19760" xr:uid="{00000000-0005-0000-0000-00003E1A0000}"/>
    <cellStyle name="Normal 18 12 17" xfId="19164" xr:uid="{00000000-0005-0000-0000-00003F1A0000}"/>
    <cellStyle name="Normal 18 12 18" xfId="18571" xr:uid="{00000000-0005-0000-0000-0000401A0000}"/>
    <cellStyle name="Normal 18 12 19" xfId="17975" xr:uid="{00000000-0005-0000-0000-0000411A0000}"/>
    <cellStyle name="Normal 18 12 2" xfId="28114" xr:uid="{00000000-0005-0000-0000-0000421A0000}"/>
    <cellStyle name="Normal 18 12 20" xfId="16134" xr:uid="{00000000-0005-0000-0000-0000431A0000}"/>
    <cellStyle name="Normal 18 12 21" xfId="16831" xr:uid="{00000000-0005-0000-0000-0000441A0000}"/>
    <cellStyle name="Normal 18 12 22" xfId="13533" xr:uid="{00000000-0005-0000-0000-0000451A0000}"/>
    <cellStyle name="Normal 18 12 23" xfId="13382" xr:uid="{00000000-0005-0000-0000-0000461A0000}"/>
    <cellStyle name="Normal 18 12 24" xfId="17375" xr:uid="{00000000-0005-0000-0000-0000471A0000}"/>
    <cellStyle name="Normal 18 12 25" xfId="14033" xr:uid="{00000000-0005-0000-0000-0000481A0000}"/>
    <cellStyle name="Normal 18 12 26" xfId="14990" xr:uid="{00000000-0005-0000-0000-0000491A0000}"/>
    <cellStyle name="Normal 18 12 27" xfId="12856" xr:uid="{00000000-0005-0000-0000-00004A1A0000}"/>
    <cellStyle name="Normal 18 12 28" xfId="12583" xr:uid="{00000000-0005-0000-0000-00004B1A0000}"/>
    <cellStyle name="Normal 18 12 29" xfId="7769" xr:uid="{00000000-0005-0000-0000-00004C1A0000}"/>
    <cellStyle name="Normal 18 12 3" xfId="27517" xr:uid="{00000000-0005-0000-0000-00004D1A0000}"/>
    <cellStyle name="Normal 18 12 30" xfId="8830" xr:uid="{00000000-0005-0000-0000-00004E1A0000}"/>
    <cellStyle name="Normal 18 12 31" xfId="7263" xr:uid="{00000000-0005-0000-0000-00004F1A0000}"/>
    <cellStyle name="Normal 18 12 32" xfId="6321" xr:uid="{00000000-0005-0000-0000-0000501A0000}"/>
    <cellStyle name="Normal 18 12 33" xfId="6365" xr:uid="{00000000-0005-0000-0000-0000511A0000}"/>
    <cellStyle name="Normal 18 12 34" xfId="4723" xr:uid="{00000000-0005-0000-0000-0000521A0000}"/>
    <cellStyle name="Normal 18 12 35" xfId="9384" xr:uid="{00000000-0005-0000-0000-0000531A0000}"/>
    <cellStyle name="Normal 18 12 36" xfId="5368" xr:uid="{00000000-0005-0000-0000-0000541A0000}"/>
    <cellStyle name="Normal 18 12 37" xfId="7364" xr:uid="{00000000-0005-0000-0000-0000551A0000}"/>
    <cellStyle name="Normal 18 12 38" xfId="5688" xr:uid="{00000000-0005-0000-0000-0000561A0000}"/>
    <cellStyle name="Normal 18 12 39" xfId="4229" xr:uid="{00000000-0005-0000-0000-0000571A0000}"/>
    <cellStyle name="Normal 18 12 4" xfId="26920" xr:uid="{00000000-0005-0000-0000-0000581A0000}"/>
    <cellStyle name="Normal 18 12 40" xfId="8841" xr:uid="{00000000-0005-0000-0000-0000591A0000}"/>
    <cellStyle name="Normal 18 12 41" xfId="3777" xr:uid="{00000000-0005-0000-0000-00005A1A0000}"/>
    <cellStyle name="Normal 18 12 42" xfId="3262" xr:uid="{00000000-0005-0000-0000-00005B1A0000}"/>
    <cellStyle name="Normal 18 12 43" xfId="3677" xr:uid="{00000000-0005-0000-0000-00005C1A0000}"/>
    <cellStyle name="Normal 18 12 5" xfId="26324" xr:uid="{00000000-0005-0000-0000-00005D1A0000}"/>
    <cellStyle name="Normal 18 12 6" xfId="25728" xr:uid="{00000000-0005-0000-0000-00005E1A0000}"/>
    <cellStyle name="Normal 18 12 7" xfId="25131" xr:uid="{00000000-0005-0000-0000-00005F1A0000}"/>
    <cellStyle name="Normal 18 12 8" xfId="24534" xr:uid="{00000000-0005-0000-0000-0000601A0000}"/>
    <cellStyle name="Normal 18 12 9" xfId="23937" xr:uid="{00000000-0005-0000-0000-0000611A0000}"/>
    <cellStyle name="Normal 18 13" xfId="28712" xr:uid="{00000000-0005-0000-0000-0000621A0000}"/>
    <cellStyle name="Normal 18 13 10" xfId="23339" xr:uid="{00000000-0005-0000-0000-0000631A0000}"/>
    <cellStyle name="Normal 18 13 11" xfId="22742" xr:uid="{00000000-0005-0000-0000-0000641A0000}"/>
    <cellStyle name="Normal 18 13 12" xfId="22146" xr:uid="{00000000-0005-0000-0000-0000651A0000}"/>
    <cellStyle name="Normal 18 13 13" xfId="21549" xr:uid="{00000000-0005-0000-0000-0000661A0000}"/>
    <cellStyle name="Normal 18 13 14" xfId="20952" xr:uid="{00000000-0005-0000-0000-0000671A0000}"/>
    <cellStyle name="Normal 18 13 15" xfId="20355" xr:uid="{00000000-0005-0000-0000-0000681A0000}"/>
    <cellStyle name="Normal 18 13 16" xfId="19759" xr:uid="{00000000-0005-0000-0000-0000691A0000}"/>
    <cellStyle name="Normal 18 13 17" xfId="19163" xr:uid="{00000000-0005-0000-0000-00006A1A0000}"/>
    <cellStyle name="Normal 18 13 18" xfId="18570" xr:uid="{00000000-0005-0000-0000-00006B1A0000}"/>
    <cellStyle name="Normal 18 13 19" xfId="17974" xr:uid="{00000000-0005-0000-0000-00006C1A0000}"/>
    <cellStyle name="Normal 18 13 2" xfId="28113" xr:uid="{00000000-0005-0000-0000-00006D1A0000}"/>
    <cellStyle name="Normal 18 13 20" xfId="16335" xr:uid="{00000000-0005-0000-0000-00006E1A0000}"/>
    <cellStyle name="Normal 18 13 21" xfId="16434" xr:uid="{00000000-0005-0000-0000-00006F1A0000}"/>
    <cellStyle name="Normal 18 13 22" xfId="15457" xr:uid="{00000000-0005-0000-0000-0000701A0000}"/>
    <cellStyle name="Normal 18 13 23" xfId="13682" xr:uid="{00000000-0005-0000-0000-0000711A0000}"/>
    <cellStyle name="Normal 18 13 24" xfId="16301" xr:uid="{00000000-0005-0000-0000-0000721A0000}"/>
    <cellStyle name="Normal 18 13 25" xfId="13034" xr:uid="{00000000-0005-0000-0000-0000731A0000}"/>
    <cellStyle name="Normal 18 13 26" xfId="14961" xr:uid="{00000000-0005-0000-0000-0000741A0000}"/>
    <cellStyle name="Normal 18 13 27" xfId="16380" xr:uid="{00000000-0005-0000-0000-0000751A0000}"/>
    <cellStyle name="Normal 18 13 28" xfId="12582" xr:uid="{00000000-0005-0000-0000-0000761A0000}"/>
    <cellStyle name="Normal 18 13 29" xfId="7103" xr:uid="{00000000-0005-0000-0000-0000771A0000}"/>
    <cellStyle name="Normal 18 13 3" xfId="27516" xr:uid="{00000000-0005-0000-0000-0000781A0000}"/>
    <cellStyle name="Normal 18 13 30" xfId="9056" xr:uid="{00000000-0005-0000-0000-0000791A0000}"/>
    <cellStyle name="Normal 18 13 31" xfId="7219" xr:uid="{00000000-0005-0000-0000-00007A1A0000}"/>
    <cellStyle name="Normal 18 13 32" xfId="7744" xr:uid="{00000000-0005-0000-0000-00007B1A0000}"/>
    <cellStyle name="Normal 18 13 33" xfId="8039" xr:uid="{00000000-0005-0000-0000-00007C1A0000}"/>
    <cellStyle name="Normal 18 13 34" xfId="8795" xr:uid="{00000000-0005-0000-0000-00007D1A0000}"/>
    <cellStyle name="Normal 18 13 35" xfId="9732" xr:uid="{00000000-0005-0000-0000-00007E1A0000}"/>
    <cellStyle name="Normal 18 13 36" xfId="7283" xr:uid="{00000000-0005-0000-0000-00007F1A0000}"/>
    <cellStyle name="Normal 18 13 37" xfId="3889" xr:uid="{00000000-0005-0000-0000-0000801A0000}"/>
    <cellStyle name="Normal 18 13 38" xfId="6566" xr:uid="{00000000-0005-0000-0000-0000811A0000}"/>
    <cellStyle name="Normal 18 13 39" xfId="6031" xr:uid="{00000000-0005-0000-0000-0000821A0000}"/>
    <cellStyle name="Normal 18 13 4" xfId="26919" xr:uid="{00000000-0005-0000-0000-0000831A0000}"/>
    <cellStyle name="Normal 18 13 40" xfId="10449" xr:uid="{00000000-0005-0000-0000-0000841A0000}"/>
    <cellStyle name="Normal 18 13 41" xfId="7017" xr:uid="{00000000-0005-0000-0000-0000851A0000}"/>
    <cellStyle name="Normal 18 13 42" xfId="4428" xr:uid="{00000000-0005-0000-0000-0000861A0000}"/>
    <cellStyle name="Normal 18 13 43" xfId="3760" xr:uid="{00000000-0005-0000-0000-0000871A0000}"/>
    <cellStyle name="Normal 18 13 5" xfId="26323" xr:uid="{00000000-0005-0000-0000-0000881A0000}"/>
    <cellStyle name="Normal 18 13 6" xfId="25727" xr:uid="{00000000-0005-0000-0000-0000891A0000}"/>
    <cellStyle name="Normal 18 13 7" xfId="25130" xr:uid="{00000000-0005-0000-0000-00008A1A0000}"/>
    <cellStyle name="Normal 18 13 8" xfId="24533" xr:uid="{00000000-0005-0000-0000-00008B1A0000}"/>
    <cellStyle name="Normal 18 13 9" xfId="23936" xr:uid="{00000000-0005-0000-0000-00008C1A0000}"/>
    <cellStyle name="Normal 18 14" xfId="28711" xr:uid="{00000000-0005-0000-0000-00008D1A0000}"/>
    <cellStyle name="Normal 18 14 10" xfId="23338" xr:uid="{00000000-0005-0000-0000-00008E1A0000}"/>
    <cellStyle name="Normal 18 14 11" xfId="22741" xr:uid="{00000000-0005-0000-0000-00008F1A0000}"/>
    <cellStyle name="Normal 18 14 12" xfId="22145" xr:uid="{00000000-0005-0000-0000-0000901A0000}"/>
    <cellStyle name="Normal 18 14 13" xfId="21548" xr:uid="{00000000-0005-0000-0000-0000911A0000}"/>
    <cellStyle name="Normal 18 14 14" xfId="20951" xr:uid="{00000000-0005-0000-0000-0000921A0000}"/>
    <cellStyle name="Normal 18 14 15" xfId="20354" xr:uid="{00000000-0005-0000-0000-0000931A0000}"/>
    <cellStyle name="Normal 18 14 16" xfId="19758" xr:uid="{00000000-0005-0000-0000-0000941A0000}"/>
    <cellStyle name="Normal 18 14 17" xfId="19162" xr:uid="{00000000-0005-0000-0000-0000951A0000}"/>
    <cellStyle name="Normal 18 14 18" xfId="18569" xr:uid="{00000000-0005-0000-0000-0000961A0000}"/>
    <cellStyle name="Normal 18 14 19" xfId="17973" xr:uid="{00000000-0005-0000-0000-0000971A0000}"/>
    <cellStyle name="Normal 18 14 2" xfId="28112" xr:uid="{00000000-0005-0000-0000-0000981A0000}"/>
    <cellStyle name="Normal 18 14 20" xfId="16525" xr:uid="{00000000-0005-0000-0000-0000991A0000}"/>
    <cellStyle name="Normal 18 14 21" xfId="16011" xr:uid="{00000000-0005-0000-0000-00009A1A0000}"/>
    <cellStyle name="Normal 18 14 22" xfId="13654" xr:uid="{00000000-0005-0000-0000-00009B1A0000}"/>
    <cellStyle name="Normal 18 14 23" xfId="13488" xr:uid="{00000000-0005-0000-0000-00009C1A0000}"/>
    <cellStyle name="Normal 18 14 24" xfId="13867" xr:uid="{00000000-0005-0000-0000-00009D1A0000}"/>
    <cellStyle name="Normal 18 14 25" xfId="15358" xr:uid="{00000000-0005-0000-0000-00009E1A0000}"/>
    <cellStyle name="Normal 18 14 26" xfId="17505" xr:uid="{00000000-0005-0000-0000-00009F1A0000}"/>
    <cellStyle name="Normal 18 14 27" xfId="13523" xr:uid="{00000000-0005-0000-0000-0000A01A0000}"/>
    <cellStyle name="Normal 18 14 28" xfId="12581" xr:uid="{00000000-0005-0000-0000-0000A11A0000}"/>
    <cellStyle name="Normal 18 14 29" xfId="8101" xr:uid="{00000000-0005-0000-0000-0000A21A0000}"/>
    <cellStyle name="Normal 18 14 3" xfId="27515" xr:uid="{00000000-0005-0000-0000-0000A31A0000}"/>
    <cellStyle name="Normal 18 14 30" xfId="10102" xr:uid="{00000000-0005-0000-0000-0000A41A0000}"/>
    <cellStyle name="Normal 18 14 31" xfId="11111" xr:uid="{00000000-0005-0000-0000-0000A51A0000}"/>
    <cellStyle name="Normal 18 14 32" xfId="5815" xr:uid="{00000000-0005-0000-0000-0000A61A0000}"/>
    <cellStyle name="Normal 18 14 33" xfId="8651" xr:uid="{00000000-0005-0000-0000-0000A71A0000}"/>
    <cellStyle name="Normal 18 14 34" xfId="8164" xr:uid="{00000000-0005-0000-0000-0000A81A0000}"/>
    <cellStyle name="Normal 18 14 35" xfId="7712" xr:uid="{00000000-0005-0000-0000-0000A91A0000}"/>
    <cellStyle name="Normal 18 14 36" xfId="8852" xr:uid="{00000000-0005-0000-0000-0000AA1A0000}"/>
    <cellStyle name="Normal 18 14 37" xfId="6125" xr:uid="{00000000-0005-0000-0000-0000AB1A0000}"/>
    <cellStyle name="Normal 18 14 38" xfId="8337" xr:uid="{00000000-0005-0000-0000-0000AC1A0000}"/>
    <cellStyle name="Normal 18 14 39" xfId="4087" xr:uid="{00000000-0005-0000-0000-0000AD1A0000}"/>
    <cellStyle name="Normal 18 14 4" xfId="26918" xr:uid="{00000000-0005-0000-0000-0000AE1A0000}"/>
    <cellStyle name="Normal 18 14 40" xfId="4311" xr:uid="{00000000-0005-0000-0000-0000AF1A0000}"/>
    <cellStyle name="Normal 18 14 41" xfId="11159" xr:uid="{00000000-0005-0000-0000-0000B01A0000}"/>
    <cellStyle name="Normal 18 14 42" xfId="8579" xr:uid="{00000000-0005-0000-0000-0000B11A0000}"/>
    <cellStyle name="Normal 18 14 43" xfId="6550" xr:uid="{00000000-0005-0000-0000-0000B21A0000}"/>
    <cellStyle name="Normal 18 14 5" xfId="26322" xr:uid="{00000000-0005-0000-0000-0000B31A0000}"/>
    <cellStyle name="Normal 18 14 6" xfId="25726" xr:uid="{00000000-0005-0000-0000-0000B41A0000}"/>
    <cellStyle name="Normal 18 14 7" xfId="25129" xr:uid="{00000000-0005-0000-0000-0000B51A0000}"/>
    <cellStyle name="Normal 18 14 8" xfId="24532" xr:uid="{00000000-0005-0000-0000-0000B61A0000}"/>
    <cellStyle name="Normal 18 14 9" xfId="23935" xr:uid="{00000000-0005-0000-0000-0000B71A0000}"/>
    <cellStyle name="Normal 18 15" xfId="28710" xr:uid="{00000000-0005-0000-0000-0000B81A0000}"/>
    <cellStyle name="Normal 18 15 10" xfId="23337" xr:uid="{00000000-0005-0000-0000-0000B91A0000}"/>
    <cellStyle name="Normal 18 15 11" xfId="22740" xr:uid="{00000000-0005-0000-0000-0000BA1A0000}"/>
    <cellStyle name="Normal 18 15 12" xfId="22144" xr:uid="{00000000-0005-0000-0000-0000BB1A0000}"/>
    <cellStyle name="Normal 18 15 13" xfId="21547" xr:uid="{00000000-0005-0000-0000-0000BC1A0000}"/>
    <cellStyle name="Normal 18 15 14" xfId="20950" xr:uid="{00000000-0005-0000-0000-0000BD1A0000}"/>
    <cellStyle name="Normal 18 15 15" xfId="20353" xr:uid="{00000000-0005-0000-0000-0000BE1A0000}"/>
    <cellStyle name="Normal 18 15 16" xfId="19757" xr:uid="{00000000-0005-0000-0000-0000BF1A0000}"/>
    <cellStyle name="Normal 18 15 17" xfId="19161" xr:uid="{00000000-0005-0000-0000-0000C01A0000}"/>
    <cellStyle name="Normal 18 15 18" xfId="18568" xr:uid="{00000000-0005-0000-0000-0000C11A0000}"/>
    <cellStyle name="Normal 18 15 19" xfId="17972" xr:uid="{00000000-0005-0000-0000-0000C21A0000}"/>
    <cellStyle name="Normal 18 15 2" xfId="28111" xr:uid="{00000000-0005-0000-0000-0000C31A0000}"/>
    <cellStyle name="Normal 18 15 20" xfId="16719" xr:uid="{00000000-0005-0000-0000-0000C41A0000}"/>
    <cellStyle name="Normal 18 15 21" xfId="15606" xr:uid="{00000000-0005-0000-0000-0000C51A0000}"/>
    <cellStyle name="Normal 18 15 22" xfId="13793" xr:uid="{00000000-0005-0000-0000-0000C61A0000}"/>
    <cellStyle name="Normal 18 15 23" xfId="17035" xr:uid="{00000000-0005-0000-0000-0000C71A0000}"/>
    <cellStyle name="Normal 18 15 24" xfId="14480" xr:uid="{00000000-0005-0000-0000-0000C81A0000}"/>
    <cellStyle name="Normal 18 15 25" xfId="17261" xr:uid="{00000000-0005-0000-0000-0000C91A0000}"/>
    <cellStyle name="Normal 18 15 26" xfId="14117" xr:uid="{00000000-0005-0000-0000-0000CA1A0000}"/>
    <cellStyle name="Normal 18 15 27" xfId="13000" xr:uid="{00000000-0005-0000-0000-0000CB1A0000}"/>
    <cellStyle name="Normal 18 15 28" xfId="12580" xr:uid="{00000000-0005-0000-0000-0000CC1A0000}"/>
    <cellStyle name="Normal 18 15 29" xfId="8309" xr:uid="{00000000-0005-0000-0000-0000CD1A0000}"/>
    <cellStyle name="Normal 18 15 3" xfId="27514" xr:uid="{00000000-0005-0000-0000-0000CE1A0000}"/>
    <cellStyle name="Normal 18 15 30" xfId="11863" xr:uid="{00000000-0005-0000-0000-0000CF1A0000}"/>
    <cellStyle name="Normal 18 15 31" xfId="9339" xr:uid="{00000000-0005-0000-0000-0000D01A0000}"/>
    <cellStyle name="Normal 18 15 32" xfId="10395" xr:uid="{00000000-0005-0000-0000-0000D11A0000}"/>
    <cellStyle name="Normal 18 15 33" xfId="5604" xr:uid="{00000000-0005-0000-0000-0000D21A0000}"/>
    <cellStyle name="Normal 18 15 34" xfId="11357" xr:uid="{00000000-0005-0000-0000-0000D31A0000}"/>
    <cellStyle name="Normal 18 15 35" xfId="8949" xr:uid="{00000000-0005-0000-0000-0000D41A0000}"/>
    <cellStyle name="Normal 18 15 36" xfId="7231" xr:uid="{00000000-0005-0000-0000-0000D51A0000}"/>
    <cellStyle name="Normal 18 15 37" xfId="3921" xr:uid="{00000000-0005-0000-0000-0000D61A0000}"/>
    <cellStyle name="Normal 18 15 38" xfId="8180" xr:uid="{00000000-0005-0000-0000-0000D71A0000}"/>
    <cellStyle name="Normal 18 15 39" xfId="4455" xr:uid="{00000000-0005-0000-0000-0000D81A0000}"/>
    <cellStyle name="Normal 18 15 4" xfId="26917" xr:uid="{00000000-0005-0000-0000-0000D91A0000}"/>
    <cellStyle name="Normal 18 15 40" xfId="5488" xr:uid="{00000000-0005-0000-0000-0000DA1A0000}"/>
    <cellStyle name="Normal 18 15 41" xfId="3403" xr:uid="{00000000-0005-0000-0000-0000DB1A0000}"/>
    <cellStyle name="Normal 18 15 42" xfId="3318" xr:uid="{00000000-0005-0000-0000-0000DC1A0000}"/>
    <cellStyle name="Normal 18 15 43" xfId="11269" xr:uid="{00000000-0005-0000-0000-0000DD1A0000}"/>
    <cellStyle name="Normal 18 15 5" xfId="26321" xr:uid="{00000000-0005-0000-0000-0000DE1A0000}"/>
    <cellStyle name="Normal 18 15 6" xfId="25725" xr:uid="{00000000-0005-0000-0000-0000DF1A0000}"/>
    <cellStyle name="Normal 18 15 7" xfId="25128" xr:uid="{00000000-0005-0000-0000-0000E01A0000}"/>
    <cellStyle name="Normal 18 15 8" xfId="24531" xr:uid="{00000000-0005-0000-0000-0000E11A0000}"/>
    <cellStyle name="Normal 18 15 9" xfId="23934" xr:uid="{00000000-0005-0000-0000-0000E21A0000}"/>
    <cellStyle name="Normal 18 16" xfId="28709" xr:uid="{00000000-0005-0000-0000-0000E31A0000}"/>
    <cellStyle name="Normal 18 16 10" xfId="23336" xr:uid="{00000000-0005-0000-0000-0000E41A0000}"/>
    <cellStyle name="Normal 18 16 11" xfId="22739" xr:uid="{00000000-0005-0000-0000-0000E51A0000}"/>
    <cellStyle name="Normal 18 16 12" xfId="22143" xr:uid="{00000000-0005-0000-0000-0000E61A0000}"/>
    <cellStyle name="Normal 18 16 13" xfId="21546" xr:uid="{00000000-0005-0000-0000-0000E71A0000}"/>
    <cellStyle name="Normal 18 16 14" xfId="20949" xr:uid="{00000000-0005-0000-0000-0000E81A0000}"/>
    <cellStyle name="Normal 18 16 15" xfId="20352" xr:uid="{00000000-0005-0000-0000-0000E91A0000}"/>
    <cellStyle name="Normal 18 16 16" xfId="19756" xr:uid="{00000000-0005-0000-0000-0000EA1A0000}"/>
    <cellStyle name="Normal 18 16 17" xfId="19160" xr:uid="{00000000-0005-0000-0000-0000EB1A0000}"/>
    <cellStyle name="Normal 18 16 18" xfId="18567" xr:uid="{00000000-0005-0000-0000-0000EC1A0000}"/>
    <cellStyle name="Normal 18 16 19" xfId="17971" xr:uid="{00000000-0005-0000-0000-0000ED1A0000}"/>
    <cellStyle name="Normal 18 16 2" xfId="28110" xr:uid="{00000000-0005-0000-0000-0000EE1A0000}"/>
    <cellStyle name="Normal 18 16 20" xfId="16916" xr:uid="{00000000-0005-0000-0000-0000EF1A0000}"/>
    <cellStyle name="Normal 18 16 21" xfId="15993" xr:uid="{00000000-0005-0000-0000-0000F01A0000}"/>
    <cellStyle name="Normal 18 16 22" xfId="13942" xr:uid="{00000000-0005-0000-0000-0000F11A0000}"/>
    <cellStyle name="Normal 18 16 23" xfId="14411" xr:uid="{00000000-0005-0000-0000-0000F21A0000}"/>
    <cellStyle name="Normal 18 16 24" xfId="15297" xr:uid="{00000000-0005-0000-0000-0000F31A0000}"/>
    <cellStyle name="Normal 18 16 25" xfId="13689" xr:uid="{00000000-0005-0000-0000-0000F41A0000}"/>
    <cellStyle name="Normal 18 16 26" xfId="14661" xr:uid="{00000000-0005-0000-0000-0000F51A0000}"/>
    <cellStyle name="Normal 18 16 27" xfId="12742" xr:uid="{00000000-0005-0000-0000-0000F61A0000}"/>
    <cellStyle name="Normal 18 16 28" xfId="12579" xr:uid="{00000000-0005-0000-0000-0000F71A0000}"/>
    <cellStyle name="Normal 18 16 29" xfId="8524" xr:uid="{00000000-0005-0000-0000-0000F81A0000}"/>
    <cellStyle name="Normal 18 16 3" xfId="27513" xr:uid="{00000000-0005-0000-0000-0000F91A0000}"/>
    <cellStyle name="Normal 18 16 30" xfId="8659" xr:uid="{00000000-0005-0000-0000-0000FA1A0000}"/>
    <cellStyle name="Normal 18 16 31" xfId="7907" xr:uid="{00000000-0005-0000-0000-0000FB1A0000}"/>
    <cellStyle name="Normal 18 16 32" xfId="6264" xr:uid="{00000000-0005-0000-0000-0000FC1A0000}"/>
    <cellStyle name="Normal 18 16 33" xfId="11322" xr:uid="{00000000-0005-0000-0000-0000FD1A0000}"/>
    <cellStyle name="Normal 18 16 34" xfId="4739" xr:uid="{00000000-0005-0000-0000-0000FE1A0000}"/>
    <cellStyle name="Normal 18 16 35" xfId="5724" xr:uid="{00000000-0005-0000-0000-0000FF1A0000}"/>
    <cellStyle name="Normal 18 16 36" xfId="5365" xr:uid="{00000000-0005-0000-0000-0000001B0000}"/>
    <cellStyle name="Normal 18 16 37" xfId="5405" xr:uid="{00000000-0005-0000-0000-0000011B0000}"/>
    <cellStyle name="Normal 18 16 38" xfId="9919" xr:uid="{00000000-0005-0000-0000-0000021B0000}"/>
    <cellStyle name="Normal 18 16 39" xfId="4977" xr:uid="{00000000-0005-0000-0000-0000031B0000}"/>
    <cellStyle name="Normal 18 16 4" xfId="26916" xr:uid="{00000000-0005-0000-0000-0000041B0000}"/>
    <cellStyle name="Normal 18 16 40" xfId="6286" xr:uid="{00000000-0005-0000-0000-0000051B0000}"/>
    <cellStyle name="Normal 18 16 41" xfId="9855" xr:uid="{00000000-0005-0000-0000-0000061B0000}"/>
    <cellStyle name="Normal 18 16 42" xfId="3584" xr:uid="{00000000-0005-0000-0000-0000071B0000}"/>
    <cellStyle name="Normal 18 16 43" xfId="7393" xr:uid="{00000000-0005-0000-0000-0000081B0000}"/>
    <cellStyle name="Normal 18 16 5" xfId="26320" xr:uid="{00000000-0005-0000-0000-0000091B0000}"/>
    <cellStyle name="Normal 18 16 6" xfId="25724" xr:uid="{00000000-0005-0000-0000-00000A1B0000}"/>
    <cellStyle name="Normal 18 16 7" xfId="25127" xr:uid="{00000000-0005-0000-0000-00000B1B0000}"/>
    <cellStyle name="Normal 18 16 8" xfId="24530" xr:uid="{00000000-0005-0000-0000-00000C1B0000}"/>
    <cellStyle name="Normal 18 16 9" xfId="23933" xr:uid="{00000000-0005-0000-0000-00000D1B0000}"/>
    <cellStyle name="Normal 18 17" xfId="28708" xr:uid="{00000000-0005-0000-0000-00000E1B0000}"/>
    <cellStyle name="Normal 18 17 10" xfId="23335" xr:uid="{00000000-0005-0000-0000-00000F1B0000}"/>
    <cellStyle name="Normal 18 17 11" xfId="22738" xr:uid="{00000000-0005-0000-0000-0000101B0000}"/>
    <cellStyle name="Normal 18 17 12" xfId="22142" xr:uid="{00000000-0005-0000-0000-0000111B0000}"/>
    <cellStyle name="Normal 18 17 13" xfId="21545" xr:uid="{00000000-0005-0000-0000-0000121B0000}"/>
    <cellStyle name="Normal 18 17 14" xfId="20948" xr:uid="{00000000-0005-0000-0000-0000131B0000}"/>
    <cellStyle name="Normal 18 17 15" xfId="20351" xr:uid="{00000000-0005-0000-0000-0000141B0000}"/>
    <cellStyle name="Normal 18 17 16" xfId="19755" xr:uid="{00000000-0005-0000-0000-0000151B0000}"/>
    <cellStyle name="Normal 18 17 17" xfId="19159" xr:uid="{00000000-0005-0000-0000-0000161B0000}"/>
    <cellStyle name="Normal 18 17 18" xfId="18566" xr:uid="{00000000-0005-0000-0000-0000171B0000}"/>
    <cellStyle name="Normal 18 17 19" xfId="17970" xr:uid="{00000000-0005-0000-0000-0000181B0000}"/>
    <cellStyle name="Normal 18 17 2" xfId="28109" xr:uid="{00000000-0005-0000-0000-0000191B0000}"/>
    <cellStyle name="Normal 18 17 20" xfId="17123" xr:uid="{00000000-0005-0000-0000-00001A1B0000}"/>
    <cellStyle name="Normal 18 17 21" xfId="16394" xr:uid="{00000000-0005-0000-0000-00001B1B0000}"/>
    <cellStyle name="Normal 18 17 22" xfId="15889" xr:uid="{00000000-0005-0000-0000-00001C1B0000}"/>
    <cellStyle name="Normal 18 17 23" xfId="15756" xr:uid="{00000000-0005-0000-0000-00001D1B0000}"/>
    <cellStyle name="Normal 18 17 24" xfId="14904" xr:uid="{00000000-0005-0000-0000-00001E1B0000}"/>
    <cellStyle name="Normal 18 17 25" xfId="13555" xr:uid="{00000000-0005-0000-0000-00001F1B0000}"/>
    <cellStyle name="Normal 18 17 26" xfId="17420" xr:uid="{00000000-0005-0000-0000-0000201B0000}"/>
    <cellStyle name="Normal 18 17 27" xfId="13039" xr:uid="{00000000-0005-0000-0000-0000211B0000}"/>
    <cellStyle name="Normal 18 17 28" xfId="12578" xr:uid="{00000000-0005-0000-0000-0000221B0000}"/>
    <cellStyle name="Normal 18 17 29" xfId="8741" xr:uid="{00000000-0005-0000-0000-0000231B0000}"/>
    <cellStyle name="Normal 18 17 3" xfId="27512" xr:uid="{00000000-0005-0000-0000-0000241B0000}"/>
    <cellStyle name="Normal 18 17 30" xfId="10053" xr:uid="{00000000-0005-0000-0000-0000251B0000}"/>
    <cellStyle name="Normal 18 17 31" xfId="12118" xr:uid="{00000000-0005-0000-0000-0000261B0000}"/>
    <cellStyle name="Normal 18 17 32" xfId="9062" xr:uid="{00000000-0005-0000-0000-0000271B0000}"/>
    <cellStyle name="Normal 18 17 33" xfId="9797" xr:uid="{00000000-0005-0000-0000-0000281B0000}"/>
    <cellStyle name="Normal 18 17 34" xfId="10203" xr:uid="{00000000-0005-0000-0000-0000291B0000}"/>
    <cellStyle name="Normal 18 17 35" xfId="6340" xr:uid="{00000000-0005-0000-0000-00002A1B0000}"/>
    <cellStyle name="Normal 18 17 36" xfId="8797" xr:uid="{00000000-0005-0000-0000-00002B1B0000}"/>
    <cellStyle name="Normal 18 17 37" xfId="10050" xr:uid="{00000000-0005-0000-0000-00002C1B0000}"/>
    <cellStyle name="Normal 18 17 38" xfId="6227" xr:uid="{00000000-0005-0000-0000-00002D1B0000}"/>
    <cellStyle name="Normal 18 17 39" xfId="4488" xr:uid="{00000000-0005-0000-0000-00002E1B0000}"/>
    <cellStyle name="Normal 18 17 4" xfId="26915" xr:uid="{00000000-0005-0000-0000-00002F1B0000}"/>
    <cellStyle name="Normal 18 17 40" xfId="3992" xr:uid="{00000000-0005-0000-0000-0000301B0000}"/>
    <cellStyle name="Normal 18 17 41" xfId="4939" xr:uid="{00000000-0005-0000-0000-0000311B0000}"/>
    <cellStyle name="Normal 18 17 42" xfId="3202" xr:uid="{00000000-0005-0000-0000-0000321B0000}"/>
    <cellStyle name="Normal 18 17 43" xfId="6882" xr:uid="{00000000-0005-0000-0000-0000331B0000}"/>
    <cellStyle name="Normal 18 17 5" xfId="26319" xr:uid="{00000000-0005-0000-0000-0000341B0000}"/>
    <cellStyle name="Normal 18 17 6" xfId="25723" xr:uid="{00000000-0005-0000-0000-0000351B0000}"/>
    <cellStyle name="Normal 18 17 7" xfId="25126" xr:uid="{00000000-0005-0000-0000-0000361B0000}"/>
    <cellStyle name="Normal 18 17 8" xfId="24529" xr:uid="{00000000-0005-0000-0000-0000371B0000}"/>
    <cellStyle name="Normal 18 17 9" xfId="23932" xr:uid="{00000000-0005-0000-0000-0000381B0000}"/>
    <cellStyle name="Normal 18 18" xfId="28707" xr:uid="{00000000-0005-0000-0000-0000391B0000}"/>
    <cellStyle name="Normal 18 18 10" xfId="23334" xr:uid="{00000000-0005-0000-0000-00003A1B0000}"/>
    <cellStyle name="Normal 18 18 11" xfId="22737" xr:uid="{00000000-0005-0000-0000-00003B1B0000}"/>
    <cellStyle name="Normal 18 18 12" xfId="22141" xr:uid="{00000000-0005-0000-0000-00003C1B0000}"/>
    <cellStyle name="Normal 18 18 13" xfId="21544" xr:uid="{00000000-0005-0000-0000-00003D1B0000}"/>
    <cellStyle name="Normal 18 18 14" xfId="20947" xr:uid="{00000000-0005-0000-0000-00003E1B0000}"/>
    <cellStyle name="Normal 18 18 15" xfId="20350" xr:uid="{00000000-0005-0000-0000-00003F1B0000}"/>
    <cellStyle name="Normal 18 18 16" xfId="19754" xr:uid="{00000000-0005-0000-0000-0000401B0000}"/>
    <cellStyle name="Normal 18 18 17" xfId="19158" xr:uid="{00000000-0005-0000-0000-0000411B0000}"/>
    <cellStyle name="Normal 18 18 18" xfId="18565" xr:uid="{00000000-0005-0000-0000-0000421B0000}"/>
    <cellStyle name="Normal 18 18 19" xfId="17969" xr:uid="{00000000-0005-0000-0000-0000431B0000}"/>
    <cellStyle name="Normal 18 18 2" xfId="28108" xr:uid="{00000000-0005-0000-0000-0000441B0000}"/>
    <cellStyle name="Normal 18 18 20" xfId="17316" xr:uid="{00000000-0005-0000-0000-0000451B0000}"/>
    <cellStyle name="Normal 18 18 21" xfId="15973" xr:uid="{00000000-0005-0000-0000-0000461B0000}"/>
    <cellStyle name="Normal 18 18 22" xfId="16295" xr:uid="{00000000-0005-0000-0000-0000471B0000}"/>
    <cellStyle name="Normal 18 18 23" xfId="13639" xr:uid="{00000000-0005-0000-0000-0000481B0000}"/>
    <cellStyle name="Normal 18 18 24" xfId="15105" xr:uid="{00000000-0005-0000-0000-0000491B0000}"/>
    <cellStyle name="Normal 18 18 25" xfId="13221" xr:uid="{00000000-0005-0000-0000-00004A1B0000}"/>
    <cellStyle name="Normal 18 18 26" xfId="15241" xr:uid="{00000000-0005-0000-0000-00004B1B0000}"/>
    <cellStyle name="Normal 18 18 27" xfId="13425" xr:uid="{00000000-0005-0000-0000-00004C1B0000}"/>
    <cellStyle name="Normal 18 18 28" xfId="12577" xr:uid="{00000000-0005-0000-0000-00004D1B0000}"/>
    <cellStyle name="Normal 18 18 29" xfId="8980" xr:uid="{00000000-0005-0000-0000-00004E1B0000}"/>
    <cellStyle name="Normal 18 18 3" xfId="27511" xr:uid="{00000000-0005-0000-0000-00004F1B0000}"/>
    <cellStyle name="Normal 18 18 30" xfId="8934" xr:uid="{00000000-0005-0000-0000-0000501B0000}"/>
    <cellStyle name="Normal 18 18 31" xfId="8658" xr:uid="{00000000-0005-0000-0000-0000511B0000}"/>
    <cellStyle name="Normal 18 18 32" xfId="9954" xr:uid="{00000000-0005-0000-0000-0000521B0000}"/>
    <cellStyle name="Normal 18 18 33" xfId="10013" xr:uid="{00000000-0005-0000-0000-0000531B0000}"/>
    <cellStyle name="Normal 18 18 34" xfId="9799" xr:uid="{00000000-0005-0000-0000-0000541B0000}"/>
    <cellStyle name="Normal 18 18 35" xfId="10621" xr:uid="{00000000-0005-0000-0000-0000551B0000}"/>
    <cellStyle name="Normal 18 18 36" xfId="12008" xr:uid="{00000000-0005-0000-0000-0000561B0000}"/>
    <cellStyle name="Normal 18 18 37" xfId="10240" xr:uid="{00000000-0005-0000-0000-0000571B0000}"/>
    <cellStyle name="Normal 18 18 38" xfId="3714" xr:uid="{00000000-0005-0000-0000-0000581B0000}"/>
    <cellStyle name="Normal 18 18 39" xfId="7685" xr:uid="{00000000-0005-0000-0000-0000591B0000}"/>
    <cellStyle name="Normal 18 18 4" xfId="26914" xr:uid="{00000000-0005-0000-0000-00005A1B0000}"/>
    <cellStyle name="Normal 18 18 40" xfId="6142" xr:uid="{00000000-0005-0000-0000-00005B1B0000}"/>
    <cellStyle name="Normal 18 18 41" xfId="11441" xr:uid="{00000000-0005-0000-0000-00005C1B0000}"/>
    <cellStyle name="Normal 18 18 42" xfId="6872" xr:uid="{00000000-0005-0000-0000-00005D1B0000}"/>
    <cellStyle name="Normal 18 18 43" xfId="10553" xr:uid="{00000000-0005-0000-0000-00005E1B0000}"/>
    <cellStyle name="Normal 18 18 5" xfId="26318" xr:uid="{00000000-0005-0000-0000-00005F1B0000}"/>
    <cellStyle name="Normal 18 18 6" xfId="25722" xr:uid="{00000000-0005-0000-0000-0000601B0000}"/>
    <cellStyle name="Normal 18 18 7" xfId="25125" xr:uid="{00000000-0005-0000-0000-0000611B0000}"/>
    <cellStyle name="Normal 18 18 8" xfId="24528" xr:uid="{00000000-0005-0000-0000-0000621B0000}"/>
    <cellStyle name="Normal 18 18 9" xfId="23931" xr:uid="{00000000-0005-0000-0000-0000631B0000}"/>
    <cellStyle name="Normal 18 19" xfId="28706" xr:uid="{00000000-0005-0000-0000-0000641B0000}"/>
    <cellStyle name="Normal 18 19 10" xfId="23333" xr:uid="{00000000-0005-0000-0000-0000651B0000}"/>
    <cellStyle name="Normal 18 19 11" xfId="22736" xr:uid="{00000000-0005-0000-0000-0000661B0000}"/>
    <cellStyle name="Normal 18 19 12" xfId="22140" xr:uid="{00000000-0005-0000-0000-0000671B0000}"/>
    <cellStyle name="Normal 18 19 13" xfId="21543" xr:uid="{00000000-0005-0000-0000-0000681B0000}"/>
    <cellStyle name="Normal 18 19 14" xfId="20946" xr:uid="{00000000-0005-0000-0000-0000691B0000}"/>
    <cellStyle name="Normal 18 19 15" xfId="20349" xr:uid="{00000000-0005-0000-0000-00006A1B0000}"/>
    <cellStyle name="Normal 18 19 16" xfId="19753" xr:uid="{00000000-0005-0000-0000-00006B1B0000}"/>
    <cellStyle name="Normal 18 19 17" xfId="19157" xr:uid="{00000000-0005-0000-0000-00006C1B0000}"/>
    <cellStyle name="Normal 18 19 18" xfId="18564" xr:uid="{00000000-0005-0000-0000-00006D1B0000}"/>
    <cellStyle name="Normal 18 19 19" xfId="17968" xr:uid="{00000000-0005-0000-0000-00006E1B0000}"/>
    <cellStyle name="Normal 18 19 2" xfId="28107" xr:uid="{00000000-0005-0000-0000-00006F1B0000}"/>
    <cellStyle name="Normal 18 19 20" xfId="14149" xr:uid="{00000000-0005-0000-0000-0000701B0000}"/>
    <cellStyle name="Normal 18 19 21" xfId="15574" xr:uid="{00000000-0005-0000-0000-0000711B0000}"/>
    <cellStyle name="Normal 18 19 22" xfId="16310" xr:uid="{00000000-0005-0000-0000-0000721B0000}"/>
    <cellStyle name="Normal 18 19 23" xfId="13634" xr:uid="{00000000-0005-0000-0000-0000731B0000}"/>
    <cellStyle name="Normal 18 19 24" xfId="13727" xr:uid="{00000000-0005-0000-0000-0000741B0000}"/>
    <cellStyle name="Normal 18 19 25" xfId="16056" xr:uid="{00000000-0005-0000-0000-0000751B0000}"/>
    <cellStyle name="Normal 18 19 26" xfId="13925" xr:uid="{00000000-0005-0000-0000-0000761B0000}"/>
    <cellStyle name="Normal 18 19 27" xfId="12867" xr:uid="{00000000-0005-0000-0000-0000771B0000}"/>
    <cellStyle name="Normal 18 19 28" xfId="12576" xr:uid="{00000000-0005-0000-0000-0000781B0000}"/>
    <cellStyle name="Normal 18 19 29" xfId="10342" xr:uid="{00000000-0005-0000-0000-0000791B0000}"/>
    <cellStyle name="Normal 18 19 3" xfId="27510" xr:uid="{00000000-0005-0000-0000-00007A1B0000}"/>
    <cellStyle name="Normal 18 19 30" xfId="7546" xr:uid="{00000000-0005-0000-0000-00007B1B0000}"/>
    <cellStyle name="Normal 18 19 31" xfId="6093" xr:uid="{00000000-0005-0000-0000-00007C1B0000}"/>
    <cellStyle name="Normal 18 19 32" xfId="9938" xr:uid="{00000000-0005-0000-0000-00007D1B0000}"/>
    <cellStyle name="Normal 18 19 33" xfId="10659" xr:uid="{00000000-0005-0000-0000-00007E1B0000}"/>
    <cellStyle name="Normal 18 19 34" xfId="4993" xr:uid="{00000000-0005-0000-0000-00007F1B0000}"/>
    <cellStyle name="Normal 18 19 35" xfId="4897" xr:uid="{00000000-0005-0000-0000-0000801B0000}"/>
    <cellStyle name="Normal 18 19 36" xfId="5982" xr:uid="{00000000-0005-0000-0000-0000811B0000}"/>
    <cellStyle name="Normal 18 19 37" xfId="5844" xr:uid="{00000000-0005-0000-0000-0000821B0000}"/>
    <cellStyle name="Normal 18 19 38" xfId="11398" xr:uid="{00000000-0005-0000-0000-0000831B0000}"/>
    <cellStyle name="Normal 18 19 39" xfId="4755" xr:uid="{00000000-0005-0000-0000-0000841B0000}"/>
    <cellStyle name="Normal 18 19 4" xfId="26913" xr:uid="{00000000-0005-0000-0000-0000851B0000}"/>
    <cellStyle name="Normal 18 19 40" xfId="7005" xr:uid="{00000000-0005-0000-0000-0000861B0000}"/>
    <cellStyle name="Normal 18 19 41" xfId="4776" xr:uid="{00000000-0005-0000-0000-0000871B0000}"/>
    <cellStyle name="Normal 18 19 42" xfId="3306" xr:uid="{00000000-0005-0000-0000-0000881B0000}"/>
    <cellStyle name="Normal 18 19 43" xfId="10109" xr:uid="{00000000-0005-0000-0000-0000891B0000}"/>
    <cellStyle name="Normal 18 19 5" xfId="26317" xr:uid="{00000000-0005-0000-0000-00008A1B0000}"/>
    <cellStyle name="Normal 18 19 6" xfId="25721" xr:uid="{00000000-0005-0000-0000-00008B1B0000}"/>
    <cellStyle name="Normal 18 19 7" xfId="25124" xr:uid="{00000000-0005-0000-0000-00008C1B0000}"/>
    <cellStyle name="Normal 18 19 8" xfId="24527" xr:uid="{00000000-0005-0000-0000-00008D1B0000}"/>
    <cellStyle name="Normal 18 19 9" xfId="23930" xr:uid="{00000000-0005-0000-0000-00008E1B0000}"/>
    <cellStyle name="Normal 18 2" xfId="28705" xr:uid="{00000000-0005-0000-0000-00008F1B0000}"/>
    <cellStyle name="Normal 18 2 10" xfId="23332" xr:uid="{00000000-0005-0000-0000-0000901B0000}"/>
    <cellStyle name="Normal 18 2 11" xfId="22735" xr:uid="{00000000-0005-0000-0000-0000911B0000}"/>
    <cellStyle name="Normal 18 2 12" xfId="22139" xr:uid="{00000000-0005-0000-0000-0000921B0000}"/>
    <cellStyle name="Normal 18 2 13" xfId="21542" xr:uid="{00000000-0005-0000-0000-0000931B0000}"/>
    <cellStyle name="Normal 18 2 14" xfId="20945" xr:uid="{00000000-0005-0000-0000-0000941B0000}"/>
    <cellStyle name="Normal 18 2 15" xfId="20348" xr:uid="{00000000-0005-0000-0000-0000951B0000}"/>
    <cellStyle name="Normal 18 2 16" xfId="19752" xr:uid="{00000000-0005-0000-0000-0000961B0000}"/>
    <cellStyle name="Normal 18 2 17" xfId="19156" xr:uid="{00000000-0005-0000-0000-0000971B0000}"/>
    <cellStyle name="Normal 18 2 18" xfId="18563" xr:uid="{00000000-0005-0000-0000-0000981B0000}"/>
    <cellStyle name="Normal 18 2 19" xfId="17967" xr:uid="{00000000-0005-0000-0000-0000991B0000}"/>
    <cellStyle name="Normal 18 2 2" xfId="28106" xr:uid="{00000000-0005-0000-0000-00009A1B0000}"/>
    <cellStyle name="Normal 18 2 20" xfId="14338" xr:uid="{00000000-0005-0000-0000-00009B1B0000}"/>
    <cellStyle name="Normal 18 2 21" xfId="13960" xr:uid="{00000000-0005-0000-0000-00009C1B0000}"/>
    <cellStyle name="Normal 18 2 22" xfId="16893" xr:uid="{00000000-0005-0000-0000-00009D1B0000}"/>
    <cellStyle name="Normal 18 2 23" xfId="14798" xr:uid="{00000000-0005-0000-0000-00009E1B0000}"/>
    <cellStyle name="Normal 18 2 24" xfId="14504" xr:uid="{00000000-0005-0000-0000-00009F1B0000}"/>
    <cellStyle name="Normal 18 2 25" xfId="14481" xr:uid="{00000000-0005-0000-0000-0000A01B0000}"/>
    <cellStyle name="Normal 18 2 26" xfId="13085" xr:uid="{00000000-0005-0000-0000-0000A11B0000}"/>
    <cellStyle name="Normal 18 2 27" xfId="14042" xr:uid="{00000000-0005-0000-0000-0000A21B0000}"/>
    <cellStyle name="Normal 18 2 28" xfId="12575" xr:uid="{00000000-0005-0000-0000-0000A31B0000}"/>
    <cellStyle name="Normal 18 2 29" xfId="10570" xr:uid="{00000000-0005-0000-0000-0000A41B0000}"/>
    <cellStyle name="Normal 18 2 3" xfId="27509" xr:uid="{00000000-0005-0000-0000-0000A51B0000}"/>
    <cellStyle name="Normal 18 2 30" xfId="7167" xr:uid="{00000000-0005-0000-0000-0000A61B0000}"/>
    <cellStyle name="Normal 18 2 31" xfId="9361" xr:uid="{00000000-0005-0000-0000-0000A71B0000}"/>
    <cellStyle name="Normal 18 2 32" xfId="6919" xr:uid="{00000000-0005-0000-0000-0000A81B0000}"/>
    <cellStyle name="Normal 18 2 33" xfId="6967" xr:uid="{00000000-0005-0000-0000-0000A91B0000}"/>
    <cellStyle name="Normal 18 2 34" xfId="11985" xr:uid="{00000000-0005-0000-0000-0000AA1B0000}"/>
    <cellStyle name="Normal 18 2 35" xfId="7641" xr:uid="{00000000-0005-0000-0000-0000AB1B0000}"/>
    <cellStyle name="Normal 18 2 36" xfId="11081" xr:uid="{00000000-0005-0000-0000-0000AC1B0000}"/>
    <cellStyle name="Normal 18 2 37" xfId="5022" xr:uid="{00000000-0005-0000-0000-0000AD1B0000}"/>
    <cellStyle name="Normal 18 2 38" xfId="11270" xr:uid="{00000000-0005-0000-0000-0000AE1B0000}"/>
    <cellStyle name="Normal 18 2 39" xfId="6044" xr:uid="{00000000-0005-0000-0000-0000AF1B0000}"/>
    <cellStyle name="Normal 18 2 4" xfId="26912" xr:uid="{00000000-0005-0000-0000-0000B01B0000}"/>
    <cellStyle name="Normal 18 2 40" xfId="4998" xr:uid="{00000000-0005-0000-0000-0000B11B0000}"/>
    <cellStyle name="Normal 18 2 41" xfId="3335" xr:uid="{00000000-0005-0000-0000-0000B21B0000}"/>
    <cellStyle name="Normal 18 2 42" xfId="11603" xr:uid="{00000000-0005-0000-0000-0000B31B0000}"/>
    <cellStyle name="Normal 18 2 43" xfId="11328" xr:uid="{00000000-0005-0000-0000-0000B41B0000}"/>
    <cellStyle name="Normal 18 2 44" xfId="3013" xr:uid="{00000000-0005-0000-0000-0000B51B0000}"/>
    <cellStyle name="Normal 18 2 45" xfId="2769" xr:uid="{00000000-0005-0000-0000-0000B61B0000}"/>
    <cellStyle name="Normal 18 2 46" xfId="2529" xr:uid="{00000000-0005-0000-0000-0000B71B0000}"/>
    <cellStyle name="Normal 18 2 47" xfId="2289" xr:uid="{00000000-0005-0000-0000-0000B81B0000}"/>
    <cellStyle name="Normal 18 2 48" xfId="2049" xr:uid="{00000000-0005-0000-0000-0000B91B0000}"/>
    <cellStyle name="Normal 18 2 49" xfId="1809" xr:uid="{00000000-0005-0000-0000-0000BA1B0000}"/>
    <cellStyle name="Normal 18 2 5" xfId="26316" xr:uid="{00000000-0005-0000-0000-0000BB1B0000}"/>
    <cellStyle name="Normal 18 2 50" xfId="1570" xr:uid="{00000000-0005-0000-0000-0000BC1B0000}"/>
    <cellStyle name="Normal 18 2 51" xfId="1330" xr:uid="{00000000-0005-0000-0000-0000BD1B0000}"/>
    <cellStyle name="Normal 18 2 52" xfId="1090" xr:uid="{00000000-0005-0000-0000-0000BE1B0000}"/>
    <cellStyle name="Normal 18 2 53" xfId="850" xr:uid="{00000000-0005-0000-0000-0000BF1B0000}"/>
    <cellStyle name="Normal 18 2 54" xfId="610" xr:uid="{00000000-0005-0000-0000-0000C01B0000}"/>
    <cellStyle name="Normal 18 2 55" xfId="371" xr:uid="{00000000-0005-0000-0000-0000C11B0000}"/>
    <cellStyle name="Normal 18 2 56" xfId="133" xr:uid="{00000000-0005-0000-0000-0000C21B0000}"/>
    <cellStyle name="Normal 18 2 6" xfId="25720" xr:uid="{00000000-0005-0000-0000-0000C31B0000}"/>
    <cellStyle name="Normal 18 2 7" xfId="25123" xr:uid="{00000000-0005-0000-0000-0000C41B0000}"/>
    <cellStyle name="Normal 18 2 8" xfId="24526" xr:uid="{00000000-0005-0000-0000-0000C51B0000}"/>
    <cellStyle name="Normal 18 2 9" xfId="23929" xr:uid="{00000000-0005-0000-0000-0000C61B0000}"/>
    <cellStyle name="Normal 18 20" xfId="28704" xr:uid="{00000000-0005-0000-0000-0000C71B0000}"/>
    <cellStyle name="Normal 18 20 10" xfId="23331" xr:uid="{00000000-0005-0000-0000-0000C81B0000}"/>
    <cellStyle name="Normal 18 20 11" xfId="22734" xr:uid="{00000000-0005-0000-0000-0000C91B0000}"/>
    <cellStyle name="Normal 18 20 12" xfId="22138" xr:uid="{00000000-0005-0000-0000-0000CA1B0000}"/>
    <cellStyle name="Normal 18 20 13" xfId="21541" xr:uid="{00000000-0005-0000-0000-0000CB1B0000}"/>
    <cellStyle name="Normal 18 20 14" xfId="20944" xr:uid="{00000000-0005-0000-0000-0000CC1B0000}"/>
    <cellStyle name="Normal 18 20 15" xfId="20347" xr:uid="{00000000-0005-0000-0000-0000CD1B0000}"/>
    <cellStyle name="Normal 18 20 16" xfId="19751" xr:uid="{00000000-0005-0000-0000-0000CE1B0000}"/>
    <cellStyle name="Normal 18 20 17" xfId="19155" xr:uid="{00000000-0005-0000-0000-0000CF1B0000}"/>
    <cellStyle name="Normal 18 20 18" xfId="18562" xr:uid="{00000000-0005-0000-0000-0000D01B0000}"/>
    <cellStyle name="Normal 18 20 19" xfId="17966" xr:uid="{00000000-0005-0000-0000-0000D11B0000}"/>
    <cellStyle name="Normal 18 20 2" xfId="28105" xr:uid="{00000000-0005-0000-0000-0000D21B0000}"/>
    <cellStyle name="Normal 18 20 20" xfId="14529" xr:uid="{00000000-0005-0000-0000-0000D31B0000}"/>
    <cellStyle name="Normal 18 20 21" xfId="14131" xr:uid="{00000000-0005-0000-0000-0000D41B0000}"/>
    <cellStyle name="Normal 18 20 22" xfId="14079" xr:uid="{00000000-0005-0000-0000-0000D51B0000}"/>
    <cellStyle name="Normal 18 20 23" xfId="17356" xr:uid="{00000000-0005-0000-0000-0000D61B0000}"/>
    <cellStyle name="Normal 18 20 24" xfId="14890" xr:uid="{00000000-0005-0000-0000-0000D71B0000}"/>
    <cellStyle name="Normal 18 20 25" xfId="13629" xr:uid="{00000000-0005-0000-0000-0000D81B0000}"/>
    <cellStyle name="Normal 18 20 26" xfId="13060" xr:uid="{00000000-0005-0000-0000-0000D91B0000}"/>
    <cellStyle name="Normal 18 20 27" xfId="13408" xr:uid="{00000000-0005-0000-0000-0000DA1B0000}"/>
    <cellStyle name="Normal 18 20 28" xfId="12574" xr:uid="{00000000-0005-0000-0000-0000DB1B0000}"/>
    <cellStyle name="Normal 18 20 29" xfId="10785" xr:uid="{00000000-0005-0000-0000-0000DC1B0000}"/>
    <cellStyle name="Normal 18 20 3" xfId="27508" xr:uid="{00000000-0005-0000-0000-0000DD1B0000}"/>
    <cellStyle name="Normal 18 20 30" xfId="10704" xr:uid="{00000000-0005-0000-0000-0000DE1B0000}"/>
    <cellStyle name="Normal 18 20 31" xfId="7366" xr:uid="{00000000-0005-0000-0000-0000DF1B0000}"/>
    <cellStyle name="Normal 18 20 32" xfId="7035" xr:uid="{00000000-0005-0000-0000-0000E01B0000}"/>
    <cellStyle name="Normal 18 20 33" xfId="6260" xr:uid="{00000000-0005-0000-0000-0000E11B0000}"/>
    <cellStyle name="Normal 18 20 34" xfId="6382" xr:uid="{00000000-0005-0000-0000-0000E21B0000}"/>
    <cellStyle name="Normal 18 20 35" xfId="11753" xr:uid="{00000000-0005-0000-0000-0000E31B0000}"/>
    <cellStyle name="Normal 18 20 36" xfId="10718" xr:uid="{00000000-0005-0000-0000-0000E41B0000}"/>
    <cellStyle name="Normal 18 20 37" xfId="7730" xr:uid="{00000000-0005-0000-0000-0000E51B0000}"/>
    <cellStyle name="Normal 18 20 38" xfId="11653" xr:uid="{00000000-0005-0000-0000-0000E61B0000}"/>
    <cellStyle name="Normal 18 20 39" xfId="5979" xr:uid="{00000000-0005-0000-0000-0000E71B0000}"/>
    <cellStyle name="Normal 18 20 4" xfId="26911" xr:uid="{00000000-0005-0000-0000-0000E81B0000}"/>
    <cellStyle name="Normal 18 20 40" xfId="4072" xr:uid="{00000000-0005-0000-0000-0000E91B0000}"/>
    <cellStyle name="Normal 18 20 41" xfId="6913" xr:uid="{00000000-0005-0000-0000-0000EA1B0000}"/>
    <cellStyle name="Normal 18 20 42" xfId="10771" xr:uid="{00000000-0005-0000-0000-0000EB1B0000}"/>
    <cellStyle name="Normal 18 20 43" xfId="9312" xr:uid="{00000000-0005-0000-0000-0000EC1B0000}"/>
    <cellStyle name="Normal 18 20 5" xfId="26315" xr:uid="{00000000-0005-0000-0000-0000ED1B0000}"/>
    <cellStyle name="Normal 18 20 6" xfId="25719" xr:uid="{00000000-0005-0000-0000-0000EE1B0000}"/>
    <cellStyle name="Normal 18 20 7" xfId="25122" xr:uid="{00000000-0005-0000-0000-0000EF1B0000}"/>
    <cellStyle name="Normal 18 20 8" xfId="24525" xr:uid="{00000000-0005-0000-0000-0000F01B0000}"/>
    <cellStyle name="Normal 18 20 9" xfId="23928" xr:uid="{00000000-0005-0000-0000-0000F11B0000}"/>
    <cellStyle name="Normal 18 21" xfId="28703" xr:uid="{00000000-0005-0000-0000-0000F21B0000}"/>
    <cellStyle name="Normal 18 21 10" xfId="23330" xr:uid="{00000000-0005-0000-0000-0000F31B0000}"/>
    <cellStyle name="Normal 18 21 11" xfId="22733" xr:uid="{00000000-0005-0000-0000-0000F41B0000}"/>
    <cellStyle name="Normal 18 21 12" xfId="22137" xr:uid="{00000000-0005-0000-0000-0000F51B0000}"/>
    <cellStyle name="Normal 18 21 13" xfId="21540" xr:uid="{00000000-0005-0000-0000-0000F61B0000}"/>
    <cellStyle name="Normal 18 21 14" xfId="20943" xr:uid="{00000000-0005-0000-0000-0000F71B0000}"/>
    <cellStyle name="Normal 18 21 15" xfId="20346" xr:uid="{00000000-0005-0000-0000-0000F81B0000}"/>
    <cellStyle name="Normal 18 21 16" xfId="19750" xr:uid="{00000000-0005-0000-0000-0000F91B0000}"/>
    <cellStyle name="Normal 18 21 17" xfId="19154" xr:uid="{00000000-0005-0000-0000-0000FA1B0000}"/>
    <cellStyle name="Normal 18 21 18" xfId="18561" xr:uid="{00000000-0005-0000-0000-0000FB1B0000}"/>
    <cellStyle name="Normal 18 21 19" xfId="17965" xr:uid="{00000000-0005-0000-0000-0000FC1B0000}"/>
    <cellStyle name="Normal 18 21 2" xfId="28104" xr:uid="{00000000-0005-0000-0000-0000FD1B0000}"/>
    <cellStyle name="Normal 18 21 20" xfId="14726" xr:uid="{00000000-0005-0000-0000-0000FE1B0000}"/>
    <cellStyle name="Normal 18 21 21" xfId="14910" xr:uid="{00000000-0005-0000-0000-0000FF1B0000}"/>
    <cellStyle name="Normal 18 21 22" xfId="14368" xr:uid="{00000000-0005-0000-0000-0000001C0000}"/>
    <cellStyle name="Normal 18 21 23" xfId="16620" xr:uid="{00000000-0005-0000-0000-0000011C0000}"/>
    <cellStyle name="Normal 18 21 24" xfId="16838" xr:uid="{00000000-0005-0000-0000-0000021C0000}"/>
    <cellStyle name="Normal 18 21 25" xfId="14883" xr:uid="{00000000-0005-0000-0000-0000031C0000}"/>
    <cellStyle name="Normal 18 21 26" xfId="16701" xr:uid="{00000000-0005-0000-0000-0000041C0000}"/>
    <cellStyle name="Normal 18 21 27" xfId="16821" xr:uid="{00000000-0005-0000-0000-0000051C0000}"/>
    <cellStyle name="Normal 18 21 28" xfId="12573" xr:uid="{00000000-0005-0000-0000-0000061C0000}"/>
    <cellStyle name="Normal 18 21 29" xfId="11004" xr:uid="{00000000-0005-0000-0000-0000071C0000}"/>
    <cellStyle name="Normal 18 21 3" xfId="27507" xr:uid="{00000000-0005-0000-0000-0000081C0000}"/>
    <cellStyle name="Normal 18 21 30" xfId="8421" xr:uid="{00000000-0005-0000-0000-0000091C0000}"/>
    <cellStyle name="Normal 18 21 31" xfId="12098" xr:uid="{00000000-0005-0000-0000-00000A1C0000}"/>
    <cellStyle name="Normal 18 21 32" xfId="11579" xr:uid="{00000000-0005-0000-0000-00000B1C0000}"/>
    <cellStyle name="Normal 18 21 33" xfId="5287" xr:uid="{00000000-0005-0000-0000-00000C1C0000}"/>
    <cellStyle name="Normal 18 21 34" xfId="5747" xr:uid="{00000000-0005-0000-0000-00000D1C0000}"/>
    <cellStyle name="Normal 18 21 35" xfId="4862" xr:uid="{00000000-0005-0000-0000-00000E1C0000}"/>
    <cellStyle name="Normal 18 21 36" xfId="10878" xr:uid="{00000000-0005-0000-0000-00000F1C0000}"/>
    <cellStyle name="Normal 18 21 37" xfId="4276" xr:uid="{00000000-0005-0000-0000-0000101C0000}"/>
    <cellStyle name="Normal 18 21 38" xfId="9342" xr:uid="{00000000-0005-0000-0000-0000111C0000}"/>
    <cellStyle name="Normal 18 21 39" xfId="9576" xr:uid="{00000000-0005-0000-0000-0000121C0000}"/>
    <cellStyle name="Normal 18 21 4" xfId="26910" xr:uid="{00000000-0005-0000-0000-0000131C0000}"/>
    <cellStyle name="Normal 18 21 40" xfId="3711" xr:uid="{00000000-0005-0000-0000-0000141C0000}"/>
    <cellStyle name="Normal 18 21 41" xfId="11493" xr:uid="{00000000-0005-0000-0000-0000151C0000}"/>
    <cellStyle name="Normal 18 21 42" xfId="5284" xr:uid="{00000000-0005-0000-0000-0000161C0000}"/>
    <cellStyle name="Normal 18 21 43" xfId="5258" xr:uid="{00000000-0005-0000-0000-0000171C0000}"/>
    <cellStyle name="Normal 18 21 5" xfId="26314" xr:uid="{00000000-0005-0000-0000-0000181C0000}"/>
    <cellStyle name="Normal 18 21 6" xfId="25718" xr:uid="{00000000-0005-0000-0000-0000191C0000}"/>
    <cellStyle name="Normal 18 21 7" xfId="25121" xr:uid="{00000000-0005-0000-0000-00001A1C0000}"/>
    <cellStyle name="Normal 18 21 8" xfId="24524" xr:uid="{00000000-0005-0000-0000-00001B1C0000}"/>
    <cellStyle name="Normal 18 21 9" xfId="23927" xr:uid="{00000000-0005-0000-0000-00001C1C0000}"/>
    <cellStyle name="Normal 18 22" xfId="28702" xr:uid="{00000000-0005-0000-0000-00001D1C0000}"/>
    <cellStyle name="Normal 18 22 10" xfId="23329" xr:uid="{00000000-0005-0000-0000-00001E1C0000}"/>
    <cellStyle name="Normal 18 22 11" xfId="22732" xr:uid="{00000000-0005-0000-0000-00001F1C0000}"/>
    <cellStyle name="Normal 18 22 12" xfId="22136" xr:uid="{00000000-0005-0000-0000-0000201C0000}"/>
    <cellStyle name="Normal 18 22 13" xfId="21539" xr:uid="{00000000-0005-0000-0000-0000211C0000}"/>
    <cellStyle name="Normal 18 22 14" xfId="20942" xr:uid="{00000000-0005-0000-0000-0000221C0000}"/>
    <cellStyle name="Normal 18 22 15" xfId="20345" xr:uid="{00000000-0005-0000-0000-0000231C0000}"/>
    <cellStyle name="Normal 18 22 16" xfId="19749" xr:uid="{00000000-0005-0000-0000-0000241C0000}"/>
    <cellStyle name="Normal 18 22 17" xfId="19153" xr:uid="{00000000-0005-0000-0000-0000251C0000}"/>
    <cellStyle name="Normal 18 22 18" xfId="18560" xr:uid="{00000000-0005-0000-0000-0000261C0000}"/>
    <cellStyle name="Normal 18 22 19" xfId="17964" xr:uid="{00000000-0005-0000-0000-0000271C0000}"/>
    <cellStyle name="Normal 18 22 2" xfId="28103" xr:uid="{00000000-0005-0000-0000-0000281C0000}"/>
    <cellStyle name="Normal 18 22 20" xfId="14928" xr:uid="{00000000-0005-0000-0000-0000291C0000}"/>
    <cellStyle name="Normal 18 22 21" xfId="14900" xr:uid="{00000000-0005-0000-0000-00002A1C0000}"/>
    <cellStyle name="Normal 18 22 22" xfId="16969" xr:uid="{00000000-0005-0000-0000-00002B1C0000}"/>
    <cellStyle name="Normal 18 22 23" xfId="15873" xr:uid="{00000000-0005-0000-0000-00002C1C0000}"/>
    <cellStyle name="Normal 18 22 24" xfId="14918" xr:uid="{00000000-0005-0000-0000-00002D1C0000}"/>
    <cellStyle name="Normal 18 22 25" xfId="17110" xr:uid="{00000000-0005-0000-0000-00002E1C0000}"/>
    <cellStyle name="Normal 18 22 26" xfId="15719" xr:uid="{00000000-0005-0000-0000-00002F1C0000}"/>
    <cellStyle name="Normal 18 22 27" xfId="13173" xr:uid="{00000000-0005-0000-0000-0000301C0000}"/>
    <cellStyle name="Normal 18 22 28" xfId="12572" xr:uid="{00000000-0005-0000-0000-0000311C0000}"/>
    <cellStyle name="Normal 18 22 29" xfId="11232" xr:uid="{00000000-0005-0000-0000-0000321C0000}"/>
    <cellStyle name="Normal 18 22 3" xfId="27506" xr:uid="{00000000-0005-0000-0000-0000331C0000}"/>
    <cellStyle name="Normal 18 22 30" xfId="8208" xr:uid="{00000000-0005-0000-0000-0000341C0000}"/>
    <cellStyle name="Normal 18 22 31" xfId="6270" xr:uid="{00000000-0005-0000-0000-0000351C0000}"/>
    <cellStyle name="Normal 18 22 32" xfId="6745" xr:uid="{00000000-0005-0000-0000-0000361C0000}"/>
    <cellStyle name="Normal 18 22 33" xfId="12099" xr:uid="{00000000-0005-0000-0000-0000371C0000}"/>
    <cellStyle name="Normal 18 22 34" xfId="4873" xr:uid="{00000000-0005-0000-0000-0000381C0000}"/>
    <cellStyle name="Normal 18 22 35" xfId="7405" xr:uid="{00000000-0005-0000-0000-0000391C0000}"/>
    <cellStyle name="Normal 18 22 36" xfId="7950" xr:uid="{00000000-0005-0000-0000-00003A1C0000}"/>
    <cellStyle name="Normal 18 22 37" xfId="7495" xr:uid="{00000000-0005-0000-0000-00003B1C0000}"/>
    <cellStyle name="Normal 18 22 38" xfId="6757" xr:uid="{00000000-0005-0000-0000-00003C1C0000}"/>
    <cellStyle name="Normal 18 22 39" xfId="4888" xr:uid="{00000000-0005-0000-0000-00003D1C0000}"/>
    <cellStyle name="Normal 18 22 4" xfId="26909" xr:uid="{00000000-0005-0000-0000-00003E1C0000}"/>
    <cellStyle name="Normal 18 22 40" xfId="7410" xr:uid="{00000000-0005-0000-0000-00003F1C0000}"/>
    <cellStyle name="Normal 18 22 41" xfId="3410" xr:uid="{00000000-0005-0000-0000-0000401C0000}"/>
    <cellStyle name="Normal 18 22 42" xfId="4300" xr:uid="{00000000-0005-0000-0000-0000411C0000}"/>
    <cellStyle name="Normal 18 22 43" xfId="7726" xr:uid="{00000000-0005-0000-0000-0000421C0000}"/>
    <cellStyle name="Normal 18 22 5" xfId="26313" xr:uid="{00000000-0005-0000-0000-0000431C0000}"/>
    <cellStyle name="Normal 18 22 6" xfId="25717" xr:uid="{00000000-0005-0000-0000-0000441C0000}"/>
    <cellStyle name="Normal 18 22 7" xfId="25120" xr:uid="{00000000-0005-0000-0000-0000451C0000}"/>
    <cellStyle name="Normal 18 22 8" xfId="24523" xr:uid="{00000000-0005-0000-0000-0000461C0000}"/>
    <cellStyle name="Normal 18 22 9" xfId="23926" xr:uid="{00000000-0005-0000-0000-0000471C0000}"/>
    <cellStyle name="Normal 18 23" xfId="28701" xr:uid="{00000000-0005-0000-0000-0000481C0000}"/>
    <cellStyle name="Normal 18 23 10" xfId="23328" xr:uid="{00000000-0005-0000-0000-0000491C0000}"/>
    <cellStyle name="Normal 18 23 11" xfId="22731" xr:uid="{00000000-0005-0000-0000-00004A1C0000}"/>
    <cellStyle name="Normal 18 23 12" xfId="22135" xr:uid="{00000000-0005-0000-0000-00004B1C0000}"/>
    <cellStyle name="Normal 18 23 13" xfId="21538" xr:uid="{00000000-0005-0000-0000-00004C1C0000}"/>
    <cellStyle name="Normal 18 23 14" xfId="20941" xr:uid="{00000000-0005-0000-0000-00004D1C0000}"/>
    <cellStyle name="Normal 18 23 15" xfId="20344" xr:uid="{00000000-0005-0000-0000-00004E1C0000}"/>
    <cellStyle name="Normal 18 23 16" xfId="19748" xr:uid="{00000000-0005-0000-0000-00004F1C0000}"/>
    <cellStyle name="Normal 18 23 17" xfId="19152" xr:uid="{00000000-0005-0000-0000-0000501C0000}"/>
    <cellStyle name="Normal 18 23 18" xfId="18559" xr:uid="{00000000-0005-0000-0000-0000511C0000}"/>
    <cellStyle name="Normal 18 23 19" xfId="17963" xr:uid="{00000000-0005-0000-0000-0000521C0000}"/>
    <cellStyle name="Normal 18 23 2" xfId="28102" xr:uid="{00000000-0005-0000-0000-0000531C0000}"/>
    <cellStyle name="Normal 18 23 20" xfId="15135" xr:uid="{00000000-0005-0000-0000-0000541C0000}"/>
    <cellStyle name="Normal 18 23 21" xfId="14693" xr:uid="{00000000-0005-0000-0000-0000551C0000}"/>
    <cellStyle name="Normal 18 23 22" xfId="14244" xr:uid="{00000000-0005-0000-0000-0000561C0000}"/>
    <cellStyle name="Normal 18 23 23" xfId="15236" xr:uid="{00000000-0005-0000-0000-0000571C0000}"/>
    <cellStyle name="Normal 18 23 24" xfId="16248" xr:uid="{00000000-0005-0000-0000-0000581C0000}"/>
    <cellStyle name="Normal 18 23 25" xfId="17156" xr:uid="{00000000-0005-0000-0000-0000591C0000}"/>
    <cellStyle name="Normal 18 23 26" xfId="14047" xr:uid="{00000000-0005-0000-0000-00005A1C0000}"/>
    <cellStyle name="Normal 18 23 27" xfId="12987" xr:uid="{00000000-0005-0000-0000-00005B1C0000}"/>
    <cellStyle name="Normal 18 23 28" xfId="12571" xr:uid="{00000000-0005-0000-0000-00005C1C0000}"/>
    <cellStyle name="Normal 18 23 29" xfId="11465" xr:uid="{00000000-0005-0000-0000-00005D1C0000}"/>
    <cellStyle name="Normal 18 23 3" xfId="27505" xr:uid="{00000000-0005-0000-0000-00005E1C0000}"/>
    <cellStyle name="Normal 18 23 30" xfId="9048" xr:uid="{00000000-0005-0000-0000-00005F1C0000}"/>
    <cellStyle name="Normal 18 23 31" xfId="7924" xr:uid="{00000000-0005-0000-0000-0000601C0000}"/>
    <cellStyle name="Normal 18 23 32" xfId="6443" xr:uid="{00000000-0005-0000-0000-0000611C0000}"/>
    <cellStyle name="Normal 18 23 33" xfId="6848" xr:uid="{00000000-0005-0000-0000-0000621C0000}"/>
    <cellStyle name="Normal 18 23 34" xfId="10178" xr:uid="{00000000-0005-0000-0000-0000631C0000}"/>
    <cellStyle name="Normal 18 23 35" xfId="8655" xr:uid="{00000000-0005-0000-0000-0000641C0000}"/>
    <cellStyle name="Normal 18 23 36" xfId="7264" xr:uid="{00000000-0005-0000-0000-0000651C0000}"/>
    <cellStyle name="Normal 18 23 37" xfId="9097" xr:uid="{00000000-0005-0000-0000-0000661C0000}"/>
    <cellStyle name="Normal 18 23 38" xfId="8540" xr:uid="{00000000-0005-0000-0000-0000671C0000}"/>
    <cellStyle name="Normal 18 23 39" xfId="3935" xr:uid="{00000000-0005-0000-0000-0000681C0000}"/>
    <cellStyle name="Normal 18 23 4" xfId="26908" xr:uid="{00000000-0005-0000-0000-0000691C0000}"/>
    <cellStyle name="Normal 18 23 40" xfId="9549" xr:uid="{00000000-0005-0000-0000-00006A1C0000}"/>
    <cellStyle name="Normal 18 23 41" xfId="11447" xr:uid="{00000000-0005-0000-0000-00006B1C0000}"/>
    <cellStyle name="Normal 18 23 42" xfId="4508" xr:uid="{00000000-0005-0000-0000-00006C1C0000}"/>
    <cellStyle name="Normal 18 23 43" xfId="9949" xr:uid="{00000000-0005-0000-0000-00006D1C0000}"/>
    <cellStyle name="Normal 18 23 5" xfId="26312" xr:uid="{00000000-0005-0000-0000-00006E1C0000}"/>
    <cellStyle name="Normal 18 23 6" xfId="25716" xr:uid="{00000000-0005-0000-0000-00006F1C0000}"/>
    <cellStyle name="Normal 18 23 7" xfId="25119" xr:uid="{00000000-0005-0000-0000-0000701C0000}"/>
    <cellStyle name="Normal 18 23 8" xfId="24522" xr:uid="{00000000-0005-0000-0000-0000711C0000}"/>
    <cellStyle name="Normal 18 23 9" xfId="23925" xr:uid="{00000000-0005-0000-0000-0000721C0000}"/>
    <cellStyle name="Normal 18 24" xfId="28700" xr:uid="{00000000-0005-0000-0000-0000731C0000}"/>
    <cellStyle name="Normal 18 24 10" xfId="23327" xr:uid="{00000000-0005-0000-0000-0000741C0000}"/>
    <cellStyle name="Normal 18 24 11" xfId="22730" xr:uid="{00000000-0005-0000-0000-0000751C0000}"/>
    <cellStyle name="Normal 18 24 12" xfId="22134" xr:uid="{00000000-0005-0000-0000-0000761C0000}"/>
    <cellStyle name="Normal 18 24 13" xfId="21537" xr:uid="{00000000-0005-0000-0000-0000771C0000}"/>
    <cellStyle name="Normal 18 24 14" xfId="20940" xr:uid="{00000000-0005-0000-0000-0000781C0000}"/>
    <cellStyle name="Normal 18 24 15" xfId="20343" xr:uid="{00000000-0005-0000-0000-0000791C0000}"/>
    <cellStyle name="Normal 18 24 16" xfId="19747" xr:uid="{00000000-0005-0000-0000-00007A1C0000}"/>
    <cellStyle name="Normal 18 24 17" xfId="19151" xr:uid="{00000000-0005-0000-0000-00007B1C0000}"/>
    <cellStyle name="Normal 18 24 18" xfId="18558" xr:uid="{00000000-0005-0000-0000-00007C1C0000}"/>
    <cellStyle name="Normal 18 24 19" xfId="17962" xr:uid="{00000000-0005-0000-0000-00007D1C0000}"/>
    <cellStyle name="Normal 18 24 2" xfId="28101" xr:uid="{00000000-0005-0000-0000-00007E1C0000}"/>
    <cellStyle name="Normal 18 24 20" xfId="15330" xr:uid="{00000000-0005-0000-0000-00007F1C0000}"/>
    <cellStyle name="Normal 18 24 21" xfId="14680" xr:uid="{00000000-0005-0000-0000-0000801C0000}"/>
    <cellStyle name="Normal 18 24 22" xfId="15265" xr:uid="{00000000-0005-0000-0000-0000811C0000}"/>
    <cellStyle name="Normal 18 24 23" xfId="15568" xr:uid="{00000000-0005-0000-0000-0000821C0000}"/>
    <cellStyle name="Normal 18 24 24" xfId="16753" xr:uid="{00000000-0005-0000-0000-0000831C0000}"/>
    <cellStyle name="Normal 18 24 25" xfId="15259" xr:uid="{00000000-0005-0000-0000-0000841C0000}"/>
    <cellStyle name="Normal 18 24 26" xfId="14832" xr:uid="{00000000-0005-0000-0000-0000851C0000}"/>
    <cellStyle name="Normal 18 24 27" xfId="14858" xr:uid="{00000000-0005-0000-0000-0000861C0000}"/>
    <cellStyle name="Normal 18 24 28" xfId="12570" xr:uid="{00000000-0005-0000-0000-0000871C0000}"/>
    <cellStyle name="Normal 18 24 29" xfId="11689" xr:uid="{00000000-0005-0000-0000-0000881C0000}"/>
    <cellStyle name="Normal 18 24 3" xfId="27504" xr:uid="{00000000-0005-0000-0000-0000891C0000}"/>
    <cellStyle name="Normal 18 24 30" xfId="9272" xr:uid="{00000000-0005-0000-0000-00008A1C0000}"/>
    <cellStyle name="Normal 18 24 31" xfId="6001" xr:uid="{00000000-0005-0000-0000-00008B1C0000}"/>
    <cellStyle name="Normal 18 24 32" xfId="5735" xr:uid="{00000000-0005-0000-0000-00008C1C0000}"/>
    <cellStyle name="Normal 18 24 33" xfId="6313" xr:uid="{00000000-0005-0000-0000-00008D1C0000}"/>
    <cellStyle name="Normal 18 24 34" xfId="9418" xr:uid="{00000000-0005-0000-0000-00008E1C0000}"/>
    <cellStyle name="Normal 18 24 35" xfId="7406" xr:uid="{00000000-0005-0000-0000-00008F1C0000}"/>
    <cellStyle name="Normal 18 24 36" xfId="6418" xr:uid="{00000000-0005-0000-0000-0000901C0000}"/>
    <cellStyle name="Normal 18 24 37" xfId="6189" xr:uid="{00000000-0005-0000-0000-0000911C0000}"/>
    <cellStyle name="Normal 18 24 38" xfId="8821" xr:uid="{00000000-0005-0000-0000-0000921C0000}"/>
    <cellStyle name="Normal 18 24 39" xfId="5129" xr:uid="{00000000-0005-0000-0000-0000931C0000}"/>
    <cellStyle name="Normal 18 24 4" xfId="26907" xr:uid="{00000000-0005-0000-0000-0000941C0000}"/>
    <cellStyle name="Normal 18 24 40" xfId="8365" xr:uid="{00000000-0005-0000-0000-0000951C0000}"/>
    <cellStyle name="Normal 18 24 41" xfId="7735" xr:uid="{00000000-0005-0000-0000-0000961C0000}"/>
    <cellStyle name="Normal 18 24 42" xfId="11148" xr:uid="{00000000-0005-0000-0000-0000971C0000}"/>
    <cellStyle name="Normal 18 24 43" xfId="4724" xr:uid="{00000000-0005-0000-0000-0000981C0000}"/>
    <cellStyle name="Normal 18 24 5" xfId="26311" xr:uid="{00000000-0005-0000-0000-0000991C0000}"/>
    <cellStyle name="Normal 18 24 6" xfId="25715" xr:uid="{00000000-0005-0000-0000-00009A1C0000}"/>
    <cellStyle name="Normal 18 24 7" xfId="25118" xr:uid="{00000000-0005-0000-0000-00009B1C0000}"/>
    <cellStyle name="Normal 18 24 8" xfId="24521" xr:uid="{00000000-0005-0000-0000-00009C1C0000}"/>
    <cellStyle name="Normal 18 24 9" xfId="23924" xr:uid="{00000000-0005-0000-0000-00009D1C0000}"/>
    <cellStyle name="Normal 18 25" xfId="28699" xr:uid="{00000000-0005-0000-0000-00009E1C0000}"/>
    <cellStyle name="Normal 18 25 10" xfId="23326" xr:uid="{00000000-0005-0000-0000-00009F1C0000}"/>
    <cellStyle name="Normal 18 25 11" xfId="22729" xr:uid="{00000000-0005-0000-0000-0000A01C0000}"/>
    <cellStyle name="Normal 18 25 12" xfId="22133" xr:uid="{00000000-0005-0000-0000-0000A11C0000}"/>
    <cellStyle name="Normal 18 25 13" xfId="21536" xr:uid="{00000000-0005-0000-0000-0000A21C0000}"/>
    <cellStyle name="Normal 18 25 14" xfId="20939" xr:uid="{00000000-0005-0000-0000-0000A31C0000}"/>
    <cellStyle name="Normal 18 25 15" xfId="20342" xr:uid="{00000000-0005-0000-0000-0000A41C0000}"/>
    <cellStyle name="Normal 18 25 16" xfId="19746" xr:uid="{00000000-0005-0000-0000-0000A51C0000}"/>
    <cellStyle name="Normal 18 25 17" xfId="19150" xr:uid="{00000000-0005-0000-0000-0000A61C0000}"/>
    <cellStyle name="Normal 18 25 18" xfId="18557" xr:uid="{00000000-0005-0000-0000-0000A71C0000}"/>
    <cellStyle name="Normal 18 25 19" xfId="17961" xr:uid="{00000000-0005-0000-0000-0000A81C0000}"/>
    <cellStyle name="Normal 18 25 2" xfId="28100" xr:uid="{00000000-0005-0000-0000-0000A91C0000}"/>
    <cellStyle name="Normal 18 25 20" xfId="15537" xr:uid="{00000000-0005-0000-0000-0000AA1C0000}"/>
    <cellStyle name="Normal 18 25 21" xfId="14282" xr:uid="{00000000-0005-0000-0000-0000AB1C0000}"/>
    <cellStyle name="Normal 18 25 22" xfId="16077" xr:uid="{00000000-0005-0000-0000-0000AC1C0000}"/>
    <cellStyle name="Normal 18 25 23" xfId="13681" xr:uid="{00000000-0005-0000-0000-0000AD1C0000}"/>
    <cellStyle name="Normal 18 25 24" xfId="13030" xr:uid="{00000000-0005-0000-0000-0000AE1C0000}"/>
    <cellStyle name="Normal 18 25 25" xfId="17232" xr:uid="{00000000-0005-0000-0000-0000AF1C0000}"/>
    <cellStyle name="Normal 18 25 26" xfId="16467" xr:uid="{00000000-0005-0000-0000-0000B01C0000}"/>
    <cellStyle name="Normal 18 25 27" xfId="13431" xr:uid="{00000000-0005-0000-0000-0000B11C0000}"/>
    <cellStyle name="Normal 18 25 28" xfId="12569" xr:uid="{00000000-0005-0000-0000-0000B21C0000}"/>
    <cellStyle name="Normal 18 25 29" xfId="6345" xr:uid="{00000000-0005-0000-0000-0000B31C0000}"/>
    <cellStyle name="Normal 18 25 3" xfId="27503" xr:uid="{00000000-0005-0000-0000-0000B41C0000}"/>
    <cellStyle name="Normal 18 25 30" xfId="10185" xr:uid="{00000000-0005-0000-0000-0000B51C0000}"/>
    <cellStyle name="Normal 18 25 31" xfId="11052" xr:uid="{00000000-0005-0000-0000-0000B61C0000}"/>
    <cellStyle name="Normal 18 25 32" xfId="7883" xr:uid="{00000000-0005-0000-0000-0000B71C0000}"/>
    <cellStyle name="Normal 18 25 33" xfId="9685" xr:uid="{00000000-0005-0000-0000-0000B81C0000}"/>
    <cellStyle name="Normal 18 25 34" xfId="8264" xr:uid="{00000000-0005-0000-0000-0000B91C0000}"/>
    <cellStyle name="Normal 18 25 35" xfId="5477" xr:uid="{00000000-0005-0000-0000-0000BA1C0000}"/>
    <cellStyle name="Normal 18 25 36" xfId="10402" xr:uid="{00000000-0005-0000-0000-0000BB1C0000}"/>
    <cellStyle name="Normal 18 25 37" xfId="5032" xr:uid="{00000000-0005-0000-0000-0000BC1C0000}"/>
    <cellStyle name="Normal 18 25 38" xfId="11349" xr:uid="{00000000-0005-0000-0000-0000BD1C0000}"/>
    <cellStyle name="Normal 18 25 39" xfId="7775" xr:uid="{00000000-0005-0000-0000-0000BE1C0000}"/>
    <cellStyle name="Normal 18 25 4" xfId="26906" xr:uid="{00000000-0005-0000-0000-0000BF1C0000}"/>
    <cellStyle name="Normal 18 25 40" xfId="7580" xr:uid="{00000000-0005-0000-0000-0000C01C0000}"/>
    <cellStyle name="Normal 18 25 41" xfId="3868" xr:uid="{00000000-0005-0000-0000-0000C11C0000}"/>
    <cellStyle name="Normal 18 25 42" xfId="3183" xr:uid="{00000000-0005-0000-0000-0000C21C0000}"/>
    <cellStyle name="Normal 18 25 43" xfId="10285" xr:uid="{00000000-0005-0000-0000-0000C31C0000}"/>
    <cellStyle name="Normal 18 25 5" xfId="26310" xr:uid="{00000000-0005-0000-0000-0000C41C0000}"/>
    <cellStyle name="Normal 18 25 6" xfId="25714" xr:uid="{00000000-0005-0000-0000-0000C51C0000}"/>
    <cellStyle name="Normal 18 25 7" xfId="25117" xr:uid="{00000000-0005-0000-0000-0000C61C0000}"/>
    <cellStyle name="Normal 18 25 8" xfId="24520" xr:uid="{00000000-0005-0000-0000-0000C71C0000}"/>
    <cellStyle name="Normal 18 25 9" xfId="23923" xr:uid="{00000000-0005-0000-0000-0000C81C0000}"/>
    <cellStyle name="Normal 18 26" xfId="28698" xr:uid="{00000000-0005-0000-0000-0000C91C0000}"/>
    <cellStyle name="Normal 18 26 10" xfId="23325" xr:uid="{00000000-0005-0000-0000-0000CA1C0000}"/>
    <cellStyle name="Normal 18 26 11" xfId="22728" xr:uid="{00000000-0005-0000-0000-0000CB1C0000}"/>
    <cellStyle name="Normal 18 26 12" xfId="22132" xr:uid="{00000000-0005-0000-0000-0000CC1C0000}"/>
    <cellStyle name="Normal 18 26 13" xfId="21535" xr:uid="{00000000-0005-0000-0000-0000CD1C0000}"/>
    <cellStyle name="Normal 18 26 14" xfId="20938" xr:uid="{00000000-0005-0000-0000-0000CE1C0000}"/>
    <cellStyle name="Normal 18 26 15" xfId="20341" xr:uid="{00000000-0005-0000-0000-0000CF1C0000}"/>
    <cellStyle name="Normal 18 26 16" xfId="19745" xr:uid="{00000000-0005-0000-0000-0000D01C0000}"/>
    <cellStyle name="Normal 18 26 17" xfId="19149" xr:uid="{00000000-0005-0000-0000-0000D11C0000}"/>
    <cellStyle name="Normal 18 26 18" xfId="18556" xr:uid="{00000000-0005-0000-0000-0000D21C0000}"/>
    <cellStyle name="Normal 18 26 19" xfId="17960" xr:uid="{00000000-0005-0000-0000-0000D31C0000}"/>
    <cellStyle name="Normal 18 26 2" xfId="28099" xr:uid="{00000000-0005-0000-0000-0000D41C0000}"/>
    <cellStyle name="Normal 18 26 20" xfId="15727" xr:uid="{00000000-0005-0000-0000-0000D51C0000}"/>
    <cellStyle name="Normal 18 26 21" xfId="17450" xr:uid="{00000000-0005-0000-0000-0000D61C0000}"/>
    <cellStyle name="Normal 18 26 22" xfId="15001" xr:uid="{00000000-0005-0000-0000-0000D71C0000}"/>
    <cellStyle name="Normal 18 26 23" xfId="14800" xr:uid="{00000000-0005-0000-0000-0000D81C0000}"/>
    <cellStyle name="Normal 18 26 24" xfId="13259" xr:uid="{00000000-0005-0000-0000-0000D91C0000}"/>
    <cellStyle name="Normal 18 26 25" xfId="17180" xr:uid="{00000000-0005-0000-0000-0000DA1C0000}"/>
    <cellStyle name="Normal 18 26 26" xfId="16652" xr:uid="{00000000-0005-0000-0000-0000DB1C0000}"/>
    <cellStyle name="Normal 18 26 27" xfId="13833" xr:uid="{00000000-0005-0000-0000-0000DC1C0000}"/>
    <cellStyle name="Normal 18 26 28" xfId="12568" xr:uid="{00000000-0005-0000-0000-0000DD1C0000}"/>
    <cellStyle name="Normal 18 26 29" xfId="6486" xr:uid="{00000000-0005-0000-0000-0000DE1C0000}"/>
    <cellStyle name="Normal 18 26 3" xfId="27502" xr:uid="{00000000-0005-0000-0000-0000DF1C0000}"/>
    <cellStyle name="Normal 18 26 30" xfId="11057" xr:uid="{00000000-0005-0000-0000-0000E01C0000}"/>
    <cellStyle name="Normal 18 26 31" xfId="11262" xr:uid="{00000000-0005-0000-0000-0000E11C0000}"/>
    <cellStyle name="Normal 18 26 32" xfId="8146" xr:uid="{00000000-0005-0000-0000-0000E21C0000}"/>
    <cellStyle name="Normal 18 26 33" xfId="8147" xr:uid="{00000000-0005-0000-0000-0000E31C0000}"/>
    <cellStyle name="Normal 18 26 34" xfId="11874" xr:uid="{00000000-0005-0000-0000-0000E41C0000}"/>
    <cellStyle name="Normal 18 26 35" xfId="6908" xr:uid="{00000000-0005-0000-0000-0000E51C0000}"/>
    <cellStyle name="Normal 18 26 36" xfId="5348" xr:uid="{00000000-0005-0000-0000-0000E61C0000}"/>
    <cellStyle name="Normal 18 26 37" xfId="4593" xr:uid="{00000000-0005-0000-0000-0000E71C0000}"/>
    <cellStyle name="Normal 18 26 38" xfId="5347" xr:uid="{00000000-0005-0000-0000-0000E81C0000}"/>
    <cellStyle name="Normal 18 26 39" xfId="3781" xr:uid="{00000000-0005-0000-0000-0000E91C0000}"/>
    <cellStyle name="Normal 18 26 4" xfId="26905" xr:uid="{00000000-0005-0000-0000-0000EA1C0000}"/>
    <cellStyle name="Normal 18 26 40" xfId="11862" xr:uid="{00000000-0005-0000-0000-0000EB1C0000}"/>
    <cellStyle name="Normal 18 26 41" xfId="3873" xr:uid="{00000000-0005-0000-0000-0000EC1C0000}"/>
    <cellStyle name="Normal 18 26 42" xfId="4942" xr:uid="{00000000-0005-0000-0000-0000ED1C0000}"/>
    <cellStyle name="Normal 18 26 43" xfId="11453" xr:uid="{00000000-0005-0000-0000-0000EE1C0000}"/>
    <cellStyle name="Normal 18 26 5" xfId="26309" xr:uid="{00000000-0005-0000-0000-0000EF1C0000}"/>
    <cellStyle name="Normal 18 26 6" xfId="25713" xr:uid="{00000000-0005-0000-0000-0000F01C0000}"/>
    <cellStyle name="Normal 18 26 7" xfId="25116" xr:uid="{00000000-0005-0000-0000-0000F11C0000}"/>
    <cellStyle name="Normal 18 26 8" xfId="24519" xr:uid="{00000000-0005-0000-0000-0000F21C0000}"/>
    <cellStyle name="Normal 18 26 9" xfId="23922" xr:uid="{00000000-0005-0000-0000-0000F31C0000}"/>
    <cellStyle name="Normal 18 27" xfId="28117" xr:uid="{00000000-0005-0000-0000-0000F41C0000}"/>
    <cellStyle name="Normal 18 28" xfId="27520" xr:uid="{00000000-0005-0000-0000-0000F51C0000}"/>
    <cellStyle name="Normal 18 29" xfId="26923" xr:uid="{00000000-0005-0000-0000-0000F61C0000}"/>
    <cellStyle name="Normal 18 3" xfId="28697" xr:uid="{00000000-0005-0000-0000-0000F71C0000}"/>
    <cellStyle name="Normal 18 3 10" xfId="23324" xr:uid="{00000000-0005-0000-0000-0000F81C0000}"/>
    <cellStyle name="Normal 18 3 11" xfId="22727" xr:uid="{00000000-0005-0000-0000-0000F91C0000}"/>
    <cellStyle name="Normal 18 3 12" xfId="22131" xr:uid="{00000000-0005-0000-0000-0000FA1C0000}"/>
    <cellStyle name="Normal 18 3 13" xfId="21534" xr:uid="{00000000-0005-0000-0000-0000FB1C0000}"/>
    <cellStyle name="Normal 18 3 14" xfId="20937" xr:uid="{00000000-0005-0000-0000-0000FC1C0000}"/>
    <cellStyle name="Normal 18 3 15" xfId="20340" xr:uid="{00000000-0005-0000-0000-0000FD1C0000}"/>
    <cellStyle name="Normal 18 3 16" xfId="19744" xr:uid="{00000000-0005-0000-0000-0000FE1C0000}"/>
    <cellStyle name="Normal 18 3 17" xfId="19148" xr:uid="{00000000-0005-0000-0000-0000FF1C0000}"/>
    <cellStyle name="Normal 18 3 18" xfId="18555" xr:uid="{00000000-0005-0000-0000-0000001D0000}"/>
    <cellStyle name="Normal 18 3 19" xfId="17959" xr:uid="{00000000-0005-0000-0000-0000011D0000}"/>
    <cellStyle name="Normal 18 3 2" xfId="28098" xr:uid="{00000000-0005-0000-0000-0000021D0000}"/>
    <cellStyle name="Normal 18 3 20" xfId="15927" xr:uid="{00000000-0005-0000-0000-0000031D0000}"/>
    <cellStyle name="Normal 18 3 21" xfId="17244" xr:uid="{00000000-0005-0000-0000-0000041D0000}"/>
    <cellStyle name="Normal 18 3 22" xfId="14441" xr:uid="{00000000-0005-0000-0000-0000051D0000}"/>
    <cellStyle name="Normal 18 3 23" xfId="13864" xr:uid="{00000000-0005-0000-0000-0000061D0000}"/>
    <cellStyle name="Normal 18 3 24" xfId="13118" xr:uid="{00000000-0005-0000-0000-0000071D0000}"/>
    <cellStyle name="Normal 18 3 25" xfId="16818" xr:uid="{00000000-0005-0000-0000-0000081D0000}"/>
    <cellStyle name="Normal 18 3 26" xfId="12999" xr:uid="{00000000-0005-0000-0000-0000091D0000}"/>
    <cellStyle name="Normal 18 3 27" xfId="15680" xr:uid="{00000000-0005-0000-0000-00000A1D0000}"/>
    <cellStyle name="Normal 18 3 28" xfId="12567" xr:uid="{00000000-0005-0000-0000-00000B1D0000}"/>
    <cellStyle name="Normal 18 3 29" xfId="7290" xr:uid="{00000000-0005-0000-0000-00000C1D0000}"/>
    <cellStyle name="Normal 18 3 3" xfId="27501" xr:uid="{00000000-0005-0000-0000-00000D1D0000}"/>
    <cellStyle name="Normal 18 3 30" xfId="11741" xr:uid="{00000000-0005-0000-0000-00000E1D0000}"/>
    <cellStyle name="Normal 18 3 31" xfId="9924" xr:uid="{00000000-0005-0000-0000-00000F1D0000}"/>
    <cellStyle name="Normal 18 3 32" xfId="10971" xr:uid="{00000000-0005-0000-0000-0000101D0000}"/>
    <cellStyle name="Normal 18 3 33" xfId="8629" xr:uid="{00000000-0005-0000-0000-0000111D0000}"/>
    <cellStyle name="Normal 18 3 34" xfId="8437" xr:uid="{00000000-0005-0000-0000-0000121D0000}"/>
    <cellStyle name="Normal 18 3 35" xfId="4734" xr:uid="{00000000-0005-0000-0000-0000131D0000}"/>
    <cellStyle name="Normal 18 3 36" xfId="10004" xr:uid="{00000000-0005-0000-0000-0000141D0000}"/>
    <cellStyle name="Normal 18 3 37" xfId="5147" xr:uid="{00000000-0005-0000-0000-0000151D0000}"/>
    <cellStyle name="Normal 18 3 38" xfId="3963" xr:uid="{00000000-0005-0000-0000-0000161D0000}"/>
    <cellStyle name="Normal 18 3 39" xfId="4638" xr:uid="{00000000-0005-0000-0000-0000171D0000}"/>
    <cellStyle name="Normal 18 3 4" xfId="26904" xr:uid="{00000000-0005-0000-0000-0000181D0000}"/>
    <cellStyle name="Normal 18 3 40" xfId="7377" xr:uid="{00000000-0005-0000-0000-0000191D0000}"/>
    <cellStyle name="Normal 18 3 41" xfId="8609" xr:uid="{00000000-0005-0000-0000-00001A1D0000}"/>
    <cellStyle name="Normal 18 3 42" xfId="4297" xr:uid="{00000000-0005-0000-0000-00001B1D0000}"/>
    <cellStyle name="Normal 18 3 43" xfId="9765" xr:uid="{00000000-0005-0000-0000-00001C1D0000}"/>
    <cellStyle name="Normal 18 3 44" xfId="3012" xr:uid="{00000000-0005-0000-0000-00001D1D0000}"/>
    <cellStyle name="Normal 18 3 45" xfId="2768" xr:uid="{00000000-0005-0000-0000-00001E1D0000}"/>
    <cellStyle name="Normal 18 3 46" xfId="2528" xr:uid="{00000000-0005-0000-0000-00001F1D0000}"/>
    <cellStyle name="Normal 18 3 47" xfId="2288" xr:uid="{00000000-0005-0000-0000-0000201D0000}"/>
    <cellStyle name="Normal 18 3 48" xfId="2048" xr:uid="{00000000-0005-0000-0000-0000211D0000}"/>
    <cellStyle name="Normal 18 3 49" xfId="1808" xr:uid="{00000000-0005-0000-0000-0000221D0000}"/>
    <cellStyle name="Normal 18 3 5" xfId="26308" xr:uid="{00000000-0005-0000-0000-0000231D0000}"/>
    <cellStyle name="Normal 18 3 50" xfId="1569" xr:uid="{00000000-0005-0000-0000-0000241D0000}"/>
    <cellStyle name="Normal 18 3 51" xfId="1329" xr:uid="{00000000-0005-0000-0000-0000251D0000}"/>
    <cellStyle name="Normal 18 3 52" xfId="1089" xr:uid="{00000000-0005-0000-0000-0000261D0000}"/>
    <cellStyle name="Normal 18 3 53" xfId="849" xr:uid="{00000000-0005-0000-0000-0000271D0000}"/>
    <cellStyle name="Normal 18 3 54" xfId="609" xr:uid="{00000000-0005-0000-0000-0000281D0000}"/>
    <cellStyle name="Normal 18 3 55" xfId="370" xr:uid="{00000000-0005-0000-0000-0000291D0000}"/>
    <cellStyle name="Normal 18 3 56" xfId="132" xr:uid="{00000000-0005-0000-0000-00002A1D0000}"/>
    <cellStyle name="Normal 18 3 6" xfId="25712" xr:uid="{00000000-0005-0000-0000-00002B1D0000}"/>
    <cellStyle name="Normal 18 3 7" xfId="25115" xr:uid="{00000000-0005-0000-0000-00002C1D0000}"/>
    <cellStyle name="Normal 18 3 8" xfId="24518" xr:uid="{00000000-0005-0000-0000-00002D1D0000}"/>
    <cellStyle name="Normal 18 3 9" xfId="23921" xr:uid="{00000000-0005-0000-0000-00002E1D0000}"/>
    <cellStyle name="Normal 18 30" xfId="26327" xr:uid="{00000000-0005-0000-0000-00002F1D0000}"/>
    <cellStyle name="Normal 18 31" xfId="25731" xr:uid="{00000000-0005-0000-0000-0000301D0000}"/>
    <cellStyle name="Normal 18 32" xfId="25134" xr:uid="{00000000-0005-0000-0000-0000311D0000}"/>
    <cellStyle name="Normal 18 33" xfId="24537" xr:uid="{00000000-0005-0000-0000-0000321D0000}"/>
    <cellStyle name="Normal 18 34" xfId="23940" xr:uid="{00000000-0005-0000-0000-0000331D0000}"/>
    <cellStyle name="Normal 18 35" xfId="23343" xr:uid="{00000000-0005-0000-0000-0000341D0000}"/>
    <cellStyle name="Normal 18 36" xfId="22746" xr:uid="{00000000-0005-0000-0000-0000351D0000}"/>
    <cellStyle name="Normal 18 37" xfId="22150" xr:uid="{00000000-0005-0000-0000-0000361D0000}"/>
    <cellStyle name="Normal 18 38" xfId="21553" xr:uid="{00000000-0005-0000-0000-0000371D0000}"/>
    <cellStyle name="Normal 18 39" xfId="20956" xr:uid="{00000000-0005-0000-0000-0000381D0000}"/>
    <cellStyle name="Normal 18 4" xfId="28696" xr:uid="{00000000-0005-0000-0000-0000391D0000}"/>
    <cellStyle name="Normal 18 4 10" xfId="23323" xr:uid="{00000000-0005-0000-0000-00003A1D0000}"/>
    <cellStyle name="Normal 18 4 11" xfId="22726" xr:uid="{00000000-0005-0000-0000-00003B1D0000}"/>
    <cellStyle name="Normal 18 4 12" xfId="22130" xr:uid="{00000000-0005-0000-0000-00003C1D0000}"/>
    <cellStyle name="Normal 18 4 13" xfId="21533" xr:uid="{00000000-0005-0000-0000-00003D1D0000}"/>
    <cellStyle name="Normal 18 4 14" xfId="20936" xr:uid="{00000000-0005-0000-0000-00003E1D0000}"/>
    <cellStyle name="Normal 18 4 15" xfId="20339" xr:uid="{00000000-0005-0000-0000-00003F1D0000}"/>
    <cellStyle name="Normal 18 4 16" xfId="19743" xr:uid="{00000000-0005-0000-0000-0000401D0000}"/>
    <cellStyle name="Normal 18 4 17" xfId="19147" xr:uid="{00000000-0005-0000-0000-0000411D0000}"/>
    <cellStyle name="Normal 18 4 18" xfId="18554" xr:uid="{00000000-0005-0000-0000-0000421D0000}"/>
    <cellStyle name="Normal 18 4 19" xfId="17958" xr:uid="{00000000-0005-0000-0000-0000431D0000}"/>
    <cellStyle name="Normal 18 4 2" xfId="28097" xr:uid="{00000000-0005-0000-0000-0000441D0000}"/>
    <cellStyle name="Normal 18 4 20" xfId="16135" xr:uid="{00000000-0005-0000-0000-0000451D0000}"/>
    <cellStyle name="Normal 18 4 21" xfId="16645" xr:uid="{00000000-0005-0000-0000-0000461D0000}"/>
    <cellStyle name="Normal 18 4 22" xfId="17436" xr:uid="{00000000-0005-0000-0000-0000471D0000}"/>
    <cellStyle name="Normal 18 4 23" xfId="14024" xr:uid="{00000000-0005-0000-0000-0000481D0000}"/>
    <cellStyle name="Normal 18 4 24" xfId="13935" xr:uid="{00000000-0005-0000-0000-0000491D0000}"/>
    <cellStyle name="Normal 18 4 25" xfId="15522" xr:uid="{00000000-0005-0000-0000-00004A1D0000}"/>
    <cellStyle name="Normal 18 4 26" xfId="14410" xr:uid="{00000000-0005-0000-0000-00004B1D0000}"/>
    <cellStyle name="Normal 18 4 27" xfId="13255" xr:uid="{00000000-0005-0000-0000-00004C1D0000}"/>
    <cellStyle name="Normal 18 4 28" xfId="12566" xr:uid="{00000000-0005-0000-0000-00004D1D0000}"/>
    <cellStyle name="Normal 18 4 29" xfId="7460" xr:uid="{00000000-0005-0000-0000-00004E1D0000}"/>
    <cellStyle name="Normal 18 4 3" xfId="27500" xr:uid="{00000000-0005-0000-0000-00004F1D0000}"/>
    <cellStyle name="Normal 18 4 30" xfId="6888" xr:uid="{00000000-0005-0000-0000-0000501D0000}"/>
    <cellStyle name="Normal 18 4 31" xfId="8145" xr:uid="{00000000-0005-0000-0000-0000511D0000}"/>
    <cellStyle name="Normal 18 4 32" xfId="9923" xr:uid="{00000000-0005-0000-0000-0000521D0000}"/>
    <cellStyle name="Normal 18 4 33" xfId="8869" xr:uid="{00000000-0005-0000-0000-0000531D0000}"/>
    <cellStyle name="Normal 18 4 34" xfId="10938" xr:uid="{00000000-0005-0000-0000-0000541D0000}"/>
    <cellStyle name="Normal 18 4 35" xfId="9695" xr:uid="{00000000-0005-0000-0000-0000551D0000}"/>
    <cellStyle name="Normal 18 4 36" xfId="9234" xr:uid="{00000000-0005-0000-0000-0000561D0000}"/>
    <cellStyle name="Normal 18 4 37" xfId="3956" xr:uid="{00000000-0005-0000-0000-0000571D0000}"/>
    <cellStyle name="Normal 18 4 38" xfId="7672" xr:uid="{00000000-0005-0000-0000-0000581D0000}"/>
    <cellStyle name="Normal 18 4 39" xfId="8043" xr:uid="{00000000-0005-0000-0000-0000591D0000}"/>
    <cellStyle name="Normal 18 4 4" xfId="26903" xr:uid="{00000000-0005-0000-0000-00005A1D0000}"/>
    <cellStyle name="Normal 18 4 40" xfId="4828" xr:uid="{00000000-0005-0000-0000-00005B1D0000}"/>
    <cellStyle name="Normal 18 4 41" xfId="9183" xr:uid="{00000000-0005-0000-0000-00005C1D0000}"/>
    <cellStyle name="Normal 18 4 42" xfId="4047" xr:uid="{00000000-0005-0000-0000-00005D1D0000}"/>
    <cellStyle name="Normal 18 4 43" xfId="6825" xr:uid="{00000000-0005-0000-0000-00005E1D0000}"/>
    <cellStyle name="Normal 18 4 44" xfId="3011" xr:uid="{00000000-0005-0000-0000-00005F1D0000}"/>
    <cellStyle name="Normal 18 4 45" xfId="2767" xr:uid="{00000000-0005-0000-0000-0000601D0000}"/>
    <cellStyle name="Normal 18 4 46" xfId="2527" xr:uid="{00000000-0005-0000-0000-0000611D0000}"/>
    <cellStyle name="Normal 18 4 47" xfId="2287" xr:uid="{00000000-0005-0000-0000-0000621D0000}"/>
    <cellStyle name="Normal 18 4 48" xfId="2047" xr:uid="{00000000-0005-0000-0000-0000631D0000}"/>
    <cellStyle name="Normal 18 4 49" xfId="1807" xr:uid="{00000000-0005-0000-0000-0000641D0000}"/>
    <cellStyle name="Normal 18 4 5" xfId="26307" xr:uid="{00000000-0005-0000-0000-0000651D0000}"/>
    <cellStyle name="Normal 18 4 50" xfId="1568" xr:uid="{00000000-0005-0000-0000-0000661D0000}"/>
    <cellStyle name="Normal 18 4 51" xfId="1328" xr:uid="{00000000-0005-0000-0000-0000671D0000}"/>
    <cellStyle name="Normal 18 4 52" xfId="1088" xr:uid="{00000000-0005-0000-0000-0000681D0000}"/>
    <cellStyle name="Normal 18 4 53" xfId="848" xr:uid="{00000000-0005-0000-0000-0000691D0000}"/>
    <cellStyle name="Normal 18 4 54" xfId="608" xr:uid="{00000000-0005-0000-0000-00006A1D0000}"/>
    <cellStyle name="Normal 18 4 55" xfId="369" xr:uid="{00000000-0005-0000-0000-00006B1D0000}"/>
    <cellStyle name="Normal 18 4 56" xfId="131" xr:uid="{00000000-0005-0000-0000-00006C1D0000}"/>
    <cellStyle name="Normal 18 4 6" xfId="25711" xr:uid="{00000000-0005-0000-0000-00006D1D0000}"/>
    <cellStyle name="Normal 18 4 7" xfId="25114" xr:uid="{00000000-0005-0000-0000-00006E1D0000}"/>
    <cellStyle name="Normal 18 4 8" xfId="24517" xr:uid="{00000000-0005-0000-0000-00006F1D0000}"/>
    <cellStyle name="Normal 18 4 9" xfId="23920" xr:uid="{00000000-0005-0000-0000-0000701D0000}"/>
    <cellStyle name="Normal 18 40" xfId="20359" xr:uid="{00000000-0005-0000-0000-0000711D0000}"/>
    <cellStyle name="Normal 18 41" xfId="19763" xr:uid="{00000000-0005-0000-0000-0000721D0000}"/>
    <cellStyle name="Normal 18 42" xfId="19167" xr:uid="{00000000-0005-0000-0000-0000731D0000}"/>
    <cellStyle name="Normal 18 43" xfId="18574" xr:uid="{00000000-0005-0000-0000-0000741D0000}"/>
    <cellStyle name="Normal 18 44" xfId="17978" xr:uid="{00000000-0005-0000-0000-0000751D0000}"/>
    <cellStyle name="Normal 18 45" xfId="17141" xr:uid="{00000000-0005-0000-0000-0000761D0000}"/>
    <cellStyle name="Normal 18 46" xfId="16196" xr:uid="{00000000-0005-0000-0000-0000771D0000}"/>
    <cellStyle name="Normal 18 47" xfId="17229" xr:uid="{00000000-0005-0000-0000-0000781D0000}"/>
    <cellStyle name="Normal 18 48" xfId="13845" xr:uid="{00000000-0005-0000-0000-0000791D0000}"/>
    <cellStyle name="Normal 18 49" xfId="17241" xr:uid="{00000000-0005-0000-0000-00007A1D0000}"/>
    <cellStyle name="Normal 18 5" xfId="28695" xr:uid="{00000000-0005-0000-0000-00007B1D0000}"/>
    <cellStyle name="Normal 18 5 10" xfId="23322" xr:uid="{00000000-0005-0000-0000-00007C1D0000}"/>
    <cellStyle name="Normal 18 5 11" xfId="22725" xr:uid="{00000000-0005-0000-0000-00007D1D0000}"/>
    <cellStyle name="Normal 18 5 12" xfId="22129" xr:uid="{00000000-0005-0000-0000-00007E1D0000}"/>
    <cellStyle name="Normal 18 5 13" xfId="21532" xr:uid="{00000000-0005-0000-0000-00007F1D0000}"/>
    <cellStyle name="Normal 18 5 14" xfId="20935" xr:uid="{00000000-0005-0000-0000-0000801D0000}"/>
    <cellStyle name="Normal 18 5 15" xfId="20338" xr:uid="{00000000-0005-0000-0000-0000811D0000}"/>
    <cellStyle name="Normal 18 5 16" xfId="19742" xr:uid="{00000000-0005-0000-0000-0000821D0000}"/>
    <cellStyle name="Normal 18 5 17" xfId="19146" xr:uid="{00000000-0005-0000-0000-0000831D0000}"/>
    <cellStyle name="Normal 18 5 18" xfId="18553" xr:uid="{00000000-0005-0000-0000-0000841D0000}"/>
    <cellStyle name="Normal 18 5 19" xfId="17957" xr:uid="{00000000-0005-0000-0000-0000851D0000}"/>
    <cellStyle name="Normal 18 5 2" xfId="28096" xr:uid="{00000000-0005-0000-0000-0000861D0000}"/>
    <cellStyle name="Normal 18 5 20" xfId="16336" xr:uid="{00000000-0005-0000-0000-0000871D0000}"/>
    <cellStyle name="Normal 18 5 21" xfId="16230" xr:uid="{00000000-0005-0000-0000-0000881D0000}"/>
    <cellStyle name="Normal 18 5 22" xfId="14470" xr:uid="{00000000-0005-0000-0000-0000891D0000}"/>
    <cellStyle name="Normal 18 5 23" xfId="14412" xr:uid="{00000000-0005-0000-0000-00008A1D0000}"/>
    <cellStyle name="Normal 18 5 24" xfId="13340" xr:uid="{00000000-0005-0000-0000-00008B1D0000}"/>
    <cellStyle name="Normal 18 5 25" xfId="15373" xr:uid="{00000000-0005-0000-0000-00008C1D0000}"/>
    <cellStyle name="Normal 18 5 26" xfId="12950" xr:uid="{00000000-0005-0000-0000-00008D1D0000}"/>
    <cellStyle name="Normal 18 5 27" xfId="13861" xr:uid="{00000000-0005-0000-0000-00008E1D0000}"/>
    <cellStyle name="Normal 18 5 28" xfId="12565" xr:uid="{00000000-0005-0000-0000-00008F1D0000}"/>
    <cellStyle name="Normal 18 5 29" xfId="7511" xr:uid="{00000000-0005-0000-0000-0000901D0000}"/>
    <cellStyle name="Normal 18 5 3" xfId="27499" xr:uid="{00000000-0005-0000-0000-0000911D0000}"/>
    <cellStyle name="Normal 18 5 30" xfId="7724" xr:uid="{00000000-0005-0000-0000-0000921D0000}"/>
    <cellStyle name="Normal 18 5 31" xfId="10608" xr:uid="{00000000-0005-0000-0000-0000931D0000}"/>
    <cellStyle name="Normal 18 5 32" xfId="10247" xr:uid="{00000000-0005-0000-0000-0000941D0000}"/>
    <cellStyle name="Normal 18 5 33" xfId="11353" xr:uid="{00000000-0005-0000-0000-0000951D0000}"/>
    <cellStyle name="Normal 18 5 34" xfId="6301" xr:uid="{00000000-0005-0000-0000-0000961D0000}"/>
    <cellStyle name="Normal 18 5 35" xfId="7748" xr:uid="{00000000-0005-0000-0000-0000971D0000}"/>
    <cellStyle name="Normal 18 5 36" xfId="5234" xr:uid="{00000000-0005-0000-0000-0000981D0000}"/>
    <cellStyle name="Normal 18 5 37" xfId="4782" xr:uid="{00000000-0005-0000-0000-0000991D0000}"/>
    <cellStyle name="Normal 18 5 38" xfId="4634" xr:uid="{00000000-0005-0000-0000-00009A1D0000}"/>
    <cellStyle name="Normal 18 5 39" xfId="4298" xr:uid="{00000000-0005-0000-0000-00009B1D0000}"/>
    <cellStyle name="Normal 18 5 4" xfId="26902" xr:uid="{00000000-0005-0000-0000-00009C1D0000}"/>
    <cellStyle name="Normal 18 5 40" xfId="5307" xr:uid="{00000000-0005-0000-0000-00009D1D0000}"/>
    <cellStyle name="Normal 18 5 41" xfId="5443" xr:uid="{00000000-0005-0000-0000-00009E1D0000}"/>
    <cellStyle name="Normal 18 5 42" xfId="4929" xr:uid="{00000000-0005-0000-0000-00009F1D0000}"/>
    <cellStyle name="Normal 18 5 43" xfId="3424" xr:uid="{00000000-0005-0000-0000-0000A01D0000}"/>
    <cellStyle name="Normal 18 5 44" xfId="3010" xr:uid="{00000000-0005-0000-0000-0000A11D0000}"/>
    <cellStyle name="Normal 18 5 45" xfId="2766" xr:uid="{00000000-0005-0000-0000-0000A21D0000}"/>
    <cellStyle name="Normal 18 5 46" xfId="2526" xr:uid="{00000000-0005-0000-0000-0000A31D0000}"/>
    <cellStyle name="Normal 18 5 47" xfId="2286" xr:uid="{00000000-0005-0000-0000-0000A41D0000}"/>
    <cellStyle name="Normal 18 5 48" xfId="2046" xr:uid="{00000000-0005-0000-0000-0000A51D0000}"/>
    <cellStyle name="Normal 18 5 49" xfId="1806" xr:uid="{00000000-0005-0000-0000-0000A61D0000}"/>
    <cellStyle name="Normal 18 5 5" xfId="26306" xr:uid="{00000000-0005-0000-0000-0000A71D0000}"/>
    <cellStyle name="Normal 18 5 50" xfId="1567" xr:uid="{00000000-0005-0000-0000-0000A81D0000}"/>
    <cellStyle name="Normal 18 5 51" xfId="1327" xr:uid="{00000000-0005-0000-0000-0000A91D0000}"/>
    <cellStyle name="Normal 18 5 52" xfId="1087" xr:uid="{00000000-0005-0000-0000-0000AA1D0000}"/>
    <cellStyle name="Normal 18 5 53" xfId="847" xr:uid="{00000000-0005-0000-0000-0000AB1D0000}"/>
    <cellStyle name="Normal 18 5 54" xfId="607" xr:uid="{00000000-0005-0000-0000-0000AC1D0000}"/>
    <cellStyle name="Normal 18 5 55" xfId="368" xr:uid="{00000000-0005-0000-0000-0000AD1D0000}"/>
    <cellStyle name="Normal 18 5 56" xfId="130" xr:uid="{00000000-0005-0000-0000-0000AE1D0000}"/>
    <cellStyle name="Normal 18 5 6" xfId="25710" xr:uid="{00000000-0005-0000-0000-0000AF1D0000}"/>
    <cellStyle name="Normal 18 5 7" xfId="25113" xr:uid="{00000000-0005-0000-0000-0000B01D0000}"/>
    <cellStyle name="Normal 18 5 8" xfId="24516" xr:uid="{00000000-0005-0000-0000-0000B11D0000}"/>
    <cellStyle name="Normal 18 5 9" xfId="23919" xr:uid="{00000000-0005-0000-0000-0000B21D0000}"/>
    <cellStyle name="Normal 18 50" xfId="17377" xr:uid="{00000000-0005-0000-0000-0000B31D0000}"/>
    <cellStyle name="Normal 18 51" xfId="12805" xr:uid="{00000000-0005-0000-0000-0000B41D0000}"/>
    <cellStyle name="Normal 18 52" xfId="13220" xr:uid="{00000000-0005-0000-0000-0000B51D0000}"/>
    <cellStyle name="Normal 18 53" xfId="12586" xr:uid="{00000000-0005-0000-0000-0000B61D0000}"/>
    <cellStyle name="Normal 18 54" xfId="6679" xr:uid="{00000000-0005-0000-0000-0000B71D0000}"/>
    <cellStyle name="Normal 18 55" xfId="12036" xr:uid="{00000000-0005-0000-0000-0000B81D0000}"/>
    <cellStyle name="Normal 18 56" xfId="10253" xr:uid="{00000000-0005-0000-0000-0000B91D0000}"/>
    <cellStyle name="Normal 18 57" xfId="6942" xr:uid="{00000000-0005-0000-0000-0000BA1D0000}"/>
    <cellStyle name="Normal 18 58" xfId="7570" xr:uid="{00000000-0005-0000-0000-0000BB1D0000}"/>
    <cellStyle name="Normal 18 59" xfId="6893" xr:uid="{00000000-0005-0000-0000-0000BC1D0000}"/>
    <cellStyle name="Normal 18 6" xfId="28694" xr:uid="{00000000-0005-0000-0000-0000BD1D0000}"/>
    <cellStyle name="Normal 18 6 10" xfId="23321" xr:uid="{00000000-0005-0000-0000-0000BE1D0000}"/>
    <cellStyle name="Normal 18 6 11" xfId="22724" xr:uid="{00000000-0005-0000-0000-0000BF1D0000}"/>
    <cellStyle name="Normal 18 6 12" xfId="22128" xr:uid="{00000000-0005-0000-0000-0000C01D0000}"/>
    <cellStyle name="Normal 18 6 13" xfId="21531" xr:uid="{00000000-0005-0000-0000-0000C11D0000}"/>
    <cellStyle name="Normal 18 6 14" xfId="20934" xr:uid="{00000000-0005-0000-0000-0000C21D0000}"/>
    <cellStyle name="Normal 18 6 15" xfId="20337" xr:uid="{00000000-0005-0000-0000-0000C31D0000}"/>
    <cellStyle name="Normal 18 6 16" xfId="19741" xr:uid="{00000000-0005-0000-0000-0000C41D0000}"/>
    <cellStyle name="Normal 18 6 17" xfId="19145" xr:uid="{00000000-0005-0000-0000-0000C51D0000}"/>
    <cellStyle name="Normal 18 6 18" xfId="18552" xr:uid="{00000000-0005-0000-0000-0000C61D0000}"/>
    <cellStyle name="Normal 18 6 19" xfId="17956" xr:uid="{00000000-0005-0000-0000-0000C71D0000}"/>
    <cellStyle name="Normal 18 6 2" xfId="28095" xr:uid="{00000000-0005-0000-0000-0000C81D0000}"/>
    <cellStyle name="Normal 18 6 20" xfId="16526" xr:uid="{00000000-0005-0000-0000-0000C91D0000}"/>
    <cellStyle name="Normal 18 6 21" xfId="15807" xr:uid="{00000000-0005-0000-0000-0000CA1D0000}"/>
    <cellStyle name="Normal 18 6 22" xfId="14452" xr:uid="{00000000-0005-0000-0000-0000CB1D0000}"/>
    <cellStyle name="Normal 18 6 23" xfId="13701" xr:uid="{00000000-0005-0000-0000-0000CC1D0000}"/>
    <cellStyle name="Normal 18 6 24" xfId="17245" xr:uid="{00000000-0005-0000-0000-0000CD1D0000}"/>
    <cellStyle name="Normal 18 6 25" xfId="14046" xr:uid="{00000000-0005-0000-0000-0000CE1D0000}"/>
    <cellStyle name="Normal 18 6 26" xfId="14120" xr:uid="{00000000-0005-0000-0000-0000CF1D0000}"/>
    <cellStyle name="Normal 18 6 27" xfId="16993" xr:uid="{00000000-0005-0000-0000-0000D01D0000}"/>
    <cellStyle name="Normal 18 6 28" xfId="12564" xr:uid="{00000000-0005-0000-0000-0000D11D0000}"/>
    <cellStyle name="Normal 18 6 29" xfId="6625" xr:uid="{00000000-0005-0000-0000-0000D21D0000}"/>
    <cellStyle name="Normal 18 6 3" xfId="27498" xr:uid="{00000000-0005-0000-0000-0000D31D0000}"/>
    <cellStyle name="Normal 18 6 30" xfId="5855" xr:uid="{00000000-0005-0000-0000-0000D41D0000}"/>
    <cellStyle name="Normal 18 6 31" xfId="9687" xr:uid="{00000000-0005-0000-0000-0000D51D0000}"/>
    <cellStyle name="Normal 18 6 32" xfId="8671" xr:uid="{00000000-0005-0000-0000-0000D61D0000}"/>
    <cellStyle name="Normal 18 6 33" xfId="7109" xr:uid="{00000000-0005-0000-0000-0000D71D0000}"/>
    <cellStyle name="Normal 18 6 34" xfId="10639" xr:uid="{00000000-0005-0000-0000-0000D81D0000}"/>
    <cellStyle name="Normal 18 6 35" xfId="12105" xr:uid="{00000000-0005-0000-0000-0000D91D0000}"/>
    <cellStyle name="Normal 18 6 36" xfId="7572" xr:uid="{00000000-0005-0000-0000-0000DA1D0000}"/>
    <cellStyle name="Normal 18 6 37" xfId="4206" xr:uid="{00000000-0005-0000-0000-0000DB1D0000}"/>
    <cellStyle name="Normal 18 6 38" xfId="4049" xr:uid="{00000000-0005-0000-0000-0000DC1D0000}"/>
    <cellStyle name="Normal 18 6 39" xfId="9792" xr:uid="{00000000-0005-0000-0000-0000DD1D0000}"/>
    <cellStyle name="Normal 18 6 4" xfId="26901" xr:uid="{00000000-0005-0000-0000-0000DE1D0000}"/>
    <cellStyle name="Normal 18 6 40" xfId="3599" xr:uid="{00000000-0005-0000-0000-0000DF1D0000}"/>
    <cellStyle name="Normal 18 6 41" xfId="8566" xr:uid="{00000000-0005-0000-0000-0000E01D0000}"/>
    <cellStyle name="Normal 18 6 42" xfId="11790" xr:uid="{00000000-0005-0000-0000-0000E11D0000}"/>
    <cellStyle name="Normal 18 6 43" xfId="8866" xr:uid="{00000000-0005-0000-0000-0000E21D0000}"/>
    <cellStyle name="Normal 18 6 44" xfId="3009" xr:uid="{00000000-0005-0000-0000-0000E31D0000}"/>
    <cellStyle name="Normal 18 6 45" xfId="2765" xr:uid="{00000000-0005-0000-0000-0000E41D0000}"/>
    <cellStyle name="Normal 18 6 46" xfId="2525" xr:uid="{00000000-0005-0000-0000-0000E51D0000}"/>
    <cellStyle name="Normal 18 6 47" xfId="2285" xr:uid="{00000000-0005-0000-0000-0000E61D0000}"/>
    <cellStyle name="Normal 18 6 48" xfId="2045" xr:uid="{00000000-0005-0000-0000-0000E71D0000}"/>
    <cellStyle name="Normal 18 6 49" xfId="1805" xr:uid="{00000000-0005-0000-0000-0000E81D0000}"/>
    <cellStyle name="Normal 18 6 5" xfId="26305" xr:uid="{00000000-0005-0000-0000-0000E91D0000}"/>
    <cellStyle name="Normal 18 6 50" xfId="1566" xr:uid="{00000000-0005-0000-0000-0000EA1D0000}"/>
    <cellStyle name="Normal 18 6 51" xfId="1326" xr:uid="{00000000-0005-0000-0000-0000EB1D0000}"/>
    <cellStyle name="Normal 18 6 52" xfId="1086" xr:uid="{00000000-0005-0000-0000-0000EC1D0000}"/>
    <cellStyle name="Normal 18 6 53" xfId="846" xr:uid="{00000000-0005-0000-0000-0000ED1D0000}"/>
    <cellStyle name="Normal 18 6 54" xfId="606" xr:uid="{00000000-0005-0000-0000-0000EE1D0000}"/>
    <cellStyle name="Normal 18 6 55" xfId="367" xr:uid="{00000000-0005-0000-0000-0000EF1D0000}"/>
    <cellStyle name="Normal 18 6 56" xfId="129" xr:uid="{00000000-0005-0000-0000-0000F01D0000}"/>
    <cellStyle name="Normal 18 6 6" xfId="25709" xr:uid="{00000000-0005-0000-0000-0000F11D0000}"/>
    <cellStyle name="Normal 18 6 7" xfId="25112" xr:uid="{00000000-0005-0000-0000-0000F21D0000}"/>
    <cellStyle name="Normal 18 6 8" xfId="24515" xr:uid="{00000000-0005-0000-0000-0000F31D0000}"/>
    <cellStyle name="Normal 18 6 9" xfId="23918" xr:uid="{00000000-0005-0000-0000-0000F41D0000}"/>
    <cellStyle name="Normal 18 60" xfId="5386" xr:uid="{00000000-0005-0000-0000-0000F51D0000}"/>
    <cellStyle name="Normal 18 61" xfId="10880" xr:uid="{00000000-0005-0000-0000-0000F61D0000}"/>
    <cellStyle name="Normal 18 62" xfId="8055" xr:uid="{00000000-0005-0000-0000-0000F71D0000}"/>
    <cellStyle name="Normal 18 63" xfId="3981" xr:uid="{00000000-0005-0000-0000-0000F81D0000}"/>
    <cellStyle name="Normal 18 64" xfId="10067" xr:uid="{00000000-0005-0000-0000-0000F91D0000}"/>
    <cellStyle name="Normal 18 65" xfId="7686" xr:uid="{00000000-0005-0000-0000-0000FA1D0000}"/>
    <cellStyle name="Normal 18 66" xfId="4756" xr:uid="{00000000-0005-0000-0000-0000FB1D0000}"/>
    <cellStyle name="Normal 18 67" xfId="3389" xr:uid="{00000000-0005-0000-0000-0000FC1D0000}"/>
    <cellStyle name="Normal 18 68" xfId="10708" xr:uid="{00000000-0005-0000-0000-0000FD1D0000}"/>
    <cellStyle name="Normal 18 7" xfId="28693" xr:uid="{00000000-0005-0000-0000-0000FE1D0000}"/>
    <cellStyle name="Normal 18 7 10" xfId="23320" xr:uid="{00000000-0005-0000-0000-0000FF1D0000}"/>
    <cellStyle name="Normal 18 7 11" xfId="22723" xr:uid="{00000000-0005-0000-0000-0000001E0000}"/>
    <cellStyle name="Normal 18 7 12" xfId="22127" xr:uid="{00000000-0005-0000-0000-0000011E0000}"/>
    <cellStyle name="Normal 18 7 13" xfId="21530" xr:uid="{00000000-0005-0000-0000-0000021E0000}"/>
    <cellStyle name="Normal 18 7 14" xfId="20933" xr:uid="{00000000-0005-0000-0000-0000031E0000}"/>
    <cellStyle name="Normal 18 7 15" xfId="20336" xr:uid="{00000000-0005-0000-0000-0000041E0000}"/>
    <cellStyle name="Normal 18 7 16" xfId="19740" xr:uid="{00000000-0005-0000-0000-0000051E0000}"/>
    <cellStyle name="Normal 18 7 17" xfId="19144" xr:uid="{00000000-0005-0000-0000-0000061E0000}"/>
    <cellStyle name="Normal 18 7 18" xfId="18551" xr:uid="{00000000-0005-0000-0000-0000071E0000}"/>
    <cellStyle name="Normal 18 7 19" xfId="17955" xr:uid="{00000000-0005-0000-0000-0000081E0000}"/>
    <cellStyle name="Normal 18 7 2" xfId="28094" xr:uid="{00000000-0005-0000-0000-0000091E0000}"/>
    <cellStyle name="Normal 18 7 20" xfId="16720" xr:uid="{00000000-0005-0000-0000-00000A1E0000}"/>
    <cellStyle name="Normal 18 7 21" xfId="15404" xr:uid="{00000000-0005-0000-0000-00000B1E0000}"/>
    <cellStyle name="Normal 18 7 22" xfId="17015" xr:uid="{00000000-0005-0000-0000-00000C1E0000}"/>
    <cellStyle name="Normal 18 7 23" xfId="14424" xr:uid="{00000000-0005-0000-0000-00000D1E0000}"/>
    <cellStyle name="Normal 18 7 24" xfId="13869" xr:uid="{00000000-0005-0000-0000-00000E1E0000}"/>
    <cellStyle name="Normal 18 7 25" xfId="15599" xr:uid="{00000000-0005-0000-0000-00000F1E0000}"/>
    <cellStyle name="Normal 18 7 26" xfId="13820" xr:uid="{00000000-0005-0000-0000-0000101E0000}"/>
    <cellStyle name="Normal 18 7 27" xfId="15209" xr:uid="{00000000-0005-0000-0000-0000111E0000}"/>
    <cellStyle name="Normal 18 7 28" xfId="12563" xr:uid="{00000000-0005-0000-0000-0000121E0000}"/>
    <cellStyle name="Normal 18 7 29" xfId="7694" xr:uid="{00000000-0005-0000-0000-0000131E0000}"/>
    <cellStyle name="Normal 18 7 3" xfId="27497" xr:uid="{00000000-0005-0000-0000-0000141E0000}"/>
    <cellStyle name="Normal 18 7 30" xfId="6123" xr:uid="{00000000-0005-0000-0000-0000151E0000}"/>
    <cellStyle name="Normal 18 7 31" xfId="10385" xr:uid="{00000000-0005-0000-0000-0000161E0000}"/>
    <cellStyle name="Normal 18 7 32" xfId="7242" xr:uid="{00000000-0005-0000-0000-0000171E0000}"/>
    <cellStyle name="Normal 18 7 33" xfId="12016" xr:uid="{00000000-0005-0000-0000-0000181E0000}"/>
    <cellStyle name="Normal 18 7 34" xfId="5221" xr:uid="{00000000-0005-0000-0000-0000191E0000}"/>
    <cellStyle name="Normal 18 7 35" xfId="10310" xr:uid="{00000000-0005-0000-0000-00001A1E0000}"/>
    <cellStyle name="Normal 18 7 36" xfId="9722" xr:uid="{00000000-0005-0000-0000-00001B1E0000}"/>
    <cellStyle name="Normal 18 7 37" xfId="4643" xr:uid="{00000000-0005-0000-0000-00001C1E0000}"/>
    <cellStyle name="Normal 18 7 38" xfId="8990" xr:uid="{00000000-0005-0000-0000-00001D1E0000}"/>
    <cellStyle name="Normal 18 7 39" xfId="3602" xr:uid="{00000000-0005-0000-0000-00001E1E0000}"/>
    <cellStyle name="Normal 18 7 4" xfId="26900" xr:uid="{00000000-0005-0000-0000-00001F1E0000}"/>
    <cellStyle name="Normal 18 7 40" xfId="11102" xr:uid="{00000000-0005-0000-0000-0000201E0000}"/>
    <cellStyle name="Normal 18 7 41" xfId="10145" xr:uid="{00000000-0005-0000-0000-0000211E0000}"/>
    <cellStyle name="Normal 18 7 42" xfId="3405" xr:uid="{00000000-0005-0000-0000-0000221E0000}"/>
    <cellStyle name="Normal 18 7 43" xfId="5841" xr:uid="{00000000-0005-0000-0000-0000231E0000}"/>
    <cellStyle name="Normal 18 7 44" xfId="3008" xr:uid="{00000000-0005-0000-0000-0000241E0000}"/>
    <cellStyle name="Normal 18 7 45" xfId="2764" xr:uid="{00000000-0005-0000-0000-0000251E0000}"/>
    <cellStyle name="Normal 18 7 46" xfId="2524" xr:uid="{00000000-0005-0000-0000-0000261E0000}"/>
    <cellStyle name="Normal 18 7 47" xfId="2284" xr:uid="{00000000-0005-0000-0000-0000271E0000}"/>
    <cellStyle name="Normal 18 7 48" xfId="2044" xr:uid="{00000000-0005-0000-0000-0000281E0000}"/>
    <cellStyle name="Normal 18 7 49" xfId="1804" xr:uid="{00000000-0005-0000-0000-0000291E0000}"/>
    <cellStyle name="Normal 18 7 5" xfId="26304" xr:uid="{00000000-0005-0000-0000-00002A1E0000}"/>
    <cellStyle name="Normal 18 7 50" xfId="1565" xr:uid="{00000000-0005-0000-0000-00002B1E0000}"/>
    <cellStyle name="Normal 18 7 51" xfId="1325" xr:uid="{00000000-0005-0000-0000-00002C1E0000}"/>
    <cellStyle name="Normal 18 7 52" xfId="1085" xr:uid="{00000000-0005-0000-0000-00002D1E0000}"/>
    <cellStyle name="Normal 18 7 53" xfId="845" xr:uid="{00000000-0005-0000-0000-00002E1E0000}"/>
    <cellStyle name="Normal 18 7 54" xfId="605" xr:uid="{00000000-0005-0000-0000-00002F1E0000}"/>
    <cellStyle name="Normal 18 7 55" xfId="366" xr:uid="{00000000-0005-0000-0000-0000301E0000}"/>
    <cellStyle name="Normal 18 7 56" xfId="128" xr:uid="{00000000-0005-0000-0000-0000311E0000}"/>
    <cellStyle name="Normal 18 7 6" xfId="25708" xr:uid="{00000000-0005-0000-0000-0000321E0000}"/>
    <cellStyle name="Normal 18 7 7" xfId="25111" xr:uid="{00000000-0005-0000-0000-0000331E0000}"/>
    <cellStyle name="Normal 18 7 8" xfId="24514" xr:uid="{00000000-0005-0000-0000-0000341E0000}"/>
    <cellStyle name="Normal 18 7 9" xfId="23917" xr:uid="{00000000-0005-0000-0000-0000351E0000}"/>
    <cellStyle name="Normal 18 8" xfId="28692" xr:uid="{00000000-0005-0000-0000-0000361E0000}"/>
    <cellStyle name="Normal 18 8 10" xfId="23319" xr:uid="{00000000-0005-0000-0000-0000371E0000}"/>
    <cellStyle name="Normal 18 8 11" xfId="22722" xr:uid="{00000000-0005-0000-0000-0000381E0000}"/>
    <cellStyle name="Normal 18 8 12" xfId="22126" xr:uid="{00000000-0005-0000-0000-0000391E0000}"/>
    <cellStyle name="Normal 18 8 13" xfId="21529" xr:uid="{00000000-0005-0000-0000-00003A1E0000}"/>
    <cellStyle name="Normal 18 8 14" xfId="20932" xr:uid="{00000000-0005-0000-0000-00003B1E0000}"/>
    <cellStyle name="Normal 18 8 15" xfId="20335" xr:uid="{00000000-0005-0000-0000-00003C1E0000}"/>
    <cellStyle name="Normal 18 8 16" xfId="19739" xr:uid="{00000000-0005-0000-0000-00003D1E0000}"/>
    <cellStyle name="Normal 18 8 17" xfId="19143" xr:uid="{00000000-0005-0000-0000-00003E1E0000}"/>
    <cellStyle name="Normal 18 8 18" xfId="18550" xr:uid="{00000000-0005-0000-0000-00003F1E0000}"/>
    <cellStyle name="Normal 18 8 19" xfId="17954" xr:uid="{00000000-0005-0000-0000-0000401E0000}"/>
    <cellStyle name="Normal 18 8 2" xfId="28093" xr:uid="{00000000-0005-0000-0000-0000411E0000}"/>
    <cellStyle name="Normal 18 8 20" xfId="16917" xr:uid="{00000000-0005-0000-0000-0000421E0000}"/>
    <cellStyle name="Normal 18 8 21" xfId="15791" xr:uid="{00000000-0005-0000-0000-0000431E0000}"/>
    <cellStyle name="Normal 18 8 22" xfId="15251" xr:uid="{00000000-0005-0000-0000-0000441E0000}"/>
    <cellStyle name="Normal 18 8 23" xfId="16485" xr:uid="{00000000-0005-0000-0000-0000451E0000}"/>
    <cellStyle name="Normal 18 8 24" xfId="14771" xr:uid="{00000000-0005-0000-0000-0000461E0000}"/>
    <cellStyle name="Normal 18 8 25" xfId="12876" xr:uid="{00000000-0005-0000-0000-0000471E0000}"/>
    <cellStyle name="Normal 18 8 26" xfId="12899" xr:uid="{00000000-0005-0000-0000-0000481E0000}"/>
    <cellStyle name="Normal 18 8 27" xfId="14777" xr:uid="{00000000-0005-0000-0000-0000491E0000}"/>
    <cellStyle name="Normal 18 8 28" xfId="12562" xr:uid="{00000000-0005-0000-0000-00004A1E0000}"/>
    <cellStyle name="Normal 18 8 29" xfId="7104" xr:uid="{00000000-0005-0000-0000-00004B1E0000}"/>
    <cellStyle name="Normal 18 8 3" xfId="27496" xr:uid="{00000000-0005-0000-0000-00004C1E0000}"/>
    <cellStyle name="Normal 18 8 30" xfId="6247" xr:uid="{00000000-0005-0000-0000-00004D1E0000}"/>
    <cellStyle name="Normal 18 8 31" xfId="10413" xr:uid="{00000000-0005-0000-0000-00004E1E0000}"/>
    <cellStyle name="Normal 18 8 32" xfId="10982" xr:uid="{00000000-0005-0000-0000-00004F1E0000}"/>
    <cellStyle name="Normal 18 8 33" xfId="7652" xr:uid="{00000000-0005-0000-0000-0000501E0000}"/>
    <cellStyle name="Normal 18 8 34" xfId="11133" xr:uid="{00000000-0005-0000-0000-0000511E0000}"/>
    <cellStyle name="Normal 18 8 35" xfId="11793" xr:uid="{00000000-0005-0000-0000-0000521E0000}"/>
    <cellStyle name="Normal 18 8 36" xfId="5950" xr:uid="{00000000-0005-0000-0000-0000531E0000}"/>
    <cellStyle name="Normal 18 8 37" xfId="9616" xr:uid="{00000000-0005-0000-0000-0000541E0000}"/>
    <cellStyle name="Normal 18 8 38" xfId="10709" xr:uid="{00000000-0005-0000-0000-0000551E0000}"/>
    <cellStyle name="Normal 18 8 39" xfId="5132" xr:uid="{00000000-0005-0000-0000-0000561E0000}"/>
    <cellStyle name="Normal 18 8 4" xfId="26899" xr:uid="{00000000-0005-0000-0000-0000571E0000}"/>
    <cellStyle name="Normal 18 8 40" xfId="12069" xr:uid="{00000000-0005-0000-0000-0000581E0000}"/>
    <cellStyle name="Normal 18 8 41" xfId="9121" xr:uid="{00000000-0005-0000-0000-0000591E0000}"/>
    <cellStyle name="Normal 18 8 42" xfId="3369" xr:uid="{00000000-0005-0000-0000-00005A1E0000}"/>
    <cellStyle name="Normal 18 8 43" xfId="4242" xr:uid="{00000000-0005-0000-0000-00005B1E0000}"/>
    <cellStyle name="Normal 18 8 44" xfId="3007" xr:uid="{00000000-0005-0000-0000-00005C1E0000}"/>
    <cellStyle name="Normal 18 8 45" xfId="2763" xr:uid="{00000000-0005-0000-0000-00005D1E0000}"/>
    <cellStyle name="Normal 18 8 46" xfId="2523" xr:uid="{00000000-0005-0000-0000-00005E1E0000}"/>
    <cellStyle name="Normal 18 8 47" xfId="2283" xr:uid="{00000000-0005-0000-0000-00005F1E0000}"/>
    <cellStyle name="Normal 18 8 48" xfId="2043" xr:uid="{00000000-0005-0000-0000-0000601E0000}"/>
    <cellStyle name="Normal 18 8 49" xfId="1803" xr:uid="{00000000-0005-0000-0000-0000611E0000}"/>
    <cellStyle name="Normal 18 8 5" xfId="26303" xr:uid="{00000000-0005-0000-0000-0000621E0000}"/>
    <cellStyle name="Normal 18 8 50" xfId="1564" xr:uid="{00000000-0005-0000-0000-0000631E0000}"/>
    <cellStyle name="Normal 18 8 51" xfId="1324" xr:uid="{00000000-0005-0000-0000-0000641E0000}"/>
    <cellStyle name="Normal 18 8 52" xfId="1084" xr:uid="{00000000-0005-0000-0000-0000651E0000}"/>
    <cellStyle name="Normal 18 8 53" xfId="844" xr:uid="{00000000-0005-0000-0000-0000661E0000}"/>
    <cellStyle name="Normal 18 8 54" xfId="604" xr:uid="{00000000-0005-0000-0000-0000671E0000}"/>
    <cellStyle name="Normal 18 8 55" xfId="365" xr:uid="{00000000-0005-0000-0000-0000681E0000}"/>
    <cellStyle name="Normal 18 8 56" xfId="127" xr:uid="{00000000-0005-0000-0000-0000691E0000}"/>
    <cellStyle name="Normal 18 8 6" xfId="25707" xr:uid="{00000000-0005-0000-0000-00006A1E0000}"/>
    <cellStyle name="Normal 18 8 7" xfId="25110" xr:uid="{00000000-0005-0000-0000-00006B1E0000}"/>
    <cellStyle name="Normal 18 8 8" xfId="24513" xr:uid="{00000000-0005-0000-0000-00006C1E0000}"/>
    <cellStyle name="Normal 18 8 9" xfId="23916" xr:uid="{00000000-0005-0000-0000-00006D1E0000}"/>
    <cellStyle name="Normal 18 9" xfId="28691" xr:uid="{00000000-0005-0000-0000-00006E1E0000}"/>
    <cellStyle name="Normal 18 9 10" xfId="23318" xr:uid="{00000000-0005-0000-0000-00006F1E0000}"/>
    <cellStyle name="Normal 18 9 11" xfId="22721" xr:uid="{00000000-0005-0000-0000-0000701E0000}"/>
    <cellStyle name="Normal 18 9 12" xfId="22125" xr:uid="{00000000-0005-0000-0000-0000711E0000}"/>
    <cellStyle name="Normal 18 9 13" xfId="21528" xr:uid="{00000000-0005-0000-0000-0000721E0000}"/>
    <cellStyle name="Normal 18 9 14" xfId="20931" xr:uid="{00000000-0005-0000-0000-0000731E0000}"/>
    <cellStyle name="Normal 18 9 15" xfId="20334" xr:uid="{00000000-0005-0000-0000-0000741E0000}"/>
    <cellStyle name="Normal 18 9 16" xfId="19738" xr:uid="{00000000-0005-0000-0000-0000751E0000}"/>
    <cellStyle name="Normal 18 9 17" xfId="19142" xr:uid="{00000000-0005-0000-0000-0000761E0000}"/>
    <cellStyle name="Normal 18 9 18" xfId="18549" xr:uid="{00000000-0005-0000-0000-0000771E0000}"/>
    <cellStyle name="Normal 18 9 19" xfId="17953" xr:uid="{00000000-0005-0000-0000-0000781E0000}"/>
    <cellStyle name="Normal 18 9 2" xfId="28092" xr:uid="{00000000-0005-0000-0000-0000791E0000}"/>
    <cellStyle name="Normal 18 9 20" xfId="17124" xr:uid="{00000000-0005-0000-0000-00007A1E0000}"/>
    <cellStyle name="Normal 18 9 21" xfId="16197" xr:uid="{00000000-0005-0000-0000-00007B1E0000}"/>
    <cellStyle name="Normal 18 9 22" xfId="13525" xr:uid="{00000000-0005-0000-0000-00007C1E0000}"/>
    <cellStyle name="Normal 18 9 23" xfId="13373" xr:uid="{00000000-0005-0000-0000-00007D1E0000}"/>
    <cellStyle name="Normal 18 9 24" xfId="13474" xr:uid="{00000000-0005-0000-0000-00007E1E0000}"/>
    <cellStyle name="Normal 18 9 25" xfId="12883" xr:uid="{00000000-0005-0000-0000-00007F1E0000}"/>
    <cellStyle name="Normal 18 9 26" xfId="14660" xr:uid="{00000000-0005-0000-0000-0000801E0000}"/>
    <cellStyle name="Normal 18 9 27" xfId="13360" xr:uid="{00000000-0005-0000-0000-0000811E0000}"/>
    <cellStyle name="Normal 18 9 28" xfId="12561" xr:uid="{00000000-0005-0000-0000-0000821E0000}"/>
    <cellStyle name="Normal 18 9 29" xfId="11904" xr:uid="{00000000-0005-0000-0000-0000831E0000}"/>
    <cellStyle name="Normal 18 9 3" xfId="27495" xr:uid="{00000000-0005-0000-0000-0000841E0000}"/>
    <cellStyle name="Normal 18 9 30" xfId="6727" xr:uid="{00000000-0005-0000-0000-0000851E0000}"/>
    <cellStyle name="Normal 18 9 31" xfId="6458" xr:uid="{00000000-0005-0000-0000-0000861E0000}"/>
    <cellStyle name="Normal 18 9 32" xfId="11744" xr:uid="{00000000-0005-0000-0000-0000871E0000}"/>
    <cellStyle name="Normal 18 9 33" xfId="11924" xr:uid="{00000000-0005-0000-0000-0000881E0000}"/>
    <cellStyle name="Normal 18 9 34" xfId="11813" xr:uid="{00000000-0005-0000-0000-0000891E0000}"/>
    <cellStyle name="Normal 18 9 35" xfId="4962" xr:uid="{00000000-0005-0000-0000-00008A1E0000}"/>
    <cellStyle name="Normal 18 9 36" xfId="6509" xr:uid="{00000000-0005-0000-0000-00008B1E0000}"/>
    <cellStyle name="Normal 18 9 37" xfId="6763" xr:uid="{00000000-0005-0000-0000-00008C1E0000}"/>
    <cellStyle name="Normal 18 9 38" xfId="7299" xr:uid="{00000000-0005-0000-0000-00008D1E0000}"/>
    <cellStyle name="Normal 18 9 39" xfId="4465" xr:uid="{00000000-0005-0000-0000-00008E1E0000}"/>
    <cellStyle name="Normal 18 9 4" xfId="26898" xr:uid="{00000000-0005-0000-0000-00008F1E0000}"/>
    <cellStyle name="Normal 18 9 40" xfId="10814" xr:uid="{00000000-0005-0000-0000-0000901E0000}"/>
    <cellStyle name="Normal 18 9 41" xfId="3311" xr:uid="{00000000-0005-0000-0000-0000911E0000}"/>
    <cellStyle name="Normal 18 9 42" xfId="5613" xr:uid="{00000000-0005-0000-0000-0000921E0000}"/>
    <cellStyle name="Normal 18 9 43" xfId="3218" xr:uid="{00000000-0005-0000-0000-0000931E0000}"/>
    <cellStyle name="Normal 18 9 44" xfId="3006" xr:uid="{00000000-0005-0000-0000-0000941E0000}"/>
    <cellStyle name="Normal 18 9 45" xfId="2762" xr:uid="{00000000-0005-0000-0000-0000951E0000}"/>
    <cellStyle name="Normal 18 9 46" xfId="2522" xr:uid="{00000000-0005-0000-0000-0000961E0000}"/>
    <cellStyle name="Normal 18 9 47" xfId="2282" xr:uid="{00000000-0005-0000-0000-0000971E0000}"/>
    <cellStyle name="Normal 18 9 48" xfId="2042" xr:uid="{00000000-0005-0000-0000-0000981E0000}"/>
    <cellStyle name="Normal 18 9 49" xfId="1802" xr:uid="{00000000-0005-0000-0000-0000991E0000}"/>
    <cellStyle name="Normal 18 9 5" xfId="26302" xr:uid="{00000000-0005-0000-0000-00009A1E0000}"/>
    <cellStyle name="Normal 18 9 50" xfId="1563" xr:uid="{00000000-0005-0000-0000-00009B1E0000}"/>
    <cellStyle name="Normal 18 9 51" xfId="1323" xr:uid="{00000000-0005-0000-0000-00009C1E0000}"/>
    <cellStyle name="Normal 18 9 52" xfId="1083" xr:uid="{00000000-0005-0000-0000-00009D1E0000}"/>
    <cellStyle name="Normal 18 9 53" xfId="843" xr:uid="{00000000-0005-0000-0000-00009E1E0000}"/>
    <cellStyle name="Normal 18 9 54" xfId="603" xr:uid="{00000000-0005-0000-0000-00009F1E0000}"/>
    <cellStyle name="Normal 18 9 55" xfId="364" xr:uid="{00000000-0005-0000-0000-0000A01E0000}"/>
    <cellStyle name="Normal 18 9 56" xfId="126" xr:uid="{00000000-0005-0000-0000-0000A11E0000}"/>
    <cellStyle name="Normal 18 9 6" xfId="25706" xr:uid="{00000000-0005-0000-0000-0000A21E0000}"/>
    <cellStyle name="Normal 18 9 7" xfId="25109" xr:uid="{00000000-0005-0000-0000-0000A31E0000}"/>
    <cellStyle name="Normal 18 9 8" xfId="24512" xr:uid="{00000000-0005-0000-0000-0000A41E0000}"/>
    <cellStyle name="Normal 18 9 9" xfId="23915" xr:uid="{00000000-0005-0000-0000-0000A51E0000}"/>
    <cellStyle name="Normal 19" xfId="28690" xr:uid="{00000000-0005-0000-0000-0000A61E0000}"/>
    <cellStyle name="Normal 19 10" xfId="28689" xr:uid="{00000000-0005-0000-0000-0000A71E0000}"/>
    <cellStyle name="Normal 19 10 10" xfId="23316" xr:uid="{00000000-0005-0000-0000-0000A81E0000}"/>
    <cellStyle name="Normal 19 10 11" xfId="22719" xr:uid="{00000000-0005-0000-0000-0000A91E0000}"/>
    <cellStyle name="Normal 19 10 12" xfId="22123" xr:uid="{00000000-0005-0000-0000-0000AA1E0000}"/>
    <cellStyle name="Normal 19 10 13" xfId="21526" xr:uid="{00000000-0005-0000-0000-0000AB1E0000}"/>
    <cellStyle name="Normal 19 10 14" xfId="20929" xr:uid="{00000000-0005-0000-0000-0000AC1E0000}"/>
    <cellStyle name="Normal 19 10 15" xfId="20332" xr:uid="{00000000-0005-0000-0000-0000AD1E0000}"/>
    <cellStyle name="Normal 19 10 16" xfId="19736" xr:uid="{00000000-0005-0000-0000-0000AE1E0000}"/>
    <cellStyle name="Normal 19 10 17" xfId="19140" xr:uid="{00000000-0005-0000-0000-0000AF1E0000}"/>
    <cellStyle name="Normal 19 10 18" xfId="18547" xr:uid="{00000000-0005-0000-0000-0000B01E0000}"/>
    <cellStyle name="Normal 19 10 19" xfId="17951" xr:uid="{00000000-0005-0000-0000-0000B11E0000}"/>
    <cellStyle name="Normal 19 10 2" xfId="28090" xr:uid="{00000000-0005-0000-0000-0000B21E0000}"/>
    <cellStyle name="Normal 19 10 20" xfId="14150" xr:uid="{00000000-0005-0000-0000-0000B31E0000}"/>
    <cellStyle name="Normal 19 10 21" xfId="15367" xr:uid="{00000000-0005-0000-0000-0000B41E0000}"/>
    <cellStyle name="Normal 19 10 22" xfId="13655" xr:uid="{00000000-0005-0000-0000-0000B51E0000}"/>
    <cellStyle name="Normal 19 10 23" xfId="13489" xr:uid="{00000000-0005-0000-0000-0000B61E0000}"/>
    <cellStyle name="Normal 19 10 24" xfId="14268" xr:uid="{00000000-0005-0000-0000-0000B71E0000}"/>
    <cellStyle name="Normal 19 10 25" xfId="12966" xr:uid="{00000000-0005-0000-0000-0000B81E0000}"/>
    <cellStyle name="Normal 19 10 26" xfId="16059" xr:uid="{00000000-0005-0000-0000-0000B91E0000}"/>
    <cellStyle name="Normal 19 10 27" xfId="14390" xr:uid="{00000000-0005-0000-0000-0000BA1E0000}"/>
    <cellStyle name="Normal 19 10 28" xfId="12559" xr:uid="{00000000-0005-0000-0000-0000BB1E0000}"/>
    <cellStyle name="Normal 19 10 29" xfId="8292" xr:uid="{00000000-0005-0000-0000-0000BC1E0000}"/>
    <cellStyle name="Normal 19 10 3" xfId="27493" xr:uid="{00000000-0005-0000-0000-0000BD1E0000}"/>
    <cellStyle name="Normal 19 10 30" xfId="8463" xr:uid="{00000000-0005-0000-0000-0000BE1E0000}"/>
    <cellStyle name="Normal 19 10 31" xfId="8853" xr:uid="{00000000-0005-0000-0000-0000BF1E0000}"/>
    <cellStyle name="Normal 19 10 32" xfId="8759" xr:uid="{00000000-0005-0000-0000-0000C01E0000}"/>
    <cellStyle name="Normal 19 10 33" xfId="10833" xr:uid="{00000000-0005-0000-0000-0000C11E0000}"/>
    <cellStyle name="Normal 19 10 34" xfId="4896" xr:uid="{00000000-0005-0000-0000-0000C21E0000}"/>
    <cellStyle name="Normal 19 10 35" xfId="5155" xr:uid="{00000000-0005-0000-0000-0000C31E0000}"/>
    <cellStyle name="Normal 19 10 36" xfId="4305" xr:uid="{00000000-0005-0000-0000-0000C41E0000}"/>
    <cellStyle name="Normal 19 10 37" xfId="6507" xr:uid="{00000000-0005-0000-0000-0000C51E0000}"/>
    <cellStyle name="Normal 19 10 38" xfId="5329" xr:uid="{00000000-0005-0000-0000-0000C61E0000}"/>
    <cellStyle name="Normal 19 10 39" xfId="5061" xr:uid="{00000000-0005-0000-0000-0000C71E0000}"/>
    <cellStyle name="Normal 19 10 4" xfId="26896" xr:uid="{00000000-0005-0000-0000-0000C81E0000}"/>
    <cellStyle name="Normal 19 10 40" xfId="5598" xr:uid="{00000000-0005-0000-0000-0000C91E0000}"/>
    <cellStyle name="Normal 19 10 41" xfId="9629" xr:uid="{00000000-0005-0000-0000-0000CA1E0000}"/>
    <cellStyle name="Normal 19 10 42" xfId="3562" xr:uid="{00000000-0005-0000-0000-0000CB1E0000}"/>
    <cellStyle name="Normal 19 10 43" xfId="7820" xr:uid="{00000000-0005-0000-0000-0000CC1E0000}"/>
    <cellStyle name="Normal 19 10 44" xfId="3005" xr:uid="{00000000-0005-0000-0000-0000CD1E0000}"/>
    <cellStyle name="Normal 19 10 45" xfId="2761" xr:uid="{00000000-0005-0000-0000-0000CE1E0000}"/>
    <cellStyle name="Normal 19 10 46" xfId="2521" xr:uid="{00000000-0005-0000-0000-0000CF1E0000}"/>
    <cellStyle name="Normal 19 10 47" xfId="2281" xr:uid="{00000000-0005-0000-0000-0000D01E0000}"/>
    <cellStyle name="Normal 19 10 48" xfId="2041" xr:uid="{00000000-0005-0000-0000-0000D11E0000}"/>
    <cellStyle name="Normal 19 10 49" xfId="1801" xr:uid="{00000000-0005-0000-0000-0000D21E0000}"/>
    <cellStyle name="Normal 19 10 5" xfId="26300" xr:uid="{00000000-0005-0000-0000-0000D31E0000}"/>
    <cellStyle name="Normal 19 10 50" xfId="1562" xr:uid="{00000000-0005-0000-0000-0000D41E0000}"/>
    <cellStyle name="Normal 19 10 51" xfId="1322" xr:uid="{00000000-0005-0000-0000-0000D51E0000}"/>
    <cellStyle name="Normal 19 10 52" xfId="1082" xr:uid="{00000000-0005-0000-0000-0000D61E0000}"/>
    <cellStyle name="Normal 19 10 53" xfId="842" xr:uid="{00000000-0005-0000-0000-0000D71E0000}"/>
    <cellStyle name="Normal 19 10 54" xfId="602" xr:uid="{00000000-0005-0000-0000-0000D81E0000}"/>
    <cellStyle name="Normal 19 10 55" xfId="363" xr:uid="{00000000-0005-0000-0000-0000D91E0000}"/>
    <cellStyle name="Normal 19 10 56" xfId="125" xr:uid="{00000000-0005-0000-0000-0000DA1E0000}"/>
    <cellStyle name="Normal 19 10 6" xfId="25704" xr:uid="{00000000-0005-0000-0000-0000DB1E0000}"/>
    <cellStyle name="Normal 19 10 7" xfId="25107" xr:uid="{00000000-0005-0000-0000-0000DC1E0000}"/>
    <cellStyle name="Normal 19 10 8" xfId="24510" xr:uid="{00000000-0005-0000-0000-0000DD1E0000}"/>
    <cellStyle name="Normal 19 10 9" xfId="23913" xr:uid="{00000000-0005-0000-0000-0000DE1E0000}"/>
    <cellStyle name="Normal 19 11" xfId="28688" xr:uid="{00000000-0005-0000-0000-0000DF1E0000}"/>
    <cellStyle name="Normal 19 11 10" xfId="23315" xr:uid="{00000000-0005-0000-0000-0000E01E0000}"/>
    <cellStyle name="Normal 19 11 11" xfId="22718" xr:uid="{00000000-0005-0000-0000-0000E11E0000}"/>
    <cellStyle name="Normal 19 11 12" xfId="22122" xr:uid="{00000000-0005-0000-0000-0000E21E0000}"/>
    <cellStyle name="Normal 19 11 13" xfId="21525" xr:uid="{00000000-0005-0000-0000-0000E31E0000}"/>
    <cellStyle name="Normal 19 11 14" xfId="20928" xr:uid="{00000000-0005-0000-0000-0000E41E0000}"/>
    <cellStyle name="Normal 19 11 15" xfId="20331" xr:uid="{00000000-0005-0000-0000-0000E51E0000}"/>
    <cellStyle name="Normal 19 11 16" xfId="19735" xr:uid="{00000000-0005-0000-0000-0000E61E0000}"/>
    <cellStyle name="Normal 19 11 17" xfId="19139" xr:uid="{00000000-0005-0000-0000-0000E71E0000}"/>
    <cellStyle name="Normal 19 11 18" xfId="18546" xr:uid="{00000000-0005-0000-0000-0000E81E0000}"/>
    <cellStyle name="Normal 19 11 19" xfId="17950" xr:uid="{00000000-0005-0000-0000-0000E91E0000}"/>
    <cellStyle name="Normal 19 11 2" xfId="28089" xr:uid="{00000000-0005-0000-0000-0000EA1E0000}"/>
    <cellStyle name="Normal 19 11 20" xfId="14339" xr:uid="{00000000-0005-0000-0000-0000EB1E0000}"/>
    <cellStyle name="Normal 19 11 21" xfId="13961" xr:uid="{00000000-0005-0000-0000-0000EC1E0000}"/>
    <cellStyle name="Normal 19 11 22" xfId="13794" xr:uid="{00000000-0005-0000-0000-0000ED1E0000}"/>
    <cellStyle name="Normal 19 11 23" xfId="16627" xr:uid="{00000000-0005-0000-0000-0000EE1E0000}"/>
    <cellStyle name="Normal 19 11 24" xfId="17386" xr:uid="{00000000-0005-0000-0000-0000EF1E0000}"/>
    <cellStyle name="Normal 19 11 25" xfId="15687" xr:uid="{00000000-0005-0000-0000-0000F01E0000}"/>
    <cellStyle name="Normal 19 11 26" xfId="14863" xr:uid="{00000000-0005-0000-0000-0000F11E0000}"/>
    <cellStyle name="Normal 19 11 27" xfId="16689" xr:uid="{00000000-0005-0000-0000-0000F21E0000}"/>
    <cellStyle name="Normal 19 11 28" xfId="12558" xr:uid="{00000000-0005-0000-0000-0000F31E0000}"/>
    <cellStyle name="Normal 19 11 29" xfId="8507" xr:uid="{00000000-0005-0000-0000-0000F41E0000}"/>
    <cellStyle name="Normal 19 11 3" xfId="27492" xr:uid="{00000000-0005-0000-0000-0000F51E0000}"/>
    <cellStyle name="Normal 19 11 30" xfId="8498" xr:uid="{00000000-0005-0000-0000-0000F61E0000}"/>
    <cellStyle name="Normal 19 11 31" xfId="5543" xr:uid="{00000000-0005-0000-0000-0000F71E0000}"/>
    <cellStyle name="Normal 19 11 32" xfId="11449" xr:uid="{00000000-0005-0000-0000-0000F81E0000}"/>
    <cellStyle name="Normal 19 11 33" xfId="10643" xr:uid="{00000000-0005-0000-0000-0000F91E0000}"/>
    <cellStyle name="Normal 19 11 34" xfId="5926" xr:uid="{00000000-0005-0000-0000-0000FA1E0000}"/>
    <cellStyle name="Normal 19 11 35" xfId="6092" xr:uid="{00000000-0005-0000-0000-0000FB1E0000}"/>
    <cellStyle name="Normal 19 11 36" xfId="9376" xr:uid="{00000000-0005-0000-0000-0000FC1E0000}"/>
    <cellStyle name="Normal 19 11 37" xfId="7192" xr:uid="{00000000-0005-0000-0000-0000FD1E0000}"/>
    <cellStyle name="Normal 19 11 38" xfId="8331" xr:uid="{00000000-0005-0000-0000-0000FE1E0000}"/>
    <cellStyle name="Normal 19 11 39" xfId="8251" xr:uid="{00000000-0005-0000-0000-0000FF1E0000}"/>
    <cellStyle name="Normal 19 11 4" xfId="26895" xr:uid="{00000000-0005-0000-0000-0000001F0000}"/>
    <cellStyle name="Normal 19 11 40" xfId="6544" xr:uid="{00000000-0005-0000-0000-0000011F0000}"/>
    <cellStyle name="Normal 19 11 41" xfId="10702" xr:uid="{00000000-0005-0000-0000-0000021F0000}"/>
    <cellStyle name="Normal 19 11 42" xfId="4066" xr:uid="{00000000-0005-0000-0000-0000031F0000}"/>
    <cellStyle name="Normal 19 11 43" xfId="3578" xr:uid="{00000000-0005-0000-0000-0000041F0000}"/>
    <cellStyle name="Normal 19 11 44" xfId="3004" xr:uid="{00000000-0005-0000-0000-0000051F0000}"/>
    <cellStyle name="Normal 19 11 45" xfId="2760" xr:uid="{00000000-0005-0000-0000-0000061F0000}"/>
    <cellStyle name="Normal 19 11 46" xfId="2520" xr:uid="{00000000-0005-0000-0000-0000071F0000}"/>
    <cellStyle name="Normal 19 11 47" xfId="2280" xr:uid="{00000000-0005-0000-0000-0000081F0000}"/>
    <cellStyle name="Normal 19 11 48" xfId="2040" xr:uid="{00000000-0005-0000-0000-0000091F0000}"/>
    <cellStyle name="Normal 19 11 49" xfId="1800" xr:uid="{00000000-0005-0000-0000-00000A1F0000}"/>
    <cellStyle name="Normal 19 11 5" xfId="26299" xr:uid="{00000000-0005-0000-0000-00000B1F0000}"/>
    <cellStyle name="Normal 19 11 50" xfId="1561" xr:uid="{00000000-0005-0000-0000-00000C1F0000}"/>
    <cellStyle name="Normal 19 11 51" xfId="1321" xr:uid="{00000000-0005-0000-0000-00000D1F0000}"/>
    <cellStyle name="Normal 19 11 52" xfId="1081" xr:uid="{00000000-0005-0000-0000-00000E1F0000}"/>
    <cellStyle name="Normal 19 11 53" xfId="841" xr:uid="{00000000-0005-0000-0000-00000F1F0000}"/>
    <cellStyle name="Normal 19 11 54" xfId="601" xr:uid="{00000000-0005-0000-0000-0000101F0000}"/>
    <cellStyle name="Normal 19 11 55" xfId="362" xr:uid="{00000000-0005-0000-0000-0000111F0000}"/>
    <cellStyle name="Normal 19 11 56" xfId="124" xr:uid="{00000000-0005-0000-0000-0000121F0000}"/>
    <cellStyle name="Normal 19 11 6" xfId="25703" xr:uid="{00000000-0005-0000-0000-0000131F0000}"/>
    <cellStyle name="Normal 19 11 7" xfId="25106" xr:uid="{00000000-0005-0000-0000-0000141F0000}"/>
    <cellStyle name="Normal 19 11 8" xfId="24509" xr:uid="{00000000-0005-0000-0000-0000151F0000}"/>
    <cellStyle name="Normal 19 11 9" xfId="23912" xr:uid="{00000000-0005-0000-0000-0000161F0000}"/>
    <cellStyle name="Normal 19 12" xfId="28687" xr:uid="{00000000-0005-0000-0000-0000171F0000}"/>
    <cellStyle name="Normal 19 12 10" xfId="23314" xr:uid="{00000000-0005-0000-0000-0000181F0000}"/>
    <cellStyle name="Normal 19 12 11" xfId="22717" xr:uid="{00000000-0005-0000-0000-0000191F0000}"/>
    <cellStyle name="Normal 19 12 12" xfId="22121" xr:uid="{00000000-0005-0000-0000-00001A1F0000}"/>
    <cellStyle name="Normal 19 12 13" xfId="21524" xr:uid="{00000000-0005-0000-0000-00001B1F0000}"/>
    <cellStyle name="Normal 19 12 14" xfId="20927" xr:uid="{00000000-0005-0000-0000-00001C1F0000}"/>
    <cellStyle name="Normal 19 12 15" xfId="20330" xr:uid="{00000000-0005-0000-0000-00001D1F0000}"/>
    <cellStyle name="Normal 19 12 16" xfId="19734" xr:uid="{00000000-0005-0000-0000-00001E1F0000}"/>
    <cellStyle name="Normal 19 12 17" xfId="19138" xr:uid="{00000000-0005-0000-0000-00001F1F0000}"/>
    <cellStyle name="Normal 19 12 18" xfId="18545" xr:uid="{00000000-0005-0000-0000-0000201F0000}"/>
    <cellStyle name="Normal 19 12 19" xfId="17949" xr:uid="{00000000-0005-0000-0000-0000211F0000}"/>
    <cellStyle name="Normal 19 12 2" xfId="28088" xr:uid="{00000000-0005-0000-0000-0000221F0000}"/>
    <cellStyle name="Normal 19 12 20" xfId="14530" xr:uid="{00000000-0005-0000-0000-0000231F0000}"/>
    <cellStyle name="Normal 19 12 21" xfId="14132" xr:uid="{00000000-0005-0000-0000-0000241F0000}"/>
    <cellStyle name="Normal 19 12 22" xfId="13943" xr:uid="{00000000-0005-0000-0000-0000251F0000}"/>
    <cellStyle name="Normal 19 12 23" xfId="14978" xr:uid="{00000000-0005-0000-0000-0000261F0000}"/>
    <cellStyle name="Normal 19 12 24" xfId="13834" xr:uid="{00000000-0005-0000-0000-0000271F0000}"/>
    <cellStyle name="Normal 19 12 25" xfId="15627" xr:uid="{00000000-0005-0000-0000-0000281F0000}"/>
    <cellStyle name="Normal 19 12 26" xfId="13016" xr:uid="{00000000-0005-0000-0000-0000291F0000}"/>
    <cellStyle name="Normal 19 12 27" xfId="16973" xr:uid="{00000000-0005-0000-0000-00002A1F0000}"/>
    <cellStyle name="Normal 19 12 28" xfId="12557" xr:uid="{00000000-0005-0000-0000-00002B1F0000}"/>
    <cellStyle name="Normal 19 12 29" xfId="8723" xr:uid="{00000000-0005-0000-0000-00002C1F0000}"/>
    <cellStyle name="Normal 19 12 3" xfId="27491" xr:uid="{00000000-0005-0000-0000-00002D1F0000}"/>
    <cellStyle name="Normal 19 12 30" xfId="7777" xr:uid="{00000000-0005-0000-0000-00002E1F0000}"/>
    <cellStyle name="Normal 19 12 31" xfId="5668" xr:uid="{00000000-0005-0000-0000-00002F1F0000}"/>
    <cellStyle name="Normal 19 12 32" xfId="11891" xr:uid="{00000000-0005-0000-0000-0000301F0000}"/>
    <cellStyle name="Normal 19 12 33" xfId="10182" xr:uid="{00000000-0005-0000-0000-0000311F0000}"/>
    <cellStyle name="Normal 19 12 34" xfId="6636" xr:uid="{00000000-0005-0000-0000-0000321F0000}"/>
    <cellStyle name="Normal 19 12 35" xfId="10511" xr:uid="{00000000-0005-0000-0000-0000331F0000}"/>
    <cellStyle name="Normal 19 12 36" xfId="9723" xr:uid="{00000000-0005-0000-0000-0000341F0000}"/>
    <cellStyle name="Normal 19 12 37" xfId="11350" xr:uid="{00000000-0005-0000-0000-0000351F0000}"/>
    <cellStyle name="Normal 19 12 38" xfId="10179" xr:uid="{00000000-0005-0000-0000-0000361F0000}"/>
    <cellStyle name="Normal 19 12 39" xfId="3404" xr:uid="{00000000-0005-0000-0000-0000371F0000}"/>
    <cellStyle name="Normal 19 12 4" xfId="26894" xr:uid="{00000000-0005-0000-0000-0000381F0000}"/>
    <cellStyle name="Normal 19 12 40" xfId="8266" xr:uid="{00000000-0005-0000-0000-0000391F0000}"/>
    <cellStyle name="Normal 19 12 41" xfId="3775" xr:uid="{00000000-0005-0000-0000-00003A1F0000}"/>
    <cellStyle name="Normal 19 12 42" xfId="3362" xr:uid="{00000000-0005-0000-0000-00003B1F0000}"/>
    <cellStyle name="Normal 19 12 43" xfId="4355" xr:uid="{00000000-0005-0000-0000-00003C1F0000}"/>
    <cellStyle name="Normal 19 12 5" xfId="26298" xr:uid="{00000000-0005-0000-0000-00003D1F0000}"/>
    <cellStyle name="Normal 19 12 6" xfId="25702" xr:uid="{00000000-0005-0000-0000-00003E1F0000}"/>
    <cellStyle name="Normal 19 12 7" xfId="25105" xr:uid="{00000000-0005-0000-0000-00003F1F0000}"/>
    <cellStyle name="Normal 19 12 8" xfId="24508" xr:uid="{00000000-0005-0000-0000-0000401F0000}"/>
    <cellStyle name="Normal 19 12 9" xfId="23911" xr:uid="{00000000-0005-0000-0000-0000411F0000}"/>
    <cellStyle name="Normal 19 13" xfId="28686" xr:uid="{00000000-0005-0000-0000-0000421F0000}"/>
    <cellStyle name="Normal 19 13 10" xfId="23313" xr:uid="{00000000-0005-0000-0000-0000431F0000}"/>
    <cellStyle name="Normal 19 13 11" xfId="22716" xr:uid="{00000000-0005-0000-0000-0000441F0000}"/>
    <cellStyle name="Normal 19 13 12" xfId="22120" xr:uid="{00000000-0005-0000-0000-0000451F0000}"/>
    <cellStyle name="Normal 19 13 13" xfId="21523" xr:uid="{00000000-0005-0000-0000-0000461F0000}"/>
    <cellStyle name="Normal 19 13 14" xfId="20926" xr:uid="{00000000-0005-0000-0000-0000471F0000}"/>
    <cellStyle name="Normal 19 13 15" xfId="20329" xr:uid="{00000000-0005-0000-0000-0000481F0000}"/>
    <cellStyle name="Normal 19 13 16" xfId="19733" xr:uid="{00000000-0005-0000-0000-0000491F0000}"/>
    <cellStyle name="Normal 19 13 17" xfId="19137" xr:uid="{00000000-0005-0000-0000-00004A1F0000}"/>
    <cellStyle name="Normal 19 13 18" xfId="18544" xr:uid="{00000000-0005-0000-0000-00004B1F0000}"/>
    <cellStyle name="Normal 19 13 19" xfId="17948" xr:uid="{00000000-0005-0000-0000-00004C1F0000}"/>
    <cellStyle name="Normal 19 13 2" xfId="28087" xr:uid="{00000000-0005-0000-0000-00004D1F0000}"/>
    <cellStyle name="Normal 19 13 20" xfId="14727" xr:uid="{00000000-0005-0000-0000-00004E1F0000}"/>
    <cellStyle name="Normal 19 13 21" xfId="14707" xr:uid="{00000000-0005-0000-0000-00004F1F0000}"/>
    <cellStyle name="Normal 19 13 22" xfId="15900" xr:uid="{00000000-0005-0000-0000-0000501F0000}"/>
    <cellStyle name="Normal 19 13 23" xfId="15357" xr:uid="{00000000-0005-0000-0000-0000511F0000}"/>
    <cellStyle name="Normal 19 13 24" xfId="15870" xr:uid="{00000000-0005-0000-0000-0000521F0000}"/>
    <cellStyle name="Normal 19 13 25" xfId="16906" xr:uid="{00000000-0005-0000-0000-0000531F0000}"/>
    <cellStyle name="Normal 19 13 26" xfId="17414" xr:uid="{00000000-0005-0000-0000-0000541F0000}"/>
    <cellStyle name="Normal 19 13 27" xfId="12870" xr:uid="{00000000-0005-0000-0000-0000551F0000}"/>
    <cellStyle name="Normal 19 13 28" xfId="12556" xr:uid="{00000000-0005-0000-0000-0000561F0000}"/>
    <cellStyle name="Normal 19 13 29" xfId="8961" xr:uid="{00000000-0005-0000-0000-0000571F0000}"/>
    <cellStyle name="Normal 19 13 3" xfId="27490" xr:uid="{00000000-0005-0000-0000-0000581F0000}"/>
    <cellStyle name="Normal 19 13 30" xfId="8695" xr:uid="{00000000-0005-0000-0000-0000591F0000}"/>
    <cellStyle name="Normal 19 13 31" xfId="8715" xr:uid="{00000000-0005-0000-0000-00005A1F0000}"/>
    <cellStyle name="Normal 19 13 32" xfId="10141" xr:uid="{00000000-0005-0000-0000-00005B1F0000}"/>
    <cellStyle name="Normal 19 13 33" xfId="8248" xr:uid="{00000000-0005-0000-0000-00005C1F0000}"/>
    <cellStyle name="Normal 19 13 34" xfId="4819" xr:uid="{00000000-0005-0000-0000-00005D1F0000}"/>
    <cellStyle name="Normal 19 13 35" xfId="6501" xr:uid="{00000000-0005-0000-0000-00005E1F0000}"/>
    <cellStyle name="Normal 19 13 36" xfId="5251" xr:uid="{00000000-0005-0000-0000-00005F1F0000}"/>
    <cellStyle name="Normal 19 13 37" xfId="7828" xr:uid="{00000000-0005-0000-0000-0000601F0000}"/>
    <cellStyle name="Normal 19 13 38" xfId="3968" xr:uid="{00000000-0005-0000-0000-0000611F0000}"/>
    <cellStyle name="Normal 19 13 39" xfId="4014" xr:uid="{00000000-0005-0000-0000-0000621F0000}"/>
    <cellStyle name="Normal 19 13 4" xfId="26893" xr:uid="{00000000-0005-0000-0000-0000631F0000}"/>
    <cellStyle name="Normal 19 13 40" xfId="8379" xr:uid="{00000000-0005-0000-0000-0000641F0000}"/>
    <cellStyle name="Normal 19 13 41" xfId="8193" xr:uid="{00000000-0005-0000-0000-0000651F0000}"/>
    <cellStyle name="Normal 19 13 42" xfId="10226" xr:uid="{00000000-0005-0000-0000-0000661F0000}"/>
    <cellStyle name="Normal 19 13 43" xfId="5421" xr:uid="{00000000-0005-0000-0000-0000671F0000}"/>
    <cellStyle name="Normal 19 13 5" xfId="26297" xr:uid="{00000000-0005-0000-0000-0000681F0000}"/>
    <cellStyle name="Normal 19 13 6" xfId="25701" xr:uid="{00000000-0005-0000-0000-0000691F0000}"/>
    <cellStyle name="Normal 19 13 7" xfId="25104" xr:uid="{00000000-0005-0000-0000-00006A1F0000}"/>
    <cellStyle name="Normal 19 13 8" xfId="24507" xr:uid="{00000000-0005-0000-0000-00006B1F0000}"/>
    <cellStyle name="Normal 19 13 9" xfId="23910" xr:uid="{00000000-0005-0000-0000-00006C1F0000}"/>
    <cellStyle name="Normal 19 14" xfId="28685" xr:uid="{00000000-0005-0000-0000-00006D1F0000}"/>
    <cellStyle name="Normal 19 14 10" xfId="23312" xr:uid="{00000000-0005-0000-0000-00006E1F0000}"/>
    <cellStyle name="Normal 19 14 11" xfId="22715" xr:uid="{00000000-0005-0000-0000-00006F1F0000}"/>
    <cellStyle name="Normal 19 14 12" xfId="22119" xr:uid="{00000000-0005-0000-0000-0000701F0000}"/>
    <cellStyle name="Normal 19 14 13" xfId="21522" xr:uid="{00000000-0005-0000-0000-0000711F0000}"/>
    <cellStyle name="Normal 19 14 14" xfId="20925" xr:uid="{00000000-0005-0000-0000-0000721F0000}"/>
    <cellStyle name="Normal 19 14 15" xfId="20328" xr:uid="{00000000-0005-0000-0000-0000731F0000}"/>
    <cellStyle name="Normal 19 14 16" xfId="19732" xr:uid="{00000000-0005-0000-0000-0000741F0000}"/>
    <cellStyle name="Normal 19 14 17" xfId="19136" xr:uid="{00000000-0005-0000-0000-0000751F0000}"/>
    <cellStyle name="Normal 19 14 18" xfId="18543" xr:uid="{00000000-0005-0000-0000-0000761F0000}"/>
    <cellStyle name="Normal 19 14 19" xfId="17947" xr:uid="{00000000-0005-0000-0000-0000771F0000}"/>
    <cellStyle name="Normal 19 14 2" xfId="28086" xr:uid="{00000000-0005-0000-0000-0000781F0000}"/>
    <cellStyle name="Normal 19 14 20" xfId="14929" xr:uid="{00000000-0005-0000-0000-0000791F0000}"/>
    <cellStyle name="Normal 19 14 21" xfId="14701" xr:uid="{00000000-0005-0000-0000-00007A1F0000}"/>
    <cellStyle name="Normal 19 14 22" xfId="16308" xr:uid="{00000000-0005-0000-0000-00007B1F0000}"/>
    <cellStyle name="Normal 19 14 23" xfId="14324" xr:uid="{00000000-0005-0000-0000-00007C1F0000}"/>
    <cellStyle name="Normal 19 14 24" xfId="16455" xr:uid="{00000000-0005-0000-0000-00007D1F0000}"/>
    <cellStyle name="Normal 19 14 25" xfId="15024" xr:uid="{00000000-0005-0000-0000-00007E1F0000}"/>
    <cellStyle name="Normal 19 14 26" xfId="12858" xr:uid="{00000000-0005-0000-0000-00007F1F0000}"/>
    <cellStyle name="Normal 19 14 27" xfId="13509" xr:uid="{00000000-0005-0000-0000-0000801F0000}"/>
    <cellStyle name="Normal 19 14 28" xfId="12555" xr:uid="{00000000-0005-0000-0000-0000811F0000}"/>
    <cellStyle name="Normal 19 14 29" xfId="9196" xr:uid="{00000000-0005-0000-0000-0000821F0000}"/>
    <cellStyle name="Normal 19 14 3" xfId="27489" xr:uid="{00000000-0005-0000-0000-0000831F0000}"/>
    <cellStyle name="Normal 19 14 30" xfId="7719" xr:uid="{00000000-0005-0000-0000-0000841F0000}"/>
    <cellStyle name="Normal 19 14 31" xfId="6781" xr:uid="{00000000-0005-0000-0000-0000851F0000}"/>
    <cellStyle name="Normal 19 14 32" xfId="8927" xr:uid="{00000000-0005-0000-0000-0000861F0000}"/>
    <cellStyle name="Normal 19 14 33" xfId="5884" xr:uid="{00000000-0005-0000-0000-0000871F0000}"/>
    <cellStyle name="Normal 19 14 34" xfId="8008" xr:uid="{00000000-0005-0000-0000-0000881F0000}"/>
    <cellStyle name="Normal 19 14 35" xfId="9684" xr:uid="{00000000-0005-0000-0000-0000891F0000}"/>
    <cellStyle name="Normal 19 14 36" xfId="9697" xr:uid="{00000000-0005-0000-0000-00008A1F0000}"/>
    <cellStyle name="Normal 19 14 37" xfId="6604" xr:uid="{00000000-0005-0000-0000-00008B1F0000}"/>
    <cellStyle name="Normal 19 14 38" xfId="6905" xr:uid="{00000000-0005-0000-0000-00008C1F0000}"/>
    <cellStyle name="Normal 19 14 39" xfId="8416" xr:uid="{00000000-0005-0000-0000-00008D1F0000}"/>
    <cellStyle name="Normal 19 14 4" xfId="26892" xr:uid="{00000000-0005-0000-0000-00008E1F0000}"/>
    <cellStyle name="Normal 19 14 40" xfId="9528" xr:uid="{00000000-0005-0000-0000-00008F1F0000}"/>
    <cellStyle name="Normal 19 14 41" xfId="8448" xr:uid="{00000000-0005-0000-0000-0000901F0000}"/>
    <cellStyle name="Normal 19 14 42" xfId="3317" xr:uid="{00000000-0005-0000-0000-0000911F0000}"/>
    <cellStyle name="Normal 19 14 43" xfId="12091" xr:uid="{00000000-0005-0000-0000-0000921F0000}"/>
    <cellStyle name="Normal 19 14 5" xfId="26296" xr:uid="{00000000-0005-0000-0000-0000931F0000}"/>
    <cellStyle name="Normal 19 14 6" xfId="25700" xr:uid="{00000000-0005-0000-0000-0000941F0000}"/>
    <cellStyle name="Normal 19 14 7" xfId="25103" xr:uid="{00000000-0005-0000-0000-0000951F0000}"/>
    <cellStyle name="Normal 19 14 8" xfId="24506" xr:uid="{00000000-0005-0000-0000-0000961F0000}"/>
    <cellStyle name="Normal 19 14 9" xfId="23909" xr:uid="{00000000-0005-0000-0000-0000971F0000}"/>
    <cellStyle name="Normal 19 15" xfId="28684" xr:uid="{00000000-0005-0000-0000-0000981F0000}"/>
    <cellStyle name="Normal 19 15 10" xfId="23311" xr:uid="{00000000-0005-0000-0000-0000991F0000}"/>
    <cellStyle name="Normal 19 15 11" xfId="22714" xr:uid="{00000000-0005-0000-0000-00009A1F0000}"/>
    <cellStyle name="Normal 19 15 12" xfId="22118" xr:uid="{00000000-0005-0000-0000-00009B1F0000}"/>
    <cellStyle name="Normal 19 15 13" xfId="21521" xr:uid="{00000000-0005-0000-0000-00009C1F0000}"/>
    <cellStyle name="Normal 19 15 14" xfId="20924" xr:uid="{00000000-0005-0000-0000-00009D1F0000}"/>
    <cellStyle name="Normal 19 15 15" xfId="20327" xr:uid="{00000000-0005-0000-0000-00009E1F0000}"/>
    <cellStyle name="Normal 19 15 16" xfId="19731" xr:uid="{00000000-0005-0000-0000-00009F1F0000}"/>
    <cellStyle name="Normal 19 15 17" xfId="19135" xr:uid="{00000000-0005-0000-0000-0000A01F0000}"/>
    <cellStyle name="Normal 19 15 18" xfId="18542" xr:uid="{00000000-0005-0000-0000-0000A11F0000}"/>
    <cellStyle name="Normal 19 15 19" xfId="17946" xr:uid="{00000000-0005-0000-0000-0000A21F0000}"/>
    <cellStyle name="Normal 19 15 2" xfId="28085" xr:uid="{00000000-0005-0000-0000-0000A31F0000}"/>
    <cellStyle name="Normal 19 15 20" xfId="15136" xr:uid="{00000000-0005-0000-0000-0000A41F0000}"/>
    <cellStyle name="Normal 19 15 21" xfId="14495" xr:uid="{00000000-0005-0000-0000-0000A51F0000}"/>
    <cellStyle name="Normal 19 15 22" xfId="16320" xr:uid="{00000000-0005-0000-0000-0000A61F0000}"/>
    <cellStyle name="Normal 19 15 23" xfId="15462" xr:uid="{00000000-0005-0000-0000-0000A71F0000}"/>
    <cellStyle name="Normal 19 15 24" xfId="15987" xr:uid="{00000000-0005-0000-0000-0000A81F0000}"/>
    <cellStyle name="Normal 19 15 25" xfId="16667" xr:uid="{00000000-0005-0000-0000-0000A91F0000}"/>
    <cellStyle name="Normal 19 15 26" xfId="12789" xr:uid="{00000000-0005-0000-0000-0000AA1F0000}"/>
    <cellStyle name="Normal 19 15 27" xfId="15694" xr:uid="{00000000-0005-0000-0000-0000AB1F0000}"/>
    <cellStyle name="Normal 19 15 28" xfId="12554" xr:uid="{00000000-0005-0000-0000-0000AC1F0000}"/>
    <cellStyle name="Normal 19 15 29" xfId="9429" xr:uid="{00000000-0005-0000-0000-0000AD1F0000}"/>
    <cellStyle name="Normal 19 15 3" xfId="27488" xr:uid="{00000000-0005-0000-0000-0000AE1F0000}"/>
    <cellStyle name="Normal 19 15 30" xfId="10946" xr:uid="{00000000-0005-0000-0000-0000AF1F0000}"/>
    <cellStyle name="Normal 19 15 31" xfId="7340" xr:uid="{00000000-0005-0000-0000-0000B01F0000}"/>
    <cellStyle name="Normal 19 15 32" xfId="6575" xr:uid="{00000000-0005-0000-0000-0000B11F0000}"/>
    <cellStyle name="Normal 19 15 33" xfId="5378" xr:uid="{00000000-0005-0000-0000-0000B21F0000}"/>
    <cellStyle name="Normal 19 15 34" xfId="5633" xr:uid="{00000000-0005-0000-0000-0000B31F0000}"/>
    <cellStyle name="Normal 19 15 35" xfId="8981" xr:uid="{00000000-0005-0000-0000-0000B41F0000}"/>
    <cellStyle name="Normal 19 15 36" xfId="10949" xr:uid="{00000000-0005-0000-0000-0000B51F0000}"/>
    <cellStyle name="Normal 19 15 37" xfId="4382" xr:uid="{00000000-0005-0000-0000-0000B61F0000}"/>
    <cellStyle name="Normal 19 15 38" xfId="3958" xr:uid="{00000000-0005-0000-0000-0000B71F0000}"/>
    <cellStyle name="Normal 19 15 39" xfId="4088" xr:uid="{00000000-0005-0000-0000-0000B81F0000}"/>
    <cellStyle name="Normal 19 15 4" xfId="26891" xr:uid="{00000000-0005-0000-0000-0000B91F0000}"/>
    <cellStyle name="Normal 19 15 40" xfId="7143" xr:uid="{00000000-0005-0000-0000-0000BA1F0000}"/>
    <cellStyle name="Normal 19 15 41" xfId="8572" xr:uid="{00000000-0005-0000-0000-0000BB1F0000}"/>
    <cellStyle name="Normal 19 15 42" xfId="11305" xr:uid="{00000000-0005-0000-0000-0000BC1F0000}"/>
    <cellStyle name="Normal 19 15 43" xfId="3538" xr:uid="{00000000-0005-0000-0000-0000BD1F0000}"/>
    <cellStyle name="Normal 19 15 5" xfId="26295" xr:uid="{00000000-0005-0000-0000-0000BE1F0000}"/>
    <cellStyle name="Normal 19 15 6" xfId="25699" xr:uid="{00000000-0005-0000-0000-0000BF1F0000}"/>
    <cellStyle name="Normal 19 15 7" xfId="25102" xr:uid="{00000000-0005-0000-0000-0000C01F0000}"/>
    <cellStyle name="Normal 19 15 8" xfId="24505" xr:uid="{00000000-0005-0000-0000-0000C11F0000}"/>
    <cellStyle name="Normal 19 15 9" xfId="23908" xr:uid="{00000000-0005-0000-0000-0000C21F0000}"/>
    <cellStyle name="Normal 19 16" xfId="28683" xr:uid="{00000000-0005-0000-0000-0000C31F0000}"/>
    <cellStyle name="Normal 19 16 10" xfId="23310" xr:uid="{00000000-0005-0000-0000-0000C41F0000}"/>
    <cellStyle name="Normal 19 16 11" xfId="22713" xr:uid="{00000000-0005-0000-0000-0000C51F0000}"/>
    <cellStyle name="Normal 19 16 12" xfId="22117" xr:uid="{00000000-0005-0000-0000-0000C61F0000}"/>
    <cellStyle name="Normal 19 16 13" xfId="21520" xr:uid="{00000000-0005-0000-0000-0000C71F0000}"/>
    <cellStyle name="Normal 19 16 14" xfId="20923" xr:uid="{00000000-0005-0000-0000-0000C81F0000}"/>
    <cellStyle name="Normal 19 16 15" xfId="20326" xr:uid="{00000000-0005-0000-0000-0000C91F0000}"/>
    <cellStyle name="Normal 19 16 16" xfId="19730" xr:uid="{00000000-0005-0000-0000-0000CA1F0000}"/>
    <cellStyle name="Normal 19 16 17" xfId="19134" xr:uid="{00000000-0005-0000-0000-0000CB1F0000}"/>
    <cellStyle name="Normal 19 16 18" xfId="18541" xr:uid="{00000000-0005-0000-0000-0000CC1F0000}"/>
    <cellStyle name="Normal 19 16 19" xfId="17945" xr:uid="{00000000-0005-0000-0000-0000CD1F0000}"/>
    <cellStyle name="Normal 19 16 2" xfId="28084" xr:uid="{00000000-0005-0000-0000-0000CE1F0000}"/>
    <cellStyle name="Normal 19 16 20" xfId="15331" xr:uid="{00000000-0005-0000-0000-0000CF1F0000}"/>
    <cellStyle name="Normal 19 16 21" xfId="14486" xr:uid="{00000000-0005-0000-0000-0000D01F0000}"/>
    <cellStyle name="Normal 19 16 22" xfId="16902" xr:uid="{00000000-0005-0000-0000-0000D11F0000}"/>
    <cellStyle name="Normal 19 16 23" xfId="13891" xr:uid="{00000000-0005-0000-0000-0000D21F0000}"/>
    <cellStyle name="Normal 19 16 24" xfId="17008" xr:uid="{00000000-0005-0000-0000-0000D31F0000}"/>
    <cellStyle name="Normal 19 16 25" xfId="16213" xr:uid="{00000000-0005-0000-0000-0000D41F0000}"/>
    <cellStyle name="Normal 19 16 26" xfId="12796" xr:uid="{00000000-0005-0000-0000-0000D51F0000}"/>
    <cellStyle name="Normal 19 16 27" xfId="16183" xr:uid="{00000000-0005-0000-0000-0000D61F0000}"/>
    <cellStyle name="Normal 19 16 28" xfId="12553" xr:uid="{00000000-0005-0000-0000-0000D71F0000}"/>
    <cellStyle name="Normal 19 16 29" xfId="9649" xr:uid="{00000000-0005-0000-0000-0000D81F0000}"/>
    <cellStyle name="Normal 19 16 3" xfId="27487" xr:uid="{00000000-0005-0000-0000-0000D91F0000}"/>
    <cellStyle name="Normal 19 16 30" xfId="10939" xr:uid="{00000000-0005-0000-0000-0000DA1F0000}"/>
    <cellStyle name="Normal 19 16 31" xfId="10527" xr:uid="{00000000-0005-0000-0000-0000DB1F0000}"/>
    <cellStyle name="Normal 19 16 32" xfId="5360" xr:uid="{00000000-0005-0000-0000-0000DC1F0000}"/>
    <cellStyle name="Normal 19 16 33" xfId="8412" xr:uid="{00000000-0005-0000-0000-0000DD1F0000}"/>
    <cellStyle name="Normal 19 16 34" xfId="9808" xr:uid="{00000000-0005-0000-0000-0000DE1F0000}"/>
    <cellStyle name="Normal 19 16 35" xfId="10430" xr:uid="{00000000-0005-0000-0000-0000DF1F0000}"/>
    <cellStyle name="Normal 19 16 36" xfId="4454" xr:uid="{00000000-0005-0000-0000-0000E01F0000}"/>
    <cellStyle name="Normal 19 16 37" xfId="5991" xr:uid="{00000000-0005-0000-0000-0000E11F0000}"/>
    <cellStyle name="Normal 19 16 38" xfId="8206" xr:uid="{00000000-0005-0000-0000-0000E21F0000}"/>
    <cellStyle name="Normal 19 16 39" xfId="3555" xr:uid="{00000000-0005-0000-0000-0000E31F0000}"/>
    <cellStyle name="Normal 19 16 4" xfId="26890" xr:uid="{00000000-0005-0000-0000-0000E41F0000}"/>
    <cellStyle name="Normal 19 16 40" xfId="10388" xr:uid="{00000000-0005-0000-0000-0000E51F0000}"/>
    <cellStyle name="Normal 19 16 41" xfId="9015" xr:uid="{00000000-0005-0000-0000-0000E61F0000}"/>
    <cellStyle name="Normal 19 16 42" xfId="3189" xr:uid="{00000000-0005-0000-0000-0000E71F0000}"/>
    <cellStyle name="Normal 19 16 43" xfId="3852" xr:uid="{00000000-0005-0000-0000-0000E81F0000}"/>
    <cellStyle name="Normal 19 16 5" xfId="26294" xr:uid="{00000000-0005-0000-0000-0000E91F0000}"/>
    <cellStyle name="Normal 19 16 6" xfId="25698" xr:uid="{00000000-0005-0000-0000-0000EA1F0000}"/>
    <cellStyle name="Normal 19 16 7" xfId="25101" xr:uid="{00000000-0005-0000-0000-0000EB1F0000}"/>
    <cellStyle name="Normal 19 16 8" xfId="24504" xr:uid="{00000000-0005-0000-0000-0000EC1F0000}"/>
    <cellStyle name="Normal 19 16 9" xfId="23907" xr:uid="{00000000-0005-0000-0000-0000ED1F0000}"/>
    <cellStyle name="Normal 19 17" xfId="28682" xr:uid="{00000000-0005-0000-0000-0000EE1F0000}"/>
    <cellStyle name="Normal 19 17 10" xfId="23309" xr:uid="{00000000-0005-0000-0000-0000EF1F0000}"/>
    <cellStyle name="Normal 19 17 11" xfId="22712" xr:uid="{00000000-0005-0000-0000-0000F01F0000}"/>
    <cellStyle name="Normal 19 17 12" xfId="22116" xr:uid="{00000000-0005-0000-0000-0000F11F0000}"/>
    <cellStyle name="Normal 19 17 13" xfId="21519" xr:uid="{00000000-0005-0000-0000-0000F21F0000}"/>
    <cellStyle name="Normal 19 17 14" xfId="20922" xr:uid="{00000000-0005-0000-0000-0000F31F0000}"/>
    <cellStyle name="Normal 19 17 15" xfId="20325" xr:uid="{00000000-0005-0000-0000-0000F41F0000}"/>
    <cellStyle name="Normal 19 17 16" xfId="19729" xr:uid="{00000000-0005-0000-0000-0000F51F0000}"/>
    <cellStyle name="Normal 19 17 17" xfId="19133" xr:uid="{00000000-0005-0000-0000-0000F61F0000}"/>
    <cellStyle name="Normal 19 17 18" xfId="18540" xr:uid="{00000000-0005-0000-0000-0000F71F0000}"/>
    <cellStyle name="Normal 19 17 19" xfId="17944" xr:uid="{00000000-0005-0000-0000-0000F81F0000}"/>
    <cellStyle name="Normal 19 17 2" xfId="28083" xr:uid="{00000000-0005-0000-0000-0000F91F0000}"/>
    <cellStyle name="Normal 19 17 20" xfId="15538" xr:uid="{00000000-0005-0000-0000-0000FA1F0000}"/>
    <cellStyle name="Normal 19 17 21" xfId="17460" xr:uid="{00000000-0005-0000-0000-0000FB1F0000}"/>
    <cellStyle name="Normal 19 17 22" xfId="14367" xr:uid="{00000000-0005-0000-0000-0000FC1F0000}"/>
    <cellStyle name="Normal 19 17 23" xfId="17196" xr:uid="{00000000-0005-0000-0000-0000FD1F0000}"/>
    <cellStyle name="Normal 19 17 24" xfId="15000" xr:uid="{00000000-0005-0000-0000-0000FE1F0000}"/>
    <cellStyle name="Normal 19 17 25" xfId="17054" xr:uid="{00000000-0005-0000-0000-0000FF1F0000}"/>
    <cellStyle name="Normal 19 17 26" xfId="13270" xr:uid="{00000000-0005-0000-0000-000000200000}"/>
    <cellStyle name="Normal 19 17 27" xfId="12778" xr:uid="{00000000-0005-0000-0000-000001200000}"/>
    <cellStyle name="Normal 19 17 28" xfId="12552" xr:uid="{00000000-0005-0000-0000-000002200000}"/>
    <cellStyle name="Normal 19 17 29" xfId="9880" xr:uid="{00000000-0005-0000-0000-000003200000}"/>
    <cellStyle name="Normal 19 17 3" xfId="27486" xr:uid="{00000000-0005-0000-0000-000004200000}"/>
    <cellStyle name="Normal 19 17 30" xfId="9353" xr:uid="{00000000-0005-0000-0000-000005200000}"/>
    <cellStyle name="Normal 19 17 31" xfId="11898" xr:uid="{00000000-0005-0000-0000-000006200000}"/>
    <cellStyle name="Normal 19 17 32" xfId="11970" xr:uid="{00000000-0005-0000-0000-000007200000}"/>
    <cellStyle name="Normal 19 17 33" xfId="10034" xr:uid="{00000000-0005-0000-0000-000008200000}"/>
    <cellStyle name="Normal 19 17 34" xfId="11738" xr:uid="{00000000-0005-0000-0000-000009200000}"/>
    <cellStyle name="Normal 19 17 35" xfId="4895" xr:uid="{00000000-0005-0000-0000-00000A200000}"/>
    <cellStyle name="Normal 19 17 36" xfId="11155" xr:uid="{00000000-0005-0000-0000-00000B200000}"/>
    <cellStyle name="Normal 19 17 37" xfId="10399" xr:uid="{00000000-0005-0000-0000-00000C200000}"/>
    <cellStyle name="Normal 19 17 38" xfId="11280" xr:uid="{00000000-0005-0000-0000-00000D200000}"/>
    <cellStyle name="Normal 19 17 39" xfId="3898" xr:uid="{00000000-0005-0000-0000-00000E200000}"/>
    <cellStyle name="Normal 19 17 4" xfId="26889" xr:uid="{00000000-0005-0000-0000-00000F200000}"/>
    <cellStyle name="Normal 19 17 40" xfId="3725" xr:uid="{00000000-0005-0000-0000-000010200000}"/>
    <cellStyle name="Normal 19 17 41" xfId="9911" xr:uid="{00000000-0005-0000-0000-000011200000}"/>
    <cellStyle name="Normal 19 17 42" xfId="10478" xr:uid="{00000000-0005-0000-0000-000012200000}"/>
    <cellStyle name="Normal 19 17 43" xfId="7658" xr:uid="{00000000-0005-0000-0000-000013200000}"/>
    <cellStyle name="Normal 19 17 5" xfId="26293" xr:uid="{00000000-0005-0000-0000-000014200000}"/>
    <cellStyle name="Normal 19 17 6" xfId="25697" xr:uid="{00000000-0005-0000-0000-000015200000}"/>
    <cellStyle name="Normal 19 17 7" xfId="25100" xr:uid="{00000000-0005-0000-0000-000016200000}"/>
    <cellStyle name="Normal 19 17 8" xfId="24503" xr:uid="{00000000-0005-0000-0000-000017200000}"/>
    <cellStyle name="Normal 19 17 9" xfId="23906" xr:uid="{00000000-0005-0000-0000-000018200000}"/>
    <cellStyle name="Normal 19 18" xfId="28681" xr:uid="{00000000-0005-0000-0000-000019200000}"/>
    <cellStyle name="Normal 19 18 10" xfId="23308" xr:uid="{00000000-0005-0000-0000-00001A200000}"/>
    <cellStyle name="Normal 19 18 11" xfId="22711" xr:uid="{00000000-0005-0000-0000-00001B200000}"/>
    <cellStyle name="Normal 19 18 12" xfId="22115" xr:uid="{00000000-0005-0000-0000-00001C200000}"/>
    <cellStyle name="Normal 19 18 13" xfId="21518" xr:uid="{00000000-0005-0000-0000-00001D200000}"/>
    <cellStyle name="Normal 19 18 14" xfId="20921" xr:uid="{00000000-0005-0000-0000-00001E200000}"/>
    <cellStyle name="Normal 19 18 15" xfId="20324" xr:uid="{00000000-0005-0000-0000-00001F200000}"/>
    <cellStyle name="Normal 19 18 16" xfId="19728" xr:uid="{00000000-0005-0000-0000-000020200000}"/>
    <cellStyle name="Normal 19 18 17" xfId="19132" xr:uid="{00000000-0005-0000-0000-000021200000}"/>
    <cellStyle name="Normal 19 18 18" xfId="18539" xr:uid="{00000000-0005-0000-0000-000022200000}"/>
    <cellStyle name="Normal 19 18 19" xfId="17943" xr:uid="{00000000-0005-0000-0000-000023200000}"/>
    <cellStyle name="Normal 19 18 2" xfId="28082" xr:uid="{00000000-0005-0000-0000-000024200000}"/>
    <cellStyle name="Normal 19 18 20" xfId="15728" xr:uid="{00000000-0005-0000-0000-000025200000}"/>
    <cellStyle name="Normal 19 18 21" xfId="17254" xr:uid="{00000000-0005-0000-0000-000026200000}"/>
    <cellStyle name="Normal 19 18 22" xfId="17353" xr:uid="{00000000-0005-0000-0000-000027200000}"/>
    <cellStyle name="Normal 19 18 23" xfId="14055" xr:uid="{00000000-0005-0000-0000-000028200000}"/>
    <cellStyle name="Normal 19 18 24" xfId="14463" xr:uid="{00000000-0005-0000-0000-000029200000}"/>
    <cellStyle name="Normal 19 18 25" xfId="14425" xr:uid="{00000000-0005-0000-0000-00002A200000}"/>
    <cellStyle name="Normal 19 18 26" xfId="12854" xr:uid="{00000000-0005-0000-0000-00002B200000}"/>
    <cellStyle name="Normal 19 18 27" xfId="12875" xr:uid="{00000000-0005-0000-0000-00002C200000}"/>
    <cellStyle name="Normal 19 18 28" xfId="12551" xr:uid="{00000000-0005-0000-0000-00002D200000}"/>
    <cellStyle name="Normal 19 18 29" xfId="10115" xr:uid="{00000000-0005-0000-0000-00002E200000}"/>
    <cellStyle name="Normal 19 18 3" xfId="27485" xr:uid="{00000000-0005-0000-0000-00002F200000}"/>
    <cellStyle name="Normal 19 18 30" xfId="7247" xr:uid="{00000000-0005-0000-0000-000030200000}"/>
    <cellStyle name="Normal 19 18 31" xfId="8768" xr:uid="{00000000-0005-0000-0000-000031200000}"/>
    <cellStyle name="Normal 19 18 32" xfId="5243" xr:uid="{00000000-0005-0000-0000-000032200000}"/>
    <cellStyle name="Normal 19 18 33" xfId="8025" xr:uid="{00000000-0005-0000-0000-000033200000}"/>
    <cellStyle name="Normal 19 18 34" xfId="8044" xr:uid="{00000000-0005-0000-0000-000034200000}"/>
    <cellStyle name="Normal 19 18 35" xfId="8499" xr:uid="{00000000-0005-0000-0000-000035200000}"/>
    <cellStyle name="Normal 19 18 36" xfId="11090" xr:uid="{00000000-0005-0000-0000-000036200000}"/>
    <cellStyle name="Normal 19 18 37" xfId="10335" xr:uid="{00000000-0005-0000-0000-000037200000}"/>
    <cellStyle name="Normal 19 18 38" xfId="5645" xr:uid="{00000000-0005-0000-0000-000038200000}"/>
    <cellStyle name="Normal 19 18 39" xfId="3890" xr:uid="{00000000-0005-0000-0000-000039200000}"/>
    <cellStyle name="Normal 19 18 4" xfId="26888" xr:uid="{00000000-0005-0000-0000-00003A200000}"/>
    <cellStyle name="Normal 19 18 40" xfId="3287" xr:uid="{00000000-0005-0000-0000-00003B200000}"/>
    <cellStyle name="Normal 19 18 41" xfId="7314" xr:uid="{00000000-0005-0000-0000-00003C200000}"/>
    <cellStyle name="Normal 19 18 42" xfId="8654" xr:uid="{00000000-0005-0000-0000-00003D200000}"/>
    <cellStyle name="Normal 19 18 43" xfId="3416" xr:uid="{00000000-0005-0000-0000-00003E200000}"/>
    <cellStyle name="Normal 19 18 5" xfId="26292" xr:uid="{00000000-0005-0000-0000-00003F200000}"/>
    <cellStyle name="Normal 19 18 6" xfId="25696" xr:uid="{00000000-0005-0000-0000-000040200000}"/>
    <cellStyle name="Normal 19 18 7" xfId="25099" xr:uid="{00000000-0005-0000-0000-000041200000}"/>
    <cellStyle name="Normal 19 18 8" xfId="24502" xr:uid="{00000000-0005-0000-0000-000042200000}"/>
    <cellStyle name="Normal 19 18 9" xfId="23905" xr:uid="{00000000-0005-0000-0000-000043200000}"/>
    <cellStyle name="Normal 19 19" xfId="28680" xr:uid="{00000000-0005-0000-0000-000044200000}"/>
    <cellStyle name="Normal 19 19 10" xfId="23307" xr:uid="{00000000-0005-0000-0000-000045200000}"/>
    <cellStyle name="Normal 19 19 11" xfId="22710" xr:uid="{00000000-0005-0000-0000-000046200000}"/>
    <cellStyle name="Normal 19 19 12" xfId="22114" xr:uid="{00000000-0005-0000-0000-000047200000}"/>
    <cellStyle name="Normal 19 19 13" xfId="21517" xr:uid="{00000000-0005-0000-0000-000048200000}"/>
    <cellStyle name="Normal 19 19 14" xfId="20920" xr:uid="{00000000-0005-0000-0000-000049200000}"/>
    <cellStyle name="Normal 19 19 15" xfId="20323" xr:uid="{00000000-0005-0000-0000-00004A200000}"/>
    <cellStyle name="Normal 19 19 16" xfId="19727" xr:uid="{00000000-0005-0000-0000-00004B200000}"/>
    <cellStyle name="Normal 19 19 17" xfId="19131" xr:uid="{00000000-0005-0000-0000-00004C200000}"/>
    <cellStyle name="Normal 19 19 18" xfId="18538" xr:uid="{00000000-0005-0000-0000-00004D200000}"/>
    <cellStyle name="Normal 19 19 19" xfId="17942" xr:uid="{00000000-0005-0000-0000-00004E200000}"/>
    <cellStyle name="Normal 19 19 2" xfId="28081" xr:uid="{00000000-0005-0000-0000-00004F200000}"/>
    <cellStyle name="Normal 19 19 20" xfId="15928" xr:uid="{00000000-0005-0000-0000-000050200000}"/>
    <cellStyle name="Normal 19 19 21" xfId="17039" xr:uid="{00000000-0005-0000-0000-000051200000}"/>
    <cellStyle name="Normal 19 19 22" xfId="15776" xr:uid="{00000000-0005-0000-0000-000052200000}"/>
    <cellStyle name="Normal 19 19 23" xfId="13510" xr:uid="{00000000-0005-0000-0000-000053200000}"/>
    <cellStyle name="Normal 19 19 24" xfId="14058" xr:uid="{00000000-0005-0000-0000-000054200000}"/>
    <cellStyle name="Normal 19 19 25" xfId="16653" xr:uid="{00000000-0005-0000-0000-000055200000}"/>
    <cellStyle name="Normal 19 19 26" xfId="13319" xr:uid="{00000000-0005-0000-0000-000056200000}"/>
    <cellStyle name="Normal 19 19 27" xfId="12827" xr:uid="{00000000-0005-0000-0000-000057200000}"/>
    <cellStyle name="Normal 19 19 28" xfId="12550" xr:uid="{00000000-0005-0000-0000-000058200000}"/>
    <cellStyle name="Normal 19 19 29" xfId="9214" xr:uid="{00000000-0005-0000-0000-000059200000}"/>
    <cellStyle name="Normal 19 19 3" xfId="27484" xr:uid="{00000000-0005-0000-0000-00005A200000}"/>
    <cellStyle name="Normal 19 19 30" xfId="10471" xr:uid="{00000000-0005-0000-0000-00005B200000}"/>
    <cellStyle name="Normal 19 19 31" xfId="7933" xr:uid="{00000000-0005-0000-0000-00005C200000}"/>
    <cellStyle name="Normal 19 19 32" xfId="5466" xr:uid="{00000000-0005-0000-0000-00005D200000}"/>
    <cellStyle name="Normal 19 19 33" xfId="7896" xr:uid="{00000000-0005-0000-0000-00005E200000}"/>
    <cellStyle name="Normal 19 19 34" xfId="7443" xr:uid="{00000000-0005-0000-0000-00005F200000}"/>
    <cellStyle name="Normal 19 19 35" xfId="7204" xr:uid="{00000000-0005-0000-0000-000060200000}"/>
    <cellStyle name="Normal 19 19 36" xfId="7499" xr:uid="{00000000-0005-0000-0000-000061200000}"/>
    <cellStyle name="Normal 19 19 37" xfId="8947" xr:uid="{00000000-0005-0000-0000-000062200000}"/>
    <cellStyle name="Normal 19 19 38" xfId="4176" xr:uid="{00000000-0005-0000-0000-000063200000}"/>
    <cellStyle name="Normal 19 19 39" xfId="6350" xr:uid="{00000000-0005-0000-0000-000064200000}"/>
    <cellStyle name="Normal 19 19 4" xfId="26887" xr:uid="{00000000-0005-0000-0000-000065200000}"/>
    <cellStyle name="Normal 19 19 40" xfId="11938" xr:uid="{00000000-0005-0000-0000-000066200000}"/>
    <cellStyle name="Normal 19 19 41" xfId="3480" xr:uid="{00000000-0005-0000-0000-000067200000}"/>
    <cellStyle name="Normal 19 19 42" xfId="6325" xr:uid="{00000000-0005-0000-0000-000068200000}"/>
    <cellStyle name="Normal 19 19 43" xfId="6349" xr:uid="{00000000-0005-0000-0000-000069200000}"/>
    <cellStyle name="Normal 19 19 5" xfId="26291" xr:uid="{00000000-0005-0000-0000-00006A200000}"/>
    <cellStyle name="Normal 19 19 6" xfId="25695" xr:uid="{00000000-0005-0000-0000-00006B200000}"/>
    <cellStyle name="Normal 19 19 7" xfId="25098" xr:uid="{00000000-0005-0000-0000-00006C200000}"/>
    <cellStyle name="Normal 19 19 8" xfId="24501" xr:uid="{00000000-0005-0000-0000-00006D200000}"/>
    <cellStyle name="Normal 19 19 9" xfId="23904" xr:uid="{00000000-0005-0000-0000-00006E200000}"/>
    <cellStyle name="Normal 19 2" xfId="28679" xr:uid="{00000000-0005-0000-0000-00006F200000}"/>
    <cellStyle name="Normal 19 2 10" xfId="23306" xr:uid="{00000000-0005-0000-0000-000070200000}"/>
    <cellStyle name="Normal 19 2 11" xfId="22709" xr:uid="{00000000-0005-0000-0000-000071200000}"/>
    <cellStyle name="Normal 19 2 12" xfId="22113" xr:uid="{00000000-0005-0000-0000-000072200000}"/>
    <cellStyle name="Normal 19 2 13" xfId="21516" xr:uid="{00000000-0005-0000-0000-000073200000}"/>
    <cellStyle name="Normal 19 2 14" xfId="20919" xr:uid="{00000000-0005-0000-0000-000074200000}"/>
    <cellStyle name="Normal 19 2 15" xfId="20322" xr:uid="{00000000-0005-0000-0000-000075200000}"/>
    <cellStyle name="Normal 19 2 16" xfId="19726" xr:uid="{00000000-0005-0000-0000-000076200000}"/>
    <cellStyle name="Normal 19 2 17" xfId="19130" xr:uid="{00000000-0005-0000-0000-000077200000}"/>
    <cellStyle name="Normal 19 2 18" xfId="18537" xr:uid="{00000000-0005-0000-0000-000078200000}"/>
    <cellStyle name="Normal 19 2 19" xfId="17941" xr:uid="{00000000-0005-0000-0000-000079200000}"/>
    <cellStyle name="Normal 19 2 2" xfId="28080" xr:uid="{00000000-0005-0000-0000-00007A200000}"/>
    <cellStyle name="Normal 19 2 20" xfId="16136" xr:uid="{00000000-0005-0000-0000-00007B200000}"/>
    <cellStyle name="Normal 19 2 21" xfId="16441" xr:uid="{00000000-0005-0000-0000-00007C200000}"/>
    <cellStyle name="Normal 19 2 22" xfId="15408" xr:uid="{00000000-0005-0000-0000-00007D200000}"/>
    <cellStyle name="Normal 19 2 23" xfId="15192" xr:uid="{00000000-0005-0000-0000-00007E200000}"/>
    <cellStyle name="Normal 19 2 24" xfId="14879" xr:uid="{00000000-0005-0000-0000-00007F200000}"/>
    <cellStyle name="Normal 19 2 25" xfId="16313" xr:uid="{00000000-0005-0000-0000-000080200000}"/>
    <cellStyle name="Normal 19 2 26" xfId="13112" xr:uid="{00000000-0005-0000-0000-000081200000}"/>
    <cellStyle name="Normal 19 2 27" xfId="17065" xr:uid="{00000000-0005-0000-0000-000082200000}"/>
    <cellStyle name="Normal 19 2 28" xfId="12549" xr:uid="{00000000-0005-0000-0000-000083200000}"/>
    <cellStyle name="Normal 19 2 29" xfId="9446" xr:uid="{00000000-0005-0000-0000-000084200000}"/>
    <cellStyle name="Normal 19 2 3" xfId="27483" xr:uid="{00000000-0005-0000-0000-000085200000}"/>
    <cellStyle name="Normal 19 2 30" xfId="7780" xr:uid="{00000000-0005-0000-0000-000086200000}"/>
    <cellStyle name="Normal 19 2 31" xfId="10417" xr:uid="{00000000-0005-0000-0000-000087200000}"/>
    <cellStyle name="Normal 19 2 32" xfId="7073" xr:uid="{00000000-0005-0000-0000-000088200000}"/>
    <cellStyle name="Normal 19 2 33" xfId="9454" xr:uid="{00000000-0005-0000-0000-000089200000}"/>
    <cellStyle name="Normal 19 2 34" xfId="10548" xr:uid="{00000000-0005-0000-0000-00008A200000}"/>
    <cellStyle name="Normal 19 2 35" xfId="4853" xr:uid="{00000000-0005-0000-0000-00008B200000}"/>
    <cellStyle name="Normal 19 2 36" xfId="5420" xr:uid="{00000000-0005-0000-0000-00008C200000}"/>
    <cellStyle name="Normal 19 2 37" xfId="12112" xr:uid="{00000000-0005-0000-0000-00008D200000}"/>
    <cellStyle name="Normal 19 2 38" xfId="7788" xr:uid="{00000000-0005-0000-0000-00008E200000}"/>
    <cellStyle name="Normal 19 2 39" xfId="6062" xr:uid="{00000000-0005-0000-0000-00008F200000}"/>
    <cellStyle name="Normal 19 2 4" xfId="26886" xr:uid="{00000000-0005-0000-0000-000090200000}"/>
    <cellStyle name="Normal 19 2 40" xfId="7557" xr:uid="{00000000-0005-0000-0000-000091200000}"/>
    <cellStyle name="Normal 19 2 41" xfId="3351" xr:uid="{00000000-0005-0000-0000-000092200000}"/>
    <cellStyle name="Normal 19 2 42" xfId="6267" xr:uid="{00000000-0005-0000-0000-000093200000}"/>
    <cellStyle name="Normal 19 2 43" xfId="8199" xr:uid="{00000000-0005-0000-0000-000094200000}"/>
    <cellStyle name="Normal 19 2 44" xfId="3003" xr:uid="{00000000-0005-0000-0000-000095200000}"/>
    <cellStyle name="Normal 19 2 45" xfId="2759" xr:uid="{00000000-0005-0000-0000-000096200000}"/>
    <cellStyle name="Normal 19 2 46" xfId="2519" xr:uid="{00000000-0005-0000-0000-000097200000}"/>
    <cellStyle name="Normal 19 2 47" xfId="2279" xr:uid="{00000000-0005-0000-0000-000098200000}"/>
    <cellStyle name="Normal 19 2 48" xfId="2039" xr:uid="{00000000-0005-0000-0000-000099200000}"/>
    <cellStyle name="Normal 19 2 49" xfId="1799" xr:uid="{00000000-0005-0000-0000-00009A200000}"/>
    <cellStyle name="Normal 19 2 5" xfId="26290" xr:uid="{00000000-0005-0000-0000-00009B200000}"/>
    <cellStyle name="Normal 19 2 50" xfId="1560" xr:uid="{00000000-0005-0000-0000-00009C200000}"/>
    <cellStyle name="Normal 19 2 51" xfId="1320" xr:uid="{00000000-0005-0000-0000-00009D200000}"/>
    <cellStyle name="Normal 19 2 52" xfId="1080" xr:uid="{00000000-0005-0000-0000-00009E200000}"/>
    <cellStyle name="Normal 19 2 53" xfId="840" xr:uid="{00000000-0005-0000-0000-00009F200000}"/>
    <cellStyle name="Normal 19 2 54" xfId="600" xr:uid="{00000000-0005-0000-0000-0000A0200000}"/>
    <cellStyle name="Normal 19 2 55" xfId="361" xr:uid="{00000000-0005-0000-0000-0000A1200000}"/>
    <cellStyle name="Normal 19 2 56" xfId="123" xr:uid="{00000000-0005-0000-0000-0000A2200000}"/>
    <cellStyle name="Normal 19 2 6" xfId="25694" xr:uid="{00000000-0005-0000-0000-0000A3200000}"/>
    <cellStyle name="Normal 19 2 7" xfId="25097" xr:uid="{00000000-0005-0000-0000-0000A4200000}"/>
    <cellStyle name="Normal 19 2 8" xfId="24500" xr:uid="{00000000-0005-0000-0000-0000A5200000}"/>
    <cellStyle name="Normal 19 2 9" xfId="23903" xr:uid="{00000000-0005-0000-0000-0000A6200000}"/>
    <cellStyle name="Normal 19 20" xfId="28678" xr:uid="{00000000-0005-0000-0000-0000A7200000}"/>
    <cellStyle name="Normal 19 20 10" xfId="23305" xr:uid="{00000000-0005-0000-0000-0000A8200000}"/>
    <cellStyle name="Normal 19 20 11" xfId="22708" xr:uid="{00000000-0005-0000-0000-0000A9200000}"/>
    <cellStyle name="Normal 19 20 12" xfId="22112" xr:uid="{00000000-0005-0000-0000-0000AA200000}"/>
    <cellStyle name="Normal 19 20 13" xfId="21515" xr:uid="{00000000-0005-0000-0000-0000AB200000}"/>
    <cellStyle name="Normal 19 20 14" xfId="20918" xr:uid="{00000000-0005-0000-0000-0000AC200000}"/>
    <cellStyle name="Normal 19 20 15" xfId="20321" xr:uid="{00000000-0005-0000-0000-0000AD200000}"/>
    <cellStyle name="Normal 19 20 16" xfId="19725" xr:uid="{00000000-0005-0000-0000-0000AE200000}"/>
    <cellStyle name="Normal 19 20 17" xfId="19129" xr:uid="{00000000-0005-0000-0000-0000AF200000}"/>
    <cellStyle name="Normal 19 20 18" xfId="18536" xr:uid="{00000000-0005-0000-0000-0000B0200000}"/>
    <cellStyle name="Normal 19 20 19" xfId="17940" xr:uid="{00000000-0005-0000-0000-0000B1200000}"/>
    <cellStyle name="Normal 19 20 2" xfId="28079" xr:uid="{00000000-0005-0000-0000-0000B2200000}"/>
    <cellStyle name="Normal 19 20 20" xfId="16337" xr:uid="{00000000-0005-0000-0000-0000B3200000}"/>
    <cellStyle name="Normal 19 20 21" xfId="16026" xr:uid="{00000000-0005-0000-0000-0000B4200000}"/>
    <cellStyle name="Normal 19 20 22" xfId="16639" xr:uid="{00000000-0005-0000-0000-0000B5200000}"/>
    <cellStyle name="Normal 19 20 23" xfId="13720" xr:uid="{00000000-0005-0000-0000-0000B6200000}"/>
    <cellStyle name="Normal 19 20 24" xfId="13933" xr:uid="{00000000-0005-0000-0000-0000B7200000}"/>
    <cellStyle name="Normal 19 20 25" xfId="13553" xr:uid="{00000000-0005-0000-0000-0000B8200000}"/>
    <cellStyle name="Normal 19 20 26" xfId="16402" xr:uid="{00000000-0005-0000-0000-0000B9200000}"/>
    <cellStyle name="Normal 19 20 27" xfId="12774" xr:uid="{00000000-0005-0000-0000-0000BA200000}"/>
    <cellStyle name="Normal 19 20 28" xfId="12548" xr:uid="{00000000-0005-0000-0000-0000BB200000}"/>
    <cellStyle name="Normal 19 20 29" xfId="9667" xr:uid="{00000000-0005-0000-0000-0000BC200000}"/>
    <cellStyle name="Normal 19 20 3" xfId="27482" xr:uid="{00000000-0005-0000-0000-0000BD200000}"/>
    <cellStyle name="Normal 19 20 30" xfId="12022" xr:uid="{00000000-0005-0000-0000-0000BE200000}"/>
    <cellStyle name="Normal 19 20 31" xfId="8884" xr:uid="{00000000-0005-0000-0000-0000BF200000}"/>
    <cellStyle name="Normal 19 20 32" xfId="8667" xr:uid="{00000000-0005-0000-0000-0000C0200000}"/>
    <cellStyle name="Normal 19 20 33" xfId="7275" xr:uid="{00000000-0005-0000-0000-0000C1200000}"/>
    <cellStyle name="Normal 19 20 34" xfId="10442" xr:uid="{00000000-0005-0000-0000-0000C2200000}"/>
    <cellStyle name="Normal 19 20 35" xfId="6686" xr:uid="{00000000-0005-0000-0000-0000C3200000}"/>
    <cellStyle name="Normal 19 20 36" xfId="11807" xr:uid="{00000000-0005-0000-0000-0000C4200000}"/>
    <cellStyle name="Normal 19 20 37" xfId="4271" xr:uid="{00000000-0005-0000-0000-0000C5200000}"/>
    <cellStyle name="Normal 19 20 38" xfId="3978" xr:uid="{00000000-0005-0000-0000-0000C6200000}"/>
    <cellStyle name="Normal 19 20 39" xfId="8438" xr:uid="{00000000-0005-0000-0000-0000C7200000}"/>
    <cellStyle name="Normal 19 20 4" xfId="26885" xr:uid="{00000000-0005-0000-0000-0000C8200000}"/>
    <cellStyle name="Normal 19 20 40" xfId="5438" xr:uid="{00000000-0005-0000-0000-0000C9200000}"/>
    <cellStyle name="Normal 19 20 41" xfId="6078" xr:uid="{00000000-0005-0000-0000-0000CA200000}"/>
    <cellStyle name="Normal 19 20 42" xfId="5316" xr:uid="{00000000-0005-0000-0000-0000CB200000}"/>
    <cellStyle name="Normal 19 20 43" xfId="3166" xr:uid="{00000000-0005-0000-0000-0000CC200000}"/>
    <cellStyle name="Normal 19 20 5" xfId="26289" xr:uid="{00000000-0005-0000-0000-0000CD200000}"/>
    <cellStyle name="Normal 19 20 6" xfId="25693" xr:uid="{00000000-0005-0000-0000-0000CE200000}"/>
    <cellStyle name="Normal 19 20 7" xfId="25096" xr:uid="{00000000-0005-0000-0000-0000CF200000}"/>
    <cellStyle name="Normal 19 20 8" xfId="24499" xr:uid="{00000000-0005-0000-0000-0000D0200000}"/>
    <cellStyle name="Normal 19 20 9" xfId="23902" xr:uid="{00000000-0005-0000-0000-0000D1200000}"/>
    <cellStyle name="Normal 19 21" xfId="28677" xr:uid="{00000000-0005-0000-0000-0000D2200000}"/>
    <cellStyle name="Normal 19 21 10" xfId="23304" xr:uid="{00000000-0005-0000-0000-0000D3200000}"/>
    <cellStyle name="Normal 19 21 11" xfId="22707" xr:uid="{00000000-0005-0000-0000-0000D4200000}"/>
    <cellStyle name="Normal 19 21 12" xfId="22111" xr:uid="{00000000-0005-0000-0000-0000D5200000}"/>
    <cellStyle name="Normal 19 21 13" xfId="21514" xr:uid="{00000000-0005-0000-0000-0000D6200000}"/>
    <cellStyle name="Normal 19 21 14" xfId="20917" xr:uid="{00000000-0005-0000-0000-0000D7200000}"/>
    <cellStyle name="Normal 19 21 15" xfId="20320" xr:uid="{00000000-0005-0000-0000-0000D8200000}"/>
    <cellStyle name="Normal 19 21 16" xfId="19724" xr:uid="{00000000-0005-0000-0000-0000D9200000}"/>
    <cellStyle name="Normal 19 21 17" xfId="19128" xr:uid="{00000000-0005-0000-0000-0000DA200000}"/>
    <cellStyle name="Normal 19 21 18" xfId="18535" xr:uid="{00000000-0005-0000-0000-0000DB200000}"/>
    <cellStyle name="Normal 19 21 19" xfId="17939" xr:uid="{00000000-0005-0000-0000-0000DC200000}"/>
    <cellStyle name="Normal 19 21 2" xfId="28078" xr:uid="{00000000-0005-0000-0000-0000DD200000}"/>
    <cellStyle name="Normal 19 21 20" xfId="16527" xr:uid="{00000000-0005-0000-0000-0000DE200000}"/>
    <cellStyle name="Normal 19 21 21" xfId="15620" xr:uid="{00000000-0005-0000-0000-0000DF200000}"/>
    <cellStyle name="Normal 19 21 22" xfId="14460" xr:uid="{00000000-0005-0000-0000-0000E0200000}"/>
    <cellStyle name="Normal 19 21 23" xfId="17298" xr:uid="{00000000-0005-0000-0000-0000E1200000}"/>
    <cellStyle name="Normal 19 21 24" xfId="14036" xr:uid="{00000000-0005-0000-0000-0000E2200000}"/>
    <cellStyle name="Normal 19 21 25" xfId="13148" xr:uid="{00000000-0005-0000-0000-0000E3200000}"/>
    <cellStyle name="Normal 19 21 26" xfId="15772" xr:uid="{00000000-0005-0000-0000-0000E4200000}"/>
    <cellStyle name="Normal 19 21 27" xfId="17036" xr:uid="{00000000-0005-0000-0000-0000E5200000}"/>
    <cellStyle name="Normal 19 21 28" xfId="12547" xr:uid="{00000000-0005-0000-0000-0000E6200000}"/>
    <cellStyle name="Normal 19 21 29" xfId="9897" xr:uid="{00000000-0005-0000-0000-0000E7200000}"/>
    <cellStyle name="Normal 19 21 3" xfId="27481" xr:uid="{00000000-0005-0000-0000-0000E8200000}"/>
    <cellStyle name="Normal 19 21 30" xfId="8182" xr:uid="{00000000-0005-0000-0000-0000E9200000}"/>
    <cellStyle name="Normal 19 21 31" xfId="10192" xr:uid="{00000000-0005-0000-0000-0000EA200000}"/>
    <cellStyle name="Normal 19 21 32" xfId="9617" xr:uid="{00000000-0005-0000-0000-0000EB200000}"/>
    <cellStyle name="Normal 19 21 33" xfId="4985" xr:uid="{00000000-0005-0000-0000-0000EC200000}"/>
    <cellStyle name="Normal 19 21 34" xfId="8111" xr:uid="{00000000-0005-0000-0000-0000ED200000}"/>
    <cellStyle name="Normal 19 21 35" xfId="5937" xr:uid="{00000000-0005-0000-0000-0000EE200000}"/>
    <cellStyle name="Normal 19 21 36" xfId="5281" xr:uid="{00000000-0005-0000-0000-0000EF200000}"/>
    <cellStyle name="Normal 19 21 37" xfId="4177" xr:uid="{00000000-0005-0000-0000-0000F0200000}"/>
    <cellStyle name="Normal 19 21 38" xfId="4001" xr:uid="{00000000-0005-0000-0000-0000F1200000}"/>
    <cellStyle name="Normal 19 21 39" xfId="9933" xr:uid="{00000000-0005-0000-0000-0000F2200000}"/>
    <cellStyle name="Normal 19 21 4" xfId="26884" xr:uid="{00000000-0005-0000-0000-0000F3200000}"/>
    <cellStyle name="Normal 19 21 40" xfId="4102" xr:uid="{00000000-0005-0000-0000-0000F4200000}"/>
    <cellStyle name="Normal 19 21 41" xfId="11858" xr:uid="{00000000-0005-0000-0000-0000F5200000}"/>
    <cellStyle name="Normal 19 21 42" xfId="9762" xr:uid="{00000000-0005-0000-0000-0000F6200000}"/>
    <cellStyle name="Normal 19 21 43" xfId="6009" xr:uid="{00000000-0005-0000-0000-0000F7200000}"/>
    <cellStyle name="Normal 19 21 5" xfId="26288" xr:uid="{00000000-0005-0000-0000-0000F8200000}"/>
    <cellStyle name="Normal 19 21 6" xfId="25692" xr:uid="{00000000-0005-0000-0000-0000F9200000}"/>
    <cellStyle name="Normal 19 21 7" xfId="25095" xr:uid="{00000000-0005-0000-0000-0000FA200000}"/>
    <cellStyle name="Normal 19 21 8" xfId="24498" xr:uid="{00000000-0005-0000-0000-0000FB200000}"/>
    <cellStyle name="Normal 19 21 9" xfId="23901" xr:uid="{00000000-0005-0000-0000-0000FC200000}"/>
    <cellStyle name="Normal 19 22" xfId="28676" xr:uid="{00000000-0005-0000-0000-0000FD200000}"/>
    <cellStyle name="Normal 19 22 10" xfId="23303" xr:uid="{00000000-0005-0000-0000-0000FE200000}"/>
    <cellStyle name="Normal 19 22 11" xfId="22706" xr:uid="{00000000-0005-0000-0000-0000FF200000}"/>
    <cellStyle name="Normal 19 22 12" xfId="22110" xr:uid="{00000000-0005-0000-0000-000000210000}"/>
    <cellStyle name="Normal 19 22 13" xfId="21513" xr:uid="{00000000-0005-0000-0000-000001210000}"/>
    <cellStyle name="Normal 19 22 14" xfId="20916" xr:uid="{00000000-0005-0000-0000-000002210000}"/>
    <cellStyle name="Normal 19 22 15" xfId="20319" xr:uid="{00000000-0005-0000-0000-000003210000}"/>
    <cellStyle name="Normal 19 22 16" xfId="19723" xr:uid="{00000000-0005-0000-0000-000004210000}"/>
    <cellStyle name="Normal 19 22 17" xfId="19127" xr:uid="{00000000-0005-0000-0000-000005210000}"/>
    <cellStyle name="Normal 19 22 18" xfId="18534" xr:uid="{00000000-0005-0000-0000-000006210000}"/>
    <cellStyle name="Normal 19 22 19" xfId="17938" xr:uid="{00000000-0005-0000-0000-000007210000}"/>
    <cellStyle name="Normal 19 22 2" xfId="28077" xr:uid="{00000000-0005-0000-0000-000008210000}"/>
    <cellStyle name="Normal 19 22 20" xfId="16721" xr:uid="{00000000-0005-0000-0000-000009210000}"/>
    <cellStyle name="Normal 19 22 21" xfId="15218" xr:uid="{00000000-0005-0000-0000-00000A210000}"/>
    <cellStyle name="Normal 19 22 22" xfId="14874" xr:uid="{00000000-0005-0000-0000-00000B210000}"/>
    <cellStyle name="Normal 19 22 23" xfId="15194" xr:uid="{00000000-0005-0000-0000-00000C210000}"/>
    <cellStyle name="Normal 19 22 24" xfId="17363" xr:uid="{00000000-0005-0000-0000-00000D210000}"/>
    <cellStyle name="Normal 19 22 25" xfId="15178" xr:uid="{00000000-0005-0000-0000-00000E210000}"/>
    <cellStyle name="Normal 19 22 26" xfId="16666" xr:uid="{00000000-0005-0000-0000-00000F210000}"/>
    <cellStyle name="Normal 19 22 27" xfId="12734" xr:uid="{00000000-0005-0000-0000-000010210000}"/>
    <cellStyle name="Normal 19 22 28" xfId="12546" xr:uid="{00000000-0005-0000-0000-000011210000}"/>
    <cellStyle name="Normal 19 22 29" xfId="10132" xr:uid="{00000000-0005-0000-0000-000012210000}"/>
    <cellStyle name="Normal 19 22 3" xfId="27480" xr:uid="{00000000-0005-0000-0000-000013210000}"/>
    <cellStyle name="Normal 19 22 30" xfId="8601" xr:uid="{00000000-0005-0000-0000-000014210000}"/>
    <cellStyle name="Normal 19 22 31" xfId="6797" xr:uid="{00000000-0005-0000-0000-000015210000}"/>
    <cellStyle name="Normal 19 22 32" xfId="6700" xr:uid="{00000000-0005-0000-0000-000016210000}"/>
    <cellStyle name="Normal 19 22 33" xfId="5460" xr:uid="{00000000-0005-0000-0000-000017210000}"/>
    <cellStyle name="Normal 19 22 34" xfId="7123" xr:uid="{00000000-0005-0000-0000-000018210000}"/>
    <cellStyle name="Normal 19 22 35" xfId="11852" xr:uid="{00000000-0005-0000-0000-000019210000}"/>
    <cellStyle name="Normal 19 22 36" xfId="10665" xr:uid="{00000000-0005-0000-0000-00001A210000}"/>
    <cellStyle name="Normal 19 22 37" xfId="6473" xr:uid="{00000000-0005-0000-0000-00001B210000}"/>
    <cellStyle name="Normal 19 22 38" xfId="10393" xr:uid="{00000000-0005-0000-0000-00001C210000}"/>
    <cellStyle name="Normal 19 22 39" xfId="4178" xr:uid="{00000000-0005-0000-0000-00001D210000}"/>
    <cellStyle name="Normal 19 22 4" xfId="26883" xr:uid="{00000000-0005-0000-0000-00001E210000}"/>
    <cellStyle name="Normal 19 22 40" xfId="4532" xr:uid="{00000000-0005-0000-0000-00001F210000}"/>
    <cellStyle name="Normal 19 22 41" xfId="8612" xr:uid="{00000000-0005-0000-0000-000020210000}"/>
    <cellStyle name="Normal 19 22 42" xfId="7718" xr:uid="{00000000-0005-0000-0000-000021210000}"/>
    <cellStyle name="Normal 19 22 43" xfId="3469" xr:uid="{00000000-0005-0000-0000-000022210000}"/>
    <cellStyle name="Normal 19 22 5" xfId="26287" xr:uid="{00000000-0005-0000-0000-000023210000}"/>
    <cellStyle name="Normal 19 22 6" xfId="25691" xr:uid="{00000000-0005-0000-0000-000024210000}"/>
    <cellStyle name="Normal 19 22 7" xfId="25094" xr:uid="{00000000-0005-0000-0000-000025210000}"/>
    <cellStyle name="Normal 19 22 8" xfId="24497" xr:uid="{00000000-0005-0000-0000-000026210000}"/>
    <cellStyle name="Normal 19 22 9" xfId="23900" xr:uid="{00000000-0005-0000-0000-000027210000}"/>
    <cellStyle name="Normal 19 23" xfId="28675" xr:uid="{00000000-0005-0000-0000-000028210000}"/>
    <cellStyle name="Normal 19 23 10" xfId="23302" xr:uid="{00000000-0005-0000-0000-000029210000}"/>
    <cellStyle name="Normal 19 23 11" xfId="22705" xr:uid="{00000000-0005-0000-0000-00002A210000}"/>
    <cellStyle name="Normal 19 23 12" xfId="22109" xr:uid="{00000000-0005-0000-0000-00002B210000}"/>
    <cellStyle name="Normal 19 23 13" xfId="21512" xr:uid="{00000000-0005-0000-0000-00002C210000}"/>
    <cellStyle name="Normal 19 23 14" xfId="20915" xr:uid="{00000000-0005-0000-0000-00002D210000}"/>
    <cellStyle name="Normal 19 23 15" xfId="20318" xr:uid="{00000000-0005-0000-0000-00002E210000}"/>
    <cellStyle name="Normal 19 23 16" xfId="19722" xr:uid="{00000000-0005-0000-0000-00002F210000}"/>
    <cellStyle name="Normal 19 23 17" xfId="19126" xr:uid="{00000000-0005-0000-0000-000030210000}"/>
    <cellStyle name="Normal 19 23 18" xfId="18533" xr:uid="{00000000-0005-0000-0000-000031210000}"/>
    <cellStyle name="Normal 19 23 19" xfId="17937" xr:uid="{00000000-0005-0000-0000-000032210000}"/>
    <cellStyle name="Normal 19 23 2" xfId="28076" xr:uid="{00000000-0005-0000-0000-000033210000}"/>
    <cellStyle name="Normal 19 23 20" xfId="16918" xr:uid="{00000000-0005-0000-0000-000034210000}"/>
    <cellStyle name="Normal 19 23 21" xfId="15598" xr:uid="{00000000-0005-0000-0000-000035210000}"/>
    <cellStyle name="Normal 19 23 22" xfId="14853" xr:uid="{00000000-0005-0000-0000-000036210000}"/>
    <cellStyle name="Normal 19 23 23" xfId="16238" xr:uid="{00000000-0005-0000-0000-000037210000}"/>
    <cellStyle name="Normal 19 23 24" xfId="13303" xr:uid="{00000000-0005-0000-0000-000038210000}"/>
    <cellStyle name="Normal 19 23 25" xfId="14086" xr:uid="{00000000-0005-0000-0000-000039210000}"/>
    <cellStyle name="Normal 19 23 26" xfId="16459" xr:uid="{00000000-0005-0000-0000-00003A210000}"/>
    <cellStyle name="Normal 19 23 27" xfId="12738" xr:uid="{00000000-0005-0000-0000-00003B210000}"/>
    <cellStyle name="Normal 19 23 28" xfId="12545" xr:uid="{00000000-0005-0000-0000-00003C210000}"/>
    <cellStyle name="Normal 19 23 29" xfId="10358" xr:uid="{00000000-0005-0000-0000-00003D210000}"/>
    <cellStyle name="Normal 19 23 3" xfId="27479" xr:uid="{00000000-0005-0000-0000-00003E210000}"/>
    <cellStyle name="Normal 19 23 30" xfId="8816" xr:uid="{00000000-0005-0000-0000-00003F210000}"/>
    <cellStyle name="Normal 19 23 31" xfId="9518" xr:uid="{00000000-0005-0000-0000-000040210000}"/>
    <cellStyle name="Normal 19 23 32" xfId="10803" xr:uid="{00000000-0005-0000-0000-000041210000}"/>
    <cellStyle name="Normal 19 23 33" xfId="5328" xr:uid="{00000000-0005-0000-0000-000042210000}"/>
    <cellStyle name="Normal 19 23 34" xfId="6557" xr:uid="{00000000-0005-0000-0000-000043210000}"/>
    <cellStyle name="Normal 19 23 35" xfId="5392" xr:uid="{00000000-0005-0000-0000-000044210000}"/>
    <cellStyle name="Normal 19 23 36" xfId="11948" xr:uid="{00000000-0005-0000-0000-000045210000}"/>
    <cellStyle name="Normal 19 23 37" xfId="6621" xr:uid="{00000000-0005-0000-0000-000046210000}"/>
    <cellStyle name="Normal 19 23 38" xfId="4626" xr:uid="{00000000-0005-0000-0000-000047210000}"/>
    <cellStyle name="Normal 19 23 39" xfId="9610" xr:uid="{00000000-0005-0000-0000-000048210000}"/>
    <cellStyle name="Normal 19 23 4" xfId="26882" xr:uid="{00000000-0005-0000-0000-000049210000}"/>
    <cellStyle name="Normal 19 23 40" xfId="7176" xr:uid="{00000000-0005-0000-0000-00004A210000}"/>
    <cellStyle name="Normal 19 23 41" xfId="3203" xr:uid="{00000000-0005-0000-0000-00004B210000}"/>
    <cellStyle name="Normal 19 23 42" xfId="5845" xr:uid="{00000000-0005-0000-0000-00004C210000}"/>
    <cellStyle name="Normal 19 23 43" xfId="4195" xr:uid="{00000000-0005-0000-0000-00004D210000}"/>
    <cellStyle name="Normal 19 23 5" xfId="26286" xr:uid="{00000000-0005-0000-0000-00004E210000}"/>
    <cellStyle name="Normal 19 23 6" xfId="25690" xr:uid="{00000000-0005-0000-0000-00004F210000}"/>
    <cellStyle name="Normal 19 23 7" xfId="25093" xr:uid="{00000000-0005-0000-0000-000050210000}"/>
    <cellStyle name="Normal 19 23 8" xfId="24496" xr:uid="{00000000-0005-0000-0000-000051210000}"/>
    <cellStyle name="Normal 19 23 9" xfId="23899" xr:uid="{00000000-0005-0000-0000-000052210000}"/>
    <cellStyle name="Normal 19 24" xfId="28674" xr:uid="{00000000-0005-0000-0000-000053210000}"/>
    <cellStyle name="Normal 19 24 10" xfId="23301" xr:uid="{00000000-0005-0000-0000-000054210000}"/>
    <cellStyle name="Normal 19 24 11" xfId="22704" xr:uid="{00000000-0005-0000-0000-000055210000}"/>
    <cellStyle name="Normal 19 24 12" xfId="22108" xr:uid="{00000000-0005-0000-0000-000056210000}"/>
    <cellStyle name="Normal 19 24 13" xfId="21511" xr:uid="{00000000-0005-0000-0000-000057210000}"/>
    <cellStyle name="Normal 19 24 14" xfId="20914" xr:uid="{00000000-0005-0000-0000-000058210000}"/>
    <cellStyle name="Normal 19 24 15" xfId="20317" xr:uid="{00000000-0005-0000-0000-000059210000}"/>
    <cellStyle name="Normal 19 24 16" xfId="19721" xr:uid="{00000000-0005-0000-0000-00005A210000}"/>
    <cellStyle name="Normal 19 24 17" xfId="19125" xr:uid="{00000000-0005-0000-0000-00005B210000}"/>
    <cellStyle name="Normal 19 24 18" xfId="18532" xr:uid="{00000000-0005-0000-0000-00005C210000}"/>
    <cellStyle name="Normal 19 24 19" xfId="17936" xr:uid="{00000000-0005-0000-0000-00005D210000}"/>
    <cellStyle name="Normal 19 24 2" xfId="28075" xr:uid="{00000000-0005-0000-0000-00005E210000}"/>
    <cellStyle name="Normal 19 24 20" xfId="17125" xr:uid="{00000000-0005-0000-0000-00005F210000}"/>
    <cellStyle name="Normal 19 24 21" xfId="15983" xr:uid="{00000000-0005-0000-0000-000060210000}"/>
    <cellStyle name="Normal 19 24 22" xfId="17424" xr:uid="{00000000-0005-0000-0000-000061210000}"/>
    <cellStyle name="Normal 19 24 23" xfId="15242" xr:uid="{00000000-0005-0000-0000-000062210000}"/>
    <cellStyle name="Normal 19 24 24" xfId="13260" xr:uid="{00000000-0005-0000-0000-000063210000}"/>
    <cellStyle name="Normal 19 24 25" xfId="16824" xr:uid="{00000000-0005-0000-0000-000064210000}"/>
    <cellStyle name="Normal 19 24 26" xfId="14267" xr:uid="{00000000-0005-0000-0000-000065210000}"/>
    <cellStyle name="Normal 19 24 27" xfId="17231" xr:uid="{00000000-0005-0000-0000-000066210000}"/>
    <cellStyle name="Normal 19 24 28" xfId="12544" xr:uid="{00000000-0005-0000-0000-000067210000}"/>
    <cellStyle name="Normal 19 24 29" xfId="10588" xr:uid="{00000000-0005-0000-0000-000068210000}"/>
    <cellStyle name="Normal 19 24 3" xfId="27478" xr:uid="{00000000-0005-0000-0000-000069210000}"/>
    <cellStyle name="Normal 19 24 30" xfId="9776" xr:uid="{00000000-0005-0000-0000-00006A210000}"/>
    <cellStyle name="Normal 19 24 31" xfId="6924" xr:uid="{00000000-0005-0000-0000-00006B210000}"/>
    <cellStyle name="Normal 19 24 32" xfId="11740" xr:uid="{00000000-0005-0000-0000-00006C210000}"/>
    <cellStyle name="Normal 19 24 33" xfId="4969" xr:uid="{00000000-0005-0000-0000-00006D210000}"/>
    <cellStyle name="Normal 19 24 34" xfId="8495" xr:uid="{00000000-0005-0000-0000-00006E210000}"/>
    <cellStyle name="Normal 19 24 35" xfId="10897" xr:uid="{00000000-0005-0000-0000-00006F210000}"/>
    <cellStyle name="Normal 19 24 36" xfId="11310" xr:uid="{00000000-0005-0000-0000-000070210000}"/>
    <cellStyle name="Normal 19 24 37" xfId="4584" xr:uid="{00000000-0005-0000-0000-000071210000}"/>
    <cellStyle name="Normal 19 24 38" xfId="4808" xr:uid="{00000000-0005-0000-0000-000072210000}"/>
    <cellStyle name="Normal 19 24 39" xfId="10963" xr:uid="{00000000-0005-0000-0000-000073210000}"/>
    <cellStyle name="Normal 19 24 4" xfId="26881" xr:uid="{00000000-0005-0000-0000-000074210000}"/>
    <cellStyle name="Normal 19 24 40" xfId="5875" xr:uid="{00000000-0005-0000-0000-000075210000}"/>
    <cellStyle name="Normal 19 24 41" xfId="3563" xr:uid="{00000000-0005-0000-0000-000076210000}"/>
    <cellStyle name="Normal 19 24 42" xfId="4321" xr:uid="{00000000-0005-0000-0000-000077210000}"/>
    <cellStyle name="Normal 19 24 43" xfId="6262" xr:uid="{00000000-0005-0000-0000-000078210000}"/>
    <cellStyle name="Normal 19 24 5" xfId="26285" xr:uid="{00000000-0005-0000-0000-000079210000}"/>
    <cellStyle name="Normal 19 24 6" xfId="25689" xr:uid="{00000000-0005-0000-0000-00007A210000}"/>
    <cellStyle name="Normal 19 24 7" xfId="25092" xr:uid="{00000000-0005-0000-0000-00007B210000}"/>
    <cellStyle name="Normal 19 24 8" xfId="24495" xr:uid="{00000000-0005-0000-0000-00007C210000}"/>
    <cellStyle name="Normal 19 24 9" xfId="23898" xr:uid="{00000000-0005-0000-0000-00007D210000}"/>
    <cellStyle name="Normal 19 25" xfId="28673" xr:uid="{00000000-0005-0000-0000-00007E210000}"/>
    <cellStyle name="Normal 19 25 10" xfId="23300" xr:uid="{00000000-0005-0000-0000-00007F210000}"/>
    <cellStyle name="Normal 19 25 11" xfId="22703" xr:uid="{00000000-0005-0000-0000-000080210000}"/>
    <cellStyle name="Normal 19 25 12" xfId="22107" xr:uid="{00000000-0005-0000-0000-000081210000}"/>
    <cellStyle name="Normal 19 25 13" xfId="21510" xr:uid="{00000000-0005-0000-0000-000082210000}"/>
    <cellStyle name="Normal 19 25 14" xfId="20913" xr:uid="{00000000-0005-0000-0000-000083210000}"/>
    <cellStyle name="Normal 19 25 15" xfId="20316" xr:uid="{00000000-0005-0000-0000-000084210000}"/>
    <cellStyle name="Normal 19 25 16" xfId="19720" xr:uid="{00000000-0005-0000-0000-000085210000}"/>
    <cellStyle name="Normal 19 25 17" xfId="19124" xr:uid="{00000000-0005-0000-0000-000086210000}"/>
    <cellStyle name="Normal 19 25 18" xfId="18531" xr:uid="{00000000-0005-0000-0000-000087210000}"/>
    <cellStyle name="Normal 19 25 19" xfId="17935" xr:uid="{00000000-0005-0000-0000-000088210000}"/>
    <cellStyle name="Normal 19 25 2" xfId="28074" xr:uid="{00000000-0005-0000-0000-000089210000}"/>
    <cellStyle name="Normal 19 25 20" xfId="17318" xr:uid="{00000000-0005-0000-0000-00008A210000}"/>
    <cellStyle name="Normal 19 25 21" xfId="15584" xr:uid="{00000000-0005-0000-0000-00008B210000}"/>
    <cellStyle name="Normal 19 25 22" xfId="15058" xr:uid="{00000000-0005-0000-0000-00008C210000}"/>
    <cellStyle name="Normal 19 25 23" xfId="14088" xr:uid="{00000000-0005-0000-0000-00008D210000}"/>
    <cellStyle name="Normal 19 25 24" xfId="13105" xr:uid="{00000000-0005-0000-0000-00008E210000}"/>
    <cellStyle name="Normal 19 25 25" xfId="13617" xr:uid="{00000000-0005-0000-0000-00008F210000}"/>
    <cellStyle name="Normal 19 25 26" xfId="14092" xr:uid="{00000000-0005-0000-0000-000090210000}"/>
    <cellStyle name="Normal 19 25 27" xfId="12917" xr:uid="{00000000-0005-0000-0000-000091210000}"/>
    <cellStyle name="Normal 19 25 28" xfId="12543" xr:uid="{00000000-0005-0000-0000-000092210000}"/>
    <cellStyle name="Normal 19 25 29" xfId="10802" xr:uid="{00000000-0005-0000-0000-000093210000}"/>
    <cellStyle name="Normal 19 25 3" xfId="27477" xr:uid="{00000000-0005-0000-0000-000094210000}"/>
    <cellStyle name="Normal 19 25 30" xfId="9314" xr:uid="{00000000-0005-0000-0000-000095210000}"/>
    <cellStyle name="Normal 19 25 31" xfId="10900" xr:uid="{00000000-0005-0000-0000-000096210000}"/>
    <cellStyle name="Normal 19 25 32" xfId="10241" xr:uid="{00000000-0005-0000-0000-000097210000}"/>
    <cellStyle name="Normal 19 25 33" xfId="6944" xr:uid="{00000000-0005-0000-0000-000098210000}"/>
    <cellStyle name="Normal 19 25 34" xfId="8274" xr:uid="{00000000-0005-0000-0000-000099210000}"/>
    <cellStyle name="Normal 19 25 35" xfId="6726" xr:uid="{00000000-0005-0000-0000-00009A210000}"/>
    <cellStyle name="Normal 19 25 36" xfId="9573" xr:uid="{00000000-0005-0000-0000-00009B210000}"/>
    <cellStyle name="Normal 19 25 37" xfId="5898" xr:uid="{00000000-0005-0000-0000-00009C210000}"/>
    <cellStyle name="Normal 19 25 38" xfId="3835" xr:uid="{00000000-0005-0000-0000-00009D210000}"/>
    <cellStyle name="Normal 19 25 39" xfId="3947" xr:uid="{00000000-0005-0000-0000-00009E210000}"/>
    <cellStyle name="Normal 19 25 4" xfId="26880" xr:uid="{00000000-0005-0000-0000-00009F210000}"/>
    <cellStyle name="Normal 19 25 40" xfId="9724" xr:uid="{00000000-0005-0000-0000-0000A0210000}"/>
    <cellStyle name="Normal 19 25 41" xfId="7695" xr:uid="{00000000-0005-0000-0000-0000A1210000}"/>
    <cellStyle name="Normal 19 25 42" xfId="3795" xr:uid="{00000000-0005-0000-0000-0000A2210000}"/>
    <cellStyle name="Normal 19 25 43" xfId="11824" xr:uid="{00000000-0005-0000-0000-0000A3210000}"/>
    <cellStyle name="Normal 19 25 5" xfId="26284" xr:uid="{00000000-0005-0000-0000-0000A4210000}"/>
    <cellStyle name="Normal 19 25 6" xfId="25688" xr:uid="{00000000-0005-0000-0000-0000A5210000}"/>
    <cellStyle name="Normal 19 25 7" xfId="25091" xr:uid="{00000000-0005-0000-0000-0000A6210000}"/>
    <cellStyle name="Normal 19 25 8" xfId="24494" xr:uid="{00000000-0005-0000-0000-0000A7210000}"/>
    <cellStyle name="Normal 19 25 9" xfId="23897" xr:uid="{00000000-0005-0000-0000-0000A8210000}"/>
    <cellStyle name="Normal 19 26" xfId="28672" xr:uid="{00000000-0005-0000-0000-0000A9210000}"/>
    <cellStyle name="Normal 19 26 10" xfId="23299" xr:uid="{00000000-0005-0000-0000-0000AA210000}"/>
    <cellStyle name="Normal 19 26 11" xfId="22702" xr:uid="{00000000-0005-0000-0000-0000AB210000}"/>
    <cellStyle name="Normal 19 26 12" xfId="22106" xr:uid="{00000000-0005-0000-0000-0000AC210000}"/>
    <cellStyle name="Normal 19 26 13" xfId="21509" xr:uid="{00000000-0005-0000-0000-0000AD210000}"/>
    <cellStyle name="Normal 19 26 14" xfId="20912" xr:uid="{00000000-0005-0000-0000-0000AE210000}"/>
    <cellStyle name="Normal 19 26 15" xfId="20315" xr:uid="{00000000-0005-0000-0000-0000AF210000}"/>
    <cellStyle name="Normal 19 26 16" xfId="19719" xr:uid="{00000000-0005-0000-0000-0000B0210000}"/>
    <cellStyle name="Normal 19 26 17" xfId="19123" xr:uid="{00000000-0005-0000-0000-0000B1210000}"/>
    <cellStyle name="Normal 19 26 18" xfId="18530" xr:uid="{00000000-0005-0000-0000-0000B2210000}"/>
    <cellStyle name="Normal 19 26 19" xfId="17934" xr:uid="{00000000-0005-0000-0000-0000B3210000}"/>
    <cellStyle name="Normal 19 26 2" xfId="28073" xr:uid="{00000000-0005-0000-0000-0000B4210000}"/>
    <cellStyle name="Normal 19 26 20" xfId="14151" xr:uid="{00000000-0005-0000-0000-0000B5210000}"/>
    <cellStyle name="Normal 19 26 21" xfId="15172" xr:uid="{00000000-0005-0000-0000-0000B6210000}"/>
    <cellStyle name="Normal 19 26 22" xfId="13516" xr:uid="{00000000-0005-0000-0000-0000B7210000}"/>
    <cellStyle name="Normal 19 26 23" xfId="13366" xr:uid="{00000000-0005-0000-0000-0000B8210000}"/>
    <cellStyle name="Normal 19 26 24" xfId="13823" xr:uid="{00000000-0005-0000-0000-0000B9210000}"/>
    <cellStyle name="Normal 19 26 25" xfId="17070" xr:uid="{00000000-0005-0000-0000-0000BA210000}"/>
    <cellStyle name="Normal 19 26 26" xfId="17077" xr:uid="{00000000-0005-0000-0000-0000BB210000}"/>
    <cellStyle name="Normal 19 26 27" xfId="14074" xr:uid="{00000000-0005-0000-0000-0000BC210000}"/>
    <cellStyle name="Normal 19 26 28" xfId="12542" xr:uid="{00000000-0005-0000-0000-0000BD210000}"/>
    <cellStyle name="Normal 19 26 29" xfId="11021" xr:uid="{00000000-0005-0000-0000-0000BE210000}"/>
    <cellStyle name="Normal 19 26 3" xfId="27476" xr:uid="{00000000-0005-0000-0000-0000BF210000}"/>
    <cellStyle name="Normal 19 26 30" xfId="9534" xr:uid="{00000000-0005-0000-0000-0000C0210000}"/>
    <cellStyle name="Normal 19 26 31" xfId="8879" xr:uid="{00000000-0005-0000-0000-0000C1210000}"/>
    <cellStyle name="Normal 19 26 32" xfId="10913" xr:uid="{00000000-0005-0000-0000-0000C2210000}"/>
    <cellStyle name="Normal 19 26 33" xfId="7415" xr:uid="{00000000-0005-0000-0000-0000C3210000}"/>
    <cellStyle name="Normal 19 26 34" xfId="4492" xr:uid="{00000000-0005-0000-0000-0000C4210000}"/>
    <cellStyle name="Normal 19 26 35" xfId="11823" xr:uid="{00000000-0005-0000-0000-0000C5210000}"/>
    <cellStyle name="Normal 19 26 36" xfId="4412" xr:uid="{00000000-0005-0000-0000-0000C6210000}"/>
    <cellStyle name="Normal 19 26 37" xfId="6622" xr:uid="{00000000-0005-0000-0000-0000C7210000}"/>
    <cellStyle name="Normal 19 26 38" xfId="4886" xr:uid="{00000000-0005-0000-0000-0000C8210000}"/>
    <cellStyle name="Normal 19 26 39" xfId="4989" xr:uid="{00000000-0005-0000-0000-0000C9210000}"/>
    <cellStyle name="Normal 19 26 4" xfId="26879" xr:uid="{00000000-0005-0000-0000-0000CA210000}"/>
    <cellStyle name="Normal 19 26 40" xfId="3849" xr:uid="{00000000-0005-0000-0000-0000CB210000}"/>
    <cellStyle name="Normal 19 26 41" xfId="9105" xr:uid="{00000000-0005-0000-0000-0000CC210000}"/>
    <cellStyle name="Normal 19 26 42" xfId="9249" xr:uid="{00000000-0005-0000-0000-0000CD210000}"/>
    <cellStyle name="Normal 19 26 43" xfId="4616" xr:uid="{00000000-0005-0000-0000-0000CE210000}"/>
    <cellStyle name="Normal 19 26 5" xfId="26283" xr:uid="{00000000-0005-0000-0000-0000CF210000}"/>
    <cellStyle name="Normal 19 26 6" xfId="25687" xr:uid="{00000000-0005-0000-0000-0000D0210000}"/>
    <cellStyle name="Normal 19 26 7" xfId="25090" xr:uid="{00000000-0005-0000-0000-0000D1210000}"/>
    <cellStyle name="Normal 19 26 8" xfId="24493" xr:uid="{00000000-0005-0000-0000-0000D2210000}"/>
    <cellStyle name="Normal 19 26 9" xfId="23896" xr:uid="{00000000-0005-0000-0000-0000D3210000}"/>
    <cellStyle name="Normal 19 27" xfId="28091" xr:uid="{00000000-0005-0000-0000-0000D4210000}"/>
    <cellStyle name="Normal 19 28" xfId="27494" xr:uid="{00000000-0005-0000-0000-0000D5210000}"/>
    <cellStyle name="Normal 19 29" xfId="26897" xr:uid="{00000000-0005-0000-0000-0000D6210000}"/>
    <cellStyle name="Normal 19 3" xfId="28671" xr:uid="{00000000-0005-0000-0000-0000D7210000}"/>
    <cellStyle name="Normal 19 3 10" xfId="23298" xr:uid="{00000000-0005-0000-0000-0000D8210000}"/>
    <cellStyle name="Normal 19 3 11" xfId="22701" xr:uid="{00000000-0005-0000-0000-0000D9210000}"/>
    <cellStyle name="Normal 19 3 12" xfId="22105" xr:uid="{00000000-0005-0000-0000-0000DA210000}"/>
    <cellStyle name="Normal 19 3 13" xfId="21508" xr:uid="{00000000-0005-0000-0000-0000DB210000}"/>
    <cellStyle name="Normal 19 3 14" xfId="20911" xr:uid="{00000000-0005-0000-0000-0000DC210000}"/>
    <cellStyle name="Normal 19 3 15" xfId="20314" xr:uid="{00000000-0005-0000-0000-0000DD210000}"/>
    <cellStyle name="Normal 19 3 16" xfId="19718" xr:uid="{00000000-0005-0000-0000-0000DE210000}"/>
    <cellStyle name="Normal 19 3 17" xfId="19122" xr:uid="{00000000-0005-0000-0000-0000DF210000}"/>
    <cellStyle name="Normal 19 3 18" xfId="18529" xr:uid="{00000000-0005-0000-0000-0000E0210000}"/>
    <cellStyle name="Normal 19 3 19" xfId="17933" xr:uid="{00000000-0005-0000-0000-0000E1210000}"/>
    <cellStyle name="Normal 19 3 2" xfId="28072" xr:uid="{00000000-0005-0000-0000-0000E2210000}"/>
    <cellStyle name="Normal 19 3 20" xfId="14340" xr:uid="{00000000-0005-0000-0000-0000E3210000}"/>
    <cellStyle name="Normal 19 3 21" xfId="13962" xr:uid="{00000000-0005-0000-0000-0000E4210000}"/>
    <cellStyle name="Normal 19 3 22" xfId="15872" xr:uid="{00000000-0005-0000-0000-0000E5210000}"/>
    <cellStyle name="Normal 19 3 23" xfId="13600" xr:uid="{00000000-0005-0000-0000-0000E6210000}"/>
    <cellStyle name="Normal 19 3 24" xfId="13341" xr:uid="{00000000-0005-0000-0000-0000E7210000}"/>
    <cellStyle name="Normal 19 3 25" xfId="14107" xr:uid="{00000000-0005-0000-0000-0000E8210000}"/>
    <cellStyle name="Normal 19 3 26" xfId="14633" xr:uid="{00000000-0005-0000-0000-0000E9210000}"/>
    <cellStyle name="Normal 19 3 27" xfId="14913" xr:uid="{00000000-0005-0000-0000-0000EA210000}"/>
    <cellStyle name="Normal 19 3 28" xfId="12541" xr:uid="{00000000-0005-0000-0000-0000EB210000}"/>
    <cellStyle name="Normal 19 3 29" xfId="11251" xr:uid="{00000000-0005-0000-0000-0000EC210000}"/>
    <cellStyle name="Normal 19 3 3" xfId="27475" xr:uid="{00000000-0005-0000-0000-0000ED210000}"/>
    <cellStyle name="Normal 19 3 30" xfId="9976" xr:uid="{00000000-0005-0000-0000-0000EE210000}"/>
    <cellStyle name="Normal 19 3 31" xfId="11925" xr:uid="{00000000-0005-0000-0000-0000EF210000}"/>
    <cellStyle name="Normal 19 3 32" xfId="11841" xr:uid="{00000000-0005-0000-0000-0000F0210000}"/>
    <cellStyle name="Normal 19 3 33" xfId="7452" xr:uid="{00000000-0005-0000-0000-0000F1210000}"/>
    <cellStyle name="Normal 19 3 34" xfId="4741" xr:uid="{00000000-0005-0000-0000-0000F2210000}"/>
    <cellStyle name="Normal 19 3 35" xfId="4956" xr:uid="{00000000-0005-0000-0000-0000F3210000}"/>
    <cellStyle name="Normal 19 3 36" xfId="10832" xr:uid="{00000000-0005-0000-0000-0000F4210000}"/>
    <cellStyle name="Normal 19 3 37" xfId="5091" xr:uid="{00000000-0005-0000-0000-0000F5210000}"/>
    <cellStyle name="Normal 19 3 38" xfId="12081" xr:uid="{00000000-0005-0000-0000-0000F6210000}"/>
    <cellStyle name="Normal 19 3 39" xfId="4318" xr:uid="{00000000-0005-0000-0000-0000F7210000}"/>
    <cellStyle name="Normal 19 3 4" xfId="26878" xr:uid="{00000000-0005-0000-0000-0000F8210000}"/>
    <cellStyle name="Normal 19 3 40" xfId="4061" xr:uid="{00000000-0005-0000-0000-0000F9210000}"/>
    <cellStyle name="Normal 19 3 41" xfId="4597" xr:uid="{00000000-0005-0000-0000-0000FA210000}"/>
    <cellStyle name="Normal 19 3 42" xfId="7129" xr:uid="{00000000-0005-0000-0000-0000FB210000}"/>
    <cellStyle name="Normal 19 3 43" xfId="9365" xr:uid="{00000000-0005-0000-0000-0000FC210000}"/>
    <cellStyle name="Normal 19 3 44" xfId="3002" xr:uid="{00000000-0005-0000-0000-0000FD210000}"/>
    <cellStyle name="Normal 19 3 45" xfId="2758" xr:uid="{00000000-0005-0000-0000-0000FE210000}"/>
    <cellStyle name="Normal 19 3 46" xfId="2518" xr:uid="{00000000-0005-0000-0000-0000FF210000}"/>
    <cellStyle name="Normal 19 3 47" xfId="2278" xr:uid="{00000000-0005-0000-0000-000000220000}"/>
    <cellStyle name="Normal 19 3 48" xfId="2038" xr:uid="{00000000-0005-0000-0000-000001220000}"/>
    <cellStyle name="Normal 19 3 49" xfId="1798" xr:uid="{00000000-0005-0000-0000-000002220000}"/>
    <cellStyle name="Normal 19 3 5" xfId="26282" xr:uid="{00000000-0005-0000-0000-000003220000}"/>
    <cellStyle name="Normal 19 3 50" xfId="1559" xr:uid="{00000000-0005-0000-0000-000004220000}"/>
    <cellStyle name="Normal 19 3 51" xfId="1319" xr:uid="{00000000-0005-0000-0000-000005220000}"/>
    <cellStyle name="Normal 19 3 52" xfId="1079" xr:uid="{00000000-0005-0000-0000-000006220000}"/>
    <cellStyle name="Normal 19 3 53" xfId="839" xr:uid="{00000000-0005-0000-0000-000007220000}"/>
    <cellStyle name="Normal 19 3 54" xfId="599" xr:uid="{00000000-0005-0000-0000-000008220000}"/>
    <cellStyle name="Normal 19 3 55" xfId="360" xr:uid="{00000000-0005-0000-0000-000009220000}"/>
    <cellStyle name="Normal 19 3 56" xfId="122" xr:uid="{00000000-0005-0000-0000-00000A220000}"/>
    <cellStyle name="Normal 19 3 6" xfId="25686" xr:uid="{00000000-0005-0000-0000-00000B220000}"/>
    <cellStyle name="Normal 19 3 7" xfId="25089" xr:uid="{00000000-0005-0000-0000-00000C220000}"/>
    <cellStyle name="Normal 19 3 8" xfId="24492" xr:uid="{00000000-0005-0000-0000-00000D220000}"/>
    <cellStyle name="Normal 19 3 9" xfId="23895" xr:uid="{00000000-0005-0000-0000-00000E220000}"/>
    <cellStyle name="Normal 19 30" xfId="26301" xr:uid="{00000000-0005-0000-0000-00000F220000}"/>
    <cellStyle name="Normal 19 31" xfId="25705" xr:uid="{00000000-0005-0000-0000-000010220000}"/>
    <cellStyle name="Normal 19 32" xfId="25108" xr:uid="{00000000-0005-0000-0000-000011220000}"/>
    <cellStyle name="Normal 19 33" xfId="24511" xr:uid="{00000000-0005-0000-0000-000012220000}"/>
    <cellStyle name="Normal 19 34" xfId="23914" xr:uid="{00000000-0005-0000-0000-000013220000}"/>
    <cellStyle name="Normal 19 35" xfId="23317" xr:uid="{00000000-0005-0000-0000-000014220000}"/>
    <cellStyle name="Normal 19 36" xfId="22720" xr:uid="{00000000-0005-0000-0000-000015220000}"/>
    <cellStyle name="Normal 19 37" xfId="22124" xr:uid="{00000000-0005-0000-0000-000016220000}"/>
    <cellStyle name="Normal 19 38" xfId="21527" xr:uid="{00000000-0005-0000-0000-000017220000}"/>
    <cellStyle name="Normal 19 39" xfId="20930" xr:uid="{00000000-0005-0000-0000-000018220000}"/>
    <cellStyle name="Normal 19 4" xfId="28670" xr:uid="{00000000-0005-0000-0000-000019220000}"/>
    <cellStyle name="Normal 19 4 10" xfId="23297" xr:uid="{00000000-0005-0000-0000-00001A220000}"/>
    <cellStyle name="Normal 19 4 11" xfId="22700" xr:uid="{00000000-0005-0000-0000-00001B220000}"/>
    <cellStyle name="Normal 19 4 12" xfId="22104" xr:uid="{00000000-0005-0000-0000-00001C220000}"/>
    <cellStyle name="Normal 19 4 13" xfId="21507" xr:uid="{00000000-0005-0000-0000-00001D220000}"/>
    <cellStyle name="Normal 19 4 14" xfId="20910" xr:uid="{00000000-0005-0000-0000-00001E220000}"/>
    <cellStyle name="Normal 19 4 15" xfId="20313" xr:uid="{00000000-0005-0000-0000-00001F220000}"/>
    <cellStyle name="Normal 19 4 16" xfId="19717" xr:uid="{00000000-0005-0000-0000-000020220000}"/>
    <cellStyle name="Normal 19 4 17" xfId="19121" xr:uid="{00000000-0005-0000-0000-000021220000}"/>
    <cellStyle name="Normal 19 4 18" xfId="18528" xr:uid="{00000000-0005-0000-0000-000022220000}"/>
    <cellStyle name="Normal 19 4 19" xfId="17932" xr:uid="{00000000-0005-0000-0000-000023220000}"/>
    <cellStyle name="Normal 19 4 2" xfId="28071" xr:uid="{00000000-0005-0000-0000-000024220000}"/>
    <cellStyle name="Normal 19 4 20" xfId="14531" xr:uid="{00000000-0005-0000-0000-000025220000}"/>
    <cellStyle name="Normal 19 4 21" xfId="14133" xr:uid="{00000000-0005-0000-0000-000026220000}"/>
    <cellStyle name="Normal 19 4 22" xfId="13656" xr:uid="{00000000-0005-0000-0000-000027220000}"/>
    <cellStyle name="Normal 19 4 23" xfId="13490" xr:uid="{00000000-0005-0000-0000-000028220000}"/>
    <cellStyle name="Normal 19 4 24" xfId="17098" xr:uid="{00000000-0005-0000-0000-000029220000}"/>
    <cellStyle name="Normal 19 4 25" xfId="14810" xr:uid="{00000000-0005-0000-0000-00002A220000}"/>
    <cellStyle name="Normal 19 4 26" xfId="14589" xr:uid="{00000000-0005-0000-0000-00002B220000}"/>
    <cellStyle name="Normal 19 4 27" xfId="16409" xr:uid="{00000000-0005-0000-0000-00002C220000}"/>
    <cellStyle name="Normal 19 4 28" xfId="12540" xr:uid="{00000000-0005-0000-0000-00002D220000}"/>
    <cellStyle name="Normal 19 4 29" xfId="10343" xr:uid="{00000000-0005-0000-0000-00002E220000}"/>
    <cellStyle name="Normal 19 4 3" xfId="27474" xr:uid="{00000000-0005-0000-0000-00002F220000}"/>
    <cellStyle name="Normal 19 4 30" xfId="10207" xr:uid="{00000000-0005-0000-0000-000030220000}"/>
    <cellStyle name="Normal 19 4 31" xfId="6080" xr:uid="{00000000-0005-0000-0000-000031220000}"/>
    <cellStyle name="Normal 19 4 32" xfId="12059" xr:uid="{00000000-0005-0000-0000-000032220000}"/>
    <cellStyle name="Normal 19 4 33" xfId="11991" xr:uid="{00000000-0005-0000-0000-000033220000}"/>
    <cellStyle name="Normal 19 4 34" xfId="11150" xr:uid="{00000000-0005-0000-0000-000034220000}"/>
    <cellStyle name="Normal 19 4 35" xfId="6672" xr:uid="{00000000-0005-0000-0000-000035220000}"/>
    <cellStyle name="Normal 19 4 36" xfId="4868" xr:uid="{00000000-0005-0000-0000-000036220000}"/>
    <cellStyle name="Normal 19 4 37" xfId="4761" xr:uid="{00000000-0005-0000-0000-000037220000}"/>
    <cellStyle name="Normal 19 4 38" xfId="5426" xr:uid="{00000000-0005-0000-0000-000038220000}"/>
    <cellStyle name="Normal 19 4 39" xfId="10641" xr:uid="{00000000-0005-0000-0000-000039220000}"/>
    <cellStyle name="Normal 19 4 4" xfId="26877" xr:uid="{00000000-0005-0000-0000-00003A220000}"/>
    <cellStyle name="Normal 19 4 40" xfId="3810" xr:uid="{00000000-0005-0000-0000-00003B220000}"/>
    <cellStyle name="Normal 19 4 41" xfId="10220" xr:uid="{00000000-0005-0000-0000-00003C220000}"/>
    <cellStyle name="Normal 19 4 42" xfId="7889" xr:uid="{00000000-0005-0000-0000-00003D220000}"/>
    <cellStyle name="Normal 19 4 43" xfId="3655" xr:uid="{00000000-0005-0000-0000-00003E220000}"/>
    <cellStyle name="Normal 19 4 44" xfId="3001" xr:uid="{00000000-0005-0000-0000-00003F220000}"/>
    <cellStyle name="Normal 19 4 45" xfId="2757" xr:uid="{00000000-0005-0000-0000-000040220000}"/>
    <cellStyle name="Normal 19 4 46" xfId="2517" xr:uid="{00000000-0005-0000-0000-000041220000}"/>
    <cellStyle name="Normal 19 4 47" xfId="2277" xr:uid="{00000000-0005-0000-0000-000042220000}"/>
    <cellStyle name="Normal 19 4 48" xfId="2037" xr:uid="{00000000-0005-0000-0000-000043220000}"/>
    <cellStyle name="Normal 19 4 49" xfId="1797" xr:uid="{00000000-0005-0000-0000-000044220000}"/>
    <cellStyle name="Normal 19 4 5" xfId="26281" xr:uid="{00000000-0005-0000-0000-000045220000}"/>
    <cellStyle name="Normal 19 4 50" xfId="1558" xr:uid="{00000000-0005-0000-0000-000046220000}"/>
    <cellStyle name="Normal 19 4 51" xfId="1318" xr:uid="{00000000-0005-0000-0000-000047220000}"/>
    <cellStyle name="Normal 19 4 52" xfId="1078" xr:uid="{00000000-0005-0000-0000-000048220000}"/>
    <cellStyle name="Normal 19 4 53" xfId="838" xr:uid="{00000000-0005-0000-0000-000049220000}"/>
    <cellStyle name="Normal 19 4 54" xfId="598" xr:uid="{00000000-0005-0000-0000-00004A220000}"/>
    <cellStyle name="Normal 19 4 55" xfId="359" xr:uid="{00000000-0005-0000-0000-00004B220000}"/>
    <cellStyle name="Normal 19 4 56" xfId="121" xr:uid="{00000000-0005-0000-0000-00004C220000}"/>
    <cellStyle name="Normal 19 4 6" xfId="25685" xr:uid="{00000000-0005-0000-0000-00004D220000}"/>
    <cellStyle name="Normal 19 4 7" xfId="25088" xr:uid="{00000000-0005-0000-0000-00004E220000}"/>
    <cellStyle name="Normal 19 4 8" xfId="24491" xr:uid="{00000000-0005-0000-0000-00004F220000}"/>
    <cellStyle name="Normal 19 4 9" xfId="23894" xr:uid="{00000000-0005-0000-0000-000050220000}"/>
    <cellStyle name="Normal 19 40" xfId="20333" xr:uid="{00000000-0005-0000-0000-000051220000}"/>
    <cellStyle name="Normal 19 41" xfId="19737" xr:uid="{00000000-0005-0000-0000-000052220000}"/>
    <cellStyle name="Normal 19 42" xfId="19141" xr:uid="{00000000-0005-0000-0000-000053220000}"/>
    <cellStyle name="Normal 19 43" xfId="18548" xr:uid="{00000000-0005-0000-0000-000054220000}"/>
    <cellStyle name="Normal 19 44" xfId="17952" xr:uid="{00000000-0005-0000-0000-000055220000}"/>
    <cellStyle name="Normal 19 45" xfId="17317" xr:uid="{00000000-0005-0000-0000-000056220000}"/>
    <cellStyle name="Normal 19 46" xfId="15774" xr:uid="{00000000-0005-0000-0000-000057220000}"/>
    <cellStyle name="Normal 19 47" xfId="15466" xr:uid="{00000000-0005-0000-0000-000058220000}"/>
    <cellStyle name="Normal 19 48" xfId="16700" xr:uid="{00000000-0005-0000-0000-000059220000}"/>
    <cellStyle name="Normal 19 49" xfId="13470" xr:uid="{00000000-0005-0000-0000-00005A220000}"/>
    <cellStyle name="Normal 19 5" xfId="28669" xr:uid="{00000000-0005-0000-0000-00005B220000}"/>
    <cellStyle name="Normal 19 5 10" xfId="23296" xr:uid="{00000000-0005-0000-0000-00005C220000}"/>
    <cellStyle name="Normal 19 5 11" xfId="22699" xr:uid="{00000000-0005-0000-0000-00005D220000}"/>
    <cellStyle name="Normal 19 5 12" xfId="22103" xr:uid="{00000000-0005-0000-0000-00005E220000}"/>
    <cellStyle name="Normal 19 5 13" xfId="21506" xr:uid="{00000000-0005-0000-0000-00005F220000}"/>
    <cellStyle name="Normal 19 5 14" xfId="20909" xr:uid="{00000000-0005-0000-0000-000060220000}"/>
    <cellStyle name="Normal 19 5 15" xfId="20312" xr:uid="{00000000-0005-0000-0000-000061220000}"/>
    <cellStyle name="Normal 19 5 16" xfId="19716" xr:uid="{00000000-0005-0000-0000-000062220000}"/>
    <cellStyle name="Normal 19 5 17" xfId="19120" xr:uid="{00000000-0005-0000-0000-000063220000}"/>
    <cellStyle name="Normal 19 5 18" xfId="18527" xr:uid="{00000000-0005-0000-0000-000064220000}"/>
    <cellStyle name="Normal 19 5 19" xfId="17931" xr:uid="{00000000-0005-0000-0000-000065220000}"/>
    <cellStyle name="Normal 19 5 2" xfId="28070" xr:uid="{00000000-0005-0000-0000-000066220000}"/>
    <cellStyle name="Normal 19 5 20" xfId="14728" xr:uid="{00000000-0005-0000-0000-000067220000}"/>
    <cellStyle name="Normal 19 5 21" xfId="14514" xr:uid="{00000000-0005-0000-0000-000068220000}"/>
    <cellStyle name="Normal 19 5 22" xfId="13795" xr:uid="{00000000-0005-0000-0000-000069220000}"/>
    <cellStyle name="Normal 19 5 23" xfId="15002" xr:uid="{00000000-0005-0000-0000-00006A220000}"/>
    <cellStyle name="Normal 19 5 24" xfId="17159" xr:uid="{00000000-0005-0000-0000-00006B220000}"/>
    <cellStyle name="Normal 19 5 25" xfId="17458" xr:uid="{00000000-0005-0000-0000-00006C220000}"/>
    <cellStyle name="Normal 19 5 26" xfId="15816" xr:uid="{00000000-0005-0000-0000-00006D220000}"/>
    <cellStyle name="Normal 19 5 27" xfId="13350" xr:uid="{00000000-0005-0000-0000-00006E220000}"/>
    <cellStyle name="Normal 19 5 28" xfId="12539" xr:uid="{00000000-0005-0000-0000-00006F220000}"/>
    <cellStyle name="Normal 19 5 29" xfId="10571" xr:uid="{00000000-0005-0000-0000-000070220000}"/>
    <cellStyle name="Normal 19 5 3" xfId="27473" xr:uid="{00000000-0005-0000-0000-000071220000}"/>
    <cellStyle name="Normal 19 5 30" xfId="10423" xr:uid="{00000000-0005-0000-0000-000072220000}"/>
    <cellStyle name="Normal 19 5 31" xfId="6832" xr:uid="{00000000-0005-0000-0000-000073220000}"/>
    <cellStyle name="Normal 19 5 32" xfId="11079" xr:uid="{00000000-0005-0000-0000-000074220000}"/>
    <cellStyle name="Normal 19 5 33" xfId="11202" xr:uid="{00000000-0005-0000-0000-000075220000}"/>
    <cellStyle name="Normal 19 5 34" xfId="6756" xr:uid="{00000000-0005-0000-0000-000076220000}"/>
    <cellStyle name="Normal 19 5 35" xfId="9148" xr:uid="{00000000-0005-0000-0000-000077220000}"/>
    <cellStyle name="Normal 19 5 36" xfId="8693" xr:uid="{00000000-0005-0000-0000-000078220000}"/>
    <cellStyle name="Normal 19 5 37" xfId="9494" xr:uid="{00000000-0005-0000-0000-000079220000}"/>
    <cellStyle name="Normal 19 5 38" xfId="5918" xr:uid="{00000000-0005-0000-0000-00007A220000}"/>
    <cellStyle name="Normal 19 5 39" xfId="10440" xr:uid="{00000000-0005-0000-0000-00007B220000}"/>
    <cellStyle name="Normal 19 5 4" xfId="26876" xr:uid="{00000000-0005-0000-0000-00007C220000}"/>
    <cellStyle name="Normal 19 5 40" xfId="4342" xr:uid="{00000000-0005-0000-0000-00007D220000}"/>
    <cellStyle name="Normal 19 5 41" xfId="8250" xr:uid="{00000000-0005-0000-0000-00007E220000}"/>
    <cellStyle name="Normal 19 5 42" xfId="3138" xr:uid="{00000000-0005-0000-0000-00007F220000}"/>
    <cellStyle name="Normal 19 5 43" xfId="3204" xr:uid="{00000000-0005-0000-0000-000080220000}"/>
    <cellStyle name="Normal 19 5 44" xfId="3000" xr:uid="{00000000-0005-0000-0000-000081220000}"/>
    <cellStyle name="Normal 19 5 45" xfId="2756" xr:uid="{00000000-0005-0000-0000-000082220000}"/>
    <cellStyle name="Normal 19 5 46" xfId="2516" xr:uid="{00000000-0005-0000-0000-000083220000}"/>
    <cellStyle name="Normal 19 5 47" xfId="2276" xr:uid="{00000000-0005-0000-0000-000084220000}"/>
    <cellStyle name="Normal 19 5 48" xfId="2036" xr:uid="{00000000-0005-0000-0000-000085220000}"/>
    <cellStyle name="Normal 19 5 49" xfId="1796" xr:uid="{00000000-0005-0000-0000-000086220000}"/>
    <cellStyle name="Normal 19 5 5" xfId="26280" xr:uid="{00000000-0005-0000-0000-000087220000}"/>
    <cellStyle name="Normal 19 5 50" xfId="1557" xr:uid="{00000000-0005-0000-0000-000088220000}"/>
    <cellStyle name="Normal 19 5 51" xfId="1317" xr:uid="{00000000-0005-0000-0000-000089220000}"/>
    <cellStyle name="Normal 19 5 52" xfId="1077" xr:uid="{00000000-0005-0000-0000-00008A220000}"/>
    <cellStyle name="Normal 19 5 53" xfId="837" xr:uid="{00000000-0005-0000-0000-00008B220000}"/>
    <cellStyle name="Normal 19 5 54" xfId="597" xr:uid="{00000000-0005-0000-0000-00008C220000}"/>
    <cellStyle name="Normal 19 5 55" xfId="358" xr:uid="{00000000-0005-0000-0000-00008D220000}"/>
    <cellStyle name="Normal 19 5 56" xfId="120" xr:uid="{00000000-0005-0000-0000-00008E220000}"/>
    <cellStyle name="Normal 19 5 6" xfId="25684" xr:uid="{00000000-0005-0000-0000-00008F220000}"/>
    <cellStyle name="Normal 19 5 7" xfId="25087" xr:uid="{00000000-0005-0000-0000-000090220000}"/>
    <cellStyle name="Normal 19 5 8" xfId="24490" xr:uid="{00000000-0005-0000-0000-000091220000}"/>
    <cellStyle name="Normal 19 5 9" xfId="23893" xr:uid="{00000000-0005-0000-0000-000092220000}"/>
    <cellStyle name="Normal 19 50" xfId="15283" xr:uid="{00000000-0005-0000-0000-000093220000}"/>
    <cellStyle name="Normal 19 51" xfId="16005" xr:uid="{00000000-0005-0000-0000-000094220000}"/>
    <cellStyle name="Normal 19 52" xfId="16780" xr:uid="{00000000-0005-0000-0000-000095220000}"/>
    <cellStyle name="Normal 19 53" xfId="12560" xr:uid="{00000000-0005-0000-0000-000096220000}"/>
    <cellStyle name="Normal 19 54" xfId="8084" xr:uid="{00000000-0005-0000-0000-000097220000}"/>
    <cellStyle name="Normal 19 55" xfId="10531" xr:uid="{00000000-0005-0000-0000-000098220000}"/>
    <cellStyle name="Normal 19 56" xfId="6798" xr:uid="{00000000-0005-0000-0000-000099220000}"/>
    <cellStyle name="Normal 19 57" xfId="8501" xr:uid="{00000000-0005-0000-0000-00009A220000}"/>
    <cellStyle name="Normal 19 58" xfId="6388" xr:uid="{00000000-0005-0000-0000-00009B220000}"/>
    <cellStyle name="Normal 19 59" xfId="11176" xr:uid="{00000000-0005-0000-0000-00009C220000}"/>
    <cellStyle name="Normal 19 6" xfId="28668" xr:uid="{00000000-0005-0000-0000-00009D220000}"/>
    <cellStyle name="Normal 19 6 10" xfId="23295" xr:uid="{00000000-0005-0000-0000-00009E220000}"/>
    <cellStyle name="Normal 19 6 11" xfId="22698" xr:uid="{00000000-0005-0000-0000-00009F220000}"/>
    <cellStyle name="Normal 19 6 12" xfId="22102" xr:uid="{00000000-0005-0000-0000-0000A0220000}"/>
    <cellStyle name="Normal 19 6 13" xfId="21505" xr:uid="{00000000-0005-0000-0000-0000A1220000}"/>
    <cellStyle name="Normal 19 6 14" xfId="20908" xr:uid="{00000000-0005-0000-0000-0000A2220000}"/>
    <cellStyle name="Normal 19 6 15" xfId="20311" xr:uid="{00000000-0005-0000-0000-0000A3220000}"/>
    <cellStyle name="Normal 19 6 16" xfId="19715" xr:uid="{00000000-0005-0000-0000-0000A4220000}"/>
    <cellStyle name="Normal 19 6 17" xfId="19119" xr:uid="{00000000-0005-0000-0000-0000A5220000}"/>
    <cellStyle name="Normal 19 6 18" xfId="18526" xr:uid="{00000000-0005-0000-0000-0000A6220000}"/>
    <cellStyle name="Normal 19 6 19" xfId="17930" xr:uid="{00000000-0005-0000-0000-0000A7220000}"/>
    <cellStyle name="Normal 19 6 2" xfId="28069" xr:uid="{00000000-0005-0000-0000-0000A8220000}"/>
    <cellStyle name="Normal 19 6 20" xfId="14930" xr:uid="{00000000-0005-0000-0000-0000A9220000}"/>
    <cellStyle name="Normal 19 6 21" xfId="14508" xr:uid="{00000000-0005-0000-0000-0000AA220000}"/>
    <cellStyle name="Normal 19 6 22" xfId="13944" xr:uid="{00000000-0005-0000-0000-0000AB220000}"/>
    <cellStyle name="Normal 19 6 23" xfId="14070" xr:uid="{00000000-0005-0000-0000-0000AC220000}"/>
    <cellStyle name="Normal 19 6 24" xfId="13909" xr:uid="{00000000-0005-0000-0000-0000AD220000}"/>
    <cellStyle name="Normal 19 6 25" xfId="16216" xr:uid="{00000000-0005-0000-0000-0000AE220000}"/>
    <cellStyle name="Normal 19 6 26" xfId="15684" xr:uid="{00000000-0005-0000-0000-0000AF220000}"/>
    <cellStyle name="Normal 19 6 27" xfId="17307" xr:uid="{00000000-0005-0000-0000-0000B0220000}"/>
    <cellStyle name="Normal 19 6 28" xfId="12538" xr:uid="{00000000-0005-0000-0000-0000B1220000}"/>
    <cellStyle name="Normal 19 6 29" xfId="10786" xr:uid="{00000000-0005-0000-0000-0000B2220000}"/>
    <cellStyle name="Normal 19 6 3" xfId="27472" xr:uid="{00000000-0005-0000-0000-0000B3220000}"/>
    <cellStyle name="Normal 19 6 30" xfId="10645" xr:uid="{00000000-0005-0000-0000-0000B4220000}"/>
    <cellStyle name="Normal 19 6 31" xfId="7704" xr:uid="{00000000-0005-0000-0000-0000B5220000}"/>
    <cellStyle name="Normal 19 6 32" xfId="8172" xr:uid="{00000000-0005-0000-0000-0000B6220000}"/>
    <cellStyle name="Normal 19 6 33" xfId="8399" xr:uid="{00000000-0005-0000-0000-0000B7220000}"/>
    <cellStyle name="Normal 19 6 34" xfId="4720" xr:uid="{00000000-0005-0000-0000-0000B8220000}"/>
    <cellStyle name="Normal 19 6 35" xfId="6522" xr:uid="{00000000-0005-0000-0000-0000B9220000}"/>
    <cellStyle name="Normal 19 6 36" xfId="4285" xr:uid="{00000000-0005-0000-0000-0000BA220000}"/>
    <cellStyle name="Normal 19 6 37" xfId="4856" xr:uid="{00000000-0005-0000-0000-0000BB220000}"/>
    <cellStyle name="Normal 19 6 38" xfId="5118" xr:uid="{00000000-0005-0000-0000-0000BC220000}"/>
    <cellStyle name="Normal 19 6 39" xfId="10867" xr:uid="{00000000-0005-0000-0000-0000BD220000}"/>
    <cellStyle name="Normal 19 6 4" xfId="26875" xr:uid="{00000000-0005-0000-0000-0000BE220000}"/>
    <cellStyle name="Normal 19 6 40" xfId="10392" xr:uid="{00000000-0005-0000-0000-0000BF220000}"/>
    <cellStyle name="Normal 19 6 41" xfId="4567" xr:uid="{00000000-0005-0000-0000-0000C0220000}"/>
    <cellStyle name="Normal 19 6 42" xfId="4262" xr:uid="{00000000-0005-0000-0000-0000C1220000}"/>
    <cellStyle name="Normal 19 6 43" xfId="5153" xr:uid="{00000000-0005-0000-0000-0000C2220000}"/>
    <cellStyle name="Normal 19 6 44" xfId="2999" xr:uid="{00000000-0005-0000-0000-0000C3220000}"/>
    <cellStyle name="Normal 19 6 45" xfId="2755" xr:uid="{00000000-0005-0000-0000-0000C4220000}"/>
    <cellStyle name="Normal 19 6 46" xfId="2515" xr:uid="{00000000-0005-0000-0000-0000C5220000}"/>
    <cellStyle name="Normal 19 6 47" xfId="2275" xr:uid="{00000000-0005-0000-0000-0000C6220000}"/>
    <cellStyle name="Normal 19 6 48" xfId="2035" xr:uid="{00000000-0005-0000-0000-0000C7220000}"/>
    <cellStyle name="Normal 19 6 49" xfId="1795" xr:uid="{00000000-0005-0000-0000-0000C8220000}"/>
    <cellStyle name="Normal 19 6 5" xfId="26279" xr:uid="{00000000-0005-0000-0000-0000C9220000}"/>
    <cellStyle name="Normal 19 6 50" xfId="1556" xr:uid="{00000000-0005-0000-0000-0000CA220000}"/>
    <cellStyle name="Normal 19 6 51" xfId="1316" xr:uid="{00000000-0005-0000-0000-0000CB220000}"/>
    <cellStyle name="Normal 19 6 52" xfId="1076" xr:uid="{00000000-0005-0000-0000-0000CC220000}"/>
    <cellStyle name="Normal 19 6 53" xfId="836" xr:uid="{00000000-0005-0000-0000-0000CD220000}"/>
    <cellStyle name="Normal 19 6 54" xfId="596" xr:uid="{00000000-0005-0000-0000-0000CE220000}"/>
    <cellStyle name="Normal 19 6 55" xfId="357" xr:uid="{00000000-0005-0000-0000-0000CF220000}"/>
    <cellStyle name="Normal 19 6 56" xfId="119" xr:uid="{00000000-0005-0000-0000-0000D0220000}"/>
    <cellStyle name="Normal 19 6 6" xfId="25683" xr:uid="{00000000-0005-0000-0000-0000D1220000}"/>
    <cellStyle name="Normal 19 6 7" xfId="25086" xr:uid="{00000000-0005-0000-0000-0000D2220000}"/>
    <cellStyle name="Normal 19 6 8" xfId="24489" xr:uid="{00000000-0005-0000-0000-0000D3220000}"/>
    <cellStyle name="Normal 19 6 9" xfId="23892" xr:uid="{00000000-0005-0000-0000-0000D4220000}"/>
    <cellStyle name="Normal 19 60" xfId="9151" xr:uid="{00000000-0005-0000-0000-0000D5220000}"/>
    <cellStyle name="Normal 19 61" xfId="4778" xr:uid="{00000000-0005-0000-0000-0000D6220000}"/>
    <cellStyle name="Normal 19 62" xfId="4113" xr:uid="{00000000-0005-0000-0000-0000D7220000}"/>
    <cellStyle name="Normal 19 63" xfId="6467" xr:uid="{00000000-0005-0000-0000-0000D8220000}"/>
    <cellStyle name="Normal 19 64" xfId="12111" xr:uid="{00000000-0005-0000-0000-0000D9220000}"/>
    <cellStyle name="Normal 19 65" xfId="5100" xr:uid="{00000000-0005-0000-0000-0000DA220000}"/>
    <cellStyle name="Normal 19 66" xfId="3893" xr:uid="{00000000-0005-0000-0000-0000DB220000}"/>
    <cellStyle name="Normal 19 67" xfId="4107" xr:uid="{00000000-0005-0000-0000-0000DC220000}"/>
    <cellStyle name="Normal 19 68" xfId="3195" xr:uid="{00000000-0005-0000-0000-0000DD220000}"/>
    <cellStyle name="Normal 19 7" xfId="28667" xr:uid="{00000000-0005-0000-0000-0000DE220000}"/>
    <cellStyle name="Normal 19 7 10" xfId="23294" xr:uid="{00000000-0005-0000-0000-0000DF220000}"/>
    <cellStyle name="Normal 19 7 11" xfId="22697" xr:uid="{00000000-0005-0000-0000-0000E0220000}"/>
    <cellStyle name="Normal 19 7 12" xfId="22101" xr:uid="{00000000-0005-0000-0000-0000E1220000}"/>
    <cellStyle name="Normal 19 7 13" xfId="21504" xr:uid="{00000000-0005-0000-0000-0000E2220000}"/>
    <cellStyle name="Normal 19 7 14" xfId="20907" xr:uid="{00000000-0005-0000-0000-0000E3220000}"/>
    <cellStyle name="Normal 19 7 15" xfId="20310" xr:uid="{00000000-0005-0000-0000-0000E4220000}"/>
    <cellStyle name="Normal 19 7 16" xfId="19714" xr:uid="{00000000-0005-0000-0000-0000E5220000}"/>
    <cellStyle name="Normal 19 7 17" xfId="19118" xr:uid="{00000000-0005-0000-0000-0000E6220000}"/>
    <cellStyle name="Normal 19 7 18" xfId="18525" xr:uid="{00000000-0005-0000-0000-0000E7220000}"/>
    <cellStyle name="Normal 19 7 19" xfId="17929" xr:uid="{00000000-0005-0000-0000-0000E8220000}"/>
    <cellStyle name="Normal 19 7 2" xfId="28068" xr:uid="{00000000-0005-0000-0000-0000E9220000}"/>
    <cellStyle name="Normal 19 7 20" xfId="15137" xr:uid="{00000000-0005-0000-0000-0000EA220000}"/>
    <cellStyle name="Normal 19 7 21" xfId="14302" xr:uid="{00000000-0005-0000-0000-0000EB220000}"/>
    <cellStyle name="Normal 19 7 22" xfId="15913" xr:uid="{00000000-0005-0000-0000-0000EC220000}"/>
    <cellStyle name="Normal 19 7 23" xfId="15575" xr:uid="{00000000-0005-0000-0000-0000ED220000}"/>
    <cellStyle name="Normal 19 7 24" xfId="13575" xr:uid="{00000000-0005-0000-0000-0000EE220000}"/>
    <cellStyle name="Normal 19 7 25" xfId="12980" xr:uid="{00000000-0005-0000-0000-0000EF220000}"/>
    <cellStyle name="Normal 19 7 26" xfId="15098" xr:uid="{00000000-0005-0000-0000-0000F0220000}"/>
    <cellStyle name="Normal 19 7 27" xfId="14657" xr:uid="{00000000-0005-0000-0000-0000F1220000}"/>
    <cellStyle name="Normal 19 7 28" xfId="12537" xr:uid="{00000000-0005-0000-0000-0000F2220000}"/>
    <cellStyle name="Normal 19 7 29" xfId="11005" xr:uid="{00000000-0005-0000-0000-0000F3220000}"/>
    <cellStyle name="Normal 19 7 3" xfId="27471" xr:uid="{00000000-0005-0000-0000-0000F4220000}"/>
    <cellStyle name="Normal 19 7 30" xfId="11532" xr:uid="{00000000-0005-0000-0000-0000F5220000}"/>
    <cellStyle name="Normal 19 7 31" xfId="11311" xr:uid="{00000000-0005-0000-0000-0000F6220000}"/>
    <cellStyle name="Normal 19 7 32" xfId="5769" xr:uid="{00000000-0005-0000-0000-0000F7220000}"/>
    <cellStyle name="Normal 19 7 33" xfId="6091" xr:uid="{00000000-0005-0000-0000-0000F8220000}"/>
    <cellStyle name="Normal 19 7 34" xfId="6152" xr:uid="{00000000-0005-0000-0000-0000F9220000}"/>
    <cellStyle name="Normal 19 7 35" xfId="10636" xr:uid="{00000000-0005-0000-0000-0000FA220000}"/>
    <cellStyle name="Normal 19 7 36" xfId="5774" xr:uid="{00000000-0005-0000-0000-0000FB220000}"/>
    <cellStyle name="Normal 19 7 37" xfId="7978" xr:uid="{00000000-0005-0000-0000-0000FC220000}"/>
    <cellStyle name="Normal 19 7 38" xfId="12020" xr:uid="{00000000-0005-0000-0000-0000FD220000}"/>
    <cellStyle name="Normal 19 7 39" xfId="7955" xr:uid="{00000000-0005-0000-0000-0000FE220000}"/>
    <cellStyle name="Normal 19 7 4" xfId="26874" xr:uid="{00000000-0005-0000-0000-0000FF220000}"/>
    <cellStyle name="Normal 19 7 40" xfId="3746" xr:uid="{00000000-0005-0000-0000-000000230000}"/>
    <cellStyle name="Normal 19 7 41" xfId="7887" xr:uid="{00000000-0005-0000-0000-000001230000}"/>
    <cellStyle name="Normal 19 7 42" xfId="3925" xr:uid="{00000000-0005-0000-0000-000002230000}"/>
    <cellStyle name="Normal 19 7 43" xfId="10386" xr:uid="{00000000-0005-0000-0000-000003230000}"/>
    <cellStyle name="Normal 19 7 44" xfId="2998" xr:uid="{00000000-0005-0000-0000-000004230000}"/>
    <cellStyle name="Normal 19 7 45" xfId="2754" xr:uid="{00000000-0005-0000-0000-000005230000}"/>
    <cellStyle name="Normal 19 7 46" xfId="2514" xr:uid="{00000000-0005-0000-0000-000006230000}"/>
    <cellStyle name="Normal 19 7 47" xfId="2274" xr:uid="{00000000-0005-0000-0000-000007230000}"/>
    <cellStyle name="Normal 19 7 48" xfId="2034" xr:uid="{00000000-0005-0000-0000-000008230000}"/>
    <cellStyle name="Normal 19 7 49" xfId="1794" xr:uid="{00000000-0005-0000-0000-000009230000}"/>
    <cellStyle name="Normal 19 7 5" xfId="26278" xr:uid="{00000000-0005-0000-0000-00000A230000}"/>
    <cellStyle name="Normal 19 7 50" xfId="1555" xr:uid="{00000000-0005-0000-0000-00000B230000}"/>
    <cellStyle name="Normal 19 7 51" xfId="1315" xr:uid="{00000000-0005-0000-0000-00000C230000}"/>
    <cellStyle name="Normal 19 7 52" xfId="1075" xr:uid="{00000000-0005-0000-0000-00000D230000}"/>
    <cellStyle name="Normal 19 7 53" xfId="835" xr:uid="{00000000-0005-0000-0000-00000E230000}"/>
    <cellStyle name="Normal 19 7 54" xfId="595" xr:uid="{00000000-0005-0000-0000-00000F230000}"/>
    <cellStyle name="Normal 19 7 55" xfId="356" xr:uid="{00000000-0005-0000-0000-000010230000}"/>
    <cellStyle name="Normal 19 7 56" xfId="118" xr:uid="{00000000-0005-0000-0000-000011230000}"/>
    <cellStyle name="Normal 19 7 6" xfId="25682" xr:uid="{00000000-0005-0000-0000-000012230000}"/>
    <cellStyle name="Normal 19 7 7" xfId="25085" xr:uid="{00000000-0005-0000-0000-000013230000}"/>
    <cellStyle name="Normal 19 7 8" xfId="24488" xr:uid="{00000000-0005-0000-0000-000014230000}"/>
    <cellStyle name="Normal 19 7 9" xfId="23891" xr:uid="{00000000-0005-0000-0000-000015230000}"/>
    <cellStyle name="Normal 19 8" xfId="28666" xr:uid="{00000000-0005-0000-0000-000016230000}"/>
    <cellStyle name="Normal 19 8 10" xfId="23293" xr:uid="{00000000-0005-0000-0000-000017230000}"/>
    <cellStyle name="Normal 19 8 11" xfId="22696" xr:uid="{00000000-0005-0000-0000-000018230000}"/>
    <cellStyle name="Normal 19 8 12" xfId="22100" xr:uid="{00000000-0005-0000-0000-000019230000}"/>
    <cellStyle name="Normal 19 8 13" xfId="21503" xr:uid="{00000000-0005-0000-0000-00001A230000}"/>
    <cellStyle name="Normal 19 8 14" xfId="20906" xr:uid="{00000000-0005-0000-0000-00001B230000}"/>
    <cellStyle name="Normal 19 8 15" xfId="20309" xr:uid="{00000000-0005-0000-0000-00001C230000}"/>
    <cellStyle name="Normal 19 8 16" xfId="19713" xr:uid="{00000000-0005-0000-0000-00001D230000}"/>
    <cellStyle name="Normal 19 8 17" xfId="19117" xr:uid="{00000000-0005-0000-0000-00001E230000}"/>
    <cellStyle name="Normal 19 8 18" xfId="18524" xr:uid="{00000000-0005-0000-0000-00001F230000}"/>
    <cellStyle name="Normal 19 8 19" xfId="17928" xr:uid="{00000000-0005-0000-0000-000020230000}"/>
    <cellStyle name="Normal 19 8 2" xfId="28067" xr:uid="{00000000-0005-0000-0000-000021230000}"/>
    <cellStyle name="Normal 19 8 20" xfId="15332" xr:uid="{00000000-0005-0000-0000-000022230000}"/>
    <cellStyle name="Normal 19 8 21" xfId="14293" xr:uid="{00000000-0005-0000-0000-000023230000}"/>
    <cellStyle name="Normal 19 8 22" xfId="16118" xr:uid="{00000000-0005-0000-0000-000024230000}"/>
    <cellStyle name="Normal 19 8 23" xfId="17483" xr:uid="{00000000-0005-0000-0000-000025230000}"/>
    <cellStyle name="Normal 19 8 24" xfId="16573" xr:uid="{00000000-0005-0000-0000-000026230000}"/>
    <cellStyle name="Normal 19 8 25" xfId="15110" xr:uid="{00000000-0005-0000-0000-000027230000}"/>
    <cellStyle name="Normal 19 8 26" xfId="16579" xr:uid="{00000000-0005-0000-0000-000028230000}"/>
    <cellStyle name="Normal 19 8 27" xfId="13840" xr:uid="{00000000-0005-0000-0000-000029230000}"/>
    <cellStyle name="Normal 19 8 28" xfId="12536" xr:uid="{00000000-0005-0000-0000-00002A230000}"/>
    <cellStyle name="Normal 19 8 29" xfId="11233" xr:uid="{00000000-0005-0000-0000-00002B230000}"/>
    <cellStyle name="Normal 19 8 3" xfId="27470" xr:uid="{00000000-0005-0000-0000-00002C230000}"/>
    <cellStyle name="Normal 19 8 30" xfId="6995" xr:uid="{00000000-0005-0000-0000-00002D230000}"/>
    <cellStyle name="Normal 19 8 31" xfId="9537" xr:uid="{00000000-0005-0000-0000-00002E230000}"/>
    <cellStyle name="Normal 19 8 32" xfId="8930" xr:uid="{00000000-0005-0000-0000-00002F230000}"/>
    <cellStyle name="Normal 19 8 33" xfId="11136" xr:uid="{00000000-0005-0000-0000-000030230000}"/>
    <cellStyle name="Normal 19 8 34" xfId="7321" xr:uid="{00000000-0005-0000-0000-000031230000}"/>
    <cellStyle name="Normal 19 8 35" xfId="11437" xr:uid="{00000000-0005-0000-0000-000032230000}"/>
    <cellStyle name="Normal 19 8 36" xfId="8818" xr:uid="{00000000-0005-0000-0000-000033230000}"/>
    <cellStyle name="Normal 19 8 37" xfId="4391" xr:uid="{00000000-0005-0000-0000-000034230000}"/>
    <cellStyle name="Normal 19 8 38" xfId="4214" xr:uid="{00000000-0005-0000-0000-000035230000}"/>
    <cellStyle name="Normal 19 8 39" xfId="8758" xr:uid="{00000000-0005-0000-0000-000036230000}"/>
    <cellStyle name="Normal 19 8 4" xfId="26873" xr:uid="{00000000-0005-0000-0000-000037230000}"/>
    <cellStyle name="Normal 19 8 40" xfId="10232" xr:uid="{00000000-0005-0000-0000-000038230000}"/>
    <cellStyle name="Normal 19 8 41" xfId="5071" xr:uid="{00000000-0005-0000-0000-000039230000}"/>
    <cellStyle name="Normal 19 8 42" xfId="3643" xr:uid="{00000000-0005-0000-0000-00003A230000}"/>
    <cellStyle name="Normal 19 8 43" xfId="4472" xr:uid="{00000000-0005-0000-0000-00003B230000}"/>
    <cellStyle name="Normal 19 8 44" xfId="2997" xr:uid="{00000000-0005-0000-0000-00003C230000}"/>
    <cellStyle name="Normal 19 8 45" xfId="2753" xr:uid="{00000000-0005-0000-0000-00003D230000}"/>
    <cellStyle name="Normal 19 8 46" xfId="2513" xr:uid="{00000000-0005-0000-0000-00003E230000}"/>
    <cellStyle name="Normal 19 8 47" xfId="2273" xr:uid="{00000000-0005-0000-0000-00003F230000}"/>
    <cellStyle name="Normal 19 8 48" xfId="2033" xr:uid="{00000000-0005-0000-0000-000040230000}"/>
    <cellStyle name="Normal 19 8 49" xfId="1793" xr:uid="{00000000-0005-0000-0000-000041230000}"/>
    <cellStyle name="Normal 19 8 5" xfId="26277" xr:uid="{00000000-0005-0000-0000-000042230000}"/>
    <cellStyle name="Normal 19 8 50" xfId="1554" xr:uid="{00000000-0005-0000-0000-000043230000}"/>
    <cellStyle name="Normal 19 8 51" xfId="1314" xr:uid="{00000000-0005-0000-0000-000044230000}"/>
    <cellStyle name="Normal 19 8 52" xfId="1074" xr:uid="{00000000-0005-0000-0000-000045230000}"/>
    <cellStyle name="Normal 19 8 53" xfId="834" xr:uid="{00000000-0005-0000-0000-000046230000}"/>
    <cellStyle name="Normal 19 8 54" xfId="594" xr:uid="{00000000-0005-0000-0000-000047230000}"/>
    <cellStyle name="Normal 19 8 55" xfId="355" xr:uid="{00000000-0005-0000-0000-000048230000}"/>
    <cellStyle name="Normal 19 8 56" xfId="117" xr:uid="{00000000-0005-0000-0000-000049230000}"/>
    <cellStyle name="Normal 19 8 6" xfId="25681" xr:uid="{00000000-0005-0000-0000-00004A230000}"/>
    <cellStyle name="Normal 19 8 7" xfId="25084" xr:uid="{00000000-0005-0000-0000-00004B230000}"/>
    <cellStyle name="Normal 19 8 8" xfId="24487" xr:uid="{00000000-0005-0000-0000-00004C230000}"/>
    <cellStyle name="Normal 19 8 9" xfId="23890" xr:uid="{00000000-0005-0000-0000-00004D230000}"/>
    <cellStyle name="Normal 19 9" xfId="28665" xr:uid="{00000000-0005-0000-0000-00004E230000}"/>
    <cellStyle name="Normal 19 9 10" xfId="23292" xr:uid="{00000000-0005-0000-0000-00004F230000}"/>
    <cellStyle name="Normal 19 9 11" xfId="22695" xr:uid="{00000000-0005-0000-0000-000050230000}"/>
    <cellStyle name="Normal 19 9 12" xfId="22099" xr:uid="{00000000-0005-0000-0000-000051230000}"/>
    <cellStyle name="Normal 19 9 13" xfId="21502" xr:uid="{00000000-0005-0000-0000-000052230000}"/>
    <cellStyle name="Normal 19 9 14" xfId="20905" xr:uid="{00000000-0005-0000-0000-000053230000}"/>
    <cellStyle name="Normal 19 9 15" xfId="20308" xr:uid="{00000000-0005-0000-0000-000054230000}"/>
    <cellStyle name="Normal 19 9 16" xfId="19712" xr:uid="{00000000-0005-0000-0000-000055230000}"/>
    <cellStyle name="Normal 19 9 17" xfId="19116" xr:uid="{00000000-0005-0000-0000-000056230000}"/>
    <cellStyle name="Normal 19 9 18" xfId="18523" xr:uid="{00000000-0005-0000-0000-000057230000}"/>
    <cellStyle name="Normal 19 9 19" xfId="17927" xr:uid="{00000000-0005-0000-0000-000058230000}"/>
    <cellStyle name="Normal 19 9 2" xfId="28066" xr:uid="{00000000-0005-0000-0000-000059230000}"/>
    <cellStyle name="Normal 19 9 20" xfId="15539" xr:uid="{00000000-0005-0000-0000-00005A230000}"/>
    <cellStyle name="Normal 19 9 21" xfId="17266" xr:uid="{00000000-0005-0000-0000-00005B230000}"/>
    <cellStyle name="Normal 19 9 22" xfId="14097" xr:uid="{00000000-0005-0000-0000-00005C230000}"/>
    <cellStyle name="Normal 19 9 23" xfId="14842" xr:uid="{00000000-0005-0000-0000-00005D230000}"/>
    <cellStyle name="Normal 19 9 24" xfId="14040" xr:uid="{00000000-0005-0000-0000-00005E230000}"/>
    <cellStyle name="Normal 19 9 25" xfId="16220" xr:uid="{00000000-0005-0000-0000-00005F230000}"/>
    <cellStyle name="Normal 19 9 26" xfId="14995" xr:uid="{00000000-0005-0000-0000-000060230000}"/>
    <cellStyle name="Normal 19 9 27" xfId="12798" xr:uid="{00000000-0005-0000-0000-000061230000}"/>
    <cellStyle name="Normal 19 9 28" xfId="12535" xr:uid="{00000000-0005-0000-0000-000062230000}"/>
    <cellStyle name="Normal 19 9 29" xfId="11466" xr:uid="{00000000-0005-0000-0000-000063230000}"/>
    <cellStyle name="Normal 19 9 3" xfId="27469" xr:uid="{00000000-0005-0000-0000-000064230000}"/>
    <cellStyle name="Normal 19 9 30" xfId="6578" xr:uid="{00000000-0005-0000-0000-000065230000}"/>
    <cellStyle name="Normal 19 9 31" xfId="7222" xr:uid="{00000000-0005-0000-0000-000066230000}"/>
    <cellStyle name="Normal 19 9 32" xfId="6484" xr:uid="{00000000-0005-0000-0000-000067230000}"/>
    <cellStyle name="Normal 19 9 33" xfId="7610" xr:uid="{00000000-0005-0000-0000-000068230000}"/>
    <cellStyle name="Normal 19 9 34" xfId="6788" xr:uid="{00000000-0005-0000-0000-000069230000}"/>
    <cellStyle name="Normal 19 9 35" xfId="4383" xr:uid="{00000000-0005-0000-0000-00006A230000}"/>
    <cellStyle name="Normal 19 9 36" xfId="10725" xr:uid="{00000000-0005-0000-0000-00006B230000}"/>
    <cellStyle name="Normal 19 9 37" xfId="10558" xr:uid="{00000000-0005-0000-0000-00006C230000}"/>
    <cellStyle name="Normal 19 9 38" xfId="10136" xr:uid="{00000000-0005-0000-0000-00006D230000}"/>
    <cellStyle name="Normal 19 9 39" xfId="4058" xr:uid="{00000000-0005-0000-0000-00006E230000}"/>
    <cellStyle name="Normal 19 9 4" xfId="26872" xr:uid="{00000000-0005-0000-0000-00006F230000}"/>
    <cellStyle name="Normal 19 9 40" xfId="3455" xr:uid="{00000000-0005-0000-0000-000070230000}"/>
    <cellStyle name="Normal 19 9 41" xfId="9338" xr:uid="{00000000-0005-0000-0000-000071230000}"/>
    <cellStyle name="Normal 19 9 42" xfId="10844" xr:uid="{00000000-0005-0000-0000-000072230000}"/>
    <cellStyle name="Normal 19 9 43" xfId="12012" xr:uid="{00000000-0005-0000-0000-000073230000}"/>
    <cellStyle name="Normal 19 9 44" xfId="2996" xr:uid="{00000000-0005-0000-0000-000074230000}"/>
    <cellStyle name="Normal 19 9 45" xfId="2752" xr:uid="{00000000-0005-0000-0000-000075230000}"/>
    <cellStyle name="Normal 19 9 46" xfId="2512" xr:uid="{00000000-0005-0000-0000-000076230000}"/>
    <cellStyle name="Normal 19 9 47" xfId="2272" xr:uid="{00000000-0005-0000-0000-000077230000}"/>
    <cellStyle name="Normal 19 9 48" xfId="2032" xr:uid="{00000000-0005-0000-0000-000078230000}"/>
    <cellStyle name="Normal 19 9 49" xfId="1792" xr:uid="{00000000-0005-0000-0000-000079230000}"/>
    <cellStyle name="Normal 19 9 5" xfId="26276" xr:uid="{00000000-0005-0000-0000-00007A230000}"/>
    <cellStyle name="Normal 19 9 50" xfId="1553" xr:uid="{00000000-0005-0000-0000-00007B230000}"/>
    <cellStyle name="Normal 19 9 51" xfId="1313" xr:uid="{00000000-0005-0000-0000-00007C230000}"/>
    <cellStyle name="Normal 19 9 52" xfId="1073" xr:uid="{00000000-0005-0000-0000-00007D230000}"/>
    <cellStyle name="Normal 19 9 53" xfId="833" xr:uid="{00000000-0005-0000-0000-00007E230000}"/>
    <cellStyle name="Normal 19 9 54" xfId="593" xr:uid="{00000000-0005-0000-0000-00007F230000}"/>
    <cellStyle name="Normal 19 9 55" xfId="354" xr:uid="{00000000-0005-0000-0000-000080230000}"/>
    <cellStyle name="Normal 19 9 56" xfId="116" xr:uid="{00000000-0005-0000-0000-000081230000}"/>
    <cellStyle name="Normal 19 9 6" xfId="25680" xr:uid="{00000000-0005-0000-0000-000082230000}"/>
    <cellStyle name="Normal 19 9 7" xfId="25083" xr:uid="{00000000-0005-0000-0000-000083230000}"/>
    <cellStyle name="Normal 19 9 8" xfId="24486" xr:uid="{00000000-0005-0000-0000-000084230000}"/>
    <cellStyle name="Normal 19 9 9" xfId="23889" xr:uid="{00000000-0005-0000-0000-000085230000}"/>
    <cellStyle name="Normal 2" xfId="28917" xr:uid="{00000000-0005-0000-0000-000086230000}"/>
    <cellStyle name="Normal 2 10" xfId="28663" xr:uid="{00000000-0005-0000-0000-000087230000}"/>
    <cellStyle name="Normal 2 10 10" xfId="23290" xr:uid="{00000000-0005-0000-0000-000088230000}"/>
    <cellStyle name="Normal 2 10 11" xfId="22693" xr:uid="{00000000-0005-0000-0000-000089230000}"/>
    <cellStyle name="Normal 2 10 12" xfId="22097" xr:uid="{00000000-0005-0000-0000-00008A230000}"/>
    <cellStyle name="Normal 2 10 13" xfId="21500" xr:uid="{00000000-0005-0000-0000-00008B230000}"/>
    <cellStyle name="Normal 2 10 14" xfId="20903" xr:uid="{00000000-0005-0000-0000-00008C230000}"/>
    <cellStyle name="Normal 2 10 15" xfId="20306" xr:uid="{00000000-0005-0000-0000-00008D230000}"/>
    <cellStyle name="Normal 2 10 16" xfId="19710" xr:uid="{00000000-0005-0000-0000-00008E230000}"/>
    <cellStyle name="Normal 2 10 17" xfId="19114" xr:uid="{00000000-0005-0000-0000-00008F230000}"/>
    <cellStyle name="Normal 2 10 18" xfId="18521" xr:uid="{00000000-0005-0000-0000-000090230000}"/>
    <cellStyle name="Normal 2 10 19" xfId="17925" xr:uid="{00000000-0005-0000-0000-000091230000}"/>
    <cellStyle name="Normal 2 10 2" xfId="28064" xr:uid="{00000000-0005-0000-0000-000092230000}"/>
    <cellStyle name="Normal 2 10 20" xfId="15929" xr:uid="{00000000-0005-0000-0000-000093230000}"/>
    <cellStyle name="Normal 2 10 21" xfId="16840" xr:uid="{00000000-0005-0000-0000-000094230000}"/>
    <cellStyle name="Normal 2 10 22" xfId="14766" xr:uid="{00000000-0005-0000-0000-000095230000}"/>
    <cellStyle name="Normal 2 10 23" xfId="16606" xr:uid="{00000000-0005-0000-0000-000096230000}"/>
    <cellStyle name="Normal 2 10 24" xfId="16096" xr:uid="{00000000-0005-0000-0000-000097230000}"/>
    <cellStyle name="Normal 2 10 25" xfId="13828" xr:uid="{00000000-0005-0000-0000-000098230000}"/>
    <cellStyle name="Normal 2 10 26" xfId="17400" xr:uid="{00000000-0005-0000-0000-000099230000}"/>
    <cellStyle name="Normal 2 10 27" xfId="15368" xr:uid="{00000000-0005-0000-0000-00009A230000}"/>
    <cellStyle name="Normal 2 10 28" xfId="12533" xr:uid="{00000000-0005-0000-0000-00009B230000}"/>
    <cellStyle name="Normal 2 10 29" xfId="6749" xr:uid="{00000000-0005-0000-0000-00009C230000}"/>
    <cellStyle name="Normal 2 10 3" xfId="27467" xr:uid="{00000000-0005-0000-0000-00009D230000}"/>
    <cellStyle name="Normal 2 10 30" xfId="9040" xr:uid="{00000000-0005-0000-0000-00009E230000}"/>
    <cellStyle name="Normal 2 10 31" xfId="9602" xr:uid="{00000000-0005-0000-0000-00009F230000}"/>
    <cellStyle name="Normal 2 10 32" xfId="11999" xr:uid="{00000000-0005-0000-0000-0000A0230000}"/>
    <cellStyle name="Normal 2 10 33" xfId="11371" xr:uid="{00000000-0005-0000-0000-0000A1230000}"/>
    <cellStyle name="Normal 2 10 34" xfId="6214" xr:uid="{00000000-0005-0000-0000-0000A2230000}"/>
    <cellStyle name="Normal 2 10 35" xfId="8550" xr:uid="{00000000-0005-0000-0000-0000A3230000}"/>
    <cellStyle name="Normal 2 10 36" xfId="9565" xr:uid="{00000000-0005-0000-0000-0000A4230000}"/>
    <cellStyle name="Normal 2 10 37" xfId="6977" xr:uid="{00000000-0005-0000-0000-0000A5230000}"/>
    <cellStyle name="Normal 2 10 38" xfId="5213" xr:uid="{00000000-0005-0000-0000-0000A6230000}"/>
    <cellStyle name="Normal 2 10 39" xfId="6135" xr:uid="{00000000-0005-0000-0000-0000A7230000}"/>
    <cellStyle name="Normal 2 10 4" xfId="26870" xr:uid="{00000000-0005-0000-0000-0000A8230000}"/>
    <cellStyle name="Normal 2 10 40" xfId="3740" xr:uid="{00000000-0005-0000-0000-0000A9230000}"/>
    <cellStyle name="Normal 2 10 41" xfId="3857" xr:uid="{00000000-0005-0000-0000-0000AA230000}"/>
    <cellStyle name="Normal 2 10 42" xfId="3931" xr:uid="{00000000-0005-0000-0000-0000AB230000}"/>
    <cellStyle name="Normal 2 10 43" xfId="3098" xr:uid="{00000000-0005-0000-0000-0000AC230000}"/>
    <cellStyle name="Normal 2 10 44" xfId="2994" xr:uid="{00000000-0005-0000-0000-0000AD230000}"/>
    <cellStyle name="Normal 2 10 45" xfId="2750" xr:uid="{00000000-0005-0000-0000-0000AE230000}"/>
    <cellStyle name="Normal 2 10 46" xfId="2510" xr:uid="{00000000-0005-0000-0000-0000AF230000}"/>
    <cellStyle name="Normal 2 10 47" xfId="2270" xr:uid="{00000000-0005-0000-0000-0000B0230000}"/>
    <cellStyle name="Normal 2 10 48" xfId="2030" xr:uid="{00000000-0005-0000-0000-0000B1230000}"/>
    <cellStyle name="Normal 2 10 49" xfId="1790" xr:uid="{00000000-0005-0000-0000-0000B2230000}"/>
    <cellStyle name="Normal 2 10 5" xfId="26274" xr:uid="{00000000-0005-0000-0000-0000B3230000}"/>
    <cellStyle name="Normal 2 10 50" xfId="1551" xr:uid="{00000000-0005-0000-0000-0000B4230000}"/>
    <cellStyle name="Normal 2 10 51" xfId="1311" xr:uid="{00000000-0005-0000-0000-0000B5230000}"/>
    <cellStyle name="Normal 2 10 52" xfId="1071" xr:uid="{00000000-0005-0000-0000-0000B6230000}"/>
    <cellStyle name="Normal 2 10 53" xfId="831" xr:uid="{00000000-0005-0000-0000-0000B7230000}"/>
    <cellStyle name="Normal 2 10 54" xfId="591" xr:uid="{00000000-0005-0000-0000-0000B8230000}"/>
    <cellStyle name="Normal 2 10 55" xfId="352" xr:uid="{00000000-0005-0000-0000-0000B9230000}"/>
    <cellStyle name="Normal 2 10 56" xfId="114" xr:uid="{00000000-0005-0000-0000-0000BA230000}"/>
    <cellStyle name="Normal 2 10 6" xfId="25678" xr:uid="{00000000-0005-0000-0000-0000BB230000}"/>
    <cellStyle name="Normal 2 10 7" xfId="25081" xr:uid="{00000000-0005-0000-0000-0000BC230000}"/>
    <cellStyle name="Normal 2 10 8" xfId="24484" xr:uid="{00000000-0005-0000-0000-0000BD230000}"/>
    <cellStyle name="Normal 2 10 9" xfId="23887" xr:uid="{00000000-0005-0000-0000-0000BE230000}"/>
    <cellStyle name="Normal 2 11" xfId="28662" xr:uid="{00000000-0005-0000-0000-0000BF230000}"/>
    <cellStyle name="Normal 2 11 10" xfId="23289" xr:uid="{00000000-0005-0000-0000-0000C0230000}"/>
    <cellStyle name="Normal 2 11 11" xfId="22692" xr:uid="{00000000-0005-0000-0000-0000C1230000}"/>
    <cellStyle name="Normal 2 11 12" xfId="22096" xr:uid="{00000000-0005-0000-0000-0000C2230000}"/>
    <cellStyle name="Normal 2 11 13" xfId="21499" xr:uid="{00000000-0005-0000-0000-0000C3230000}"/>
    <cellStyle name="Normal 2 11 14" xfId="20902" xr:uid="{00000000-0005-0000-0000-0000C4230000}"/>
    <cellStyle name="Normal 2 11 15" xfId="20305" xr:uid="{00000000-0005-0000-0000-0000C5230000}"/>
    <cellStyle name="Normal 2 11 16" xfId="19709" xr:uid="{00000000-0005-0000-0000-0000C6230000}"/>
    <cellStyle name="Normal 2 11 17" xfId="19113" xr:uid="{00000000-0005-0000-0000-0000C7230000}"/>
    <cellStyle name="Normal 2 11 18" xfId="18520" xr:uid="{00000000-0005-0000-0000-0000C8230000}"/>
    <cellStyle name="Normal 2 11 19" xfId="17924" xr:uid="{00000000-0005-0000-0000-0000C9230000}"/>
    <cellStyle name="Normal 2 11 2" xfId="28063" xr:uid="{00000000-0005-0000-0000-0000CA230000}"/>
    <cellStyle name="Normal 2 11 20" xfId="16137" xr:uid="{00000000-0005-0000-0000-0000CB230000}"/>
    <cellStyle name="Normal 2 11 21" xfId="16241" xr:uid="{00000000-0005-0000-0000-0000CC230000}"/>
    <cellStyle name="Normal 2 11 22" xfId="15191" xr:uid="{00000000-0005-0000-0000-0000CD230000}"/>
    <cellStyle name="Normal 2 11 23" xfId="15111" xr:uid="{00000000-0005-0000-0000-0000CE230000}"/>
    <cellStyle name="Normal 2 11 24" xfId="13362" xr:uid="{00000000-0005-0000-0000-0000CF230000}"/>
    <cellStyle name="Normal 2 11 25" xfId="14421" xr:uid="{00000000-0005-0000-0000-0000D0230000}"/>
    <cellStyle name="Normal 2 11 26" xfId="13182" xr:uid="{00000000-0005-0000-0000-0000D1230000}"/>
    <cellStyle name="Normal 2 11 27" xfId="15122" xr:uid="{00000000-0005-0000-0000-0000D2230000}"/>
    <cellStyle name="Normal 2 11 28" xfId="12532" xr:uid="{00000000-0005-0000-0000-0000D3230000}"/>
    <cellStyle name="Normal 2 11 29" xfId="6836" xr:uid="{00000000-0005-0000-0000-0000D4230000}"/>
    <cellStyle name="Normal 2 11 3" xfId="27466" xr:uid="{00000000-0005-0000-0000-0000D5230000}"/>
    <cellStyle name="Normal 2 11 30" xfId="9946" xr:uid="{00000000-0005-0000-0000-0000D6230000}"/>
    <cellStyle name="Normal 2 11 31" xfId="7289" xr:uid="{00000000-0005-0000-0000-0000D7230000}"/>
    <cellStyle name="Normal 2 11 32" xfId="9510" xr:uid="{00000000-0005-0000-0000-0000D8230000}"/>
    <cellStyle name="Normal 2 11 33" xfId="6591" xr:uid="{00000000-0005-0000-0000-0000D9230000}"/>
    <cellStyle name="Normal 2 11 34" xfId="9676" xr:uid="{00000000-0005-0000-0000-0000DA230000}"/>
    <cellStyle name="Normal 2 11 35" xfId="9054" xr:uid="{00000000-0005-0000-0000-0000DB230000}"/>
    <cellStyle name="Normal 2 11 36" xfId="8162" xr:uid="{00000000-0005-0000-0000-0000DC230000}"/>
    <cellStyle name="Normal 2 11 37" xfId="7215" xr:uid="{00000000-0005-0000-0000-0000DD230000}"/>
    <cellStyle name="Normal 2 11 38" xfId="6444" xr:uid="{00000000-0005-0000-0000-0000DE230000}"/>
    <cellStyle name="Normal 2 11 39" xfId="3874" xr:uid="{00000000-0005-0000-0000-0000DF230000}"/>
    <cellStyle name="Normal 2 11 4" xfId="26869" xr:uid="{00000000-0005-0000-0000-0000E0230000}"/>
    <cellStyle name="Normal 2 11 40" xfId="5906" xr:uid="{00000000-0005-0000-0000-0000E1230000}"/>
    <cellStyle name="Normal 2 11 41" xfId="3490" xr:uid="{00000000-0005-0000-0000-0000E2230000}"/>
    <cellStyle name="Normal 2 11 42" xfId="9671" xr:uid="{00000000-0005-0000-0000-0000E3230000}"/>
    <cellStyle name="Normal 2 11 43" xfId="5102" xr:uid="{00000000-0005-0000-0000-0000E4230000}"/>
    <cellStyle name="Normal 2 11 44" xfId="2993" xr:uid="{00000000-0005-0000-0000-0000E5230000}"/>
    <cellStyle name="Normal 2 11 45" xfId="2749" xr:uid="{00000000-0005-0000-0000-0000E6230000}"/>
    <cellStyle name="Normal 2 11 46" xfId="2509" xr:uid="{00000000-0005-0000-0000-0000E7230000}"/>
    <cellStyle name="Normal 2 11 47" xfId="2269" xr:uid="{00000000-0005-0000-0000-0000E8230000}"/>
    <cellStyle name="Normal 2 11 48" xfId="2029" xr:uid="{00000000-0005-0000-0000-0000E9230000}"/>
    <cellStyle name="Normal 2 11 49" xfId="1789" xr:uid="{00000000-0005-0000-0000-0000EA230000}"/>
    <cellStyle name="Normal 2 11 5" xfId="26273" xr:uid="{00000000-0005-0000-0000-0000EB230000}"/>
    <cellStyle name="Normal 2 11 50" xfId="1550" xr:uid="{00000000-0005-0000-0000-0000EC230000}"/>
    <cellStyle name="Normal 2 11 51" xfId="1310" xr:uid="{00000000-0005-0000-0000-0000ED230000}"/>
    <cellStyle name="Normal 2 11 52" xfId="1070" xr:uid="{00000000-0005-0000-0000-0000EE230000}"/>
    <cellStyle name="Normal 2 11 53" xfId="830" xr:uid="{00000000-0005-0000-0000-0000EF230000}"/>
    <cellStyle name="Normal 2 11 54" xfId="590" xr:uid="{00000000-0005-0000-0000-0000F0230000}"/>
    <cellStyle name="Normal 2 11 55" xfId="351" xr:uid="{00000000-0005-0000-0000-0000F1230000}"/>
    <cellStyle name="Normal 2 11 56" xfId="113" xr:uid="{00000000-0005-0000-0000-0000F2230000}"/>
    <cellStyle name="Normal 2 11 6" xfId="25677" xr:uid="{00000000-0005-0000-0000-0000F3230000}"/>
    <cellStyle name="Normal 2 11 7" xfId="25080" xr:uid="{00000000-0005-0000-0000-0000F4230000}"/>
    <cellStyle name="Normal 2 11 8" xfId="24483" xr:uid="{00000000-0005-0000-0000-0000F5230000}"/>
    <cellStyle name="Normal 2 11 9" xfId="23886" xr:uid="{00000000-0005-0000-0000-0000F6230000}"/>
    <cellStyle name="Normal 2 12" xfId="28661" xr:uid="{00000000-0005-0000-0000-0000F7230000}"/>
    <cellStyle name="Normal 2 12 10" xfId="23288" xr:uid="{00000000-0005-0000-0000-0000F8230000}"/>
    <cellStyle name="Normal 2 12 11" xfId="22691" xr:uid="{00000000-0005-0000-0000-0000F9230000}"/>
    <cellStyle name="Normal 2 12 12" xfId="22095" xr:uid="{00000000-0005-0000-0000-0000FA230000}"/>
    <cellStyle name="Normal 2 12 13" xfId="21498" xr:uid="{00000000-0005-0000-0000-0000FB230000}"/>
    <cellStyle name="Normal 2 12 14" xfId="20901" xr:uid="{00000000-0005-0000-0000-0000FC230000}"/>
    <cellStyle name="Normal 2 12 15" xfId="20304" xr:uid="{00000000-0005-0000-0000-0000FD230000}"/>
    <cellStyle name="Normal 2 12 16" xfId="19708" xr:uid="{00000000-0005-0000-0000-0000FE230000}"/>
    <cellStyle name="Normal 2 12 17" xfId="19112" xr:uid="{00000000-0005-0000-0000-0000FF230000}"/>
    <cellStyle name="Normal 2 12 18" xfId="18519" xr:uid="{00000000-0005-0000-0000-000000240000}"/>
    <cellStyle name="Normal 2 12 19" xfId="17923" xr:uid="{00000000-0005-0000-0000-000001240000}"/>
    <cellStyle name="Normal 2 12 2" xfId="28062" xr:uid="{00000000-0005-0000-0000-000002240000}"/>
    <cellStyle name="Normal 2 12 20" xfId="16338" xr:uid="{00000000-0005-0000-0000-000003240000}"/>
    <cellStyle name="Normal 2 12 21" xfId="15819" xr:uid="{00000000-0005-0000-0000-000004240000}"/>
    <cellStyle name="Normal 2 12 22" xfId="15125" xr:uid="{00000000-0005-0000-0000-000005240000}"/>
    <cellStyle name="Normal 2 12 23" xfId="15456" xr:uid="{00000000-0005-0000-0000-000006240000}"/>
    <cellStyle name="Normal 2 12 24" xfId="13520" xr:uid="{00000000-0005-0000-0000-000007240000}"/>
    <cellStyle name="Normal 2 12 25" xfId="13683" xr:uid="{00000000-0005-0000-0000-000008240000}"/>
    <cellStyle name="Normal 2 12 26" xfId="12896" xr:uid="{00000000-0005-0000-0000-000009240000}"/>
    <cellStyle name="Normal 2 12 27" xfId="14188" xr:uid="{00000000-0005-0000-0000-00000A240000}"/>
    <cellStyle name="Normal 2 12 28" xfId="12531" xr:uid="{00000000-0005-0000-0000-00000B240000}"/>
    <cellStyle name="Normal 2 12 29" xfId="6973" xr:uid="{00000000-0005-0000-0000-00000C240000}"/>
    <cellStyle name="Normal 2 12 3" xfId="27465" xr:uid="{00000000-0005-0000-0000-00000D240000}"/>
    <cellStyle name="Normal 2 12 30" xfId="10842" xr:uid="{00000000-0005-0000-0000-00000E240000}"/>
    <cellStyle name="Normal 2 12 31" xfId="9605" xr:uid="{00000000-0005-0000-0000-00000F240000}"/>
    <cellStyle name="Normal 2 12 32" xfId="5548" xr:uid="{00000000-0005-0000-0000-000010240000}"/>
    <cellStyle name="Normal 2 12 33" xfId="6324" xr:uid="{00000000-0005-0000-0000-000011240000}"/>
    <cellStyle name="Normal 2 12 34" xfId="7117" xr:uid="{00000000-0005-0000-0000-000012240000}"/>
    <cellStyle name="Normal 2 12 35" xfId="7586" xr:uid="{00000000-0005-0000-0000-000013240000}"/>
    <cellStyle name="Normal 2 12 36" xfId="4983" xr:uid="{00000000-0005-0000-0000-000014240000}"/>
    <cellStyle name="Normal 2 12 37" xfId="8867" xr:uid="{00000000-0005-0000-0000-000015240000}"/>
    <cellStyle name="Normal 2 12 38" xfId="6137" xr:uid="{00000000-0005-0000-0000-000016240000}"/>
    <cellStyle name="Normal 2 12 39" xfId="7235" xr:uid="{00000000-0005-0000-0000-000017240000}"/>
    <cellStyle name="Normal 2 12 4" xfId="26868" xr:uid="{00000000-0005-0000-0000-000018240000}"/>
    <cellStyle name="Normal 2 12 40" xfId="10081" xr:uid="{00000000-0005-0000-0000-000019240000}"/>
    <cellStyle name="Normal 2 12 41" xfId="4179" xr:uid="{00000000-0005-0000-0000-00001A240000}"/>
    <cellStyle name="Normal 2 12 42" xfId="3449" xr:uid="{00000000-0005-0000-0000-00001B240000}"/>
    <cellStyle name="Normal 2 12 43" xfId="10680" xr:uid="{00000000-0005-0000-0000-00001C240000}"/>
    <cellStyle name="Normal 2 12 5" xfId="26272" xr:uid="{00000000-0005-0000-0000-00001D240000}"/>
    <cellStyle name="Normal 2 12 6" xfId="25676" xr:uid="{00000000-0005-0000-0000-00001E240000}"/>
    <cellStyle name="Normal 2 12 7" xfId="25079" xr:uid="{00000000-0005-0000-0000-00001F240000}"/>
    <cellStyle name="Normal 2 12 8" xfId="24482" xr:uid="{00000000-0005-0000-0000-000020240000}"/>
    <cellStyle name="Normal 2 12 9" xfId="23885" xr:uid="{00000000-0005-0000-0000-000021240000}"/>
    <cellStyle name="Normal 2 13" xfId="28660" xr:uid="{00000000-0005-0000-0000-000022240000}"/>
    <cellStyle name="Normal 2 13 10" xfId="23287" xr:uid="{00000000-0005-0000-0000-000023240000}"/>
    <cellStyle name="Normal 2 13 11" xfId="22690" xr:uid="{00000000-0005-0000-0000-000024240000}"/>
    <cellStyle name="Normal 2 13 12" xfId="22094" xr:uid="{00000000-0005-0000-0000-000025240000}"/>
    <cellStyle name="Normal 2 13 13" xfId="21497" xr:uid="{00000000-0005-0000-0000-000026240000}"/>
    <cellStyle name="Normal 2 13 14" xfId="20900" xr:uid="{00000000-0005-0000-0000-000027240000}"/>
    <cellStyle name="Normal 2 13 15" xfId="20303" xr:uid="{00000000-0005-0000-0000-000028240000}"/>
    <cellStyle name="Normal 2 13 16" xfId="19707" xr:uid="{00000000-0005-0000-0000-000029240000}"/>
    <cellStyle name="Normal 2 13 17" xfId="19111" xr:uid="{00000000-0005-0000-0000-00002A240000}"/>
    <cellStyle name="Normal 2 13 18" xfId="18518" xr:uid="{00000000-0005-0000-0000-00002B240000}"/>
    <cellStyle name="Normal 2 13 19" xfId="17922" xr:uid="{00000000-0005-0000-0000-00002C240000}"/>
    <cellStyle name="Normal 2 13 2" xfId="28061" xr:uid="{00000000-0005-0000-0000-00002D240000}"/>
    <cellStyle name="Normal 2 13 20" xfId="16528" xr:uid="{00000000-0005-0000-0000-00002E240000}"/>
    <cellStyle name="Normal 2 13 21" xfId="15416" xr:uid="{00000000-0005-0000-0000-00002F240000}"/>
    <cellStyle name="Normal 2 13 22" xfId="15814" xr:uid="{00000000-0005-0000-0000-000030240000}"/>
    <cellStyle name="Normal 2 13 23" xfId="14976" xr:uid="{00000000-0005-0000-0000-000031240000}"/>
    <cellStyle name="Normal 2 13 24" xfId="16097" xr:uid="{00000000-0005-0000-0000-000032240000}"/>
    <cellStyle name="Normal 2 13 25" xfId="14852" xr:uid="{00000000-0005-0000-0000-000033240000}"/>
    <cellStyle name="Normal 2 13 26" xfId="13144" xr:uid="{00000000-0005-0000-0000-000034240000}"/>
    <cellStyle name="Normal 2 13 27" xfId="16249" xr:uid="{00000000-0005-0000-0000-000035240000}"/>
    <cellStyle name="Normal 2 13 28" xfId="12530" xr:uid="{00000000-0005-0000-0000-000036240000}"/>
    <cellStyle name="Normal 2 13 29" xfId="7048" xr:uid="{00000000-0005-0000-0000-000037240000}"/>
    <cellStyle name="Normal 2 13 3" xfId="27464" xr:uid="{00000000-0005-0000-0000-000038240000}"/>
    <cellStyle name="Normal 2 13 30" xfId="11517" xr:uid="{00000000-0005-0000-0000-000039240000}"/>
    <cellStyle name="Normal 2 13 31" xfId="11865" xr:uid="{00000000-0005-0000-0000-00003A240000}"/>
    <cellStyle name="Normal 2 13 32" xfId="11439" xr:uid="{00000000-0005-0000-0000-00003B240000}"/>
    <cellStyle name="Normal 2 13 33" xfId="8349" xr:uid="{00000000-0005-0000-0000-00003C240000}"/>
    <cellStyle name="Normal 2 13 34" xfId="12057" xr:uid="{00000000-0005-0000-0000-00003D240000}"/>
    <cellStyle name="Normal 2 13 35" xfId="9252" xr:uid="{00000000-0005-0000-0000-00003E240000}"/>
    <cellStyle name="Normal 2 13 36" xfId="7779" xr:uid="{00000000-0005-0000-0000-00003F240000}"/>
    <cellStyle name="Normal 2 13 37" xfId="11147" xr:uid="{00000000-0005-0000-0000-000040240000}"/>
    <cellStyle name="Normal 2 13 38" xfId="8633" xr:uid="{00000000-0005-0000-0000-000041240000}"/>
    <cellStyle name="Normal 2 13 39" xfId="9095" xr:uid="{00000000-0005-0000-0000-000042240000}"/>
    <cellStyle name="Normal 2 13 4" xfId="26867" xr:uid="{00000000-0005-0000-0000-000043240000}"/>
    <cellStyle name="Normal 2 13 40" xfId="3573" xr:uid="{00000000-0005-0000-0000-000044240000}"/>
    <cellStyle name="Normal 2 13 41" xfId="3951" xr:uid="{00000000-0005-0000-0000-000045240000}"/>
    <cellStyle name="Normal 2 13 42" xfId="11290" xr:uid="{00000000-0005-0000-0000-000046240000}"/>
    <cellStyle name="Normal 2 13 43" xfId="4529" xr:uid="{00000000-0005-0000-0000-000047240000}"/>
    <cellStyle name="Normal 2 13 5" xfId="26271" xr:uid="{00000000-0005-0000-0000-000048240000}"/>
    <cellStyle name="Normal 2 13 6" xfId="25675" xr:uid="{00000000-0005-0000-0000-000049240000}"/>
    <cellStyle name="Normal 2 13 7" xfId="25078" xr:uid="{00000000-0005-0000-0000-00004A240000}"/>
    <cellStyle name="Normal 2 13 8" xfId="24481" xr:uid="{00000000-0005-0000-0000-00004B240000}"/>
    <cellStyle name="Normal 2 13 9" xfId="23884" xr:uid="{00000000-0005-0000-0000-00004C240000}"/>
    <cellStyle name="Normal 2 14" xfId="28659" xr:uid="{00000000-0005-0000-0000-00004D240000}"/>
    <cellStyle name="Normal 2 14 10" xfId="23286" xr:uid="{00000000-0005-0000-0000-00004E240000}"/>
    <cellStyle name="Normal 2 14 11" xfId="22689" xr:uid="{00000000-0005-0000-0000-00004F240000}"/>
    <cellStyle name="Normal 2 14 12" xfId="22093" xr:uid="{00000000-0005-0000-0000-000050240000}"/>
    <cellStyle name="Normal 2 14 13" xfId="21496" xr:uid="{00000000-0005-0000-0000-000051240000}"/>
    <cellStyle name="Normal 2 14 14" xfId="20899" xr:uid="{00000000-0005-0000-0000-000052240000}"/>
    <cellStyle name="Normal 2 14 15" xfId="20302" xr:uid="{00000000-0005-0000-0000-000053240000}"/>
    <cellStyle name="Normal 2 14 16" xfId="19706" xr:uid="{00000000-0005-0000-0000-000054240000}"/>
    <cellStyle name="Normal 2 14 17" xfId="19110" xr:uid="{00000000-0005-0000-0000-000055240000}"/>
    <cellStyle name="Normal 2 14 18" xfId="18517" xr:uid="{00000000-0005-0000-0000-000056240000}"/>
    <cellStyle name="Normal 2 14 19" xfId="17921" xr:uid="{00000000-0005-0000-0000-000057240000}"/>
    <cellStyle name="Normal 2 14 2" xfId="28060" xr:uid="{00000000-0005-0000-0000-000058240000}"/>
    <cellStyle name="Normal 2 14 20" xfId="16722" xr:uid="{00000000-0005-0000-0000-000059240000}"/>
    <cellStyle name="Normal 2 14 21" xfId="15008" xr:uid="{00000000-0005-0000-0000-00005A240000}"/>
    <cellStyle name="Normal 2 14 22" xfId="17240" xr:uid="{00000000-0005-0000-0000-00005B240000}"/>
    <cellStyle name="Normal 2 14 23" xfId="15322" xr:uid="{00000000-0005-0000-0000-00005C240000}"/>
    <cellStyle name="Normal 2 14 24" xfId="16603" xr:uid="{00000000-0005-0000-0000-00005D240000}"/>
    <cellStyle name="Normal 2 14 25" xfId="13771" xr:uid="{00000000-0005-0000-0000-00005E240000}"/>
    <cellStyle name="Normal 2 14 26" xfId="14316" xr:uid="{00000000-0005-0000-0000-00005F240000}"/>
    <cellStyle name="Normal 2 14 27" xfId="17168" xr:uid="{00000000-0005-0000-0000-000060240000}"/>
    <cellStyle name="Normal 2 14 28" xfId="12529" xr:uid="{00000000-0005-0000-0000-000061240000}"/>
    <cellStyle name="Normal 2 14 29" xfId="6520" xr:uid="{00000000-0005-0000-0000-000062240000}"/>
    <cellStyle name="Normal 2 14 3" xfId="27463" xr:uid="{00000000-0005-0000-0000-000063240000}"/>
    <cellStyle name="Normal 2 14 30" xfId="8054" xr:uid="{00000000-0005-0000-0000-000064240000}"/>
    <cellStyle name="Normal 2 14 31" xfId="6048" xr:uid="{00000000-0005-0000-0000-000065240000}"/>
    <cellStyle name="Normal 2 14 32" xfId="7162" xr:uid="{00000000-0005-0000-0000-000066240000}"/>
    <cellStyle name="Normal 2 14 33" xfId="11318" xr:uid="{00000000-0005-0000-0000-000067240000}"/>
    <cellStyle name="Normal 2 14 34" xfId="11826" xr:uid="{00000000-0005-0000-0000-000068240000}"/>
    <cellStyle name="Normal 2 14 35" xfId="7825" xr:uid="{00000000-0005-0000-0000-000069240000}"/>
    <cellStyle name="Normal 2 14 36" xfId="4487" xr:uid="{00000000-0005-0000-0000-00006A240000}"/>
    <cellStyle name="Normal 2 14 37" xfId="6688" xr:uid="{00000000-0005-0000-0000-00006B240000}"/>
    <cellStyle name="Normal 2 14 38" xfId="10104" xr:uid="{00000000-0005-0000-0000-00006C240000}"/>
    <cellStyle name="Normal 2 14 39" xfId="3844" xr:uid="{00000000-0005-0000-0000-00006D240000}"/>
    <cellStyle name="Normal 2 14 4" xfId="26866" xr:uid="{00000000-0005-0000-0000-00006E240000}"/>
    <cellStyle name="Normal 2 14 40" xfId="3510" xr:uid="{00000000-0005-0000-0000-00006F240000}"/>
    <cellStyle name="Normal 2 14 41" xfId="7817" xr:uid="{00000000-0005-0000-0000-000070240000}"/>
    <cellStyle name="Normal 2 14 42" xfId="8015" xr:uid="{00000000-0005-0000-0000-000071240000}"/>
    <cellStyle name="Normal 2 14 43" xfId="3268" xr:uid="{00000000-0005-0000-0000-000072240000}"/>
    <cellStyle name="Normal 2 14 5" xfId="26270" xr:uid="{00000000-0005-0000-0000-000073240000}"/>
    <cellStyle name="Normal 2 14 6" xfId="25674" xr:uid="{00000000-0005-0000-0000-000074240000}"/>
    <cellStyle name="Normal 2 14 7" xfId="25077" xr:uid="{00000000-0005-0000-0000-000075240000}"/>
    <cellStyle name="Normal 2 14 8" xfId="24480" xr:uid="{00000000-0005-0000-0000-000076240000}"/>
    <cellStyle name="Normal 2 14 9" xfId="23883" xr:uid="{00000000-0005-0000-0000-000077240000}"/>
    <cellStyle name="Normal 2 15" xfId="28658" xr:uid="{00000000-0005-0000-0000-000078240000}"/>
    <cellStyle name="Normal 2 15 10" xfId="23285" xr:uid="{00000000-0005-0000-0000-000079240000}"/>
    <cellStyle name="Normal 2 15 11" xfId="22688" xr:uid="{00000000-0005-0000-0000-00007A240000}"/>
    <cellStyle name="Normal 2 15 12" xfId="22092" xr:uid="{00000000-0005-0000-0000-00007B240000}"/>
    <cellStyle name="Normal 2 15 13" xfId="21495" xr:uid="{00000000-0005-0000-0000-00007C240000}"/>
    <cellStyle name="Normal 2 15 14" xfId="20898" xr:uid="{00000000-0005-0000-0000-00007D240000}"/>
    <cellStyle name="Normal 2 15 15" xfId="20301" xr:uid="{00000000-0005-0000-0000-00007E240000}"/>
    <cellStyle name="Normal 2 15 16" xfId="19705" xr:uid="{00000000-0005-0000-0000-00007F240000}"/>
    <cellStyle name="Normal 2 15 17" xfId="19109" xr:uid="{00000000-0005-0000-0000-000080240000}"/>
    <cellStyle name="Normal 2 15 18" xfId="18516" xr:uid="{00000000-0005-0000-0000-000081240000}"/>
    <cellStyle name="Normal 2 15 19" xfId="17920" xr:uid="{00000000-0005-0000-0000-000082240000}"/>
    <cellStyle name="Normal 2 15 2" xfId="28059" xr:uid="{00000000-0005-0000-0000-000083240000}"/>
    <cellStyle name="Normal 2 15 20" xfId="16919" xr:uid="{00000000-0005-0000-0000-000084240000}"/>
    <cellStyle name="Normal 2 15 21" xfId="15393" xr:uid="{00000000-0005-0000-0000-000085240000}"/>
    <cellStyle name="Normal 2 15 22" xfId="14469" xr:uid="{00000000-0005-0000-0000-000086240000}"/>
    <cellStyle name="Normal 2 15 23" xfId="17076" xr:uid="{00000000-0005-0000-0000-000087240000}"/>
    <cellStyle name="Normal 2 15 24" xfId="15616" xr:uid="{00000000-0005-0000-0000-000088240000}"/>
    <cellStyle name="Normal 2 15 25" xfId="13443" xr:uid="{00000000-0005-0000-0000-000089240000}"/>
    <cellStyle name="Normal 2 15 26" xfId="12861" xr:uid="{00000000-0005-0000-0000-00008A240000}"/>
    <cellStyle name="Normal 2 15 27" xfId="13238" xr:uid="{00000000-0005-0000-0000-00008B240000}"/>
    <cellStyle name="Normal 2 15 28" xfId="12528" xr:uid="{00000000-0005-0000-0000-00008C240000}"/>
    <cellStyle name="Normal 2 15 29" xfId="6577" xr:uid="{00000000-0005-0000-0000-00008D240000}"/>
    <cellStyle name="Normal 2 15 3" xfId="27462" xr:uid="{00000000-0005-0000-0000-00008E240000}"/>
    <cellStyle name="Normal 2 15 30" xfId="6827" xr:uid="{00000000-0005-0000-0000-00008F240000}"/>
    <cellStyle name="Normal 2 15 31" xfId="7921" xr:uid="{00000000-0005-0000-0000-000090240000}"/>
    <cellStyle name="Normal 2 15 32" xfId="7220" xr:uid="{00000000-0005-0000-0000-000091240000}"/>
    <cellStyle name="Normal 2 15 33" xfId="7359" xr:uid="{00000000-0005-0000-0000-000092240000}"/>
    <cellStyle name="Normal 2 15 34" xfId="5059" xr:uid="{00000000-0005-0000-0000-000093240000}"/>
    <cellStyle name="Normal 2 15 35" xfId="4992" xr:uid="{00000000-0005-0000-0000-000094240000}"/>
    <cellStyle name="Normal 2 15 36" xfId="5453" xr:uid="{00000000-0005-0000-0000-000095240000}"/>
    <cellStyle name="Normal 2 15 37" xfId="6150" xr:uid="{00000000-0005-0000-0000-000096240000}"/>
    <cellStyle name="Normal 2 15 38" xfId="5209" xr:uid="{00000000-0005-0000-0000-000097240000}"/>
    <cellStyle name="Normal 2 15 39" xfId="3637" xr:uid="{00000000-0005-0000-0000-000098240000}"/>
    <cellStyle name="Normal 2 15 4" xfId="26865" xr:uid="{00000000-0005-0000-0000-000099240000}"/>
    <cellStyle name="Normal 2 15 40" xfId="4316" xr:uid="{00000000-0005-0000-0000-00009A240000}"/>
    <cellStyle name="Normal 2 15 41" xfId="7187" xr:uid="{00000000-0005-0000-0000-00009B240000}"/>
    <cellStyle name="Normal 2 15 42" xfId="4226" xr:uid="{00000000-0005-0000-0000-00009C240000}"/>
    <cellStyle name="Normal 2 15 43" xfId="11835" xr:uid="{00000000-0005-0000-0000-00009D240000}"/>
    <cellStyle name="Normal 2 15 5" xfId="26269" xr:uid="{00000000-0005-0000-0000-00009E240000}"/>
    <cellStyle name="Normal 2 15 6" xfId="25673" xr:uid="{00000000-0005-0000-0000-00009F240000}"/>
    <cellStyle name="Normal 2 15 7" xfId="25076" xr:uid="{00000000-0005-0000-0000-0000A0240000}"/>
    <cellStyle name="Normal 2 15 8" xfId="24479" xr:uid="{00000000-0005-0000-0000-0000A1240000}"/>
    <cellStyle name="Normal 2 15 9" xfId="23882" xr:uid="{00000000-0005-0000-0000-0000A2240000}"/>
    <cellStyle name="Normal 2 16" xfId="28657" xr:uid="{00000000-0005-0000-0000-0000A3240000}"/>
    <cellStyle name="Normal 2 16 10" xfId="23284" xr:uid="{00000000-0005-0000-0000-0000A4240000}"/>
    <cellStyle name="Normal 2 16 11" xfId="22687" xr:uid="{00000000-0005-0000-0000-0000A5240000}"/>
    <cellStyle name="Normal 2 16 12" xfId="22091" xr:uid="{00000000-0005-0000-0000-0000A6240000}"/>
    <cellStyle name="Normal 2 16 13" xfId="21494" xr:uid="{00000000-0005-0000-0000-0000A7240000}"/>
    <cellStyle name="Normal 2 16 14" xfId="20897" xr:uid="{00000000-0005-0000-0000-0000A8240000}"/>
    <cellStyle name="Normal 2 16 15" xfId="20300" xr:uid="{00000000-0005-0000-0000-0000A9240000}"/>
    <cellStyle name="Normal 2 16 16" xfId="19704" xr:uid="{00000000-0005-0000-0000-0000AA240000}"/>
    <cellStyle name="Normal 2 16 17" xfId="19108" xr:uid="{00000000-0005-0000-0000-0000AB240000}"/>
    <cellStyle name="Normal 2 16 18" xfId="18515" xr:uid="{00000000-0005-0000-0000-0000AC240000}"/>
    <cellStyle name="Normal 2 16 19" xfId="17919" xr:uid="{00000000-0005-0000-0000-0000AD240000}"/>
    <cellStyle name="Normal 2 16 2" xfId="28058" xr:uid="{00000000-0005-0000-0000-0000AE240000}"/>
    <cellStyle name="Normal 2 16 20" xfId="17126" xr:uid="{00000000-0005-0000-0000-0000AF240000}"/>
    <cellStyle name="Normal 2 16 21" xfId="15782" xr:uid="{00000000-0005-0000-0000-0000B0240000}"/>
    <cellStyle name="Normal 2 16 22" xfId="15089" xr:uid="{00000000-0005-0000-0000-0000B1240000}"/>
    <cellStyle name="Normal 2 16 23" xfId="14179" xr:uid="{00000000-0005-0000-0000-0000B2240000}"/>
    <cellStyle name="Normal 2 16 24" xfId="13822" xr:uid="{00000000-0005-0000-0000-0000B3240000}"/>
    <cellStyle name="Normal 2 16 25" xfId="14581" xr:uid="{00000000-0005-0000-0000-0000B4240000}"/>
    <cellStyle name="Normal 2 16 26" xfId="14191" xr:uid="{00000000-0005-0000-0000-0000B5240000}"/>
    <cellStyle name="Normal 2 16 27" xfId="13124" xr:uid="{00000000-0005-0000-0000-0000B6240000}"/>
    <cellStyle name="Normal 2 16 28" xfId="12527" xr:uid="{00000000-0005-0000-0000-0000B7240000}"/>
    <cellStyle name="Normal 2 16 29" xfId="7697" xr:uid="{00000000-0005-0000-0000-0000B8240000}"/>
    <cellStyle name="Normal 2 16 3" xfId="27461" xr:uid="{00000000-0005-0000-0000-0000B9240000}"/>
    <cellStyle name="Normal 2 16 30" xfId="5856" xr:uid="{00000000-0005-0000-0000-0000BA240000}"/>
    <cellStyle name="Normal 2 16 31" xfId="9482" xr:uid="{00000000-0005-0000-0000-0000BB240000}"/>
    <cellStyle name="Normal 2 16 32" xfId="6961" xr:uid="{00000000-0005-0000-0000-0000BC240000}"/>
    <cellStyle name="Normal 2 16 33" xfId="11137" xr:uid="{00000000-0005-0000-0000-0000BD240000}"/>
    <cellStyle name="Normal 2 16 34" xfId="5248" xr:uid="{00000000-0005-0000-0000-0000BE240000}"/>
    <cellStyle name="Normal 2 16 35" xfId="11434" xr:uid="{00000000-0005-0000-0000-0000BF240000}"/>
    <cellStyle name="Normal 2 16 36" xfId="5776" xr:uid="{00000000-0005-0000-0000-0000C0240000}"/>
    <cellStyle name="Normal 2 16 37" xfId="9411" xr:uid="{00000000-0005-0000-0000-0000C1240000}"/>
    <cellStyle name="Normal 2 16 38" xfId="11739" xr:uid="{00000000-0005-0000-0000-0000C2240000}"/>
    <cellStyle name="Normal 2 16 39" xfId="6567" xr:uid="{00000000-0005-0000-0000-0000C3240000}"/>
    <cellStyle name="Normal 2 16 4" xfId="26864" xr:uid="{00000000-0005-0000-0000-0000C4240000}"/>
    <cellStyle name="Normal 2 16 40" xfId="11086" xr:uid="{00000000-0005-0000-0000-0000C5240000}"/>
    <cellStyle name="Normal 2 16 41" xfId="8428" xr:uid="{00000000-0005-0000-0000-0000C6240000}"/>
    <cellStyle name="Normal 2 16 42" xfId="4823" xr:uid="{00000000-0005-0000-0000-0000C7240000}"/>
    <cellStyle name="Normal 2 16 43" xfId="6775" xr:uid="{00000000-0005-0000-0000-0000C8240000}"/>
    <cellStyle name="Normal 2 16 5" xfId="26268" xr:uid="{00000000-0005-0000-0000-0000C9240000}"/>
    <cellStyle name="Normal 2 16 6" xfId="25672" xr:uid="{00000000-0005-0000-0000-0000CA240000}"/>
    <cellStyle name="Normal 2 16 7" xfId="25075" xr:uid="{00000000-0005-0000-0000-0000CB240000}"/>
    <cellStyle name="Normal 2 16 8" xfId="24478" xr:uid="{00000000-0005-0000-0000-0000CC240000}"/>
    <cellStyle name="Normal 2 16 9" xfId="23881" xr:uid="{00000000-0005-0000-0000-0000CD240000}"/>
    <cellStyle name="Normal 2 17" xfId="28656" xr:uid="{00000000-0005-0000-0000-0000CE240000}"/>
    <cellStyle name="Normal 2 17 10" xfId="23283" xr:uid="{00000000-0005-0000-0000-0000CF240000}"/>
    <cellStyle name="Normal 2 17 11" xfId="22686" xr:uid="{00000000-0005-0000-0000-0000D0240000}"/>
    <cellStyle name="Normal 2 17 12" xfId="22090" xr:uid="{00000000-0005-0000-0000-0000D1240000}"/>
    <cellStyle name="Normal 2 17 13" xfId="21493" xr:uid="{00000000-0005-0000-0000-0000D2240000}"/>
    <cellStyle name="Normal 2 17 14" xfId="20896" xr:uid="{00000000-0005-0000-0000-0000D3240000}"/>
    <cellStyle name="Normal 2 17 15" xfId="20299" xr:uid="{00000000-0005-0000-0000-0000D4240000}"/>
    <cellStyle name="Normal 2 17 16" xfId="19703" xr:uid="{00000000-0005-0000-0000-0000D5240000}"/>
    <cellStyle name="Normal 2 17 17" xfId="19107" xr:uid="{00000000-0005-0000-0000-0000D6240000}"/>
    <cellStyle name="Normal 2 17 18" xfId="18514" xr:uid="{00000000-0005-0000-0000-0000D7240000}"/>
    <cellStyle name="Normal 2 17 19" xfId="17918" xr:uid="{00000000-0005-0000-0000-0000D8240000}"/>
    <cellStyle name="Normal 2 17 2" xfId="28057" xr:uid="{00000000-0005-0000-0000-0000D9240000}"/>
    <cellStyle name="Normal 2 17 20" xfId="17319" xr:uid="{00000000-0005-0000-0000-0000DA240000}"/>
    <cellStyle name="Normal 2 17 21" xfId="15376" xr:uid="{00000000-0005-0000-0000-0000DB240000}"/>
    <cellStyle name="Normal 2 17 22" xfId="14868" xr:uid="{00000000-0005-0000-0000-0000DC240000}"/>
    <cellStyle name="Normal 2 17 23" xfId="13545" xr:uid="{00000000-0005-0000-0000-0000DD240000}"/>
    <cellStyle name="Normal 2 17 24" xfId="14963" xr:uid="{00000000-0005-0000-0000-0000DE240000}"/>
    <cellStyle name="Normal 2 17 25" xfId="15451" xr:uid="{00000000-0005-0000-0000-0000DF240000}"/>
    <cellStyle name="Normal 2 17 26" xfId="15867" xr:uid="{00000000-0005-0000-0000-0000E0240000}"/>
    <cellStyle name="Normal 2 17 27" xfId="13032" xr:uid="{00000000-0005-0000-0000-0000E1240000}"/>
    <cellStyle name="Normal 2 17 28" xfId="12526" xr:uid="{00000000-0005-0000-0000-0000E2240000}"/>
    <cellStyle name="Normal 2 17 29" xfId="7027" xr:uid="{00000000-0005-0000-0000-0000E3240000}"/>
    <cellStyle name="Normal 2 17 3" xfId="27460" xr:uid="{00000000-0005-0000-0000-0000E4240000}"/>
    <cellStyle name="Normal 2 17 30" xfId="8276" xr:uid="{00000000-0005-0000-0000-0000E5240000}"/>
    <cellStyle name="Normal 2 17 31" xfId="11952" xr:uid="{00000000-0005-0000-0000-0000E6240000}"/>
    <cellStyle name="Normal 2 17 32" xfId="8675" xr:uid="{00000000-0005-0000-0000-0000E7240000}"/>
    <cellStyle name="Normal 2 17 33" xfId="5175" xr:uid="{00000000-0005-0000-0000-0000E8240000}"/>
    <cellStyle name="Normal 2 17 34" xfId="5746" xr:uid="{00000000-0005-0000-0000-0000E9240000}"/>
    <cellStyle name="Normal 2 17 35" xfId="9930" xr:uid="{00000000-0005-0000-0000-0000EA240000}"/>
    <cellStyle name="Normal 2 17 36" xfId="8681" xr:uid="{00000000-0005-0000-0000-0000EB240000}"/>
    <cellStyle name="Normal 2 17 37" xfId="4154" xr:uid="{00000000-0005-0000-0000-0000EC240000}"/>
    <cellStyle name="Normal 2 17 38" xfId="11288" xr:uid="{00000000-0005-0000-0000-0000ED240000}"/>
    <cellStyle name="Normal 2 17 39" xfId="11611" xr:uid="{00000000-0005-0000-0000-0000EE240000}"/>
    <cellStyle name="Normal 2 17 4" xfId="26863" xr:uid="{00000000-0005-0000-0000-0000EF240000}"/>
    <cellStyle name="Normal 2 17 40" xfId="9945" xr:uid="{00000000-0005-0000-0000-0000F0240000}"/>
    <cellStyle name="Normal 2 17 41" xfId="7699" xr:uid="{00000000-0005-0000-0000-0000F1240000}"/>
    <cellStyle name="Normal 2 17 42" xfId="5838" xr:uid="{00000000-0005-0000-0000-0000F2240000}"/>
    <cellStyle name="Normal 2 17 43" xfId="8819" xr:uid="{00000000-0005-0000-0000-0000F3240000}"/>
    <cellStyle name="Normal 2 17 5" xfId="26267" xr:uid="{00000000-0005-0000-0000-0000F4240000}"/>
    <cellStyle name="Normal 2 17 6" xfId="25671" xr:uid="{00000000-0005-0000-0000-0000F5240000}"/>
    <cellStyle name="Normal 2 17 7" xfId="25074" xr:uid="{00000000-0005-0000-0000-0000F6240000}"/>
    <cellStyle name="Normal 2 17 8" xfId="24477" xr:uid="{00000000-0005-0000-0000-0000F7240000}"/>
    <cellStyle name="Normal 2 17 9" xfId="23880" xr:uid="{00000000-0005-0000-0000-0000F8240000}"/>
    <cellStyle name="Normal 2 18" xfId="28655" xr:uid="{00000000-0005-0000-0000-0000F9240000}"/>
    <cellStyle name="Normal 2 18 10" xfId="23282" xr:uid="{00000000-0005-0000-0000-0000FA240000}"/>
    <cellStyle name="Normal 2 18 11" xfId="22685" xr:uid="{00000000-0005-0000-0000-0000FB240000}"/>
    <cellStyle name="Normal 2 18 12" xfId="22089" xr:uid="{00000000-0005-0000-0000-0000FC240000}"/>
    <cellStyle name="Normal 2 18 13" xfId="21492" xr:uid="{00000000-0005-0000-0000-0000FD240000}"/>
    <cellStyle name="Normal 2 18 14" xfId="20895" xr:uid="{00000000-0005-0000-0000-0000FE240000}"/>
    <cellStyle name="Normal 2 18 15" xfId="20298" xr:uid="{00000000-0005-0000-0000-0000FF240000}"/>
    <cellStyle name="Normal 2 18 16" xfId="19702" xr:uid="{00000000-0005-0000-0000-000000250000}"/>
    <cellStyle name="Normal 2 18 17" xfId="19106" xr:uid="{00000000-0005-0000-0000-000001250000}"/>
    <cellStyle name="Normal 2 18 18" xfId="18513" xr:uid="{00000000-0005-0000-0000-000002250000}"/>
    <cellStyle name="Normal 2 18 19" xfId="17917" xr:uid="{00000000-0005-0000-0000-000003250000}"/>
    <cellStyle name="Normal 2 18 2" xfId="28056" xr:uid="{00000000-0005-0000-0000-000004250000}"/>
    <cellStyle name="Normal 2 18 20" xfId="14152" xr:uid="{00000000-0005-0000-0000-000005250000}"/>
    <cellStyle name="Normal 2 18 21" xfId="14965" xr:uid="{00000000-0005-0000-0000-000006250000}"/>
    <cellStyle name="Normal 2 18 22" xfId="17242" xr:uid="{00000000-0005-0000-0000-000007250000}"/>
    <cellStyle name="Normal 2 18 23" xfId="16060" xr:uid="{00000000-0005-0000-0000-000008250000}"/>
    <cellStyle name="Normal 2 18 24" xfId="14239" xr:uid="{00000000-0005-0000-0000-000009250000}"/>
    <cellStyle name="Normal 2 18 25" xfId="17397" xr:uid="{00000000-0005-0000-0000-00000A250000}"/>
    <cellStyle name="Normal 2 18 26" xfId="12844" xr:uid="{00000000-0005-0000-0000-00000B250000}"/>
    <cellStyle name="Normal 2 18 27" xfId="12776" xr:uid="{00000000-0005-0000-0000-00000C250000}"/>
    <cellStyle name="Normal 2 18 28" xfId="12525" xr:uid="{00000000-0005-0000-0000-00000D250000}"/>
    <cellStyle name="Normal 2 18 29" xfId="11905" xr:uid="{00000000-0005-0000-0000-00000E250000}"/>
    <cellStyle name="Normal 2 18 3" xfId="27459" xr:uid="{00000000-0005-0000-0000-00000F250000}"/>
    <cellStyle name="Normal 2 18 30" xfId="10986" xr:uid="{00000000-0005-0000-0000-000010250000}"/>
    <cellStyle name="Normal 2 18 31" xfId="7007" xr:uid="{00000000-0005-0000-0000-000011250000}"/>
    <cellStyle name="Normal 2 18 32" xfId="10514" xr:uid="{00000000-0005-0000-0000-000012250000}"/>
    <cellStyle name="Normal 2 18 33" xfId="6100" xr:uid="{00000000-0005-0000-0000-000013250000}"/>
    <cellStyle name="Normal 2 18 34" xfId="5554" xr:uid="{00000000-0005-0000-0000-000014250000}"/>
    <cellStyle name="Normal 2 18 35" xfId="8376" xr:uid="{00000000-0005-0000-0000-000015250000}"/>
    <cellStyle name="Normal 2 18 36" xfId="6378" xr:uid="{00000000-0005-0000-0000-000016250000}"/>
    <cellStyle name="Normal 2 18 37" xfId="9623" xr:uid="{00000000-0005-0000-0000-000017250000}"/>
    <cellStyle name="Normal 2 18 38" xfId="10563" xr:uid="{00000000-0005-0000-0000-000018250000}"/>
    <cellStyle name="Normal 2 18 39" xfId="7647" xr:uid="{00000000-0005-0000-0000-000019250000}"/>
    <cellStyle name="Normal 2 18 4" xfId="26862" xr:uid="{00000000-0005-0000-0000-00001A250000}"/>
    <cellStyle name="Normal 2 18 40" xfId="4094" xr:uid="{00000000-0005-0000-0000-00001B250000}"/>
    <cellStyle name="Normal 2 18 41" xfId="6992" xr:uid="{00000000-0005-0000-0000-00001C250000}"/>
    <cellStyle name="Normal 2 18 42" xfId="8009" xr:uid="{00000000-0005-0000-0000-00001D250000}"/>
    <cellStyle name="Normal 2 18 43" xfId="3151" xr:uid="{00000000-0005-0000-0000-00001E250000}"/>
    <cellStyle name="Normal 2 18 5" xfId="26266" xr:uid="{00000000-0005-0000-0000-00001F250000}"/>
    <cellStyle name="Normal 2 18 6" xfId="25670" xr:uid="{00000000-0005-0000-0000-000020250000}"/>
    <cellStyle name="Normal 2 18 7" xfId="25073" xr:uid="{00000000-0005-0000-0000-000021250000}"/>
    <cellStyle name="Normal 2 18 8" xfId="24476" xr:uid="{00000000-0005-0000-0000-000022250000}"/>
    <cellStyle name="Normal 2 18 9" xfId="23879" xr:uid="{00000000-0005-0000-0000-000023250000}"/>
    <cellStyle name="Normal 2 19" xfId="28654" xr:uid="{00000000-0005-0000-0000-000024250000}"/>
    <cellStyle name="Normal 2 19 10" xfId="23281" xr:uid="{00000000-0005-0000-0000-000025250000}"/>
    <cellStyle name="Normal 2 19 11" xfId="22684" xr:uid="{00000000-0005-0000-0000-000026250000}"/>
    <cellStyle name="Normal 2 19 12" xfId="22088" xr:uid="{00000000-0005-0000-0000-000027250000}"/>
    <cellStyle name="Normal 2 19 13" xfId="21491" xr:uid="{00000000-0005-0000-0000-000028250000}"/>
    <cellStyle name="Normal 2 19 14" xfId="20894" xr:uid="{00000000-0005-0000-0000-000029250000}"/>
    <cellStyle name="Normal 2 19 15" xfId="20297" xr:uid="{00000000-0005-0000-0000-00002A250000}"/>
    <cellStyle name="Normal 2 19 16" xfId="19701" xr:uid="{00000000-0005-0000-0000-00002B250000}"/>
    <cellStyle name="Normal 2 19 17" xfId="19105" xr:uid="{00000000-0005-0000-0000-00002C250000}"/>
    <cellStyle name="Normal 2 19 18" xfId="18512" xr:uid="{00000000-0005-0000-0000-00002D250000}"/>
    <cellStyle name="Normal 2 19 19" xfId="17916" xr:uid="{00000000-0005-0000-0000-00002E250000}"/>
    <cellStyle name="Normal 2 19 2" xfId="28055" xr:uid="{00000000-0005-0000-0000-00002F250000}"/>
    <cellStyle name="Normal 2 19 20" xfId="14341" xr:uid="{00000000-0005-0000-0000-000030250000}"/>
    <cellStyle name="Normal 2 19 21" xfId="13963" xr:uid="{00000000-0005-0000-0000-000031250000}"/>
    <cellStyle name="Normal 2 19 22" xfId="16673" xr:uid="{00000000-0005-0000-0000-000032250000}"/>
    <cellStyle name="Normal 2 19 23" xfId="14095" xr:uid="{00000000-0005-0000-0000-000033250000}"/>
    <cellStyle name="Normal 2 19 24" xfId="13184" xr:uid="{00000000-0005-0000-0000-000034250000}"/>
    <cellStyle name="Normal 2 19 25" xfId="13856" xr:uid="{00000000-0005-0000-0000-000035250000}"/>
    <cellStyle name="Normal 2 19 26" xfId="16663" xr:uid="{00000000-0005-0000-0000-000036250000}"/>
    <cellStyle name="Normal 2 19 27" xfId="13037" xr:uid="{00000000-0005-0000-0000-000037250000}"/>
    <cellStyle name="Normal 2 19 28" xfId="12524" xr:uid="{00000000-0005-0000-0000-000038250000}"/>
    <cellStyle name="Normal 2 19 29" xfId="8085" xr:uid="{00000000-0005-0000-0000-000039250000}"/>
    <cellStyle name="Normal 2 19 3" xfId="27458" xr:uid="{00000000-0005-0000-0000-00003A250000}"/>
    <cellStyle name="Normal 2 19 30" xfId="6892" xr:uid="{00000000-0005-0000-0000-00003B250000}"/>
    <cellStyle name="Normal 2 19 31" xfId="9504" xr:uid="{00000000-0005-0000-0000-00003C250000}"/>
    <cellStyle name="Normal 2 19 32" xfId="7155" xr:uid="{00000000-0005-0000-0000-00003D250000}"/>
    <cellStyle name="Normal 2 19 33" xfId="6596" xr:uid="{00000000-0005-0000-0000-00003E250000}"/>
    <cellStyle name="Normal 2 19 34" xfId="6901" xr:uid="{00000000-0005-0000-0000-00003F250000}"/>
    <cellStyle name="Normal 2 19 35" xfId="4505" xr:uid="{00000000-0005-0000-0000-000040250000}"/>
    <cellStyle name="Normal 2 19 36" xfId="5288" xr:uid="{00000000-0005-0000-0000-000041250000}"/>
    <cellStyle name="Normal 2 19 37" xfId="5535" xr:uid="{00000000-0005-0000-0000-000042250000}"/>
    <cellStyle name="Normal 2 19 38" xfId="5439" xr:uid="{00000000-0005-0000-0000-000043250000}"/>
    <cellStyle name="Normal 2 19 39" xfId="3697" xr:uid="{00000000-0005-0000-0000-000044250000}"/>
    <cellStyle name="Normal 2 19 4" xfId="26861" xr:uid="{00000000-0005-0000-0000-000045250000}"/>
    <cellStyle name="Normal 2 19 40" xfId="8355" xr:uid="{00000000-0005-0000-0000-000046250000}"/>
    <cellStyle name="Normal 2 19 41" xfId="11791" xr:uid="{00000000-0005-0000-0000-000047250000}"/>
    <cellStyle name="Normal 2 19 42" xfId="4959" xr:uid="{00000000-0005-0000-0000-000048250000}"/>
    <cellStyle name="Normal 2 19 43" xfId="9725" xr:uid="{00000000-0005-0000-0000-000049250000}"/>
    <cellStyle name="Normal 2 19 5" xfId="26265" xr:uid="{00000000-0005-0000-0000-00004A250000}"/>
    <cellStyle name="Normal 2 19 6" xfId="25669" xr:uid="{00000000-0005-0000-0000-00004B250000}"/>
    <cellStyle name="Normal 2 19 7" xfId="25072" xr:uid="{00000000-0005-0000-0000-00004C250000}"/>
    <cellStyle name="Normal 2 19 8" xfId="24475" xr:uid="{00000000-0005-0000-0000-00004D250000}"/>
    <cellStyle name="Normal 2 19 9" xfId="23878" xr:uid="{00000000-0005-0000-0000-00004E250000}"/>
    <cellStyle name="Normal 2 2" xfId="28664" xr:uid="{00000000-0005-0000-0000-00004F250000}"/>
    <cellStyle name="Normal 2 2 10" xfId="23280" xr:uid="{00000000-0005-0000-0000-000050250000}"/>
    <cellStyle name="Normal 2 2 11" xfId="22683" xr:uid="{00000000-0005-0000-0000-000051250000}"/>
    <cellStyle name="Normal 2 2 12" xfId="22087" xr:uid="{00000000-0005-0000-0000-000052250000}"/>
    <cellStyle name="Normal 2 2 13" xfId="21490" xr:uid="{00000000-0005-0000-0000-000053250000}"/>
    <cellStyle name="Normal 2 2 14" xfId="20893" xr:uid="{00000000-0005-0000-0000-000054250000}"/>
    <cellStyle name="Normal 2 2 15" xfId="20296" xr:uid="{00000000-0005-0000-0000-000055250000}"/>
    <cellStyle name="Normal 2 2 16" xfId="19700" xr:uid="{00000000-0005-0000-0000-000056250000}"/>
    <cellStyle name="Normal 2 2 17" xfId="19104" xr:uid="{00000000-0005-0000-0000-000057250000}"/>
    <cellStyle name="Normal 2 2 18" xfId="18511" xr:uid="{00000000-0005-0000-0000-000058250000}"/>
    <cellStyle name="Normal 2 2 19" xfId="17915" xr:uid="{00000000-0005-0000-0000-000059250000}"/>
    <cellStyle name="Normal 2 2 2" xfId="28054" xr:uid="{00000000-0005-0000-0000-00005A250000}"/>
    <cellStyle name="Normal 2 2 20" xfId="14532" xr:uid="{00000000-0005-0000-0000-00005B250000}"/>
    <cellStyle name="Normal 2 2 21" xfId="14134" xr:uid="{00000000-0005-0000-0000-00005C250000}"/>
    <cellStyle name="Normal 2 2 22" xfId="13508" xr:uid="{00000000-0005-0000-0000-00005D250000}"/>
    <cellStyle name="Normal 2 2 23" xfId="13358" xr:uid="{00000000-0005-0000-0000-00005E250000}"/>
    <cellStyle name="Normal 2 2 24" xfId="13065" xr:uid="{00000000-0005-0000-0000-00005F250000}"/>
    <cellStyle name="Normal 2 2 25" xfId="13306" xr:uid="{00000000-0005-0000-0000-000060250000}"/>
    <cellStyle name="Normal 2 2 26" xfId="14886" xr:uid="{00000000-0005-0000-0000-000061250000}"/>
    <cellStyle name="Normal 2 2 27" xfId="12784" xr:uid="{00000000-0005-0000-0000-000062250000}"/>
    <cellStyle name="Normal 2 2 28" xfId="12523" xr:uid="{00000000-0005-0000-0000-000063250000}"/>
    <cellStyle name="Normal 2 2 29" xfId="8293" xr:uid="{00000000-0005-0000-0000-000064250000}"/>
    <cellStyle name="Normal 2 2 3" xfId="27457" xr:uid="{00000000-0005-0000-0000-000065250000}"/>
    <cellStyle name="Normal 2 2 30" xfId="9407" xr:uid="{00000000-0005-0000-0000-000066250000}"/>
    <cellStyle name="Normal 2 2 31" xfId="9642" xr:uid="{00000000-0005-0000-0000-000067250000}"/>
    <cellStyle name="Normal 2 2 32" xfId="8756" xr:uid="{00000000-0005-0000-0000-000068250000}"/>
    <cellStyle name="Normal 2 2 33" xfId="6066" xr:uid="{00000000-0005-0000-0000-000069250000}"/>
    <cellStyle name="Normal 2 2 34" xfId="7115" xr:uid="{00000000-0005-0000-0000-00006A250000}"/>
    <cellStyle name="Normal 2 2 35" xfId="7000" xr:uid="{00000000-0005-0000-0000-00006B250000}"/>
    <cellStyle name="Normal 2 2 36" xfId="4371" xr:uid="{00000000-0005-0000-0000-00006C250000}"/>
    <cellStyle name="Normal 2 2 37" xfId="11039" xr:uid="{00000000-0005-0000-0000-00006D250000}"/>
    <cellStyle name="Normal 2 2 38" xfId="9688" xr:uid="{00000000-0005-0000-0000-00006E250000}"/>
    <cellStyle name="Normal 2 2 39" xfId="6997" xr:uid="{00000000-0005-0000-0000-00006F250000}"/>
    <cellStyle name="Normal 2 2 4" xfId="26860" xr:uid="{00000000-0005-0000-0000-000070250000}"/>
    <cellStyle name="Normal 2 2 40" xfId="8010" xr:uid="{00000000-0005-0000-0000-000071250000}"/>
    <cellStyle name="Normal 2 2 41" xfId="5054" xr:uid="{00000000-0005-0000-0000-000072250000}"/>
    <cellStyle name="Normal 2 2 42" xfId="11882" xr:uid="{00000000-0005-0000-0000-000073250000}"/>
    <cellStyle name="Normal 2 2 43" xfId="6831" xr:uid="{00000000-0005-0000-0000-000074250000}"/>
    <cellStyle name="Normal 2 2 44" xfId="2992" xr:uid="{00000000-0005-0000-0000-000075250000}"/>
    <cellStyle name="Normal 2 2 45" xfId="2748" xr:uid="{00000000-0005-0000-0000-000076250000}"/>
    <cellStyle name="Normal 2 2 46" xfId="2508" xr:uid="{00000000-0005-0000-0000-000077250000}"/>
    <cellStyle name="Normal 2 2 47" xfId="2268" xr:uid="{00000000-0005-0000-0000-000078250000}"/>
    <cellStyle name="Normal 2 2 48" xfId="2028" xr:uid="{00000000-0005-0000-0000-000079250000}"/>
    <cellStyle name="Normal 2 2 49" xfId="1788" xr:uid="{00000000-0005-0000-0000-00007A250000}"/>
    <cellStyle name="Normal 2 2 5" xfId="26264" xr:uid="{00000000-0005-0000-0000-00007B250000}"/>
    <cellStyle name="Normal 2 2 50" xfId="1549" xr:uid="{00000000-0005-0000-0000-00007C250000}"/>
    <cellStyle name="Normal 2 2 51" xfId="1309" xr:uid="{00000000-0005-0000-0000-00007D250000}"/>
    <cellStyle name="Normal 2 2 52" xfId="1069" xr:uid="{00000000-0005-0000-0000-00007E250000}"/>
    <cellStyle name="Normal 2 2 53" xfId="829" xr:uid="{00000000-0005-0000-0000-00007F250000}"/>
    <cellStyle name="Normal 2 2 54" xfId="589" xr:uid="{00000000-0005-0000-0000-000080250000}"/>
    <cellStyle name="Normal 2 2 55" xfId="350" xr:uid="{00000000-0005-0000-0000-000081250000}"/>
    <cellStyle name="Normal 2 2 56" xfId="112" xr:uid="{00000000-0005-0000-0000-000082250000}"/>
    <cellStyle name="Normal 2 2 6" xfId="25668" xr:uid="{00000000-0005-0000-0000-000083250000}"/>
    <cellStyle name="Normal 2 2 7" xfId="25071" xr:uid="{00000000-0005-0000-0000-000084250000}"/>
    <cellStyle name="Normal 2 2 8" xfId="24474" xr:uid="{00000000-0005-0000-0000-000085250000}"/>
    <cellStyle name="Normal 2 2 9" xfId="23877" xr:uid="{00000000-0005-0000-0000-000086250000}"/>
    <cellStyle name="Normal 2 20" xfId="28653" xr:uid="{00000000-0005-0000-0000-000087250000}"/>
    <cellStyle name="Normal 2 20 10" xfId="23279" xr:uid="{00000000-0005-0000-0000-000088250000}"/>
    <cellStyle name="Normal 2 20 11" xfId="22682" xr:uid="{00000000-0005-0000-0000-000089250000}"/>
    <cellStyle name="Normal 2 20 12" xfId="22086" xr:uid="{00000000-0005-0000-0000-00008A250000}"/>
    <cellStyle name="Normal 2 20 13" xfId="21489" xr:uid="{00000000-0005-0000-0000-00008B250000}"/>
    <cellStyle name="Normal 2 20 14" xfId="20892" xr:uid="{00000000-0005-0000-0000-00008C250000}"/>
    <cellStyle name="Normal 2 20 15" xfId="20295" xr:uid="{00000000-0005-0000-0000-00008D250000}"/>
    <cellStyle name="Normal 2 20 16" xfId="19699" xr:uid="{00000000-0005-0000-0000-00008E250000}"/>
    <cellStyle name="Normal 2 20 17" xfId="19103" xr:uid="{00000000-0005-0000-0000-00008F250000}"/>
    <cellStyle name="Normal 2 20 18" xfId="18510" xr:uid="{00000000-0005-0000-0000-000090250000}"/>
    <cellStyle name="Normal 2 20 19" xfId="17914" xr:uid="{00000000-0005-0000-0000-000091250000}"/>
    <cellStyle name="Normal 2 20 2" xfId="28053" xr:uid="{00000000-0005-0000-0000-000092250000}"/>
    <cellStyle name="Normal 2 20 20" xfId="14729" xr:uid="{00000000-0005-0000-0000-000093250000}"/>
    <cellStyle name="Normal 2 20 21" xfId="14327" xr:uid="{00000000-0005-0000-0000-000094250000}"/>
    <cellStyle name="Normal 2 20 22" xfId="15885" xr:uid="{00000000-0005-0000-0000-000095250000}"/>
    <cellStyle name="Normal 2 20 23" xfId="16292" xr:uid="{00000000-0005-0000-0000-000096250000}"/>
    <cellStyle name="Normal 2 20 24" xfId="13088" xr:uid="{00000000-0005-0000-0000-000097250000}"/>
    <cellStyle name="Normal 2 20 25" xfId="13468" xr:uid="{00000000-0005-0000-0000-000098250000}"/>
    <cellStyle name="Normal 2 20 26" xfId="15169" xr:uid="{00000000-0005-0000-0000-000099250000}"/>
    <cellStyle name="Normal 2 20 27" xfId="14432" xr:uid="{00000000-0005-0000-0000-00009A250000}"/>
    <cellStyle name="Normal 2 20 28" xfId="12522" xr:uid="{00000000-0005-0000-0000-00009B250000}"/>
    <cellStyle name="Normal 2 20 29" xfId="8508" xr:uid="{00000000-0005-0000-0000-00009C250000}"/>
    <cellStyle name="Normal 2 20 3" xfId="27456" xr:uid="{00000000-0005-0000-0000-00009D250000}"/>
    <cellStyle name="Normal 2 20 30" xfId="8078" xr:uid="{00000000-0005-0000-0000-00009E250000}"/>
    <cellStyle name="Normal 2 20 31" xfId="7435" xr:uid="{00000000-0005-0000-0000-00009F250000}"/>
    <cellStyle name="Normal 2 20 32" xfId="10602" xr:uid="{00000000-0005-0000-0000-0000A0250000}"/>
    <cellStyle name="Normal 2 20 33" xfId="11871" xr:uid="{00000000-0005-0000-0000-0000A1250000}"/>
    <cellStyle name="Normal 2 20 34" xfId="11446" xr:uid="{00000000-0005-0000-0000-0000A2250000}"/>
    <cellStyle name="Normal 2 20 35" xfId="5333" xr:uid="{00000000-0005-0000-0000-0000A3250000}"/>
    <cellStyle name="Normal 2 20 36" xfId="9231" xr:uid="{00000000-0005-0000-0000-0000A4250000}"/>
    <cellStyle name="Normal 2 20 37" xfId="3788" xr:uid="{00000000-0005-0000-0000-0000A5250000}"/>
    <cellStyle name="Normal 2 20 38" xfId="11272" xr:uid="{00000000-0005-0000-0000-0000A6250000}"/>
    <cellStyle name="Normal 2 20 39" xfId="6298" xr:uid="{00000000-0005-0000-0000-0000A7250000}"/>
    <cellStyle name="Normal 2 20 4" xfId="26859" xr:uid="{00000000-0005-0000-0000-0000A8250000}"/>
    <cellStyle name="Normal 2 20 40" xfId="4218" xr:uid="{00000000-0005-0000-0000-0000A9250000}"/>
    <cellStyle name="Normal 2 20 41" xfId="8547" xr:uid="{00000000-0005-0000-0000-0000AA250000}"/>
    <cellStyle name="Normal 2 20 42" xfId="7326" xr:uid="{00000000-0005-0000-0000-0000AB250000}"/>
    <cellStyle name="Normal 2 20 43" xfId="9029" xr:uid="{00000000-0005-0000-0000-0000AC250000}"/>
    <cellStyle name="Normal 2 20 5" xfId="26263" xr:uid="{00000000-0005-0000-0000-0000AD250000}"/>
    <cellStyle name="Normal 2 20 6" xfId="25667" xr:uid="{00000000-0005-0000-0000-0000AE250000}"/>
    <cellStyle name="Normal 2 20 7" xfId="25070" xr:uid="{00000000-0005-0000-0000-0000AF250000}"/>
    <cellStyle name="Normal 2 20 8" xfId="24473" xr:uid="{00000000-0005-0000-0000-0000B0250000}"/>
    <cellStyle name="Normal 2 20 9" xfId="23876" xr:uid="{00000000-0005-0000-0000-0000B1250000}"/>
    <cellStyle name="Normal 2 21" xfId="28652" xr:uid="{00000000-0005-0000-0000-0000B2250000}"/>
    <cellStyle name="Normal 2 21 10" xfId="23278" xr:uid="{00000000-0005-0000-0000-0000B3250000}"/>
    <cellStyle name="Normal 2 21 11" xfId="22681" xr:uid="{00000000-0005-0000-0000-0000B4250000}"/>
    <cellStyle name="Normal 2 21 12" xfId="22085" xr:uid="{00000000-0005-0000-0000-0000B5250000}"/>
    <cellStyle name="Normal 2 21 13" xfId="21488" xr:uid="{00000000-0005-0000-0000-0000B6250000}"/>
    <cellStyle name="Normal 2 21 14" xfId="20891" xr:uid="{00000000-0005-0000-0000-0000B7250000}"/>
    <cellStyle name="Normal 2 21 15" xfId="20294" xr:uid="{00000000-0005-0000-0000-0000B8250000}"/>
    <cellStyle name="Normal 2 21 16" xfId="19698" xr:uid="{00000000-0005-0000-0000-0000B9250000}"/>
    <cellStyle name="Normal 2 21 17" xfId="19102" xr:uid="{00000000-0005-0000-0000-0000BA250000}"/>
    <cellStyle name="Normal 2 21 18" xfId="18509" xr:uid="{00000000-0005-0000-0000-0000BB250000}"/>
    <cellStyle name="Normal 2 21 19" xfId="17913" xr:uid="{00000000-0005-0000-0000-0000BC250000}"/>
    <cellStyle name="Normal 2 21 2" xfId="28052" xr:uid="{00000000-0005-0000-0000-0000BD250000}"/>
    <cellStyle name="Normal 2 21 20" xfId="14931" xr:uid="{00000000-0005-0000-0000-0000BE250000}"/>
    <cellStyle name="Normal 2 21 21" xfId="14314" xr:uid="{00000000-0005-0000-0000-0000BF250000}"/>
    <cellStyle name="Normal 2 21 22" xfId="13657" xr:uid="{00000000-0005-0000-0000-0000C0250000}"/>
    <cellStyle name="Normal 2 21 23" xfId="13491" xr:uid="{00000000-0005-0000-0000-0000C1250000}"/>
    <cellStyle name="Normal 2 21 24" xfId="13440" xr:uid="{00000000-0005-0000-0000-0000C2250000}"/>
    <cellStyle name="Normal 2 21 25" xfId="15386" xr:uid="{00000000-0005-0000-0000-0000C3250000}"/>
    <cellStyle name="Normal 2 21 26" xfId="15849" xr:uid="{00000000-0005-0000-0000-0000C4250000}"/>
    <cellStyle name="Normal 2 21 27" xfId="13750" xr:uid="{00000000-0005-0000-0000-0000C5250000}"/>
    <cellStyle name="Normal 2 21 28" xfId="12521" xr:uid="{00000000-0005-0000-0000-0000C6250000}"/>
    <cellStyle name="Normal 2 21 29" xfId="8724" xr:uid="{00000000-0005-0000-0000-0000C7250000}"/>
    <cellStyle name="Normal 2 21 3" xfId="27455" xr:uid="{00000000-0005-0000-0000-0000C8250000}"/>
    <cellStyle name="Normal 2 21 30" xfId="9186" xr:uid="{00000000-0005-0000-0000-0000C9250000}"/>
    <cellStyle name="Normal 2 21 31" xfId="11596" xr:uid="{00000000-0005-0000-0000-0000CA250000}"/>
    <cellStyle name="Normal 2 21 32" xfId="7456" xr:uid="{00000000-0005-0000-0000-0000CB250000}"/>
    <cellStyle name="Normal 2 21 33" xfId="10831" xr:uid="{00000000-0005-0000-0000-0000CC250000}"/>
    <cellStyle name="Normal 2 21 34" xfId="6640" xr:uid="{00000000-0005-0000-0000-0000CD250000}"/>
    <cellStyle name="Normal 2 21 35" xfId="7133" xr:uid="{00000000-0005-0000-0000-0000CE250000}"/>
    <cellStyle name="Normal 2 21 36" xfId="11757" xr:uid="{00000000-0005-0000-0000-0000CF250000}"/>
    <cellStyle name="Normal 2 21 37" xfId="3990" xr:uid="{00000000-0005-0000-0000-0000D0250000}"/>
    <cellStyle name="Normal 2 21 38" xfId="3801" xr:uid="{00000000-0005-0000-0000-0000D1250000}"/>
    <cellStyle name="Normal 2 21 39" xfId="11644" xr:uid="{00000000-0005-0000-0000-0000D2250000}"/>
    <cellStyle name="Normal 2 21 4" xfId="26858" xr:uid="{00000000-0005-0000-0000-0000D3250000}"/>
    <cellStyle name="Normal 2 21 40" xfId="10684" xr:uid="{00000000-0005-0000-0000-0000D4250000}"/>
    <cellStyle name="Normal 2 21 41" xfId="3587" xr:uid="{00000000-0005-0000-0000-0000D5250000}"/>
    <cellStyle name="Normal 2 21 42" xfId="9846" xr:uid="{00000000-0005-0000-0000-0000D6250000}"/>
    <cellStyle name="Normal 2 21 43" xfId="9624" xr:uid="{00000000-0005-0000-0000-0000D7250000}"/>
    <cellStyle name="Normal 2 21 5" xfId="26262" xr:uid="{00000000-0005-0000-0000-0000D8250000}"/>
    <cellStyle name="Normal 2 21 6" xfId="25666" xr:uid="{00000000-0005-0000-0000-0000D9250000}"/>
    <cellStyle name="Normal 2 21 7" xfId="25069" xr:uid="{00000000-0005-0000-0000-0000DA250000}"/>
    <cellStyle name="Normal 2 21 8" xfId="24472" xr:uid="{00000000-0005-0000-0000-0000DB250000}"/>
    <cellStyle name="Normal 2 21 9" xfId="23875" xr:uid="{00000000-0005-0000-0000-0000DC250000}"/>
    <cellStyle name="Normal 2 22" xfId="28651" xr:uid="{00000000-0005-0000-0000-0000DD250000}"/>
    <cellStyle name="Normal 2 22 10" xfId="23277" xr:uid="{00000000-0005-0000-0000-0000DE250000}"/>
    <cellStyle name="Normal 2 22 11" xfId="22680" xr:uid="{00000000-0005-0000-0000-0000DF250000}"/>
    <cellStyle name="Normal 2 22 12" xfId="22084" xr:uid="{00000000-0005-0000-0000-0000E0250000}"/>
    <cellStyle name="Normal 2 22 13" xfId="21487" xr:uid="{00000000-0005-0000-0000-0000E1250000}"/>
    <cellStyle name="Normal 2 22 14" xfId="20890" xr:uid="{00000000-0005-0000-0000-0000E2250000}"/>
    <cellStyle name="Normal 2 22 15" xfId="20293" xr:uid="{00000000-0005-0000-0000-0000E3250000}"/>
    <cellStyle name="Normal 2 22 16" xfId="19697" xr:uid="{00000000-0005-0000-0000-0000E4250000}"/>
    <cellStyle name="Normal 2 22 17" xfId="19101" xr:uid="{00000000-0005-0000-0000-0000E5250000}"/>
    <cellStyle name="Normal 2 22 18" xfId="18508" xr:uid="{00000000-0005-0000-0000-0000E6250000}"/>
    <cellStyle name="Normal 2 22 19" xfId="17912" xr:uid="{00000000-0005-0000-0000-0000E7250000}"/>
    <cellStyle name="Normal 2 22 2" xfId="28051" xr:uid="{00000000-0005-0000-0000-0000E8250000}"/>
    <cellStyle name="Normal 2 22 20" xfId="15138" xr:uid="{00000000-0005-0000-0000-0000E9250000}"/>
    <cellStyle name="Normal 2 22 21" xfId="17485" xr:uid="{00000000-0005-0000-0000-0000EA250000}"/>
    <cellStyle name="Normal 2 22 22" xfId="13796" xr:uid="{00000000-0005-0000-0000-0000EB250000}"/>
    <cellStyle name="Normal 2 22 23" xfId="16264" xr:uid="{00000000-0005-0000-0000-0000EC250000}"/>
    <cellStyle name="Normal 2 22 24" xfId="13342" xr:uid="{00000000-0005-0000-0000-0000ED250000}"/>
    <cellStyle name="Normal 2 22 25" xfId="14045" xr:uid="{00000000-0005-0000-0000-0000EE250000}"/>
    <cellStyle name="Normal 2 22 26" xfId="15592" xr:uid="{00000000-0005-0000-0000-0000EF250000}"/>
    <cellStyle name="Normal 2 22 27" xfId="13172" xr:uid="{00000000-0005-0000-0000-0000F0250000}"/>
    <cellStyle name="Normal 2 22 28" xfId="12520" xr:uid="{00000000-0005-0000-0000-0000F1250000}"/>
    <cellStyle name="Normal 2 22 29" xfId="8962" xr:uid="{00000000-0005-0000-0000-0000F2250000}"/>
    <cellStyle name="Normal 2 22 3" xfId="27454" xr:uid="{00000000-0005-0000-0000-0000F3250000}"/>
    <cellStyle name="Normal 2 22 30" xfId="11649" xr:uid="{00000000-0005-0000-0000-0000F4250000}"/>
    <cellStyle name="Normal 2 22 31" xfId="5537" xr:uid="{00000000-0005-0000-0000-0000F5250000}"/>
    <cellStyle name="Normal 2 22 32" xfId="8267" xr:uid="{00000000-0005-0000-0000-0000F6250000}"/>
    <cellStyle name="Normal 2 22 33" xfId="6617" xr:uid="{00000000-0005-0000-0000-0000F7250000}"/>
    <cellStyle name="Normal 2 22 34" xfId="11765" xr:uid="{00000000-0005-0000-0000-0000F8250000}"/>
    <cellStyle name="Normal 2 22 35" xfId="8254" xr:uid="{00000000-0005-0000-0000-0000F9250000}"/>
    <cellStyle name="Normal 2 22 36" xfId="9228" xr:uid="{00000000-0005-0000-0000-0000FA250000}"/>
    <cellStyle name="Normal 2 22 37" xfId="3836" xr:uid="{00000000-0005-0000-0000-0000FB250000}"/>
    <cellStyle name="Normal 2 22 38" xfId="4591" xr:uid="{00000000-0005-0000-0000-0000FC250000}"/>
    <cellStyle name="Normal 2 22 39" xfId="7066" xr:uid="{00000000-0005-0000-0000-0000FD250000}"/>
    <cellStyle name="Normal 2 22 4" xfId="26857" xr:uid="{00000000-0005-0000-0000-0000FE250000}"/>
    <cellStyle name="Normal 2 22 40" xfId="4550" xr:uid="{00000000-0005-0000-0000-0000FF250000}"/>
    <cellStyle name="Normal 2 22 41" xfId="3870" xr:uid="{00000000-0005-0000-0000-000000260000}"/>
    <cellStyle name="Normal 2 22 42" xfId="3364" xr:uid="{00000000-0005-0000-0000-000001260000}"/>
    <cellStyle name="Normal 2 22 43" xfId="4317" xr:uid="{00000000-0005-0000-0000-000002260000}"/>
    <cellStyle name="Normal 2 22 5" xfId="26261" xr:uid="{00000000-0005-0000-0000-000003260000}"/>
    <cellStyle name="Normal 2 22 6" xfId="25665" xr:uid="{00000000-0005-0000-0000-000004260000}"/>
    <cellStyle name="Normal 2 22 7" xfId="25068" xr:uid="{00000000-0005-0000-0000-000005260000}"/>
    <cellStyle name="Normal 2 22 8" xfId="24471" xr:uid="{00000000-0005-0000-0000-000006260000}"/>
    <cellStyle name="Normal 2 22 9" xfId="23874" xr:uid="{00000000-0005-0000-0000-000007260000}"/>
    <cellStyle name="Normal 2 23" xfId="28650" xr:uid="{00000000-0005-0000-0000-000008260000}"/>
    <cellStyle name="Normal 2 23 10" xfId="23276" xr:uid="{00000000-0005-0000-0000-000009260000}"/>
    <cellStyle name="Normal 2 23 11" xfId="22679" xr:uid="{00000000-0005-0000-0000-00000A260000}"/>
    <cellStyle name="Normal 2 23 12" xfId="22083" xr:uid="{00000000-0005-0000-0000-00000B260000}"/>
    <cellStyle name="Normal 2 23 13" xfId="21486" xr:uid="{00000000-0005-0000-0000-00000C260000}"/>
    <cellStyle name="Normal 2 23 14" xfId="20889" xr:uid="{00000000-0005-0000-0000-00000D260000}"/>
    <cellStyle name="Normal 2 23 15" xfId="20292" xr:uid="{00000000-0005-0000-0000-00000E260000}"/>
    <cellStyle name="Normal 2 23 16" xfId="19696" xr:uid="{00000000-0005-0000-0000-00000F260000}"/>
    <cellStyle name="Normal 2 23 17" xfId="19100" xr:uid="{00000000-0005-0000-0000-000010260000}"/>
    <cellStyle name="Normal 2 23 18" xfId="18507" xr:uid="{00000000-0005-0000-0000-000011260000}"/>
    <cellStyle name="Normal 2 23 19" xfId="17911" xr:uid="{00000000-0005-0000-0000-000012260000}"/>
    <cellStyle name="Normal 2 23 2" xfId="28050" xr:uid="{00000000-0005-0000-0000-000013260000}"/>
    <cellStyle name="Normal 2 23 20" xfId="15333" xr:uid="{00000000-0005-0000-0000-000014260000}"/>
    <cellStyle name="Normal 2 23 21" xfId="17472" xr:uid="{00000000-0005-0000-0000-000015260000}"/>
    <cellStyle name="Normal 2 23 22" xfId="13945" xr:uid="{00000000-0005-0000-0000-000016260000}"/>
    <cellStyle name="Normal 2 23 23" xfId="16950" xr:uid="{00000000-0005-0000-0000-000017260000}"/>
    <cellStyle name="Normal 2 23 24" xfId="15963" xr:uid="{00000000-0005-0000-0000-000018260000}"/>
    <cellStyle name="Normal 2 23 25" xfId="16631" xr:uid="{00000000-0005-0000-0000-000019260000}"/>
    <cellStyle name="Normal 2 23 26" xfId="13636" xr:uid="{00000000-0005-0000-0000-00001A260000}"/>
    <cellStyle name="Normal 2 23 27" xfId="12906" xr:uid="{00000000-0005-0000-0000-00001B260000}"/>
    <cellStyle name="Normal 2 23 28" xfId="12519" xr:uid="{00000000-0005-0000-0000-00001C260000}"/>
    <cellStyle name="Normal 2 23 29" xfId="9197" xr:uid="{00000000-0005-0000-0000-00001D260000}"/>
    <cellStyle name="Normal 2 23 3" xfId="27453" xr:uid="{00000000-0005-0000-0000-00001E260000}"/>
    <cellStyle name="Normal 2 23 30" xfId="6839" xr:uid="{00000000-0005-0000-0000-00001F260000}"/>
    <cellStyle name="Normal 2 23 31" xfId="5669" xr:uid="{00000000-0005-0000-0000-000020260000}"/>
    <cellStyle name="Normal 2 23 32" xfId="8486" xr:uid="{00000000-0005-0000-0000-000021260000}"/>
    <cellStyle name="Normal 2 23 33" xfId="5500" xr:uid="{00000000-0005-0000-0000-000022260000}"/>
    <cellStyle name="Normal 2 23 34" xfId="7077" xr:uid="{00000000-0005-0000-0000-000023260000}"/>
    <cellStyle name="Normal 2 23 35" xfId="9473" xr:uid="{00000000-0005-0000-0000-000024260000}"/>
    <cellStyle name="Normal 2 23 36" xfId="4362" xr:uid="{00000000-0005-0000-0000-000025260000}"/>
    <cellStyle name="Normal 2 23 37" xfId="4096" xr:uid="{00000000-0005-0000-0000-000026260000}"/>
    <cellStyle name="Normal 2 23 38" xfId="11998" xr:uid="{00000000-0005-0000-0000-000027260000}"/>
    <cellStyle name="Normal 2 23 39" xfId="7301" xr:uid="{00000000-0005-0000-0000-000028260000}"/>
    <cellStyle name="Normal 2 23 4" xfId="26856" xr:uid="{00000000-0005-0000-0000-000029260000}"/>
    <cellStyle name="Normal 2 23 40" xfId="3461" xr:uid="{00000000-0005-0000-0000-00002A260000}"/>
    <cellStyle name="Normal 2 23 41" xfId="4372" xr:uid="{00000000-0005-0000-0000-00002B260000}"/>
    <cellStyle name="Normal 2 23 42" xfId="4452" xr:uid="{00000000-0005-0000-0000-00002C260000}"/>
    <cellStyle name="Normal 2 23 43" xfId="6231" xr:uid="{00000000-0005-0000-0000-00002D260000}"/>
    <cellStyle name="Normal 2 23 5" xfId="26260" xr:uid="{00000000-0005-0000-0000-00002E260000}"/>
    <cellStyle name="Normal 2 23 6" xfId="25664" xr:uid="{00000000-0005-0000-0000-00002F260000}"/>
    <cellStyle name="Normal 2 23 7" xfId="25067" xr:uid="{00000000-0005-0000-0000-000030260000}"/>
    <cellStyle name="Normal 2 23 8" xfId="24470" xr:uid="{00000000-0005-0000-0000-000031260000}"/>
    <cellStyle name="Normal 2 23 9" xfId="23873" xr:uid="{00000000-0005-0000-0000-000032260000}"/>
    <cellStyle name="Normal 2 24" xfId="28649" xr:uid="{00000000-0005-0000-0000-000033260000}"/>
    <cellStyle name="Normal 2 24 10" xfId="23275" xr:uid="{00000000-0005-0000-0000-000034260000}"/>
    <cellStyle name="Normal 2 24 11" xfId="22678" xr:uid="{00000000-0005-0000-0000-000035260000}"/>
    <cellStyle name="Normal 2 24 12" xfId="22082" xr:uid="{00000000-0005-0000-0000-000036260000}"/>
    <cellStyle name="Normal 2 24 13" xfId="21485" xr:uid="{00000000-0005-0000-0000-000037260000}"/>
    <cellStyle name="Normal 2 24 14" xfId="20888" xr:uid="{00000000-0005-0000-0000-000038260000}"/>
    <cellStyle name="Normal 2 24 15" xfId="20291" xr:uid="{00000000-0005-0000-0000-000039260000}"/>
    <cellStyle name="Normal 2 24 16" xfId="19695" xr:uid="{00000000-0005-0000-0000-00003A260000}"/>
    <cellStyle name="Normal 2 24 17" xfId="19099" xr:uid="{00000000-0005-0000-0000-00003B260000}"/>
    <cellStyle name="Normal 2 24 18" xfId="18506" xr:uid="{00000000-0005-0000-0000-00003C260000}"/>
    <cellStyle name="Normal 2 24 19" xfId="17910" xr:uid="{00000000-0005-0000-0000-00003D260000}"/>
    <cellStyle name="Normal 2 24 2" xfId="28049" xr:uid="{00000000-0005-0000-0000-00003E260000}"/>
    <cellStyle name="Normal 2 24 20" xfId="15540" xr:uid="{00000000-0005-0000-0000-00003F260000}"/>
    <cellStyle name="Normal 2 24 21" xfId="17060" xr:uid="{00000000-0005-0000-0000-000040260000}"/>
    <cellStyle name="Normal 2 24 22" xfId="14116" xr:uid="{00000000-0005-0000-0000-000041260000}"/>
    <cellStyle name="Normal 2 24 23" xfId="13914" xr:uid="{00000000-0005-0000-0000-000042260000}"/>
    <cellStyle name="Normal 2 24 24" xfId="17169" xr:uid="{00000000-0005-0000-0000-000043260000}"/>
    <cellStyle name="Normal 2 24 25" xfId="16642" xr:uid="{00000000-0005-0000-0000-000044260000}"/>
    <cellStyle name="Normal 2 24 26" xfId="17401" xr:uid="{00000000-0005-0000-0000-000045260000}"/>
    <cellStyle name="Normal 2 24 27" xfId="16299" xr:uid="{00000000-0005-0000-0000-000046260000}"/>
    <cellStyle name="Normal 2 24 28" xfId="12518" xr:uid="{00000000-0005-0000-0000-000047260000}"/>
    <cellStyle name="Normal 2 24 29" xfId="9430" xr:uid="{00000000-0005-0000-0000-000048260000}"/>
    <cellStyle name="Normal 2 24 3" xfId="27452" xr:uid="{00000000-0005-0000-0000-000049260000}"/>
    <cellStyle name="Normal 2 24 30" xfId="6662" xr:uid="{00000000-0005-0000-0000-00004A260000}"/>
    <cellStyle name="Normal 2 24 31" xfId="7164" xr:uid="{00000000-0005-0000-0000-00004B260000}"/>
    <cellStyle name="Normal 2 24 32" xfId="11933" xr:uid="{00000000-0005-0000-0000-00004C260000}"/>
    <cellStyle name="Normal 2 24 33" xfId="8232" xr:uid="{00000000-0005-0000-0000-00004D260000}"/>
    <cellStyle name="Normal 2 24 34" xfId="8909" xr:uid="{00000000-0005-0000-0000-00004E260000}"/>
    <cellStyle name="Normal 2 24 35" xfId="9112" xr:uid="{00000000-0005-0000-0000-00004F260000}"/>
    <cellStyle name="Normal 2 24 36" xfId="4642" xr:uid="{00000000-0005-0000-0000-000050260000}"/>
    <cellStyle name="Normal 2 24 37" xfId="6399" xr:uid="{00000000-0005-0000-0000-000051260000}"/>
    <cellStyle name="Normal 2 24 38" xfId="6561" xr:uid="{00000000-0005-0000-0000-000052260000}"/>
    <cellStyle name="Normal 2 24 39" xfId="8050" xr:uid="{00000000-0005-0000-0000-000053260000}"/>
    <cellStyle name="Normal 2 24 4" xfId="26855" xr:uid="{00000000-0005-0000-0000-000054260000}"/>
    <cellStyle name="Normal 2 24 40" xfId="4910" xr:uid="{00000000-0005-0000-0000-000055260000}"/>
    <cellStyle name="Normal 2 24 41" xfId="4040" xr:uid="{00000000-0005-0000-0000-000056260000}"/>
    <cellStyle name="Normal 2 24 42" xfId="3347" xr:uid="{00000000-0005-0000-0000-000057260000}"/>
    <cellStyle name="Normal 2 24 43" xfId="10047" xr:uid="{00000000-0005-0000-0000-000058260000}"/>
    <cellStyle name="Normal 2 24 5" xfId="26259" xr:uid="{00000000-0005-0000-0000-000059260000}"/>
    <cellStyle name="Normal 2 24 6" xfId="25663" xr:uid="{00000000-0005-0000-0000-00005A260000}"/>
    <cellStyle name="Normal 2 24 7" xfId="25066" xr:uid="{00000000-0005-0000-0000-00005B260000}"/>
    <cellStyle name="Normal 2 24 8" xfId="24469" xr:uid="{00000000-0005-0000-0000-00005C260000}"/>
    <cellStyle name="Normal 2 24 9" xfId="23872" xr:uid="{00000000-0005-0000-0000-00005D260000}"/>
    <cellStyle name="Normal 2 25" xfId="28648" xr:uid="{00000000-0005-0000-0000-00005E260000}"/>
    <cellStyle name="Normal 2 25 10" xfId="23274" xr:uid="{00000000-0005-0000-0000-00005F260000}"/>
    <cellStyle name="Normal 2 25 11" xfId="22677" xr:uid="{00000000-0005-0000-0000-000060260000}"/>
    <cellStyle name="Normal 2 25 12" xfId="22081" xr:uid="{00000000-0005-0000-0000-000061260000}"/>
    <cellStyle name="Normal 2 25 13" xfId="21484" xr:uid="{00000000-0005-0000-0000-000062260000}"/>
    <cellStyle name="Normal 2 25 14" xfId="20887" xr:uid="{00000000-0005-0000-0000-000063260000}"/>
    <cellStyle name="Normal 2 25 15" xfId="20290" xr:uid="{00000000-0005-0000-0000-000064260000}"/>
    <cellStyle name="Normal 2 25 16" xfId="19694" xr:uid="{00000000-0005-0000-0000-000065260000}"/>
    <cellStyle name="Normal 2 25 17" xfId="19098" xr:uid="{00000000-0005-0000-0000-000066260000}"/>
    <cellStyle name="Normal 2 25 18" xfId="18505" xr:uid="{00000000-0005-0000-0000-000067260000}"/>
    <cellStyle name="Normal 2 25 19" xfId="17909" xr:uid="{00000000-0005-0000-0000-000068260000}"/>
    <cellStyle name="Normal 2 25 2" xfId="28048" xr:uid="{00000000-0005-0000-0000-000069260000}"/>
    <cellStyle name="Normal 2 25 20" xfId="15730" xr:uid="{00000000-0005-0000-0000-00006A260000}"/>
    <cellStyle name="Normal 2 25 21" xfId="16851" xr:uid="{00000000-0005-0000-0000-00006B260000}"/>
    <cellStyle name="Normal 2 25 22" xfId="14105" xr:uid="{00000000-0005-0000-0000-00006C260000}"/>
    <cellStyle name="Normal 2 25 23" xfId="17274" xr:uid="{00000000-0005-0000-0000-00006D260000}"/>
    <cellStyle name="Normal 2 25 24" xfId="15043" xr:uid="{00000000-0005-0000-0000-00006E260000}"/>
    <cellStyle name="Normal 2 25 25" xfId="14057" xr:uid="{00000000-0005-0000-0000-00006F260000}"/>
    <cellStyle name="Normal 2 25 26" xfId="17195" xr:uid="{00000000-0005-0000-0000-000070260000}"/>
    <cellStyle name="Normal 2 25 27" xfId="13211" xr:uid="{00000000-0005-0000-0000-000071260000}"/>
    <cellStyle name="Normal 2 25 28" xfId="12517" xr:uid="{00000000-0005-0000-0000-000072260000}"/>
    <cellStyle name="Normal 2 25 29" xfId="9650" xr:uid="{00000000-0005-0000-0000-000073260000}"/>
    <cellStyle name="Normal 2 25 3" xfId="27451" xr:uid="{00000000-0005-0000-0000-000074260000}"/>
    <cellStyle name="Normal 2 25 30" xfId="10720" xr:uid="{00000000-0005-0000-0000-000075260000}"/>
    <cellStyle name="Normal 2 25 31" xfId="10723" xr:uid="{00000000-0005-0000-0000-000076260000}"/>
    <cellStyle name="Normal 2 25 32" xfId="5716" xr:uid="{00000000-0005-0000-0000-000077260000}"/>
    <cellStyle name="Normal 2 25 33" xfId="6990" xr:uid="{00000000-0005-0000-0000-000078260000}"/>
    <cellStyle name="Normal 2 25 34" xfId="9459" xr:uid="{00000000-0005-0000-0000-000079260000}"/>
    <cellStyle name="Normal 2 25 35" xfId="5792" xr:uid="{00000000-0005-0000-0000-00007A260000}"/>
    <cellStyle name="Normal 2 25 36" xfId="4269" xr:uid="{00000000-0005-0000-0000-00007B260000}"/>
    <cellStyle name="Normal 2 25 37" xfId="11747" xr:uid="{00000000-0005-0000-0000-00007C260000}"/>
    <cellStyle name="Normal 2 25 38" xfId="3579" xr:uid="{00000000-0005-0000-0000-00007D260000}"/>
    <cellStyle name="Normal 2 25 39" xfId="4278" xr:uid="{00000000-0005-0000-0000-00007E260000}"/>
    <cellStyle name="Normal 2 25 4" xfId="26854" xr:uid="{00000000-0005-0000-0000-00007F260000}"/>
    <cellStyle name="Normal 2 25 40" xfId="7477" xr:uid="{00000000-0005-0000-0000-000080260000}"/>
    <cellStyle name="Normal 2 25 41" xfId="11440" xr:uid="{00000000-0005-0000-0000-000081260000}"/>
    <cellStyle name="Normal 2 25 42" xfId="8908" xr:uid="{00000000-0005-0000-0000-000082260000}"/>
    <cellStyle name="Normal 2 25 43" xfId="4205" xr:uid="{00000000-0005-0000-0000-000083260000}"/>
    <cellStyle name="Normal 2 25 5" xfId="26258" xr:uid="{00000000-0005-0000-0000-000084260000}"/>
    <cellStyle name="Normal 2 25 6" xfId="25662" xr:uid="{00000000-0005-0000-0000-000085260000}"/>
    <cellStyle name="Normal 2 25 7" xfId="25065" xr:uid="{00000000-0005-0000-0000-000086260000}"/>
    <cellStyle name="Normal 2 25 8" xfId="24468" xr:uid="{00000000-0005-0000-0000-000087260000}"/>
    <cellStyle name="Normal 2 25 9" xfId="23871" xr:uid="{00000000-0005-0000-0000-000088260000}"/>
    <cellStyle name="Normal 2 26" xfId="28647" xr:uid="{00000000-0005-0000-0000-000089260000}"/>
    <cellStyle name="Normal 2 26 10" xfId="23273" xr:uid="{00000000-0005-0000-0000-00008A260000}"/>
    <cellStyle name="Normal 2 26 11" xfId="22676" xr:uid="{00000000-0005-0000-0000-00008B260000}"/>
    <cellStyle name="Normal 2 26 12" xfId="22080" xr:uid="{00000000-0005-0000-0000-00008C260000}"/>
    <cellStyle name="Normal 2 26 13" xfId="21483" xr:uid="{00000000-0005-0000-0000-00008D260000}"/>
    <cellStyle name="Normal 2 26 14" xfId="20886" xr:uid="{00000000-0005-0000-0000-00008E260000}"/>
    <cellStyle name="Normal 2 26 15" xfId="20289" xr:uid="{00000000-0005-0000-0000-00008F260000}"/>
    <cellStyle name="Normal 2 26 16" xfId="19693" xr:uid="{00000000-0005-0000-0000-000090260000}"/>
    <cellStyle name="Normal 2 26 17" xfId="19097" xr:uid="{00000000-0005-0000-0000-000091260000}"/>
    <cellStyle name="Normal 2 26 18" xfId="18504" xr:uid="{00000000-0005-0000-0000-000092260000}"/>
    <cellStyle name="Normal 2 26 19" xfId="17908" xr:uid="{00000000-0005-0000-0000-000093260000}"/>
    <cellStyle name="Normal 2 26 2" xfId="28047" xr:uid="{00000000-0005-0000-0000-000094260000}"/>
    <cellStyle name="Normal 2 26 20" xfId="15930" xr:uid="{00000000-0005-0000-0000-000095260000}"/>
    <cellStyle name="Normal 2 26 21" xfId="16651" xr:uid="{00000000-0005-0000-0000-000096260000}"/>
    <cellStyle name="Normal 2 26 22" xfId="16947" xr:uid="{00000000-0005-0000-0000-000097260000}"/>
    <cellStyle name="Normal 2 26 23" xfId="14450" xr:uid="{00000000-0005-0000-0000-000098260000}"/>
    <cellStyle name="Normal 2 26 24" xfId="16013" xr:uid="{00000000-0005-0000-0000-000099260000}"/>
    <cellStyle name="Normal 2 26 25" xfId="13603" xr:uid="{00000000-0005-0000-0000-00009A260000}"/>
    <cellStyle name="Normal 2 26 26" xfId="17488" xr:uid="{00000000-0005-0000-0000-00009B260000}"/>
    <cellStyle name="Normal 2 26 27" xfId="12771" xr:uid="{00000000-0005-0000-0000-00009C260000}"/>
    <cellStyle name="Normal 2 26 28" xfId="12516" xr:uid="{00000000-0005-0000-0000-00009D260000}"/>
    <cellStyle name="Normal 2 26 29" xfId="9881" xr:uid="{00000000-0005-0000-0000-00009E260000}"/>
    <cellStyle name="Normal 2 26 3" xfId="27450" xr:uid="{00000000-0005-0000-0000-00009F260000}"/>
    <cellStyle name="Normal 2 26 30" xfId="10712" xr:uid="{00000000-0005-0000-0000-0000A0260000}"/>
    <cellStyle name="Normal 2 26 31" xfId="11492" xr:uid="{00000000-0005-0000-0000-0000A1260000}"/>
    <cellStyle name="Normal 2 26 32" xfId="7975" xr:uid="{00000000-0005-0000-0000-0000A2260000}"/>
    <cellStyle name="Normal 2 26 33" xfId="6053" xr:uid="{00000000-0005-0000-0000-0000A3260000}"/>
    <cellStyle name="Normal 2 26 34" xfId="11978" xr:uid="{00000000-0005-0000-0000-0000A4260000}"/>
    <cellStyle name="Normal 2 26 35" xfId="5123" xr:uid="{00000000-0005-0000-0000-0000A5260000}"/>
    <cellStyle name="Normal 2 26 36" xfId="9085" xr:uid="{00000000-0005-0000-0000-0000A6260000}"/>
    <cellStyle name="Normal 2 26 37" xfId="6008" xr:uid="{00000000-0005-0000-0000-0000A7260000}"/>
    <cellStyle name="Normal 2 26 38" xfId="4100" xr:uid="{00000000-0005-0000-0000-0000A8260000}"/>
    <cellStyle name="Normal 2 26 39" xfId="7984" xr:uid="{00000000-0005-0000-0000-0000A9260000}"/>
    <cellStyle name="Normal 2 26 4" xfId="26853" xr:uid="{00000000-0005-0000-0000-0000AA260000}"/>
    <cellStyle name="Normal 2 26 40" xfId="7355" xr:uid="{00000000-0005-0000-0000-0000AB260000}"/>
    <cellStyle name="Normal 2 26 41" xfId="11651" xr:uid="{00000000-0005-0000-0000-0000AC260000}"/>
    <cellStyle name="Normal 2 26 42" xfId="3350" xr:uid="{00000000-0005-0000-0000-0000AD260000}"/>
    <cellStyle name="Normal 2 26 43" xfId="4994" xr:uid="{00000000-0005-0000-0000-0000AE260000}"/>
    <cellStyle name="Normal 2 26 5" xfId="26257" xr:uid="{00000000-0005-0000-0000-0000AF260000}"/>
    <cellStyle name="Normal 2 26 6" xfId="25661" xr:uid="{00000000-0005-0000-0000-0000B0260000}"/>
    <cellStyle name="Normal 2 26 7" xfId="25064" xr:uid="{00000000-0005-0000-0000-0000B1260000}"/>
    <cellStyle name="Normal 2 26 8" xfId="24467" xr:uid="{00000000-0005-0000-0000-0000B2260000}"/>
    <cellStyle name="Normal 2 26 9" xfId="23870" xr:uid="{00000000-0005-0000-0000-0000B3260000}"/>
    <cellStyle name="Normal 2 27" xfId="28065" xr:uid="{00000000-0005-0000-0000-0000B4260000}"/>
    <cellStyle name="Normal 2 28" xfId="27468" xr:uid="{00000000-0005-0000-0000-0000B5260000}"/>
    <cellStyle name="Normal 2 29" xfId="26871" xr:uid="{00000000-0005-0000-0000-0000B6260000}"/>
    <cellStyle name="Normal 2 3" xfId="28646" xr:uid="{00000000-0005-0000-0000-0000B7260000}"/>
    <cellStyle name="Normal 2 3 10" xfId="23272" xr:uid="{00000000-0005-0000-0000-0000B8260000}"/>
    <cellStyle name="Normal 2 3 11" xfId="22675" xr:uid="{00000000-0005-0000-0000-0000B9260000}"/>
    <cellStyle name="Normal 2 3 12" xfId="22079" xr:uid="{00000000-0005-0000-0000-0000BA260000}"/>
    <cellStyle name="Normal 2 3 13" xfId="21482" xr:uid="{00000000-0005-0000-0000-0000BB260000}"/>
    <cellStyle name="Normal 2 3 14" xfId="20885" xr:uid="{00000000-0005-0000-0000-0000BC260000}"/>
    <cellStyle name="Normal 2 3 15" xfId="20288" xr:uid="{00000000-0005-0000-0000-0000BD260000}"/>
    <cellStyle name="Normal 2 3 16" xfId="19692" xr:uid="{00000000-0005-0000-0000-0000BE260000}"/>
    <cellStyle name="Normal 2 3 17" xfId="19096" xr:uid="{00000000-0005-0000-0000-0000BF260000}"/>
    <cellStyle name="Normal 2 3 18" xfId="18503" xr:uid="{00000000-0005-0000-0000-0000C0260000}"/>
    <cellStyle name="Normal 2 3 19" xfId="17907" xr:uid="{00000000-0005-0000-0000-0000C1260000}"/>
    <cellStyle name="Normal 2 3 2" xfId="28046" xr:uid="{00000000-0005-0000-0000-0000C2260000}"/>
    <cellStyle name="Normal 2 3 20" xfId="16138" xr:uid="{00000000-0005-0000-0000-0000C3260000}"/>
    <cellStyle name="Normal 2 3 21" xfId="16042" xr:uid="{00000000-0005-0000-0000-0000C4260000}"/>
    <cellStyle name="Normal 2 3 22" xfId="14176" xr:uid="{00000000-0005-0000-0000-0000C5260000}"/>
    <cellStyle name="Normal 2 3 23" xfId="14992" xr:uid="{00000000-0005-0000-0000-0000C6260000}"/>
    <cellStyle name="Normal 2 3 24" xfId="14894" xr:uid="{00000000-0005-0000-0000-0000C7260000}"/>
    <cellStyle name="Normal 2 3 25" xfId="13070" xr:uid="{00000000-0005-0000-0000-0000C8260000}"/>
    <cellStyle name="Normal 2 3 26" xfId="14897" xr:uid="{00000000-0005-0000-0000-0000C9260000}"/>
    <cellStyle name="Normal 2 3 27" xfId="15077" xr:uid="{00000000-0005-0000-0000-0000CA260000}"/>
    <cellStyle name="Normal 2 3 28" xfId="12515" xr:uid="{00000000-0005-0000-0000-0000CB260000}"/>
    <cellStyle name="Normal 2 3 29" xfId="10116" xr:uid="{00000000-0005-0000-0000-0000CC260000}"/>
    <cellStyle name="Normal 2 3 3" xfId="27449" xr:uid="{00000000-0005-0000-0000-0000CD260000}"/>
    <cellStyle name="Normal 2 3 30" xfId="9118" xr:uid="{00000000-0005-0000-0000-0000CE260000}"/>
    <cellStyle name="Normal 2 3 31" xfId="9643" xr:uid="{00000000-0005-0000-0000-0000CF260000}"/>
    <cellStyle name="Normal 2 3 32" xfId="10463" xr:uid="{00000000-0005-0000-0000-0000D0260000}"/>
    <cellStyle name="Normal 2 3 33" xfId="5458" xr:uid="{00000000-0005-0000-0000-0000D1260000}"/>
    <cellStyle name="Normal 2 3 34" xfId="5136" xr:uid="{00000000-0005-0000-0000-0000D2260000}"/>
    <cellStyle name="Normal 2 3 35" xfId="8338" xr:uid="{00000000-0005-0000-0000-0000D3260000}"/>
    <cellStyle name="Normal 2 3 36" xfId="5622" xr:uid="{00000000-0005-0000-0000-0000D4260000}"/>
    <cellStyle name="Normal 2 3 37" xfId="10079" xr:uid="{00000000-0005-0000-0000-0000D5260000}"/>
    <cellStyle name="Normal 2 3 38" xfId="3615" xr:uid="{00000000-0005-0000-0000-0000D6260000}"/>
    <cellStyle name="Normal 2 3 39" xfId="4980" xr:uid="{00000000-0005-0000-0000-0000D7260000}"/>
    <cellStyle name="Normal 2 3 4" xfId="26852" xr:uid="{00000000-0005-0000-0000-0000D8260000}"/>
    <cellStyle name="Normal 2 3 40" xfId="10263" xr:uid="{00000000-0005-0000-0000-0000D9260000}"/>
    <cellStyle name="Normal 2 3 41" xfId="4056" xr:uid="{00000000-0005-0000-0000-0000DA260000}"/>
    <cellStyle name="Normal 2 3 42" xfId="3628" xr:uid="{00000000-0005-0000-0000-0000DB260000}"/>
    <cellStyle name="Normal 2 3 43" xfId="3324" xr:uid="{00000000-0005-0000-0000-0000DC260000}"/>
    <cellStyle name="Normal 2 3 44" xfId="2991" xr:uid="{00000000-0005-0000-0000-0000DD260000}"/>
    <cellStyle name="Normal 2 3 45" xfId="2747" xr:uid="{00000000-0005-0000-0000-0000DE260000}"/>
    <cellStyle name="Normal 2 3 46" xfId="2507" xr:uid="{00000000-0005-0000-0000-0000DF260000}"/>
    <cellStyle name="Normal 2 3 47" xfId="2267" xr:uid="{00000000-0005-0000-0000-0000E0260000}"/>
    <cellStyle name="Normal 2 3 48" xfId="2027" xr:uid="{00000000-0005-0000-0000-0000E1260000}"/>
    <cellStyle name="Normal 2 3 49" xfId="1787" xr:uid="{00000000-0005-0000-0000-0000E2260000}"/>
    <cellStyle name="Normal 2 3 5" xfId="26256" xr:uid="{00000000-0005-0000-0000-0000E3260000}"/>
    <cellStyle name="Normal 2 3 50" xfId="1548" xr:uid="{00000000-0005-0000-0000-0000E4260000}"/>
    <cellStyle name="Normal 2 3 51" xfId="1308" xr:uid="{00000000-0005-0000-0000-0000E5260000}"/>
    <cellStyle name="Normal 2 3 52" xfId="1068" xr:uid="{00000000-0005-0000-0000-0000E6260000}"/>
    <cellStyle name="Normal 2 3 53" xfId="828" xr:uid="{00000000-0005-0000-0000-0000E7260000}"/>
    <cellStyle name="Normal 2 3 54" xfId="588" xr:uid="{00000000-0005-0000-0000-0000E8260000}"/>
    <cellStyle name="Normal 2 3 55" xfId="349" xr:uid="{00000000-0005-0000-0000-0000E9260000}"/>
    <cellStyle name="Normal 2 3 56" xfId="111" xr:uid="{00000000-0005-0000-0000-0000EA260000}"/>
    <cellStyle name="Normal 2 3 57" xfId="28921" xr:uid="{00000000-0005-0000-0000-0000EB260000}"/>
    <cellStyle name="Normal 2 3 6" xfId="25660" xr:uid="{00000000-0005-0000-0000-0000EC260000}"/>
    <cellStyle name="Normal 2 3 7" xfId="25063" xr:uid="{00000000-0005-0000-0000-0000ED260000}"/>
    <cellStyle name="Normal 2 3 8" xfId="24466" xr:uid="{00000000-0005-0000-0000-0000EE260000}"/>
    <cellStyle name="Normal 2 3 9" xfId="23869" xr:uid="{00000000-0005-0000-0000-0000EF260000}"/>
    <cellStyle name="Normal 2 30" xfId="26275" xr:uid="{00000000-0005-0000-0000-0000F0260000}"/>
    <cellStyle name="Normal 2 31" xfId="25679" xr:uid="{00000000-0005-0000-0000-0000F1260000}"/>
    <cellStyle name="Normal 2 32" xfId="25082" xr:uid="{00000000-0005-0000-0000-0000F2260000}"/>
    <cellStyle name="Normal 2 33" xfId="24485" xr:uid="{00000000-0005-0000-0000-0000F3260000}"/>
    <cellStyle name="Normal 2 34" xfId="23888" xr:uid="{00000000-0005-0000-0000-0000F4260000}"/>
    <cellStyle name="Normal 2 35" xfId="23291" xr:uid="{00000000-0005-0000-0000-0000F5260000}"/>
    <cellStyle name="Normal 2 36" xfId="22694" xr:uid="{00000000-0005-0000-0000-0000F6260000}"/>
    <cellStyle name="Normal 2 37" xfId="22098" xr:uid="{00000000-0005-0000-0000-0000F7260000}"/>
    <cellStyle name="Normal 2 38" xfId="21501" xr:uid="{00000000-0005-0000-0000-0000F8260000}"/>
    <cellStyle name="Normal 2 39" xfId="20904" xr:uid="{00000000-0005-0000-0000-0000F9260000}"/>
    <cellStyle name="Normal 2 4" xfId="28645" xr:uid="{00000000-0005-0000-0000-0000FA260000}"/>
    <cellStyle name="Normal 2 4 10" xfId="23271" xr:uid="{00000000-0005-0000-0000-0000FB260000}"/>
    <cellStyle name="Normal 2 4 11" xfId="22674" xr:uid="{00000000-0005-0000-0000-0000FC260000}"/>
    <cellStyle name="Normal 2 4 12" xfId="22078" xr:uid="{00000000-0005-0000-0000-0000FD260000}"/>
    <cellStyle name="Normal 2 4 13" xfId="21481" xr:uid="{00000000-0005-0000-0000-0000FE260000}"/>
    <cellStyle name="Normal 2 4 14" xfId="20884" xr:uid="{00000000-0005-0000-0000-0000FF260000}"/>
    <cellStyle name="Normal 2 4 15" xfId="20287" xr:uid="{00000000-0005-0000-0000-000000270000}"/>
    <cellStyle name="Normal 2 4 16" xfId="19691" xr:uid="{00000000-0005-0000-0000-000001270000}"/>
    <cellStyle name="Normal 2 4 17" xfId="19095" xr:uid="{00000000-0005-0000-0000-000002270000}"/>
    <cellStyle name="Normal 2 4 18" xfId="18502" xr:uid="{00000000-0005-0000-0000-000003270000}"/>
    <cellStyle name="Normal 2 4 19" xfId="17906" xr:uid="{00000000-0005-0000-0000-000004270000}"/>
    <cellStyle name="Normal 2 4 2" xfId="28045" xr:uid="{00000000-0005-0000-0000-000005270000}"/>
    <cellStyle name="Normal 2 4 20" xfId="16339" xr:uid="{00000000-0005-0000-0000-000006270000}"/>
    <cellStyle name="Normal 2 4 21" xfId="15629" xr:uid="{00000000-0005-0000-0000-000007270000}"/>
    <cellStyle name="Normal 2 4 22" xfId="15190" xr:uid="{00000000-0005-0000-0000-000008270000}"/>
    <cellStyle name="Normal 2 4 23" xfId="17179" xr:uid="{00000000-0005-0000-0000-000009270000}"/>
    <cellStyle name="Normal 2 4 24" xfId="13585" xr:uid="{00000000-0005-0000-0000-00000A270000}"/>
    <cellStyle name="Normal 2 4 25" xfId="13477" xr:uid="{00000000-0005-0000-0000-00000B270000}"/>
    <cellStyle name="Normal 2 4 26" xfId="12922" xr:uid="{00000000-0005-0000-0000-00000C270000}"/>
    <cellStyle name="Normal 2 4 27" xfId="14767" xr:uid="{00000000-0005-0000-0000-00000D270000}"/>
    <cellStyle name="Normal 2 4 28" xfId="12514" xr:uid="{00000000-0005-0000-0000-00000E270000}"/>
    <cellStyle name="Normal 2 4 29" xfId="11483" xr:uid="{00000000-0005-0000-0000-00000F270000}"/>
    <cellStyle name="Normal 2 4 3" xfId="27448" xr:uid="{00000000-0005-0000-0000-000010270000}"/>
    <cellStyle name="Normal 2 4 30" xfId="8027" xr:uid="{00000000-0005-0000-0000-000011270000}"/>
    <cellStyle name="Normal 2 4 31" xfId="11527" xr:uid="{00000000-0005-0000-0000-000012270000}"/>
    <cellStyle name="Normal 2 4 32" xfId="5454" xr:uid="{00000000-0005-0000-0000-000013270000}"/>
    <cellStyle name="Normal 2 4 33" xfId="8456" xr:uid="{00000000-0005-0000-0000-000014270000}"/>
    <cellStyle name="Normal 2 4 34" xfId="8452" xr:uid="{00000000-0005-0000-0000-000015270000}"/>
    <cellStyle name="Normal 2 4 35" xfId="5920" xr:uid="{00000000-0005-0000-0000-000016270000}"/>
    <cellStyle name="Normal 2 4 36" xfId="8433" xr:uid="{00000000-0005-0000-0000-000017270000}"/>
    <cellStyle name="Normal 2 4 37" xfId="11984" xr:uid="{00000000-0005-0000-0000-000018270000}"/>
    <cellStyle name="Normal 2 4 38" xfId="11190" xr:uid="{00000000-0005-0000-0000-000019270000}"/>
    <cellStyle name="Normal 2 4 39" xfId="9961" xr:uid="{00000000-0005-0000-0000-00001A270000}"/>
    <cellStyle name="Normal 2 4 4" xfId="26851" xr:uid="{00000000-0005-0000-0000-00001B270000}"/>
    <cellStyle name="Normal 2 4 40" xfId="9771" xr:uid="{00000000-0005-0000-0000-00001C270000}"/>
    <cellStyle name="Normal 2 4 41" xfId="8704" xr:uid="{00000000-0005-0000-0000-00001D270000}"/>
    <cellStyle name="Normal 2 4 42" xfId="7577" xr:uid="{00000000-0005-0000-0000-00001E270000}"/>
    <cellStyle name="Normal 2 4 43" xfId="3783" xr:uid="{00000000-0005-0000-0000-00001F270000}"/>
    <cellStyle name="Normal 2 4 44" xfId="2990" xr:uid="{00000000-0005-0000-0000-000020270000}"/>
    <cellStyle name="Normal 2 4 45" xfId="2746" xr:uid="{00000000-0005-0000-0000-000021270000}"/>
    <cellStyle name="Normal 2 4 46" xfId="2506" xr:uid="{00000000-0005-0000-0000-000022270000}"/>
    <cellStyle name="Normal 2 4 47" xfId="2266" xr:uid="{00000000-0005-0000-0000-000023270000}"/>
    <cellStyle name="Normal 2 4 48" xfId="2026" xr:uid="{00000000-0005-0000-0000-000024270000}"/>
    <cellStyle name="Normal 2 4 49" xfId="1786" xr:uid="{00000000-0005-0000-0000-000025270000}"/>
    <cellStyle name="Normal 2 4 5" xfId="26255" xr:uid="{00000000-0005-0000-0000-000026270000}"/>
    <cellStyle name="Normal 2 4 50" xfId="1547" xr:uid="{00000000-0005-0000-0000-000027270000}"/>
    <cellStyle name="Normal 2 4 51" xfId="1307" xr:uid="{00000000-0005-0000-0000-000028270000}"/>
    <cellStyle name="Normal 2 4 52" xfId="1067" xr:uid="{00000000-0005-0000-0000-000029270000}"/>
    <cellStyle name="Normal 2 4 53" xfId="827" xr:uid="{00000000-0005-0000-0000-00002A270000}"/>
    <cellStyle name="Normal 2 4 54" xfId="587" xr:uid="{00000000-0005-0000-0000-00002B270000}"/>
    <cellStyle name="Normal 2 4 55" xfId="348" xr:uid="{00000000-0005-0000-0000-00002C270000}"/>
    <cellStyle name="Normal 2 4 56" xfId="110" xr:uid="{00000000-0005-0000-0000-00002D270000}"/>
    <cellStyle name="Normal 2 4 6" xfId="25659" xr:uid="{00000000-0005-0000-0000-00002E270000}"/>
    <cellStyle name="Normal 2 4 7" xfId="25062" xr:uid="{00000000-0005-0000-0000-00002F270000}"/>
    <cellStyle name="Normal 2 4 8" xfId="24465" xr:uid="{00000000-0005-0000-0000-000030270000}"/>
    <cellStyle name="Normal 2 4 9" xfId="23868" xr:uid="{00000000-0005-0000-0000-000031270000}"/>
    <cellStyle name="Normal 2 40" xfId="20307" xr:uid="{00000000-0005-0000-0000-000032270000}"/>
    <cellStyle name="Normal 2 41" xfId="19711" xr:uid="{00000000-0005-0000-0000-000033270000}"/>
    <cellStyle name="Normal 2 42" xfId="19115" xr:uid="{00000000-0005-0000-0000-000034270000}"/>
    <cellStyle name="Normal 2 43" xfId="18522" xr:uid="{00000000-0005-0000-0000-000035270000}"/>
    <cellStyle name="Normal 2 44" xfId="17926" xr:uid="{00000000-0005-0000-0000-000036270000}"/>
    <cellStyle name="Normal 2 45" xfId="15729" xr:uid="{00000000-0005-0000-0000-000037270000}"/>
    <cellStyle name="Normal 2 46" xfId="17052" xr:uid="{00000000-0005-0000-0000-000038270000}"/>
    <cellStyle name="Normal 2 47" xfId="14090" xr:uid="{00000000-0005-0000-0000-000039270000}"/>
    <cellStyle name="Normal 2 48" xfId="13756" xr:uid="{00000000-0005-0000-0000-00003A270000}"/>
    <cellStyle name="Normal 2 49" xfId="13596" xr:uid="{00000000-0005-0000-0000-00003B270000}"/>
    <cellStyle name="Normal 2 5" xfId="28644" xr:uid="{00000000-0005-0000-0000-00003C270000}"/>
    <cellStyle name="Normal 2 5 10" xfId="23270" xr:uid="{00000000-0005-0000-0000-00003D270000}"/>
    <cellStyle name="Normal 2 5 11" xfId="22673" xr:uid="{00000000-0005-0000-0000-00003E270000}"/>
    <cellStyle name="Normal 2 5 12" xfId="22077" xr:uid="{00000000-0005-0000-0000-00003F270000}"/>
    <cellStyle name="Normal 2 5 13" xfId="21480" xr:uid="{00000000-0005-0000-0000-000040270000}"/>
    <cellStyle name="Normal 2 5 14" xfId="20883" xr:uid="{00000000-0005-0000-0000-000041270000}"/>
    <cellStyle name="Normal 2 5 15" xfId="20286" xr:uid="{00000000-0005-0000-0000-000042270000}"/>
    <cellStyle name="Normal 2 5 16" xfId="19690" xr:uid="{00000000-0005-0000-0000-000043270000}"/>
    <cellStyle name="Normal 2 5 17" xfId="19094" xr:uid="{00000000-0005-0000-0000-000044270000}"/>
    <cellStyle name="Normal 2 5 18" xfId="18501" xr:uid="{00000000-0005-0000-0000-000045270000}"/>
    <cellStyle name="Normal 2 5 19" xfId="17905" xr:uid="{00000000-0005-0000-0000-000046270000}"/>
    <cellStyle name="Normal 2 5 2" xfId="28044" xr:uid="{00000000-0005-0000-0000-000047270000}"/>
    <cellStyle name="Normal 2 5 20" xfId="16529" xr:uid="{00000000-0005-0000-0000-000048270000}"/>
    <cellStyle name="Normal 2 5 21" xfId="15225" xr:uid="{00000000-0005-0000-0000-000049270000}"/>
    <cellStyle name="Normal 2 5 22" xfId="15385" xr:uid="{00000000-0005-0000-0000-00004A270000}"/>
    <cellStyle name="Normal 2 5 23" xfId="16894" xr:uid="{00000000-0005-0000-0000-00004B270000}"/>
    <cellStyle name="Normal 2 5 24" xfId="14394" xr:uid="{00000000-0005-0000-0000-00004C270000}"/>
    <cellStyle name="Normal 2 5 25" xfId="12903" xr:uid="{00000000-0005-0000-0000-00004D270000}"/>
    <cellStyle name="Normal 2 5 26" xfId="15076" xr:uid="{00000000-0005-0000-0000-00004E270000}"/>
    <cellStyle name="Normal 2 5 27" xfId="15608" xr:uid="{00000000-0005-0000-0000-00004F270000}"/>
    <cellStyle name="Normal 2 5 28" xfId="12513" xr:uid="{00000000-0005-0000-0000-000050270000}"/>
    <cellStyle name="Normal 2 5 29" xfId="11706" xr:uid="{00000000-0005-0000-0000-000051270000}"/>
    <cellStyle name="Normal 2 5 3" xfId="27447" xr:uid="{00000000-0005-0000-0000-000052270000}"/>
    <cellStyle name="Normal 2 5 30" xfId="9108" xr:uid="{00000000-0005-0000-0000-000053270000}"/>
    <cellStyle name="Normal 2 5 31" xfId="7732" xr:uid="{00000000-0005-0000-0000-000054270000}"/>
    <cellStyle name="Normal 2 5 32" xfId="11501" xr:uid="{00000000-0005-0000-0000-000055270000}"/>
    <cellStyle name="Normal 2 5 33" xfId="8801" xr:uid="{00000000-0005-0000-0000-000056270000}"/>
    <cellStyle name="Normal 2 5 34" xfId="6419" xr:uid="{00000000-0005-0000-0000-000057270000}"/>
    <cellStyle name="Normal 2 5 35" xfId="6450" xr:uid="{00000000-0005-0000-0000-000058270000}"/>
    <cellStyle name="Normal 2 5 36" xfId="8900" xr:uid="{00000000-0005-0000-0000-000059270000}"/>
    <cellStyle name="Normal 2 5 37" xfId="5327" xr:uid="{00000000-0005-0000-0000-00005A270000}"/>
    <cellStyle name="Normal 2 5 38" xfId="3666" xr:uid="{00000000-0005-0000-0000-00005B270000}"/>
    <cellStyle name="Normal 2 5 39" xfId="7556" xr:uid="{00000000-0005-0000-0000-00005C270000}"/>
    <cellStyle name="Normal 2 5 4" xfId="26850" xr:uid="{00000000-0005-0000-0000-00005D270000}"/>
    <cellStyle name="Normal 2 5 40" xfId="6072" xr:uid="{00000000-0005-0000-0000-00005E270000}"/>
    <cellStyle name="Normal 2 5 41" xfId="3796" xr:uid="{00000000-0005-0000-0000-00005F270000}"/>
    <cellStyle name="Normal 2 5 42" xfId="7758" xr:uid="{00000000-0005-0000-0000-000060270000}"/>
    <cellStyle name="Normal 2 5 43" xfId="3687" xr:uid="{00000000-0005-0000-0000-000061270000}"/>
    <cellStyle name="Normal 2 5 44" xfId="2989" xr:uid="{00000000-0005-0000-0000-000062270000}"/>
    <cellStyle name="Normal 2 5 45" xfId="2745" xr:uid="{00000000-0005-0000-0000-000063270000}"/>
    <cellStyle name="Normal 2 5 46" xfId="2505" xr:uid="{00000000-0005-0000-0000-000064270000}"/>
    <cellStyle name="Normal 2 5 47" xfId="2265" xr:uid="{00000000-0005-0000-0000-000065270000}"/>
    <cellStyle name="Normal 2 5 48" xfId="2025" xr:uid="{00000000-0005-0000-0000-000066270000}"/>
    <cellStyle name="Normal 2 5 49" xfId="1785" xr:uid="{00000000-0005-0000-0000-000067270000}"/>
    <cellStyle name="Normal 2 5 5" xfId="26254" xr:uid="{00000000-0005-0000-0000-000068270000}"/>
    <cellStyle name="Normal 2 5 50" xfId="1546" xr:uid="{00000000-0005-0000-0000-000069270000}"/>
    <cellStyle name="Normal 2 5 51" xfId="1306" xr:uid="{00000000-0005-0000-0000-00006A270000}"/>
    <cellStyle name="Normal 2 5 52" xfId="1066" xr:uid="{00000000-0005-0000-0000-00006B270000}"/>
    <cellStyle name="Normal 2 5 53" xfId="826" xr:uid="{00000000-0005-0000-0000-00006C270000}"/>
    <cellStyle name="Normal 2 5 54" xfId="586" xr:uid="{00000000-0005-0000-0000-00006D270000}"/>
    <cellStyle name="Normal 2 5 55" xfId="347" xr:uid="{00000000-0005-0000-0000-00006E270000}"/>
    <cellStyle name="Normal 2 5 56" xfId="109" xr:uid="{00000000-0005-0000-0000-00006F270000}"/>
    <cellStyle name="Normal 2 5 6" xfId="25658" xr:uid="{00000000-0005-0000-0000-000070270000}"/>
    <cellStyle name="Normal 2 5 7" xfId="25061" xr:uid="{00000000-0005-0000-0000-000071270000}"/>
    <cellStyle name="Normal 2 5 8" xfId="24464" xr:uid="{00000000-0005-0000-0000-000072270000}"/>
    <cellStyle name="Normal 2 5 9" xfId="23867" xr:uid="{00000000-0005-0000-0000-000073270000}"/>
    <cellStyle name="Normal 2 50" xfId="12949" xr:uid="{00000000-0005-0000-0000-000074270000}"/>
    <cellStyle name="Normal 2 51" xfId="13033" xr:uid="{00000000-0005-0000-0000-000075270000}"/>
    <cellStyle name="Normal 2 52" xfId="12836" xr:uid="{00000000-0005-0000-0000-000076270000}"/>
    <cellStyle name="Normal 2 53" xfId="12534" xr:uid="{00000000-0005-0000-0000-000077270000}"/>
    <cellStyle name="Normal 2 54" xfId="11690" xr:uid="{00000000-0005-0000-0000-000078270000}"/>
    <cellStyle name="Normal 2 55" xfId="8807" xr:uid="{00000000-0005-0000-0000-000079270000}"/>
    <cellStyle name="Normal 2 56" xfId="7210" xr:uid="{00000000-0005-0000-0000-00007A270000}"/>
    <cellStyle name="Normal 2 57" xfId="6043" xr:uid="{00000000-0005-0000-0000-00007B270000}"/>
    <cellStyle name="Normal 2 58" xfId="8665" xr:uid="{00000000-0005-0000-0000-00007C270000}"/>
    <cellStyle name="Normal 2 59" xfId="7717" xr:uid="{00000000-0005-0000-0000-00007D270000}"/>
    <cellStyle name="Normal 2 6" xfId="28643" xr:uid="{00000000-0005-0000-0000-00007E270000}"/>
    <cellStyle name="Normal 2 6 10" xfId="23269" xr:uid="{00000000-0005-0000-0000-00007F270000}"/>
    <cellStyle name="Normal 2 6 11" xfId="22672" xr:uid="{00000000-0005-0000-0000-000080270000}"/>
    <cellStyle name="Normal 2 6 12" xfId="22076" xr:uid="{00000000-0005-0000-0000-000081270000}"/>
    <cellStyle name="Normal 2 6 13" xfId="21479" xr:uid="{00000000-0005-0000-0000-000082270000}"/>
    <cellStyle name="Normal 2 6 14" xfId="20882" xr:uid="{00000000-0005-0000-0000-000083270000}"/>
    <cellStyle name="Normal 2 6 15" xfId="20285" xr:uid="{00000000-0005-0000-0000-000084270000}"/>
    <cellStyle name="Normal 2 6 16" xfId="19689" xr:uid="{00000000-0005-0000-0000-000085270000}"/>
    <cellStyle name="Normal 2 6 17" xfId="19093" xr:uid="{00000000-0005-0000-0000-000086270000}"/>
    <cellStyle name="Normal 2 6 18" xfId="18500" xr:uid="{00000000-0005-0000-0000-000087270000}"/>
    <cellStyle name="Normal 2 6 19" xfId="17904" xr:uid="{00000000-0005-0000-0000-000088270000}"/>
    <cellStyle name="Normal 2 6 2" xfId="28043" xr:uid="{00000000-0005-0000-0000-000089270000}"/>
    <cellStyle name="Normal 2 6 20" xfId="16723" xr:uid="{00000000-0005-0000-0000-00008A270000}"/>
    <cellStyle name="Normal 2 6 21" xfId="14806" xr:uid="{00000000-0005-0000-0000-00008B270000}"/>
    <cellStyle name="Normal 2 6 22" xfId="14999" xr:uid="{00000000-0005-0000-0000-00008C270000}"/>
    <cellStyle name="Normal 2 6 23" xfId="14245" xr:uid="{00000000-0005-0000-0000-00008D270000}"/>
    <cellStyle name="Normal 2 6 24" xfId="14211" xr:uid="{00000000-0005-0000-0000-00008E270000}"/>
    <cellStyle name="Normal 2 6 25" xfId="12931" xr:uid="{00000000-0005-0000-0000-00008F270000}"/>
    <cellStyle name="Normal 2 6 26" xfId="13082" xr:uid="{00000000-0005-0000-0000-000090270000}"/>
    <cellStyle name="Normal 2 6 27" xfId="12928" xr:uid="{00000000-0005-0000-0000-000091270000}"/>
    <cellStyle name="Normal 2 6 28" xfId="12512" xr:uid="{00000000-0005-0000-0000-000092270000}"/>
    <cellStyle name="Normal 2 6 29" xfId="11922" xr:uid="{00000000-0005-0000-0000-000093270000}"/>
    <cellStyle name="Normal 2 6 3" xfId="27446" xr:uid="{00000000-0005-0000-0000-000094270000}"/>
    <cellStyle name="Normal 2 6 30" xfId="8028" xr:uid="{00000000-0005-0000-0000-000095270000}"/>
    <cellStyle name="Normal 2 6 31" xfId="10483" xr:uid="{00000000-0005-0000-0000-000096270000}"/>
    <cellStyle name="Normal 2 6 32" xfId="5226" xr:uid="{00000000-0005-0000-0000-000097270000}"/>
    <cellStyle name="Normal 2 6 33" xfId="9216" xr:uid="{00000000-0005-0000-0000-000098270000}"/>
    <cellStyle name="Normal 2 6 34" xfId="11157" xr:uid="{00000000-0005-0000-0000-000099270000}"/>
    <cellStyle name="Normal 2 6 35" xfId="4518" xr:uid="{00000000-0005-0000-0000-00009A270000}"/>
    <cellStyle name="Normal 2 6 36" xfId="5111" xr:uid="{00000000-0005-0000-0000-00009B270000}"/>
    <cellStyle name="Normal 2 6 37" xfId="10512" xr:uid="{00000000-0005-0000-0000-00009C270000}"/>
    <cellStyle name="Normal 2 6 38" xfId="3800" xr:uid="{00000000-0005-0000-0000-00009D270000}"/>
    <cellStyle name="Normal 2 6 39" xfId="8774" xr:uid="{00000000-0005-0000-0000-00009E270000}"/>
    <cellStyle name="Normal 2 6 4" xfId="26849" xr:uid="{00000000-0005-0000-0000-00009F270000}"/>
    <cellStyle name="Normal 2 6 40" xfId="7898" xr:uid="{00000000-0005-0000-0000-0000A0270000}"/>
    <cellStyle name="Normal 2 6 41" xfId="7039" xr:uid="{00000000-0005-0000-0000-0000A1270000}"/>
    <cellStyle name="Normal 2 6 42" xfId="3219" xr:uid="{00000000-0005-0000-0000-0000A2270000}"/>
    <cellStyle name="Normal 2 6 43" xfId="11668" xr:uid="{00000000-0005-0000-0000-0000A3270000}"/>
    <cellStyle name="Normal 2 6 44" xfId="2988" xr:uid="{00000000-0005-0000-0000-0000A4270000}"/>
    <cellStyle name="Normal 2 6 45" xfId="2744" xr:uid="{00000000-0005-0000-0000-0000A5270000}"/>
    <cellStyle name="Normal 2 6 46" xfId="2504" xr:uid="{00000000-0005-0000-0000-0000A6270000}"/>
    <cellStyle name="Normal 2 6 47" xfId="2264" xr:uid="{00000000-0005-0000-0000-0000A7270000}"/>
    <cellStyle name="Normal 2 6 48" xfId="2024" xr:uid="{00000000-0005-0000-0000-0000A8270000}"/>
    <cellStyle name="Normal 2 6 49" xfId="1784" xr:uid="{00000000-0005-0000-0000-0000A9270000}"/>
    <cellStyle name="Normal 2 6 5" xfId="26253" xr:uid="{00000000-0005-0000-0000-0000AA270000}"/>
    <cellStyle name="Normal 2 6 50" xfId="1545" xr:uid="{00000000-0005-0000-0000-0000AB270000}"/>
    <cellStyle name="Normal 2 6 51" xfId="1305" xr:uid="{00000000-0005-0000-0000-0000AC270000}"/>
    <cellStyle name="Normal 2 6 52" xfId="1065" xr:uid="{00000000-0005-0000-0000-0000AD270000}"/>
    <cellStyle name="Normal 2 6 53" xfId="825" xr:uid="{00000000-0005-0000-0000-0000AE270000}"/>
    <cellStyle name="Normal 2 6 54" xfId="585" xr:uid="{00000000-0005-0000-0000-0000AF270000}"/>
    <cellStyle name="Normal 2 6 55" xfId="346" xr:uid="{00000000-0005-0000-0000-0000B0270000}"/>
    <cellStyle name="Normal 2 6 56" xfId="108" xr:uid="{00000000-0005-0000-0000-0000B1270000}"/>
    <cellStyle name="Normal 2 6 6" xfId="25657" xr:uid="{00000000-0005-0000-0000-0000B2270000}"/>
    <cellStyle name="Normal 2 6 7" xfId="25060" xr:uid="{00000000-0005-0000-0000-0000B3270000}"/>
    <cellStyle name="Normal 2 6 8" xfId="24463" xr:uid="{00000000-0005-0000-0000-0000B4270000}"/>
    <cellStyle name="Normal 2 6 9" xfId="23866" xr:uid="{00000000-0005-0000-0000-0000B5270000}"/>
    <cellStyle name="Normal 2 60" xfId="4234" xr:uid="{00000000-0005-0000-0000-0000B6270000}"/>
    <cellStyle name="Normal 2 61" xfId="4112" xr:uid="{00000000-0005-0000-0000-0000B7270000}"/>
    <cellStyle name="Normal 2 62" xfId="7281" xr:uid="{00000000-0005-0000-0000-0000B8270000}"/>
    <cellStyle name="Normal 2 63" xfId="6246" xr:uid="{00000000-0005-0000-0000-0000B9270000}"/>
    <cellStyle name="Normal 2 64" xfId="7111" xr:uid="{00000000-0005-0000-0000-0000BA270000}"/>
    <cellStyle name="Normal 2 65" xfId="11677" xr:uid="{00000000-0005-0000-0000-0000BB270000}"/>
    <cellStyle name="Normal 2 66" xfId="7995" xr:uid="{00000000-0005-0000-0000-0000BC270000}"/>
    <cellStyle name="Normal 2 67" xfId="3934" xr:uid="{00000000-0005-0000-0000-0000BD270000}"/>
    <cellStyle name="Normal 2 68" xfId="9366" xr:uid="{00000000-0005-0000-0000-0000BE270000}"/>
    <cellStyle name="Normal 2 69" xfId="2995" xr:uid="{00000000-0005-0000-0000-0000BF270000}"/>
    <cellStyle name="Normal 2 7" xfId="28642" xr:uid="{00000000-0005-0000-0000-0000C0270000}"/>
    <cellStyle name="Normal 2 7 10" xfId="28641" xr:uid="{00000000-0005-0000-0000-0000C1270000}"/>
    <cellStyle name="Normal 2 7 10 10" xfId="23267" xr:uid="{00000000-0005-0000-0000-0000C2270000}"/>
    <cellStyle name="Normal 2 7 10 11" xfId="22670" xr:uid="{00000000-0005-0000-0000-0000C3270000}"/>
    <cellStyle name="Normal 2 7 10 12" xfId="22074" xr:uid="{00000000-0005-0000-0000-0000C4270000}"/>
    <cellStyle name="Normal 2 7 10 13" xfId="21477" xr:uid="{00000000-0005-0000-0000-0000C5270000}"/>
    <cellStyle name="Normal 2 7 10 14" xfId="20880" xr:uid="{00000000-0005-0000-0000-0000C6270000}"/>
    <cellStyle name="Normal 2 7 10 15" xfId="20283" xr:uid="{00000000-0005-0000-0000-0000C7270000}"/>
    <cellStyle name="Normal 2 7 10 16" xfId="19687" xr:uid="{00000000-0005-0000-0000-0000C8270000}"/>
    <cellStyle name="Normal 2 7 10 17" xfId="19091" xr:uid="{00000000-0005-0000-0000-0000C9270000}"/>
    <cellStyle name="Normal 2 7 10 18" xfId="18499" xr:uid="{00000000-0005-0000-0000-0000CA270000}"/>
    <cellStyle name="Normal 2 7 10 19" xfId="17902" xr:uid="{00000000-0005-0000-0000-0000CB270000}"/>
    <cellStyle name="Normal 2 7 10 2" xfId="28041" xr:uid="{00000000-0005-0000-0000-0000CC270000}"/>
    <cellStyle name="Normal 2 7 10 20" xfId="17127" xr:uid="{00000000-0005-0000-0000-0000CD270000}"/>
    <cellStyle name="Normal 2 7 10 21" xfId="15590" xr:uid="{00000000-0005-0000-0000-0000CE270000}"/>
    <cellStyle name="Normal 2 7 10 22" xfId="14266" xr:uid="{00000000-0005-0000-0000-0000CF270000}"/>
    <cellStyle name="Normal 2 7 10 23" xfId="13620" xr:uid="{00000000-0005-0000-0000-0000D0270000}"/>
    <cellStyle name="Normal 2 7 10 24" xfId="17063" xr:uid="{00000000-0005-0000-0000-0000D1270000}"/>
    <cellStyle name="Normal 2 7 10 25" xfId="13426" xr:uid="{00000000-0005-0000-0000-0000D2270000}"/>
    <cellStyle name="Normal 2 7 10 26" xfId="16655" xr:uid="{00000000-0005-0000-0000-0000D3270000}"/>
    <cellStyle name="Normal 2 7 10 27" xfId="14298" xr:uid="{00000000-0005-0000-0000-0000D4270000}"/>
    <cellStyle name="Normal 2 7 10 28" xfId="12511" xr:uid="{00000000-0005-0000-0000-0000D5270000}"/>
    <cellStyle name="Normal 2 7 10 29" xfId="10572" xr:uid="{00000000-0005-0000-0000-0000D6270000}"/>
    <cellStyle name="Normal 2 7 10 3" xfId="27444" xr:uid="{00000000-0005-0000-0000-0000D7270000}"/>
    <cellStyle name="Normal 2 7 10 30" xfId="12018" xr:uid="{00000000-0005-0000-0000-0000D8270000}"/>
    <cellStyle name="Normal 2 7 10 31" xfId="8229" xr:uid="{00000000-0005-0000-0000-0000D9270000}"/>
    <cellStyle name="Normal 2 7 10 32" xfId="6793" xr:uid="{00000000-0005-0000-0000-0000DA270000}"/>
    <cellStyle name="Normal 2 7 10 33" xfId="11063" xr:uid="{00000000-0005-0000-0000-0000DB270000}"/>
    <cellStyle name="Normal 2 7 10 34" xfId="6000" xr:uid="{00000000-0005-0000-0000-0000DC270000}"/>
    <cellStyle name="Normal 2 7 10 35" xfId="10453" xr:uid="{00000000-0005-0000-0000-0000DD270000}"/>
    <cellStyle name="Normal 2 7 10 36" xfId="6732" xr:uid="{00000000-0005-0000-0000-0000DE270000}"/>
    <cellStyle name="Normal 2 7 10 37" xfId="5954" xr:uid="{00000000-0005-0000-0000-0000DF270000}"/>
    <cellStyle name="Normal 2 7 10 38" xfId="7031" xr:uid="{00000000-0005-0000-0000-0000E0270000}"/>
    <cellStyle name="Normal 2 7 10 39" xfId="3443" xr:uid="{00000000-0005-0000-0000-0000E1270000}"/>
    <cellStyle name="Normal 2 7 10 4" xfId="26847" xr:uid="{00000000-0005-0000-0000-0000E2270000}"/>
    <cellStyle name="Normal 2 7 10 40" xfId="3494" xr:uid="{00000000-0005-0000-0000-0000E3270000}"/>
    <cellStyle name="Normal 2 7 10 41" xfId="9899" xr:uid="{00000000-0005-0000-0000-0000E4270000}"/>
    <cellStyle name="Normal 2 7 10 42" xfId="9274" xr:uid="{00000000-0005-0000-0000-0000E5270000}"/>
    <cellStyle name="Normal 2 7 10 43" xfId="3294" xr:uid="{00000000-0005-0000-0000-0000E6270000}"/>
    <cellStyle name="Normal 2 7 10 5" xfId="26251" xr:uid="{00000000-0005-0000-0000-0000E7270000}"/>
    <cellStyle name="Normal 2 7 10 6" xfId="25655" xr:uid="{00000000-0005-0000-0000-0000E8270000}"/>
    <cellStyle name="Normal 2 7 10 7" xfId="25058" xr:uid="{00000000-0005-0000-0000-0000E9270000}"/>
    <cellStyle name="Normal 2 7 10 8" xfId="24461" xr:uid="{00000000-0005-0000-0000-0000EA270000}"/>
    <cellStyle name="Normal 2 7 10 9" xfId="23864" xr:uid="{00000000-0005-0000-0000-0000EB270000}"/>
    <cellStyle name="Normal 2 7 11" xfId="28640" xr:uid="{00000000-0005-0000-0000-0000EC270000}"/>
    <cellStyle name="Normal 2 7 11 10" xfId="23266" xr:uid="{00000000-0005-0000-0000-0000ED270000}"/>
    <cellStyle name="Normal 2 7 11 11" xfId="22669" xr:uid="{00000000-0005-0000-0000-0000EE270000}"/>
    <cellStyle name="Normal 2 7 11 12" xfId="22073" xr:uid="{00000000-0005-0000-0000-0000EF270000}"/>
    <cellStyle name="Normal 2 7 11 13" xfId="21476" xr:uid="{00000000-0005-0000-0000-0000F0270000}"/>
    <cellStyle name="Normal 2 7 11 14" xfId="20879" xr:uid="{00000000-0005-0000-0000-0000F1270000}"/>
    <cellStyle name="Normal 2 7 11 15" xfId="20282" xr:uid="{00000000-0005-0000-0000-0000F2270000}"/>
    <cellStyle name="Normal 2 7 11 16" xfId="19686" xr:uid="{00000000-0005-0000-0000-0000F3270000}"/>
    <cellStyle name="Normal 2 7 11 17" xfId="19090" xr:uid="{00000000-0005-0000-0000-0000F4270000}"/>
    <cellStyle name="Normal 2 7 11 18" xfId="18498" xr:uid="{00000000-0005-0000-0000-0000F5270000}"/>
    <cellStyle name="Normal 2 7 11 19" xfId="17901" xr:uid="{00000000-0005-0000-0000-0000F6270000}"/>
    <cellStyle name="Normal 2 7 11 2" xfId="28040" xr:uid="{00000000-0005-0000-0000-0000F7270000}"/>
    <cellStyle name="Normal 2 7 11 20" xfId="17320" xr:uid="{00000000-0005-0000-0000-0000F8270000}"/>
    <cellStyle name="Normal 2 7 11 21" xfId="15186" xr:uid="{00000000-0005-0000-0000-0000F9270000}"/>
    <cellStyle name="Normal 2 7 11 22" xfId="15474" xr:uid="{00000000-0005-0000-0000-0000FA270000}"/>
    <cellStyle name="Normal 2 7 11 23" xfId="16057" xr:uid="{00000000-0005-0000-0000-0000FB270000}"/>
    <cellStyle name="Normal 2 7 11 24" xfId="16417" xr:uid="{00000000-0005-0000-0000-0000FC270000}"/>
    <cellStyle name="Normal 2 7 11 25" xfId="15003" xr:uid="{00000000-0005-0000-0000-0000FD270000}"/>
    <cellStyle name="Normal 2 7 11 26" xfId="14002" xr:uid="{00000000-0005-0000-0000-0000FE270000}"/>
    <cellStyle name="Normal 2 7 11 27" xfId="13048" xr:uid="{00000000-0005-0000-0000-0000FF270000}"/>
    <cellStyle name="Normal 2 7 11 28" xfId="12510" xr:uid="{00000000-0005-0000-0000-000000280000}"/>
    <cellStyle name="Normal 2 7 11 29" xfId="10787" xr:uid="{00000000-0005-0000-0000-000001280000}"/>
    <cellStyle name="Normal 2 7 11 3" xfId="27443" xr:uid="{00000000-0005-0000-0000-000002280000}"/>
    <cellStyle name="Normal 2 7 11 30" xfId="8385" xr:uid="{00000000-0005-0000-0000-000003280000}"/>
    <cellStyle name="Normal 2 7 11 31" xfId="8811" xr:uid="{00000000-0005-0000-0000-000004280000}"/>
    <cellStyle name="Normal 2 7 11 32" xfId="12097" xr:uid="{00000000-0005-0000-0000-000005280000}"/>
    <cellStyle name="Normal 2 7 11 33" xfId="8477" xr:uid="{00000000-0005-0000-0000-000006280000}"/>
    <cellStyle name="Normal 2 7 11 34" xfId="10437" xr:uid="{00000000-0005-0000-0000-000007280000}"/>
    <cellStyle name="Normal 2 7 11 35" xfId="11458" xr:uid="{00000000-0005-0000-0000-000008280000}"/>
    <cellStyle name="Normal 2 7 11 36" xfId="10441" xr:uid="{00000000-0005-0000-0000-000009280000}"/>
    <cellStyle name="Normal 2 7 11 37" xfId="4981" xr:uid="{00000000-0005-0000-0000-00000A280000}"/>
    <cellStyle name="Normal 2 7 11 38" xfId="6715" xr:uid="{00000000-0005-0000-0000-00000B280000}"/>
    <cellStyle name="Normal 2 7 11 39" xfId="4232" xr:uid="{00000000-0005-0000-0000-00000C280000}"/>
    <cellStyle name="Normal 2 7 11 4" xfId="26846" xr:uid="{00000000-0005-0000-0000-00000D280000}"/>
    <cellStyle name="Normal 2 7 11 40" xfId="4247" xr:uid="{00000000-0005-0000-0000-00000E280000}"/>
    <cellStyle name="Normal 2 7 11 41" xfId="6144" xr:uid="{00000000-0005-0000-0000-00000F280000}"/>
    <cellStyle name="Normal 2 7 11 42" xfId="6826" xr:uid="{00000000-0005-0000-0000-000010280000}"/>
    <cellStyle name="Normal 2 7 11 43" xfId="3274" xr:uid="{00000000-0005-0000-0000-000011280000}"/>
    <cellStyle name="Normal 2 7 11 5" xfId="26250" xr:uid="{00000000-0005-0000-0000-000012280000}"/>
    <cellStyle name="Normal 2 7 11 6" xfId="25654" xr:uid="{00000000-0005-0000-0000-000013280000}"/>
    <cellStyle name="Normal 2 7 11 7" xfId="25057" xr:uid="{00000000-0005-0000-0000-000014280000}"/>
    <cellStyle name="Normal 2 7 11 8" xfId="24460" xr:uid="{00000000-0005-0000-0000-000015280000}"/>
    <cellStyle name="Normal 2 7 11 9" xfId="23863" xr:uid="{00000000-0005-0000-0000-000016280000}"/>
    <cellStyle name="Normal 2 7 12" xfId="28639" xr:uid="{00000000-0005-0000-0000-000017280000}"/>
    <cellStyle name="Normal 2 7 12 10" xfId="23265" xr:uid="{00000000-0005-0000-0000-000018280000}"/>
    <cellStyle name="Normal 2 7 12 11" xfId="22668" xr:uid="{00000000-0005-0000-0000-000019280000}"/>
    <cellStyle name="Normal 2 7 12 12" xfId="22072" xr:uid="{00000000-0005-0000-0000-00001A280000}"/>
    <cellStyle name="Normal 2 7 12 13" xfId="21475" xr:uid="{00000000-0005-0000-0000-00001B280000}"/>
    <cellStyle name="Normal 2 7 12 14" xfId="20878" xr:uid="{00000000-0005-0000-0000-00001C280000}"/>
    <cellStyle name="Normal 2 7 12 15" xfId="20281" xr:uid="{00000000-0005-0000-0000-00001D280000}"/>
    <cellStyle name="Normal 2 7 12 16" xfId="19685" xr:uid="{00000000-0005-0000-0000-00001E280000}"/>
    <cellStyle name="Normal 2 7 12 17" xfId="19089" xr:uid="{00000000-0005-0000-0000-00001F280000}"/>
    <cellStyle name="Normal 2 7 12 18" xfId="18497" xr:uid="{00000000-0005-0000-0000-000020280000}"/>
    <cellStyle name="Normal 2 7 12 19" xfId="17900" xr:uid="{00000000-0005-0000-0000-000021280000}"/>
    <cellStyle name="Normal 2 7 12 2" xfId="28039" xr:uid="{00000000-0005-0000-0000-000022280000}"/>
    <cellStyle name="Normal 2 7 12 20" xfId="14153" xr:uid="{00000000-0005-0000-0000-000023280000}"/>
    <cellStyle name="Normal 2 7 12 21" xfId="14761" xr:uid="{00000000-0005-0000-0000-000024280000}"/>
    <cellStyle name="Normal 2 7 12 22" xfId="15103" xr:uid="{00000000-0005-0000-0000-000025280000}"/>
    <cellStyle name="Normal 2 7 12 23" xfId="16511" xr:uid="{00000000-0005-0000-0000-000026280000}"/>
    <cellStyle name="Normal 2 7 12 24" xfId="15854" xr:uid="{00000000-0005-0000-0000-000027280000}"/>
    <cellStyle name="Normal 2 7 12 25" xfId="16991" xr:uid="{00000000-0005-0000-0000-000028280000}"/>
    <cellStyle name="Normal 2 7 12 26" xfId="15311" xr:uid="{00000000-0005-0000-0000-000029280000}"/>
    <cellStyle name="Normal 2 7 12 27" xfId="12786" xr:uid="{00000000-0005-0000-0000-00002A280000}"/>
    <cellStyle name="Normal 2 7 12 28" xfId="12509" xr:uid="{00000000-0005-0000-0000-00002B280000}"/>
    <cellStyle name="Normal 2 7 12 29" xfId="11006" xr:uid="{00000000-0005-0000-0000-00002C280000}"/>
    <cellStyle name="Normal 2 7 12 3" xfId="27442" xr:uid="{00000000-0005-0000-0000-00002D280000}"/>
    <cellStyle name="Normal 2 7 12 30" xfId="8592" xr:uid="{00000000-0005-0000-0000-00002E280000}"/>
    <cellStyle name="Normal 2 7 12 31" xfId="6982" xr:uid="{00000000-0005-0000-0000-00002F280000}"/>
    <cellStyle name="Normal 2 7 12 32" xfId="9588" xr:uid="{00000000-0005-0000-0000-000030280000}"/>
    <cellStyle name="Normal 2 7 12 33" xfId="7961" xr:uid="{00000000-0005-0000-0000-000031280000}"/>
    <cellStyle name="Normal 2 7 12 34" xfId="12037" xr:uid="{00000000-0005-0000-0000-000032280000}"/>
    <cellStyle name="Normal 2 7 12 35" xfId="8924" xr:uid="{00000000-0005-0000-0000-000033280000}"/>
    <cellStyle name="Normal 2 7 12 36" xfId="10252" xr:uid="{00000000-0005-0000-0000-000034280000}"/>
    <cellStyle name="Normal 2 7 12 37" xfId="6285" xr:uid="{00000000-0005-0000-0000-000035280000}"/>
    <cellStyle name="Normal 2 7 12 38" xfId="7376" xr:uid="{00000000-0005-0000-0000-000036280000}"/>
    <cellStyle name="Normal 2 7 12 39" xfId="3476" xr:uid="{00000000-0005-0000-0000-000037280000}"/>
    <cellStyle name="Normal 2 7 12 4" xfId="26845" xr:uid="{00000000-0005-0000-0000-000038280000}"/>
    <cellStyle name="Normal 2 7 12 40" xfId="11177" xr:uid="{00000000-0005-0000-0000-000039280000}"/>
    <cellStyle name="Normal 2 7 12 41" xfId="8363" xr:uid="{00000000-0005-0000-0000-00003A280000}"/>
    <cellStyle name="Normal 2 7 12 42" xfId="6161" xr:uid="{00000000-0005-0000-0000-00003B280000}"/>
    <cellStyle name="Normal 2 7 12 43" xfId="11369" xr:uid="{00000000-0005-0000-0000-00003C280000}"/>
    <cellStyle name="Normal 2 7 12 5" xfId="26249" xr:uid="{00000000-0005-0000-0000-00003D280000}"/>
    <cellStyle name="Normal 2 7 12 6" xfId="25653" xr:uid="{00000000-0005-0000-0000-00003E280000}"/>
    <cellStyle name="Normal 2 7 12 7" xfId="25056" xr:uid="{00000000-0005-0000-0000-00003F280000}"/>
    <cellStyle name="Normal 2 7 12 8" xfId="24459" xr:uid="{00000000-0005-0000-0000-000040280000}"/>
    <cellStyle name="Normal 2 7 12 9" xfId="23862" xr:uid="{00000000-0005-0000-0000-000041280000}"/>
    <cellStyle name="Normal 2 7 13" xfId="28638" xr:uid="{00000000-0005-0000-0000-000042280000}"/>
    <cellStyle name="Normal 2 7 13 10" xfId="23264" xr:uid="{00000000-0005-0000-0000-000043280000}"/>
    <cellStyle name="Normal 2 7 13 11" xfId="22667" xr:uid="{00000000-0005-0000-0000-000044280000}"/>
    <cellStyle name="Normal 2 7 13 12" xfId="22071" xr:uid="{00000000-0005-0000-0000-000045280000}"/>
    <cellStyle name="Normal 2 7 13 13" xfId="21474" xr:uid="{00000000-0005-0000-0000-000046280000}"/>
    <cellStyle name="Normal 2 7 13 14" xfId="20877" xr:uid="{00000000-0005-0000-0000-000047280000}"/>
    <cellStyle name="Normal 2 7 13 15" xfId="20280" xr:uid="{00000000-0005-0000-0000-000048280000}"/>
    <cellStyle name="Normal 2 7 13 16" xfId="19684" xr:uid="{00000000-0005-0000-0000-000049280000}"/>
    <cellStyle name="Normal 2 7 13 17" xfId="19088" xr:uid="{00000000-0005-0000-0000-00004A280000}"/>
    <cellStyle name="Normal 2 7 13 18" xfId="18496" xr:uid="{00000000-0005-0000-0000-00004B280000}"/>
    <cellStyle name="Normal 2 7 13 19" xfId="17899" xr:uid="{00000000-0005-0000-0000-00004C280000}"/>
    <cellStyle name="Normal 2 7 13 2" xfId="28038" xr:uid="{00000000-0005-0000-0000-00004D280000}"/>
    <cellStyle name="Normal 2 7 13 20" xfId="14342" xr:uid="{00000000-0005-0000-0000-00004E280000}"/>
    <cellStyle name="Normal 2 7 13 21" xfId="13964" xr:uid="{00000000-0005-0000-0000-00004F280000}"/>
    <cellStyle name="Normal 2 7 13 22" xfId="15282" xr:uid="{00000000-0005-0000-0000-000050280000}"/>
    <cellStyle name="Normal 2 7 13 23" xfId="16810" xr:uid="{00000000-0005-0000-0000-000051280000}"/>
    <cellStyle name="Normal 2 7 13 24" xfId="16982" xr:uid="{00000000-0005-0000-0000-000052280000}"/>
    <cellStyle name="Normal 2 7 13 25" xfId="14112" xr:uid="{00000000-0005-0000-0000-000053280000}"/>
    <cellStyle name="Normal 2 7 13 26" xfId="14790" xr:uid="{00000000-0005-0000-0000-000054280000}"/>
    <cellStyle name="Normal 2 7 13 27" xfId="12823" xr:uid="{00000000-0005-0000-0000-000055280000}"/>
    <cellStyle name="Normal 2 7 13 28" xfId="12508" xr:uid="{00000000-0005-0000-0000-000056280000}"/>
    <cellStyle name="Normal 2 7 13 29" xfId="11234" xr:uid="{00000000-0005-0000-0000-000057280000}"/>
    <cellStyle name="Normal 2 7 13 3" xfId="27441" xr:uid="{00000000-0005-0000-0000-000058280000}"/>
    <cellStyle name="Normal 2 7 13 30" xfId="7102" xr:uid="{00000000-0005-0000-0000-000059280000}"/>
    <cellStyle name="Normal 2 7 13 31" xfId="6838" xr:uid="{00000000-0005-0000-0000-00005A280000}"/>
    <cellStyle name="Normal 2 7 13 32" xfId="9491" xr:uid="{00000000-0005-0000-0000-00005B280000}"/>
    <cellStyle name="Normal 2 7 13 33" xfId="10450" xr:uid="{00000000-0005-0000-0000-00005C280000}"/>
    <cellStyle name="Normal 2 7 13 34" xfId="11170" xr:uid="{00000000-0005-0000-0000-00005D280000}"/>
    <cellStyle name="Normal 2 7 13 35" xfId="5185" xr:uid="{00000000-0005-0000-0000-00005E280000}"/>
    <cellStyle name="Normal 2 7 13 36" xfId="8660" xr:uid="{00000000-0005-0000-0000-00005F280000}"/>
    <cellStyle name="Normal 2 7 13 37" xfId="5412" xr:uid="{00000000-0005-0000-0000-000060280000}"/>
    <cellStyle name="Normal 2 7 13 38" xfId="4544" xr:uid="{00000000-0005-0000-0000-000061280000}"/>
    <cellStyle name="Normal 2 7 13 39" xfId="5201" xr:uid="{00000000-0005-0000-0000-000062280000}"/>
    <cellStyle name="Normal 2 7 13 4" xfId="26844" xr:uid="{00000000-0005-0000-0000-000063280000}"/>
    <cellStyle name="Normal 2 7 13 40" xfId="4045" xr:uid="{00000000-0005-0000-0000-000064280000}"/>
    <cellStyle name="Normal 2 7 13 41" xfId="11253" xr:uid="{00000000-0005-0000-0000-000065280000}"/>
    <cellStyle name="Normal 2 7 13 42" xfId="3297" xr:uid="{00000000-0005-0000-0000-000066280000}"/>
    <cellStyle name="Normal 2 7 13 43" xfId="3239" xr:uid="{00000000-0005-0000-0000-000067280000}"/>
    <cellStyle name="Normal 2 7 13 5" xfId="26248" xr:uid="{00000000-0005-0000-0000-000068280000}"/>
    <cellStyle name="Normal 2 7 13 6" xfId="25652" xr:uid="{00000000-0005-0000-0000-000069280000}"/>
    <cellStyle name="Normal 2 7 13 7" xfId="25055" xr:uid="{00000000-0005-0000-0000-00006A280000}"/>
    <cellStyle name="Normal 2 7 13 8" xfId="24458" xr:uid="{00000000-0005-0000-0000-00006B280000}"/>
    <cellStyle name="Normal 2 7 13 9" xfId="23861" xr:uid="{00000000-0005-0000-0000-00006C280000}"/>
    <cellStyle name="Normal 2 7 14" xfId="28637" xr:uid="{00000000-0005-0000-0000-00006D280000}"/>
    <cellStyle name="Normal 2 7 14 10" xfId="23263" xr:uid="{00000000-0005-0000-0000-00006E280000}"/>
    <cellStyle name="Normal 2 7 14 11" xfId="22666" xr:uid="{00000000-0005-0000-0000-00006F280000}"/>
    <cellStyle name="Normal 2 7 14 12" xfId="22070" xr:uid="{00000000-0005-0000-0000-000070280000}"/>
    <cellStyle name="Normal 2 7 14 13" xfId="21473" xr:uid="{00000000-0005-0000-0000-000071280000}"/>
    <cellStyle name="Normal 2 7 14 14" xfId="20876" xr:uid="{00000000-0005-0000-0000-000072280000}"/>
    <cellStyle name="Normal 2 7 14 15" xfId="20279" xr:uid="{00000000-0005-0000-0000-000073280000}"/>
    <cellStyle name="Normal 2 7 14 16" xfId="19683" xr:uid="{00000000-0005-0000-0000-000074280000}"/>
    <cellStyle name="Normal 2 7 14 17" xfId="19087" xr:uid="{00000000-0005-0000-0000-000075280000}"/>
    <cellStyle name="Normal 2 7 14 18" xfId="18495" xr:uid="{00000000-0005-0000-0000-000076280000}"/>
    <cellStyle name="Normal 2 7 14 19" xfId="17898" xr:uid="{00000000-0005-0000-0000-000077280000}"/>
    <cellStyle name="Normal 2 7 14 2" xfId="28037" xr:uid="{00000000-0005-0000-0000-000078280000}"/>
    <cellStyle name="Normal 2 7 14 20" xfId="14533" xr:uid="{00000000-0005-0000-0000-000079280000}"/>
    <cellStyle name="Normal 2 7 14 21" xfId="14135" xr:uid="{00000000-0005-0000-0000-00007A280000}"/>
    <cellStyle name="Normal 2 7 14 22" xfId="15057" xr:uid="{00000000-0005-0000-0000-00007B280000}"/>
    <cellStyle name="Normal 2 7 14 23" xfId="14032" xr:uid="{00000000-0005-0000-0000-00007C280000}"/>
    <cellStyle name="Normal 2 7 14 24" xfId="13396" xr:uid="{00000000-0005-0000-0000-00007D280000}"/>
    <cellStyle name="Normal 2 7 14 25" xfId="13194" xr:uid="{00000000-0005-0000-0000-00007E280000}"/>
    <cellStyle name="Normal 2 7 14 26" xfId="12855" xr:uid="{00000000-0005-0000-0000-00007F280000}"/>
    <cellStyle name="Normal 2 7 14 27" xfId="13447" xr:uid="{00000000-0005-0000-0000-000080280000}"/>
    <cellStyle name="Normal 2 7 14 28" xfId="12507" xr:uid="{00000000-0005-0000-0000-000081280000}"/>
    <cellStyle name="Normal 2 7 14 29" xfId="11467" xr:uid="{00000000-0005-0000-0000-000082280000}"/>
    <cellStyle name="Normal 2 7 14 3" xfId="27440" xr:uid="{00000000-0005-0000-0000-000083280000}"/>
    <cellStyle name="Normal 2 7 14 30" xfId="11937" xr:uid="{00000000-0005-0000-0000-000084280000}"/>
    <cellStyle name="Normal 2 7 14 31" xfId="6282" xr:uid="{00000000-0005-0000-0000-000085280000}"/>
    <cellStyle name="Normal 2 7 14 32" xfId="7257" xr:uid="{00000000-0005-0000-0000-000086280000}"/>
    <cellStyle name="Normal 2 7 14 33" xfId="10003" xr:uid="{00000000-0005-0000-0000-000087280000}"/>
    <cellStyle name="Normal 2 7 14 34" xfId="10887" xr:uid="{00000000-0005-0000-0000-000088280000}"/>
    <cellStyle name="Normal 2 7 14 35" xfId="5766" xr:uid="{00000000-0005-0000-0000-000089280000}"/>
    <cellStyle name="Normal 2 7 14 36" xfId="7622" xr:uid="{00000000-0005-0000-0000-00008A280000}"/>
    <cellStyle name="Normal 2 7 14 37" xfId="6233" xr:uid="{00000000-0005-0000-0000-00008B280000}"/>
    <cellStyle name="Normal 2 7 14 38" xfId="6770" xr:uid="{00000000-0005-0000-0000-00008C280000}"/>
    <cellStyle name="Normal 2 7 14 39" xfId="3516" xr:uid="{00000000-0005-0000-0000-00008D280000}"/>
    <cellStyle name="Normal 2 7 14 4" xfId="26843" xr:uid="{00000000-0005-0000-0000-00008E280000}"/>
    <cellStyle name="Normal 2 7 14 40" xfId="7302" xr:uid="{00000000-0005-0000-0000-00008F280000}"/>
    <cellStyle name="Normal 2 7 14 41" xfId="6259" xr:uid="{00000000-0005-0000-0000-000090280000}"/>
    <cellStyle name="Normal 2 7 14 42" xfId="5541" xr:uid="{00000000-0005-0000-0000-000091280000}"/>
    <cellStyle name="Normal 2 7 14 43" xfId="3411" xr:uid="{00000000-0005-0000-0000-000092280000}"/>
    <cellStyle name="Normal 2 7 14 5" xfId="26247" xr:uid="{00000000-0005-0000-0000-000093280000}"/>
    <cellStyle name="Normal 2 7 14 6" xfId="25651" xr:uid="{00000000-0005-0000-0000-000094280000}"/>
    <cellStyle name="Normal 2 7 14 7" xfId="25054" xr:uid="{00000000-0005-0000-0000-000095280000}"/>
    <cellStyle name="Normal 2 7 14 8" xfId="24457" xr:uid="{00000000-0005-0000-0000-000096280000}"/>
    <cellStyle name="Normal 2 7 14 9" xfId="23860" xr:uid="{00000000-0005-0000-0000-000097280000}"/>
    <cellStyle name="Normal 2 7 15" xfId="28636" xr:uid="{00000000-0005-0000-0000-000098280000}"/>
    <cellStyle name="Normal 2 7 15 10" xfId="23262" xr:uid="{00000000-0005-0000-0000-000099280000}"/>
    <cellStyle name="Normal 2 7 15 11" xfId="22665" xr:uid="{00000000-0005-0000-0000-00009A280000}"/>
    <cellStyle name="Normal 2 7 15 12" xfId="22069" xr:uid="{00000000-0005-0000-0000-00009B280000}"/>
    <cellStyle name="Normal 2 7 15 13" xfId="21472" xr:uid="{00000000-0005-0000-0000-00009C280000}"/>
    <cellStyle name="Normal 2 7 15 14" xfId="20875" xr:uid="{00000000-0005-0000-0000-00009D280000}"/>
    <cellStyle name="Normal 2 7 15 15" xfId="20278" xr:uid="{00000000-0005-0000-0000-00009E280000}"/>
    <cellStyle name="Normal 2 7 15 16" xfId="19682" xr:uid="{00000000-0005-0000-0000-00009F280000}"/>
    <cellStyle name="Normal 2 7 15 17" xfId="19086" xr:uid="{00000000-0005-0000-0000-0000A0280000}"/>
    <cellStyle name="Normal 2 7 15 18" xfId="18494" xr:uid="{00000000-0005-0000-0000-0000A1280000}"/>
    <cellStyle name="Normal 2 7 15 19" xfId="17897" xr:uid="{00000000-0005-0000-0000-0000A2280000}"/>
    <cellStyle name="Normal 2 7 15 2" xfId="28036" xr:uid="{00000000-0005-0000-0000-0000A3280000}"/>
    <cellStyle name="Normal 2 7 15 20" xfId="14730" xr:uid="{00000000-0005-0000-0000-0000A4280000}"/>
    <cellStyle name="Normal 2 7 15 21" xfId="17500" xr:uid="{00000000-0005-0000-0000-0000A5280000}"/>
    <cellStyle name="Normal 2 7 15 22" xfId="15479" xr:uid="{00000000-0005-0000-0000-0000A6280000}"/>
    <cellStyle name="Normal 2 7 15 23" xfId="17106" xr:uid="{00000000-0005-0000-0000-0000A7280000}"/>
    <cellStyle name="Normal 2 7 15 24" xfId="13705" xr:uid="{00000000-0005-0000-0000-0000A8280000}"/>
    <cellStyle name="Normal 2 7 15 25" xfId="13371" xr:uid="{00000000-0005-0000-0000-0000A9280000}"/>
    <cellStyle name="Normal 2 7 15 26" xfId="12957" xr:uid="{00000000-0005-0000-0000-0000AA280000}"/>
    <cellStyle name="Normal 2 7 15 27" xfId="13036" xr:uid="{00000000-0005-0000-0000-0000AB280000}"/>
    <cellStyle name="Normal 2 7 15 28" xfId="12506" xr:uid="{00000000-0005-0000-0000-0000AC280000}"/>
    <cellStyle name="Normal 2 7 15 29" xfId="11691" xr:uid="{00000000-0005-0000-0000-0000AD280000}"/>
    <cellStyle name="Normal 2 7 15 3" xfId="27439" xr:uid="{00000000-0005-0000-0000-0000AE280000}"/>
    <cellStyle name="Normal 2 7 15 30" xfId="8107" xr:uid="{00000000-0005-0000-0000-0000AF280000}"/>
    <cellStyle name="Normal 2 7 15 31" xfId="10687" xr:uid="{00000000-0005-0000-0000-0000B0280000}"/>
    <cellStyle name="Normal 2 7 15 32" xfId="9087" xr:uid="{00000000-0005-0000-0000-0000B1280000}"/>
    <cellStyle name="Normal 2 7 15 33" xfId="7874" xr:uid="{00000000-0005-0000-0000-0000B2280000}"/>
    <cellStyle name="Normal 2 7 15 34" xfId="11294" xr:uid="{00000000-0005-0000-0000-0000B3280000}"/>
    <cellStyle name="Normal 2 7 15 35" xfId="11769" xr:uid="{00000000-0005-0000-0000-0000B4280000}"/>
    <cellStyle name="Normal 2 7 15 36" xfId="4685" xr:uid="{00000000-0005-0000-0000-0000B5280000}"/>
    <cellStyle name="Normal 2 7 15 37" xfId="9721" xr:uid="{00000000-0005-0000-0000-0000B6280000}"/>
    <cellStyle name="Normal 2 7 15 38" xfId="7442" xr:uid="{00000000-0005-0000-0000-0000B7280000}"/>
    <cellStyle name="Normal 2 7 15 39" xfId="11298" xr:uid="{00000000-0005-0000-0000-0000B8280000}"/>
    <cellStyle name="Normal 2 7 15 4" xfId="26842" xr:uid="{00000000-0005-0000-0000-0000B9280000}"/>
    <cellStyle name="Normal 2 7 15 40" xfId="3281" xr:uid="{00000000-0005-0000-0000-0000BA280000}"/>
    <cellStyle name="Normal 2 7 15 41" xfId="3961" xr:uid="{00000000-0005-0000-0000-0000BB280000}"/>
    <cellStyle name="Normal 2 7 15 42" xfId="5480" xr:uid="{00000000-0005-0000-0000-0000BC280000}"/>
    <cellStyle name="Normal 2 7 15 43" xfId="3321" xr:uid="{00000000-0005-0000-0000-0000BD280000}"/>
    <cellStyle name="Normal 2 7 15 5" xfId="26246" xr:uid="{00000000-0005-0000-0000-0000BE280000}"/>
    <cellStyle name="Normal 2 7 15 6" xfId="25650" xr:uid="{00000000-0005-0000-0000-0000BF280000}"/>
    <cellStyle name="Normal 2 7 15 7" xfId="25053" xr:uid="{00000000-0005-0000-0000-0000C0280000}"/>
    <cellStyle name="Normal 2 7 15 8" xfId="24456" xr:uid="{00000000-0005-0000-0000-0000C1280000}"/>
    <cellStyle name="Normal 2 7 15 9" xfId="23859" xr:uid="{00000000-0005-0000-0000-0000C2280000}"/>
    <cellStyle name="Normal 2 7 16" xfId="28635" xr:uid="{00000000-0005-0000-0000-0000C3280000}"/>
    <cellStyle name="Normal 2 7 16 10" xfId="23261" xr:uid="{00000000-0005-0000-0000-0000C4280000}"/>
    <cellStyle name="Normal 2 7 16 11" xfId="22664" xr:uid="{00000000-0005-0000-0000-0000C5280000}"/>
    <cellStyle name="Normal 2 7 16 12" xfId="22068" xr:uid="{00000000-0005-0000-0000-0000C6280000}"/>
    <cellStyle name="Normal 2 7 16 13" xfId="21471" xr:uid="{00000000-0005-0000-0000-0000C7280000}"/>
    <cellStyle name="Normal 2 7 16 14" xfId="20874" xr:uid="{00000000-0005-0000-0000-0000C8280000}"/>
    <cellStyle name="Normal 2 7 16 15" xfId="20277" xr:uid="{00000000-0005-0000-0000-0000C9280000}"/>
    <cellStyle name="Normal 2 7 16 16" xfId="19681" xr:uid="{00000000-0005-0000-0000-0000CA280000}"/>
    <cellStyle name="Normal 2 7 16 17" xfId="19085" xr:uid="{00000000-0005-0000-0000-0000CB280000}"/>
    <cellStyle name="Normal 2 7 16 18" xfId="18493" xr:uid="{00000000-0005-0000-0000-0000CC280000}"/>
    <cellStyle name="Normal 2 7 16 19" xfId="17896" xr:uid="{00000000-0005-0000-0000-0000CD280000}"/>
    <cellStyle name="Normal 2 7 16 2" xfId="28035" xr:uid="{00000000-0005-0000-0000-0000CE280000}"/>
    <cellStyle name="Normal 2 7 16 20" xfId="14932" xr:uid="{00000000-0005-0000-0000-0000CF280000}"/>
    <cellStyle name="Normal 2 7 16 21" xfId="17494" xr:uid="{00000000-0005-0000-0000-0000D0280000}"/>
    <cellStyle name="Normal 2 7 16 22" xfId="13645" xr:uid="{00000000-0005-0000-0000-0000D1280000}"/>
    <cellStyle name="Normal 2 7 16 23" xfId="13480" xr:uid="{00000000-0005-0000-0000-0000D2280000}"/>
    <cellStyle name="Normal 2 7 16 24" xfId="14325" xr:uid="{00000000-0005-0000-0000-0000D3280000}"/>
    <cellStyle name="Normal 2 7 16 25" xfId="15525" xr:uid="{00000000-0005-0000-0000-0000D4280000}"/>
    <cellStyle name="Normal 2 7 16 26" xfId="14971" xr:uid="{00000000-0005-0000-0000-0000D5280000}"/>
    <cellStyle name="Normal 2 7 16 27" xfId="16069" xr:uid="{00000000-0005-0000-0000-0000D6280000}"/>
    <cellStyle name="Normal 2 7 16 28" xfId="12505" xr:uid="{00000000-0005-0000-0000-0000D7280000}"/>
    <cellStyle name="Normal 2 7 16 29" xfId="6516" xr:uid="{00000000-0005-0000-0000-0000D8280000}"/>
    <cellStyle name="Normal 2 7 16 3" xfId="27438" xr:uid="{00000000-0005-0000-0000-0000D9280000}"/>
    <cellStyle name="Normal 2 7 16 30" xfId="8585" xr:uid="{00000000-0005-0000-0000-0000DA280000}"/>
    <cellStyle name="Normal 2 7 16 31" xfId="7977" xr:uid="{00000000-0005-0000-0000-0000DB280000}"/>
    <cellStyle name="Normal 2 7 16 32" xfId="7525" xr:uid="{00000000-0005-0000-0000-0000DC280000}"/>
    <cellStyle name="Normal 2 7 16 33" xfId="4950" xr:uid="{00000000-0005-0000-0000-0000DD280000}"/>
    <cellStyle name="Normal 2 7 16 34" xfId="5220" xr:uid="{00000000-0005-0000-0000-0000DE280000}"/>
    <cellStyle name="Normal 2 7 16 35" xfId="8750" xr:uid="{00000000-0005-0000-0000-0000DF280000}"/>
    <cellStyle name="Normal 2 7 16 36" xfId="11893" xr:uid="{00000000-0005-0000-0000-0000E0280000}"/>
    <cellStyle name="Normal 2 7 16 37" xfId="9926" xr:uid="{00000000-0005-0000-0000-0000E1280000}"/>
    <cellStyle name="Normal 2 7 16 38" xfId="10168" xr:uid="{00000000-0005-0000-0000-0000E2280000}"/>
    <cellStyle name="Normal 2 7 16 39" xfId="3879" xr:uid="{00000000-0005-0000-0000-0000E3280000}"/>
    <cellStyle name="Normal 2 7 16 4" xfId="26841" xr:uid="{00000000-0005-0000-0000-0000E4280000}"/>
    <cellStyle name="Normal 2 7 16 40" xfId="10159" xr:uid="{00000000-0005-0000-0000-0000E5280000}"/>
    <cellStyle name="Normal 2 7 16 41" xfId="7944" xr:uid="{00000000-0005-0000-0000-0000E6280000}"/>
    <cellStyle name="Normal 2 7 16 42" xfId="3354" xr:uid="{00000000-0005-0000-0000-0000E7280000}"/>
    <cellStyle name="Normal 2 7 16 43" xfId="7208" xr:uid="{00000000-0005-0000-0000-0000E8280000}"/>
    <cellStyle name="Normal 2 7 16 5" xfId="26245" xr:uid="{00000000-0005-0000-0000-0000E9280000}"/>
    <cellStyle name="Normal 2 7 16 6" xfId="25649" xr:uid="{00000000-0005-0000-0000-0000EA280000}"/>
    <cellStyle name="Normal 2 7 16 7" xfId="25052" xr:uid="{00000000-0005-0000-0000-0000EB280000}"/>
    <cellStyle name="Normal 2 7 16 8" xfId="24455" xr:uid="{00000000-0005-0000-0000-0000EC280000}"/>
    <cellStyle name="Normal 2 7 16 9" xfId="23858" xr:uid="{00000000-0005-0000-0000-0000ED280000}"/>
    <cellStyle name="Normal 2 7 17" xfId="28634" xr:uid="{00000000-0005-0000-0000-0000EE280000}"/>
    <cellStyle name="Normal 2 7 17 10" xfId="23260" xr:uid="{00000000-0005-0000-0000-0000EF280000}"/>
    <cellStyle name="Normal 2 7 17 11" xfId="22663" xr:uid="{00000000-0005-0000-0000-0000F0280000}"/>
    <cellStyle name="Normal 2 7 17 12" xfId="22067" xr:uid="{00000000-0005-0000-0000-0000F1280000}"/>
    <cellStyle name="Normal 2 7 17 13" xfId="21470" xr:uid="{00000000-0005-0000-0000-0000F2280000}"/>
    <cellStyle name="Normal 2 7 17 14" xfId="20873" xr:uid="{00000000-0005-0000-0000-0000F3280000}"/>
    <cellStyle name="Normal 2 7 17 15" xfId="20276" xr:uid="{00000000-0005-0000-0000-0000F4280000}"/>
    <cellStyle name="Normal 2 7 17 16" xfId="19680" xr:uid="{00000000-0005-0000-0000-0000F5280000}"/>
    <cellStyle name="Normal 2 7 17 17" xfId="19084" xr:uid="{00000000-0005-0000-0000-0000F6280000}"/>
    <cellStyle name="Normal 2 7 17 18" xfId="18492" xr:uid="{00000000-0005-0000-0000-0000F7280000}"/>
    <cellStyle name="Normal 2 7 17 19" xfId="17895" xr:uid="{00000000-0005-0000-0000-0000F8280000}"/>
    <cellStyle name="Normal 2 7 17 2" xfId="28034" xr:uid="{00000000-0005-0000-0000-0000F9280000}"/>
    <cellStyle name="Normal 2 7 17 20" xfId="15139" xr:uid="{00000000-0005-0000-0000-0000FA280000}"/>
    <cellStyle name="Normal 2 7 17 21" xfId="17287" xr:uid="{00000000-0005-0000-0000-0000FB280000}"/>
    <cellStyle name="Normal 2 7 17 22" xfId="16100" xr:uid="{00000000-0005-0000-0000-0000FC280000}"/>
    <cellStyle name="Normal 2 7 17 23" xfId="17369" xr:uid="{00000000-0005-0000-0000-0000FD280000}"/>
    <cellStyle name="Normal 2 7 17 24" xfId="13166" xr:uid="{00000000-0005-0000-0000-0000FE280000}"/>
    <cellStyle name="Normal 2 7 17 25" xfId="15287" xr:uid="{00000000-0005-0000-0000-0000FF280000}"/>
    <cellStyle name="Normal 2 7 17 26" xfId="12819" xr:uid="{00000000-0005-0000-0000-000000290000}"/>
    <cellStyle name="Normal 2 7 17 27" xfId="14451" xr:uid="{00000000-0005-0000-0000-000001290000}"/>
    <cellStyle name="Normal 2 7 17 28" xfId="12504" xr:uid="{00000000-0005-0000-0000-000002290000}"/>
    <cellStyle name="Normal 2 7 17 29" xfId="6447" xr:uid="{00000000-0005-0000-0000-000003290000}"/>
    <cellStyle name="Normal 2 7 17 3" xfId="27437" xr:uid="{00000000-0005-0000-0000-000004290000}"/>
    <cellStyle name="Normal 2 7 17 30" xfId="8802" xr:uid="{00000000-0005-0000-0000-000005290000}"/>
    <cellStyle name="Normal 2 7 17 31" xfId="10523" xr:uid="{00000000-0005-0000-0000-000006290000}"/>
    <cellStyle name="Normal 2 7 17 32" xfId="7872" xr:uid="{00000000-0005-0000-0000-000007290000}"/>
    <cellStyle name="Normal 2 7 17 33" xfId="7642" xr:uid="{00000000-0005-0000-0000-000008290000}"/>
    <cellStyle name="Normal 2 7 17 34" xfId="5582" xr:uid="{00000000-0005-0000-0000-000009290000}"/>
    <cellStyle name="Normal 2 7 17 35" xfId="8065" xr:uid="{00000000-0005-0000-0000-00000A290000}"/>
    <cellStyle name="Normal 2 7 17 36" xfId="8275" xr:uid="{00000000-0005-0000-0000-00000B290000}"/>
    <cellStyle name="Normal 2 7 17 37" xfId="4145" xr:uid="{00000000-0005-0000-0000-00000C290000}"/>
    <cellStyle name="Normal 2 7 17 38" xfId="5206" xr:uid="{00000000-0005-0000-0000-00000D290000}"/>
    <cellStyle name="Normal 2 7 17 39" xfId="9720" xr:uid="{00000000-0005-0000-0000-00000E290000}"/>
    <cellStyle name="Normal 2 7 17 4" xfId="26840" xr:uid="{00000000-0005-0000-0000-00000F290000}"/>
    <cellStyle name="Normal 2 7 17 40" xfId="3329" xr:uid="{00000000-0005-0000-0000-000010290000}"/>
    <cellStyle name="Normal 2 7 17 41" xfId="3938" xr:uid="{00000000-0005-0000-0000-000011290000}"/>
    <cellStyle name="Normal 2 7 17 42" xfId="4005" xr:uid="{00000000-0005-0000-0000-000012290000}"/>
    <cellStyle name="Normal 2 7 17 43" xfId="9243" xr:uid="{00000000-0005-0000-0000-000013290000}"/>
    <cellStyle name="Normal 2 7 17 5" xfId="26244" xr:uid="{00000000-0005-0000-0000-000014290000}"/>
    <cellStyle name="Normal 2 7 17 6" xfId="25648" xr:uid="{00000000-0005-0000-0000-000015290000}"/>
    <cellStyle name="Normal 2 7 17 7" xfId="25051" xr:uid="{00000000-0005-0000-0000-000016290000}"/>
    <cellStyle name="Normal 2 7 17 8" xfId="24454" xr:uid="{00000000-0005-0000-0000-000017290000}"/>
    <cellStyle name="Normal 2 7 17 9" xfId="23857" xr:uid="{00000000-0005-0000-0000-000018290000}"/>
    <cellStyle name="Normal 2 7 18" xfId="28633" xr:uid="{00000000-0005-0000-0000-000019290000}"/>
    <cellStyle name="Normal 2 7 18 10" xfId="23259" xr:uid="{00000000-0005-0000-0000-00001A290000}"/>
    <cellStyle name="Normal 2 7 18 11" xfId="22662" xr:uid="{00000000-0005-0000-0000-00001B290000}"/>
    <cellStyle name="Normal 2 7 18 12" xfId="22066" xr:uid="{00000000-0005-0000-0000-00001C290000}"/>
    <cellStyle name="Normal 2 7 18 13" xfId="21469" xr:uid="{00000000-0005-0000-0000-00001D290000}"/>
    <cellStyle name="Normal 2 7 18 14" xfId="20872" xr:uid="{00000000-0005-0000-0000-00001E290000}"/>
    <cellStyle name="Normal 2 7 18 15" xfId="20275" xr:uid="{00000000-0005-0000-0000-00001F290000}"/>
    <cellStyle name="Normal 2 7 18 16" xfId="19679" xr:uid="{00000000-0005-0000-0000-000020290000}"/>
    <cellStyle name="Normal 2 7 18 17" xfId="19083" xr:uid="{00000000-0005-0000-0000-000021290000}"/>
    <cellStyle name="Normal 2 7 18 18" xfId="18491" xr:uid="{00000000-0005-0000-0000-000022290000}"/>
    <cellStyle name="Normal 2 7 18 19" xfId="17894" xr:uid="{00000000-0005-0000-0000-000023290000}"/>
    <cellStyle name="Normal 2 7 18 2" xfId="28033" xr:uid="{00000000-0005-0000-0000-000024290000}"/>
    <cellStyle name="Normal 2 7 18 20" xfId="15334" xr:uid="{00000000-0005-0000-0000-000025290000}"/>
    <cellStyle name="Normal 2 7 18 21" xfId="17277" xr:uid="{00000000-0005-0000-0000-000026290000}"/>
    <cellStyle name="Normal 2 7 18 22" xfId="13658" xr:uid="{00000000-0005-0000-0000-000027290000}"/>
    <cellStyle name="Normal 2 7 18 23" xfId="13492" xr:uid="{00000000-0005-0000-0000-000028290000}"/>
    <cellStyle name="Normal 2 7 18 24" xfId="13311" xr:uid="{00000000-0005-0000-0000-000029290000}"/>
    <cellStyle name="Normal 2 7 18 25" xfId="15319" xr:uid="{00000000-0005-0000-0000-00002A290000}"/>
    <cellStyle name="Normal 2 7 18 26" xfId="12837" xr:uid="{00000000-0005-0000-0000-00002B290000}"/>
    <cellStyle name="Normal 2 7 18 27" xfId="13830" xr:uid="{00000000-0005-0000-0000-00002C290000}"/>
    <cellStyle name="Normal 2 7 18 28" xfId="12503" xr:uid="{00000000-0005-0000-0000-00002D290000}"/>
    <cellStyle name="Normal 2 7 18 29" xfId="7317" xr:uid="{00000000-0005-0000-0000-00002E290000}"/>
    <cellStyle name="Normal 2 7 18 3" xfId="27436" xr:uid="{00000000-0005-0000-0000-00002F290000}"/>
    <cellStyle name="Normal 2 7 18 30" xfId="9717" xr:uid="{00000000-0005-0000-0000-000030290000}"/>
    <cellStyle name="Normal 2 7 18 31" xfId="10103" xr:uid="{00000000-0005-0000-0000-000031290000}"/>
    <cellStyle name="Normal 2 7 18 32" xfId="9555" xr:uid="{00000000-0005-0000-0000-000032290000}"/>
    <cellStyle name="Normal 2 7 18 33" xfId="5326" xr:uid="{00000000-0005-0000-0000-000033290000}"/>
    <cellStyle name="Normal 2 7 18 34" xfId="9997" xr:uid="{00000000-0005-0000-0000-000034290000}"/>
    <cellStyle name="Normal 2 7 18 35" xfId="7309" xr:uid="{00000000-0005-0000-0000-000035290000}"/>
    <cellStyle name="Normal 2 7 18 36" xfId="7011" xr:uid="{00000000-0005-0000-0000-000036290000}"/>
    <cellStyle name="Normal 2 7 18 37" xfId="4358" xr:uid="{00000000-0005-0000-0000-000037290000}"/>
    <cellStyle name="Normal 2 7 18 38" xfId="5083" xr:uid="{00000000-0005-0000-0000-000038290000}"/>
    <cellStyle name="Normal 2 7 18 39" xfId="6698" xr:uid="{00000000-0005-0000-0000-000039290000}"/>
    <cellStyle name="Normal 2 7 18 4" xfId="26839" xr:uid="{00000000-0005-0000-0000-00003A290000}"/>
    <cellStyle name="Normal 2 7 18 40" xfId="6283" xr:uid="{00000000-0005-0000-0000-00003B290000}"/>
    <cellStyle name="Normal 2 7 18 41" xfId="11435" xr:uid="{00000000-0005-0000-0000-00003C290000}"/>
    <cellStyle name="Normal 2 7 18 42" xfId="7533" xr:uid="{00000000-0005-0000-0000-00003D290000}"/>
    <cellStyle name="Normal 2 7 18 43" xfId="4918" xr:uid="{00000000-0005-0000-0000-00003E290000}"/>
    <cellStyle name="Normal 2 7 18 5" xfId="26243" xr:uid="{00000000-0005-0000-0000-00003F290000}"/>
    <cellStyle name="Normal 2 7 18 6" xfId="25647" xr:uid="{00000000-0005-0000-0000-000040290000}"/>
    <cellStyle name="Normal 2 7 18 7" xfId="25050" xr:uid="{00000000-0005-0000-0000-000041290000}"/>
    <cellStyle name="Normal 2 7 18 8" xfId="24453" xr:uid="{00000000-0005-0000-0000-000042290000}"/>
    <cellStyle name="Normal 2 7 18 9" xfId="23856" xr:uid="{00000000-0005-0000-0000-000043290000}"/>
    <cellStyle name="Normal 2 7 19" xfId="28632" xr:uid="{00000000-0005-0000-0000-000044290000}"/>
    <cellStyle name="Normal 2 7 19 10" xfId="23258" xr:uid="{00000000-0005-0000-0000-000045290000}"/>
    <cellStyle name="Normal 2 7 19 11" xfId="22661" xr:uid="{00000000-0005-0000-0000-000046290000}"/>
    <cellStyle name="Normal 2 7 19 12" xfId="22065" xr:uid="{00000000-0005-0000-0000-000047290000}"/>
    <cellStyle name="Normal 2 7 19 13" xfId="21468" xr:uid="{00000000-0005-0000-0000-000048290000}"/>
    <cellStyle name="Normal 2 7 19 14" xfId="20871" xr:uid="{00000000-0005-0000-0000-000049290000}"/>
    <cellStyle name="Normal 2 7 19 15" xfId="20274" xr:uid="{00000000-0005-0000-0000-00004A290000}"/>
    <cellStyle name="Normal 2 7 19 16" xfId="19678" xr:uid="{00000000-0005-0000-0000-00004B290000}"/>
    <cellStyle name="Normal 2 7 19 17" xfId="19082" xr:uid="{00000000-0005-0000-0000-00004C290000}"/>
    <cellStyle name="Normal 2 7 19 18" xfId="18490" xr:uid="{00000000-0005-0000-0000-00004D290000}"/>
    <cellStyle name="Normal 2 7 19 19" xfId="17893" xr:uid="{00000000-0005-0000-0000-00004E290000}"/>
    <cellStyle name="Normal 2 7 19 2" xfId="28032" xr:uid="{00000000-0005-0000-0000-00004F290000}"/>
    <cellStyle name="Normal 2 7 19 20" xfId="15541" xr:uid="{00000000-0005-0000-0000-000050290000}"/>
    <cellStyle name="Normal 2 7 19 21" xfId="16857" xr:uid="{00000000-0005-0000-0000-000051290000}"/>
    <cellStyle name="Normal 2 7 19 22" xfId="13797" xr:uid="{00000000-0005-0000-0000-000052290000}"/>
    <cellStyle name="Normal 2 7 19 23" xfId="14063" xr:uid="{00000000-0005-0000-0000-000053290000}"/>
    <cellStyle name="Normal 2 7 19 24" xfId="13075" xr:uid="{00000000-0005-0000-0000-000054290000}"/>
    <cellStyle name="Normal 2 7 19 25" xfId="13091" xr:uid="{00000000-0005-0000-0000-000055290000}"/>
    <cellStyle name="Normal 2 7 19 26" xfId="17062" xr:uid="{00000000-0005-0000-0000-000056290000}"/>
    <cellStyle name="Normal 2 7 19 27" xfId="12782" xr:uid="{00000000-0005-0000-0000-000057290000}"/>
    <cellStyle name="Normal 2 7 19 28" xfId="12502" xr:uid="{00000000-0005-0000-0000-000058290000}"/>
    <cellStyle name="Normal 2 7 19 29" xfId="8061" xr:uid="{00000000-0005-0000-0000-000059290000}"/>
    <cellStyle name="Normal 2 7 19 3" xfId="27435" xr:uid="{00000000-0005-0000-0000-00005A290000}"/>
    <cellStyle name="Normal 2 7 19 30" xfId="10626" xr:uid="{00000000-0005-0000-0000-00005B290000}"/>
    <cellStyle name="Normal 2 7 19 31" xfId="7224" xr:uid="{00000000-0005-0000-0000-00005C290000}"/>
    <cellStyle name="Normal 2 7 19 32" xfId="8478" xr:uid="{00000000-0005-0000-0000-00005D290000}"/>
    <cellStyle name="Normal 2 7 19 33" xfId="7845" xr:uid="{00000000-0005-0000-0000-00005E290000}"/>
    <cellStyle name="Normal 2 7 19 34" xfId="8613" xr:uid="{00000000-0005-0000-0000-00005F290000}"/>
    <cellStyle name="Normal 2 7 19 35" xfId="8169" xr:uid="{00000000-0005-0000-0000-000060290000}"/>
    <cellStyle name="Normal 2 7 19 36" xfId="7670" xr:uid="{00000000-0005-0000-0000-000061290000}"/>
    <cellStyle name="Normal 2 7 19 37" xfId="9943" xr:uid="{00000000-0005-0000-0000-000062290000}"/>
    <cellStyle name="Normal 2 7 19 38" xfId="4249" xr:uid="{00000000-0005-0000-0000-000063290000}"/>
    <cellStyle name="Normal 2 7 19 39" xfId="7729" xr:uid="{00000000-0005-0000-0000-000064290000}"/>
    <cellStyle name="Normal 2 7 19 4" xfId="26838" xr:uid="{00000000-0005-0000-0000-000065290000}"/>
    <cellStyle name="Normal 2 7 19 40" xfId="3360" xr:uid="{00000000-0005-0000-0000-000066290000}"/>
    <cellStyle name="Normal 2 7 19 41" xfId="9379" xr:uid="{00000000-0005-0000-0000-000067290000}"/>
    <cellStyle name="Normal 2 7 19 42" xfId="5916" xr:uid="{00000000-0005-0000-0000-000068290000}"/>
    <cellStyle name="Normal 2 7 19 43" xfId="4574" xr:uid="{00000000-0005-0000-0000-000069290000}"/>
    <cellStyle name="Normal 2 7 19 5" xfId="26242" xr:uid="{00000000-0005-0000-0000-00006A290000}"/>
    <cellStyle name="Normal 2 7 19 6" xfId="25646" xr:uid="{00000000-0005-0000-0000-00006B290000}"/>
    <cellStyle name="Normal 2 7 19 7" xfId="25049" xr:uid="{00000000-0005-0000-0000-00006C290000}"/>
    <cellStyle name="Normal 2 7 19 8" xfId="24452" xr:uid="{00000000-0005-0000-0000-00006D290000}"/>
    <cellStyle name="Normal 2 7 19 9" xfId="23855" xr:uid="{00000000-0005-0000-0000-00006E290000}"/>
    <cellStyle name="Normal 2 7 2" xfId="28631" xr:uid="{00000000-0005-0000-0000-00006F290000}"/>
    <cellStyle name="Normal 2 7 2 10" xfId="23257" xr:uid="{00000000-0005-0000-0000-000070290000}"/>
    <cellStyle name="Normal 2 7 2 11" xfId="22660" xr:uid="{00000000-0005-0000-0000-000071290000}"/>
    <cellStyle name="Normal 2 7 2 12" xfId="22064" xr:uid="{00000000-0005-0000-0000-000072290000}"/>
    <cellStyle name="Normal 2 7 2 13" xfId="21467" xr:uid="{00000000-0005-0000-0000-000073290000}"/>
    <cellStyle name="Normal 2 7 2 14" xfId="20870" xr:uid="{00000000-0005-0000-0000-000074290000}"/>
    <cellStyle name="Normal 2 7 2 15" xfId="20273" xr:uid="{00000000-0005-0000-0000-000075290000}"/>
    <cellStyle name="Normal 2 7 2 16" xfId="19677" xr:uid="{00000000-0005-0000-0000-000076290000}"/>
    <cellStyle name="Normal 2 7 2 17" xfId="19081" xr:uid="{00000000-0005-0000-0000-000077290000}"/>
    <cellStyle name="Normal 2 7 2 18" xfId="18489" xr:uid="{00000000-0005-0000-0000-000078290000}"/>
    <cellStyle name="Normal 2 7 2 19" xfId="17892" xr:uid="{00000000-0005-0000-0000-000079290000}"/>
    <cellStyle name="Normal 2 7 2 2" xfId="28031" xr:uid="{00000000-0005-0000-0000-00007A290000}"/>
    <cellStyle name="Normal 2 7 2 20" xfId="15731" xr:uid="{00000000-0005-0000-0000-00007B290000}"/>
    <cellStyle name="Normal 2 7 2 21" xfId="16661" xr:uid="{00000000-0005-0000-0000-00007C290000}"/>
    <cellStyle name="Normal 2 7 2 22" xfId="13946" xr:uid="{00000000-0005-0000-0000-00007D290000}"/>
    <cellStyle name="Normal 2 7 2 23" xfId="16121" xr:uid="{00000000-0005-0000-0000-00007E290000}"/>
    <cellStyle name="Normal 2 7 2 24" xfId="15957" xr:uid="{00000000-0005-0000-0000-00007F290000}"/>
    <cellStyle name="Normal 2 7 2 25" xfId="13753" xr:uid="{00000000-0005-0000-0000-000080290000}"/>
    <cellStyle name="Normal 2 7 2 26" xfId="15695" xr:uid="{00000000-0005-0000-0000-000081290000}"/>
    <cellStyle name="Normal 2 7 2 27" xfId="15359" xr:uid="{00000000-0005-0000-0000-000082290000}"/>
    <cellStyle name="Normal 2 7 2 28" xfId="12501" xr:uid="{00000000-0005-0000-0000-000083290000}"/>
    <cellStyle name="Normal 2 7 2 29" xfId="7069" xr:uid="{00000000-0005-0000-0000-000084290000}"/>
    <cellStyle name="Normal 2 7 2 3" xfId="27434" xr:uid="{00000000-0005-0000-0000-000085290000}"/>
    <cellStyle name="Normal 2 7 2 30" xfId="11284" xr:uid="{00000000-0005-0000-0000-000086290000}"/>
    <cellStyle name="Normal 2 7 2 31" xfId="5935" xr:uid="{00000000-0005-0000-0000-000087290000}"/>
    <cellStyle name="Normal 2 7 2 32" xfId="11560" xr:uid="{00000000-0005-0000-0000-000088290000}"/>
    <cellStyle name="Normal 2 7 2 33" xfId="9512" xr:uid="{00000000-0005-0000-0000-000089290000}"/>
    <cellStyle name="Normal 2 7 2 34" xfId="5524" xr:uid="{00000000-0005-0000-0000-00008A290000}"/>
    <cellStyle name="Normal 2 7 2 35" xfId="6597" xr:uid="{00000000-0005-0000-0000-00008B290000}"/>
    <cellStyle name="Normal 2 7 2 36" xfId="5773" xr:uid="{00000000-0005-0000-0000-00008C290000}"/>
    <cellStyle name="Normal 2 7 2 37" xfId="10391" xr:uid="{00000000-0005-0000-0000-00008D290000}"/>
    <cellStyle name="Normal 2 7 2 38" xfId="7976" xr:uid="{00000000-0005-0000-0000-00008E290000}"/>
    <cellStyle name="Normal 2 7 2 39" xfId="4833" xr:uid="{00000000-0005-0000-0000-00008F290000}"/>
    <cellStyle name="Normal 2 7 2 4" xfId="26837" xr:uid="{00000000-0005-0000-0000-000090290000}"/>
    <cellStyle name="Normal 2 7 2 40" xfId="9164" xr:uid="{00000000-0005-0000-0000-000091290000}"/>
    <cellStyle name="Normal 2 7 2 41" xfId="11071" xr:uid="{00000000-0005-0000-0000-000092290000}"/>
    <cellStyle name="Normal 2 7 2 42" xfId="6976" xr:uid="{00000000-0005-0000-0000-000093290000}"/>
    <cellStyle name="Normal 2 7 2 43" xfId="3484" xr:uid="{00000000-0005-0000-0000-000094290000}"/>
    <cellStyle name="Normal 2 7 2 44" xfId="2986" xr:uid="{00000000-0005-0000-0000-000095290000}"/>
    <cellStyle name="Normal 2 7 2 45" xfId="2742" xr:uid="{00000000-0005-0000-0000-000096290000}"/>
    <cellStyle name="Normal 2 7 2 46" xfId="2502" xr:uid="{00000000-0005-0000-0000-000097290000}"/>
    <cellStyle name="Normal 2 7 2 47" xfId="2262" xr:uid="{00000000-0005-0000-0000-000098290000}"/>
    <cellStyle name="Normal 2 7 2 48" xfId="2022" xr:uid="{00000000-0005-0000-0000-000099290000}"/>
    <cellStyle name="Normal 2 7 2 49" xfId="1782" xr:uid="{00000000-0005-0000-0000-00009A290000}"/>
    <cellStyle name="Normal 2 7 2 5" xfId="26241" xr:uid="{00000000-0005-0000-0000-00009B290000}"/>
    <cellStyle name="Normal 2 7 2 50" xfId="1543" xr:uid="{00000000-0005-0000-0000-00009C290000}"/>
    <cellStyle name="Normal 2 7 2 51" xfId="1303" xr:uid="{00000000-0005-0000-0000-00009D290000}"/>
    <cellStyle name="Normal 2 7 2 52" xfId="1063" xr:uid="{00000000-0005-0000-0000-00009E290000}"/>
    <cellStyle name="Normal 2 7 2 53" xfId="823" xr:uid="{00000000-0005-0000-0000-00009F290000}"/>
    <cellStyle name="Normal 2 7 2 54" xfId="583" xr:uid="{00000000-0005-0000-0000-0000A0290000}"/>
    <cellStyle name="Normal 2 7 2 55" xfId="344" xr:uid="{00000000-0005-0000-0000-0000A1290000}"/>
    <cellStyle name="Normal 2 7 2 56" xfId="106" xr:uid="{00000000-0005-0000-0000-0000A2290000}"/>
    <cellStyle name="Normal 2 7 2 6" xfId="25645" xr:uid="{00000000-0005-0000-0000-0000A3290000}"/>
    <cellStyle name="Normal 2 7 2 7" xfId="25048" xr:uid="{00000000-0005-0000-0000-0000A4290000}"/>
    <cellStyle name="Normal 2 7 2 8" xfId="24451" xr:uid="{00000000-0005-0000-0000-0000A5290000}"/>
    <cellStyle name="Normal 2 7 2 9" xfId="23854" xr:uid="{00000000-0005-0000-0000-0000A6290000}"/>
    <cellStyle name="Normal 2 7 20" xfId="28630" xr:uid="{00000000-0005-0000-0000-0000A7290000}"/>
    <cellStyle name="Normal 2 7 20 10" xfId="23256" xr:uid="{00000000-0005-0000-0000-0000A8290000}"/>
    <cellStyle name="Normal 2 7 20 11" xfId="22659" xr:uid="{00000000-0005-0000-0000-0000A9290000}"/>
    <cellStyle name="Normal 2 7 20 12" xfId="22063" xr:uid="{00000000-0005-0000-0000-0000AA290000}"/>
    <cellStyle name="Normal 2 7 20 13" xfId="21466" xr:uid="{00000000-0005-0000-0000-0000AB290000}"/>
    <cellStyle name="Normal 2 7 20 14" xfId="20869" xr:uid="{00000000-0005-0000-0000-0000AC290000}"/>
    <cellStyle name="Normal 2 7 20 15" xfId="20272" xr:uid="{00000000-0005-0000-0000-0000AD290000}"/>
    <cellStyle name="Normal 2 7 20 16" xfId="19676" xr:uid="{00000000-0005-0000-0000-0000AE290000}"/>
    <cellStyle name="Normal 2 7 20 17" xfId="19080" xr:uid="{00000000-0005-0000-0000-0000AF290000}"/>
    <cellStyle name="Normal 2 7 20 18" xfId="18488" xr:uid="{00000000-0005-0000-0000-0000B0290000}"/>
    <cellStyle name="Normal 2 7 20 19" xfId="17891" xr:uid="{00000000-0005-0000-0000-0000B1290000}"/>
    <cellStyle name="Normal 2 7 20 2" xfId="28030" xr:uid="{00000000-0005-0000-0000-0000B2290000}"/>
    <cellStyle name="Normal 2 7 20 20" xfId="15931" xr:uid="{00000000-0005-0000-0000-0000B3290000}"/>
    <cellStyle name="Normal 2 7 20 21" xfId="16453" xr:uid="{00000000-0005-0000-0000-0000B4290000}"/>
    <cellStyle name="Normal 2 7 20 22" xfId="16363" xr:uid="{00000000-0005-0000-0000-0000B5290000}"/>
    <cellStyle name="Normal 2 7 20 23" xfId="13776" xr:uid="{00000000-0005-0000-0000-0000B6290000}"/>
    <cellStyle name="Normal 2 7 20 24" xfId="13343" xr:uid="{00000000-0005-0000-0000-0000B7290000}"/>
    <cellStyle name="Normal 2 7 20 25" xfId="16411" xr:uid="{00000000-0005-0000-0000-0000B8290000}"/>
    <cellStyle name="Normal 2 7 20 26" xfId="15078" xr:uid="{00000000-0005-0000-0000-0000B9290000}"/>
    <cellStyle name="Normal 2 7 20 27" xfId="16436" xr:uid="{00000000-0005-0000-0000-0000BA290000}"/>
    <cellStyle name="Normal 2 7 20 28" xfId="12500" xr:uid="{00000000-0005-0000-0000-0000BB290000}"/>
    <cellStyle name="Normal 2 7 20 29" xfId="7894" xr:uid="{00000000-0005-0000-0000-0000BC290000}"/>
    <cellStyle name="Normal 2 7 20 3" xfId="27433" xr:uid="{00000000-0005-0000-0000-0000BD290000}"/>
    <cellStyle name="Normal 2 7 20 30" xfId="11735" xr:uid="{00000000-0005-0000-0000-0000BE290000}"/>
    <cellStyle name="Normal 2 7 20 31" xfId="11275" xr:uid="{00000000-0005-0000-0000-0000BF290000}"/>
    <cellStyle name="Normal 2 7 20 32" xfId="10007" xr:uid="{00000000-0005-0000-0000-0000C0290000}"/>
    <cellStyle name="Normal 2 7 20 33" xfId="7193" xr:uid="{00000000-0005-0000-0000-0000C1290000}"/>
    <cellStyle name="Normal 2 7 20 34" xfId="6174" xr:uid="{00000000-0005-0000-0000-0000C2290000}"/>
    <cellStyle name="Normal 2 7 20 35" xfId="7198" xr:uid="{00000000-0005-0000-0000-0000C3290000}"/>
    <cellStyle name="Normal 2 7 20 36" xfId="5122" xr:uid="{00000000-0005-0000-0000-0000C4290000}"/>
    <cellStyle name="Normal 2 7 20 37" xfId="9139" xr:uid="{00000000-0005-0000-0000-0000C5290000}"/>
    <cellStyle name="Normal 2 7 20 38" xfId="12065" xr:uid="{00000000-0005-0000-0000-0000C6290000}"/>
    <cellStyle name="Normal 2 7 20 39" xfId="9065" xr:uid="{00000000-0005-0000-0000-0000C7290000}"/>
    <cellStyle name="Normal 2 7 20 4" xfId="26836" xr:uid="{00000000-0005-0000-0000-0000C8290000}"/>
    <cellStyle name="Normal 2 7 20 40" xfId="3597" xr:uid="{00000000-0005-0000-0000-0000C9290000}"/>
    <cellStyle name="Normal 2 7 20 41" xfId="10656" xr:uid="{00000000-0005-0000-0000-0000CA290000}"/>
    <cellStyle name="Normal 2 7 20 42" xfId="3811" xr:uid="{00000000-0005-0000-0000-0000CB290000}"/>
    <cellStyle name="Normal 2 7 20 43" xfId="3270" xr:uid="{00000000-0005-0000-0000-0000CC290000}"/>
    <cellStyle name="Normal 2 7 20 5" xfId="26240" xr:uid="{00000000-0005-0000-0000-0000CD290000}"/>
    <cellStyle name="Normal 2 7 20 6" xfId="25644" xr:uid="{00000000-0005-0000-0000-0000CE290000}"/>
    <cellStyle name="Normal 2 7 20 7" xfId="25047" xr:uid="{00000000-0005-0000-0000-0000CF290000}"/>
    <cellStyle name="Normal 2 7 20 8" xfId="24450" xr:uid="{00000000-0005-0000-0000-0000D0290000}"/>
    <cellStyle name="Normal 2 7 20 9" xfId="23853" xr:uid="{00000000-0005-0000-0000-0000D1290000}"/>
    <cellStyle name="Normal 2 7 21" xfId="28629" xr:uid="{00000000-0005-0000-0000-0000D2290000}"/>
    <cellStyle name="Normal 2 7 21 10" xfId="23255" xr:uid="{00000000-0005-0000-0000-0000D3290000}"/>
    <cellStyle name="Normal 2 7 21 11" xfId="22658" xr:uid="{00000000-0005-0000-0000-0000D4290000}"/>
    <cellStyle name="Normal 2 7 21 12" xfId="22062" xr:uid="{00000000-0005-0000-0000-0000D5290000}"/>
    <cellStyle name="Normal 2 7 21 13" xfId="21465" xr:uid="{00000000-0005-0000-0000-0000D6290000}"/>
    <cellStyle name="Normal 2 7 21 14" xfId="20868" xr:uid="{00000000-0005-0000-0000-0000D7290000}"/>
    <cellStyle name="Normal 2 7 21 15" xfId="20271" xr:uid="{00000000-0005-0000-0000-0000D8290000}"/>
    <cellStyle name="Normal 2 7 21 16" xfId="19675" xr:uid="{00000000-0005-0000-0000-0000D9290000}"/>
    <cellStyle name="Normal 2 7 21 17" xfId="19079" xr:uid="{00000000-0005-0000-0000-0000DA290000}"/>
    <cellStyle name="Normal 2 7 21 18" xfId="18487" xr:uid="{00000000-0005-0000-0000-0000DB290000}"/>
    <cellStyle name="Normal 2 7 21 19" xfId="17890" xr:uid="{00000000-0005-0000-0000-0000DC290000}"/>
    <cellStyle name="Normal 2 7 21 2" xfId="28029" xr:uid="{00000000-0005-0000-0000-0000DD290000}"/>
    <cellStyle name="Normal 2 7 21 20" xfId="16139" xr:uid="{00000000-0005-0000-0000-0000DE290000}"/>
    <cellStyle name="Normal 2 7 21 21" xfId="15826" xr:uid="{00000000-0005-0000-0000-0000DF290000}"/>
    <cellStyle name="Normal 2 7 21 22" xfId="16748" xr:uid="{00000000-0005-0000-0000-0000E0290000}"/>
    <cellStyle name="Normal 2 7 21 23" xfId="14015" xr:uid="{00000000-0005-0000-0000-0000E1290000}"/>
    <cellStyle name="Normal 2 7 21 24" xfId="14998" xr:uid="{00000000-0005-0000-0000-0000E2290000}"/>
    <cellStyle name="Normal 2 7 21 25" xfId="13550" xr:uid="{00000000-0005-0000-0000-0000E3290000}"/>
    <cellStyle name="Normal 2 7 21 26" xfId="13050" xr:uid="{00000000-0005-0000-0000-0000E4290000}"/>
    <cellStyle name="Normal 2 7 21 27" xfId="12833" xr:uid="{00000000-0005-0000-0000-0000E5290000}"/>
    <cellStyle name="Normal 2 7 21 28" xfId="12499" xr:uid="{00000000-0005-0000-0000-0000E6290000}"/>
    <cellStyle name="Normal 2 7 21 29" xfId="7702" xr:uid="{00000000-0005-0000-0000-0000E7290000}"/>
    <cellStyle name="Normal 2 7 21 3" xfId="27432" xr:uid="{00000000-0005-0000-0000-0000E8290000}"/>
    <cellStyle name="Normal 2 7 21 30" xfId="7684" xr:uid="{00000000-0005-0000-0000-0000E9290000}"/>
    <cellStyle name="Normal 2 7 21 31" xfId="8359" xr:uid="{00000000-0005-0000-0000-0000EA290000}"/>
    <cellStyle name="Normal 2 7 21 32" xfId="5562" xr:uid="{00000000-0005-0000-0000-0000EB290000}"/>
    <cellStyle name="Normal 2 7 21 33" xfId="5141" xr:uid="{00000000-0005-0000-0000-0000EC290000}"/>
    <cellStyle name="Normal 2 7 21 34" xfId="8368" xr:uid="{00000000-0005-0000-0000-0000ED290000}"/>
    <cellStyle name="Normal 2 7 21 35" xfId="4780" xr:uid="{00000000-0005-0000-0000-0000EE290000}"/>
    <cellStyle name="Normal 2 7 21 36" xfId="9235" xr:uid="{00000000-0005-0000-0000-0000EF290000}"/>
    <cellStyle name="Normal 2 7 21 37" xfId="11942" xr:uid="{00000000-0005-0000-0000-0000F0290000}"/>
    <cellStyle name="Normal 2 7 21 38" xfId="9951" xr:uid="{00000000-0005-0000-0000-0000F1290000}"/>
    <cellStyle name="Normal 2 7 21 39" xfId="4060" xr:uid="{00000000-0005-0000-0000-0000F2290000}"/>
    <cellStyle name="Normal 2 7 21 4" xfId="26835" xr:uid="{00000000-0005-0000-0000-0000F3290000}"/>
    <cellStyle name="Normal 2 7 21 40" xfId="8707" xr:uid="{00000000-0005-0000-0000-0000F4290000}"/>
    <cellStyle name="Normal 2 7 21 41" xfId="3193" xr:uid="{00000000-0005-0000-0000-0000F5290000}"/>
    <cellStyle name="Normal 2 7 21 42" xfId="10759" xr:uid="{00000000-0005-0000-0000-0000F6290000}"/>
    <cellStyle name="Normal 2 7 21 43" xfId="11080" xr:uid="{00000000-0005-0000-0000-0000F7290000}"/>
    <cellStyle name="Normal 2 7 21 5" xfId="26239" xr:uid="{00000000-0005-0000-0000-0000F8290000}"/>
    <cellStyle name="Normal 2 7 21 6" xfId="25643" xr:uid="{00000000-0005-0000-0000-0000F9290000}"/>
    <cellStyle name="Normal 2 7 21 7" xfId="25046" xr:uid="{00000000-0005-0000-0000-0000FA290000}"/>
    <cellStyle name="Normal 2 7 21 8" xfId="24449" xr:uid="{00000000-0005-0000-0000-0000FB290000}"/>
    <cellStyle name="Normal 2 7 21 9" xfId="23852" xr:uid="{00000000-0005-0000-0000-0000FC290000}"/>
    <cellStyle name="Normal 2 7 22" xfId="2987" xr:uid="{00000000-0005-0000-0000-0000FD290000}"/>
    <cellStyle name="Normal 2 7 22 2" xfId="28902" xr:uid="{00000000-0005-0000-0000-0000FE290000}"/>
    <cellStyle name="Normal 2 7 23" xfId="2743" xr:uid="{00000000-0005-0000-0000-0000FF290000}"/>
    <cellStyle name="Normal 2 7 24" xfId="2503" xr:uid="{00000000-0005-0000-0000-0000002A0000}"/>
    <cellStyle name="Normal 2 7 25" xfId="2263" xr:uid="{00000000-0005-0000-0000-0000012A0000}"/>
    <cellStyle name="Normal 2 7 26" xfId="2023" xr:uid="{00000000-0005-0000-0000-0000022A0000}"/>
    <cellStyle name="Normal 2 7 27" xfId="1783" xr:uid="{00000000-0005-0000-0000-0000032A0000}"/>
    <cellStyle name="Normal 2 7 28" xfId="1544" xr:uid="{00000000-0005-0000-0000-0000042A0000}"/>
    <cellStyle name="Normal 2 7 29" xfId="1304" xr:uid="{00000000-0005-0000-0000-0000052A0000}"/>
    <cellStyle name="Normal 2 7 3" xfId="28628" xr:uid="{00000000-0005-0000-0000-0000062A0000}"/>
    <cellStyle name="Normal 2 7 3 10" xfId="23254" xr:uid="{00000000-0005-0000-0000-0000072A0000}"/>
    <cellStyle name="Normal 2 7 3 11" xfId="22657" xr:uid="{00000000-0005-0000-0000-0000082A0000}"/>
    <cellStyle name="Normal 2 7 3 12" xfId="22061" xr:uid="{00000000-0005-0000-0000-0000092A0000}"/>
    <cellStyle name="Normal 2 7 3 13" xfId="21464" xr:uid="{00000000-0005-0000-0000-00000A2A0000}"/>
    <cellStyle name="Normal 2 7 3 14" xfId="20867" xr:uid="{00000000-0005-0000-0000-00000B2A0000}"/>
    <cellStyle name="Normal 2 7 3 15" xfId="20270" xr:uid="{00000000-0005-0000-0000-00000C2A0000}"/>
    <cellStyle name="Normal 2 7 3 16" xfId="19674" xr:uid="{00000000-0005-0000-0000-00000D2A0000}"/>
    <cellStyle name="Normal 2 7 3 17" xfId="19078" xr:uid="{00000000-0005-0000-0000-00000E2A0000}"/>
    <cellStyle name="Normal 2 7 3 18" xfId="18486" xr:uid="{00000000-0005-0000-0000-00000F2A0000}"/>
    <cellStyle name="Normal 2 7 3 19" xfId="17889" xr:uid="{00000000-0005-0000-0000-0000102A0000}"/>
    <cellStyle name="Normal 2 7 3 2" xfId="28028" xr:uid="{00000000-0005-0000-0000-0000112A0000}"/>
    <cellStyle name="Normal 2 7 3 20" xfId="16340" xr:uid="{00000000-0005-0000-0000-0000122A0000}"/>
    <cellStyle name="Normal 2 7 3 21" xfId="15426" xr:uid="{00000000-0005-0000-0000-0000132A0000}"/>
    <cellStyle name="Normal 2 7 3 22" xfId="17352" xr:uid="{00000000-0005-0000-0000-0000142A0000}"/>
    <cellStyle name="Normal 2 7 3 23" xfId="16623" xr:uid="{00000000-0005-0000-0000-0000152A0000}"/>
    <cellStyle name="Normal 2 7 3 24" xfId="14303" xr:uid="{00000000-0005-0000-0000-0000162A0000}"/>
    <cellStyle name="Normal 2 7 3 25" xfId="17228" xr:uid="{00000000-0005-0000-0000-0000172A0000}"/>
    <cellStyle name="Normal 2 7 3 26" xfId="15995" xr:uid="{00000000-0005-0000-0000-0000182A0000}"/>
    <cellStyle name="Normal 2 7 3 27" xfId="12755" xr:uid="{00000000-0005-0000-0000-0000192A0000}"/>
    <cellStyle name="Normal 2 7 3 28" xfId="12498" xr:uid="{00000000-0005-0000-0000-00001A2A0000}"/>
    <cellStyle name="Normal 2 7 3 29" xfId="6953" xr:uid="{00000000-0005-0000-0000-00001B2A0000}"/>
    <cellStyle name="Normal 2 7 3 3" xfId="27431" xr:uid="{00000000-0005-0000-0000-00001C2A0000}"/>
    <cellStyle name="Normal 2 7 3 30" xfId="5857" xr:uid="{00000000-0005-0000-0000-00001D2A0000}"/>
    <cellStyle name="Normal 2 7 3 31" xfId="7292" xr:uid="{00000000-0005-0000-0000-00001E2A0000}"/>
    <cellStyle name="Normal 2 7 3 32" xfId="9174" xr:uid="{00000000-0005-0000-0000-00001F2A0000}"/>
    <cellStyle name="Normal 2 7 3 33" xfId="11184" xr:uid="{00000000-0005-0000-0000-0000202A0000}"/>
    <cellStyle name="Normal 2 7 3 34" xfId="4699" xr:uid="{00000000-0005-0000-0000-0000212A0000}"/>
    <cellStyle name="Normal 2 7 3 35" xfId="9759" xr:uid="{00000000-0005-0000-0000-0000222A0000}"/>
    <cellStyle name="Normal 2 7 3 36" xfId="6635" xr:uid="{00000000-0005-0000-0000-0000232A0000}"/>
    <cellStyle name="Normal 2 7 3 37" xfId="4129" xr:uid="{00000000-0005-0000-0000-0000242A0000}"/>
    <cellStyle name="Normal 2 7 3 38" xfId="4601" xr:uid="{00000000-0005-0000-0000-0000252A0000}"/>
    <cellStyle name="Normal 2 7 3 39" xfId="4471" xr:uid="{00000000-0005-0000-0000-0000262A0000}"/>
    <cellStyle name="Normal 2 7 3 4" xfId="26834" xr:uid="{00000000-0005-0000-0000-0000272A0000}"/>
    <cellStyle name="Normal 2 7 3 40" xfId="10675" xr:uid="{00000000-0005-0000-0000-0000282A0000}"/>
    <cellStyle name="Normal 2 7 3 41" xfId="11724" xr:uid="{00000000-0005-0000-0000-0000292A0000}"/>
    <cellStyle name="Normal 2 7 3 42" xfId="6023" xr:uid="{00000000-0005-0000-0000-00002A2A0000}"/>
    <cellStyle name="Normal 2 7 3 43" xfId="11600" xr:uid="{00000000-0005-0000-0000-00002B2A0000}"/>
    <cellStyle name="Normal 2 7 3 44" xfId="2985" xr:uid="{00000000-0005-0000-0000-00002C2A0000}"/>
    <cellStyle name="Normal 2 7 3 45" xfId="2741" xr:uid="{00000000-0005-0000-0000-00002D2A0000}"/>
    <cellStyle name="Normal 2 7 3 46" xfId="2501" xr:uid="{00000000-0005-0000-0000-00002E2A0000}"/>
    <cellStyle name="Normal 2 7 3 47" xfId="2261" xr:uid="{00000000-0005-0000-0000-00002F2A0000}"/>
    <cellStyle name="Normal 2 7 3 48" xfId="2021" xr:uid="{00000000-0005-0000-0000-0000302A0000}"/>
    <cellStyle name="Normal 2 7 3 49" xfId="1781" xr:uid="{00000000-0005-0000-0000-0000312A0000}"/>
    <cellStyle name="Normal 2 7 3 5" xfId="26238" xr:uid="{00000000-0005-0000-0000-0000322A0000}"/>
    <cellStyle name="Normal 2 7 3 50" xfId="1542" xr:uid="{00000000-0005-0000-0000-0000332A0000}"/>
    <cellStyle name="Normal 2 7 3 51" xfId="1302" xr:uid="{00000000-0005-0000-0000-0000342A0000}"/>
    <cellStyle name="Normal 2 7 3 52" xfId="1062" xr:uid="{00000000-0005-0000-0000-0000352A0000}"/>
    <cellStyle name="Normal 2 7 3 53" xfId="822" xr:uid="{00000000-0005-0000-0000-0000362A0000}"/>
    <cellStyle name="Normal 2 7 3 54" xfId="582" xr:uid="{00000000-0005-0000-0000-0000372A0000}"/>
    <cellStyle name="Normal 2 7 3 55" xfId="343" xr:uid="{00000000-0005-0000-0000-0000382A0000}"/>
    <cellStyle name="Normal 2 7 3 56" xfId="105" xr:uid="{00000000-0005-0000-0000-0000392A0000}"/>
    <cellStyle name="Normal 2 7 3 6" xfId="25642" xr:uid="{00000000-0005-0000-0000-00003A2A0000}"/>
    <cellStyle name="Normal 2 7 3 7" xfId="25045" xr:uid="{00000000-0005-0000-0000-00003B2A0000}"/>
    <cellStyle name="Normal 2 7 3 8" xfId="24448" xr:uid="{00000000-0005-0000-0000-00003C2A0000}"/>
    <cellStyle name="Normal 2 7 3 9" xfId="23851" xr:uid="{00000000-0005-0000-0000-00003D2A0000}"/>
    <cellStyle name="Normal 2 7 30" xfId="1064" xr:uid="{00000000-0005-0000-0000-00003E2A0000}"/>
    <cellStyle name="Normal 2 7 31" xfId="824" xr:uid="{00000000-0005-0000-0000-00003F2A0000}"/>
    <cellStyle name="Normal 2 7 32" xfId="584" xr:uid="{00000000-0005-0000-0000-0000402A0000}"/>
    <cellStyle name="Normal 2 7 33" xfId="345" xr:uid="{00000000-0005-0000-0000-0000412A0000}"/>
    <cellStyle name="Normal 2 7 34" xfId="107" xr:uid="{00000000-0005-0000-0000-0000422A0000}"/>
    <cellStyle name="Normal 2 7 4" xfId="28627" xr:uid="{00000000-0005-0000-0000-0000432A0000}"/>
    <cellStyle name="Normal 2 7 4 10" xfId="23253" xr:uid="{00000000-0005-0000-0000-0000442A0000}"/>
    <cellStyle name="Normal 2 7 4 11" xfId="22656" xr:uid="{00000000-0005-0000-0000-0000452A0000}"/>
    <cellStyle name="Normal 2 7 4 12" xfId="22060" xr:uid="{00000000-0005-0000-0000-0000462A0000}"/>
    <cellStyle name="Normal 2 7 4 13" xfId="21463" xr:uid="{00000000-0005-0000-0000-0000472A0000}"/>
    <cellStyle name="Normal 2 7 4 14" xfId="20866" xr:uid="{00000000-0005-0000-0000-0000482A0000}"/>
    <cellStyle name="Normal 2 7 4 15" xfId="20269" xr:uid="{00000000-0005-0000-0000-0000492A0000}"/>
    <cellStyle name="Normal 2 7 4 16" xfId="19673" xr:uid="{00000000-0005-0000-0000-00004A2A0000}"/>
    <cellStyle name="Normal 2 7 4 17" xfId="19077" xr:uid="{00000000-0005-0000-0000-00004B2A0000}"/>
    <cellStyle name="Normal 2 7 4 18" xfId="18485" xr:uid="{00000000-0005-0000-0000-00004C2A0000}"/>
    <cellStyle name="Normal 2 7 4 19" xfId="17888" xr:uid="{00000000-0005-0000-0000-00004D2A0000}"/>
    <cellStyle name="Normal 2 7 4 2" xfId="28027" xr:uid="{00000000-0005-0000-0000-00004E2A0000}"/>
    <cellStyle name="Normal 2 7 4 20" xfId="16530" xr:uid="{00000000-0005-0000-0000-00004F2A0000}"/>
    <cellStyle name="Normal 2 7 4 21" xfId="15022" xr:uid="{00000000-0005-0000-0000-0000502A0000}"/>
    <cellStyle name="Normal 2 7 4 22" xfId="14569" xr:uid="{00000000-0005-0000-0000-0000512A0000}"/>
    <cellStyle name="Normal 2 7 4 23" xfId="13579" xr:uid="{00000000-0005-0000-0000-0000522A0000}"/>
    <cellStyle name="Normal 2 7 4 24" xfId="17190" xr:uid="{00000000-0005-0000-0000-0000532A0000}"/>
    <cellStyle name="Normal 2 7 4 25" xfId="16568" xr:uid="{00000000-0005-0000-0000-0000542A0000}"/>
    <cellStyle name="Normal 2 7 4 26" xfId="15478" xr:uid="{00000000-0005-0000-0000-0000552A0000}"/>
    <cellStyle name="Normal 2 7 4 27" xfId="12963" xr:uid="{00000000-0005-0000-0000-0000562A0000}"/>
    <cellStyle name="Normal 2 7 4 28" xfId="12497" xr:uid="{00000000-0005-0000-0000-0000572A0000}"/>
    <cellStyle name="Normal 2 7 4 29" xfId="11906" xr:uid="{00000000-0005-0000-0000-0000582A0000}"/>
    <cellStyle name="Normal 2 7 4 3" xfId="27430" xr:uid="{00000000-0005-0000-0000-0000592A0000}"/>
    <cellStyle name="Normal 2 7 4 30" xfId="10778" xr:uid="{00000000-0005-0000-0000-00005A2A0000}"/>
    <cellStyle name="Normal 2 7 4 31" xfId="8780" xr:uid="{00000000-0005-0000-0000-00005B2A0000}"/>
    <cellStyle name="Normal 2 7 4 32" xfId="9460" xr:uid="{00000000-0005-0000-0000-00005C2A0000}"/>
    <cellStyle name="Normal 2 7 4 33" xfId="9864" xr:uid="{00000000-0005-0000-0000-00005D2A0000}"/>
    <cellStyle name="Normal 2 7 4 34" xfId="8631" xr:uid="{00000000-0005-0000-0000-00005E2A0000}"/>
    <cellStyle name="Normal 2 7 4 35" xfId="5057" xr:uid="{00000000-0005-0000-0000-00005F2A0000}"/>
    <cellStyle name="Normal 2 7 4 36" xfId="4223" xr:uid="{00000000-0005-0000-0000-0000602A0000}"/>
    <cellStyle name="Normal 2 7 4 37" xfId="9606" xr:uid="{00000000-0005-0000-0000-0000612A0000}"/>
    <cellStyle name="Normal 2 7 4 38" xfId="3739" xr:uid="{00000000-0005-0000-0000-0000622A0000}"/>
    <cellStyle name="Normal 2 7 4 39" xfId="4707" xr:uid="{00000000-0005-0000-0000-0000632A0000}"/>
    <cellStyle name="Normal 2 7 4 4" xfId="26833" xr:uid="{00000000-0005-0000-0000-0000642A0000}"/>
    <cellStyle name="Normal 2 7 4 40" xfId="9346" xr:uid="{00000000-0005-0000-0000-0000652A0000}"/>
    <cellStyle name="Normal 2 7 4 41" xfId="3238" xr:uid="{00000000-0005-0000-0000-0000662A0000}"/>
    <cellStyle name="Normal 2 7 4 42" xfId="3284" xr:uid="{00000000-0005-0000-0000-0000672A0000}"/>
    <cellStyle name="Normal 2 7 4 43" xfId="4820" xr:uid="{00000000-0005-0000-0000-0000682A0000}"/>
    <cellStyle name="Normal 2 7 4 44" xfId="2984" xr:uid="{00000000-0005-0000-0000-0000692A0000}"/>
    <cellStyle name="Normal 2 7 4 45" xfId="2740" xr:uid="{00000000-0005-0000-0000-00006A2A0000}"/>
    <cellStyle name="Normal 2 7 4 46" xfId="2500" xr:uid="{00000000-0005-0000-0000-00006B2A0000}"/>
    <cellStyle name="Normal 2 7 4 47" xfId="2260" xr:uid="{00000000-0005-0000-0000-00006C2A0000}"/>
    <cellStyle name="Normal 2 7 4 48" xfId="2020" xr:uid="{00000000-0005-0000-0000-00006D2A0000}"/>
    <cellStyle name="Normal 2 7 4 49" xfId="1780" xr:uid="{00000000-0005-0000-0000-00006E2A0000}"/>
    <cellStyle name="Normal 2 7 4 5" xfId="26237" xr:uid="{00000000-0005-0000-0000-00006F2A0000}"/>
    <cellStyle name="Normal 2 7 4 50" xfId="1541" xr:uid="{00000000-0005-0000-0000-0000702A0000}"/>
    <cellStyle name="Normal 2 7 4 51" xfId="1301" xr:uid="{00000000-0005-0000-0000-0000712A0000}"/>
    <cellStyle name="Normal 2 7 4 52" xfId="1061" xr:uid="{00000000-0005-0000-0000-0000722A0000}"/>
    <cellStyle name="Normal 2 7 4 53" xfId="821" xr:uid="{00000000-0005-0000-0000-0000732A0000}"/>
    <cellStyle name="Normal 2 7 4 54" xfId="581" xr:uid="{00000000-0005-0000-0000-0000742A0000}"/>
    <cellStyle name="Normal 2 7 4 55" xfId="342" xr:uid="{00000000-0005-0000-0000-0000752A0000}"/>
    <cellStyle name="Normal 2 7 4 56" xfId="104" xr:uid="{00000000-0005-0000-0000-0000762A0000}"/>
    <cellStyle name="Normal 2 7 4 6" xfId="25641" xr:uid="{00000000-0005-0000-0000-0000772A0000}"/>
    <cellStyle name="Normal 2 7 4 7" xfId="25044" xr:uid="{00000000-0005-0000-0000-0000782A0000}"/>
    <cellStyle name="Normal 2 7 4 8" xfId="24447" xr:uid="{00000000-0005-0000-0000-0000792A0000}"/>
    <cellStyle name="Normal 2 7 4 9" xfId="23850" xr:uid="{00000000-0005-0000-0000-00007A2A0000}"/>
    <cellStyle name="Normal 2 7 5" xfId="28626" xr:uid="{00000000-0005-0000-0000-00007B2A0000}"/>
    <cellStyle name="Normal 2 7 5 10" xfId="23252" xr:uid="{00000000-0005-0000-0000-00007C2A0000}"/>
    <cellStyle name="Normal 2 7 5 11" xfId="22655" xr:uid="{00000000-0005-0000-0000-00007D2A0000}"/>
    <cellStyle name="Normal 2 7 5 12" xfId="22059" xr:uid="{00000000-0005-0000-0000-00007E2A0000}"/>
    <cellStyle name="Normal 2 7 5 13" xfId="21462" xr:uid="{00000000-0005-0000-0000-00007F2A0000}"/>
    <cellStyle name="Normal 2 7 5 14" xfId="20865" xr:uid="{00000000-0005-0000-0000-0000802A0000}"/>
    <cellStyle name="Normal 2 7 5 15" xfId="20268" xr:uid="{00000000-0005-0000-0000-0000812A0000}"/>
    <cellStyle name="Normal 2 7 5 16" xfId="19672" xr:uid="{00000000-0005-0000-0000-0000822A0000}"/>
    <cellStyle name="Normal 2 7 5 17" xfId="19076" xr:uid="{00000000-0005-0000-0000-0000832A0000}"/>
    <cellStyle name="Normal 2 7 5 18" xfId="18484" xr:uid="{00000000-0005-0000-0000-0000842A0000}"/>
    <cellStyle name="Normal 2 7 5 19" xfId="17887" xr:uid="{00000000-0005-0000-0000-0000852A0000}"/>
    <cellStyle name="Normal 2 7 5 2" xfId="28026" xr:uid="{00000000-0005-0000-0000-0000862A0000}"/>
    <cellStyle name="Normal 2 7 5 20" xfId="16724" xr:uid="{00000000-0005-0000-0000-0000872A0000}"/>
    <cellStyle name="Normal 2 7 5 21" xfId="14609" xr:uid="{00000000-0005-0000-0000-0000882A0000}"/>
    <cellStyle name="Normal 2 7 5 22" xfId="15384" xr:uid="{00000000-0005-0000-0000-0000892A0000}"/>
    <cellStyle name="Normal 2 7 5 23" xfId="16168" xr:uid="{00000000-0005-0000-0000-00008A2A0000}"/>
    <cellStyle name="Normal 2 7 5 24" xfId="14562" xr:uid="{00000000-0005-0000-0000-00008B2A0000}"/>
    <cellStyle name="Normal 2 7 5 25" xfId="14076" xr:uid="{00000000-0005-0000-0000-00008C2A0000}"/>
    <cellStyle name="Normal 2 7 5 26" xfId="14118" xr:uid="{00000000-0005-0000-0000-00008D2A0000}"/>
    <cellStyle name="Normal 2 7 5 27" xfId="14987" xr:uid="{00000000-0005-0000-0000-00008E2A0000}"/>
    <cellStyle name="Normal 2 7 5 28" xfId="12496" xr:uid="{00000000-0005-0000-0000-00008F2A0000}"/>
    <cellStyle name="Normal 2 7 5 29" xfId="8086" xr:uid="{00000000-0005-0000-0000-0000902A0000}"/>
    <cellStyle name="Normal 2 7 5 3" xfId="27429" xr:uid="{00000000-0005-0000-0000-0000912A0000}"/>
    <cellStyle name="Normal 2 7 5 30" xfId="6210" xr:uid="{00000000-0005-0000-0000-0000922A0000}"/>
    <cellStyle name="Normal 2 7 5 31" xfId="11959" xr:uid="{00000000-0005-0000-0000-0000932A0000}"/>
    <cellStyle name="Normal 2 7 5 32" xfId="8475" xr:uid="{00000000-0005-0000-0000-0000942A0000}"/>
    <cellStyle name="Normal 2 7 5 33" xfId="9393" xr:uid="{00000000-0005-0000-0000-0000952A0000}"/>
    <cellStyle name="Normal 2 7 5 34" xfId="12071" xr:uid="{00000000-0005-0000-0000-0000962A0000}"/>
    <cellStyle name="Normal 2 7 5 35" xfId="7838" xr:uid="{00000000-0005-0000-0000-0000972A0000}"/>
    <cellStyle name="Normal 2 7 5 36" xfId="8217" xr:uid="{00000000-0005-0000-0000-0000982A0000}"/>
    <cellStyle name="Normal 2 7 5 37" xfId="11401" xr:uid="{00000000-0005-0000-0000-0000992A0000}"/>
    <cellStyle name="Normal 2 7 5 38" xfId="11087" xr:uid="{00000000-0005-0000-0000-00009A2A0000}"/>
    <cellStyle name="Normal 2 7 5 39" xfId="3756" xr:uid="{00000000-0005-0000-0000-00009B2A0000}"/>
    <cellStyle name="Normal 2 7 5 4" xfId="26832" xr:uid="{00000000-0005-0000-0000-00009C2A0000}"/>
    <cellStyle name="Normal 2 7 5 40" xfId="8464" xr:uid="{00000000-0005-0000-0000-00009D2A0000}"/>
    <cellStyle name="Normal 2 7 5 41" xfId="4863" xr:uid="{00000000-0005-0000-0000-00009E2A0000}"/>
    <cellStyle name="Normal 2 7 5 42" xfId="8112" xr:uid="{00000000-0005-0000-0000-00009F2A0000}"/>
    <cellStyle name="Normal 2 7 5 43" xfId="7559" xr:uid="{00000000-0005-0000-0000-0000A02A0000}"/>
    <cellStyle name="Normal 2 7 5 44" xfId="2983" xr:uid="{00000000-0005-0000-0000-0000A12A0000}"/>
    <cellStyle name="Normal 2 7 5 45" xfId="2739" xr:uid="{00000000-0005-0000-0000-0000A22A0000}"/>
    <cellStyle name="Normal 2 7 5 46" xfId="2499" xr:uid="{00000000-0005-0000-0000-0000A32A0000}"/>
    <cellStyle name="Normal 2 7 5 47" xfId="2259" xr:uid="{00000000-0005-0000-0000-0000A42A0000}"/>
    <cellStyle name="Normal 2 7 5 48" xfId="2019" xr:uid="{00000000-0005-0000-0000-0000A52A0000}"/>
    <cellStyle name="Normal 2 7 5 49" xfId="1779" xr:uid="{00000000-0005-0000-0000-0000A62A0000}"/>
    <cellStyle name="Normal 2 7 5 5" xfId="26236" xr:uid="{00000000-0005-0000-0000-0000A72A0000}"/>
    <cellStyle name="Normal 2 7 5 50" xfId="1540" xr:uid="{00000000-0005-0000-0000-0000A82A0000}"/>
    <cellStyle name="Normal 2 7 5 51" xfId="1300" xr:uid="{00000000-0005-0000-0000-0000A92A0000}"/>
    <cellStyle name="Normal 2 7 5 52" xfId="1060" xr:uid="{00000000-0005-0000-0000-0000AA2A0000}"/>
    <cellStyle name="Normal 2 7 5 53" xfId="820" xr:uid="{00000000-0005-0000-0000-0000AB2A0000}"/>
    <cellStyle name="Normal 2 7 5 54" xfId="580" xr:uid="{00000000-0005-0000-0000-0000AC2A0000}"/>
    <cellStyle name="Normal 2 7 5 55" xfId="341" xr:uid="{00000000-0005-0000-0000-0000AD2A0000}"/>
    <cellStyle name="Normal 2 7 5 56" xfId="103" xr:uid="{00000000-0005-0000-0000-0000AE2A0000}"/>
    <cellStyle name="Normal 2 7 5 6" xfId="25640" xr:uid="{00000000-0005-0000-0000-0000AF2A0000}"/>
    <cellStyle name="Normal 2 7 5 7" xfId="25043" xr:uid="{00000000-0005-0000-0000-0000B02A0000}"/>
    <cellStyle name="Normal 2 7 5 8" xfId="24446" xr:uid="{00000000-0005-0000-0000-0000B12A0000}"/>
    <cellStyle name="Normal 2 7 5 9" xfId="23849" xr:uid="{00000000-0005-0000-0000-0000B22A0000}"/>
    <cellStyle name="Normal 2 7 6" xfId="28625" xr:uid="{00000000-0005-0000-0000-0000B32A0000}"/>
    <cellStyle name="Normal 2 7 6 10" xfId="23251" xr:uid="{00000000-0005-0000-0000-0000B42A0000}"/>
    <cellStyle name="Normal 2 7 6 11" xfId="22654" xr:uid="{00000000-0005-0000-0000-0000B52A0000}"/>
    <cellStyle name="Normal 2 7 6 12" xfId="22058" xr:uid="{00000000-0005-0000-0000-0000B62A0000}"/>
    <cellStyle name="Normal 2 7 6 13" xfId="21461" xr:uid="{00000000-0005-0000-0000-0000B72A0000}"/>
    <cellStyle name="Normal 2 7 6 14" xfId="20864" xr:uid="{00000000-0005-0000-0000-0000B82A0000}"/>
    <cellStyle name="Normal 2 7 6 15" xfId="20267" xr:uid="{00000000-0005-0000-0000-0000B92A0000}"/>
    <cellStyle name="Normal 2 7 6 16" xfId="19671" xr:uid="{00000000-0005-0000-0000-0000BA2A0000}"/>
    <cellStyle name="Normal 2 7 6 17" xfId="19075" xr:uid="{00000000-0005-0000-0000-0000BB2A0000}"/>
    <cellStyle name="Normal 2 7 6 18" xfId="18483" xr:uid="{00000000-0005-0000-0000-0000BC2A0000}"/>
    <cellStyle name="Normal 2 7 6 19" xfId="17886" xr:uid="{00000000-0005-0000-0000-0000BD2A0000}"/>
    <cellStyle name="Normal 2 7 6 2" xfId="28025" xr:uid="{00000000-0005-0000-0000-0000BE2A0000}"/>
    <cellStyle name="Normal 2 7 6 20" xfId="16921" xr:uid="{00000000-0005-0000-0000-0000BF2A0000}"/>
    <cellStyle name="Normal 2 7 6 21" xfId="14994" xr:uid="{00000000-0005-0000-0000-0000C02A0000}"/>
    <cellStyle name="Normal 2 7 6 22" xfId="15999" xr:uid="{00000000-0005-0000-0000-0000C12A0000}"/>
    <cellStyle name="Normal 2 7 6 23" xfId="17281" xr:uid="{00000000-0005-0000-0000-0000C22A0000}"/>
    <cellStyle name="Normal 2 7 6 24" xfId="13613" xr:uid="{00000000-0005-0000-0000-0000C32A0000}"/>
    <cellStyle name="Normal 2 7 6 25" xfId="16799" xr:uid="{00000000-0005-0000-0000-0000C42A0000}"/>
    <cellStyle name="Normal 2 7 6 26" xfId="15463" xr:uid="{00000000-0005-0000-0000-0000C52A0000}"/>
    <cellStyle name="Normal 2 7 6 27" xfId="12787" xr:uid="{00000000-0005-0000-0000-0000C62A0000}"/>
    <cellStyle name="Normal 2 7 6 28" xfId="12495" xr:uid="{00000000-0005-0000-0000-0000C72A0000}"/>
    <cellStyle name="Normal 2 7 6 29" xfId="8294" xr:uid="{00000000-0005-0000-0000-0000C82A0000}"/>
    <cellStyle name="Normal 2 7 6 3" xfId="27428" xr:uid="{00000000-0005-0000-0000-0000C92A0000}"/>
    <cellStyle name="Normal 2 7 6 30" xfId="9852" xr:uid="{00000000-0005-0000-0000-0000CA2A0000}"/>
    <cellStyle name="Normal 2 7 6 31" xfId="6902" xr:uid="{00000000-0005-0000-0000-0000CB2A0000}"/>
    <cellStyle name="Normal 2 7 6 32" xfId="10632" xr:uid="{00000000-0005-0000-0000-0000CC2A0000}"/>
    <cellStyle name="Normal 2 7 6 33" xfId="5800" xr:uid="{00000000-0005-0000-0000-0000CD2A0000}"/>
    <cellStyle name="Normal 2 7 6 34" xfId="6760" xr:uid="{00000000-0005-0000-0000-0000CE2A0000}"/>
    <cellStyle name="Normal 2 7 6 35" xfId="9630" xr:uid="{00000000-0005-0000-0000-0000CF2A0000}"/>
    <cellStyle name="Normal 2 7 6 36" xfId="4694" xr:uid="{00000000-0005-0000-0000-0000D02A0000}"/>
    <cellStyle name="Normal 2 7 6 37" xfId="9323" xr:uid="{00000000-0005-0000-0000-0000D12A0000}"/>
    <cellStyle name="Normal 2 7 6 38" xfId="9748" xr:uid="{00000000-0005-0000-0000-0000D22A0000}"/>
    <cellStyle name="Normal 2 7 6 39" xfId="4411" xr:uid="{00000000-0005-0000-0000-0000D32A0000}"/>
    <cellStyle name="Normal 2 7 6 4" xfId="26831" xr:uid="{00000000-0005-0000-0000-0000D42A0000}"/>
    <cellStyle name="Normal 2 7 6 40" xfId="7238" xr:uid="{00000000-0005-0000-0000-0000D52A0000}"/>
    <cellStyle name="Normal 2 7 6 41" xfId="3264" xr:uid="{00000000-0005-0000-0000-0000D62A0000}"/>
    <cellStyle name="Normal 2 7 6 42" xfId="9519" xr:uid="{00000000-0005-0000-0000-0000D72A0000}"/>
    <cellStyle name="Normal 2 7 6 43" xfId="3511" xr:uid="{00000000-0005-0000-0000-0000D82A0000}"/>
    <cellStyle name="Normal 2 7 6 44" xfId="2982" xr:uid="{00000000-0005-0000-0000-0000D92A0000}"/>
    <cellStyle name="Normal 2 7 6 45" xfId="2738" xr:uid="{00000000-0005-0000-0000-0000DA2A0000}"/>
    <cellStyle name="Normal 2 7 6 46" xfId="2498" xr:uid="{00000000-0005-0000-0000-0000DB2A0000}"/>
    <cellStyle name="Normal 2 7 6 47" xfId="2258" xr:uid="{00000000-0005-0000-0000-0000DC2A0000}"/>
    <cellStyle name="Normal 2 7 6 48" xfId="2018" xr:uid="{00000000-0005-0000-0000-0000DD2A0000}"/>
    <cellStyle name="Normal 2 7 6 49" xfId="1778" xr:uid="{00000000-0005-0000-0000-0000DE2A0000}"/>
    <cellStyle name="Normal 2 7 6 5" xfId="26235" xr:uid="{00000000-0005-0000-0000-0000DF2A0000}"/>
    <cellStyle name="Normal 2 7 6 50" xfId="1539" xr:uid="{00000000-0005-0000-0000-0000E02A0000}"/>
    <cellStyle name="Normal 2 7 6 51" xfId="1299" xr:uid="{00000000-0005-0000-0000-0000E12A0000}"/>
    <cellStyle name="Normal 2 7 6 52" xfId="1059" xr:uid="{00000000-0005-0000-0000-0000E22A0000}"/>
    <cellStyle name="Normal 2 7 6 53" xfId="819" xr:uid="{00000000-0005-0000-0000-0000E32A0000}"/>
    <cellStyle name="Normal 2 7 6 54" xfId="579" xr:uid="{00000000-0005-0000-0000-0000E42A0000}"/>
    <cellStyle name="Normal 2 7 6 55" xfId="340" xr:uid="{00000000-0005-0000-0000-0000E52A0000}"/>
    <cellStyle name="Normal 2 7 6 56" xfId="102" xr:uid="{00000000-0005-0000-0000-0000E62A0000}"/>
    <cellStyle name="Normal 2 7 6 6" xfId="25639" xr:uid="{00000000-0005-0000-0000-0000E72A0000}"/>
    <cellStyle name="Normal 2 7 6 7" xfId="25042" xr:uid="{00000000-0005-0000-0000-0000E82A0000}"/>
    <cellStyle name="Normal 2 7 6 8" xfId="24445" xr:uid="{00000000-0005-0000-0000-0000E92A0000}"/>
    <cellStyle name="Normal 2 7 6 9" xfId="23848" xr:uid="{00000000-0005-0000-0000-0000EA2A0000}"/>
    <cellStyle name="Normal 2 7 7" xfId="28624" xr:uid="{00000000-0005-0000-0000-0000EB2A0000}"/>
    <cellStyle name="Normal 2 7 7 10" xfId="23250" xr:uid="{00000000-0005-0000-0000-0000EC2A0000}"/>
    <cellStyle name="Normal 2 7 7 11" xfId="22653" xr:uid="{00000000-0005-0000-0000-0000ED2A0000}"/>
    <cellStyle name="Normal 2 7 7 12" xfId="22057" xr:uid="{00000000-0005-0000-0000-0000EE2A0000}"/>
    <cellStyle name="Normal 2 7 7 13" xfId="21460" xr:uid="{00000000-0005-0000-0000-0000EF2A0000}"/>
    <cellStyle name="Normal 2 7 7 14" xfId="20863" xr:uid="{00000000-0005-0000-0000-0000F02A0000}"/>
    <cellStyle name="Normal 2 7 7 15" xfId="20266" xr:uid="{00000000-0005-0000-0000-0000F12A0000}"/>
    <cellStyle name="Normal 2 7 7 16" xfId="19670" xr:uid="{00000000-0005-0000-0000-0000F22A0000}"/>
    <cellStyle name="Normal 2 7 7 17" xfId="19074" xr:uid="{00000000-0005-0000-0000-0000F32A0000}"/>
    <cellStyle name="Normal 2 7 7 18" xfId="18482" xr:uid="{00000000-0005-0000-0000-0000F42A0000}"/>
    <cellStyle name="Normal 2 7 7 19" xfId="17885" xr:uid="{00000000-0005-0000-0000-0000F52A0000}"/>
    <cellStyle name="Normal 2 7 7 2" xfId="28024" xr:uid="{00000000-0005-0000-0000-0000F62A0000}"/>
    <cellStyle name="Normal 2 7 7 20" xfId="17128" xr:uid="{00000000-0005-0000-0000-0000F72A0000}"/>
    <cellStyle name="Normal 2 7 7 21" xfId="15382" xr:uid="{00000000-0005-0000-0000-0000F82A0000}"/>
    <cellStyle name="Normal 2 7 7 22" xfId="15407" xr:uid="{00000000-0005-0000-0000-0000F92A0000}"/>
    <cellStyle name="Normal 2 7 7 23" xfId="14854" xr:uid="{00000000-0005-0000-0000-0000FA2A0000}"/>
    <cellStyle name="Normal 2 7 7 24" xfId="15839" xr:uid="{00000000-0005-0000-0000-0000FB2A0000}"/>
    <cellStyle name="Normal 2 7 7 25" xfId="13010" xr:uid="{00000000-0005-0000-0000-0000FC2A0000}"/>
    <cellStyle name="Normal 2 7 7 26" xfId="16626" xr:uid="{00000000-0005-0000-0000-0000FD2A0000}"/>
    <cellStyle name="Normal 2 7 7 27" xfId="12751" xr:uid="{00000000-0005-0000-0000-0000FE2A0000}"/>
    <cellStyle name="Normal 2 7 7 28" xfId="12494" xr:uid="{00000000-0005-0000-0000-0000FF2A0000}"/>
    <cellStyle name="Normal 2 7 7 29" xfId="8509" xr:uid="{00000000-0005-0000-0000-0000002B0000}"/>
    <cellStyle name="Normal 2 7 7 3" xfId="27427" xr:uid="{00000000-0005-0000-0000-0000012B0000}"/>
    <cellStyle name="Normal 2 7 7 30" xfId="9824" xr:uid="{00000000-0005-0000-0000-0000022B0000}"/>
    <cellStyle name="Normal 2 7 7 31" xfId="9513" xr:uid="{00000000-0005-0000-0000-0000032B0000}"/>
    <cellStyle name="Normal 2 7 7 32" xfId="6613" xr:uid="{00000000-0005-0000-0000-0000042B0000}"/>
    <cellStyle name="Normal 2 7 7 33" xfId="5701" xr:uid="{00000000-0005-0000-0000-0000052B0000}"/>
    <cellStyle name="Normal 2 7 7 34" xfId="5309" xr:uid="{00000000-0005-0000-0000-0000062B0000}"/>
    <cellStyle name="Normal 2 7 7 35" xfId="8705" xr:uid="{00000000-0005-0000-0000-0000072B0000}"/>
    <cellStyle name="Normal 2 7 7 36" xfId="8829" xr:uid="{00000000-0005-0000-0000-0000082B0000}"/>
    <cellStyle name="Normal 2 7 7 37" xfId="4495" xr:uid="{00000000-0005-0000-0000-0000092B0000}"/>
    <cellStyle name="Normal 2 7 7 38" xfId="9156" xr:uid="{00000000-0005-0000-0000-00000A2B0000}"/>
    <cellStyle name="Normal 2 7 7 39" xfId="4159" xr:uid="{00000000-0005-0000-0000-00000B2B0000}"/>
    <cellStyle name="Normal 2 7 7 4" xfId="26830" xr:uid="{00000000-0005-0000-0000-00000C2B0000}"/>
    <cellStyle name="Normal 2 7 7 40" xfId="5355" xr:uid="{00000000-0005-0000-0000-00000D2B0000}"/>
    <cellStyle name="Normal 2 7 7 41" xfId="10496" xr:uid="{00000000-0005-0000-0000-00000E2B0000}"/>
    <cellStyle name="Normal 2 7 7 42" xfId="8023" xr:uid="{00000000-0005-0000-0000-00000F2B0000}"/>
    <cellStyle name="Normal 2 7 7 43" xfId="5250" xr:uid="{00000000-0005-0000-0000-0000102B0000}"/>
    <cellStyle name="Normal 2 7 7 5" xfId="26234" xr:uid="{00000000-0005-0000-0000-0000112B0000}"/>
    <cellStyle name="Normal 2 7 7 6" xfId="25638" xr:uid="{00000000-0005-0000-0000-0000122B0000}"/>
    <cellStyle name="Normal 2 7 7 7" xfId="25041" xr:uid="{00000000-0005-0000-0000-0000132B0000}"/>
    <cellStyle name="Normal 2 7 7 8" xfId="24444" xr:uid="{00000000-0005-0000-0000-0000142B0000}"/>
    <cellStyle name="Normal 2 7 7 9" xfId="23847" xr:uid="{00000000-0005-0000-0000-0000152B0000}"/>
    <cellStyle name="Normal 2 7 8" xfId="28623" xr:uid="{00000000-0005-0000-0000-0000162B0000}"/>
    <cellStyle name="Normal 2 7 8 10" xfId="23249" xr:uid="{00000000-0005-0000-0000-0000172B0000}"/>
    <cellStyle name="Normal 2 7 8 11" xfId="22652" xr:uid="{00000000-0005-0000-0000-0000182B0000}"/>
    <cellStyle name="Normal 2 7 8 12" xfId="22056" xr:uid="{00000000-0005-0000-0000-0000192B0000}"/>
    <cellStyle name="Normal 2 7 8 13" xfId="21459" xr:uid="{00000000-0005-0000-0000-00001A2B0000}"/>
    <cellStyle name="Normal 2 7 8 14" xfId="20862" xr:uid="{00000000-0005-0000-0000-00001B2B0000}"/>
    <cellStyle name="Normal 2 7 8 15" xfId="20265" xr:uid="{00000000-0005-0000-0000-00001C2B0000}"/>
    <cellStyle name="Normal 2 7 8 16" xfId="19669" xr:uid="{00000000-0005-0000-0000-00001D2B0000}"/>
    <cellStyle name="Normal 2 7 8 17" xfId="19073" xr:uid="{00000000-0005-0000-0000-00001E2B0000}"/>
    <cellStyle name="Normal 2 7 8 18" xfId="18481" xr:uid="{00000000-0005-0000-0000-00001F2B0000}"/>
    <cellStyle name="Normal 2 7 8 19" xfId="17884" xr:uid="{00000000-0005-0000-0000-0000202B0000}"/>
    <cellStyle name="Normal 2 7 8 2" xfId="28023" xr:uid="{00000000-0005-0000-0000-0000212B0000}"/>
    <cellStyle name="Normal 2 7 8 20" xfId="17321" xr:uid="{00000000-0005-0000-0000-0000222B0000}"/>
    <cellStyle name="Normal 2 7 8 21" xfId="14970" xr:uid="{00000000-0005-0000-0000-0000232B0000}"/>
    <cellStyle name="Normal 2 7 8 22" xfId="16833" xr:uid="{00000000-0005-0000-0000-0000242B0000}"/>
    <cellStyle name="Normal 2 7 8 23" xfId="14093" xr:uid="{00000000-0005-0000-0000-0000252B0000}"/>
    <cellStyle name="Normal 2 7 8 24" xfId="14769" xr:uid="{00000000-0005-0000-0000-0000262B0000}"/>
    <cellStyle name="Normal 2 7 8 25" xfId="13018" xr:uid="{00000000-0005-0000-0000-0000272B0000}"/>
    <cellStyle name="Normal 2 7 8 26" xfId="16256" xr:uid="{00000000-0005-0000-0000-0000282B0000}"/>
    <cellStyle name="Normal 2 7 8 27" xfId="12765" xr:uid="{00000000-0005-0000-0000-0000292B0000}"/>
    <cellStyle name="Normal 2 7 8 28" xfId="12493" xr:uid="{00000000-0005-0000-0000-00002A2B0000}"/>
    <cellStyle name="Normal 2 7 8 29" xfId="8725" xr:uid="{00000000-0005-0000-0000-00002B2B0000}"/>
    <cellStyle name="Normal 2 7 8 3" xfId="27426" xr:uid="{00000000-0005-0000-0000-00002C2B0000}"/>
    <cellStyle name="Normal 2 7 8 30" xfId="6448" xr:uid="{00000000-0005-0000-0000-00002D2B0000}"/>
    <cellStyle name="Normal 2 7 8 31" xfId="9726" xr:uid="{00000000-0005-0000-0000-00002E2B0000}"/>
    <cellStyle name="Normal 2 7 8 32" xfId="5885" xr:uid="{00000000-0005-0000-0000-00002F2B0000}"/>
    <cellStyle name="Normal 2 7 8 33" xfId="7049" xr:uid="{00000000-0005-0000-0000-0000302B0000}"/>
    <cellStyle name="Normal 2 7 8 34" xfId="10662" xr:uid="{00000000-0005-0000-0000-0000312B0000}"/>
    <cellStyle name="Normal 2 7 8 35" xfId="7574" xr:uid="{00000000-0005-0000-0000-0000322B0000}"/>
    <cellStyle name="Normal 2 7 8 36" xfId="8997" xr:uid="{00000000-0005-0000-0000-0000332B0000}"/>
    <cellStyle name="Normal 2 7 8 37" xfId="4352" xr:uid="{00000000-0005-0000-0000-0000342B0000}"/>
    <cellStyle name="Normal 2 7 8 38" xfId="4139" xr:uid="{00000000-0005-0000-0000-0000352B0000}"/>
    <cellStyle name="Normal 2 7 8 39" xfId="5799" xr:uid="{00000000-0005-0000-0000-0000362B0000}"/>
    <cellStyle name="Normal 2 7 8 4" xfId="26829" xr:uid="{00000000-0005-0000-0000-0000372B0000}"/>
    <cellStyle name="Normal 2 7 8 40" xfId="10813" xr:uid="{00000000-0005-0000-0000-0000382B0000}"/>
    <cellStyle name="Normal 2 7 8 41" xfId="4111" xr:uid="{00000000-0005-0000-0000-0000392B0000}"/>
    <cellStyle name="Normal 2 7 8 42" xfId="10648" xr:uid="{00000000-0005-0000-0000-00003A2B0000}"/>
    <cellStyle name="Normal 2 7 8 43" xfId="3457" xr:uid="{00000000-0005-0000-0000-00003B2B0000}"/>
    <cellStyle name="Normal 2 7 8 5" xfId="26233" xr:uid="{00000000-0005-0000-0000-00003C2B0000}"/>
    <cellStyle name="Normal 2 7 8 6" xfId="25637" xr:uid="{00000000-0005-0000-0000-00003D2B0000}"/>
    <cellStyle name="Normal 2 7 8 7" xfId="25040" xr:uid="{00000000-0005-0000-0000-00003E2B0000}"/>
    <cellStyle name="Normal 2 7 8 8" xfId="24443" xr:uid="{00000000-0005-0000-0000-00003F2B0000}"/>
    <cellStyle name="Normal 2 7 8 9" xfId="23846" xr:uid="{00000000-0005-0000-0000-0000402B0000}"/>
    <cellStyle name="Normal 2 7 9" xfId="28622" xr:uid="{00000000-0005-0000-0000-0000412B0000}"/>
    <cellStyle name="Normal 2 7 9 10" xfId="23248" xr:uid="{00000000-0005-0000-0000-0000422B0000}"/>
    <cellStyle name="Normal 2 7 9 11" xfId="22651" xr:uid="{00000000-0005-0000-0000-0000432B0000}"/>
    <cellStyle name="Normal 2 7 9 12" xfId="22055" xr:uid="{00000000-0005-0000-0000-0000442B0000}"/>
    <cellStyle name="Normal 2 7 9 13" xfId="21458" xr:uid="{00000000-0005-0000-0000-0000452B0000}"/>
    <cellStyle name="Normal 2 7 9 14" xfId="20861" xr:uid="{00000000-0005-0000-0000-0000462B0000}"/>
    <cellStyle name="Normal 2 7 9 15" xfId="20264" xr:uid="{00000000-0005-0000-0000-0000472B0000}"/>
    <cellStyle name="Normal 2 7 9 16" xfId="19668" xr:uid="{00000000-0005-0000-0000-0000482B0000}"/>
    <cellStyle name="Normal 2 7 9 17" xfId="19072" xr:uid="{00000000-0005-0000-0000-0000492B0000}"/>
    <cellStyle name="Normal 2 7 9 18" xfId="18480" xr:uid="{00000000-0005-0000-0000-00004A2B0000}"/>
    <cellStyle name="Normal 2 7 9 19" xfId="17883" xr:uid="{00000000-0005-0000-0000-00004B2B0000}"/>
    <cellStyle name="Normal 2 7 9 2" xfId="28022" xr:uid="{00000000-0005-0000-0000-00004C2B0000}"/>
    <cellStyle name="Normal 2 7 9 20" xfId="14154" xr:uid="{00000000-0005-0000-0000-00004D2B0000}"/>
    <cellStyle name="Normal 2 7 9 21" xfId="14565" xr:uid="{00000000-0005-0000-0000-00004E2B0000}"/>
    <cellStyle name="Normal 2 7 9 22" xfId="14276" xr:uid="{00000000-0005-0000-0000-00004F2B0000}"/>
    <cellStyle name="Normal 2 7 9 23" xfId="15301" xr:uid="{00000000-0005-0000-0000-0000502B0000}"/>
    <cellStyle name="Normal 2 7 9 24" xfId="17389" xr:uid="{00000000-0005-0000-0000-0000512B0000}"/>
    <cellStyle name="Normal 2 7 9 25" xfId="15804" xr:uid="{00000000-0005-0000-0000-0000522B0000}"/>
    <cellStyle name="Normal 2 7 9 26" xfId="15101" xr:uid="{00000000-0005-0000-0000-0000532B0000}"/>
    <cellStyle name="Normal 2 7 9 27" xfId="17194" xr:uid="{00000000-0005-0000-0000-0000542B0000}"/>
    <cellStyle name="Normal 2 7 9 28" xfId="12492" xr:uid="{00000000-0005-0000-0000-0000552B0000}"/>
    <cellStyle name="Normal 2 7 9 29" xfId="8963" xr:uid="{00000000-0005-0000-0000-0000562B0000}"/>
    <cellStyle name="Normal 2 7 9 3" xfId="27425" xr:uid="{00000000-0005-0000-0000-0000572B0000}"/>
    <cellStyle name="Normal 2 7 9 30" xfId="10046" xr:uid="{00000000-0005-0000-0000-0000582B0000}"/>
    <cellStyle name="Normal 2 7 9 31" xfId="7551" xr:uid="{00000000-0005-0000-0000-0000592B0000}"/>
    <cellStyle name="Normal 2 7 9 32" xfId="6121" xr:uid="{00000000-0005-0000-0000-00005A2B0000}"/>
    <cellStyle name="Normal 2 7 9 33" xfId="8110" xr:uid="{00000000-0005-0000-0000-00005B2B0000}"/>
    <cellStyle name="Normal 2 7 9 34" xfId="8745" xr:uid="{00000000-0005-0000-0000-00005C2B0000}"/>
    <cellStyle name="Normal 2 7 9 35" xfId="10021" xr:uid="{00000000-0005-0000-0000-00005D2B0000}"/>
    <cellStyle name="Normal 2 7 9 36" xfId="6860" xr:uid="{00000000-0005-0000-0000-00005E2B0000}"/>
    <cellStyle name="Normal 2 7 9 37" xfId="4791" xr:uid="{00000000-0005-0000-0000-00005F2B0000}"/>
    <cellStyle name="Normal 2 7 9 38" xfId="11304" xr:uid="{00000000-0005-0000-0000-0000602B0000}"/>
    <cellStyle name="Normal 2 7 9 39" xfId="6830" xr:uid="{00000000-0005-0000-0000-0000612B0000}"/>
    <cellStyle name="Normal 2 7 9 4" xfId="26828" xr:uid="{00000000-0005-0000-0000-0000622B0000}"/>
    <cellStyle name="Normal 2 7 9 40" xfId="3438" xr:uid="{00000000-0005-0000-0000-0000632B0000}"/>
    <cellStyle name="Normal 2 7 9 41" xfId="7576" xr:uid="{00000000-0005-0000-0000-0000642B0000}"/>
    <cellStyle name="Normal 2 7 9 42" xfId="3132" xr:uid="{00000000-0005-0000-0000-0000652B0000}"/>
    <cellStyle name="Normal 2 7 9 43" xfId="3164" xr:uid="{00000000-0005-0000-0000-0000662B0000}"/>
    <cellStyle name="Normal 2 7 9 5" xfId="26232" xr:uid="{00000000-0005-0000-0000-0000672B0000}"/>
    <cellStyle name="Normal 2 7 9 6" xfId="25636" xr:uid="{00000000-0005-0000-0000-0000682B0000}"/>
    <cellStyle name="Normal 2 7 9 7" xfId="25039" xr:uid="{00000000-0005-0000-0000-0000692B0000}"/>
    <cellStyle name="Normal 2 7 9 8" xfId="24442" xr:uid="{00000000-0005-0000-0000-00006A2B0000}"/>
    <cellStyle name="Normal 2 7 9 9" xfId="23845" xr:uid="{00000000-0005-0000-0000-00006B2B0000}"/>
    <cellStyle name="Normal 2 7_8801 Draft ARARs  CULs wo Potable GW Meg AS mod 100504" xfId="2981" xr:uid="{00000000-0005-0000-0000-00006C2B0000}"/>
    <cellStyle name="Normal 2 70" xfId="2751" xr:uid="{00000000-0005-0000-0000-00006D2B0000}"/>
    <cellStyle name="Normal 2 71" xfId="2511" xr:uid="{00000000-0005-0000-0000-00006E2B0000}"/>
    <cellStyle name="Normal 2 72" xfId="2271" xr:uid="{00000000-0005-0000-0000-00006F2B0000}"/>
    <cellStyle name="Normal 2 73" xfId="2031" xr:uid="{00000000-0005-0000-0000-0000702B0000}"/>
    <cellStyle name="Normal 2 74" xfId="1791" xr:uid="{00000000-0005-0000-0000-0000712B0000}"/>
    <cellStyle name="Normal 2 75" xfId="1552" xr:uid="{00000000-0005-0000-0000-0000722B0000}"/>
    <cellStyle name="Normal 2 76" xfId="1312" xr:uid="{00000000-0005-0000-0000-0000732B0000}"/>
    <cellStyle name="Normal 2 77" xfId="1072" xr:uid="{00000000-0005-0000-0000-0000742B0000}"/>
    <cellStyle name="Normal 2 78" xfId="832" xr:uid="{00000000-0005-0000-0000-0000752B0000}"/>
    <cellStyle name="Normal 2 79" xfId="592" xr:uid="{00000000-0005-0000-0000-0000762B0000}"/>
    <cellStyle name="Normal 2 8" xfId="28621" xr:uid="{00000000-0005-0000-0000-0000772B0000}"/>
    <cellStyle name="Normal 2 8 10" xfId="23247" xr:uid="{00000000-0005-0000-0000-0000782B0000}"/>
    <cellStyle name="Normal 2 8 11" xfId="22650" xr:uid="{00000000-0005-0000-0000-0000792B0000}"/>
    <cellStyle name="Normal 2 8 12" xfId="22054" xr:uid="{00000000-0005-0000-0000-00007A2B0000}"/>
    <cellStyle name="Normal 2 8 13" xfId="21457" xr:uid="{00000000-0005-0000-0000-00007B2B0000}"/>
    <cellStyle name="Normal 2 8 14" xfId="20860" xr:uid="{00000000-0005-0000-0000-00007C2B0000}"/>
    <cellStyle name="Normal 2 8 15" xfId="20263" xr:uid="{00000000-0005-0000-0000-00007D2B0000}"/>
    <cellStyle name="Normal 2 8 16" xfId="19667" xr:uid="{00000000-0005-0000-0000-00007E2B0000}"/>
    <cellStyle name="Normal 2 8 17" xfId="19071" xr:uid="{00000000-0005-0000-0000-00007F2B0000}"/>
    <cellStyle name="Normal 2 8 18" xfId="18479" xr:uid="{00000000-0005-0000-0000-0000802B0000}"/>
    <cellStyle name="Normal 2 8 19" xfId="17882" xr:uid="{00000000-0005-0000-0000-0000812B0000}"/>
    <cellStyle name="Normal 2 8 2" xfId="28021" xr:uid="{00000000-0005-0000-0000-0000822B0000}"/>
    <cellStyle name="Normal 2 8 20" xfId="14343" xr:uid="{00000000-0005-0000-0000-0000832B0000}"/>
    <cellStyle name="Normal 2 8 21" xfId="13965" xr:uid="{00000000-0005-0000-0000-0000842B0000}"/>
    <cellStyle name="Normal 2 8 22" xfId="15088" xr:uid="{00000000-0005-0000-0000-0000852B0000}"/>
    <cellStyle name="Normal 2 8 23" xfId="14830" xr:uid="{00000000-0005-0000-0000-0000862B0000}"/>
    <cellStyle name="Normal 2 8 24" xfId="14709" xr:uid="{00000000-0005-0000-0000-0000872B0000}"/>
    <cellStyle name="Normal 2 8 25" xfId="12913" xr:uid="{00000000-0005-0000-0000-0000882B0000}"/>
    <cellStyle name="Normal 2 8 26" xfId="13162" xr:uid="{00000000-0005-0000-0000-0000892B0000}"/>
    <cellStyle name="Normal 2 8 27" xfId="15424" xr:uid="{00000000-0005-0000-0000-00008A2B0000}"/>
    <cellStyle name="Normal 2 8 28" xfId="12491" xr:uid="{00000000-0005-0000-0000-00008B2B0000}"/>
    <cellStyle name="Normal 2 8 29" xfId="9198" xr:uid="{00000000-0005-0000-0000-00008C2B0000}"/>
    <cellStyle name="Normal 2 8 3" xfId="27424" xr:uid="{00000000-0005-0000-0000-00008D2B0000}"/>
    <cellStyle name="Normal 2 8 30" xfId="8670" xr:uid="{00000000-0005-0000-0000-00008E2B0000}"/>
    <cellStyle name="Normal 2 8 31" xfId="11144" xr:uid="{00000000-0005-0000-0000-00008F2B0000}"/>
    <cellStyle name="Normal 2 8 32" xfId="6619" xr:uid="{00000000-0005-0000-0000-0000902B0000}"/>
    <cellStyle name="Normal 2 8 33" xfId="9169" xr:uid="{00000000-0005-0000-0000-0000912B0000}"/>
    <cellStyle name="Normal 2 8 34" xfId="5660" xr:uid="{00000000-0005-0000-0000-0000922B0000}"/>
    <cellStyle name="Normal 2 8 35" xfId="4797" xr:uid="{00000000-0005-0000-0000-0000932B0000}"/>
    <cellStyle name="Normal 2 8 36" xfId="8165" xr:uid="{00000000-0005-0000-0000-0000942B0000}"/>
    <cellStyle name="Normal 2 8 37" xfId="8776" xr:uid="{00000000-0005-0000-0000-0000952B0000}"/>
    <cellStyle name="Normal 2 8 38" xfId="10979" xr:uid="{00000000-0005-0000-0000-0000962B0000}"/>
    <cellStyle name="Normal 2 8 39" xfId="4665" xr:uid="{00000000-0005-0000-0000-0000972B0000}"/>
    <cellStyle name="Normal 2 8 4" xfId="26827" xr:uid="{00000000-0005-0000-0000-0000982B0000}"/>
    <cellStyle name="Normal 2 8 40" xfId="3543" xr:uid="{00000000-0005-0000-0000-0000992B0000}"/>
    <cellStyle name="Normal 2 8 41" xfId="10805" xr:uid="{00000000-0005-0000-0000-00009A2B0000}"/>
    <cellStyle name="Normal 2 8 42" xfId="3570" xr:uid="{00000000-0005-0000-0000-00009B2B0000}"/>
    <cellStyle name="Normal 2 8 43" xfId="5807" xr:uid="{00000000-0005-0000-0000-00009C2B0000}"/>
    <cellStyle name="Normal 2 8 44" xfId="2980" xr:uid="{00000000-0005-0000-0000-00009D2B0000}"/>
    <cellStyle name="Normal 2 8 45" xfId="2737" xr:uid="{00000000-0005-0000-0000-00009E2B0000}"/>
    <cellStyle name="Normal 2 8 46" xfId="2497" xr:uid="{00000000-0005-0000-0000-00009F2B0000}"/>
    <cellStyle name="Normal 2 8 47" xfId="2257" xr:uid="{00000000-0005-0000-0000-0000A02B0000}"/>
    <cellStyle name="Normal 2 8 48" xfId="2017" xr:uid="{00000000-0005-0000-0000-0000A12B0000}"/>
    <cellStyle name="Normal 2 8 49" xfId="1777" xr:uid="{00000000-0005-0000-0000-0000A22B0000}"/>
    <cellStyle name="Normal 2 8 5" xfId="26231" xr:uid="{00000000-0005-0000-0000-0000A32B0000}"/>
    <cellStyle name="Normal 2 8 50" xfId="1538" xr:uid="{00000000-0005-0000-0000-0000A42B0000}"/>
    <cellStyle name="Normal 2 8 51" xfId="1298" xr:uid="{00000000-0005-0000-0000-0000A52B0000}"/>
    <cellStyle name="Normal 2 8 52" xfId="1058" xr:uid="{00000000-0005-0000-0000-0000A62B0000}"/>
    <cellStyle name="Normal 2 8 53" xfId="818" xr:uid="{00000000-0005-0000-0000-0000A72B0000}"/>
    <cellStyle name="Normal 2 8 54" xfId="578" xr:uid="{00000000-0005-0000-0000-0000A82B0000}"/>
    <cellStyle name="Normal 2 8 55" xfId="339" xr:uid="{00000000-0005-0000-0000-0000A92B0000}"/>
    <cellStyle name="Normal 2 8 56" xfId="101" xr:uid="{00000000-0005-0000-0000-0000AA2B0000}"/>
    <cellStyle name="Normal 2 8 6" xfId="25635" xr:uid="{00000000-0005-0000-0000-0000AB2B0000}"/>
    <cellStyle name="Normal 2 8 7" xfId="25038" xr:uid="{00000000-0005-0000-0000-0000AC2B0000}"/>
    <cellStyle name="Normal 2 8 8" xfId="24441" xr:uid="{00000000-0005-0000-0000-0000AD2B0000}"/>
    <cellStyle name="Normal 2 8 9" xfId="23844" xr:uid="{00000000-0005-0000-0000-0000AE2B0000}"/>
    <cellStyle name="Normal 2 80" xfId="353" xr:uid="{00000000-0005-0000-0000-0000AF2B0000}"/>
    <cellStyle name="Normal 2 81" xfId="115" xr:uid="{00000000-0005-0000-0000-0000B02B0000}"/>
    <cellStyle name="Normal 2 82" xfId="28903" xr:uid="{00000000-0005-0000-0000-0000B12B0000}"/>
    <cellStyle name="Normal 2 83" xfId="28904" xr:uid="{00000000-0005-0000-0000-0000B22B0000}"/>
    <cellStyle name="Normal 2 84" xfId="28905" xr:uid="{00000000-0005-0000-0000-0000B32B0000}"/>
    <cellStyle name="Normal 2 85" xfId="28907" xr:uid="{00000000-0005-0000-0000-0000B42B0000}"/>
    <cellStyle name="Normal 2 86" xfId="28908" xr:uid="{00000000-0005-0000-0000-0000B52B0000}"/>
    <cellStyle name="Normal 2 87" xfId="28909" xr:uid="{00000000-0005-0000-0000-0000B62B0000}"/>
    <cellStyle name="Normal 2 9" xfId="28620" xr:uid="{00000000-0005-0000-0000-0000B72B0000}"/>
    <cellStyle name="Normal 2 9 10" xfId="23246" xr:uid="{00000000-0005-0000-0000-0000B82B0000}"/>
    <cellStyle name="Normal 2 9 11" xfId="22649" xr:uid="{00000000-0005-0000-0000-0000B92B0000}"/>
    <cellStyle name="Normal 2 9 12" xfId="22053" xr:uid="{00000000-0005-0000-0000-0000BA2B0000}"/>
    <cellStyle name="Normal 2 9 13" xfId="21456" xr:uid="{00000000-0005-0000-0000-0000BB2B0000}"/>
    <cellStyle name="Normal 2 9 14" xfId="20859" xr:uid="{00000000-0005-0000-0000-0000BC2B0000}"/>
    <cellStyle name="Normal 2 9 15" xfId="20262" xr:uid="{00000000-0005-0000-0000-0000BD2B0000}"/>
    <cellStyle name="Normal 2 9 16" xfId="19666" xr:uid="{00000000-0005-0000-0000-0000BE2B0000}"/>
    <cellStyle name="Normal 2 9 17" xfId="19070" xr:uid="{00000000-0005-0000-0000-0000BF2B0000}"/>
    <cellStyle name="Normal 2 9 18" xfId="18478" xr:uid="{00000000-0005-0000-0000-0000C02B0000}"/>
    <cellStyle name="Normal 2 9 19" xfId="17881" xr:uid="{00000000-0005-0000-0000-0000C12B0000}"/>
    <cellStyle name="Normal 2 9 2" xfId="28020" xr:uid="{00000000-0005-0000-0000-0000C22B0000}"/>
    <cellStyle name="Normal 2 9 20" xfId="14534" xr:uid="{00000000-0005-0000-0000-0000C32B0000}"/>
    <cellStyle name="Normal 2 9 21" xfId="14136" xr:uid="{00000000-0005-0000-0000-0000C42B0000}"/>
    <cellStyle name="Normal 2 9 22" xfId="15113" xr:uid="{00000000-0005-0000-0000-0000C52B0000}"/>
    <cellStyle name="Normal 2 9 23" xfId="16297" xr:uid="{00000000-0005-0000-0000-0000C62B0000}"/>
    <cellStyle name="Normal 2 9 24" xfId="16793" xr:uid="{00000000-0005-0000-0000-0000C72B0000}"/>
    <cellStyle name="Normal 2 9 25" xfId="17184" xr:uid="{00000000-0005-0000-0000-0000C82B0000}"/>
    <cellStyle name="Normal 2 9 26" xfId="16185" xr:uid="{00000000-0005-0000-0000-0000C92B0000}"/>
    <cellStyle name="Normal 2 9 27" xfId="13376" xr:uid="{00000000-0005-0000-0000-0000CA2B0000}"/>
    <cellStyle name="Normal 2 9 28" xfId="12490" xr:uid="{00000000-0005-0000-0000-0000CB2B0000}"/>
    <cellStyle name="Normal 2 9 29" xfId="9431" xr:uid="{00000000-0005-0000-0000-0000CC2B0000}"/>
    <cellStyle name="Normal 2 9 3" xfId="27423" xr:uid="{00000000-0005-0000-0000-0000CD2B0000}"/>
    <cellStyle name="Normal 2 9 30" xfId="10763" xr:uid="{00000000-0005-0000-0000-0000CE2B0000}"/>
    <cellStyle name="Normal 2 9 31" xfId="5658" xr:uid="{00000000-0005-0000-0000-0000CF2B0000}"/>
    <cellStyle name="Normal 2 9 32" xfId="9378" xr:uid="{00000000-0005-0000-0000-0000D02B0000}"/>
    <cellStyle name="Normal 2 9 33" xfId="10614" xr:uid="{00000000-0005-0000-0000-0000D12B0000}"/>
    <cellStyle name="Normal 2 9 34" xfId="7274" xr:uid="{00000000-0005-0000-0000-0000D22B0000}"/>
    <cellStyle name="Normal 2 9 35" xfId="9701" xr:uid="{00000000-0005-0000-0000-0000D32B0000}"/>
    <cellStyle name="Normal 2 9 36" xfId="10493" xr:uid="{00000000-0005-0000-0000-0000D42B0000}"/>
    <cellStyle name="Normal 2 9 37" xfId="10597" xr:uid="{00000000-0005-0000-0000-0000D52B0000}"/>
    <cellStyle name="Normal 2 9 38" xfId="5971" xr:uid="{00000000-0005-0000-0000-0000D62B0000}"/>
    <cellStyle name="Normal 2 9 39" xfId="7391" xr:uid="{00000000-0005-0000-0000-0000D72B0000}"/>
    <cellStyle name="Normal 2 9 4" xfId="26826" xr:uid="{00000000-0005-0000-0000-0000D82B0000}"/>
    <cellStyle name="Normal 2 9 40" xfId="4902" xr:uid="{00000000-0005-0000-0000-0000D92B0000}"/>
    <cellStyle name="Normal 2 9 41" xfId="4180" xr:uid="{00000000-0005-0000-0000-0000DA2B0000}"/>
    <cellStyle name="Normal 2 9 42" xfId="3165" xr:uid="{00000000-0005-0000-0000-0000DB2B0000}"/>
    <cellStyle name="Normal 2 9 43" xfId="7943" xr:uid="{00000000-0005-0000-0000-0000DC2B0000}"/>
    <cellStyle name="Normal 2 9 44" xfId="2979" xr:uid="{00000000-0005-0000-0000-0000DD2B0000}"/>
    <cellStyle name="Normal 2 9 45" xfId="2736" xr:uid="{00000000-0005-0000-0000-0000DE2B0000}"/>
    <cellStyle name="Normal 2 9 46" xfId="2496" xr:uid="{00000000-0005-0000-0000-0000DF2B0000}"/>
    <cellStyle name="Normal 2 9 47" xfId="2256" xr:uid="{00000000-0005-0000-0000-0000E02B0000}"/>
    <cellStyle name="Normal 2 9 48" xfId="2016" xr:uid="{00000000-0005-0000-0000-0000E12B0000}"/>
    <cellStyle name="Normal 2 9 49" xfId="1776" xr:uid="{00000000-0005-0000-0000-0000E22B0000}"/>
    <cellStyle name="Normal 2 9 5" xfId="26230" xr:uid="{00000000-0005-0000-0000-0000E32B0000}"/>
    <cellStyle name="Normal 2 9 50" xfId="1537" xr:uid="{00000000-0005-0000-0000-0000E42B0000}"/>
    <cellStyle name="Normal 2 9 51" xfId="1297" xr:uid="{00000000-0005-0000-0000-0000E52B0000}"/>
    <cellStyle name="Normal 2 9 52" xfId="1057" xr:uid="{00000000-0005-0000-0000-0000E62B0000}"/>
    <cellStyle name="Normal 2 9 53" xfId="817" xr:uid="{00000000-0005-0000-0000-0000E72B0000}"/>
    <cellStyle name="Normal 2 9 54" xfId="577" xr:uid="{00000000-0005-0000-0000-0000E82B0000}"/>
    <cellStyle name="Normal 2 9 55" xfId="338" xr:uid="{00000000-0005-0000-0000-0000E92B0000}"/>
    <cellStyle name="Normal 2 9 56" xfId="100" xr:uid="{00000000-0005-0000-0000-0000EA2B0000}"/>
    <cellStyle name="Normal 2 9 6" xfId="25634" xr:uid="{00000000-0005-0000-0000-0000EB2B0000}"/>
    <cellStyle name="Normal 2 9 7" xfId="25037" xr:uid="{00000000-0005-0000-0000-0000EC2B0000}"/>
    <cellStyle name="Normal 2 9 8" xfId="24440" xr:uid="{00000000-0005-0000-0000-0000ED2B0000}"/>
    <cellStyle name="Normal 2 9 9" xfId="23843" xr:uid="{00000000-0005-0000-0000-0000EE2B0000}"/>
    <cellStyle name="Normal 20" xfId="28619" xr:uid="{00000000-0005-0000-0000-0000EF2B0000}"/>
    <cellStyle name="Normal 20 10" xfId="28618" xr:uid="{00000000-0005-0000-0000-0000F02B0000}"/>
    <cellStyle name="Normal 20 10 10" xfId="23244" xr:uid="{00000000-0005-0000-0000-0000F12B0000}"/>
    <cellStyle name="Normal 20 10 11" xfId="22647" xr:uid="{00000000-0005-0000-0000-0000F22B0000}"/>
    <cellStyle name="Normal 20 10 12" xfId="22051" xr:uid="{00000000-0005-0000-0000-0000F32B0000}"/>
    <cellStyle name="Normal 20 10 13" xfId="21454" xr:uid="{00000000-0005-0000-0000-0000F42B0000}"/>
    <cellStyle name="Normal 20 10 14" xfId="20857" xr:uid="{00000000-0005-0000-0000-0000F52B0000}"/>
    <cellStyle name="Normal 20 10 15" xfId="20260" xr:uid="{00000000-0005-0000-0000-0000F62B0000}"/>
    <cellStyle name="Normal 20 10 16" xfId="19664" xr:uid="{00000000-0005-0000-0000-0000F72B0000}"/>
    <cellStyle name="Normal 20 10 17" xfId="19068" xr:uid="{00000000-0005-0000-0000-0000F82B0000}"/>
    <cellStyle name="Normal 20 10 18" xfId="18476" xr:uid="{00000000-0005-0000-0000-0000F92B0000}"/>
    <cellStyle name="Normal 20 10 19" xfId="17879" xr:uid="{00000000-0005-0000-0000-0000FA2B0000}"/>
    <cellStyle name="Normal 20 10 2" xfId="28018" xr:uid="{00000000-0005-0000-0000-0000FB2B0000}"/>
    <cellStyle name="Normal 20 10 20" xfId="14933" xr:uid="{00000000-0005-0000-0000-0000FC2B0000}"/>
    <cellStyle name="Normal 20 10 21" xfId="17294" xr:uid="{00000000-0005-0000-0000-0000FD2B0000}"/>
    <cellStyle name="Normal 20 10 22" xfId="15067" xr:uid="{00000000-0005-0000-0000-0000FE2B0000}"/>
    <cellStyle name="Normal 20 10 23" xfId="17211" xr:uid="{00000000-0005-0000-0000-0000FF2B0000}"/>
    <cellStyle name="Normal 20 10 24" xfId="15490" xr:uid="{00000000-0005-0000-0000-0000002C0000}"/>
    <cellStyle name="Normal 20 10 25" xfId="15670" xr:uid="{00000000-0005-0000-0000-0000012C0000}"/>
    <cellStyle name="Normal 20 10 26" xfId="15300" xr:uid="{00000000-0005-0000-0000-0000022C0000}"/>
    <cellStyle name="Normal 20 10 27" xfId="15446" xr:uid="{00000000-0005-0000-0000-0000032C0000}"/>
    <cellStyle name="Normal 20 10 28" xfId="12488" xr:uid="{00000000-0005-0000-0000-0000042C0000}"/>
    <cellStyle name="Normal 20 10 29" xfId="9882" xr:uid="{00000000-0005-0000-0000-0000052C0000}"/>
    <cellStyle name="Normal 20 10 3" xfId="27421" xr:uid="{00000000-0005-0000-0000-0000062C0000}"/>
    <cellStyle name="Normal 20 10 30" xfId="10509" xr:uid="{00000000-0005-0000-0000-0000072C0000}"/>
    <cellStyle name="Normal 20 10 31" xfId="11417" xr:uid="{00000000-0005-0000-0000-0000082C0000}"/>
    <cellStyle name="Normal 20 10 32" xfId="8646" xr:uid="{00000000-0005-0000-0000-0000092C0000}"/>
    <cellStyle name="Normal 20 10 33" xfId="9330" xr:uid="{00000000-0005-0000-0000-00000A2C0000}"/>
    <cellStyle name="Normal 20 10 34" xfId="4903" xr:uid="{00000000-0005-0000-0000-00000B2C0000}"/>
    <cellStyle name="Normal 20 10 35" xfId="12100" xr:uid="{00000000-0005-0000-0000-00000C2C0000}"/>
    <cellStyle name="Normal 20 10 36" xfId="4889" xr:uid="{00000000-0005-0000-0000-00000D2C0000}"/>
    <cellStyle name="Normal 20 10 37" xfId="6709" xr:uid="{00000000-0005-0000-0000-00000E2C0000}"/>
    <cellStyle name="Normal 20 10 38" xfId="5899" xr:uid="{00000000-0005-0000-0000-00000F2C0000}"/>
    <cellStyle name="Normal 20 10 39" xfId="9152" xr:uid="{00000000-0005-0000-0000-0000102C0000}"/>
    <cellStyle name="Normal 20 10 4" xfId="26824" xr:uid="{00000000-0005-0000-0000-0000112C0000}"/>
    <cellStyle name="Normal 20 10 40" xfId="11431" xr:uid="{00000000-0005-0000-0000-0000122C0000}"/>
    <cellStyle name="Normal 20 10 41" xfId="12023" xr:uid="{00000000-0005-0000-0000-0000132C0000}"/>
    <cellStyle name="Normal 20 10 42" xfId="5224" xr:uid="{00000000-0005-0000-0000-0000142C0000}"/>
    <cellStyle name="Normal 20 10 43" xfId="9051" xr:uid="{00000000-0005-0000-0000-0000152C0000}"/>
    <cellStyle name="Normal 20 10 44" xfId="2978" xr:uid="{00000000-0005-0000-0000-0000162C0000}"/>
    <cellStyle name="Normal 20 10 45" xfId="2735" xr:uid="{00000000-0005-0000-0000-0000172C0000}"/>
    <cellStyle name="Normal 20 10 46" xfId="2495" xr:uid="{00000000-0005-0000-0000-0000182C0000}"/>
    <cellStyle name="Normal 20 10 47" xfId="2255" xr:uid="{00000000-0005-0000-0000-0000192C0000}"/>
    <cellStyle name="Normal 20 10 48" xfId="2015" xr:uid="{00000000-0005-0000-0000-00001A2C0000}"/>
    <cellStyle name="Normal 20 10 49" xfId="1775" xr:uid="{00000000-0005-0000-0000-00001B2C0000}"/>
    <cellStyle name="Normal 20 10 5" xfId="26228" xr:uid="{00000000-0005-0000-0000-00001C2C0000}"/>
    <cellStyle name="Normal 20 10 50" xfId="1536" xr:uid="{00000000-0005-0000-0000-00001D2C0000}"/>
    <cellStyle name="Normal 20 10 51" xfId="1296" xr:uid="{00000000-0005-0000-0000-00001E2C0000}"/>
    <cellStyle name="Normal 20 10 52" xfId="1056" xr:uid="{00000000-0005-0000-0000-00001F2C0000}"/>
    <cellStyle name="Normal 20 10 53" xfId="816" xr:uid="{00000000-0005-0000-0000-0000202C0000}"/>
    <cellStyle name="Normal 20 10 54" xfId="576" xr:uid="{00000000-0005-0000-0000-0000212C0000}"/>
    <cellStyle name="Normal 20 10 55" xfId="337" xr:uid="{00000000-0005-0000-0000-0000222C0000}"/>
    <cellStyle name="Normal 20 10 56" xfId="99" xr:uid="{00000000-0005-0000-0000-0000232C0000}"/>
    <cellStyle name="Normal 20 10 6" xfId="25632" xr:uid="{00000000-0005-0000-0000-0000242C0000}"/>
    <cellStyle name="Normal 20 10 7" xfId="25035" xr:uid="{00000000-0005-0000-0000-0000252C0000}"/>
    <cellStyle name="Normal 20 10 8" xfId="24438" xr:uid="{00000000-0005-0000-0000-0000262C0000}"/>
    <cellStyle name="Normal 20 10 9" xfId="23841" xr:uid="{00000000-0005-0000-0000-0000272C0000}"/>
    <cellStyle name="Normal 20 11" xfId="28617" xr:uid="{00000000-0005-0000-0000-0000282C0000}"/>
    <cellStyle name="Normal 20 11 10" xfId="23243" xr:uid="{00000000-0005-0000-0000-0000292C0000}"/>
    <cellStyle name="Normal 20 11 11" xfId="22646" xr:uid="{00000000-0005-0000-0000-00002A2C0000}"/>
    <cellStyle name="Normal 20 11 12" xfId="22050" xr:uid="{00000000-0005-0000-0000-00002B2C0000}"/>
    <cellStyle name="Normal 20 11 13" xfId="21453" xr:uid="{00000000-0005-0000-0000-00002C2C0000}"/>
    <cellStyle name="Normal 20 11 14" xfId="20856" xr:uid="{00000000-0005-0000-0000-00002D2C0000}"/>
    <cellStyle name="Normal 20 11 15" xfId="20259" xr:uid="{00000000-0005-0000-0000-00002E2C0000}"/>
    <cellStyle name="Normal 20 11 16" xfId="19663" xr:uid="{00000000-0005-0000-0000-00002F2C0000}"/>
    <cellStyle name="Normal 20 11 17" xfId="19067" xr:uid="{00000000-0005-0000-0000-0000302C0000}"/>
    <cellStyle name="Normal 20 11 18" xfId="18475" xr:uid="{00000000-0005-0000-0000-0000312C0000}"/>
    <cellStyle name="Normal 20 11 19" xfId="17878" xr:uid="{00000000-0005-0000-0000-0000322C0000}"/>
    <cellStyle name="Normal 20 11 2" xfId="28017" xr:uid="{00000000-0005-0000-0000-0000332C0000}"/>
    <cellStyle name="Normal 20 11 20" xfId="15140" xr:uid="{00000000-0005-0000-0000-0000342C0000}"/>
    <cellStyle name="Normal 20 11 21" xfId="17079" xr:uid="{00000000-0005-0000-0000-0000352C0000}"/>
    <cellStyle name="Normal 20 11 22" xfId="15491" xr:uid="{00000000-0005-0000-0000-0000362C0000}"/>
    <cellStyle name="Normal 20 11 23" xfId="17104" xr:uid="{00000000-0005-0000-0000-0000372C0000}"/>
    <cellStyle name="Normal 20 11 24" xfId="15228" xr:uid="{00000000-0005-0000-0000-0000382C0000}"/>
    <cellStyle name="Normal 20 11 25" xfId="13395" xr:uid="{00000000-0005-0000-0000-0000392C0000}"/>
    <cellStyle name="Normal 20 11 26" xfId="14199" xr:uid="{00000000-0005-0000-0000-00003A2C0000}"/>
    <cellStyle name="Normal 20 11 27" xfId="16597" xr:uid="{00000000-0005-0000-0000-00003B2C0000}"/>
    <cellStyle name="Normal 20 11 28" xfId="12487" xr:uid="{00000000-0005-0000-0000-00003C2C0000}"/>
    <cellStyle name="Normal 20 11 29" xfId="10117" xr:uid="{00000000-0005-0000-0000-00003D2C0000}"/>
    <cellStyle name="Normal 20 11 3" xfId="27420" xr:uid="{00000000-0005-0000-0000-00003E2C0000}"/>
    <cellStyle name="Normal 20 11 30" xfId="10498" xr:uid="{00000000-0005-0000-0000-00003F2C0000}"/>
    <cellStyle name="Normal 20 11 31" xfId="10829" xr:uid="{00000000-0005-0000-0000-0000402C0000}"/>
    <cellStyle name="Normal 20 11 32" xfId="8108" xr:uid="{00000000-0005-0000-0000-0000412C0000}"/>
    <cellStyle name="Normal 20 11 33" xfId="10041" xr:uid="{00000000-0005-0000-0000-0000422C0000}"/>
    <cellStyle name="Normal 20 11 34" xfId="10947" xr:uid="{00000000-0005-0000-0000-0000432C0000}"/>
    <cellStyle name="Normal 20 11 35" xfId="11411" xr:uid="{00000000-0005-0000-0000-0000442C0000}"/>
    <cellStyle name="Normal 20 11 36" xfId="4652" xr:uid="{00000000-0005-0000-0000-0000452C0000}"/>
    <cellStyle name="Normal 20 11 37" xfId="8757" xr:uid="{00000000-0005-0000-0000-0000462C0000}"/>
    <cellStyle name="Normal 20 11 38" xfId="10228" xr:uid="{00000000-0005-0000-0000-0000472C0000}"/>
    <cellStyle name="Normal 20 11 39" xfId="3668" xr:uid="{00000000-0005-0000-0000-0000482C0000}"/>
    <cellStyle name="Normal 20 11 4" xfId="26823" xr:uid="{00000000-0005-0000-0000-0000492C0000}"/>
    <cellStyle name="Normal 20 11 40" xfId="11582" xr:uid="{00000000-0005-0000-0000-00004A2C0000}"/>
    <cellStyle name="Normal 20 11 41" xfId="3661" xr:uid="{00000000-0005-0000-0000-00004B2C0000}"/>
    <cellStyle name="Normal 20 11 42" xfId="10406" xr:uid="{00000000-0005-0000-0000-00004C2C0000}"/>
    <cellStyle name="Normal 20 11 43" xfId="6691" xr:uid="{00000000-0005-0000-0000-00004D2C0000}"/>
    <cellStyle name="Normal 20 11 44" xfId="2977" xr:uid="{00000000-0005-0000-0000-00004E2C0000}"/>
    <cellStyle name="Normal 20 11 45" xfId="2734" xr:uid="{00000000-0005-0000-0000-00004F2C0000}"/>
    <cellStyle name="Normal 20 11 46" xfId="2494" xr:uid="{00000000-0005-0000-0000-0000502C0000}"/>
    <cellStyle name="Normal 20 11 47" xfId="2254" xr:uid="{00000000-0005-0000-0000-0000512C0000}"/>
    <cellStyle name="Normal 20 11 48" xfId="2014" xr:uid="{00000000-0005-0000-0000-0000522C0000}"/>
    <cellStyle name="Normal 20 11 49" xfId="1774" xr:uid="{00000000-0005-0000-0000-0000532C0000}"/>
    <cellStyle name="Normal 20 11 5" xfId="26227" xr:uid="{00000000-0005-0000-0000-0000542C0000}"/>
    <cellStyle name="Normal 20 11 50" xfId="1535" xr:uid="{00000000-0005-0000-0000-0000552C0000}"/>
    <cellStyle name="Normal 20 11 51" xfId="1295" xr:uid="{00000000-0005-0000-0000-0000562C0000}"/>
    <cellStyle name="Normal 20 11 52" xfId="1055" xr:uid="{00000000-0005-0000-0000-0000572C0000}"/>
    <cellStyle name="Normal 20 11 53" xfId="815" xr:uid="{00000000-0005-0000-0000-0000582C0000}"/>
    <cellStyle name="Normal 20 11 54" xfId="575" xr:uid="{00000000-0005-0000-0000-0000592C0000}"/>
    <cellStyle name="Normal 20 11 55" xfId="336" xr:uid="{00000000-0005-0000-0000-00005A2C0000}"/>
    <cellStyle name="Normal 20 11 56" xfId="98" xr:uid="{00000000-0005-0000-0000-00005B2C0000}"/>
    <cellStyle name="Normal 20 11 6" xfId="25631" xr:uid="{00000000-0005-0000-0000-00005C2C0000}"/>
    <cellStyle name="Normal 20 11 7" xfId="25034" xr:uid="{00000000-0005-0000-0000-00005D2C0000}"/>
    <cellStyle name="Normal 20 11 8" xfId="24437" xr:uid="{00000000-0005-0000-0000-00005E2C0000}"/>
    <cellStyle name="Normal 20 11 9" xfId="23840" xr:uid="{00000000-0005-0000-0000-00005F2C0000}"/>
    <cellStyle name="Normal 20 12" xfId="28616" xr:uid="{00000000-0005-0000-0000-0000602C0000}"/>
    <cellStyle name="Normal 20 12 10" xfId="23242" xr:uid="{00000000-0005-0000-0000-0000612C0000}"/>
    <cellStyle name="Normal 20 12 11" xfId="22645" xr:uid="{00000000-0005-0000-0000-0000622C0000}"/>
    <cellStyle name="Normal 20 12 12" xfId="22049" xr:uid="{00000000-0005-0000-0000-0000632C0000}"/>
    <cellStyle name="Normal 20 12 13" xfId="21452" xr:uid="{00000000-0005-0000-0000-0000642C0000}"/>
    <cellStyle name="Normal 20 12 14" xfId="20855" xr:uid="{00000000-0005-0000-0000-0000652C0000}"/>
    <cellStyle name="Normal 20 12 15" xfId="20258" xr:uid="{00000000-0005-0000-0000-0000662C0000}"/>
    <cellStyle name="Normal 20 12 16" xfId="19662" xr:uid="{00000000-0005-0000-0000-0000672C0000}"/>
    <cellStyle name="Normal 20 12 17" xfId="19066" xr:uid="{00000000-0005-0000-0000-0000682C0000}"/>
    <cellStyle name="Normal 20 12 18" xfId="18474" xr:uid="{00000000-0005-0000-0000-0000692C0000}"/>
    <cellStyle name="Normal 20 12 19" xfId="17877" xr:uid="{00000000-0005-0000-0000-00006A2C0000}"/>
    <cellStyle name="Normal 20 12 2" xfId="28016" xr:uid="{00000000-0005-0000-0000-00006B2C0000}"/>
    <cellStyle name="Normal 20 12 20" xfId="15335" xr:uid="{00000000-0005-0000-0000-00006C2C0000}"/>
    <cellStyle name="Normal 20 12 21" xfId="17069" xr:uid="{00000000-0005-0000-0000-00006D2C0000}"/>
    <cellStyle name="Normal 20 12 22" xfId="13637" xr:uid="{00000000-0005-0000-0000-00006E2C0000}"/>
    <cellStyle name="Normal 20 12 23" xfId="13472" xr:uid="{00000000-0005-0000-0000-00006F2C0000}"/>
    <cellStyle name="Normal 20 12 24" xfId="15289" xr:uid="{00000000-0005-0000-0000-0000702C0000}"/>
    <cellStyle name="Normal 20 12 25" xfId="14476" xr:uid="{00000000-0005-0000-0000-0000712C0000}"/>
    <cellStyle name="Normal 20 12 26" xfId="14991" xr:uid="{00000000-0005-0000-0000-0000722C0000}"/>
    <cellStyle name="Normal 20 12 27" xfId="13403" xr:uid="{00000000-0005-0000-0000-0000732C0000}"/>
    <cellStyle name="Normal 20 12 28" xfId="12486" xr:uid="{00000000-0005-0000-0000-0000742C0000}"/>
    <cellStyle name="Normal 20 12 29" xfId="10344" xr:uid="{00000000-0005-0000-0000-0000752C0000}"/>
    <cellStyle name="Normal 20 12 3" xfId="27419" xr:uid="{00000000-0005-0000-0000-0000762C0000}"/>
    <cellStyle name="Normal 20 12 30" xfId="8885" xr:uid="{00000000-0005-0000-0000-0000772C0000}"/>
    <cellStyle name="Normal 20 12 31" xfId="9291" xr:uid="{00000000-0005-0000-0000-0000782C0000}"/>
    <cellStyle name="Normal 20 12 32" xfId="5600" xr:uid="{00000000-0005-0000-0000-0000792C0000}"/>
    <cellStyle name="Normal 20 12 33" xfId="5689" xr:uid="{00000000-0005-0000-0000-00007A2C0000}"/>
    <cellStyle name="Normal 20 12 34" xfId="7860" xr:uid="{00000000-0005-0000-0000-00007B2C0000}"/>
    <cellStyle name="Normal 20 12 35" xfId="7244" xr:uid="{00000000-0005-0000-0000-00007C2C0000}"/>
    <cellStyle name="Normal 20 12 36" xfId="5452" xr:uid="{00000000-0005-0000-0000-00007D2C0000}"/>
    <cellStyle name="Normal 20 12 37" xfId="6257" xr:uid="{00000000-0005-0000-0000-00007E2C0000}"/>
    <cellStyle name="Normal 20 12 38" xfId="3955" xr:uid="{00000000-0005-0000-0000-00007F2C0000}"/>
    <cellStyle name="Normal 20 12 39" xfId="8175" xr:uid="{00000000-0005-0000-0000-0000802C0000}"/>
    <cellStyle name="Normal 20 12 4" xfId="26822" xr:uid="{00000000-0005-0000-0000-0000812C0000}"/>
    <cellStyle name="Normal 20 12 40" xfId="4920" xr:uid="{00000000-0005-0000-0000-0000822C0000}"/>
    <cellStyle name="Normal 20 12 41" xfId="3918" xr:uid="{00000000-0005-0000-0000-0000832C0000}"/>
    <cellStyle name="Normal 20 12 42" xfId="7423" xr:uid="{00000000-0005-0000-0000-0000842C0000}"/>
    <cellStyle name="Normal 20 12 43" xfId="11095" xr:uid="{00000000-0005-0000-0000-0000852C0000}"/>
    <cellStyle name="Normal 20 12 5" xfId="26226" xr:uid="{00000000-0005-0000-0000-0000862C0000}"/>
    <cellStyle name="Normal 20 12 6" xfId="25630" xr:uid="{00000000-0005-0000-0000-0000872C0000}"/>
    <cellStyle name="Normal 20 12 7" xfId="25033" xr:uid="{00000000-0005-0000-0000-0000882C0000}"/>
    <cellStyle name="Normal 20 12 8" xfId="24436" xr:uid="{00000000-0005-0000-0000-0000892C0000}"/>
    <cellStyle name="Normal 20 12 9" xfId="23839" xr:uid="{00000000-0005-0000-0000-00008A2C0000}"/>
    <cellStyle name="Normal 20 13" xfId="28615" xr:uid="{00000000-0005-0000-0000-00008B2C0000}"/>
    <cellStyle name="Normal 20 13 10" xfId="23241" xr:uid="{00000000-0005-0000-0000-00008C2C0000}"/>
    <cellStyle name="Normal 20 13 11" xfId="22644" xr:uid="{00000000-0005-0000-0000-00008D2C0000}"/>
    <cellStyle name="Normal 20 13 12" xfId="22048" xr:uid="{00000000-0005-0000-0000-00008E2C0000}"/>
    <cellStyle name="Normal 20 13 13" xfId="21451" xr:uid="{00000000-0005-0000-0000-00008F2C0000}"/>
    <cellStyle name="Normal 20 13 14" xfId="20854" xr:uid="{00000000-0005-0000-0000-0000902C0000}"/>
    <cellStyle name="Normal 20 13 15" xfId="20257" xr:uid="{00000000-0005-0000-0000-0000912C0000}"/>
    <cellStyle name="Normal 20 13 16" xfId="19661" xr:uid="{00000000-0005-0000-0000-0000922C0000}"/>
    <cellStyle name="Normal 20 13 17" xfId="19065" xr:uid="{00000000-0005-0000-0000-0000932C0000}"/>
    <cellStyle name="Normal 20 13 18" xfId="18473" xr:uid="{00000000-0005-0000-0000-0000942C0000}"/>
    <cellStyle name="Normal 20 13 19" xfId="17876" xr:uid="{00000000-0005-0000-0000-0000952C0000}"/>
    <cellStyle name="Normal 20 13 2" xfId="28015" xr:uid="{00000000-0005-0000-0000-0000962C0000}"/>
    <cellStyle name="Normal 20 13 20" xfId="15542" xr:uid="{00000000-0005-0000-0000-0000972C0000}"/>
    <cellStyle name="Normal 20 13 21" xfId="16669" xr:uid="{00000000-0005-0000-0000-0000982C0000}"/>
    <cellStyle name="Normal 20 13 22" xfId="16113" xr:uid="{00000000-0005-0000-0000-0000992C0000}"/>
    <cellStyle name="Normal 20 13 23" xfId="16090" xr:uid="{00000000-0005-0000-0000-00009A2C0000}"/>
    <cellStyle name="Normal 20 13 24" xfId="14121" xr:uid="{00000000-0005-0000-0000-00009B2C0000}"/>
    <cellStyle name="Normal 20 13 25" xfId="13317" xr:uid="{00000000-0005-0000-0000-00009C2C0000}"/>
    <cellStyle name="Normal 20 13 26" xfId="16445" xr:uid="{00000000-0005-0000-0000-00009D2C0000}"/>
    <cellStyle name="Normal 20 13 27" xfId="15399" xr:uid="{00000000-0005-0000-0000-00009E2C0000}"/>
    <cellStyle name="Normal 20 13 28" xfId="12485" xr:uid="{00000000-0005-0000-0000-00009F2C0000}"/>
    <cellStyle name="Normal 20 13 29" xfId="10573" xr:uid="{00000000-0005-0000-0000-0000A02C0000}"/>
    <cellStyle name="Normal 20 13 3" xfId="27418" xr:uid="{00000000-0005-0000-0000-0000A12C0000}"/>
    <cellStyle name="Normal 20 13 30" xfId="7453" xr:uid="{00000000-0005-0000-0000-0000A22C0000}"/>
    <cellStyle name="Normal 20 13 31" xfId="7454" xr:uid="{00000000-0005-0000-0000-0000A32C0000}"/>
    <cellStyle name="Normal 20 13 32" xfId="9833" xr:uid="{00000000-0005-0000-0000-0000A42C0000}"/>
    <cellStyle name="Normal 20 13 33" xfId="8236" xr:uid="{00000000-0005-0000-0000-0000A52C0000}"/>
    <cellStyle name="Normal 20 13 34" xfId="5552" xr:uid="{00000000-0005-0000-0000-0000A62C0000}"/>
    <cellStyle name="Normal 20 13 35" xfId="6623" xr:uid="{00000000-0005-0000-0000-0000A72C0000}"/>
    <cellStyle name="Normal 20 13 36" xfId="10424" xr:uid="{00000000-0005-0000-0000-0000A82C0000}"/>
    <cellStyle name="Normal 20 13 37" xfId="9153" xr:uid="{00000000-0005-0000-0000-0000A92C0000}"/>
    <cellStyle name="Normal 20 13 38" xfId="10987" xr:uid="{00000000-0005-0000-0000-0000AA2C0000}"/>
    <cellStyle name="Normal 20 13 39" xfId="3640" xr:uid="{00000000-0005-0000-0000-0000AB2C0000}"/>
    <cellStyle name="Normal 20 13 4" xfId="26821" xr:uid="{00000000-0005-0000-0000-0000AC2C0000}"/>
    <cellStyle name="Normal 20 13 40" xfId="9332" xr:uid="{00000000-0005-0000-0000-0000AD2C0000}"/>
    <cellStyle name="Normal 20 13 41" xfId="9047" xr:uid="{00000000-0005-0000-0000-0000AE2C0000}"/>
    <cellStyle name="Normal 20 13 42" xfId="7086" xr:uid="{00000000-0005-0000-0000-0000AF2C0000}"/>
    <cellStyle name="Normal 20 13 43" xfId="3092" xr:uid="{00000000-0005-0000-0000-0000B02C0000}"/>
    <cellStyle name="Normal 20 13 5" xfId="26225" xr:uid="{00000000-0005-0000-0000-0000B12C0000}"/>
    <cellStyle name="Normal 20 13 6" xfId="25629" xr:uid="{00000000-0005-0000-0000-0000B22C0000}"/>
    <cellStyle name="Normal 20 13 7" xfId="25032" xr:uid="{00000000-0005-0000-0000-0000B32C0000}"/>
    <cellStyle name="Normal 20 13 8" xfId="24435" xr:uid="{00000000-0005-0000-0000-0000B42C0000}"/>
    <cellStyle name="Normal 20 13 9" xfId="23838" xr:uid="{00000000-0005-0000-0000-0000B52C0000}"/>
    <cellStyle name="Normal 20 14" xfId="28614" xr:uid="{00000000-0005-0000-0000-0000B62C0000}"/>
    <cellStyle name="Normal 20 14 10" xfId="23240" xr:uid="{00000000-0005-0000-0000-0000B72C0000}"/>
    <cellStyle name="Normal 20 14 11" xfId="22643" xr:uid="{00000000-0005-0000-0000-0000B82C0000}"/>
    <cellStyle name="Normal 20 14 12" xfId="22047" xr:uid="{00000000-0005-0000-0000-0000B92C0000}"/>
    <cellStyle name="Normal 20 14 13" xfId="21450" xr:uid="{00000000-0005-0000-0000-0000BA2C0000}"/>
    <cellStyle name="Normal 20 14 14" xfId="20853" xr:uid="{00000000-0005-0000-0000-0000BB2C0000}"/>
    <cellStyle name="Normal 20 14 15" xfId="20256" xr:uid="{00000000-0005-0000-0000-0000BC2C0000}"/>
    <cellStyle name="Normal 20 14 16" xfId="19660" xr:uid="{00000000-0005-0000-0000-0000BD2C0000}"/>
    <cellStyle name="Normal 20 14 17" xfId="19064" xr:uid="{00000000-0005-0000-0000-0000BE2C0000}"/>
    <cellStyle name="Normal 20 14 18" xfId="18472" xr:uid="{00000000-0005-0000-0000-0000BF2C0000}"/>
    <cellStyle name="Normal 20 14 19" xfId="17875" xr:uid="{00000000-0005-0000-0000-0000C02C0000}"/>
    <cellStyle name="Normal 20 14 2" xfId="28014" xr:uid="{00000000-0005-0000-0000-0000C12C0000}"/>
    <cellStyle name="Normal 20 14 20" xfId="15732" xr:uid="{00000000-0005-0000-0000-0000C22C0000}"/>
    <cellStyle name="Normal 20 14 21" xfId="16462" xr:uid="{00000000-0005-0000-0000-0000C32C0000}"/>
    <cellStyle name="Normal 20 14 22" xfId="13659" xr:uid="{00000000-0005-0000-0000-0000C42C0000}"/>
    <cellStyle name="Normal 20 14 23" xfId="13493" xr:uid="{00000000-0005-0000-0000-0000C52C0000}"/>
    <cellStyle name="Normal 20 14 24" xfId="14083" xr:uid="{00000000-0005-0000-0000-0000C62C0000}"/>
    <cellStyle name="Normal 20 14 25" xfId="14059" xr:uid="{00000000-0005-0000-0000-0000C72C0000}"/>
    <cellStyle name="Normal 20 14 26" xfId="14861" xr:uid="{00000000-0005-0000-0000-0000C82C0000}"/>
    <cellStyle name="Normal 20 14 27" xfId="16503" xr:uid="{00000000-0005-0000-0000-0000C92C0000}"/>
    <cellStyle name="Normal 20 14 28" xfId="12484" xr:uid="{00000000-0005-0000-0000-0000CA2C0000}"/>
    <cellStyle name="Normal 20 14 29" xfId="10788" xr:uid="{00000000-0005-0000-0000-0000CB2C0000}"/>
    <cellStyle name="Normal 20 14 3" xfId="27417" xr:uid="{00000000-0005-0000-0000-0000CC2C0000}"/>
    <cellStyle name="Normal 20 14 30" xfId="8874" xr:uid="{00000000-0005-0000-0000-0000CD2C0000}"/>
    <cellStyle name="Normal 20 14 31" xfId="11930" xr:uid="{00000000-0005-0000-0000-0000CE2C0000}"/>
    <cellStyle name="Normal 20 14 32" xfId="7561" xr:uid="{00000000-0005-0000-0000-0000CF2C0000}"/>
    <cellStyle name="Normal 20 14 33" xfId="7467" xr:uid="{00000000-0005-0000-0000-0000D02C0000}"/>
    <cellStyle name="Normal 20 14 34" xfId="9266" xr:uid="{00000000-0005-0000-0000-0000D12C0000}"/>
    <cellStyle name="Normal 20 14 35" xfId="8487" xr:uid="{00000000-0005-0000-0000-0000D22C0000}"/>
    <cellStyle name="Normal 20 14 36" xfId="4599" xr:uid="{00000000-0005-0000-0000-0000D32C0000}"/>
    <cellStyle name="Normal 20 14 37" xfId="4384" xr:uid="{00000000-0005-0000-0000-0000D42C0000}"/>
    <cellStyle name="Normal 20 14 38" xfId="11379" xr:uid="{00000000-0005-0000-0000-0000D52C0000}"/>
    <cellStyle name="Normal 20 14 39" xfId="4811" xr:uid="{00000000-0005-0000-0000-0000D62C0000}"/>
    <cellStyle name="Normal 20 14 4" xfId="26820" xr:uid="{00000000-0005-0000-0000-0000D72C0000}"/>
    <cellStyle name="Normal 20 14 40" xfId="4091" xr:uid="{00000000-0005-0000-0000-0000D82C0000}"/>
    <cellStyle name="Normal 20 14 41" xfId="7988" xr:uid="{00000000-0005-0000-0000-0000D92C0000}"/>
    <cellStyle name="Normal 20 14 42" xfId="11215" xr:uid="{00000000-0005-0000-0000-0000DA2C0000}"/>
    <cellStyle name="Normal 20 14 43" xfId="4771" xr:uid="{00000000-0005-0000-0000-0000DB2C0000}"/>
    <cellStyle name="Normal 20 14 5" xfId="26224" xr:uid="{00000000-0005-0000-0000-0000DC2C0000}"/>
    <cellStyle name="Normal 20 14 6" xfId="25628" xr:uid="{00000000-0005-0000-0000-0000DD2C0000}"/>
    <cellStyle name="Normal 20 14 7" xfId="25031" xr:uid="{00000000-0005-0000-0000-0000DE2C0000}"/>
    <cellStyle name="Normal 20 14 8" xfId="24434" xr:uid="{00000000-0005-0000-0000-0000DF2C0000}"/>
    <cellStyle name="Normal 20 14 9" xfId="23837" xr:uid="{00000000-0005-0000-0000-0000E02C0000}"/>
    <cellStyle name="Normal 20 15" xfId="28613" xr:uid="{00000000-0005-0000-0000-0000E12C0000}"/>
    <cellStyle name="Normal 20 15 10" xfId="23239" xr:uid="{00000000-0005-0000-0000-0000E22C0000}"/>
    <cellStyle name="Normal 20 15 11" xfId="22642" xr:uid="{00000000-0005-0000-0000-0000E32C0000}"/>
    <cellStyle name="Normal 20 15 12" xfId="22046" xr:uid="{00000000-0005-0000-0000-0000E42C0000}"/>
    <cellStyle name="Normal 20 15 13" xfId="21449" xr:uid="{00000000-0005-0000-0000-0000E52C0000}"/>
    <cellStyle name="Normal 20 15 14" xfId="20852" xr:uid="{00000000-0005-0000-0000-0000E62C0000}"/>
    <cellStyle name="Normal 20 15 15" xfId="20255" xr:uid="{00000000-0005-0000-0000-0000E72C0000}"/>
    <cellStyle name="Normal 20 15 16" xfId="19659" xr:uid="{00000000-0005-0000-0000-0000E82C0000}"/>
    <cellStyle name="Normal 20 15 17" xfId="19063" xr:uid="{00000000-0005-0000-0000-0000E92C0000}"/>
    <cellStyle name="Normal 20 15 18" xfId="18471" xr:uid="{00000000-0005-0000-0000-0000EA2C0000}"/>
    <cellStyle name="Normal 20 15 19" xfId="17874" xr:uid="{00000000-0005-0000-0000-0000EB2C0000}"/>
    <cellStyle name="Normal 20 15 2" xfId="28013" xr:uid="{00000000-0005-0000-0000-0000EC2C0000}"/>
    <cellStyle name="Normal 20 15 20" xfId="15932" xr:uid="{00000000-0005-0000-0000-0000ED2C0000}"/>
    <cellStyle name="Normal 20 15 21" xfId="16247" xr:uid="{00000000-0005-0000-0000-0000EE2C0000}"/>
    <cellStyle name="Normal 20 15 22" xfId="13798" xr:uid="{00000000-0005-0000-0000-0000EF2C0000}"/>
    <cellStyle name="Normal 20 15 23" xfId="14986" xr:uid="{00000000-0005-0000-0000-0000F02C0000}"/>
    <cellStyle name="Normal 20 15 24" xfId="13092" xr:uid="{00000000-0005-0000-0000-0000F12C0000}"/>
    <cellStyle name="Normal 20 15 25" xfId="13722" xr:uid="{00000000-0005-0000-0000-0000F22C0000}"/>
    <cellStyle name="Normal 20 15 26" xfId="13466" xr:uid="{00000000-0005-0000-0000-0000F32C0000}"/>
    <cellStyle name="Normal 20 15 27" xfId="12799" xr:uid="{00000000-0005-0000-0000-0000F42C0000}"/>
    <cellStyle name="Normal 20 15 28" xfId="12483" xr:uid="{00000000-0005-0000-0000-0000F52C0000}"/>
    <cellStyle name="Normal 20 15 29" xfId="11007" xr:uid="{00000000-0005-0000-0000-0000F62C0000}"/>
    <cellStyle name="Normal 20 15 3" xfId="27416" xr:uid="{00000000-0005-0000-0000-0000F72C0000}"/>
    <cellStyle name="Normal 20 15 30" xfId="6669" xr:uid="{00000000-0005-0000-0000-0000F82C0000}"/>
    <cellStyle name="Normal 20 15 31" xfId="11947" xr:uid="{00000000-0005-0000-0000-0000F92C0000}"/>
    <cellStyle name="Normal 20 15 32" xfId="5305" xr:uid="{00000000-0005-0000-0000-0000FA2C0000}"/>
    <cellStyle name="Normal 20 15 33" xfId="9166" xr:uid="{00000000-0005-0000-0000-0000FB2C0000}"/>
    <cellStyle name="Normal 20 15 34" xfId="8833" xr:uid="{00000000-0005-0000-0000-0000FC2C0000}"/>
    <cellStyle name="Normal 20 15 35" xfId="6240" xr:uid="{00000000-0005-0000-0000-0000FD2C0000}"/>
    <cellStyle name="Normal 20 15 36" xfId="10162" xr:uid="{00000000-0005-0000-0000-0000FE2C0000}"/>
    <cellStyle name="Normal 20 15 37" xfId="4103" xr:uid="{00000000-0005-0000-0000-0000FF2C0000}"/>
    <cellStyle name="Normal 20 15 38" xfId="8687" xr:uid="{00000000-0005-0000-0000-0000002D0000}"/>
    <cellStyle name="Normal 20 15 39" xfId="3660" xr:uid="{00000000-0005-0000-0000-0000012D0000}"/>
    <cellStyle name="Normal 20 15 4" xfId="26819" xr:uid="{00000000-0005-0000-0000-0000022D0000}"/>
    <cellStyle name="Normal 20 15 40" xfId="7240" xr:uid="{00000000-0005-0000-0000-0000032D0000}"/>
    <cellStyle name="Normal 20 15 41" xfId="6525" xr:uid="{00000000-0005-0000-0000-0000042D0000}"/>
    <cellStyle name="Normal 20 15 42" xfId="3901" xr:uid="{00000000-0005-0000-0000-0000052D0000}"/>
    <cellStyle name="Normal 20 15 43" xfId="3116" xr:uid="{00000000-0005-0000-0000-0000062D0000}"/>
    <cellStyle name="Normal 20 15 5" xfId="26223" xr:uid="{00000000-0005-0000-0000-0000072D0000}"/>
    <cellStyle name="Normal 20 15 6" xfId="25627" xr:uid="{00000000-0005-0000-0000-0000082D0000}"/>
    <cellStyle name="Normal 20 15 7" xfId="25030" xr:uid="{00000000-0005-0000-0000-0000092D0000}"/>
    <cellStyle name="Normal 20 15 8" xfId="24433" xr:uid="{00000000-0005-0000-0000-00000A2D0000}"/>
    <cellStyle name="Normal 20 15 9" xfId="23836" xr:uid="{00000000-0005-0000-0000-00000B2D0000}"/>
    <cellStyle name="Normal 20 16" xfId="28612" xr:uid="{00000000-0005-0000-0000-00000C2D0000}"/>
    <cellStyle name="Normal 20 16 10" xfId="23238" xr:uid="{00000000-0005-0000-0000-00000D2D0000}"/>
    <cellStyle name="Normal 20 16 11" xfId="22641" xr:uid="{00000000-0005-0000-0000-00000E2D0000}"/>
    <cellStyle name="Normal 20 16 12" xfId="22045" xr:uid="{00000000-0005-0000-0000-00000F2D0000}"/>
    <cellStyle name="Normal 20 16 13" xfId="21448" xr:uid="{00000000-0005-0000-0000-0000102D0000}"/>
    <cellStyle name="Normal 20 16 14" xfId="20851" xr:uid="{00000000-0005-0000-0000-0000112D0000}"/>
    <cellStyle name="Normal 20 16 15" xfId="20254" xr:uid="{00000000-0005-0000-0000-0000122D0000}"/>
    <cellStyle name="Normal 20 16 16" xfId="19658" xr:uid="{00000000-0005-0000-0000-0000132D0000}"/>
    <cellStyle name="Normal 20 16 17" xfId="19062" xr:uid="{00000000-0005-0000-0000-0000142D0000}"/>
    <cellStyle name="Normal 20 16 18" xfId="18470" xr:uid="{00000000-0005-0000-0000-0000152D0000}"/>
    <cellStyle name="Normal 20 16 19" xfId="17873" xr:uid="{00000000-0005-0000-0000-0000162D0000}"/>
    <cellStyle name="Normal 20 16 2" xfId="28012" xr:uid="{00000000-0005-0000-0000-0000172D0000}"/>
    <cellStyle name="Normal 20 16 20" xfId="16140" xr:uid="{00000000-0005-0000-0000-0000182D0000}"/>
    <cellStyle name="Normal 20 16 21" xfId="15637" xr:uid="{00000000-0005-0000-0000-0000192D0000}"/>
    <cellStyle name="Normal 20 16 22" xfId="13947" xr:uid="{00000000-0005-0000-0000-00001A2D0000}"/>
    <cellStyle name="Normal 20 16 23" xfId="15520" xr:uid="{00000000-0005-0000-0000-00001B2D0000}"/>
    <cellStyle name="Normal 20 16 24" xfId="13077" xr:uid="{00000000-0005-0000-0000-00001C2D0000}"/>
    <cellStyle name="Normal 20 16 25" xfId="15211" xr:uid="{00000000-0005-0000-0000-00001D2D0000}"/>
    <cellStyle name="Normal 20 16 26" xfId="13760" xr:uid="{00000000-0005-0000-0000-00001E2D0000}"/>
    <cellStyle name="Normal 20 16 27" xfId="13506" xr:uid="{00000000-0005-0000-0000-00001F2D0000}"/>
    <cellStyle name="Normal 20 16 28" xfId="12482" xr:uid="{00000000-0005-0000-0000-0000202D0000}"/>
    <cellStyle name="Normal 20 16 29" xfId="11235" xr:uid="{00000000-0005-0000-0000-0000212D0000}"/>
    <cellStyle name="Normal 20 16 3" xfId="27415" xr:uid="{00000000-0005-0000-0000-0000222D0000}"/>
    <cellStyle name="Normal 20 16 30" xfId="6786" xr:uid="{00000000-0005-0000-0000-0000232D0000}"/>
    <cellStyle name="Normal 20 16 31" xfId="10367" xr:uid="{00000000-0005-0000-0000-0000242D0000}"/>
    <cellStyle name="Normal 20 16 32" xfId="10812" xr:uid="{00000000-0005-0000-0000-0000252D0000}"/>
    <cellStyle name="Normal 20 16 33" xfId="8820" xr:uid="{00000000-0005-0000-0000-0000262D0000}"/>
    <cellStyle name="Normal 20 16 34" xfId="11946" xr:uid="{00000000-0005-0000-0000-0000272D0000}"/>
    <cellStyle name="Normal 20 16 35" xfId="7046" xr:uid="{00000000-0005-0000-0000-0000282D0000}"/>
    <cellStyle name="Normal 20 16 36" xfId="7681" xr:uid="{00000000-0005-0000-0000-0000292D0000}"/>
    <cellStyle name="Normal 20 16 37" xfId="6910" xr:uid="{00000000-0005-0000-0000-00002A2D0000}"/>
    <cellStyle name="Normal 20 16 38" xfId="11207" xr:uid="{00000000-0005-0000-0000-00002B2D0000}"/>
    <cellStyle name="Normal 20 16 39" xfId="10080" xr:uid="{00000000-0005-0000-0000-00002C2D0000}"/>
    <cellStyle name="Normal 20 16 4" xfId="26818" xr:uid="{00000000-0005-0000-0000-00002D2D0000}"/>
    <cellStyle name="Normal 20 16 40" xfId="8892" xr:uid="{00000000-0005-0000-0000-00002E2D0000}"/>
    <cellStyle name="Normal 20 16 41" xfId="7827" xr:uid="{00000000-0005-0000-0000-00002F2D0000}"/>
    <cellStyle name="Normal 20 16 42" xfId="5067" xr:uid="{00000000-0005-0000-0000-0000302D0000}"/>
    <cellStyle name="Normal 20 16 43" xfId="6197" xr:uid="{00000000-0005-0000-0000-0000312D0000}"/>
    <cellStyle name="Normal 20 16 5" xfId="26222" xr:uid="{00000000-0005-0000-0000-0000322D0000}"/>
    <cellStyle name="Normal 20 16 6" xfId="25626" xr:uid="{00000000-0005-0000-0000-0000332D0000}"/>
    <cellStyle name="Normal 20 16 7" xfId="25029" xr:uid="{00000000-0005-0000-0000-0000342D0000}"/>
    <cellStyle name="Normal 20 16 8" xfId="24432" xr:uid="{00000000-0005-0000-0000-0000352D0000}"/>
    <cellStyle name="Normal 20 16 9" xfId="23835" xr:uid="{00000000-0005-0000-0000-0000362D0000}"/>
    <cellStyle name="Normal 20 17" xfId="28611" xr:uid="{00000000-0005-0000-0000-0000372D0000}"/>
    <cellStyle name="Normal 20 17 10" xfId="23237" xr:uid="{00000000-0005-0000-0000-0000382D0000}"/>
    <cellStyle name="Normal 20 17 11" xfId="22640" xr:uid="{00000000-0005-0000-0000-0000392D0000}"/>
    <cellStyle name="Normal 20 17 12" xfId="22044" xr:uid="{00000000-0005-0000-0000-00003A2D0000}"/>
    <cellStyle name="Normal 20 17 13" xfId="21447" xr:uid="{00000000-0005-0000-0000-00003B2D0000}"/>
    <cellStyle name="Normal 20 17 14" xfId="20850" xr:uid="{00000000-0005-0000-0000-00003C2D0000}"/>
    <cellStyle name="Normal 20 17 15" xfId="20253" xr:uid="{00000000-0005-0000-0000-00003D2D0000}"/>
    <cellStyle name="Normal 20 17 16" xfId="19657" xr:uid="{00000000-0005-0000-0000-00003E2D0000}"/>
    <cellStyle name="Normal 20 17 17" xfId="19061" xr:uid="{00000000-0005-0000-0000-00003F2D0000}"/>
    <cellStyle name="Normal 20 17 18" xfId="18469" xr:uid="{00000000-0005-0000-0000-0000402D0000}"/>
    <cellStyle name="Normal 20 17 19" xfId="17872" xr:uid="{00000000-0005-0000-0000-0000412D0000}"/>
    <cellStyle name="Normal 20 17 2" xfId="28011" xr:uid="{00000000-0005-0000-0000-0000422D0000}"/>
    <cellStyle name="Normal 20 17 20" xfId="16341" xr:uid="{00000000-0005-0000-0000-0000432D0000}"/>
    <cellStyle name="Normal 20 17 21" xfId="15238" xr:uid="{00000000-0005-0000-0000-0000442D0000}"/>
    <cellStyle name="Normal 20 17 22" xfId="16759" xr:uid="{00000000-0005-0000-0000-0000452D0000}"/>
    <cellStyle name="Normal 20 17 23" xfId="15116" xr:uid="{00000000-0005-0000-0000-0000462D0000}"/>
    <cellStyle name="Normal 20 17 24" xfId="13323" xr:uid="{00000000-0005-0000-0000-0000472D0000}"/>
    <cellStyle name="Normal 20 17 25" xfId="17044" xr:uid="{00000000-0005-0000-0000-0000482D0000}"/>
    <cellStyle name="Normal 20 17 26" xfId="17164" xr:uid="{00000000-0005-0000-0000-0000492D0000}"/>
    <cellStyle name="Normal 20 17 27" xfId="12979" xr:uid="{00000000-0005-0000-0000-00004A2D0000}"/>
    <cellStyle name="Normal 20 17 28" xfId="12481" xr:uid="{00000000-0005-0000-0000-00004B2D0000}"/>
    <cellStyle name="Normal 20 17 29" xfId="11468" xr:uid="{00000000-0005-0000-0000-00004C2D0000}"/>
    <cellStyle name="Normal 20 17 3" xfId="27414" xr:uid="{00000000-0005-0000-0000-00004D2D0000}"/>
    <cellStyle name="Normal 20 17 30" xfId="7424" xr:uid="{00000000-0005-0000-0000-00004E2D0000}"/>
    <cellStyle name="Normal 20 17 31" xfId="7047" xr:uid="{00000000-0005-0000-0000-00004F2D0000}"/>
    <cellStyle name="Normal 20 17 32" xfId="5448" xr:uid="{00000000-0005-0000-0000-0000502D0000}"/>
    <cellStyle name="Normal 20 17 33" xfId="11452" xr:uid="{00000000-0005-0000-0000-0000512D0000}"/>
    <cellStyle name="Normal 20 17 34" xfId="8174" xr:uid="{00000000-0005-0000-0000-0000522D0000}"/>
    <cellStyle name="Normal 20 17 35" xfId="10475" xr:uid="{00000000-0005-0000-0000-0000532D0000}"/>
    <cellStyle name="Normal 20 17 36" xfId="10877" xr:uid="{00000000-0005-0000-0000-0000542D0000}"/>
    <cellStyle name="Normal 20 17 37" xfId="11127" xr:uid="{00000000-0005-0000-0000-0000552D0000}"/>
    <cellStyle name="Normal 20 17 38" xfId="11141" xr:uid="{00000000-0005-0000-0000-0000562D0000}"/>
    <cellStyle name="Normal 20 17 39" xfId="8411" xr:uid="{00000000-0005-0000-0000-0000572D0000}"/>
    <cellStyle name="Normal 20 17 4" xfId="26817" xr:uid="{00000000-0005-0000-0000-0000582D0000}"/>
    <cellStyle name="Normal 20 17 40" xfId="3542" xr:uid="{00000000-0005-0000-0000-0000592D0000}"/>
    <cellStyle name="Normal 20 17 41" xfId="12106" xr:uid="{00000000-0005-0000-0000-00005A2D0000}"/>
    <cellStyle name="Normal 20 17 42" xfId="3337" xr:uid="{00000000-0005-0000-0000-00005B2D0000}"/>
    <cellStyle name="Normal 20 17 43" xfId="11180" xr:uid="{00000000-0005-0000-0000-00005C2D0000}"/>
    <cellStyle name="Normal 20 17 5" xfId="26221" xr:uid="{00000000-0005-0000-0000-00005D2D0000}"/>
    <cellStyle name="Normal 20 17 6" xfId="25625" xr:uid="{00000000-0005-0000-0000-00005E2D0000}"/>
    <cellStyle name="Normal 20 17 7" xfId="25028" xr:uid="{00000000-0005-0000-0000-00005F2D0000}"/>
    <cellStyle name="Normal 20 17 8" xfId="24431" xr:uid="{00000000-0005-0000-0000-0000602D0000}"/>
    <cellStyle name="Normal 20 17 9" xfId="23834" xr:uid="{00000000-0005-0000-0000-0000612D0000}"/>
    <cellStyle name="Normal 20 18" xfId="28610" xr:uid="{00000000-0005-0000-0000-0000622D0000}"/>
    <cellStyle name="Normal 20 18 10" xfId="23236" xr:uid="{00000000-0005-0000-0000-0000632D0000}"/>
    <cellStyle name="Normal 20 18 11" xfId="22639" xr:uid="{00000000-0005-0000-0000-0000642D0000}"/>
    <cellStyle name="Normal 20 18 12" xfId="22043" xr:uid="{00000000-0005-0000-0000-0000652D0000}"/>
    <cellStyle name="Normal 20 18 13" xfId="21446" xr:uid="{00000000-0005-0000-0000-0000662D0000}"/>
    <cellStyle name="Normal 20 18 14" xfId="20849" xr:uid="{00000000-0005-0000-0000-0000672D0000}"/>
    <cellStyle name="Normal 20 18 15" xfId="20252" xr:uid="{00000000-0005-0000-0000-0000682D0000}"/>
    <cellStyle name="Normal 20 18 16" xfId="19656" xr:uid="{00000000-0005-0000-0000-0000692D0000}"/>
    <cellStyle name="Normal 20 18 17" xfId="19060" xr:uid="{00000000-0005-0000-0000-00006A2D0000}"/>
    <cellStyle name="Normal 20 18 18" xfId="18468" xr:uid="{00000000-0005-0000-0000-00006B2D0000}"/>
    <cellStyle name="Normal 20 18 19" xfId="17871" xr:uid="{00000000-0005-0000-0000-00006C2D0000}"/>
    <cellStyle name="Normal 20 18 2" xfId="28010" xr:uid="{00000000-0005-0000-0000-00006D2D0000}"/>
    <cellStyle name="Normal 20 18 20" xfId="16531" xr:uid="{00000000-0005-0000-0000-00006E2D0000}"/>
    <cellStyle name="Normal 20 18 21" xfId="14818" xr:uid="{00000000-0005-0000-0000-00006F2D0000}"/>
    <cellStyle name="Normal 20 18 22" xfId="17160" xr:uid="{00000000-0005-0000-0000-0000702D0000}"/>
    <cellStyle name="Normal 20 18 23" xfId="17099" xr:uid="{00000000-0005-0000-0000-0000712D0000}"/>
    <cellStyle name="Normal 20 18 24" xfId="13561" xr:uid="{00000000-0005-0000-0000-0000722D0000}"/>
    <cellStyle name="Normal 20 18 25" xfId="13312" xr:uid="{00000000-0005-0000-0000-0000732D0000}"/>
    <cellStyle name="Normal 20 18 26" xfId="12825" xr:uid="{00000000-0005-0000-0000-0000742D0000}"/>
    <cellStyle name="Normal 20 18 27" xfId="16186" xr:uid="{00000000-0005-0000-0000-0000752D0000}"/>
    <cellStyle name="Normal 20 18 28" xfId="12480" xr:uid="{00000000-0005-0000-0000-0000762D0000}"/>
    <cellStyle name="Normal 20 18 29" xfId="11692" xr:uid="{00000000-0005-0000-0000-0000772D0000}"/>
    <cellStyle name="Normal 20 18 3" xfId="27413" xr:uid="{00000000-0005-0000-0000-0000782D0000}"/>
    <cellStyle name="Normal 20 18 30" xfId="8176" xr:uid="{00000000-0005-0000-0000-0000792D0000}"/>
    <cellStyle name="Normal 20 18 31" xfId="8238" xr:uid="{00000000-0005-0000-0000-00007A2D0000}"/>
    <cellStyle name="Normal 20 18 32" xfId="5467" xr:uid="{00000000-0005-0000-0000-00007B2D0000}"/>
    <cellStyle name="Normal 20 18 33" xfId="10470" xr:uid="{00000000-0005-0000-0000-00007C2D0000}"/>
    <cellStyle name="Normal 20 18 34" xfId="5976" xr:uid="{00000000-0005-0000-0000-00007D2D0000}"/>
    <cellStyle name="Normal 20 18 35" xfId="11123" xr:uid="{00000000-0005-0000-0000-00007E2D0000}"/>
    <cellStyle name="Normal 20 18 36" xfId="7826" xr:uid="{00000000-0005-0000-0000-00007F2D0000}"/>
    <cellStyle name="Normal 20 18 37" xfId="3986" xr:uid="{00000000-0005-0000-0000-0000802D0000}"/>
    <cellStyle name="Normal 20 18 38" xfId="11073" xr:uid="{00000000-0005-0000-0000-0000812D0000}"/>
    <cellStyle name="Normal 20 18 39" xfId="5053" xr:uid="{00000000-0005-0000-0000-0000822D0000}"/>
    <cellStyle name="Normal 20 18 4" xfId="26816" xr:uid="{00000000-0005-0000-0000-0000832D0000}"/>
    <cellStyle name="Normal 20 18 40" xfId="8346" xr:uid="{00000000-0005-0000-0000-0000842D0000}"/>
    <cellStyle name="Normal 20 18 41" xfId="4598" xr:uid="{00000000-0005-0000-0000-0000852D0000}"/>
    <cellStyle name="Normal 20 18 42" xfId="6927" xr:uid="{00000000-0005-0000-0000-0000862D0000}"/>
    <cellStyle name="Normal 20 18 43" xfId="3463" xr:uid="{00000000-0005-0000-0000-0000872D0000}"/>
    <cellStyle name="Normal 20 18 5" xfId="26220" xr:uid="{00000000-0005-0000-0000-0000882D0000}"/>
    <cellStyle name="Normal 20 18 6" xfId="25624" xr:uid="{00000000-0005-0000-0000-0000892D0000}"/>
    <cellStyle name="Normal 20 18 7" xfId="25027" xr:uid="{00000000-0005-0000-0000-00008A2D0000}"/>
    <cellStyle name="Normal 20 18 8" xfId="24430" xr:uid="{00000000-0005-0000-0000-00008B2D0000}"/>
    <cellStyle name="Normal 20 18 9" xfId="23833" xr:uid="{00000000-0005-0000-0000-00008C2D0000}"/>
    <cellStyle name="Normal 20 19" xfId="28609" xr:uid="{00000000-0005-0000-0000-00008D2D0000}"/>
    <cellStyle name="Normal 20 19 10" xfId="23235" xr:uid="{00000000-0005-0000-0000-00008E2D0000}"/>
    <cellStyle name="Normal 20 19 11" xfId="22638" xr:uid="{00000000-0005-0000-0000-00008F2D0000}"/>
    <cellStyle name="Normal 20 19 12" xfId="22042" xr:uid="{00000000-0005-0000-0000-0000902D0000}"/>
    <cellStyle name="Normal 20 19 13" xfId="21445" xr:uid="{00000000-0005-0000-0000-0000912D0000}"/>
    <cellStyle name="Normal 20 19 14" xfId="20848" xr:uid="{00000000-0005-0000-0000-0000922D0000}"/>
    <cellStyle name="Normal 20 19 15" xfId="20251" xr:uid="{00000000-0005-0000-0000-0000932D0000}"/>
    <cellStyle name="Normal 20 19 16" xfId="19655" xr:uid="{00000000-0005-0000-0000-0000942D0000}"/>
    <cellStyle name="Normal 20 19 17" xfId="19059" xr:uid="{00000000-0005-0000-0000-0000952D0000}"/>
    <cellStyle name="Normal 20 19 18" xfId="18467" xr:uid="{00000000-0005-0000-0000-0000962D0000}"/>
    <cellStyle name="Normal 20 19 19" xfId="17870" xr:uid="{00000000-0005-0000-0000-0000972D0000}"/>
    <cellStyle name="Normal 20 19 2" xfId="28009" xr:uid="{00000000-0005-0000-0000-0000982D0000}"/>
    <cellStyle name="Normal 20 19 20" xfId="16725" xr:uid="{00000000-0005-0000-0000-0000992D0000}"/>
    <cellStyle name="Normal 20 19 21" xfId="14416" xr:uid="{00000000-0005-0000-0000-00009A2D0000}"/>
    <cellStyle name="Normal 20 19 22" xfId="14389" xr:uid="{00000000-0005-0000-0000-00009B2D0000}"/>
    <cellStyle name="Normal 20 19 23" xfId="15800" xr:uid="{00000000-0005-0000-0000-00009C2D0000}"/>
    <cellStyle name="Normal 20 19 24" xfId="13344" xr:uid="{00000000-0005-0000-0000-00009D2D0000}"/>
    <cellStyle name="Normal 20 19 25" xfId="16708" xr:uid="{00000000-0005-0000-0000-00009E2D0000}"/>
    <cellStyle name="Normal 20 19 26" xfId="15453" xr:uid="{00000000-0005-0000-0000-00009F2D0000}"/>
    <cellStyle name="Normal 20 19 27" xfId="15760" xr:uid="{00000000-0005-0000-0000-0000A02D0000}"/>
    <cellStyle name="Normal 20 19 28" xfId="12479" xr:uid="{00000000-0005-0000-0000-0000A12D0000}"/>
    <cellStyle name="Normal 20 19 29" xfId="7868" xr:uid="{00000000-0005-0000-0000-0000A22D0000}"/>
    <cellStyle name="Normal 20 19 3" xfId="27412" xr:uid="{00000000-0005-0000-0000-0000A32D0000}"/>
    <cellStyle name="Normal 20 19 30" xfId="8377" xr:uid="{00000000-0005-0000-0000-0000A42D0000}"/>
    <cellStyle name="Normal 20 19 31" xfId="9294" xr:uid="{00000000-0005-0000-0000-0000A52D0000}"/>
    <cellStyle name="Normal 20 19 32" xfId="10926" xr:uid="{00000000-0005-0000-0000-0000A62D0000}"/>
    <cellStyle name="Normal 20 19 33" xfId="11115" xr:uid="{00000000-0005-0000-0000-0000A72D0000}"/>
    <cellStyle name="Normal 20 19 34" xfId="11250" xr:uid="{00000000-0005-0000-0000-0000A82D0000}"/>
    <cellStyle name="Normal 20 19 35" xfId="5611" xr:uid="{00000000-0005-0000-0000-0000A92D0000}"/>
    <cellStyle name="Normal 20 19 36" xfId="8779" xr:uid="{00000000-0005-0000-0000-0000AA2D0000}"/>
    <cellStyle name="Normal 20 19 37" xfId="8367" xr:uid="{00000000-0005-0000-0000-0000AB2D0000}"/>
    <cellStyle name="Normal 20 19 38" xfId="6112" xr:uid="{00000000-0005-0000-0000-0000AC2D0000}"/>
    <cellStyle name="Normal 20 19 39" xfId="3917" xr:uid="{00000000-0005-0000-0000-0000AD2D0000}"/>
    <cellStyle name="Normal 20 19 4" xfId="26815" xr:uid="{00000000-0005-0000-0000-0000AE2D0000}"/>
    <cellStyle name="Normal 20 19 40" xfId="11022" xr:uid="{00000000-0005-0000-0000-0000AF2D0000}"/>
    <cellStyle name="Normal 20 19 41" xfId="3793" xr:uid="{00000000-0005-0000-0000-0000B02D0000}"/>
    <cellStyle name="Normal 20 19 42" xfId="3970" xr:uid="{00000000-0005-0000-0000-0000B12D0000}"/>
    <cellStyle name="Normal 20 19 43" xfId="3346" xr:uid="{00000000-0005-0000-0000-0000B22D0000}"/>
    <cellStyle name="Normal 20 19 5" xfId="26219" xr:uid="{00000000-0005-0000-0000-0000B32D0000}"/>
    <cellStyle name="Normal 20 19 6" xfId="25623" xr:uid="{00000000-0005-0000-0000-0000B42D0000}"/>
    <cellStyle name="Normal 20 19 7" xfId="25026" xr:uid="{00000000-0005-0000-0000-0000B52D0000}"/>
    <cellStyle name="Normal 20 19 8" xfId="24429" xr:uid="{00000000-0005-0000-0000-0000B62D0000}"/>
    <cellStyle name="Normal 20 19 9" xfId="23832" xr:uid="{00000000-0005-0000-0000-0000B72D0000}"/>
    <cellStyle name="Normal 20 2" xfId="28608" xr:uid="{00000000-0005-0000-0000-0000B82D0000}"/>
    <cellStyle name="Normal 20 2 10" xfId="23234" xr:uid="{00000000-0005-0000-0000-0000B92D0000}"/>
    <cellStyle name="Normal 20 2 11" xfId="22637" xr:uid="{00000000-0005-0000-0000-0000BA2D0000}"/>
    <cellStyle name="Normal 20 2 12" xfId="22041" xr:uid="{00000000-0005-0000-0000-0000BB2D0000}"/>
    <cellStyle name="Normal 20 2 13" xfId="21444" xr:uid="{00000000-0005-0000-0000-0000BC2D0000}"/>
    <cellStyle name="Normal 20 2 14" xfId="20847" xr:uid="{00000000-0005-0000-0000-0000BD2D0000}"/>
    <cellStyle name="Normal 20 2 15" xfId="20250" xr:uid="{00000000-0005-0000-0000-0000BE2D0000}"/>
    <cellStyle name="Normal 20 2 16" xfId="19654" xr:uid="{00000000-0005-0000-0000-0000BF2D0000}"/>
    <cellStyle name="Normal 20 2 17" xfId="19058" xr:uid="{00000000-0005-0000-0000-0000C02D0000}"/>
    <cellStyle name="Normal 20 2 18" xfId="18466" xr:uid="{00000000-0005-0000-0000-0000C12D0000}"/>
    <cellStyle name="Normal 20 2 19" xfId="17869" xr:uid="{00000000-0005-0000-0000-0000C22D0000}"/>
    <cellStyle name="Normal 20 2 2" xfId="28008" xr:uid="{00000000-0005-0000-0000-0000C32D0000}"/>
    <cellStyle name="Normal 20 2 20" xfId="16922" xr:uid="{00000000-0005-0000-0000-0000C42D0000}"/>
    <cellStyle name="Normal 20 2 21" xfId="14797" xr:uid="{00000000-0005-0000-0000-0000C52D0000}"/>
    <cellStyle name="Normal 20 2 22" xfId="14975" xr:uid="{00000000-0005-0000-0000-0000C62D0000}"/>
    <cellStyle name="Normal 20 2 23" xfId="14576" xr:uid="{00000000-0005-0000-0000-0000C72D0000}"/>
    <cellStyle name="Normal 20 2 24" xfId="15871" xr:uid="{00000000-0005-0000-0000-0000C82D0000}"/>
    <cellStyle name="Normal 20 2 25" xfId="13129" xr:uid="{00000000-0005-0000-0000-0000C92D0000}"/>
    <cellStyle name="Normal 20 2 26" xfId="14317" xr:uid="{00000000-0005-0000-0000-0000CA2D0000}"/>
    <cellStyle name="Normal 20 2 27" xfId="12777" xr:uid="{00000000-0005-0000-0000-0000CB2D0000}"/>
    <cellStyle name="Normal 20 2 28" xfId="12478" xr:uid="{00000000-0005-0000-0000-0000CC2D0000}"/>
    <cellStyle name="Normal 20 2 29" xfId="7174" xr:uid="{00000000-0005-0000-0000-0000CD2D0000}"/>
    <cellStyle name="Normal 20 2 3" xfId="27411" xr:uid="{00000000-0005-0000-0000-0000CE2D0000}"/>
    <cellStyle name="Normal 20 2 30" xfId="8371" xr:uid="{00000000-0005-0000-0000-0000CF2D0000}"/>
    <cellStyle name="Normal 20 2 31" xfId="7172" xr:uid="{00000000-0005-0000-0000-0000D02D0000}"/>
    <cellStyle name="Normal 20 2 32" xfId="10082" xr:uid="{00000000-0005-0000-0000-0000D12D0000}"/>
    <cellStyle name="Normal 20 2 33" xfId="9716" xr:uid="{00000000-0005-0000-0000-0000D22D0000}"/>
    <cellStyle name="Normal 20 2 34" xfId="7884" xr:uid="{00000000-0005-0000-0000-0000D32D0000}"/>
    <cellStyle name="Normal 20 2 35" xfId="10749" xr:uid="{00000000-0005-0000-0000-0000D42D0000}"/>
    <cellStyle name="Normal 20 2 36" xfId="5581" xr:uid="{00000000-0005-0000-0000-0000D52D0000}"/>
    <cellStyle name="Normal 20 2 37" xfId="6738" xr:uid="{00000000-0005-0000-0000-0000D62D0000}"/>
    <cellStyle name="Normal 20 2 38" xfId="8593" xr:uid="{00000000-0005-0000-0000-0000D72D0000}"/>
    <cellStyle name="Normal 20 2 39" xfId="11987" xr:uid="{00000000-0005-0000-0000-0000D82D0000}"/>
    <cellStyle name="Normal 20 2 4" xfId="26814" xr:uid="{00000000-0005-0000-0000-0000D92D0000}"/>
    <cellStyle name="Normal 20 2 40" xfId="3802" xr:uid="{00000000-0005-0000-0000-0000DA2D0000}"/>
    <cellStyle name="Normal 20 2 41" xfId="9766" xr:uid="{00000000-0005-0000-0000-0000DB2D0000}"/>
    <cellStyle name="Normal 20 2 42" xfId="8327" xr:uid="{00000000-0005-0000-0000-0000DC2D0000}"/>
    <cellStyle name="Normal 20 2 43" xfId="5341" xr:uid="{00000000-0005-0000-0000-0000DD2D0000}"/>
    <cellStyle name="Normal 20 2 44" xfId="2976" xr:uid="{00000000-0005-0000-0000-0000DE2D0000}"/>
    <cellStyle name="Normal 20 2 45" xfId="2733" xr:uid="{00000000-0005-0000-0000-0000DF2D0000}"/>
    <cellStyle name="Normal 20 2 46" xfId="2493" xr:uid="{00000000-0005-0000-0000-0000E02D0000}"/>
    <cellStyle name="Normal 20 2 47" xfId="2253" xr:uid="{00000000-0005-0000-0000-0000E12D0000}"/>
    <cellStyle name="Normal 20 2 48" xfId="2013" xr:uid="{00000000-0005-0000-0000-0000E22D0000}"/>
    <cellStyle name="Normal 20 2 49" xfId="1773" xr:uid="{00000000-0005-0000-0000-0000E32D0000}"/>
    <cellStyle name="Normal 20 2 5" xfId="26218" xr:uid="{00000000-0005-0000-0000-0000E42D0000}"/>
    <cellStyle name="Normal 20 2 50" xfId="1534" xr:uid="{00000000-0005-0000-0000-0000E52D0000}"/>
    <cellStyle name="Normal 20 2 51" xfId="1294" xr:uid="{00000000-0005-0000-0000-0000E62D0000}"/>
    <cellStyle name="Normal 20 2 52" xfId="1054" xr:uid="{00000000-0005-0000-0000-0000E72D0000}"/>
    <cellStyle name="Normal 20 2 53" xfId="814" xr:uid="{00000000-0005-0000-0000-0000E82D0000}"/>
    <cellStyle name="Normal 20 2 54" xfId="574" xr:uid="{00000000-0005-0000-0000-0000E92D0000}"/>
    <cellStyle name="Normal 20 2 55" xfId="335" xr:uid="{00000000-0005-0000-0000-0000EA2D0000}"/>
    <cellStyle name="Normal 20 2 56" xfId="97" xr:uid="{00000000-0005-0000-0000-0000EB2D0000}"/>
    <cellStyle name="Normal 20 2 6" xfId="25622" xr:uid="{00000000-0005-0000-0000-0000EC2D0000}"/>
    <cellStyle name="Normal 20 2 7" xfId="25025" xr:uid="{00000000-0005-0000-0000-0000ED2D0000}"/>
    <cellStyle name="Normal 20 2 8" xfId="24428" xr:uid="{00000000-0005-0000-0000-0000EE2D0000}"/>
    <cellStyle name="Normal 20 2 9" xfId="23831" xr:uid="{00000000-0005-0000-0000-0000EF2D0000}"/>
    <cellStyle name="Normal 20 20" xfId="28607" xr:uid="{00000000-0005-0000-0000-0000F02D0000}"/>
    <cellStyle name="Normal 20 20 10" xfId="23233" xr:uid="{00000000-0005-0000-0000-0000F12D0000}"/>
    <cellStyle name="Normal 20 20 11" xfId="22636" xr:uid="{00000000-0005-0000-0000-0000F22D0000}"/>
    <cellStyle name="Normal 20 20 12" xfId="22040" xr:uid="{00000000-0005-0000-0000-0000F32D0000}"/>
    <cellStyle name="Normal 20 20 13" xfId="21443" xr:uid="{00000000-0005-0000-0000-0000F42D0000}"/>
    <cellStyle name="Normal 20 20 14" xfId="20846" xr:uid="{00000000-0005-0000-0000-0000F52D0000}"/>
    <cellStyle name="Normal 20 20 15" xfId="20249" xr:uid="{00000000-0005-0000-0000-0000F62D0000}"/>
    <cellStyle name="Normal 20 20 16" xfId="19653" xr:uid="{00000000-0005-0000-0000-0000F72D0000}"/>
    <cellStyle name="Normal 20 20 17" xfId="19057" xr:uid="{00000000-0005-0000-0000-0000F82D0000}"/>
    <cellStyle name="Normal 20 20 18" xfId="18465" xr:uid="{00000000-0005-0000-0000-0000F92D0000}"/>
    <cellStyle name="Normal 20 20 19" xfId="17868" xr:uid="{00000000-0005-0000-0000-0000FA2D0000}"/>
    <cellStyle name="Normal 20 20 2" xfId="28007" xr:uid="{00000000-0005-0000-0000-0000FB2D0000}"/>
    <cellStyle name="Normal 20 20 20" xfId="17129" xr:uid="{00000000-0005-0000-0000-0000FC2D0000}"/>
    <cellStyle name="Normal 20 20 21" xfId="15199" xr:uid="{00000000-0005-0000-0000-0000FD2D0000}"/>
    <cellStyle name="Normal 20 20 22" xfId="14409" xr:uid="{00000000-0005-0000-0000-0000FE2D0000}"/>
    <cellStyle name="Normal 20 20 23" xfId="15305" xr:uid="{00000000-0005-0000-0000-0000FF2D0000}"/>
    <cellStyle name="Normal 20 20 24" xfId="14433" xr:uid="{00000000-0005-0000-0000-0000002E0000}"/>
    <cellStyle name="Normal 20 20 25" xfId="14957" xr:uid="{00000000-0005-0000-0000-0000012E0000}"/>
    <cellStyle name="Normal 20 20 26" xfId="15274" xr:uid="{00000000-0005-0000-0000-0000022E0000}"/>
    <cellStyle name="Normal 20 20 27" xfId="12959" xr:uid="{00000000-0005-0000-0000-0000032E0000}"/>
    <cellStyle name="Normal 20 20 28" xfId="12477" xr:uid="{00000000-0005-0000-0000-0000042E0000}"/>
    <cellStyle name="Normal 20 20 29" xfId="6765" xr:uid="{00000000-0005-0000-0000-0000052E0000}"/>
    <cellStyle name="Normal 20 20 3" xfId="27410" xr:uid="{00000000-0005-0000-0000-0000062E0000}"/>
    <cellStyle name="Normal 20 20 30" xfId="8576" xr:uid="{00000000-0005-0000-0000-0000072E0000}"/>
    <cellStyle name="Normal 20 20 31" xfId="8058" xr:uid="{00000000-0005-0000-0000-0000082E0000}"/>
    <cellStyle name="Normal 20 20 32" xfId="5810" xr:uid="{00000000-0005-0000-0000-0000092E0000}"/>
    <cellStyle name="Normal 20 20 33" xfId="5335" xr:uid="{00000000-0005-0000-0000-00000A2E0000}"/>
    <cellStyle name="Normal 20 20 34" xfId="5900" xr:uid="{00000000-0005-0000-0000-00000B2E0000}"/>
    <cellStyle name="Normal 20 20 35" xfId="5389" xr:uid="{00000000-0005-0000-0000-00000C2E0000}"/>
    <cellStyle name="Normal 20 20 36" xfId="4676" xr:uid="{00000000-0005-0000-0000-00000D2E0000}"/>
    <cellStyle name="Normal 20 20 37" xfId="9310" xr:uid="{00000000-0005-0000-0000-00000E2E0000}"/>
    <cellStyle name="Normal 20 20 38" xfId="3908" xr:uid="{00000000-0005-0000-0000-00000F2E0000}"/>
    <cellStyle name="Normal 20 20 39" xfId="6920" xr:uid="{00000000-0005-0000-0000-0000102E0000}"/>
    <cellStyle name="Normal 20 20 4" xfId="26813" xr:uid="{00000000-0005-0000-0000-0000112E0000}"/>
    <cellStyle name="Normal 20 20 40" xfId="8996" xr:uid="{00000000-0005-0000-0000-0000122E0000}"/>
    <cellStyle name="Normal 20 20 41" xfId="9958" xr:uid="{00000000-0005-0000-0000-0000132E0000}"/>
    <cellStyle name="Normal 20 20 42" xfId="6483" xr:uid="{00000000-0005-0000-0000-0000142E0000}"/>
    <cellStyle name="Normal 20 20 43" xfId="8186" xr:uid="{00000000-0005-0000-0000-0000152E0000}"/>
    <cellStyle name="Normal 20 20 5" xfId="26217" xr:uid="{00000000-0005-0000-0000-0000162E0000}"/>
    <cellStyle name="Normal 20 20 6" xfId="25621" xr:uid="{00000000-0005-0000-0000-0000172E0000}"/>
    <cellStyle name="Normal 20 20 7" xfId="25024" xr:uid="{00000000-0005-0000-0000-0000182E0000}"/>
    <cellStyle name="Normal 20 20 8" xfId="24427" xr:uid="{00000000-0005-0000-0000-0000192E0000}"/>
    <cellStyle name="Normal 20 20 9" xfId="23830" xr:uid="{00000000-0005-0000-0000-00001A2E0000}"/>
    <cellStyle name="Normal 20 21" xfId="28606" xr:uid="{00000000-0005-0000-0000-00001B2E0000}"/>
    <cellStyle name="Normal 20 21 10" xfId="23232" xr:uid="{00000000-0005-0000-0000-00001C2E0000}"/>
    <cellStyle name="Normal 20 21 11" xfId="22635" xr:uid="{00000000-0005-0000-0000-00001D2E0000}"/>
    <cellStyle name="Normal 20 21 12" xfId="22039" xr:uid="{00000000-0005-0000-0000-00001E2E0000}"/>
    <cellStyle name="Normal 20 21 13" xfId="21442" xr:uid="{00000000-0005-0000-0000-00001F2E0000}"/>
    <cellStyle name="Normal 20 21 14" xfId="20845" xr:uid="{00000000-0005-0000-0000-0000202E0000}"/>
    <cellStyle name="Normal 20 21 15" xfId="20248" xr:uid="{00000000-0005-0000-0000-0000212E0000}"/>
    <cellStyle name="Normal 20 21 16" xfId="19652" xr:uid="{00000000-0005-0000-0000-0000222E0000}"/>
    <cellStyle name="Normal 20 21 17" xfId="19056" xr:uid="{00000000-0005-0000-0000-0000232E0000}"/>
    <cellStyle name="Normal 20 21 18" xfId="18464" xr:uid="{00000000-0005-0000-0000-0000242E0000}"/>
    <cellStyle name="Normal 20 21 19" xfId="17867" xr:uid="{00000000-0005-0000-0000-0000252E0000}"/>
    <cellStyle name="Normal 20 21 2" xfId="28006" xr:uid="{00000000-0005-0000-0000-0000262E0000}"/>
    <cellStyle name="Normal 20 21 20" xfId="17322" xr:uid="{00000000-0005-0000-0000-0000272E0000}"/>
    <cellStyle name="Normal 20 21 21" xfId="14774" xr:uid="{00000000-0005-0000-0000-0000282E0000}"/>
    <cellStyle name="Normal 20 21 22" xfId="14813" xr:uid="{00000000-0005-0000-0000-0000292E0000}"/>
    <cellStyle name="Normal 20 21 23" xfId="16859" xr:uid="{00000000-0005-0000-0000-00002A2E0000}"/>
    <cellStyle name="Normal 20 21 24" xfId="13616" xr:uid="{00000000-0005-0000-0000-00002B2E0000}"/>
    <cellStyle name="Normal 20 21 25" xfId="17343" xr:uid="{00000000-0005-0000-0000-00002C2E0000}"/>
    <cellStyle name="Normal 20 21 26" xfId="15413" xr:uid="{00000000-0005-0000-0000-00002D2E0000}"/>
    <cellStyle name="Normal 20 21 27" xfId="14005" xr:uid="{00000000-0005-0000-0000-00002E2E0000}"/>
    <cellStyle name="Normal 20 21 28" xfId="12476" xr:uid="{00000000-0005-0000-0000-00002F2E0000}"/>
    <cellStyle name="Normal 20 21 29" xfId="7030" xr:uid="{00000000-0005-0000-0000-0000302E0000}"/>
    <cellStyle name="Normal 20 21 3" xfId="27409" xr:uid="{00000000-0005-0000-0000-0000312E0000}"/>
    <cellStyle name="Normal 20 21 30" xfId="9495" xr:uid="{00000000-0005-0000-0000-0000322E0000}"/>
    <cellStyle name="Normal 20 21 31" xfId="11802" xr:uid="{00000000-0005-0000-0000-0000332E0000}"/>
    <cellStyle name="Normal 20 21 32" xfId="8129" xr:uid="{00000000-0005-0000-0000-0000342E0000}"/>
    <cellStyle name="Normal 20 21 33" xfId="7140" xr:uid="{00000000-0005-0000-0000-0000352E0000}"/>
    <cellStyle name="Normal 20 21 34" xfId="11680" xr:uid="{00000000-0005-0000-0000-0000362E0000}"/>
    <cellStyle name="Normal 20 21 35" xfId="9144" xr:uid="{00000000-0005-0000-0000-0000372E0000}"/>
    <cellStyle name="Normal 20 21 36" xfId="6799" xr:uid="{00000000-0005-0000-0000-0000382E0000}"/>
    <cellStyle name="Normal 20 21 37" xfId="7620" xr:uid="{00000000-0005-0000-0000-0000392E0000}"/>
    <cellStyle name="Normal 20 21 38" xfId="9225" xr:uid="{00000000-0005-0000-0000-00003A2E0000}"/>
    <cellStyle name="Normal 20 21 39" xfId="12080" xr:uid="{00000000-0005-0000-0000-00003B2E0000}"/>
    <cellStyle name="Normal 20 21 4" xfId="26812" xr:uid="{00000000-0005-0000-0000-00003C2E0000}"/>
    <cellStyle name="Normal 20 21 40" xfId="5485" xr:uid="{00000000-0005-0000-0000-00003D2E0000}"/>
    <cellStyle name="Normal 20 21 41" xfId="11586" xr:uid="{00000000-0005-0000-0000-00003E2E0000}"/>
    <cellStyle name="Normal 20 21 42" xfId="4393" xr:uid="{00000000-0005-0000-0000-00003F2E0000}"/>
    <cellStyle name="Normal 20 21 43" xfId="3145" xr:uid="{00000000-0005-0000-0000-0000402E0000}"/>
    <cellStyle name="Normal 20 21 5" xfId="26216" xr:uid="{00000000-0005-0000-0000-0000412E0000}"/>
    <cellStyle name="Normal 20 21 6" xfId="25620" xr:uid="{00000000-0005-0000-0000-0000422E0000}"/>
    <cellStyle name="Normal 20 21 7" xfId="25023" xr:uid="{00000000-0005-0000-0000-0000432E0000}"/>
    <cellStyle name="Normal 20 21 8" xfId="24426" xr:uid="{00000000-0005-0000-0000-0000442E0000}"/>
    <cellStyle name="Normal 20 21 9" xfId="23829" xr:uid="{00000000-0005-0000-0000-0000452E0000}"/>
    <cellStyle name="Normal 20 22" xfId="28605" xr:uid="{00000000-0005-0000-0000-0000462E0000}"/>
    <cellStyle name="Normal 20 22 10" xfId="23231" xr:uid="{00000000-0005-0000-0000-0000472E0000}"/>
    <cellStyle name="Normal 20 22 11" xfId="22634" xr:uid="{00000000-0005-0000-0000-0000482E0000}"/>
    <cellStyle name="Normal 20 22 12" xfId="22038" xr:uid="{00000000-0005-0000-0000-0000492E0000}"/>
    <cellStyle name="Normal 20 22 13" xfId="21441" xr:uid="{00000000-0005-0000-0000-00004A2E0000}"/>
    <cellStyle name="Normal 20 22 14" xfId="20844" xr:uid="{00000000-0005-0000-0000-00004B2E0000}"/>
    <cellStyle name="Normal 20 22 15" xfId="20247" xr:uid="{00000000-0005-0000-0000-00004C2E0000}"/>
    <cellStyle name="Normal 20 22 16" xfId="19651" xr:uid="{00000000-0005-0000-0000-00004D2E0000}"/>
    <cellStyle name="Normal 20 22 17" xfId="19055" xr:uid="{00000000-0005-0000-0000-00004E2E0000}"/>
    <cellStyle name="Normal 20 22 18" xfId="18463" xr:uid="{00000000-0005-0000-0000-00004F2E0000}"/>
    <cellStyle name="Normal 20 22 19" xfId="17866" xr:uid="{00000000-0005-0000-0000-0000502E0000}"/>
    <cellStyle name="Normal 20 22 2" xfId="28005" xr:uid="{00000000-0005-0000-0000-0000512E0000}"/>
    <cellStyle name="Normal 20 22 20" xfId="14155" xr:uid="{00000000-0005-0000-0000-0000522E0000}"/>
    <cellStyle name="Normal 20 22 21" xfId="14377" xr:uid="{00000000-0005-0000-0000-0000532E0000}"/>
    <cellStyle name="Normal 20 22 22" xfId="15813" xr:uid="{00000000-0005-0000-0000-0000542E0000}"/>
    <cellStyle name="Normal 20 22 23" xfId="15281" xr:uid="{00000000-0005-0000-0000-0000552E0000}"/>
    <cellStyle name="Normal 20 22 24" xfId="13643" xr:uid="{00000000-0005-0000-0000-0000562E0000}"/>
    <cellStyle name="Normal 20 22 25" xfId="13356" xr:uid="{00000000-0005-0000-0000-0000572E0000}"/>
    <cellStyle name="Normal 20 22 26" xfId="14815" xr:uid="{00000000-0005-0000-0000-0000582E0000}"/>
    <cellStyle name="Normal 20 22 27" xfId="14786" xr:uid="{00000000-0005-0000-0000-0000592E0000}"/>
    <cellStyle name="Normal 20 22 28" xfId="12475" xr:uid="{00000000-0005-0000-0000-00005A2E0000}"/>
    <cellStyle name="Normal 20 22 29" xfId="7664" xr:uid="{00000000-0005-0000-0000-00005B2E0000}"/>
    <cellStyle name="Normal 20 22 3" xfId="27408" xr:uid="{00000000-0005-0000-0000-00005C2E0000}"/>
    <cellStyle name="Normal 20 22 30" xfId="10397" xr:uid="{00000000-0005-0000-0000-00005D2E0000}"/>
    <cellStyle name="Normal 20 22 31" xfId="10248" xr:uid="{00000000-0005-0000-0000-00005E2E0000}"/>
    <cellStyle name="Normal 20 22 32" xfId="11636" xr:uid="{00000000-0005-0000-0000-00005F2E0000}"/>
    <cellStyle name="Normal 20 22 33" xfId="5004" xr:uid="{00000000-0005-0000-0000-0000602E0000}"/>
    <cellStyle name="Normal 20 22 34" xfId="6014" xr:uid="{00000000-0005-0000-0000-0000612E0000}"/>
    <cellStyle name="Normal 20 22 35" xfId="5311" xr:uid="{00000000-0005-0000-0000-0000622E0000}"/>
    <cellStyle name="Normal 20 22 36" xfId="9944" xr:uid="{00000000-0005-0000-0000-0000632E0000}"/>
    <cellStyle name="Normal 20 22 37" xfId="8749" xr:uid="{00000000-0005-0000-0000-0000642E0000}"/>
    <cellStyle name="Normal 20 22 38" xfId="10557" xr:uid="{00000000-0005-0000-0000-0000652E0000}"/>
    <cellStyle name="Normal 20 22 39" xfId="3853" xr:uid="{00000000-0005-0000-0000-0000662E0000}"/>
    <cellStyle name="Normal 20 22 4" xfId="26811" xr:uid="{00000000-0005-0000-0000-0000672E0000}"/>
    <cellStyle name="Normal 20 22 40" xfId="3648" xr:uid="{00000000-0005-0000-0000-0000682E0000}"/>
    <cellStyle name="Normal 20 22 41" xfId="3397" xr:uid="{00000000-0005-0000-0000-0000692E0000}"/>
    <cellStyle name="Normal 20 22 42" xfId="11662" xr:uid="{00000000-0005-0000-0000-00006A2E0000}"/>
    <cellStyle name="Normal 20 22 43" xfId="5195" xr:uid="{00000000-0005-0000-0000-00006B2E0000}"/>
    <cellStyle name="Normal 20 22 5" xfId="26215" xr:uid="{00000000-0005-0000-0000-00006C2E0000}"/>
    <cellStyle name="Normal 20 22 6" xfId="25619" xr:uid="{00000000-0005-0000-0000-00006D2E0000}"/>
    <cellStyle name="Normal 20 22 7" xfId="25022" xr:uid="{00000000-0005-0000-0000-00006E2E0000}"/>
    <cellStyle name="Normal 20 22 8" xfId="24425" xr:uid="{00000000-0005-0000-0000-00006F2E0000}"/>
    <cellStyle name="Normal 20 22 9" xfId="23828" xr:uid="{00000000-0005-0000-0000-0000702E0000}"/>
    <cellStyle name="Normal 20 23" xfId="28604" xr:uid="{00000000-0005-0000-0000-0000712E0000}"/>
    <cellStyle name="Normal 20 23 10" xfId="23230" xr:uid="{00000000-0005-0000-0000-0000722E0000}"/>
    <cellStyle name="Normal 20 23 11" xfId="22633" xr:uid="{00000000-0005-0000-0000-0000732E0000}"/>
    <cellStyle name="Normal 20 23 12" xfId="22037" xr:uid="{00000000-0005-0000-0000-0000742E0000}"/>
    <cellStyle name="Normal 20 23 13" xfId="21440" xr:uid="{00000000-0005-0000-0000-0000752E0000}"/>
    <cellStyle name="Normal 20 23 14" xfId="20843" xr:uid="{00000000-0005-0000-0000-0000762E0000}"/>
    <cellStyle name="Normal 20 23 15" xfId="20246" xr:uid="{00000000-0005-0000-0000-0000772E0000}"/>
    <cellStyle name="Normal 20 23 16" xfId="19650" xr:uid="{00000000-0005-0000-0000-0000782E0000}"/>
    <cellStyle name="Normal 20 23 17" xfId="19054" xr:uid="{00000000-0005-0000-0000-0000792E0000}"/>
    <cellStyle name="Normal 20 23 18" xfId="18462" xr:uid="{00000000-0005-0000-0000-00007A2E0000}"/>
    <cellStyle name="Normal 20 23 19" xfId="17865" xr:uid="{00000000-0005-0000-0000-00007B2E0000}"/>
    <cellStyle name="Normal 20 23 2" xfId="28004" xr:uid="{00000000-0005-0000-0000-00007C2E0000}"/>
    <cellStyle name="Normal 20 23 20" xfId="14344" xr:uid="{00000000-0005-0000-0000-00007D2E0000}"/>
    <cellStyle name="Normal 20 23 21" xfId="13966" xr:uid="{00000000-0005-0000-0000-00007E2E0000}"/>
    <cellStyle name="Normal 20 23 22" xfId="17247" xr:uid="{00000000-0005-0000-0000-00007F2E0000}"/>
    <cellStyle name="Normal 20 23 23" xfId="17376" xr:uid="{00000000-0005-0000-0000-0000802E0000}"/>
    <cellStyle name="Normal 20 23 24" xfId="15975" xr:uid="{00000000-0005-0000-0000-0000812E0000}"/>
    <cellStyle name="Normal 20 23 25" xfId="13734" xr:uid="{00000000-0005-0000-0000-0000822E0000}"/>
    <cellStyle name="Normal 20 23 26" xfId="14044" xr:uid="{00000000-0005-0000-0000-0000832E0000}"/>
    <cellStyle name="Normal 20 23 27" xfId="14222" xr:uid="{00000000-0005-0000-0000-0000842E0000}"/>
    <cellStyle name="Normal 20 23 28" xfId="12474" xr:uid="{00000000-0005-0000-0000-0000852E0000}"/>
    <cellStyle name="Normal 20 23 29" xfId="7372" xr:uid="{00000000-0005-0000-0000-0000862E0000}"/>
    <cellStyle name="Normal 20 23 3" xfId="27407" xr:uid="{00000000-0005-0000-0000-0000872E0000}"/>
    <cellStyle name="Normal 20 23 30" xfId="11049" xr:uid="{00000000-0005-0000-0000-0000882E0000}"/>
    <cellStyle name="Normal 20 23 31" xfId="7753" xr:uid="{00000000-0005-0000-0000-0000892E0000}"/>
    <cellStyle name="Normal 20 23 32" xfId="6027" xr:uid="{00000000-0005-0000-0000-00008A2E0000}"/>
    <cellStyle name="Normal 20 23 33" xfId="5049" xr:uid="{00000000-0005-0000-0000-00008B2E0000}"/>
    <cellStyle name="Normal 20 23 34" xfId="8905" xr:uid="{00000000-0005-0000-0000-00008C2E0000}"/>
    <cellStyle name="Normal 20 23 35" xfId="9802" xr:uid="{00000000-0005-0000-0000-00008D2E0000}"/>
    <cellStyle name="Normal 20 23 36" xfId="7734" xr:uid="{00000000-0005-0000-0000-00008E2E0000}"/>
    <cellStyle name="Normal 20 23 37" xfId="6090" xr:uid="{00000000-0005-0000-0000-00008F2E0000}"/>
    <cellStyle name="Normal 20 23 38" xfId="4416" xr:uid="{00000000-0005-0000-0000-0000902E0000}"/>
    <cellStyle name="Normal 20 23 39" xfId="6843" xr:uid="{00000000-0005-0000-0000-0000912E0000}"/>
    <cellStyle name="Normal 20 23 4" xfId="26810" xr:uid="{00000000-0005-0000-0000-0000922E0000}"/>
    <cellStyle name="Normal 20 23 40" xfId="4568" xr:uid="{00000000-0005-0000-0000-0000932E0000}"/>
    <cellStyle name="Normal 20 23 41" xfId="4379" xr:uid="{00000000-0005-0000-0000-0000942E0000}"/>
    <cellStyle name="Normal 20 23 42" xfId="3356" xr:uid="{00000000-0005-0000-0000-0000952E0000}"/>
    <cellStyle name="Normal 20 23 43" xfId="4043" xr:uid="{00000000-0005-0000-0000-0000962E0000}"/>
    <cellStyle name="Normal 20 23 5" xfId="26214" xr:uid="{00000000-0005-0000-0000-0000972E0000}"/>
    <cellStyle name="Normal 20 23 6" xfId="25618" xr:uid="{00000000-0005-0000-0000-0000982E0000}"/>
    <cellStyle name="Normal 20 23 7" xfId="25021" xr:uid="{00000000-0005-0000-0000-0000992E0000}"/>
    <cellStyle name="Normal 20 23 8" xfId="24424" xr:uid="{00000000-0005-0000-0000-00009A2E0000}"/>
    <cellStyle name="Normal 20 23 9" xfId="23827" xr:uid="{00000000-0005-0000-0000-00009B2E0000}"/>
    <cellStyle name="Normal 20 24" xfId="28603" xr:uid="{00000000-0005-0000-0000-00009C2E0000}"/>
    <cellStyle name="Normal 20 24 10" xfId="23229" xr:uid="{00000000-0005-0000-0000-00009D2E0000}"/>
    <cellStyle name="Normal 20 24 11" xfId="22632" xr:uid="{00000000-0005-0000-0000-00009E2E0000}"/>
    <cellStyle name="Normal 20 24 12" xfId="22036" xr:uid="{00000000-0005-0000-0000-00009F2E0000}"/>
    <cellStyle name="Normal 20 24 13" xfId="21439" xr:uid="{00000000-0005-0000-0000-0000A02E0000}"/>
    <cellStyle name="Normal 20 24 14" xfId="20842" xr:uid="{00000000-0005-0000-0000-0000A12E0000}"/>
    <cellStyle name="Normal 20 24 15" xfId="20245" xr:uid="{00000000-0005-0000-0000-0000A22E0000}"/>
    <cellStyle name="Normal 20 24 16" xfId="19649" xr:uid="{00000000-0005-0000-0000-0000A32E0000}"/>
    <cellStyle name="Normal 20 24 17" xfId="19053" xr:uid="{00000000-0005-0000-0000-0000A42E0000}"/>
    <cellStyle name="Normal 20 24 18" xfId="18461" xr:uid="{00000000-0005-0000-0000-0000A52E0000}"/>
    <cellStyle name="Normal 20 24 19" xfId="17864" xr:uid="{00000000-0005-0000-0000-0000A62E0000}"/>
    <cellStyle name="Normal 20 24 2" xfId="28003" xr:uid="{00000000-0005-0000-0000-0000A72E0000}"/>
    <cellStyle name="Normal 20 24 20" xfId="14535" xr:uid="{00000000-0005-0000-0000-0000A82E0000}"/>
    <cellStyle name="Normal 20 24 21" xfId="14137" xr:uid="{00000000-0005-0000-0000-0000A92E0000}"/>
    <cellStyle name="Normal 20 24 22" xfId="17273" xr:uid="{00000000-0005-0000-0000-0000AA2E0000}"/>
    <cellStyle name="Normal 20 24 23" xfId="14876" xr:uid="{00000000-0005-0000-0000-0000AB2E0000}"/>
    <cellStyle name="Normal 20 24 24" xfId="13421" xr:uid="{00000000-0005-0000-0000-0000AC2E0000}"/>
    <cellStyle name="Normal 20 24 25" xfId="14614" xr:uid="{00000000-0005-0000-0000-0000AD2E0000}"/>
    <cellStyle name="Normal 20 24 26" xfId="14566" xr:uid="{00000000-0005-0000-0000-0000AE2E0000}"/>
    <cellStyle name="Normal 20 24 27" xfId="12968" xr:uid="{00000000-0005-0000-0000-0000AF2E0000}"/>
    <cellStyle name="Normal 20 24 28" xfId="12473" xr:uid="{00000000-0005-0000-0000-0000B02E0000}"/>
    <cellStyle name="Normal 20 24 29" xfId="6737" xr:uid="{00000000-0005-0000-0000-0000B12E0000}"/>
    <cellStyle name="Normal 20 24 3" xfId="27406" xr:uid="{00000000-0005-0000-0000-0000B22E0000}"/>
    <cellStyle name="Normal 20 24 30" xfId="11508" xr:uid="{00000000-0005-0000-0000-0000B32E0000}"/>
    <cellStyle name="Normal 20 24 31" xfId="7600" xr:uid="{00000000-0005-0000-0000-0000B42E0000}"/>
    <cellStyle name="Normal 20 24 32" xfId="9328" xr:uid="{00000000-0005-0000-0000-0000B52E0000}"/>
    <cellStyle name="Normal 20 24 33" xfId="10541" xr:uid="{00000000-0005-0000-0000-0000B62E0000}"/>
    <cellStyle name="Normal 20 24 34" xfId="6359" xr:uid="{00000000-0005-0000-0000-0000B72E0000}"/>
    <cellStyle name="Normal 20 24 35" xfId="4979" xr:uid="{00000000-0005-0000-0000-0000B82E0000}"/>
    <cellStyle name="Normal 20 24 36" xfId="5790" xr:uid="{00000000-0005-0000-0000-0000B92E0000}"/>
    <cellStyle name="Normal 20 24 37" xfId="10873" xr:uid="{00000000-0005-0000-0000-0000BA2E0000}"/>
    <cellStyle name="Normal 20 24 38" xfId="3592" xr:uid="{00000000-0005-0000-0000-0000BB2E0000}"/>
    <cellStyle name="Normal 20 24 39" xfId="3928" xr:uid="{00000000-0005-0000-0000-0000BC2E0000}"/>
    <cellStyle name="Normal 20 24 4" xfId="26809" xr:uid="{00000000-0005-0000-0000-0000BD2E0000}"/>
    <cellStyle name="Normal 20 24 40" xfId="7094" xr:uid="{00000000-0005-0000-0000-0000BE2E0000}"/>
    <cellStyle name="Normal 20 24 41" xfId="3303" xr:uid="{00000000-0005-0000-0000-0000BF2E0000}"/>
    <cellStyle name="Normal 20 24 42" xfId="5062" xr:uid="{00000000-0005-0000-0000-0000C02E0000}"/>
    <cellStyle name="Normal 20 24 43" xfId="8589" xr:uid="{00000000-0005-0000-0000-0000C12E0000}"/>
    <cellStyle name="Normal 20 24 5" xfId="26213" xr:uid="{00000000-0005-0000-0000-0000C22E0000}"/>
    <cellStyle name="Normal 20 24 6" xfId="25617" xr:uid="{00000000-0005-0000-0000-0000C32E0000}"/>
    <cellStyle name="Normal 20 24 7" xfId="25020" xr:uid="{00000000-0005-0000-0000-0000C42E0000}"/>
    <cellStyle name="Normal 20 24 8" xfId="24423" xr:uid="{00000000-0005-0000-0000-0000C52E0000}"/>
    <cellStyle name="Normal 20 24 9" xfId="23826" xr:uid="{00000000-0005-0000-0000-0000C62E0000}"/>
    <cellStyle name="Normal 20 25" xfId="28602" xr:uid="{00000000-0005-0000-0000-0000C72E0000}"/>
    <cellStyle name="Normal 20 25 10" xfId="23228" xr:uid="{00000000-0005-0000-0000-0000C82E0000}"/>
    <cellStyle name="Normal 20 25 11" xfId="22631" xr:uid="{00000000-0005-0000-0000-0000C92E0000}"/>
    <cellStyle name="Normal 20 25 12" xfId="22035" xr:uid="{00000000-0005-0000-0000-0000CA2E0000}"/>
    <cellStyle name="Normal 20 25 13" xfId="21438" xr:uid="{00000000-0005-0000-0000-0000CB2E0000}"/>
    <cellStyle name="Normal 20 25 14" xfId="20841" xr:uid="{00000000-0005-0000-0000-0000CC2E0000}"/>
    <cellStyle name="Normal 20 25 15" xfId="20244" xr:uid="{00000000-0005-0000-0000-0000CD2E0000}"/>
    <cellStyle name="Normal 20 25 16" xfId="19648" xr:uid="{00000000-0005-0000-0000-0000CE2E0000}"/>
    <cellStyle name="Normal 20 25 17" xfId="19052" xr:uid="{00000000-0005-0000-0000-0000CF2E0000}"/>
    <cellStyle name="Normal 20 25 18" xfId="18460" xr:uid="{00000000-0005-0000-0000-0000D02E0000}"/>
    <cellStyle name="Normal 20 25 19" xfId="17863" xr:uid="{00000000-0005-0000-0000-0000D12E0000}"/>
    <cellStyle name="Normal 20 25 2" xfId="28002" xr:uid="{00000000-0005-0000-0000-0000D22E0000}"/>
    <cellStyle name="Normal 20 25 20" xfId="14732" xr:uid="{00000000-0005-0000-0000-0000D32E0000}"/>
    <cellStyle name="Normal 20 25 21" xfId="17102" xr:uid="{00000000-0005-0000-0000-0000D42E0000}"/>
    <cellStyle name="Normal 20 25 22" xfId="15697" xr:uid="{00000000-0005-0000-0000-0000D52E0000}"/>
    <cellStyle name="Normal 20 25 23" xfId="16038" xr:uid="{00000000-0005-0000-0000-0000D62E0000}"/>
    <cellStyle name="Normal 20 25 24" xfId="13726" xr:uid="{00000000-0005-0000-0000-0000D72E0000}"/>
    <cellStyle name="Normal 20 25 25" xfId="12914" xr:uid="{00000000-0005-0000-0000-0000D82E0000}"/>
    <cellStyle name="Normal 20 25 26" xfId="15369" xr:uid="{00000000-0005-0000-0000-0000D92E0000}"/>
    <cellStyle name="Normal 20 25 27" xfId="13271" xr:uid="{00000000-0005-0000-0000-0000DA2E0000}"/>
    <cellStyle name="Normal 20 25 28" xfId="12472" xr:uid="{00000000-0005-0000-0000-0000DB2E0000}"/>
    <cellStyle name="Normal 20 25 29" xfId="6887" xr:uid="{00000000-0005-0000-0000-0000DC2E0000}"/>
    <cellStyle name="Normal 20 25 3" xfId="27405" xr:uid="{00000000-0005-0000-0000-0000DD2E0000}"/>
    <cellStyle name="Normal 20 25 30" xfId="11725" xr:uid="{00000000-0005-0000-0000-0000DE2E0000}"/>
    <cellStyle name="Normal 20 25 31" xfId="5951" xr:uid="{00000000-0005-0000-0000-0000DF2E0000}"/>
    <cellStyle name="Normal 20 25 32" xfId="9470" xr:uid="{00000000-0005-0000-0000-0000E02E0000}"/>
    <cellStyle name="Normal 20 25 33" xfId="11719" xr:uid="{00000000-0005-0000-0000-0000E12E0000}"/>
    <cellStyle name="Normal 20 25 34" xfId="8998" xr:uid="{00000000-0005-0000-0000-0000E22E0000}"/>
    <cellStyle name="Normal 20 25 35" xfId="6408" xr:uid="{00000000-0005-0000-0000-0000E32E0000}"/>
    <cellStyle name="Normal 20 25 36" xfId="10928" xr:uid="{00000000-0005-0000-0000-0000E42E0000}"/>
    <cellStyle name="Normal 20 25 37" xfId="4732" xr:uid="{00000000-0005-0000-0000-0000E52E0000}"/>
    <cellStyle name="Normal 20 25 38" xfId="9372" xr:uid="{00000000-0005-0000-0000-0000E62E0000}"/>
    <cellStyle name="Normal 20 25 39" xfId="3571" xr:uid="{00000000-0005-0000-0000-0000E72E0000}"/>
    <cellStyle name="Normal 20 25 4" xfId="26808" xr:uid="{00000000-0005-0000-0000-0000E82E0000}"/>
    <cellStyle name="Normal 20 25 40" xfId="9260" xr:uid="{00000000-0005-0000-0000-0000E92E0000}"/>
    <cellStyle name="Normal 20 25 41" xfId="5538" xr:uid="{00000000-0005-0000-0000-0000EA2E0000}"/>
    <cellStyle name="Normal 20 25 42" xfId="3349" xr:uid="{00000000-0005-0000-0000-0000EB2E0000}"/>
    <cellStyle name="Normal 20 25 43" xfId="11866" xr:uid="{00000000-0005-0000-0000-0000EC2E0000}"/>
    <cellStyle name="Normal 20 25 5" xfId="26212" xr:uid="{00000000-0005-0000-0000-0000ED2E0000}"/>
    <cellStyle name="Normal 20 25 6" xfId="25616" xr:uid="{00000000-0005-0000-0000-0000EE2E0000}"/>
    <cellStyle name="Normal 20 25 7" xfId="25019" xr:uid="{00000000-0005-0000-0000-0000EF2E0000}"/>
    <cellStyle name="Normal 20 25 8" xfId="24422" xr:uid="{00000000-0005-0000-0000-0000F02E0000}"/>
    <cellStyle name="Normal 20 25 9" xfId="23825" xr:uid="{00000000-0005-0000-0000-0000F12E0000}"/>
    <cellStyle name="Normal 20 26" xfId="28601" xr:uid="{00000000-0005-0000-0000-0000F22E0000}"/>
    <cellStyle name="Normal 20 26 10" xfId="23227" xr:uid="{00000000-0005-0000-0000-0000F32E0000}"/>
    <cellStyle name="Normal 20 26 11" xfId="22630" xr:uid="{00000000-0005-0000-0000-0000F42E0000}"/>
    <cellStyle name="Normal 20 26 12" xfId="22034" xr:uid="{00000000-0005-0000-0000-0000F52E0000}"/>
    <cellStyle name="Normal 20 26 13" xfId="21437" xr:uid="{00000000-0005-0000-0000-0000F62E0000}"/>
    <cellStyle name="Normal 20 26 14" xfId="20840" xr:uid="{00000000-0005-0000-0000-0000F72E0000}"/>
    <cellStyle name="Normal 20 26 15" xfId="20243" xr:uid="{00000000-0005-0000-0000-0000F82E0000}"/>
    <cellStyle name="Normal 20 26 16" xfId="19647" xr:uid="{00000000-0005-0000-0000-0000F92E0000}"/>
    <cellStyle name="Normal 20 26 17" xfId="19051" xr:uid="{00000000-0005-0000-0000-0000FA2E0000}"/>
    <cellStyle name="Normal 20 26 18" xfId="18459" xr:uid="{00000000-0005-0000-0000-0000FB2E0000}"/>
    <cellStyle name="Normal 20 26 19" xfId="17862" xr:uid="{00000000-0005-0000-0000-0000FC2E0000}"/>
    <cellStyle name="Normal 20 26 2" xfId="28001" xr:uid="{00000000-0005-0000-0000-0000FD2E0000}"/>
    <cellStyle name="Normal 20 26 20" xfId="14934" xr:uid="{00000000-0005-0000-0000-0000FE2E0000}"/>
    <cellStyle name="Normal 20 26 21" xfId="17090" xr:uid="{00000000-0005-0000-0000-0000FF2E0000}"/>
    <cellStyle name="Normal 20 26 22" xfId="15124" xr:uid="{00000000-0005-0000-0000-0000002F0000}"/>
    <cellStyle name="Normal 20 26 23" xfId="16098" xr:uid="{00000000-0005-0000-0000-0000012F0000}"/>
    <cellStyle name="Normal 20 26 24" xfId="15279" xr:uid="{00000000-0005-0000-0000-0000022F0000}"/>
    <cellStyle name="Normal 20 26 25" xfId="12934" xr:uid="{00000000-0005-0000-0000-0000032F0000}"/>
    <cellStyle name="Normal 20 26 26" xfId="13444" xr:uid="{00000000-0005-0000-0000-0000042F0000}"/>
    <cellStyle name="Normal 20 26 27" xfId="13292" xr:uid="{00000000-0005-0000-0000-0000052F0000}"/>
    <cellStyle name="Normal 20 26 28" xfId="12471" xr:uid="{00000000-0005-0000-0000-0000062F0000}"/>
    <cellStyle name="Normal 20 26 29" xfId="11907" xr:uid="{00000000-0005-0000-0000-0000072F0000}"/>
    <cellStyle name="Normal 20 26 3" xfId="27404" xr:uid="{00000000-0005-0000-0000-0000082F0000}"/>
    <cellStyle name="Normal 20 26 30" xfId="5858" xr:uid="{00000000-0005-0000-0000-0000092F0000}"/>
    <cellStyle name="Normal 20 26 31" xfId="6099" xr:uid="{00000000-0005-0000-0000-00000A2F0000}"/>
    <cellStyle name="Normal 20 26 32" xfId="10903" xr:uid="{00000000-0005-0000-0000-00000B2F0000}"/>
    <cellStyle name="Normal 20 26 33" xfId="7720" xr:uid="{00000000-0005-0000-0000-00000C2F0000}"/>
    <cellStyle name="Normal 20 26 34" xfId="6206" xr:uid="{00000000-0005-0000-0000-00000D2F0000}"/>
    <cellStyle name="Normal 20 26 35" xfId="6254" xr:uid="{00000000-0005-0000-0000-00000E2F0000}"/>
    <cellStyle name="Normal 20 26 36" xfId="4769" xr:uid="{00000000-0005-0000-0000-00000F2F0000}"/>
    <cellStyle name="Normal 20 26 37" xfId="7865" xr:uid="{00000000-0005-0000-0000-0000102F0000}"/>
    <cellStyle name="Normal 20 26 38" xfId="11336" xr:uid="{00000000-0005-0000-0000-0000112F0000}"/>
    <cellStyle name="Normal 20 26 39" xfId="4115" xr:uid="{00000000-0005-0000-0000-0000122F0000}"/>
    <cellStyle name="Normal 20 26 4" xfId="26807" xr:uid="{00000000-0005-0000-0000-0000132F0000}"/>
    <cellStyle name="Normal 20 26 40" xfId="5983" xr:uid="{00000000-0005-0000-0000-0000142F0000}"/>
    <cellStyle name="Normal 20 26 41" xfId="6046" xr:uid="{00000000-0005-0000-0000-0000152F0000}"/>
    <cellStyle name="Normal 20 26 42" xfId="11722" xr:uid="{00000000-0005-0000-0000-0000162F0000}"/>
    <cellStyle name="Normal 20 26 43" xfId="10302" xr:uid="{00000000-0005-0000-0000-0000172F0000}"/>
    <cellStyle name="Normal 20 26 5" xfId="26211" xr:uid="{00000000-0005-0000-0000-0000182F0000}"/>
    <cellStyle name="Normal 20 26 6" xfId="25615" xr:uid="{00000000-0005-0000-0000-0000192F0000}"/>
    <cellStyle name="Normal 20 26 7" xfId="25018" xr:uid="{00000000-0005-0000-0000-00001A2F0000}"/>
    <cellStyle name="Normal 20 26 8" xfId="24421" xr:uid="{00000000-0005-0000-0000-00001B2F0000}"/>
    <cellStyle name="Normal 20 26 9" xfId="23824" xr:uid="{00000000-0005-0000-0000-00001C2F0000}"/>
    <cellStyle name="Normal 20 27" xfId="28019" xr:uid="{00000000-0005-0000-0000-00001D2F0000}"/>
    <cellStyle name="Normal 20 28" xfId="27422" xr:uid="{00000000-0005-0000-0000-00001E2F0000}"/>
    <cellStyle name="Normal 20 29" xfId="26825" xr:uid="{00000000-0005-0000-0000-00001F2F0000}"/>
    <cellStyle name="Normal 20 3" xfId="28600" xr:uid="{00000000-0005-0000-0000-0000202F0000}"/>
    <cellStyle name="Normal 20 3 10" xfId="23226" xr:uid="{00000000-0005-0000-0000-0000212F0000}"/>
    <cellStyle name="Normal 20 3 11" xfId="22629" xr:uid="{00000000-0005-0000-0000-0000222F0000}"/>
    <cellStyle name="Normal 20 3 12" xfId="22033" xr:uid="{00000000-0005-0000-0000-0000232F0000}"/>
    <cellStyle name="Normal 20 3 13" xfId="21436" xr:uid="{00000000-0005-0000-0000-0000242F0000}"/>
    <cellStyle name="Normal 20 3 14" xfId="20839" xr:uid="{00000000-0005-0000-0000-0000252F0000}"/>
    <cellStyle name="Normal 20 3 15" xfId="20242" xr:uid="{00000000-0005-0000-0000-0000262F0000}"/>
    <cellStyle name="Normal 20 3 16" xfId="19646" xr:uid="{00000000-0005-0000-0000-0000272F0000}"/>
    <cellStyle name="Normal 20 3 17" xfId="19050" xr:uid="{00000000-0005-0000-0000-0000282F0000}"/>
    <cellStyle name="Normal 20 3 18" xfId="18458" xr:uid="{00000000-0005-0000-0000-0000292F0000}"/>
    <cellStyle name="Normal 20 3 19" xfId="17861" xr:uid="{00000000-0005-0000-0000-00002A2F0000}"/>
    <cellStyle name="Normal 20 3 2" xfId="28000" xr:uid="{00000000-0005-0000-0000-00002B2F0000}"/>
    <cellStyle name="Normal 20 3 20" xfId="15141" xr:uid="{00000000-0005-0000-0000-00002C2F0000}"/>
    <cellStyle name="Normal 20 3 21" xfId="16882" xr:uid="{00000000-0005-0000-0000-00002D2F0000}"/>
    <cellStyle name="Normal 20 3 22" xfId="15501" xr:uid="{00000000-0005-0000-0000-00002E2F0000}"/>
    <cellStyle name="Normal 20 3 23" xfId="14816" xr:uid="{00000000-0005-0000-0000-00002F2F0000}"/>
    <cellStyle name="Normal 20 3 24" xfId="13694" xr:uid="{00000000-0005-0000-0000-0000302F0000}"/>
    <cellStyle name="Normal 20 3 25" xfId="12916" xr:uid="{00000000-0005-0000-0000-0000312F0000}"/>
    <cellStyle name="Normal 20 3 26" xfId="12930" xr:uid="{00000000-0005-0000-0000-0000322F0000}"/>
    <cellStyle name="Normal 20 3 27" xfId="13905" xr:uid="{00000000-0005-0000-0000-0000332F0000}"/>
    <cellStyle name="Normal 20 3 28" xfId="12470" xr:uid="{00000000-0005-0000-0000-0000342F0000}"/>
    <cellStyle name="Normal 20 3 29" xfId="8087" xr:uid="{00000000-0005-0000-0000-0000352F0000}"/>
    <cellStyle name="Normal 20 3 3" xfId="27403" xr:uid="{00000000-0005-0000-0000-0000362F0000}"/>
    <cellStyle name="Normal 20 3 30" xfId="10728" xr:uid="{00000000-0005-0000-0000-0000372F0000}"/>
    <cellStyle name="Normal 20 3 31" xfId="11034" xr:uid="{00000000-0005-0000-0000-0000382F0000}"/>
    <cellStyle name="Normal 20 3 32" xfId="9392" xr:uid="{00000000-0005-0000-0000-0000392F0000}"/>
    <cellStyle name="Normal 20 3 33" xfId="8215" xr:uid="{00000000-0005-0000-0000-00003A2F0000}"/>
    <cellStyle name="Normal 20 3 34" xfId="8545" xr:uid="{00000000-0005-0000-0000-00003B2F0000}"/>
    <cellStyle name="Normal 20 3 35" xfId="6192" xr:uid="{00000000-0005-0000-0000-00003C2F0000}"/>
    <cellStyle name="Normal 20 3 36" xfId="4203" xr:uid="{00000000-0005-0000-0000-00003D2F0000}"/>
    <cellStyle name="Normal 20 3 37" xfId="10615" xr:uid="{00000000-0005-0000-0000-00003E2F0000}"/>
    <cellStyle name="Normal 20 3 38" xfId="9064" xr:uid="{00000000-0005-0000-0000-00003F2F0000}"/>
    <cellStyle name="Normal 20 3 39" xfId="4677" xr:uid="{00000000-0005-0000-0000-0000402F0000}"/>
    <cellStyle name="Normal 20 3 4" xfId="26806" xr:uid="{00000000-0005-0000-0000-0000412F0000}"/>
    <cellStyle name="Normal 20 3 40" xfId="11410" xr:uid="{00000000-0005-0000-0000-0000422F0000}"/>
    <cellStyle name="Normal 20 3 41" xfId="11860" xr:uid="{00000000-0005-0000-0000-0000432F0000}"/>
    <cellStyle name="Normal 20 3 42" xfId="5127" xr:uid="{00000000-0005-0000-0000-0000442F0000}"/>
    <cellStyle name="Normal 20 3 43" xfId="4490" xr:uid="{00000000-0005-0000-0000-0000452F0000}"/>
    <cellStyle name="Normal 20 3 44" xfId="2975" xr:uid="{00000000-0005-0000-0000-0000462F0000}"/>
    <cellStyle name="Normal 20 3 45" xfId="2732" xr:uid="{00000000-0005-0000-0000-0000472F0000}"/>
    <cellStyle name="Normal 20 3 46" xfId="2492" xr:uid="{00000000-0005-0000-0000-0000482F0000}"/>
    <cellStyle name="Normal 20 3 47" xfId="2252" xr:uid="{00000000-0005-0000-0000-0000492F0000}"/>
    <cellStyle name="Normal 20 3 48" xfId="2012" xr:uid="{00000000-0005-0000-0000-00004A2F0000}"/>
    <cellStyle name="Normal 20 3 49" xfId="1772" xr:uid="{00000000-0005-0000-0000-00004B2F0000}"/>
    <cellStyle name="Normal 20 3 5" xfId="26210" xr:uid="{00000000-0005-0000-0000-00004C2F0000}"/>
    <cellStyle name="Normal 20 3 50" xfId="1533" xr:uid="{00000000-0005-0000-0000-00004D2F0000}"/>
    <cellStyle name="Normal 20 3 51" xfId="1293" xr:uid="{00000000-0005-0000-0000-00004E2F0000}"/>
    <cellStyle name="Normal 20 3 52" xfId="1053" xr:uid="{00000000-0005-0000-0000-00004F2F0000}"/>
    <cellStyle name="Normal 20 3 53" xfId="813" xr:uid="{00000000-0005-0000-0000-0000502F0000}"/>
    <cellStyle name="Normal 20 3 54" xfId="573" xr:uid="{00000000-0005-0000-0000-0000512F0000}"/>
    <cellStyle name="Normal 20 3 55" xfId="334" xr:uid="{00000000-0005-0000-0000-0000522F0000}"/>
    <cellStyle name="Normal 20 3 56" xfId="96" xr:uid="{00000000-0005-0000-0000-0000532F0000}"/>
    <cellStyle name="Normal 20 3 6" xfId="25614" xr:uid="{00000000-0005-0000-0000-0000542F0000}"/>
    <cellStyle name="Normal 20 3 7" xfId="25017" xr:uid="{00000000-0005-0000-0000-0000552F0000}"/>
    <cellStyle name="Normal 20 3 8" xfId="24420" xr:uid="{00000000-0005-0000-0000-0000562F0000}"/>
    <cellStyle name="Normal 20 3 9" xfId="23823" xr:uid="{00000000-0005-0000-0000-0000572F0000}"/>
    <cellStyle name="Normal 20 30" xfId="26229" xr:uid="{00000000-0005-0000-0000-0000582F0000}"/>
    <cellStyle name="Normal 20 31" xfId="25633" xr:uid="{00000000-0005-0000-0000-0000592F0000}"/>
    <cellStyle name="Normal 20 32" xfId="25036" xr:uid="{00000000-0005-0000-0000-00005A2F0000}"/>
    <cellStyle name="Normal 20 33" xfId="24439" xr:uid="{00000000-0005-0000-0000-00005B2F0000}"/>
    <cellStyle name="Normal 20 34" xfId="23842" xr:uid="{00000000-0005-0000-0000-00005C2F0000}"/>
    <cellStyle name="Normal 20 35" xfId="23245" xr:uid="{00000000-0005-0000-0000-00005D2F0000}"/>
    <cellStyle name="Normal 20 36" xfId="22648" xr:uid="{00000000-0005-0000-0000-00005E2F0000}"/>
    <cellStyle name="Normal 20 37" xfId="22052" xr:uid="{00000000-0005-0000-0000-00005F2F0000}"/>
    <cellStyle name="Normal 20 38" xfId="21455" xr:uid="{00000000-0005-0000-0000-0000602F0000}"/>
    <cellStyle name="Normal 20 39" xfId="20858" xr:uid="{00000000-0005-0000-0000-0000612F0000}"/>
    <cellStyle name="Normal 20 4" xfId="28599" xr:uid="{00000000-0005-0000-0000-0000622F0000}"/>
    <cellStyle name="Normal 20 4 10" xfId="23225" xr:uid="{00000000-0005-0000-0000-0000632F0000}"/>
    <cellStyle name="Normal 20 4 11" xfId="22628" xr:uid="{00000000-0005-0000-0000-0000642F0000}"/>
    <cellStyle name="Normal 20 4 12" xfId="22032" xr:uid="{00000000-0005-0000-0000-0000652F0000}"/>
    <cellStyle name="Normal 20 4 13" xfId="21435" xr:uid="{00000000-0005-0000-0000-0000662F0000}"/>
    <cellStyle name="Normal 20 4 14" xfId="20838" xr:uid="{00000000-0005-0000-0000-0000672F0000}"/>
    <cellStyle name="Normal 20 4 15" xfId="20241" xr:uid="{00000000-0005-0000-0000-0000682F0000}"/>
    <cellStyle name="Normal 20 4 16" xfId="19645" xr:uid="{00000000-0005-0000-0000-0000692F0000}"/>
    <cellStyle name="Normal 20 4 17" xfId="19049" xr:uid="{00000000-0005-0000-0000-00006A2F0000}"/>
    <cellStyle name="Normal 20 4 18" xfId="18457" xr:uid="{00000000-0005-0000-0000-00006B2F0000}"/>
    <cellStyle name="Normal 20 4 19" xfId="17860" xr:uid="{00000000-0005-0000-0000-00006C2F0000}"/>
    <cellStyle name="Normal 20 4 2" xfId="27999" xr:uid="{00000000-0005-0000-0000-00006D2F0000}"/>
    <cellStyle name="Normal 20 4 20" xfId="15336" xr:uid="{00000000-0005-0000-0000-00006E2F0000}"/>
    <cellStyle name="Normal 20 4 21" xfId="16872" xr:uid="{00000000-0005-0000-0000-00006F2F0000}"/>
    <cellStyle name="Normal 20 4 22" xfId="15477" xr:uid="{00000000-0005-0000-0000-0000702F0000}"/>
    <cellStyle name="Normal 20 4 23" xfId="16986" xr:uid="{00000000-0005-0000-0000-0000712F0000}"/>
    <cellStyle name="Normal 20 4 24" xfId="13895" xr:uid="{00000000-0005-0000-0000-0000722F0000}"/>
    <cellStyle name="Normal 20 4 25" xfId="13615" xr:uid="{00000000-0005-0000-0000-0000732F0000}"/>
    <cellStyle name="Normal 20 4 26" xfId="17368" xr:uid="{00000000-0005-0000-0000-0000742F0000}"/>
    <cellStyle name="Normal 20 4 27" xfId="12756" xr:uid="{00000000-0005-0000-0000-0000752F0000}"/>
    <cellStyle name="Normal 20 4 28" xfId="12469" xr:uid="{00000000-0005-0000-0000-0000762F0000}"/>
    <cellStyle name="Normal 20 4 29" xfId="8295" xr:uid="{00000000-0005-0000-0000-0000772F0000}"/>
    <cellStyle name="Normal 20 4 3" xfId="27402" xr:uid="{00000000-0005-0000-0000-0000782F0000}"/>
    <cellStyle name="Normal 20 4 30" xfId="7343" xr:uid="{00000000-0005-0000-0000-0000792F0000}"/>
    <cellStyle name="Normal 20 4 31" xfId="8565" xr:uid="{00000000-0005-0000-0000-00007A2F0000}"/>
    <cellStyle name="Normal 20 4 32" xfId="7784" xr:uid="{00000000-0005-0000-0000-00007B2F0000}"/>
    <cellStyle name="Normal 20 4 33" xfId="11749" xr:uid="{00000000-0005-0000-0000-00007C2F0000}"/>
    <cellStyle name="Normal 20 4 34" xfId="7767" xr:uid="{00000000-0005-0000-0000-00007D2F0000}"/>
    <cellStyle name="Normal 20 4 35" xfId="5318" xr:uid="{00000000-0005-0000-0000-00007E2F0000}"/>
    <cellStyle name="Normal 20 4 36" xfId="10660" xr:uid="{00000000-0005-0000-0000-00007F2F0000}"/>
    <cellStyle name="Normal 20 4 37" xfId="6459" xr:uid="{00000000-0005-0000-0000-0000802F0000}"/>
    <cellStyle name="Normal 20 4 38" xfId="5721" xr:uid="{00000000-0005-0000-0000-0000812F0000}"/>
    <cellStyle name="Normal 20 4 39" xfId="11789" xr:uid="{00000000-0005-0000-0000-0000822F0000}"/>
    <cellStyle name="Normal 20 4 4" xfId="26805" xr:uid="{00000000-0005-0000-0000-0000832F0000}"/>
    <cellStyle name="Normal 20 4 40" xfId="4511" xr:uid="{00000000-0005-0000-0000-0000842F0000}"/>
    <cellStyle name="Normal 20 4 41" xfId="4887" xr:uid="{00000000-0005-0000-0000-0000852F0000}"/>
    <cellStyle name="Normal 20 4 42" xfId="3813" xr:uid="{00000000-0005-0000-0000-0000862F0000}"/>
    <cellStyle name="Normal 20 4 43" xfId="8999" xr:uid="{00000000-0005-0000-0000-0000872F0000}"/>
    <cellStyle name="Normal 20 4 44" xfId="2974" xr:uid="{00000000-0005-0000-0000-0000882F0000}"/>
    <cellStyle name="Normal 20 4 45" xfId="2731" xr:uid="{00000000-0005-0000-0000-0000892F0000}"/>
    <cellStyle name="Normal 20 4 46" xfId="2491" xr:uid="{00000000-0005-0000-0000-00008A2F0000}"/>
    <cellStyle name="Normal 20 4 47" xfId="2251" xr:uid="{00000000-0005-0000-0000-00008B2F0000}"/>
    <cellStyle name="Normal 20 4 48" xfId="2011" xr:uid="{00000000-0005-0000-0000-00008C2F0000}"/>
    <cellStyle name="Normal 20 4 49" xfId="1771" xr:uid="{00000000-0005-0000-0000-00008D2F0000}"/>
    <cellStyle name="Normal 20 4 5" xfId="26209" xr:uid="{00000000-0005-0000-0000-00008E2F0000}"/>
    <cellStyle name="Normal 20 4 50" xfId="1532" xr:uid="{00000000-0005-0000-0000-00008F2F0000}"/>
    <cellStyle name="Normal 20 4 51" xfId="1292" xr:uid="{00000000-0005-0000-0000-0000902F0000}"/>
    <cellStyle name="Normal 20 4 52" xfId="1052" xr:uid="{00000000-0005-0000-0000-0000912F0000}"/>
    <cellStyle name="Normal 20 4 53" xfId="812" xr:uid="{00000000-0005-0000-0000-0000922F0000}"/>
    <cellStyle name="Normal 20 4 54" xfId="572" xr:uid="{00000000-0005-0000-0000-0000932F0000}"/>
    <cellStyle name="Normal 20 4 55" xfId="333" xr:uid="{00000000-0005-0000-0000-0000942F0000}"/>
    <cellStyle name="Normal 20 4 56" xfId="95" xr:uid="{00000000-0005-0000-0000-0000952F0000}"/>
    <cellStyle name="Normal 20 4 6" xfId="25613" xr:uid="{00000000-0005-0000-0000-0000962F0000}"/>
    <cellStyle name="Normal 20 4 7" xfId="25016" xr:uid="{00000000-0005-0000-0000-0000972F0000}"/>
    <cellStyle name="Normal 20 4 8" xfId="24419" xr:uid="{00000000-0005-0000-0000-0000982F0000}"/>
    <cellStyle name="Normal 20 4 9" xfId="23822" xr:uid="{00000000-0005-0000-0000-0000992F0000}"/>
    <cellStyle name="Normal 20 40" xfId="20261" xr:uid="{00000000-0005-0000-0000-00009A2F0000}"/>
    <cellStyle name="Normal 20 41" xfId="19665" xr:uid="{00000000-0005-0000-0000-00009B2F0000}"/>
    <cellStyle name="Normal 20 42" xfId="19069" xr:uid="{00000000-0005-0000-0000-00009C2F0000}"/>
    <cellStyle name="Normal 20 43" xfId="18477" xr:uid="{00000000-0005-0000-0000-00009D2F0000}"/>
    <cellStyle name="Normal 20 44" xfId="17880" xr:uid="{00000000-0005-0000-0000-00009E2F0000}"/>
    <cellStyle name="Normal 20 45" xfId="14731" xr:uid="{00000000-0005-0000-0000-00009F2F0000}"/>
    <cellStyle name="Normal 20 46" xfId="17301" xr:uid="{00000000-0005-0000-0000-0000A02F0000}"/>
    <cellStyle name="Normal 20 47" xfId="15487" xr:uid="{00000000-0005-0000-0000-0000A12F0000}"/>
    <cellStyle name="Normal 20 48" xfId="14793" xr:uid="{00000000-0005-0000-0000-0000A22F0000}"/>
    <cellStyle name="Normal 20 49" xfId="13459" xr:uid="{00000000-0005-0000-0000-0000A32F0000}"/>
    <cellStyle name="Normal 20 5" xfId="28598" xr:uid="{00000000-0005-0000-0000-0000A42F0000}"/>
    <cellStyle name="Normal 20 5 10" xfId="23224" xr:uid="{00000000-0005-0000-0000-0000A52F0000}"/>
    <cellStyle name="Normal 20 5 11" xfId="22627" xr:uid="{00000000-0005-0000-0000-0000A62F0000}"/>
    <cellStyle name="Normal 20 5 12" xfId="22031" xr:uid="{00000000-0005-0000-0000-0000A72F0000}"/>
    <cellStyle name="Normal 20 5 13" xfId="21434" xr:uid="{00000000-0005-0000-0000-0000A82F0000}"/>
    <cellStyle name="Normal 20 5 14" xfId="20837" xr:uid="{00000000-0005-0000-0000-0000A92F0000}"/>
    <cellStyle name="Normal 20 5 15" xfId="20240" xr:uid="{00000000-0005-0000-0000-0000AA2F0000}"/>
    <cellStyle name="Normal 20 5 16" xfId="19644" xr:uid="{00000000-0005-0000-0000-0000AB2F0000}"/>
    <cellStyle name="Normal 20 5 17" xfId="19048" xr:uid="{00000000-0005-0000-0000-0000AC2F0000}"/>
    <cellStyle name="Normal 20 5 18" xfId="18456" xr:uid="{00000000-0005-0000-0000-0000AD2F0000}"/>
    <cellStyle name="Normal 20 5 19" xfId="17859" xr:uid="{00000000-0005-0000-0000-0000AE2F0000}"/>
    <cellStyle name="Normal 20 5 2" xfId="27998" xr:uid="{00000000-0005-0000-0000-0000AF2F0000}"/>
    <cellStyle name="Normal 20 5 20" xfId="15543" xr:uid="{00000000-0005-0000-0000-0000B02F0000}"/>
    <cellStyle name="Normal 20 5 21" xfId="16471" xr:uid="{00000000-0005-0000-0000-0000B12F0000}"/>
    <cellStyle name="Normal 20 5 22" xfId="15700" xr:uid="{00000000-0005-0000-0000-0000B22F0000}"/>
    <cellStyle name="Normal 20 5 23" xfId="17094" xr:uid="{00000000-0005-0000-0000-0000B32F0000}"/>
    <cellStyle name="Normal 20 5 24" xfId="14895" xr:uid="{00000000-0005-0000-0000-0000B42F0000}"/>
    <cellStyle name="Normal 20 5 25" xfId="14972" xr:uid="{00000000-0005-0000-0000-0000B52F0000}"/>
    <cellStyle name="Normal 20 5 26" xfId="14490" xr:uid="{00000000-0005-0000-0000-0000B62F0000}"/>
    <cellStyle name="Normal 20 5 27" xfId="13876" xr:uid="{00000000-0005-0000-0000-0000B72F0000}"/>
    <cellStyle name="Normal 20 5 28" xfId="12468" xr:uid="{00000000-0005-0000-0000-0000B82F0000}"/>
    <cellStyle name="Normal 20 5 29" xfId="8510" xr:uid="{00000000-0005-0000-0000-0000B92F0000}"/>
    <cellStyle name="Normal 20 5 3" xfId="27401" xr:uid="{00000000-0005-0000-0000-0000BA2F0000}"/>
    <cellStyle name="Normal 20 5 30" xfId="9634" xr:uid="{00000000-0005-0000-0000-0000BB2F0000}"/>
    <cellStyle name="Normal 20 5 31" xfId="7500" xr:uid="{00000000-0005-0000-0000-0000BC2F0000}"/>
    <cellStyle name="Normal 20 5 32" xfId="10472" xr:uid="{00000000-0005-0000-0000-0000BD2F0000}"/>
    <cellStyle name="Normal 20 5 33" xfId="10736" xr:uid="{00000000-0005-0000-0000-0000BE2F0000}"/>
    <cellStyle name="Normal 20 5 34" xfId="4462" xr:uid="{00000000-0005-0000-0000-0000BF2F0000}"/>
    <cellStyle name="Normal 20 5 35" xfId="6819" xr:uid="{00000000-0005-0000-0000-0000C02F0000}"/>
    <cellStyle name="Normal 20 5 36" xfId="4852" xr:uid="{00000000-0005-0000-0000-0000C12F0000}"/>
    <cellStyle name="Normal 20 5 37" xfId="4784" xr:uid="{00000000-0005-0000-0000-0000C22F0000}"/>
    <cellStyle name="Normal 20 5 38" xfId="4943" xr:uid="{00000000-0005-0000-0000-0000C32F0000}"/>
    <cellStyle name="Normal 20 5 39" xfId="10332" xr:uid="{00000000-0005-0000-0000-0000C42F0000}"/>
    <cellStyle name="Normal 20 5 4" xfId="26804" xr:uid="{00000000-0005-0000-0000-0000C52F0000}"/>
    <cellStyle name="Normal 20 5 40" xfId="3927" xr:uid="{00000000-0005-0000-0000-0000C62F0000}"/>
    <cellStyle name="Normal 20 5 41" xfId="11630" xr:uid="{00000000-0005-0000-0000-0000C72F0000}"/>
    <cellStyle name="Normal 20 5 42" xfId="3319" xr:uid="{00000000-0005-0000-0000-0000C82F0000}"/>
    <cellStyle name="Normal 20 5 43" xfId="3370" xr:uid="{00000000-0005-0000-0000-0000C92F0000}"/>
    <cellStyle name="Normal 20 5 44" xfId="2973" xr:uid="{00000000-0005-0000-0000-0000CA2F0000}"/>
    <cellStyle name="Normal 20 5 45" xfId="2730" xr:uid="{00000000-0005-0000-0000-0000CB2F0000}"/>
    <cellStyle name="Normal 20 5 46" xfId="2490" xr:uid="{00000000-0005-0000-0000-0000CC2F0000}"/>
    <cellStyle name="Normal 20 5 47" xfId="2250" xr:uid="{00000000-0005-0000-0000-0000CD2F0000}"/>
    <cellStyle name="Normal 20 5 48" xfId="2010" xr:uid="{00000000-0005-0000-0000-0000CE2F0000}"/>
    <cellStyle name="Normal 20 5 49" xfId="1770" xr:uid="{00000000-0005-0000-0000-0000CF2F0000}"/>
    <cellStyle name="Normal 20 5 5" xfId="26208" xr:uid="{00000000-0005-0000-0000-0000D02F0000}"/>
    <cellStyle name="Normal 20 5 50" xfId="1531" xr:uid="{00000000-0005-0000-0000-0000D12F0000}"/>
    <cellStyle name="Normal 20 5 51" xfId="1291" xr:uid="{00000000-0005-0000-0000-0000D22F0000}"/>
    <cellStyle name="Normal 20 5 52" xfId="1051" xr:uid="{00000000-0005-0000-0000-0000D32F0000}"/>
    <cellStyle name="Normal 20 5 53" xfId="811" xr:uid="{00000000-0005-0000-0000-0000D42F0000}"/>
    <cellStyle name="Normal 20 5 54" xfId="571" xr:uid="{00000000-0005-0000-0000-0000D52F0000}"/>
    <cellStyle name="Normal 20 5 55" xfId="332" xr:uid="{00000000-0005-0000-0000-0000D62F0000}"/>
    <cellStyle name="Normal 20 5 56" xfId="94" xr:uid="{00000000-0005-0000-0000-0000D72F0000}"/>
    <cellStyle name="Normal 20 5 6" xfId="25612" xr:uid="{00000000-0005-0000-0000-0000D82F0000}"/>
    <cellStyle name="Normal 20 5 7" xfId="25015" xr:uid="{00000000-0005-0000-0000-0000D92F0000}"/>
    <cellStyle name="Normal 20 5 8" xfId="24418" xr:uid="{00000000-0005-0000-0000-0000DA2F0000}"/>
    <cellStyle name="Normal 20 5 9" xfId="23821" xr:uid="{00000000-0005-0000-0000-0000DB2F0000}"/>
    <cellStyle name="Normal 20 50" xfId="17105" xr:uid="{00000000-0005-0000-0000-0000DC2F0000}"/>
    <cellStyle name="Normal 20 51" xfId="15073" xr:uid="{00000000-0005-0000-0000-0000DD2F0000}"/>
    <cellStyle name="Normal 20 52" xfId="13862" xr:uid="{00000000-0005-0000-0000-0000DE2F0000}"/>
    <cellStyle name="Normal 20 53" xfId="12489" xr:uid="{00000000-0005-0000-0000-0000DF2F0000}"/>
    <cellStyle name="Normal 20 54" xfId="9651" xr:uid="{00000000-0005-0000-0000-0000E02F0000}"/>
    <cellStyle name="Normal 20 55" xfId="7090" xr:uid="{00000000-0005-0000-0000-0000E12F0000}"/>
    <cellStyle name="Normal 20 56" xfId="5670" xr:uid="{00000000-0005-0000-0000-0000E22F0000}"/>
    <cellStyle name="Normal 20 57" xfId="9600" xr:uid="{00000000-0005-0000-0000-0000E32F0000}"/>
    <cellStyle name="Normal 20 58" xfId="11297" xr:uid="{00000000-0005-0000-0000-0000E42F0000}"/>
    <cellStyle name="Normal 20 59" xfId="9679" xr:uid="{00000000-0005-0000-0000-0000E52F0000}"/>
    <cellStyle name="Normal 20 6" xfId="28597" xr:uid="{00000000-0005-0000-0000-0000E62F0000}"/>
    <cellStyle name="Normal 20 6 10" xfId="23223" xr:uid="{00000000-0005-0000-0000-0000E72F0000}"/>
    <cellStyle name="Normal 20 6 11" xfId="22626" xr:uid="{00000000-0005-0000-0000-0000E82F0000}"/>
    <cellStyle name="Normal 20 6 12" xfId="22030" xr:uid="{00000000-0005-0000-0000-0000E92F0000}"/>
    <cellStyle name="Normal 20 6 13" xfId="21433" xr:uid="{00000000-0005-0000-0000-0000EA2F0000}"/>
    <cellStyle name="Normal 20 6 14" xfId="20836" xr:uid="{00000000-0005-0000-0000-0000EB2F0000}"/>
    <cellStyle name="Normal 20 6 15" xfId="20239" xr:uid="{00000000-0005-0000-0000-0000EC2F0000}"/>
    <cellStyle name="Normal 20 6 16" xfId="19643" xr:uid="{00000000-0005-0000-0000-0000ED2F0000}"/>
    <cellStyle name="Normal 20 6 17" xfId="19047" xr:uid="{00000000-0005-0000-0000-0000EE2F0000}"/>
    <cellStyle name="Normal 20 6 18" xfId="18455" xr:uid="{00000000-0005-0000-0000-0000EF2F0000}"/>
    <cellStyle name="Normal 20 6 19" xfId="17858" xr:uid="{00000000-0005-0000-0000-0000F02F0000}"/>
    <cellStyle name="Normal 20 6 2" xfId="27997" xr:uid="{00000000-0005-0000-0000-0000F12F0000}"/>
    <cellStyle name="Normal 20 6 20" xfId="15733" xr:uid="{00000000-0005-0000-0000-0000F22F0000}"/>
    <cellStyle name="Normal 20 6 21" xfId="16262" xr:uid="{00000000-0005-0000-0000-0000F32F0000}"/>
    <cellStyle name="Normal 20 6 22" xfId="13625" xr:uid="{00000000-0005-0000-0000-0000F42F0000}"/>
    <cellStyle name="Normal 20 6 23" xfId="13462" xr:uid="{00000000-0005-0000-0000-0000F52F0000}"/>
    <cellStyle name="Normal 20 6 24" xfId="16946" xr:uid="{00000000-0005-0000-0000-0000F62F0000}"/>
    <cellStyle name="Normal 20 6 25" xfId="17398" xr:uid="{00000000-0005-0000-0000-0000F72F0000}"/>
    <cellStyle name="Normal 20 6 26" xfId="13394" xr:uid="{00000000-0005-0000-0000-0000F82F0000}"/>
    <cellStyle name="Normal 20 6 27" xfId="14029" xr:uid="{00000000-0005-0000-0000-0000F92F0000}"/>
    <cellStyle name="Normal 20 6 28" xfId="12467" xr:uid="{00000000-0005-0000-0000-0000FA2F0000}"/>
    <cellStyle name="Normal 20 6 29" xfId="8726" xr:uid="{00000000-0005-0000-0000-0000FB2F0000}"/>
    <cellStyle name="Normal 20 6 3" xfId="27400" xr:uid="{00000000-0005-0000-0000-0000FC2F0000}"/>
    <cellStyle name="Normal 20 6 30" xfId="10760" xr:uid="{00000000-0005-0000-0000-0000FD2F0000}"/>
    <cellStyle name="Normal 20 6 31" xfId="11537" xr:uid="{00000000-0005-0000-0000-0000FE2F0000}"/>
    <cellStyle name="Normal 20 6 32" xfId="8465" xr:uid="{00000000-0005-0000-0000-0000FF2F0000}"/>
    <cellStyle name="Normal 20 6 33" xfId="9764" xr:uid="{00000000-0005-0000-0000-000000300000}"/>
    <cellStyle name="Normal 20 6 34" xfId="7849" xr:uid="{00000000-0005-0000-0000-000001300000}"/>
    <cellStyle name="Normal 20 6 35" xfId="5570" xr:uid="{00000000-0005-0000-0000-000002300000}"/>
    <cellStyle name="Normal 20 6 36" xfId="6526" xr:uid="{00000000-0005-0000-0000-000003300000}"/>
    <cellStyle name="Normal 20 6 37" xfId="8772" xr:uid="{00000000-0005-0000-0000-000004300000}"/>
    <cellStyle name="Normal 20 6 38" xfId="11595" xr:uid="{00000000-0005-0000-0000-000005300000}"/>
    <cellStyle name="Normal 20 6 39" xfId="9800" xr:uid="{00000000-0005-0000-0000-000006300000}"/>
    <cellStyle name="Normal 20 6 4" xfId="26803" xr:uid="{00000000-0005-0000-0000-000007300000}"/>
    <cellStyle name="Normal 20 6 40" xfId="4966" xr:uid="{00000000-0005-0000-0000-000008300000}"/>
    <cellStyle name="Normal 20 6 41" xfId="4689" xr:uid="{00000000-0005-0000-0000-000009300000}"/>
    <cellStyle name="Normal 20 6 42" xfId="7628" xr:uid="{00000000-0005-0000-0000-00000A300000}"/>
    <cellStyle name="Normal 20 6 43" xfId="3828" xr:uid="{00000000-0005-0000-0000-00000B300000}"/>
    <cellStyle name="Normal 20 6 44" xfId="2972" xr:uid="{00000000-0005-0000-0000-00000C300000}"/>
    <cellStyle name="Normal 20 6 45" xfId="2729" xr:uid="{00000000-0005-0000-0000-00000D300000}"/>
    <cellStyle name="Normal 20 6 46" xfId="2489" xr:uid="{00000000-0005-0000-0000-00000E300000}"/>
    <cellStyle name="Normal 20 6 47" xfId="2249" xr:uid="{00000000-0005-0000-0000-00000F300000}"/>
    <cellStyle name="Normal 20 6 48" xfId="2009" xr:uid="{00000000-0005-0000-0000-000010300000}"/>
    <cellStyle name="Normal 20 6 49" xfId="1769" xr:uid="{00000000-0005-0000-0000-000011300000}"/>
    <cellStyle name="Normal 20 6 5" xfId="26207" xr:uid="{00000000-0005-0000-0000-000012300000}"/>
    <cellStyle name="Normal 20 6 50" xfId="1530" xr:uid="{00000000-0005-0000-0000-000013300000}"/>
    <cellStyle name="Normal 20 6 51" xfId="1290" xr:uid="{00000000-0005-0000-0000-000014300000}"/>
    <cellStyle name="Normal 20 6 52" xfId="1050" xr:uid="{00000000-0005-0000-0000-000015300000}"/>
    <cellStyle name="Normal 20 6 53" xfId="810" xr:uid="{00000000-0005-0000-0000-000016300000}"/>
    <cellStyle name="Normal 20 6 54" xfId="570" xr:uid="{00000000-0005-0000-0000-000017300000}"/>
    <cellStyle name="Normal 20 6 55" xfId="331" xr:uid="{00000000-0005-0000-0000-000018300000}"/>
    <cellStyle name="Normal 20 6 56" xfId="93" xr:uid="{00000000-0005-0000-0000-000019300000}"/>
    <cellStyle name="Normal 20 6 6" xfId="25611" xr:uid="{00000000-0005-0000-0000-00001A300000}"/>
    <cellStyle name="Normal 20 6 7" xfId="25014" xr:uid="{00000000-0005-0000-0000-00001B300000}"/>
    <cellStyle name="Normal 20 6 8" xfId="24417" xr:uid="{00000000-0005-0000-0000-00001C300000}"/>
    <cellStyle name="Normal 20 6 9" xfId="23820" xr:uid="{00000000-0005-0000-0000-00001D300000}"/>
    <cellStyle name="Normal 20 60" xfId="10919" xr:uid="{00000000-0005-0000-0000-00001E300000}"/>
    <cellStyle name="Normal 20 61" xfId="9490" xr:uid="{00000000-0005-0000-0000-00001F300000}"/>
    <cellStyle name="Normal 20 62" xfId="10452" xr:uid="{00000000-0005-0000-0000-000020300000}"/>
    <cellStyle name="Normal 20 63" xfId="11819" xr:uid="{00000000-0005-0000-0000-000021300000}"/>
    <cellStyle name="Normal 20 64" xfId="4385" xr:uid="{00000000-0005-0000-0000-000022300000}"/>
    <cellStyle name="Normal 20 65" xfId="6661" xr:uid="{00000000-0005-0000-0000-000023300000}"/>
    <cellStyle name="Normal 20 66" xfId="5975" xr:uid="{00000000-0005-0000-0000-000024300000}"/>
    <cellStyle name="Normal 20 67" xfId="6336" xr:uid="{00000000-0005-0000-0000-000025300000}"/>
    <cellStyle name="Normal 20 68" xfId="3087" xr:uid="{00000000-0005-0000-0000-000026300000}"/>
    <cellStyle name="Normal 20 7" xfId="28596" xr:uid="{00000000-0005-0000-0000-000027300000}"/>
    <cellStyle name="Normal 20 7 10" xfId="23222" xr:uid="{00000000-0005-0000-0000-000028300000}"/>
    <cellStyle name="Normal 20 7 11" xfId="22625" xr:uid="{00000000-0005-0000-0000-000029300000}"/>
    <cellStyle name="Normal 20 7 12" xfId="22029" xr:uid="{00000000-0005-0000-0000-00002A300000}"/>
    <cellStyle name="Normal 20 7 13" xfId="21432" xr:uid="{00000000-0005-0000-0000-00002B300000}"/>
    <cellStyle name="Normal 20 7 14" xfId="20835" xr:uid="{00000000-0005-0000-0000-00002C300000}"/>
    <cellStyle name="Normal 20 7 15" xfId="20238" xr:uid="{00000000-0005-0000-0000-00002D300000}"/>
    <cellStyle name="Normal 20 7 16" xfId="19642" xr:uid="{00000000-0005-0000-0000-00002E300000}"/>
    <cellStyle name="Normal 20 7 17" xfId="19046" xr:uid="{00000000-0005-0000-0000-00002F300000}"/>
    <cellStyle name="Normal 20 7 18" xfId="18454" xr:uid="{00000000-0005-0000-0000-000030300000}"/>
    <cellStyle name="Normal 20 7 19" xfId="17857" xr:uid="{00000000-0005-0000-0000-000031300000}"/>
    <cellStyle name="Normal 20 7 2" xfId="27996" xr:uid="{00000000-0005-0000-0000-000032300000}"/>
    <cellStyle name="Normal 20 7 20" xfId="15933" xr:uid="{00000000-0005-0000-0000-000033300000}"/>
    <cellStyle name="Normal 20 7 21" xfId="16052" xr:uid="{00000000-0005-0000-0000-000034300000}"/>
    <cellStyle name="Normal 20 7 22" xfId="16126" xr:uid="{00000000-0005-0000-0000-000035300000}"/>
    <cellStyle name="Normal 20 7 23" xfId="15907" xr:uid="{00000000-0005-0000-0000-000036300000}"/>
    <cellStyle name="Normal 20 7 24" xfId="14666" xr:uid="{00000000-0005-0000-0000-000037300000}"/>
    <cellStyle name="Normal 20 7 25" xfId="15245" xr:uid="{00000000-0005-0000-0000-000038300000}"/>
    <cellStyle name="Normal 20 7 26" xfId="14759" xr:uid="{00000000-0005-0000-0000-000039300000}"/>
    <cellStyle name="Normal 20 7 27" xfId="13898" xr:uid="{00000000-0005-0000-0000-00003A300000}"/>
    <cellStyle name="Normal 20 7 28" xfId="12466" xr:uid="{00000000-0005-0000-0000-00003B300000}"/>
    <cellStyle name="Normal 20 7 29" xfId="8964" xr:uid="{00000000-0005-0000-0000-00003C300000}"/>
    <cellStyle name="Normal 20 7 3" xfId="27399" xr:uid="{00000000-0005-0000-0000-00003D300000}"/>
    <cellStyle name="Normal 20 7 30" xfId="11423" xr:uid="{00000000-0005-0000-0000-00003E300000}"/>
    <cellStyle name="Normal 20 7 31" xfId="9299" xr:uid="{00000000-0005-0000-0000-00003F300000}"/>
    <cellStyle name="Normal 20 7 32" xfId="7839" xr:uid="{00000000-0005-0000-0000-000040300000}"/>
    <cellStyle name="Normal 20 7 33" xfId="10990" xr:uid="{00000000-0005-0000-0000-000041300000}"/>
    <cellStyle name="Normal 20 7 34" xfId="5509" xr:uid="{00000000-0005-0000-0000-000042300000}"/>
    <cellStyle name="Normal 20 7 35" xfId="4675" xr:uid="{00000000-0005-0000-0000-000043300000}"/>
    <cellStyle name="Normal 20 7 36" xfId="11683" xr:uid="{00000000-0005-0000-0000-000044300000}"/>
    <cellStyle name="Normal 20 7 37" xfId="10058" xr:uid="{00000000-0005-0000-0000-000045300000}"/>
    <cellStyle name="Normal 20 7 38" xfId="4561" xr:uid="{00000000-0005-0000-0000-000046300000}"/>
    <cellStyle name="Normal 20 7 39" xfId="7680" xr:uid="{00000000-0005-0000-0000-000047300000}"/>
    <cellStyle name="Normal 20 7 4" xfId="26802" xr:uid="{00000000-0005-0000-0000-000048300000}"/>
    <cellStyle name="Normal 20 7 40" xfId="7818" xr:uid="{00000000-0005-0000-0000-000049300000}"/>
    <cellStyle name="Normal 20 7 41" xfId="10311" xr:uid="{00000000-0005-0000-0000-00004A300000}"/>
    <cellStyle name="Normal 20 7 42" xfId="5619" xr:uid="{00000000-0005-0000-0000-00004B300000}"/>
    <cellStyle name="Normal 20 7 43" xfId="4147" xr:uid="{00000000-0005-0000-0000-00004C300000}"/>
    <cellStyle name="Normal 20 7 44" xfId="2971" xr:uid="{00000000-0005-0000-0000-00004D300000}"/>
    <cellStyle name="Normal 20 7 45" xfId="2728" xr:uid="{00000000-0005-0000-0000-00004E300000}"/>
    <cellStyle name="Normal 20 7 46" xfId="2488" xr:uid="{00000000-0005-0000-0000-00004F300000}"/>
    <cellStyle name="Normal 20 7 47" xfId="2248" xr:uid="{00000000-0005-0000-0000-000050300000}"/>
    <cellStyle name="Normal 20 7 48" xfId="2008" xr:uid="{00000000-0005-0000-0000-000051300000}"/>
    <cellStyle name="Normal 20 7 49" xfId="1768" xr:uid="{00000000-0005-0000-0000-000052300000}"/>
    <cellStyle name="Normal 20 7 5" xfId="26206" xr:uid="{00000000-0005-0000-0000-000053300000}"/>
    <cellStyle name="Normal 20 7 50" xfId="1529" xr:uid="{00000000-0005-0000-0000-000054300000}"/>
    <cellStyle name="Normal 20 7 51" xfId="1289" xr:uid="{00000000-0005-0000-0000-000055300000}"/>
    <cellStyle name="Normal 20 7 52" xfId="1049" xr:uid="{00000000-0005-0000-0000-000056300000}"/>
    <cellStyle name="Normal 20 7 53" xfId="809" xr:uid="{00000000-0005-0000-0000-000057300000}"/>
    <cellStyle name="Normal 20 7 54" xfId="569" xr:uid="{00000000-0005-0000-0000-000058300000}"/>
    <cellStyle name="Normal 20 7 55" xfId="330" xr:uid="{00000000-0005-0000-0000-000059300000}"/>
    <cellStyle name="Normal 20 7 56" xfId="92" xr:uid="{00000000-0005-0000-0000-00005A300000}"/>
    <cellStyle name="Normal 20 7 6" xfId="25610" xr:uid="{00000000-0005-0000-0000-00005B300000}"/>
    <cellStyle name="Normal 20 7 7" xfId="25013" xr:uid="{00000000-0005-0000-0000-00005C300000}"/>
    <cellStyle name="Normal 20 7 8" xfId="24416" xr:uid="{00000000-0005-0000-0000-00005D300000}"/>
    <cellStyle name="Normal 20 7 9" xfId="23819" xr:uid="{00000000-0005-0000-0000-00005E300000}"/>
    <cellStyle name="Normal 20 8" xfId="28595" xr:uid="{00000000-0005-0000-0000-00005F300000}"/>
    <cellStyle name="Normal 20 8 10" xfId="23221" xr:uid="{00000000-0005-0000-0000-000060300000}"/>
    <cellStyle name="Normal 20 8 11" xfId="22624" xr:uid="{00000000-0005-0000-0000-000061300000}"/>
    <cellStyle name="Normal 20 8 12" xfId="22028" xr:uid="{00000000-0005-0000-0000-000062300000}"/>
    <cellStyle name="Normal 20 8 13" xfId="21431" xr:uid="{00000000-0005-0000-0000-000063300000}"/>
    <cellStyle name="Normal 20 8 14" xfId="20834" xr:uid="{00000000-0005-0000-0000-000064300000}"/>
    <cellStyle name="Normal 20 8 15" xfId="20237" xr:uid="{00000000-0005-0000-0000-000065300000}"/>
    <cellStyle name="Normal 20 8 16" xfId="19641" xr:uid="{00000000-0005-0000-0000-000066300000}"/>
    <cellStyle name="Normal 20 8 17" xfId="19045" xr:uid="{00000000-0005-0000-0000-000067300000}"/>
    <cellStyle name="Normal 20 8 18" xfId="18453" xr:uid="{00000000-0005-0000-0000-000068300000}"/>
    <cellStyle name="Normal 20 8 19" xfId="17856" xr:uid="{00000000-0005-0000-0000-000069300000}"/>
    <cellStyle name="Normal 20 8 2" xfId="27995" xr:uid="{00000000-0005-0000-0000-00006A300000}"/>
    <cellStyle name="Normal 20 8 20" xfId="16141" xr:uid="{00000000-0005-0000-0000-00006B300000}"/>
    <cellStyle name="Normal 20 8 21" xfId="15438" xr:uid="{00000000-0005-0000-0000-00006C300000}"/>
    <cellStyle name="Normal 20 8 22" xfId="13660" xr:uid="{00000000-0005-0000-0000-00006D300000}"/>
    <cellStyle name="Normal 20 8 23" xfId="13494" xr:uid="{00000000-0005-0000-0000-00006E300000}"/>
    <cellStyle name="Normal 20 8 24" xfId="13598" xr:uid="{00000000-0005-0000-0000-00006F300000}"/>
    <cellStyle name="Normal 20 8 25" xfId="15635" xr:uid="{00000000-0005-0000-0000-000070300000}"/>
    <cellStyle name="Normal 20 8 26" xfId="15010" xr:uid="{00000000-0005-0000-0000-000071300000}"/>
    <cellStyle name="Normal 20 8 27" xfId="13026" xr:uid="{00000000-0005-0000-0000-000072300000}"/>
    <cellStyle name="Normal 20 8 28" xfId="12465" xr:uid="{00000000-0005-0000-0000-000073300000}"/>
    <cellStyle name="Normal 20 8 29" xfId="9199" xr:uid="{00000000-0005-0000-0000-000074300000}"/>
    <cellStyle name="Normal 20 8 3" xfId="27398" xr:uid="{00000000-0005-0000-0000-000075300000}"/>
    <cellStyle name="Normal 20 8 30" xfId="10303" xr:uid="{00000000-0005-0000-0000-000076300000}"/>
    <cellStyle name="Normal 20 8 31" xfId="8806" xr:uid="{00000000-0005-0000-0000-000077300000}"/>
    <cellStyle name="Normal 20 8 32" xfId="11936" xr:uid="{00000000-0005-0000-0000-000078300000}"/>
    <cellStyle name="Normal 20 8 33" xfId="11314" xr:uid="{00000000-0005-0000-0000-000079300000}"/>
    <cellStyle name="Normal 20 8 34" xfId="6565" xr:uid="{00000000-0005-0000-0000-00007A300000}"/>
    <cellStyle name="Normal 20 8 35" xfId="10907" xr:uid="{00000000-0005-0000-0000-00007B300000}"/>
    <cellStyle name="Normal 20 8 36" xfId="10533" xr:uid="{00000000-0005-0000-0000-00007C300000}"/>
    <cellStyle name="Normal 20 8 37" xfId="6897" xr:uid="{00000000-0005-0000-0000-00007D300000}"/>
    <cellStyle name="Normal 20 8 38" xfId="5011" xr:uid="{00000000-0005-0000-0000-00007E300000}"/>
    <cellStyle name="Normal 20 8 39" xfId="3459" xr:uid="{00000000-0005-0000-0000-00007F300000}"/>
    <cellStyle name="Normal 20 8 4" xfId="26801" xr:uid="{00000000-0005-0000-0000-000080300000}"/>
    <cellStyle name="Normal 20 8 40" xfId="8769" xr:uid="{00000000-0005-0000-0000-000081300000}"/>
    <cellStyle name="Normal 20 8 41" xfId="3618" xr:uid="{00000000-0005-0000-0000-000082300000}"/>
    <cellStyle name="Normal 20 8 42" xfId="5802" xr:uid="{00000000-0005-0000-0000-000083300000}"/>
    <cellStyle name="Normal 20 8 43" xfId="4295" xr:uid="{00000000-0005-0000-0000-000084300000}"/>
    <cellStyle name="Normal 20 8 44" xfId="2970" xr:uid="{00000000-0005-0000-0000-000085300000}"/>
    <cellStyle name="Normal 20 8 45" xfId="2727" xr:uid="{00000000-0005-0000-0000-000086300000}"/>
    <cellStyle name="Normal 20 8 46" xfId="2487" xr:uid="{00000000-0005-0000-0000-000087300000}"/>
    <cellStyle name="Normal 20 8 47" xfId="2247" xr:uid="{00000000-0005-0000-0000-000088300000}"/>
    <cellStyle name="Normal 20 8 48" xfId="2007" xr:uid="{00000000-0005-0000-0000-000089300000}"/>
    <cellStyle name="Normal 20 8 49" xfId="1767" xr:uid="{00000000-0005-0000-0000-00008A300000}"/>
    <cellStyle name="Normal 20 8 5" xfId="26205" xr:uid="{00000000-0005-0000-0000-00008B300000}"/>
    <cellStyle name="Normal 20 8 50" xfId="1528" xr:uid="{00000000-0005-0000-0000-00008C300000}"/>
    <cellStyle name="Normal 20 8 51" xfId="1288" xr:uid="{00000000-0005-0000-0000-00008D300000}"/>
    <cellStyle name="Normal 20 8 52" xfId="1048" xr:uid="{00000000-0005-0000-0000-00008E300000}"/>
    <cellStyle name="Normal 20 8 53" xfId="808" xr:uid="{00000000-0005-0000-0000-00008F300000}"/>
    <cellStyle name="Normal 20 8 54" xfId="568" xr:uid="{00000000-0005-0000-0000-000090300000}"/>
    <cellStyle name="Normal 20 8 55" xfId="329" xr:uid="{00000000-0005-0000-0000-000091300000}"/>
    <cellStyle name="Normal 20 8 56" xfId="91" xr:uid="{00000000-0005-0000-0000-000092300000}"/>
    <cellStyle name="Normal 20 8 6" xfId="25609" xr:uid="{00000000-0005-0000-0000-000093300000}"/>
    <cellStyle name="Normal 20 8 7" xfId="25012" xr:uid="{00000000-0005-0000-0000-000094300000}"/>
    <cellStyle name="Normal 20 8 8" xfId="24415" xr:uid="{00000000-0005-0000-0000-000095300000}"/>
    <cellStyle name="Normal 20 8 9" xfId="23818" xr:uid="{00000000-0005-0000-0000-000096300000}"/>
    <cellStyle name="Normal 20 9" xfId="28594" xr:uid="{00000000-0005-0000-0000-000097300000}"/>
    <cellStyle name="Normal 20 9 10" xfId="23220" xr:uid="{00000000-0005-0000-0000-000098300000}"/>
    <cellStyle name="Normal 20 9 11" xfId="22623" xr:uid="{00000000-0005-0000-0000-000099300000}"/>
    <cellStyle name="Normal 20 9 12" xfId="22027" xr:uid="{00000000-0005-0000-0000-00009A300000}"/>
    <cellStyle name="Normal 20 9 13" xfId="21430" xr:uid="{00000000-0005-0000-0000-00009B300000}"/>
    <cellStyle name="Normal 20 9 14" xfId="20833" xr:uid="{00000000-0005-0000-0000-00009C300000}"/>
    <cellStyle name="Normal 20 9 15" xfId="20236" xr:uid="{00000000-0005-0000-0000-00009D300000}"/>
    <cellStyle name="Normal 20 9 16" xfId="19640" xr:uid="{00000000-0005-0000-0000-00009E300000}"/>
    <cellStyle name="Normal 20 9 17" xfId="19044" xr:uid="{00000000-0005-0000-0000-00009F300000}"/>
    <cellStyle name="Normal 20 9 18" xfId="18452" xr:uid="{00000000-0005-0000-0000-0000A0300000}"/>
    <cellStyle name="Normal 20 9 19" xfId="17855" xr:uid="{00000000-0005-0000-0000-0000A1300000}"/>
    <cellStyle name="Normal 20 9 2" xfId="27994" xr:uid="{00000000-0005-0000-0000-0000A2300000}"/>
    <cellStyle name="Normal 20 9 20" xfId="16342" xr:uid="{00000000-0005-0000-0000-0000A3300000}"/>
    <cellStyle name="Normal 20 9 21" xfId="15030" xr:uid="{00000000-0005-0000-0000-0000A4300000}"/>
    <cellStyle name="Normal 20 9 22" xfId="13799" xr:uid="{00000000-0005-0000-0000-0000A5300000}"/>
    <cellStyle name="Normal 20 9 23" xfId="16698" xr:uid="{00000000-0005-0000-0000-0000A6300000}"/>
    <cellStyle name="Normal 20 9 24" xfId="17025" xr:uid="{00000000-0005-0000-0000-0000A7300000}"/>
    <cellStyle name="Normal 20 9 25" xfId="14663" xr:uid="{00000000-0005-0000-0000-0000A8300000}"/>
    <cellStyle name="Normal 20 9 26" xfId="16030" xr:uid="{00000000-0005-0000-0000-0000A9300000}"/>
    <cellStyle name="Normal 20 9 27" xfId="13458" xr:uid="{00000000-0005-0000-0000-0000AA300000}"/>
    <cellStyle name="Normal 20 9 28" xfId="12464" xr:uid="{00000000-0005-0000-0000-0000AB300000}"/>
    <cellStyle name="Normal 20 9 29" xfId="9432" xr:uid="{00000000-0005-0000-0000-0000AC300000}"/>
    <cellStyle name="Normal 20 9 3" xfId="27397" xr:uid="{00000000-0005-0000-0000-0000AD300000}"/>
    <cellStyle name="Normal 20 9 30" xfId="9181" xr:uid="{00000000-0005-0000-0000-0000AE300000}"/>
    <cellStyle name="Normal 20 9 31" xfId="8628" xr:uid="{00000000-0005-0000-0000-0000AF300000}"/>
    <cellStyle name="Normal 20 9 32" xfId="5752" xr:uid="{00000000-0005-0000-0000-0000B0300000}"/>
    <cellStyle name="Normal 20 9 33" xfId="7962" xr:uid="{00000000-0005-0000-0000-0000B1300000}"/>
    <cellStyle name="Normal 20 9 34" xfId="5381" xr:uid="{00000000-0005-0000-0000-0000B2300000}"/>
    <cellStyle name="Normal 20 9 35" xfId="11779" xr:uid="{00000000-0005-0000-0000-0000B3300000}"/>
    <cellStyle name="Normal 20 9 36" xfId="7304" xr:uid="{00000000-0005-0000-0000-0000B4300000}"/>
    <cellStyle name="Normal 20 9 37" xfId="9719" xr:uid="{00000000-0005-0000-0000-0000B5300000}"/>
    <cellStyle name="Normal 20 9 38" xfId="4108" xr:uid="{00000000-0005-0000-0000-0000B6300000}"/>
    <cellStyle name="Normal 20 9 39" xfId="5183" xr:uid="{00000000-0005-0000-0000-0000B7300000}"/>
    <cellStyle name="Normal 20 9 4" xfId="26800" xr:uid="{00000000-0005-0000-0000-0000B8300000}"/>
    <cellStyle name="Normal 20 9 40" xfId="8828" xr:uid="{00000000-0005-0000-0000-0000B9300000}"/>
    <cellStyle name="Normal 20 9 41" xfId="3709" xr:uid="{00000000-0005-0000-0000-0000BA300000}"/>
    <cellStyle name="Normal 20 9 42" xfId="3224" xr:uid="{00000000-0005-0000-0000-0000BB300000}"/>
    <cellStyle name="Normal 20 9 43" xfId="10214" xr:uid="{00000000-0005-0000-0000-0000BC300000}"/>
    <cellStyle name="Normal 20 9 44" xfId="2969" xr:uid="{00000000-0005-0000-0000-0000BD300000}"/>
    <cellStyle name="Normal 20 9 45" xfId="2726" xr:uid="{00000000-0005-0000-0000-0000BE300000}"/>
    <cellStyle name="Normal 20 9 46" xfId="2486" xr:uid="{00000000-0005-0000-0000-0000BF300000}"/>
    <cellStyle name="Normal 20 9 47" xfId="2246" xr:uid="{00000000-0005-0000-0000-0000C0300000}"/>
    <cellStyle name="Normal 20 9 48" xfId="2006" xr:uid="{00000000-0005-0000-0000-0000C1300000}"/>
    <cellStyle name="Normal 20 9 49" xfId="1766" xr:uid="{00000000-0005-0000-0000-0000C2300000}"/>
    <cellStyle name="Normal 20 9 5" xfId="26204" xr:uid="{00000000-0005-0000-0000-0000C3300000}"/>
    <cellStyle name="Normal 20 9 50" xfId="1527" xr:uid="{00000000-0005-0000-0000-0000C4300000}"/>
    <cellStyle name="Normal 20 9 51" xfId="1287" xr:uid="{00000000-0005-0000-0000-0000C5300000}"/>
    <cellStyle name="Normal 20 9 52" xfId="1047" xr:uid="{00000000-0005-0000-0000-0000C6300000}"/>
    <cellStyle name="Normal 20 9 53" xfId="807" xr:uid="{00000000-0005-0000-0000-0000C7300000}"/>
    <cellStyle name="Normal 20 9 54" xfId="567" xr:uid="{00000000-0005-0000-0000-0000C8300000}"/>
    <cellStyle name="Normal 20 9 55" xfId="328" xr:uid="{00000000-0005-0000-0000-0000C9300000}"/>
    <cellStyle name="Normal 20 9 56" xfId="90" xr:uid="{00000000-0005-0000-0000-0000CA300000}"/>
    <cellStyle name="Normal 20 9 6" xfId="25608" xr:uid="{00000000-0005-0000-0000-0000CB300000}"/>
    <cellStyle name="Normal 20 9 7" xfId="25011" xr:uid="{00000000-0005-0000-0000-0000CC300000}"/>
    <cellStyle name="Normal 20 9 8" xfId="24414" xr:uid="{00000000-0005-0000-0000-0000CD300000}"/>
    <cellStyle name="Normal 20 9 9" xfId="23817" xr:uid="{00000000-0005-0000-0000-0000CE300000}"/>
    <cellStyle name="Normal 21" xfId="28593" xr:uid="{00000000-0005-0000-0000-0000CF300000}"/>
    <cellStyle name="Normal 21 10" xfId="28592" xr:uid="{00000000-0005-0000-0000-0000D0300000}"/>
    <cellStyle name="Normal 21 10 10" xfId="23218" xr:uid="{00000000-0005-0000-0000-0000D1300000}"/>
    <cellStyle name="Normal 21 10 11" xfId="22621" xr:uid="{00000000-0005-0000-0000-0000D2300000}"/>
    <cellStyle name="Normal 21 10 12" xfId="22025" xr:uid="{00000000-0005-0000-0000-0000D3300000}"/>
    <cellStyle name="Normal 21 10 13" xfId="21428" xr:uid="{00000000-0005-0000-0000-0000D4300000}"/>
    <cellStyle name="Normal 21 10 14" xfId="20831" xr:uid="{00000000-0005-0000-0000-0000D5300000}"/>
    <cellStyle name="Normal 21 10 15" xfId="20234" xr:uid="{00000000-0005-0000-0000-0000D6300000}"/>
    <cellStyle name="Normal 21 10 16" xfId="19638" xr:uid="{00000000-0005-0000-0000-0000D7300000}"/>
    <cellStyle name="Normal 21 10 17" xfId="19042" xr:uid="{00000000-0005-0000-0000-0000D8300000}"/>
    <cellStyle name="Normal 21 10 18" xfId="18450" xr:uid="{00000000-0005-0000-0000-0000D9300000}"/>
    <cellStyle name="Normal 21 10 19" xfId="17853" xr:uid="{00000000-0005-0000-0000-0000DA300000}"/>
    <cellStyle name="Normal 21 10 2" xfId="27992" xr:uid="{00000000-0005-0000-0000-0000DB300000}"/>
    <cellStyle name="Normal 21 10 20" xfId="16726" xr:uid="{00000000-0005-0000-0000-0000DC300000}"/>
    <cellStyle name="Normal 21 10 21" xfId="14218" xr:uid="{00000000-0005-0000-0000-0000DD300000}"/>
    <cellStyle name="Normal 21 10 22" xfId="17176" xr:uid="{00000000-0005-0000-0000-0000DE300000}"/>
    <cellStyle name="Normal 21 10 23" xfId="13592" xr:uid="{00000000-0005-0000-0000-0000DF300000}"/>
    <cellStyle name="Normal 21 10 24" xfId="13313" xr:uid="{00000000-0005-0000-0000-0000E0300000}"/>
    <cellStyle name="Normal 21 10 25" xfId="15917" xr:uid="{00000000-0005-0000-0000-0000E1300000}"/>
    <cellStyle name="Normal 21 10 26" xfId="14572" xr:uid="{00000000-0005-0000-0000-0000E2300000}"/>
    <cellStyle name="Normal 21 10 27" xfId="16112" xr:uid="{00000000-0005-0000-0000-0000E3300000}"/>
    <cellStyle name="Normal 21 10 28" xfId="12462" xr:uid="{00000000-0005-0000-0000-0000E4300000}"/>
    <cellStyle name="Normal 21 10 29" xfId="9883" xr:uid="{00000000-0005-0000-0000-0000E5300000}"/>
    <cellStyle name="Normal 21 10 3" xfId="27395" xr:uid="{00000000-0005-0000-0000-0000E6300000}"/>
    <cellStyle name="Normal 21 10 30" xfId="6425" xr:uid="{00000000-0005-0000-0000-0000E7300000}"/>
    <cellStyle name="Normal 21 10 31" xfId="5508" xr:uid="{00000000-0005-0000-0000-0000E8300000}"/>
    <cellStyle name="Normal 21 10 32" xfId="9789" xr:uid="{00000000-0005-0000-0000-0000E9300000}"/>
    <cellStyle name="Normal 21 10 33" xfId="11516" xr:uid="{00000000-0005-0000-0000-0000EA300000}"/>
    <cellStyle name="Normal 21 10 34" xfId="7191" xr:uid="{00000000-0005-0000-0000-0000EB300000}"/>
    <cellStyle name="Normal 21 10 35" xfId="11727" xr:uid="{00000000-0005-0000-0000-0000EC300000}"/>
    <cellStyle name="Normal 21 10 36" xfId="8752" xr:uid="{00000000-0005-0000-0000-0000ED300000}"/>
    <cellStyle name="Normal 21 10 37" xfId="6306" xr:uid="{00000000-0005-0000-0000-0000EE300000}"/>
    <cellStyle name="Normal 21 10 38" xfId="5178" xr:uid="{00000000-0005-0000-0000-0000EF300000}"/>
    <cellStyle name="Normal 21 10 39" xfId="3654" xr:uid="{00000000-0005-0000-0000-0000F0300000}"/>
    <cellStyle name="Normal 21 10 4" xfId="26798" xr:uid="{00000000-0005-0000-0000-0000F1300000}"/>
    <cellStyle name="Normal 21 10 40" xfId="5246" xr:uid="{00000000-0005-0000-0000-0000F2300000}"/>
    <cellStyle name="Normal 21 10 41" xfId="6215" xr:uid="{00000000-0005-0000-0000-0000F3300000}"/>
    <cellStyle name="Normal 21 10 42" xfId="7568" xr:uid="{00000000-0005-0000-0000-0000F4300000}"/>
    <cellStyle name="Normal 21 10 43" xfId="3576" xr:uid="{00000000-0005-0000-0000-0000F5300000}"/>
    <cellStyle name="Normal 21 10 44" xfId="2968" xr:uid="{00000000-0005-0000-0000-0000F6300000}"/>
    <cellStyle name="Normal 21 10 45" xfId="2725" xr:uid="{00000000-0005-0000-0000-0000F7300000}"/>
    <cellStyle name="Normal 21 10 46" xfId="2485" xr:uid="{00000000-0005-0000-0000-0000F8300000}"/>
    <cellStyle name="Normal 21 10 47" xfId="2245" xr:uid="{00000000-0005-0000-0000-0000F9300000}"/>
    <cellStyle name="Normal 21 10 48" xfId="2005" xr:uid="{00000000-0005-0000-0000-0000FA300000}"/>
    <cellStyle name="Normal 21 10 49" xfId="1765" xr:uid="{00000000-0005-0000-0000-0000FB300000}"/>
    <cellStyle name="Normal 21 10 5" xfId="26202" xr:uid="{00000000-0005-0000-0000-0000FC300000}"/>
    <cellStyle name="Normal 21 10 50" xfId="1526" xr:uid="{00000000-0005-0000-0000-0000FD300000}"/>
    <cellStyle name="Normal 21 10 51" xfId="1286" xr:uid="{00000000-0005-0000-0000-0000FE300000}"/>
    <cellStyle name="Normal 21 10 52" xfId="1046" xr:uid="{00000000-0005-0000-0000-0000FF300000}"/>
    <cellStyle name="Normal 21 10 53" xfId="806" xr:uid="{00000000-0005-0000-0000-000000310000}"/>
    <cellStyle name="Normal 21 10 54" xfId="566" xr:uid="{00000000-0005-0000-0000-000001310000}"/>
    <cellStyle name="Normal 21 10 55" xfId="327" xr:uid="{00000000-0005-0000-0000-000002310000}"/>
    <cellStyle name="Normal 21 10 56" xfId="89" xr:uid="{00000000-0005-0000-0000-000003310000}"/>
    <cellStyle name="Normal 21 10 6" xfId="25606" xr:uid="{00000000-0005-0000-0000-000004310000}"/>
    <cellStyle name="Normal 21 10 7" xfId="25009" xr:uid="{00000000-0005-0000-0000-000005310000}"/>
    <cellStyle name="Normal 21 10 8" xfId="24412" xr:uid="{00000000-0005-0000-0000-000006310000}"/>
    <cellStyle name="Normal 21 10 9" xfId="23815" xr:uid="{00000000-0005-0000-0000-000007310000}"/>
    <cellStyle name="Normal 21 11" xfId="28591" xr:uid="{00000000-0005-0000-0000-000008310000}"/>
    <cellStyle name="Normal 21 11 10" xfId="23217" xr:uid="{00000000-0005-0000-0000-000009310000}"/>
    <cellStyle name="Normal 21 11 11" xfId="22620" xr:uid="{00000000-0005-0000-0000-00000A310000}"/>
    <cellStyle name="Normal 21 11 12" xfId="22024" xr:uid="{00000000-0005-0000-0000-00000B310000}"/>
    <cellStyle name="Normal 21 11 13" xfId="21427" xr:uid="{00000000-0005-0000-0000-00000C310000}"/>
    <cellStyle name="Normal 21 11 14" xfId="20830" xr:uid="{00000000-0005-0000-0000-00000D310000}"/>
    <cellStyle name="Normal 21 11 15" xfId="20233" xr:uid="{00000000-0005-0000-0000-00000E310000}"/>
    <cellStyle name="Normal 21 11 16" xfId="19637" xr:uid="{00000000-0005-0000-0000-00000F310000}"/>
    <cellStyle name="Normal 21 11 17" xfId="19041" xr:uid="{00000000-0005-0000-0000-000010310000}"/>
    <cellStyle name="Normal 21 11 18" xfId="18449" xr:uid="{00000000-0005-0000-0000-000011310000}"/>
    <cellStyle name="Normal 21 11 19" xfId="17852" xr:uid="{00000000-0005-0000-0000-000012310000}"/>
    <cellStyle name="Normal 21 11 2" xfId="27991" xr:uid="{00000000-0005-0000-0000-000013310000}"/>
    <cellStyle name="Normal 21 11 20" xfId="16923" xr:uid="{00000000-0005-0000-0000-000014310000}"/>
    <cellStyle name="Normal 21 11 21" xfId="14600" xr:uid="{00000000-0005-0000-0000-000015310000}"/>
    <cellStyle name="Normal 21 11 22" xfId="15778" xr:uid="{00000000-0005-0000-0000-000016310000}"/>
    <cellStyle name="Normal 21 11 23" xfId="16877" xr:uid="{00000000-0005-0000-0000-000017310000}"/>
    <cellStyle name="Normal 21 11 24" xfId="13107" xr:uid="{00000000-0005-0000-0000-000018310000}"/>
    <cellStyle name="Normal 21 11 25" xfId="13679" xr:uid="{00000000-0005-0000-0000-000019310000}"/>
    <cellStyle name="Normal 21 11 26" xfId="15914" xr:uid="{00000000-0005-0000-0000-00001A310000}"/>
    <cellStyle name="Normal 21 11 27" xfId="15360" xr:uid="{00000000-0005-0000-0000-00001B310000}"/>
    <cellStyle name="Normal 21 11 28" xfId="12461" xr:uid="{00000000-0005-0000-0000-00001C310000}"/>
    <cellStyle name="Normal 21 11 29" xfId="10118" xr:uid="{00000000-0005-0000-0000-00001D310000}"/>
    <cellStyle name="Normal 21 11 3" xfId="27394" xr:uid="{00000000-0005-0000-0000-00001E310000}"/>
    <cellStyle name="Normal 21 11 30" xfId="10279" xr:uid="{00000000-0005-0000-0000-00001F310000}"/>
    <cellStyle name="Normal 21 11 31" xfId="5671" xr:uid="{00000000-0005-0000-0000-000020310000}"/>
    <cellStyle name="Normal 21 11 32" xfId="5893" xr:uid="{00000000-0005-0000-0000-000021310000}"/>
    <cellStyle name="Normal 21 11 33" xfId="6956" xr:uid="{00000000-0005-0000-0000-000022310000}"/>
    <cellStyle name="Normal 21 11 34" xfId="4846" xr:uid="{00000000-0005-0000-0000-000023310000}"/>
    <cellStyle name="Normal 21 11 35" xfId="4860" xr:uid="{00000000-0005-0000-0000-000024310000}"/>
    <cellStyle name="Normal 21 11 36" xfId="7985" xr:uid="{00000000-0005-0000-0000-000025310000}"/>
    <cellStyle name="Normal 21 11 37" xfId="4207" xr:uid="{00000000-0005-0000-0000-000026310000}"/>
    <cellStyle name="Normal 21 11 38" xfId="3923" xr:uid="{00000000-0005-0000-0000-000027310000}"/>
    <cellStyle name="Normal 21 11 39" xfId="5427" xr:uid="{00000000-0005-0000-0000-000028310000}"/>
    <cellStyle name="Normal 21 11 4" xfId="26797" xr:uid="{00000000-0005-0000-0000-000029310000}"/>
    <cellStyle name="Normal 21 11 40" xfId="3565" xr:uid="{00000000-0005-0000-0000-00002A310000}"/>
    <cellStyle name="Normal 21 11 41" xfId="3529" xr:uid="{00000000-0005-0000-0000-00002B310000}"/>
    <cellStyle name="Normal 21 11 42" xfId="4774" xr:uid="{00000000-0005-0000-0000-00002C310000}"/>
    <cellStyle name="Normal 21 11 43" xfId="9821" xr:uid="{00000000-0005-0000-0000-00002D310000}"/>
    <cellStyle name="Normal 21 11 44" xfId="2967" xr:uid="{00000000-0005-0000-0000-00002E310000}"/>
    <cellStyle name="Normal 21 11 45" xfId="2724" xr:uid="{00000000-0005-0000-0000-00002F310000}"/>
    <cellStyle name="Normal 21 11 46" xfId="2484" xr:uid="{00000000-0005-0000-0000-000030310000}"/>
    <cellStyle name="Normal 21 11 47" xfId="2244" xr:uid="{00000000-0005-0000-0000-000031310000}"/>
    <cellStyle name="Normal 21 11 48" xfId="2004" xr:uid="{00000000-0005-0000-0000-000032310000}"/>
    <cellStyle name="Normal 21 11 49" xfId="1764" xr:uid="{00000000-0005-0000-0000-000033310000}"/>
    <cellStyle name="Normal 21 11 5" xfId="26201" xr:uid="{00000000-0005-0000-0000-000034310000}"/>
    <cellStyle name="Normal 21 11 50" xfId="1525" xr:uid="{00000000-0005-0000-0000-000035310000}"/>
    <cellStyle name="Normal 21 11 51" xfId="1285" xr:uid="{00000000-0005-0000-0000-000036310000}"/>
    <cellStyle name="Normal 21 11 52" xfId="1045" xr:uid="{00000000-0005-0000-0000-000037310000}"/>
    <cellStyle name="Normal 21 11 53" xfId="805" xr:uid="{00000000-0005-0000-0000-000038310000}"/>
    <cellStyle name="Normal 21 11 54" xfId="565" xr:uid="{00000000-0005-0000-0000-000039310000}"/>
    <cellStyle name="Normal 21 11 55" xfId="326" xr:uid="{00000000-0005-0000-0000-00003A310000}"/>
    <cellStyle name="Normal 21 11 56" xfId="88" xr:uid="{00000000-0005-0000-0000-00003B310000}"/>
    <cellStyle name="Normal 21 11 6" xfId="25605" xr:uid="{00000000-0005-0000-0000-00003C310000}"/>
    <cellStyle name="Normal 21 11 7" xfId="25008" xr:uid="{00000000-0005-0000-0000-00003D310000}"/>
    <cellStyle name="Normal 21 11 8" xfId="24411" xr:uid="{00000000-0005-0000-0000-00003E310000}"/>
    <cellStyle name="Normal 21 11 9" xfId="23814" xr:uid="{00000000-0005-0000-0000-00003F310000}"/>
    <cellStyle name="Normal 21 12" xfId="28590" xr:uid="{00000000-0005-0000-0000-000040310000}"/>
    <cellStyle name="Normal 21 12 10" xfId="23216" xr:uid="{00000000-0005-0000-0000-000041310000}"/>
    <cellStyle name="Normal 21 12 11" xfId="22619" xr:uid="{00000000-0005-0000-0000-000042310000}"/>
    <cellStyle name="Normal 21 12 12" xfId="22023" xr:uid="{00000000-0005-0000-0000-000043310000}"/>
    <cellStyle name="Normal 21 12 13" xfId="21426" xr:uid="{00000000-0005-0000-0000-000044310000}"/>
    <cellStyle name="Normal 21 12 14" xfId="20829" xr:uid="{00000000-0005-0000-0000-000045310000}"/>
    <cellStyle name="Normal 21 12 15" xfId="20232" xr:uid="{00000000-0005-0000-0000-000046310000}"/>
    <cellStyle name="Normal 21 12 16" xfId="19636" xr:uid="{00000000-0005-0000-0000-000047310000}"/>
    <cellStyle name="Normal 21 12 17" xfId="19040" xr:uid="{00000000-0005-0000-0000-000048310000}"/>
    <cellStyle name="Normal 21 12 18" xfId="18448" xr:uid="{00000000-0005-0000-0000-000049310000}"/>
    <cellStyle name="Normal 21 12 19" xfId="17851" xr:uid="{00000000-0005-0000-0000-00004A310000}"/>
    <cellStyle name="Normal 21 12 2" xfId="27990" xr:uid="{00000000-0005-0000-0000-00004B310000}"/>
    <cellStyle name="Normal 21 12 20" xfId="17130" xr:uid="{00000000-0005-0000-0000-00004C310000}"/>
    <cellStyle name="Normal 21 12 21" xfId="14984" xr:uid="{00000000-0005-0000-0000-00004D310000}"/>
    <cellStyle name="Normal 21 12 22" xfId="14592" xr:uid="{00000000-0005-0000-0000-00004E310000}"/>
    <cellStyle name="Normal 21 12 23" xfId="15600" xr:uid="{00000000-0005-0000-0000-00004F310000}"/>
    <cellStyle name="Normal 21 12 24" xfId="13309" xr:uid="{00000000-0005-0000-0000-000050310000}"/>
    <cellStyle name="Normal 21 12 25" xfId="16055" xr:uid="{00000000-0005-0000-0000-000051310000}"/>
    <cellStyle name="Normal 21 12 26" xfId="12826" xr:uid="{00000000-0005-0000-0000-000052310000}"/>
    <cellStyle name="Normal 21 12 27" xfId="16835" xr:uid="{00000000-0005-0000-0000-000053310000}"/>
    <cellStyle name="Normal 21 12 28" xfId="12460" xr:uid="{00000000-0005-0000-0000-000054310000}"/>
    <cellStyle name="Normal 21 12 29" xfId="10345" xr:uid="{00000000-0005-0000-0000-000055310000}"/>
    <cellStyle name="Normal 21 12 3" xfId="27393" xr:uid="{00000000-0005-0000-0000-000056310000}"/>
    <cellStyle name="Normal 21 12 30" xfId="10271" xr:uid="{00000000-0005-0000-0000-000057310000}"/>
    <cellStyle name="Normal 21 12 31" xfId="9830" xr:uid="{00000000-0005-0000-0000-000058310000}"/>
    <cellStyle name="Normal 21 12 32" xfId="11223" xr:uid="{00000000-0005-0000-0000-000059310000}"/>
    <cellStyle name="Normal 21 12 33" xfId="6555" xr:uid="{00000000-0005-0000-0000-00005A310000}"/>
    <cellStyle name="Normal 21 12 34" xfId="10287" xr:uid="{00000000-0005-0000-0000-00005B310000}"/>
    <cellStyle name="Normal 21 12 35" xfId="9004" xr:uid="{00000000-0005-0000-0000-00005C310000}"/>
    <cellStyle name="Normal 21 12 36" xfId="5736" xr:uid="{00000000-0005-0000-0000-00005D310000}"/>
    <cellStyle name="Normal 21 12 37" xfId="4586" xr:uid="{00000000-0005-0000-0000-00005E310000}"/>
    <cellStyle name="Normal 21 12 38" xfId="6930" xr:uid="{00000000-0005-0000-0000-00005F310000}"/>
    <cellStyle name="Normal 21 12 39" xfId="10420" xr:uid="{00000000-0005-0000-0000-000060310000}"/>
    <cellStyle name="Normal 21 12 4" xfId="26796" xr:uid="{00000000-0005-0000-0000-000061310000}"/>
    <cellStyle name="Normal 21 12 40" xfId="4337" xr:uid="{00000000-0005-0000-0000-000062310000}"/>
    <cellStyle name="Normal 21 12 41" xfId="6609" xr:uid="{00000000-0005-0000-0000-000063310000}"/>
    <cellStyle name="Normal 21 12 42" xfId="3501" xr:uid="{00000000-0005-0000-0000-000064310000}"/>
    <cellStyle name="Normal 21 12 43" xfId="3422" xr:uid="{00000000-0005-0000-0000-000065310000}"/>
    <cellStyle name="Normal 21 12 5" xfId="26200" xr:uid="{00000000-0005-0000-0000-000066310000}"/>
    <cellStyle name="Normal 21 12 6" xfId="25604" xr:uid="{00000000-0005-0000-0000-000067310000}"/>
    <cellStyle name="Normal 21 12 7" xfId="25007" xr:uid="{00000000-0005-0000-0000-000068310000}"/>
    <cellStyle name="Normal 21 12 8" xfId="24410" xr:uid="{00000000-0005-0000-0000-000069310000}"/>
    <cellStyle name="Normal 21 12 9" xfId="23813" xr:uid="{00000000-0005-0000-0000-00006A310000}"/>
    <cellStyle name="Normal 21 13" xfId="28589" xr:uid="{00000000-0005-0000-0000-00006B310000}"/>
    <cellStyle name="Normal 21 13 10" xfId="23215" xr:uid="{00000000-0005-0000-0000-00006C310000}"/>
    <cellStyle name="Normal 21 13 11" xfId="22618" xr:uid="{00000000-0005-0000-0000-00006D310000}"/>
    <cellStyle name="Normal 21 13 12" xfId="22022" xr:uid="{00000000-0005-0000-0000-00006E310000}"/>
    <cellStyle name="Normal 21 13 13" xfId="21425" xr:uid="{00000000-0005-0000-0000-00006F310000}"/>
    <cellStyle name="Normal 21 13 14" xfId="20828" xr:uid="{00000000-0005-0000-0000-000070310000}"/>
    <cellStyle name="Normal 21 13 15" xfId="20231" xr:uid="{00000000-0005-0000-0000-000071310000}"/>
    <cellStyle name="Normal 21 13 16" xfId="19635" xr:uid="{00000000-0005-0000-0000-000072310000}"/>
    <cellStyle name="Normal 21 13 17" xfId="19039" xr:uid="{00000000-0005-0000-0000-000073310000}"/>
    <cellStyle name="Normal 21 13 18" xfId="18447" xr:uid="{00000000-0005-0000-0000-000074310000}"/>
    <cellStyle name="Normal 21 13 19" xfId="17850" xr:uid="{00000000-0005-0000-0000-000075310000}"/>
    <cellStyle name="Normal 21 13 2" xfId="27989" xr:uid="{00000000-0005-0000-0000-000076310000}"/>
    <cellStyle name="Normal 21 13 20" xfId="17323" xr:uid="{00000000-0005-0000-0000-000077310000}"/>
    <cellStyle name="Normal 21 13 21" xfId="14579" xr:uid="{00000000-0005-0000-0000-000078310000}"/>
    <cellStyle name="Normal 21 13 22" xfId="15203" xr:uid="{00000000-0005-0000-0000-000079310000}"/>
    <cellStyle name="Normal 21 13 23" xfId="14001" xr:uid="{00000000-0005-0000-0000-00007A310000}"/>
    <cellStyle name="Normal 21 13 24" xfId="15944" xr:uid="{00000000-0005-0000-0000-00007B310000}"/>
    <cellStyle name="Normal 21 13 25" xfId="16325" xr:uid="{00000000-0005-0000-0000-00007C310000}"/>
    <cellStyle name="Normal 21 13 26" xfId="12840" xr:uid="{00000000-0005-0000-0000-00007D310000}"/>
    <cellStyle name="Normal 21 13 27" xfId="12792" xr:uid="{00000000-0005-0000-0000-00007E310000}"/>
    <cellStyle name="Normal 21 13 28" xfId="12459" xr:uid="{00000000-0005-0000-0000-00007F310000}"/>
    <cellStyle name="Normal 21 13 29" xfId="10574" xr:uid="{00000000-0005-0000-0000-000080310000}"/>
    <cellStyle name="Normal 21 13 3" xfId="27392" xr:uid="{00000000-0005-0000-0000-000081310000}"/>
    <cellStyle name="Normal 21 13 30" xfId="8644" xr:uid="{00000000-0005-0000-0000-000082310000}"/>
    <cellStyle name="Normal 21 13 31" xfId="11971" xr:uid="{00000000-0005-0000-0000-000083310000}"/>
    <cellStyle name="Normal 21 13 32" xfId="6310" xr:uid="{00000000-0005-0000-0000-000084310000}"/>
    <cellStyle name="Normal 21 13 33" xfId="7397" xr:uid="{00000000-0005-0000-0000-000085310000}"/>
    <cellStyle name="Normal 21 13 34" xfId="5107" xr:uid="{00000000-0005-0000-0000-000086310000}"/>
    <cellStyle name="Normal 21 13 35" xfId="11558" xr:uid="{00000000-0005-0000-0000-000087310000}"/>
    <cellStyle name="Normal 21 13 36" xfId="8204" xr:uid="{00000000-0005-0000-0000-000088310000}"/>
    <cellStyle name="Normal 21 13 37" xfId="10025" xr:uid="{00000000-0005-0000-0000-000089310000}"/>
    <cellStyle name="Normal 21 13 38" xfId="10191" xr:uid="{00000000-0005-0000-0000-00008A310000}"/>
    <cellStyle name="Normal 21 13 39" xfId="6435" xr:uid="{00000000-0005-0000-0000-00008B310000}"/>
    <cellStyle name="Normal 21 13 4" xfId="26795" xr:uid="{00000000-0005-0000-0000-00008C310000}"/>
    <cellStyle name="Normal 21 13 40" xfId="7596" xr:uid="{00000000-0005-0000-0000-00008D310000}"/>
    <cellStyle name="Normal 21 13 41" xfId="4748" xr:uid="{00000000-0005-0000-0000-00008E310000}"/>
    <cellStyle name="Normal 21 13 42" xfId="9745" xr:uid="{00000000-0005-0000-0000-00008F310000}"/>
    <cellStyle name="Normal 21 13 43" xfId="5941" xr:uid="{00000000-0005-0000-0000-000090310000}"/>
    <cellStyle name="Normal 21 13 5" xfId="26199" xr:uid="{00000000-0005-0000-0000-000091310000}"/>
    <cellStyle name="Normal 21 13 6" xfId="25603" xr:uid="{00000000-0005-0000-0000-000092310000}"/>
    <cellStyle name="Normal 21 13 7" xfId="25006" xr:uid="{00000000-0005-0000-0000-000093310000}"/>
    <cellStyle name="Normal 21 13 8" xfId="24409" xr:uid="{00000000-0005-0000-0000-000094310000}"/>
    <cellStyle name="Normal 21 13 9" xfId="23812" xr:uid="{00000000-0005-0000-0000-000095310000}"/>
    <cellStyle name="Normal 21 14" xfId="28588" xr:uid="{00000000-0005-0000-0000-000096310000}"/>
    <cellStyle name="Normal 21 14 10" xfId="23214" xr:uid="{00000000-0005-0000-0000-000097310000}"/>
    <cellStyle name="Normal 21 14 11" xfId="22617" xr:uid="{00000000-0005-0000-0000-000098310000}"/>
    <cellStyle name="Normal 21 14 12" xfId="22021" xr:uid="{00000000-0005-0000-0000-000099310000}"/>
    <cellStyle name="Normal 21 14 13" xfId="21424" xr:uid="{00000000-0005-0000-0000-00009A310000}"/>
    <cellStyle name="Normal 21 14 14" xfId="20827" xr:uid="{00000000-0005-0000-0000-00009B310000}"/>
    <cellStyle name="Normal 21 14 15" xfId="20230" xr:uid="{00000000-0005-0000-0000-00009C310000}"/>
    <cellStyle name="Normal 21 14 16" xfId="19634" xr:uid="{00000000-0005-0000-0000-00009D310000}"/>
    <cellStyle name="Normal 21 14 17" xfId="19038" xr:uid="{00000000-0005-0000-0000-00009E310000}"/>
    <cellStyle name="Normal 21 14 18" xfId="18446" xr:uid="{00000000-0005-0000-0000-00009F310000}"/>
    <cellStyle name="Normal 21 14 19" xfId="17849" xr:uid="{00000000-0005-0000-0000-0000A0310000}"/>
    <cellStyle name="Normal 21 14 2" xfId="27988" xr:uid="{00000000-0005-0000-0000-0000A1310000}"/>
    <cellStyle name="Normal 21 14 20" xfId="14156" xr:uid="{00000000-0005-0000-0000-0000A2310000}"/>
    <cellStyle name="Normal 21 14 21" xfId="14186" xr:uid="{00000000-0005-0000-0000-0000A3310000}"/>
    <cellStyle name="Normal 21 14 22" xfId="14811" xr:uid="{00000000-0005-0000-0000-0000A4310000}"/>
    <cellStyle name="Normal 21 14 23" xfId="14881" xr:uid="{00000000-0005-0000-0000-0000A5310000}"/>
    <cellStyle name="Normal 21 14 24" xfId="13345" xr:uid="{00000000-0005-0000-0000-0000A6310000}"/>
    <cellStyle name="Normal 21 14 25" xfId="16975" xr:uid="{00000000-0005-0000-0000-0000A7310000}"/>
    <cellStyle name="Normal 21 14 26" xfId="12828" xr:uid="{00000000-0005-0000-0000-0000A8310000}"/>
    <cellStyle name="Normal 21 14 27" xfId="12860" xr:uid="{00000000-0005-0000-0000-0000A9310000}"/>
    <cellStyle name="Normal 21 14 28" xfId="12458" xr:uid="{00000000-0005-0000-0000-0000AA310000}"/>
    <cellStyle name="Normal 21 14 29" xfId="10789" xr:uid="{00000000-0005-0000-0000-0000AB310000}"/>
    <cellStyle name="Normal 21 14 3" xfId="27391" xr:uid="{00000000-0005-0000-0000-0000AC310000}"/>
    <cellStyle name="Normal 21 14 30" xfId="7168" xr:uid="{00000000-0005-0000-0000-0000AD310000}"/>
    <cellStyle name="Normal 21 14 31" xfId="8831" xr:uid="{00000000-0005-0000-0000-0000AE310000}"/>
    <cellStyle name="Normal 21 14 32" xfId="11197" xr:uid="{00000000-0005-0000-0000-0000AF310000}"/>
    <cellStyle name="Normal 21 14 33" xfId="11887" xr:uid="{00000000-0005-0000-0000-0000B0310000}"/>
    <cellStyle name="Normal 21 14 34" xfId="5557" xr:uid="{00000000-0005-0000-0000-0000B1310000}"/>
    <cellStyle name="Normal 21 14 35" xfId="4204" xr:uid="{00000000-0005-0000-0000-0000B2310000}"/>
    <cellStyle name="Normal 21 14 36" xfId="4076" xr:uid="{00000000-0005-0000-0000-0000B3310000}"/>
    <cellStyle name="Normal 21 14 37" xfId="5449" xr:uid="{00000000-0005-0000-0000-0000B4310000}"/>
    <cellStyle name="Normal 21 14 38" xfId="7233" xr:uid="{00000000-0005-0000-0000-0000B5310000}"/>
    <cellStyle name="Normal 21 14 39" xfId="6535" xr:uid="{00000000-0005-0000-0000-0000B6310000}"/>
    <cellStyle name="Normal 21 14 4" xfId="26794" xr:uid="{00000000-0005-0000-0000-0000B7310000}"/>
    <cellStyle name="Normal 21 14 40" xfId="4825" xr:uid="{00000000-0005-0000-0000-0000B8310000}"/>
    <cellStyle name="Normal 21 14 41" xfId="5551" xr:uid="{00000000-0005-0000-0000-0000B9310000}"/>
    <cellStyle name="Normal 21 14 42" xfId="8541" xr:uid="{00000000-0005-0000-0000-0000BA310000}"/>
    <cellStyle name="Normal 21 14 43" xfId="5623" xr:uid="{00000000-0005-0000-0000-0000BB310000}"/>
    <cellStyle name="Normal 21 14 5" xfId="26198" xr:uid="{00000000-0005-0000-0000-0000BC310000}"/>
    <cellStyle name="Normal 21 14 6" xfId="25602" xr:uid="{00000000-0005-0000-0000-0000BD310000}"/>
    <cellStyle name="Normal 21 14 7" xfId="25005" xr:uid="{00000000-0005-0000-0000-0000BE310000}"/>
    <cellStyle name="Normal 21 14 8" xfId="24408" xr:uid="{00000000-0005-0000-0000-0000BF310000}"/>
    <cellStyle name="Normal 21 14 9" xfId="23811" xr:uid="{00000000-0005-0000-0000-0000C0310000}"/>
    <cellStyle name="Normal 21 15" xfId="28587" xr:uid="{00000000-0005-0000-0000-0000C1310000}"/>
    <cellStyle name="Normal 21 15 10" xfId="23213" xr:uid="{00000000-0005-0000-0000-0000C2310000}"/>
    <cellStyle name="Normal 21 15 11" xfId="22616" xr:uid="{00000000-0005-0000-0000-0000C3310000}"/>
    <cellStyle name="Normal 21 15 12" xfId="22020" xr:uid="{00000000-0005-0000-0000-0000C4310000}"/>
    <cellStyle name="Normal 21 15 13" xfId="21423" xr:uid="{00000000-0005-0000-0000-0000C5310000}"/>
    <cellStyle name="Normal 21 15 14" xfId="20826" xr:uid="{00000000-0005-0000-0000-0000C6310000}"/>
    <cellStyle name="Normal 21 15 15" xfId="20229" xr:uid="{00000000-0005-0000-0000-0000C7310000}"/>
    <cellStyle name="Normal 21 15 16" xfId="19633" xr:uid="{00000000-0005-0000-0000-0000C8310000}"/>
    <cellStyle name="Normal 21 15 17" xfId="19037" xr:uid="{00000000-0005-0000-0000-0000C9310000}"/>
    <cellStyle name="Normal 21 15 18" xfId="18445" xr:uid="{00000000-0005-0000-0000-0000CA310000}"/>
    <cellStyle name="Normal 21 15 19" xfId="17848" xr:uid="{00000000-0005-0000-0000-0000CB310000}"/>
    <cellStyle name="Normal 21 15 2" xfId="27987" xr:uid="{00000000-0005-0000-0000-0000CC310000}"/>
    <cellStyle name="Normal 21 15 20" xfId="14345" xr:uid="{00000000-0005-0000-0000-0000CD310000}"/>
    <cellStyle name="Normal 21 15 21" xfId="13967" xr:uid="{00000000-0005-0000-0000-0000CE310000}"/>
    <cellStyle name="Normal 21 15 22" xfId="15229" xr:uid="{00000000-0005-0000-0000-0000CF310000}"/>
    <cellStyle name="Normal 21 15 23" xfId="16273" xr:uid="{00000000-0005-0000-0000-0000D0310000}"/>
    <cellStyle name="Normal 21 15 24" xfId="16687" xr:uid="{00000000-0005-0000-0000-0000D1310000}"/>
    <cellStyle name="Normal 21 15 25" xfId="14640" xr:uid="{00000000-0005-0000-0000-0000D2310000}"/>
    <cellStyle name="Normal 21 15 26" xfId="13243" xr:uid="{00000000-0005-0000-0000-0000D3310000}"/>
    <cellStyle name="Normal 21 15 27" xfId="17220" xr:uid="{00000000-0005-0000-0000-0000D4310000}"/>
    <cellStyle name="Normal 21 15 28" xfId="12457" xr:uid="{00000000-0005-0000-0000-0000D5310000}"/>
    <cellStyle name="Normal 21 15 29" xfId="11008" xr:uid="{00000000-0005-0000-0000-0000D6310000}"/>
    <cellStyle name="Normal 21 15 3" xfId="27390" xr:uid="{00000000-0005-0000-0000-0000D7310000}"/>
    <cellStyle name="Normal 21 15 30" xfId="8636" xr:uid="{00000000-0005-0000-0000-0000D8310000}"/>
    <cellStyle name="Normal 21 15 31" xfId="11292" xr:uid="{00000000-0005-0000-0000-0000D9310000}"/>
    <cellStyle name="Normal 21 15 32" xfId="6181" xr:uid="{00000000-0005-0000-0000-0000DA310000}"/>
    <cellStyle name="Normal 21 15 33" xfId="5745" xr:uid="{00000000-0005-0000-0000-0000DB310000}"/>
    <cellStyle name="Normal 21 15 34" xfId="5834" xr:uid="{00000000-0005-0000-0000-0000DC310000}"/>
    <cellStyle name="Normal 21 15 35" xfId="10272" xr:uid="{00000000-0005-0000-0000-0000DD310000}"/>
    <cellStyle name="Normal 21 15 36" xfId="8237" xr:uid="{00000000-0005-0000-0000-0000DE310000}"/>
    <cellStyle name="Normal 21 15 37" xfId="10308" xr:uid="{00000000-0005-0000-0000-0000DF310000}"/>
    <cellStyle name="Normal 21 15 38" xfId="4187" xr:uid="{00000000-0005-0000-0000-0000E0310000}"/>
    <cellStyle name="Normal 21 15 39" xfId="3910" xr:uid="{00000000-0005-0000-0000-0000E1310000}"/>
    <cellStyle name="Normal 21 15 4" xfId="26793" xr:uid="{00000000-0005-0000-0000-0000E2310000}"/>
    <cellStyle name="Normal 21 15 40" xfId="3338" xr:uid="{00000000-0005-0000-0000-0000E3310000}"/>
    <cellStyle name="Normal 21 15 41" xfId="4193" xr:uid="{00000000-0005-0000-0000-0000E4310000}"/>
    <cellStyle name="Normal 21 15 42" xfId="11781" xr:uid="{00000000-0005-0000-0000-0000E5310000}"/>
    <cellStyle name="Normal 21 15 43" xfId="4542" xr:uid="{00000000-0005-0000-0000-0000E6310000}"/>
    <cellStyle name="Normal 21 15 5" xfId="26197" xr:uid="{00000000-0005-0000-0000-0000E7310000}"/>
    <cellStyle name="Normal 21 15 6" xfId="25601" xr:uid="{00000000-0005-0000-0000-0000E8310000}"/>
    <cellStyle name="Normal 21 15 7" xfId="25004" xr:uid="{00000000-0005-0000-0000-0000E9310000}"/>
    <cellStyle name="Normal 21 15 8" xfId="24407" xr:uid="{00000000-0005-0000-0000-0000EA310000}"/>
    <cellStyle name="Normal 21 15 9" xfId="23810" xr:uid="{00000000-0005-0000-0000-0000EB310000}"/>
    <cellStyle name="Normal 21 16" xfId="28586" xr:uid="{00000000-0005-0000-0000-0000EC310000}"/>
    <cellStyle name="Normal 21 16 10" xfId="23212" xr:uid="{00000000-0005-0000-0000-0000ED310000}"/>
    <cellStyle name="Normal 21 16 11" xfId="22615" xr:uid="{00000000-0005-0000-0000-0000EE310000}"/>
    <cellStyle name="Normal 21 16 12" xfId="22019" xr:uid="{00000000-0005-0000-0000-0000EF310000}"/>
    <cellStyle name="Normal 21 16 13" xfId="21422" xr:uid="{00000000-0005-0000-0000-0000F0310000}"/>
    <cellStyle name="Normal 21 16 14" xfId="20825" xr:uid="{00000000-0005-0000-0000-0000F1310000}"/>
    <cellStyle name="Normal 21 16 15" xfId="20228" xr:uid="{00000000-0005-0000-0000-0000F2310000}"/>
    <cellStyle name="Normal 21 16 16" xfId="19632" xr:uid="{00000000-0005-0000-0000-0000F3310000}"/>
    <cellStyle name="Normal 21 16 17" xfId="19036" xr:uid="{00000000-0005-0000-0000-0000F4310000}"/>
    <cellStyle name="Normal 21 16 18" xfId="18444" xr:uid="{00000000-0005-0000-0000-0000F5310000}"/>
    <cellStyle name="Normal 21 16 19" xfId="17847" xr:uid="{00000000-0005-0000-0000-0000F6310000}"/>
    <cellStyle name="Normal 21 16 2" xfId="27986" xr:uid="{00000000-0005-0000-0000-0000F7310000}"/>
    <cellStyle name="Normal 21 16 20" xfId="14536" xr:uid="{00000000-0005-0000-0000-0000F8310000}"/>
    <cellStyle name="Normal 21 16 21" xfId="14138" xr:uid="{00000000-0005-0000-0000-0000F9310000}"/>
    <cellStyle name="Normal 21 16 22" xfId="16235" xr:uid="{00000000-0005-0000-0000-0000FA310000}"/>
    <cellStyle name="Normal 21 16 23" xfId="14655" xr:uid="{00000000-0005-0000-0000-0000FB310000}"/>
    <cellStyle name="Normal 21 16 24" xfId="13900" xr:uid="{00000000-0005-0000-0000-0000FC310000}"/>
    <cellStyle name="Normal 21 16 25" xfId="13191" xr:uid="{00000000-0005-0000-0000-0000FD310000}"/>
    <cellStyle name="Normal 21 16 26" xfId="14783" xr:uid="{00000000-0005-0000-0000-0000FE310000}"/>
    <cellStyle name="Normal 21 16 27" xfId="12862" xr:uid="{00000000-0005-0000-0000-0000FF310000}"/>
    <cellStyle name="Normal 21 16 28" xfId="12456" xr:uid="{00000000-0005-0000-0000-000000320000}"/>
    <cellStyle name="Normal 21 16 29" xfId="11236" xr:uid="{00000000-0005-0000-0000-000001320000}"/>
    <cellStyle name="Normal 21 16 3" xfId="27389" xr:uid="{00000000-0005-0000-0000-000002320000}"/>
    <cellStyle name="Normal 21 16 30" xfId="7688" xr:uid="{00000000-0005-0000-0000-000003320000}"/>
    <cellStyle name="Normal 21 16 31" xfId="7472" xr:uid="{00000000-0005-0000-0000-000004320000}"/>
    <cellStyle name="Normal 21 16 32" xfId="8935" xr:uid="{00000000-0005-0000-0000-000005320000}"/>
    <cellStyle name="Normal 21 16 33" xfId="5842" xr:uid="{00000000-0005-0000-0000-000006320000}"/>
    <cellStyle name="Normal 21 16 34" xfId="9530" xr:uid="{00000000-0005-0000-0000-000007320000}"/>
    <cellStyle name="Normal 21 16 35" xfId="10674" xr:uid="{00000000-0005-0000-0000-000008320000}"/>
    <cellStyle name="Normal 21 16 36" xfId="5657" xr:uid="{00000000-0005-0000-0000-000009320000}"/>
    <cellStyle name="Normal 21 16 37" xfId="10779" xr:uid="{00000000-0005-0000-0000-00000A320000}"/>
    <cellStyle name="Normal 21 16 38" xfId="4099" xr:uid="{00000000-0005-0000-0000-00000B320000}"/>
    <cellStyle name="Normal 21 16 39" xfId="5093" xr:uid="{00000000-0005-0000-0000-00000C320000}"/>
    <cellStyle name="Normal 21 16 4" xfId="26792" xr:uid="{00000000-0005-0000-0000-00000D320000}"/>
    <cellStyle name="Normal 21 16 40" xfId="3926" xr:uid="{00000000-0005-0000-0000-00000E320000}"/>
    <cellStyle name="Normal 21 16 41" xfId="4975" xr:uid="{00000000-0005-0000-0000-00000F320000}"/>
    <cellStyle name="Normal 21 16 42" xfId="6339" xr:uid="{00000000-0005-0000-0000-000010320000}"/>
    <cellStyle name="Normal 21 16 43" xfId="3240" xr:uid="{00000000-0005-0000-0000-000011320000}"/>
    <cellStyle name="Normal 21 16 5" xfId="26196" xr:uid="{00000000-0005-0000-0000-000012320000}"/>
    <cellStyle name="Normal 21 16 6" xfId="25600" xr:uid="{00000000-0005-0000-0000-000013320000}"/>
    <cellStyle name="Normal 21 16 7" xfId="25003" xr:uid="{00000000-0005-0000-0000-000014320000}"/>
    <cellStyle name="Normal 21 16 8" xfId="24406" xr:uid="{00000000-0005-0000-0000-000015320000}"/>
    <cellStyle name="Normal 21 16 9" xfId="23809" xr:uid="{00000000-0005-0000-0000-000016320000}"/>
    <cellStyle name="Normal 21 17" xfId="28585" xr:uid="{00000000-0005-0000-0000-000017320000}"/>
    <cellStyle name="Normal 21 17 10" xfId="23211" xr:uid="{00000000-0005-0000-0000-000018320000}"/>
    <cellStyle name="Normal 21 17 11" xfId="22614" xr:uid="{00000000-0005-0000-0000-000019320000}"/>
    <cellStyle name="Normal 21 17 12" xfId="22018" xr:uid="{00000000-0005-0000-0000-00001A320000}"/>
    <cellStyle name="Normal 21 17 13" xfId="21421" xr:uid="{00000000-0005-0000-0000-00001B320000}"/>
    <cellStyle name="Normal 21 17 14" xfId="20824" xr:uid="{00000000-0005-0000-0000-00001C320000}"/>
    <cellStyle name="Normal 21 17 15" xfId="20227" xr:uid="{00000000-0005-0000-0000-00001D320000}"/>
    <cellStyle name="Normal 21 17 16" xfId="19631" xr:uid="{00000000-0005-0000-0000-00001E320000}"/>
    <cellStyle name="Normal 21 17 17" xfId="19035" xr:uid="{00000000-0005-0000-0000-00001F320000}"/>
    <cellStyle name="Normal 21 17 18" xfId="18443" xr:uid="{00000000-0005-0000-0000-000020320000}"/>
    <cellStyle name="Normal 21 17 19" xfId="17846" xr:uid="{00000000-0005-0000-0000-000021320000}"/>
    <cellStyle name="Normal 21 17 2" xfId="27985" xr:uid="{00000000-0005-0000-0000-000022320000}"/>
    <cellStyle name="Normal 21 17 20" xfId="14733" xr:uid="{00000000-0005-0000-0000-000023320000}"/>
    <cellStyle name="Normal 21 17 21" xfId="16899" xr:uid="{00000000-0005-0000-0000-000024320000}"/>
    <cellStyle name="Normal 21 17 22" xfId="17260" xr:uid="{00000000-0005-0000-0000-000025320000}"/>
    <cellStyle name="Normal 21 17 23" xfId="14110" xr:uid="{00000000-0005-0000-0000-000026320000}"/>
    <cellStyle name="Normal 21 17 24" xfId="16967" xr:uid="{00000000-0005-0000-0000-000027320000}"/>
    <cellStyle name="Normal 21 17 25" xfId="13446" xr:uid="{00000000-0005-0000-0000-000028320000}"/>
    <cellStyle name="Normal 21 17 26" xfId="16298" xr:uid="{00000000-0005-0000-0000-000029320000}"/>
    <cellStyle name="Normal 21 17 27" xfId="15379" xr:uid="{00000000-0005-0000-0000-00002A320000}"/>
    <cellStyle name="Normal 21 17 28" xfId="12455" xr:uid="{00000000-0005-0000-0000-00002B320000}"/>
    <cellStyle name="Normal 21 17 29" xfId="11469" xr:uid="{00000000-0005-0000-0000-00002C320000}"/>
    <cellStyle name="Normal 21 17 3" xfId="27388" xr:uid="{00000000-0005-0000-0000-00002D320000}"/>
    <cellStyle name="Normal 21 17 30" xfId="8030" xr:uid="{00000000-0005-0000-0000-00002E320000}"/>
    <cellStyle name="Normal 21 17 31" xfId="8323" xr:uid="{00000000-0005-0000-0000-00002F320000}"/>
    <cellStyle name="Normal 21 17 32" xfId="8373" xr:uid="{00000000-0005-0000-0000-000030320000}"/>
    <cellStyle name="Normal 21 17 33" xfId="8243" xr:uid="{00000000-0005-0000-0000-000031320000}"/>
    <cellStyle name="Normal 21 17 34" xfId="7915" xr:uid="{00000000-0005-0000-0000-000032320000}"/>
    <cellStyle name="Normal 21 17 35" xfId="10501" xr:uid="{00000000-0005-0000-0000-000033320000}"/>
    <cellStyle name="Normal 21 17 36" xfId="10598" xr:uid="{00000000-0005-0000-0000-000034320000}"/>
    <cellStyle name="Normal 21 17 37" xfId="11273" xr:uid="{00000000-0005-0000-0000-000035320000}"/>
    <cellStyle name="Normal 21 17 38" xfId="6701" xr:uid="{00000000-0005-0000-0000-000036320000}"/>
    <cellStyle name="Normal 21 17 39" xfId="7997" xr:uid="{00000000-0005-0000-0000-000037320000}"/>
    <cellStyle name="Normal 21 17 4" xfId="26791" xr:uid="{00000000-0005-0000-0000-000038320000}"/>
    <cellStyle name="Normal 21 17 40" xfId="11625" xr:uid="{00000000-0005-0000-0000-000039320000}"/>
    <cellStyle name="Normal 21 17 41" xfId="3470" xr:uid="{00000000-0005-0000-0000-00003A320000}"/>
    <cellStyle name="Normal 21 17 42" xfId="3894" xr:uid="{00000000-0005-0000-0000-00003B320000}"/>
    <cellStyle name="Normal 21 17 43" xfId="9709" xr:uid="{00000000-0005-0000-0000-00003C320000}"/>
    <cellStyle name="Normal 21 17 5" xfId="26195" xr:uid="{00000000-0005-0000-0000-00003D320000}"/>
    <cellStyle name="Normal 21 17 6" xfId="25599" xr:uid="{00000000-0005-0000-0000-00003E320000}"/>
    <cellStyle name="Normal 21 17 7" xfId="25002" xr:uid="{00000000-0005-0000-0000-00003F320000}"/>
    <cellStyle name="Normal 21 17 8" xfId="24405" xr:uid="{00000000-0005-0000-0000-000040320000}"/>
    <cellStyle name="Normal 21 17 9" xfId="23808" xr:uid="{00000000-0005-0000-0000-000041320000}"/>
    <cellStyle name="Normal 21 18" xfId="28584" xr:uid="{00000000-0005-0000-0000-000042320000}"/>
    <cellStyle name="Normal 21 18 10" xfId="23210" xr:uid="{00000000-0005-0000-0000-000043320000}"/>
    <cellStyle name="Normal 21 18 11" xfId="22613" xr:uid="{00000000-0005-0000-0000-000044320000}"/>
    <cellStyle name="Normal 21 18 12" xfId="22017" xr:uid="{00000000-0005-0000-0000-000045320000}"/>
    <cellStyle name="Normal 21 18 13" xfId="21420" xr:uid="{00000000-0005-0000-0000-000046320000}"/>
    <cellStyle name="Normal 21 18 14" xfId="20823" xr:uid="{00000000-0005-0000-0000-000047320000}"/>
    <cellStyle name="Normal 21 18 15" xfId="20226" xr:uid="{00000000-0005-0000-0000-000048320000}"/>
    <cellStyle name="Normal 21 18 16" xfId="19630" xr:uid="{00000000-0005-0000-0000-000049320000}"/>
    <cellStyle name="Normal 21 18 17" xfId="19034" xr:uid="{00000000-0005-0000-0000-00004A320000}"/>
    <cellStyle name="Normal 21 18 18" xfId="18442" xr:uid="{00000000-0005-0000-0000-00004B320000}"/>
    <cellStyle name="Normal 21 18 19" xfId="17845" xr:uid="{00000000-0005-0000-0000-00004C320000}"/>
    <cellStyle name="Normal 21 18 2" xfId="27984" xr:uid="{00000000-0005-0000-0000-00004D320000}"/>
    <cellStyle name="Normal 21 18 20" xfId="14935" xr:uid="{00000000-0005-0000-0000-00004E320000}"/>
    <cellStyle name="Normal 21 18 21" xfId="16888" xr:uid="{00000000-0005-0000-0000-00004F320000}"/>
    <cellStyle name="Normal 21 18 22" xfId="14884" xr:uid="{00000000-0005-0000-0000-000050320000}"/>
    <cellStyle name="Normal 21 18 23" xfId="15364" xr:uid="{00000000-0005-0000-0000-000051320000}"/>
    <cellStyle name="Normal 21 18 24" xfId="14901" xr:uid="{00000000-0005-0000-0000-000052320000}"/>
    <cellStyle name="Normal 21 18 25" xfId="13527" xr:uid="{00000000-0005-0000-0000-000053320000}"/>
    <cellStyle name="Normal 21 18 26" xfId="13931" xr:uid="{00000000-0005-0000-0000-000054320000}"/>
    <cellStyle name="Normal 21 18 27" xfId="13717" xr:uid="{00000000-0005-0000-0000-000055320000}"/>
    <cellStyle name="Normal 21 18 28" xfId="12454" xr:uid="{00000000-0005-0000-0000-000056320000}"/>
    <cellStyle name="Normal 21 18 29" xfId="11693" xr:uid="{00000000-0005-0000-0000-000057320000}"/>
    <cellStyle name="Normal 21 18 3" xfId="27387" xr:uid="{00000000-0005-0000-0000-000058320000}"/>
    <cellStyle name="Normal 21 18 30" xfId="7389" xr:uid="{00000000-0005-0000-0000-000059320000}"/>
    <cellStyle name="Normal 21 18 31" xfId="6796" xr:uid="{00000000-0005-0000-0000-00005A320000}"/>
    <cellStyle name="Normal 21 18 32" xfId="5317" xr:uid="{00000000-0005-0000-0000-00005B320000}"/>
    <cellStyle name="Normal 21 18 33" xfId="10108" xr:uid="{00000000-0005-0000-0000-00005C320000}"/>
    <cellStyle name="Normal 21 18 34" xfId="9010" xr:uid="{00000000-0005-0000-0000-00005D320000}"/>
    <cellStyle name="Normal 21 18 35" xfId="8648" xr:uid="{00000000-0005-0000-0000-00005E320000}"/>
    <cellStyle name="Normal 21 18 36" xfId="8922" xr:uid="{00000000-0005-0000-0000-00005F320000}"/>
    <cellStyle name="Normal 21 18 37" xfId="4075" xr:uid="{00000000-0005-0000-0000-000060320000}"/>
    <cellStyle name="Normal 21 18 38" xfId="6063" xr:uid="{00000000-0005-0000-0000-000061320000}"/>
    <cellStyle name="Normal 21 18 39" xfId="7766" xr:uid="{00000000-0005-0000-0000-000062320000}"/>
    <cellStyle name="Normal 21 18 4" xfId="26790" xr:uid="{00000000-0005-0000-0000-000063320000}"/>
    <cellStyle name="Normal 21 18 40" xfId="9994" xr:uid="{00000000-0005-0000-0000-000064320000}"/>
    <cellStyle name="Normal 21 18 41" xfId="8618" xr:uid="{00000000-0005-0000-0000-000065320000}"/>
    <cellStyle name="Normal 21 18 42" xfId="7466" xr:uid="{00000000-0005-0000-0000-000066320000}"/>
    <cellStyle name="Normal 21 18 43" xfId="10762" xr:uid="{00000000-0005-0000-0000-000067320000}"/>
    <cellStyle name="Normal 21 18 5" xfId="26194" xr:uid="{00000000-0005-0000-0000-000068320000}"/>
    <cellStyle name="Normal 21 18 6" xfId="25598" xr:uid="{00000000-0005-0000-0000-000069320000}"/>
    <cellStyle name="Normal 21 18 7" xfId="25001" xr:uid="{00000000-0005-0000-0000-00006A320000}"/>
    <cellStyle name="Normal 21 18 8" xfId="24404" xr:uid="{00000000-0005-0000-0000-00006B320000}"/>
    <cellStyle name="Normal 21 18 9" xfId="23807" xr:uid="{00000000-0005-0000-0000-00006C320000}"/>
    <cellStyle name="Normal 21 19" xfId="28583" xr:uid="{00000000-0005-0000-0000-00006D320000}"/>
    <cellStyle name="Normal 21 19 10" xfId="23209" xr:uid="{00000000-0005-0000-0000-00006E320000}"/>
    <cellStyle name="Normal 21 19 11" xfId="22612" xr:uid="{00000000-0005-0000-0000-00006F320000}"/>
    <cellStyle name="Normal 21 19 12" xfId="22016" xr:uid="{00000000-0005-0000-0000-000070320000}"/>
    <cellStyle name="Normal 21 19 13" xfId="21419" xr:uid="{00000000-0005-0000-0000-000071320000}"/>
    <cellStyle name="Normal 21 19 14" xfId="20822" xr:uid="{00000000-0005-0000-0000-000072320000}"/>
    <cellStyle name="Normal 21 19 15" xfId="20225" xr:uid="{00000000-0005-0000-0000-000073320000}"/>
    <cellStyle name="Normal 21 19 16" xfId="19629" xr:uid="{00000000-0005-0000-0000-000074320000}"/>
    <cellStyle name="Normal 21 19 17" xfId="19033" xr:uid="{00000000-0005-0000-0000-000075320000}"/>
    <cellStyle name="Normal 21 19 18" xfId="18441" xr:uid="{00000000-0005-0000-0000-000076320000}"/>
    <cellStyle name="Normal 21 19 19" xfId="17844" xr:uid="{00000000-0005-0000-0000-000077320000}"/>
    <cellStyle name="Normal 21 19 2" xfId="27983" xr:uid="{00000000-0005-0000-0000-000078320000}"/>
    <cellStyle name="Normal 21 19 20" xfId="15142" xr:uid="{00000000-0005-0000-0000-000079320000}"/>
    <cellStyle name="Normal 21 19 21" xfId="16685" xr:uid="{00000000-0005-0000-0000-00007A320000}"/>
    <cellStyle name="Normal 21 19 22" xfId="15112" xr:uid="{00000000-0005-0000-0000-00007B320000}"/>
    <cellStyle name="Normal 21 19 23" xfId="17000" xr:uid="{00000000-0005-0000-0000-00007C320000}"/>
    <cellStyle name="Normal 21 19 24" xfId="16484" xr:uid="{00000000-0005-0000-0000-00007D320000}"/>
    <cellStyle name="Normal 21 19 25" xfId="13130" xr:uid="{00000000-0005-0000-0000-00007E320000}"/>
    <cellStyle name="Normal 21 19 26" xfId="15883" xr:uid="{00000000-0005-0000-0000-00007F320000}"/>
    <cellStyle name="Normal 21 19 27" xfId="15955" xr:uid="{00000000-0005-0000-0000-000080320000}"/>
    <cellStyle name="Normal 21 19 28" xfId="12453" xr:uid="{00000000-0005-0000-0000-000081320000}"/>
    <cellStyle name="Normal 21 19 29" xfId="6853" xr:uid="{00000000-0005-0000-0000-000082320000}"/>
    <cellStyle name="Normal 21 19 3" xfId="27386" xr:uid="{00000000-0005-0000-0000-000083320000}"/>
    <cellStyle name="Normal 21 19 30" xfId="12010" xr:uid="{00000000-0005-0000-0000-000084320000}"/>
    <cellStyle name="Normal 21 19 31" xfId="10678" xr:uid="{00000000-0005-0000-0000-000085320000}"/>
    <cellStyle name="Normal 21 19 32" xfId="10209" xr:uid="{00000000-0005-0000-0000-000086320000}"/>
    <cellStyle name="Normal 21 19 33" xfId="8392" xr:uid="{00000000-0005-0000-0000-000087320000}"/>
    <cellStyle name="Normal 21 19 34" xfId="5143" xr:uid="{00000000-0005-0000-0000-000088320000}"/>
    <cellStyle name="Normal 21 19 35" xfId="7188" xr:uid="{00000000-0005-0000-0000-000089320000}"/>
    <cellStyle name="Normal 21 19 36" xfId="9706" xr:uid="{00000000-0005-0000-0000-00008A320000}"/>
    <cellStyle name="Normal 21 19 37" xfId="11816" xr:uid="{00000000-0005-0000-0000-00008B320000}"/>
    <cellStyle name="Normal 21 19 38" xfId="4701" xr:uid="{00000000-0005-0000-0000-00008C320000}"/>
    <cellStyle name="Normal 21 19 39" xfId="4120" xr:uid="{00000000-0005-0000-0000-00008D320000}"/>
    <cellStyle name="Normal 21 19 4" xfId="26789" xr:uid="{00000000-0005-0000-0000-00008E320000}"/>
    <cellStyle name="Normal 21 19 40" xfId="11559" xr:uid="{00000000-0005-0000-0000-00008F320000}"/>
    <cellStyle name="Normal 21 19 41" xfId="8850" xr:uid="{00000000-0005-0000-0000-000090320000}"/>
    <cellStyle name="Normal 21 19 42" xfId="9910" xr:uid="{00000000-0005-0000-0000-000091320000}"/>
    <cellStyle name="Normal 21 19 43" xfId="5404" xr:uid="{00000000-0005-0000-0000-000092320000}"/>
    <cellStyle name="Normal 21 19 5" xfId="26193" xr:uid="{00000000-0005-0000-0000-000093320000}"/>
    <cellStyle name="Normal 21 19 6" xfId="25597" xr:uid="{00000000-0005-0000-0000-000094320000}"/>
    <cellStyle name="Normal 21 19 7" xfId="25000" xr:uid="{00000000-0005-0000-0000-000095320000}"/>
    <cellStyle name="Normal 21 19 8" xfId="24403" xr:uid="{00000000-0005-0000-0000-000096320000}"/>
    <cellStyle name="Normal 21 19 9" xfId="23806" xr:uid="{00000000-0005-0000-0000-000097320000}"/>
    <cellStyle name="Normal 21 2" xfId="28582" xr:uid="{00000000-0005-0000-0000-000098320000}"/>
    <cellStyle name="Normal 21 2 10" xfId="23208" xr:uid="{00000000-0005-0000-0000-000099320000}"/>
    <cellStyle name="Normal 21 2 11" xfId="22611" xr:uid="{00000000-0005-0000-0000-00009A320000}"/>
    <cellStyle name="Normal 21 2 12" xfId="22015" xr:uid="{00000000-0005-0000-0000-00009B320000}"/>
    <cellStyle name="Normal 21 2 13" xfId="21418" xr:uid="{00000000-0005-0000-0000-00009C320000}"/>
    <cellStyle name="Normal 21 2 14" xfId="20821" xr:uid="{00000000-0005-0000-0000-00009D320000}"/>
    <cellStyle name="Normal 21 2 15" xfId="20224" xr:uid="{00000000-0005-0000-0000-00009E320000}"/>
    <cellStyle name="Normal 21 2 16" xfId="19628" xr:uid="{00000000-0005-0000-0000-00009F320000}"/>
    <cellStyle name="Normal 21 2 17" xfId="19032" xr:uid="{00000000-0005-0000-0000-0000A0320000}"/>
    <cellStyle name="Normal 21 2 18" xfId="18440" xr:uid="{00000000-0005-0000-0000-0000A1320000}"/>
    <cellStyle name="Normal 21 2 19" xfId="17843" xr:uid="{00000000-0005-0000-0000-0000A2320000}"/>
    <cellStyle name="Normal 21 2 2" xfId="27982" xr:uid="{00000000-0005-0000-0000-0000A3320000}"/>
    <cellStyle name="Normal 21 2 20" xfId="15337" xr:uid="{00000000-0005-0000-0000-0000A4320000}"/>
    <cellStyle name="Normal 21 2 21" xfId="16676" xr:uid="{00000000-0005-0000-0000-0000A5320000}"/>
    <cellStyle name="Normal 21 2 22" xfId="14018" xr:uid="{00000000-0005-0000-0000-0000A6320000}"/>
    <cellStyle name="Normal 21 2 23" xfId="15672" xr:uid="{00000000-0005-0000-0000-0000A7320000}"/>
    <cellStyle name="Normal 21 2 24" xfId="17071" xr:uid="{00000000-0005-0000-0000-0000A8320000}"/>
    <cellStyle name="Normal 21 2 25" xfId="15212" xr:uid="{00000000-0005-0000-0000-0000A9320000}"/>
    <cellStyle name="Normal 21 2 26" xfId="14037" xr:uid="{00000000-0005-0000-0000-0000AA320000}"/>
    <cellStyle name="Normal 21 2 27" xfId="13414" xr:uid="{00000000-0005-0000-0000-0000AB320000}"/>
    <cellStyle name="Normal 21 2 28" xfId="12452" xr:uid="{00000000-0005-0000-0000-0000AC320000}"/>
    <cellStyle name="Normal 21 2 29" xfId="7530" xr:uid="{00000000-0005-0000-0000-0000AD320000}"/>
    <cellStyle name="Normal 21 2 3" xfId="27385" xr:uid="{00000000-0005-0000-0000-0000AE320000}"/>
    <cellStyle name="Normal 21 2 30" xfId="8170" xr:uid="{00000000-0005-0000-0000-0000AF320000}"/>
    <cellStyle name="Normal 21 2 31" xfId="9903" xr:uid="{00000000-0005-0000-0000-0000B0320000}"/>
    <cellStyle name="Normal 21 2 32" xfId="5176" xr:uid="{00000000-0005-0000-0000-0000B1320000}"/>
    <cellStyle name="Normal 21 2 33" xfId="8690" xr:uid="{00000000-0005-0000-0000-0000B2320000}"/>
    <cellStyle name="Normal 21 2 34" xfId="7623" xr:uid="{00000000-0005-0000-0000-0000B3320000}"/>
    <cellStyle name="Normal 21 2 35" xfId="4459" xr:uid="{00000000-0005-0000-0000-0000B4320000}"/>
    <cellStyle name="Normal 21 2 36" xfId="4721" xr:uid="{00000000-0005-0000-0000-0000B5320000}"/>
    <cellStyle name="Normal 21 2 37" xfId="11965" xr:uid="{00000000-0005-0000-0000-0000B6320000}"/>
    <cellStyle name="Normal 21 2 38" xfId="4536" xr:uid="{00000000-0005-0000-0000-0000B7320000}"/>
    <cellStyle name="Normal 21 2 39" xfId="4017" xr:uid="{00000000-0005-0000-0000-0000B8320000}"/>
    <cellStyle name="Normal 21 2 4" xfId="26788" xr:uid="{00000000-0005-0000-0000-0000B9320000}"/>
    <cellStyle name="Normal 21 2 40" xfId="4168" xr:uid="{00000000-0005-0000-0000-0000BA320000}"/>
    <cellStyle name="Normal 21 2 41" xfId="3199" xr:uid="{00000000-0005-0000-0000-0000BB320000}"/>
    <cellStyle name="Normal 21 2 42" xfId="7312" xr:uid="{00000000-0005-0000-0000-0000BC320000}"/>
    <cellStyle name="Normal 21 2 43" xfId="3117" xr:uid="{00000000-0005-0000-0000-0000BD320000}"/>
    <cellStyle name="Normal 21 2 44" xfId="2966" xr:uid="{00000000-0005-0000-0000-0000BE320000}"/>
    <cellStyle name="Normal 21 2 45" xfId="2723" xr:uid="{00000000-0005-0000-0000-0000BF320000}"/>
    <cellStyle name="Normal 21 2 46" xfId="2483" xr:uid="{00000000-0005-0000-0000-0000C0320000}"/>
    <cellStyle name="Normal 21 2 47" xfId="2243" xr:uid="{00000000-0005-0000-0000-0000C1320000}"/>
    <cellStyle name="Normal 21 2 48" xfId="2003" xr:uid="{00000000-0005-0000-0000-0000C2320000}"/>
    <cellStyle name="Normal 21 2 49" xfId="1763" xr:uid="{00000000-0005-0000-0000-0000C3320000}"/>
    <cellStyle name="Normal 21 2 5" xfId="26192" xr:uid="{00000000-0005-0000-0000-0000C4320000}"/>
    <cellStyle name="Normal 21 2 50" xfId="1524" xr:uid="{00000000-0005-0000-0000-0000C5320000}"/>
    <cellStyle name="Normal 21 2 51" xfId="1284" xr:uid="{00000000-0005-0000-0000-0000C6320000}"/>
    <cellStyle name="Normal 21 2 52" xfId="1044" xr:uid="{00000000-0005-0000-0000-0000C7320000}"/>
    <cellStyle name="Normal 21 2 53" xfId="804" xr:uid="{00000000-0005-0000-0000-0000C8320000}"/>
    <cellStyle name="Normal 21 2 54" xfId="564" xr:uid="{00000000-0005-0000-0000-0000C9320000}"/>
    <cellStyle name="Normal 21 2 55" xfId="325" xr:uid="{00000000-0005-0000-0000-0000CA320000}"/>
    <cellStyle name="Normal 21 2 56" xfId="87" xr:uid="{00000000-0005-0000-0000-0000CB320000}"/>
    <cellStyle name="Normal 21 2 6" xfId="25596" xr:uid="{00000000-0005-0000-0000-0000CC320000}"/>
    <cellStyle name="Normal 21 2 7" xfId="24999" xr:uid="{00000000-0005-0000-0000-0000CD320000}"/>
    <cellStyle name="Normal 21 2 8" xfId="24402" xr:uid="{00000000-0005-0000-0000-0000CE320000}"/>
    <cellStyle name="Normal 21 2 9" xfId="23805" xr:uid="{00000000-0005-0000-0000-0000CF320000}"/>
    <cellStyle name="Normal 21 20" xfId="28581" xr:uid="{00000000-0005-0000-0000-0000D0320000}"/>
    <cellStyle name="Normal 21 20 10" xfId="23207" xr:uid="{00000000-0005-0000-0000-0000D1320000}"/>
    <cellStyle name="Normal 21 20 11" xfId="22610" xr:uid="{00000000-0005-0000-0000-0000D2320000}"/>
    <cellStyle name="Normal 21 20 12" xfId="22014" xr:uid="{00000000-0005-0000-0000-0000D3320000}"/>
    <cellStyle name="Normal 21 20 13" xfId="21417" xr:uid="{00000000-0005-0000-0000-0000D4320000}"/>
    <cellStyle name="Normal 21 20 14" xfId="20820" xr:uid="{00000000-0005-0000-0000-0000D5320000}"/>
    <cellStyle name="Normal 21 20 15" xfId="20223" xr:uid="{00000000-0005-0000-0000-0000D6320000}"/>
    <cellStyle name="Normal 21 20 16" xfId="19627" xr:uid="{00000000-0005-0000-0000-0000D7320000}"/>
    <cellStyle name="Normal 21 20 17" xfId="19031" xr:uid="{00000000-0005-0000-0000-0000D8320000}"/>
    <cellStyle name="Normal 21 20 18" xfId="18439" xr:uid="{00000000-0005-0000-0000-0000D9320000}"/>
    <cellStyle name="Normal 21 20 19" xfId="17842" xr:uid="{00000000-0005-0000-0000-0000DA320000}"/>
    <cellStyle name="Normal 21 20 2" xfId="27981" xr:uid="{00000000-0005-0000-0000-0000DB320000}"/>
    <cellStyle name="Normal 21 20 20" xfId="15544" xr:uid="{00000000-0005-0000-0000-0000DC320000}"/>
    <cellStyle name="Normal 21 20 21" xfId="16270" xr:uid="{00000000-0005-0000-0000-0000DD320000}"/>
    <cellStyle name="Normal 21 20 22" xfId="15512" xr:uid="{00000000-0005-0000-0000-0000DE320000}"/>
    <cellStyle name="Normal 21 20 23" xfId="15434" xr:uid="{00000000-0005-0000-0000-0000DF320000}"/>
    <cellStyle name="Normal 21 20 24" xfId="14056" xr:uid="{00000000-0005-0000-0000-0000E0320000}"/>
    <cellStyle name="Normal 21 20 25" xfId="16172" xr:uid="{00000000-0005-0000-0000-0000E1320000}"/>
    <cellStyle name="Normal 21 20 26" xfId="16891" xr:uid="{00000000-0005-0000-0000-0000E2320000}"/>
    <cellStyle name="Normal 21 20 27" xfId="16242" xr:uid="{00000000-0005-0000-0000-0000E3320000}"/>
    <cellStyle name="Normal 21 20 28" xfId="12451" xr:uid="{00000000-0005-0000-0000-0000E4320000}"/>
    <cellStyle name="Normal 21 20 29" xfId="7902" xr:uid="{00000000-0005-0000-0000-0000E5320000}"/>
    <cellStyle name="Normal 21 20 3" xfId="27384" xr:uid="{00000000-0005-0000-0000-0000E6320000}"/>
    <cellStyle name="Normal 21 20 30" xfId="8163" xr:uid="{00000000-0005-0000-0000-0000E7320000}"/>
    <cellStyle name="Normal 21 20 31" xfId="8834" xr:uid="{00000000-0005-0000-0000-0000E8320000}"/>
    <cellStyle name="Normal 21 20 32" xfId="5468" xr:uid="{00000000-0005-0000-0000-0000E9320000}"/>
    <cellStyle name="Normal 21 20 33" xfId="8418" xr:uid="{00000000-0005-0000-0000-0000EA320000}"/>
    <cellStyle name="Normal 21 20 34" xfId="5087" xr:uid="{00000000-0005-0000-0000-0000EB320000}"/>
    <cellStyle name="Normal 21 20 35" xfId="8921" xr:uid="{00000000-0005-0000-0000-0000EC320000}"/>
    <cellStyle name="Normal 21 20 36" xfId="4735" xr:uid="{00000000-0005-0000-0000-0000ED320000}"/>
    <cellStyle name="Normal 21 20 37" xfId="9101" xr:uid="{00000000-0005-0000-0000-0000EE320000}"/>
    <cellStyle name="Normal 21 20 38" xfId="8492" xr:uid="{00000000-0005-0000-0000-0000EF320000}"/>
    <cellStyle name="Normal 21 20 39" xfId="9511" xr:uid="{00000000-0005-0000-0000-0000F0320000}"/>
    <cellStyle name="Normal 21 20 4" xfId="26787" xr:uid="{00000000-0005-0000-0000-0000F1320000}"/>
    <cellStyle name="Normal 21 20 40" xfId="7665" xr:uid="{00000000-0005-0000-0000-0000F2320000}"/>
    <cellStyle name="Normal 21 20 41" xfId="5849" xr:uid="{00000000-0005-0000-0000-0000F3320000}"/>
    <cellStyle name="Normal 21 20 42" xfId="3458" xr:uid="{00000000-0005-0000-0000-0000F4320000}"/>
    <cellStyle name="Normal 21 20 43" xfId="3348" xr:uid="{00000000-0005-0000-0000-0000F5320000}"/>
    <cellStyle name="Normal 21 20 5" xfId="26191" xr:uid="{00000000-0005-0000-0000-0000F6320000}"/>
    <cellStyle name="Normal 21 20 6" xfId="25595" xr:uid="{00000000-0005-0000-0000-0000F7320000}"/>
    <cellStyle name="Normal 21 20 7" xfId="24998" xr:uid="{00000000-0005-0000-0000-0000F8320000}"/>
    <cellStyle name="Normal 21 20 8" xfId="24401" xr:uid="{00000000-0005-0000-0000-0000F9320000}"/>
    <cellStyle name="Normal 21 20 9" xfId="23804" xr:uid="{00000000-0005-0000-0000-0000FA320000}"/>
    <cellStyle name="Normal 21 21" xfId="28580" xr:uid="{00000000-0005-0000-0000-0000FB320000}"/>
    <cellStyle name="Normal 21 21 10" xfId="23206" xr:uid="{00000000-0005-0000-0000-0000FC320000}"/>
    <cellStyle name="Normal 21 21 11" xfId="22609" xr:uid="{00000000-0005-0000-0000-0000FD320000}"/>
    <cellStyle name="Normal 21 21 12" xfId="22013" xr:uid="{00000000-0005-0000-0000-0000FE320000}"/>
    <cellStyle name="Normal 21 21 13" xfId="21416" xr:uid="{00000000-0005-0000-0000-0000FF320000}"/>
    <cellStyle name="Normal 21 21 14" xfId="20819" xr:uid="{00000000-0005-0000-0000-000000330000}"/>
    <cellStyle name="Normal 21 21 15" xfId="20222" xr:uid="{00000000-0005-0000-0000-000001330000}"/>
    <cellStyle name="Normal 21 21 16" xfId="19626" xr:uid="{00000000-0005-0000-0000-000002330000}"/>
    <cellStyle name="Normal 21 21 17" xfId="19030" xr:uid="{00000000-0005-0000-0000-000003330000}"/>
    <cellStyle name="Normal 21 21 18" xfId="18438" xr:uid="{00000000-0005-0000-0000-000004330000}"/>
    <cellStyle name="Normal 21 21 19" xfId="17841" xr:uid="{00000000-0005-0000-0000-000005330000}"/>
    <cellStyle name="Normal 21 21 2" xfId="27980" xr:uid="{00000000-0005-0000-0000-000006330000}"/>
    <cellStyle name="Normal 21 21 20" xfId="15734" xr:uid="{00000000-0005-0000-0000-000007330000}"/>
    <cellStyle name="Normal 21 21 21" xfId="16065" xr:uid="{00000000-0005-0000-0000-000008330000}"/>
    <cellStyle name="Normal 21 21 22" xfId="15489" xr:uid="{00000000-0005-0000-0000-000009330000}"/>
    <cellStyle name="Normal 21 21 23" xfId="14458" xr:uid="{00000000-0005-0000-0000-00000A330000}"/>
    <cellStyle name="Normal 21 21 24" xfId="16681" xr:uid="{00000000-0005-0000-0000-00000B330000}"/>
    <cellStyle name="Normal 21 21 25" xfId="13017" xr:uid="{00000000-0005-0000-0000-00000C330000}"/>
    <cellStyle name="Normal 21 21 26" xfId="13332" xr:uid="{00000000-0005-0000-0000-00000D330000}"/>
    <cellStyle name="Normal 21 21 27" xfId="12970" xr:uid="{00000000-0005-0000-0000-00000E330000}"/>
    <cellStyle name="Normal 21 21 28" xfId="12450" xr:uid="{00000000-0005-0000-0000-00000F330000}"/>
    <cellStyle name="Normal 21 21 29" xfId="7716" xr:uid="{00000000-0005-0000-0000-000010330000}"/>
    <cellStyle name="Normal 21 21 3" xfId="27383" xr:uid="{00000000-0005-0000-0000-000011330000}"/>
    <cellStyle name="Normal 21 21 30" xfId="8364" xr:uid="{00000000-0005-0000-0000-000012330000}"/>
    <cellStyle name="Normal 21 21 31" xfId="6600" xr:uid="{00000000-0005-0000-0000-000013330000}"/>
    <cellStyle name="Normal 21 21 32" xfId="9096" xr:uid="{00000000-0005-0000-0000-000014330000}"/>
    <cellStyle name="Normal 21 21 33" xfId="9317" xr:uid="{00000000-0005-0000-0000-000015330000}"/>
    <cellStyle name="Normal 21 21 34" xfId="6755" xr:uid="{00000000-0005-0000-0000-000016330000}"/>
    <cellStyle name="Normal 21 21 35" xfId="6024" xr:uid="{00000000-0005-0000-0000-000017330000}"/>
    <cellStyle name="Normal 21 21 36" xfId="4540" xr:uid="{00000000-0005-0000-0000-000018330000}"/>
    <cellStyle name="Normal 21 21 37" xfId="10073" xr:uid="{00000000-0005-0000-0000-000019330000}"/>
    <cellStyle name="Normal 21 21 38" xfId="10677" xr:uid="{00000000-0005-0000-0000-00001A330000}"/>
    <cellStyle name="Normal 21 21 39" xfId="11201" xr:uid="{00000000-0005-0000-0000-00001B330000}"/>
    <cellStyle name="Normal 21 21 4" xfId="26786" xr:uid="{00000000-0005-0000-0000-00001C330000}"/>
    <cellStyle name="Normal 21 21 40" xfId="11773" xr:uid="{00000000-0005-0000-0000-00001D330000}"/>
    <cellStyle name="Normal 21 21 41" xfId="3761" xr:uid="{00000000-0005-0000-0000-00001E330000}"/>
    <cellStyle name="Normal 21 21 42" xfId="3532" xr:uid="{00000000-0005-0000-0000-00001F330000}"/>
    <cellStyle name="Normal 21 21 43" xfId="11341" xr:uid="{00000000-0005-0000-0000-000020330000}"/>
    <cellStyle name="Normal 21 21 5" xfId="26190" xr:uid="{00000000-0005-0000-0000-000021330000}"/>
    <cellStyle name="Normal 21 21 6" xfId="25594" xr:uid="{00000000-0005-0000-0000-000022330000}"/>
    <cellStyle name="Normal 21 21 7" xfId="24997" xr:uid="{00000000-0005-0000-0000-000023330000}"/>
    <cellStyle name="Normal 21 21 8" xfId="24400" xr:uid="{00000000-0005-0000-0000-000024330000}"/>
    <cellStyle name="Normal 21 21 9" xfId="23803" xr:uid="{00000000-0005-0000-0000-000025330000}"/>
    <cellStyle name="Normal 21 22" xfId="28579" xr:uid="{00000000-0005-0000-0000-000026330000}"/>
    <cellStyle name="Normal 21 22 10" xfId="23205" xr:uid="{00000000-0005-0000-0000-000027330000}"/>
    <cellStyle name="Normal 21 22 11" xfId="22608" xr:uid="{00000000-0005-0000-0000-000028330000}"/>
    <cellStyle name="Normal 21 22 12" xfId="22012" xr:uid="{00000000-0005-0000-0000-000029330000}"/>
    <cellStyle name="Normal 21 22 13" xfId="21415" xr:uid="{00000000-0005-0000-0000-00002A330000}"/>
    <cellStyle name="Normal 21 22 14" xfId="20818" xr:uid="{00000000-0005-0000-0000-00002B330000}"/>
    <cellStyle name="Normal 21 22 15" xfId="20221" xr:uid="{00000000-0005-0000-0000-00002C330000}"/>
    <cellStyle name="Normal 21 22 16" xfId="19625" xr:uid="{00000000-0005-0000-0000-00002D330000}"/>
    <cellStyle name="Normal 21 22 17" xfId="19029" xr:uid="{00000000-0005-0000-0000-00002E330000}"/>
    <cellStyle name="Normal 21 22 18" xfId="18437" xr:uid="{00000000-0005-0000-0000-00002F330000}"/>
    <cellStyle name="Normal 21 22 19" xfId="17840" xr:uid="{00000000-0005-0000-0000-000030330000}"/>
    <cellStyle name="Normal 21 22 2" xfId="27979" xr:uid="{00000000-0005-0000-0000-000031330000}"/>
    <cellStyle name="Normal 21 22 20" xfId="15934" xr:uid="{00000000-0005-0000-0000-000032330000}"/>
    <cellStyle name="Normal 21 22 21" xfId="15841" xr:uid="{00000000-0005-0000-0000-000033330000}"/>
    <cellStyle name="Normal 21 22 22" xfId="15708" xr:uid="{00000000-0005-0000-0000-000034330000}"/>
    <cellStyle name="Normal 21 22 23" xfId="13832" xr:uid="{00000000-0005-0000-0000-000035330000}"/>
    <cellStyle name="Normal 21 22 24" xfId="17029" xr:uid="{00000000-0005-0000-0000-000036330000}"/>
    <cellStyle name="Normal 21 22 25" xfId="15511" xr:uid="{00000000-0005-0000-0000-000037330000}"/>
    <cellStyle name="Normal 21 22 26" xfId="13476" xr:uid="{00000000-0005-0000-0000-000038330000}"/>
    <cellStyle name="Normal 21 22 27" xfId="17396" xr:uid="{00000000-0005-0000-0000-000039330000}"/>
    <cellStyle name="Normal 21 22 28" xfId="12449" xr:uid="{00000000-0005-0000-0000-00003A330000}"/>
    <cellStyle name="Normal 21 22 29" xfId="7245" xr:uid="{00000000-0005-0000-0000-00003B330000}"/>
    <cellStyle name="Normal 21 22 3" xfId="27382" xr:uid="{00000000-0005-0000-0000-00003C330000}"/>
    <cellStyle name="Normal 21 22 30" xfId="9265" xr:uid="{00000000-0005-0000-0000-00003D330000}"/>
    <cellStyle name="Normal 21 22 31" xfId="6971" xr:uid="{00000000-0005-0000-0000-00003E330000}"/>
    <cellStyle name="Normal 21 22 32" xfId="10545" xr:uid="{00000000-0005-0000-0000-00003F330000}"/>
    <cellStyle name="Normal 21 22 33" xfId="10766" xr:uid="{00000000-0005-0000-0000-000040330000}"/>
    <cellStyle name="Normal 21 22 34" xfId="5924" xr:uid="{00000000-0005-0000-0000-000041330000}"/>
    <cellStyle name="Normal 21 22 35" xfId="11545" xr:uid="{00000000-0005-0000-0000-000042330000}"/>
    <cellStyle name="Normal 21 22 36" xfId="5025" xr:uid="{00000000-0005-0000-0000-000043330000}"/>
    <cellStyle name="Normal 21 22 37" xfId="6608" xr:uid="{00000000-0005-0000-0000-000044330000}"/>
    <cellStyle name="Normal 21 22 38" xfId="11555" xr:uid="{00000000-0005-0000-0000-000045330000}"/>
    <cellStyle name="Normal 21 22 39" xfId="4937" xr:uid="{00000000-0005-0000-0000-000046330000}"/>
    <cellStyle name="Normal 21 22 4" xfId="26785" xr:uid="{00000000-0005-0000-0000-000047330000}"/>
    <cellStyle name="Normal 21 22 40" xfId="4917" xr:uid="{00000000-0005-0000-0000-000048330000}"/>
    <cellStyle name="Normal 21 22 41" xfId="3249" xr:uid="{00000000-0005-0000-0000-000049330000}"/>
    <cellStyle name="Normal 21 22 42" xfId="9639" xr:uid="{00000000-0005-0000-0000-00004A330000}"/>
    <cellStyle name="Normal 21 22 43" xfId="10177" xr:uid="{00000000-0005-0000-0000-00004B330000}"/>
    <cellStyle name="Normal 21 22 5" xfId="26189" xr:uid="{00000000-0005-0000-0000-00004C330000}"/>
    <cellStyle name="Normal 21 22 6" xfId="25593" xr:uid="{00000000-0005-0000-0000-00004D330000}"/>
    <cellStyle name="Normal 21 22 7" xfId="24996" xr:uid="{00000000-0005-0000-0000-00004E330000}"/>
    <cellStyle name="Normal 21 22 8" xfId="24399" xr:uid="{00000000-0005-0000-0000-00004F330000}"/>
    <cellStyle name="Normal 21 22 9" xfId="23802" xr:uid="{00000000-0005-0000-0000-000050330000}"/>
    <cellStyle name="Normal 21 23" xfId="28578" xr:uid="{00000000-0005-0000-0000-000051330000}"/>
    <cellStyle name="Normal 21 23 10" xfId="23204" xr:uid="{00000000-0005-0000-0000-000052330000}"/>
    <cellStyle name="Normal 21 23 11" xfId="22607" xr:uid="{00000000-0005-0000-0000-000053330000}"/>
    <cellStyle name="Normal 21 23 12" xfId="22011" xr:uid="{00000000-0005-0000-0000-000054330000}"/>
    <cellStyle name="Normal 21 23 13" xfId="21414" xr:uid="{00000000-0005-0000-0000-000055330000}"/>
    <cellStyle name="Normal 21 23 14" xfId="20817" xr:uid="{00000000-0005-0000-0000-000056330000}"/>
    <cellStyle name="Normal 21 23 15" xfId="20220" xr:uid="{00000000-0005-0000-0000-000057330000}"/>
    <cellStyle name="Normal 21 23 16" xfId="19624" xr:uid="{00000000-0005-0000-0000-000058330000}"/>
    <cellStyle name="Normal 21 23 17" xfId="19028" xr:uid="{00000000-0005-0000-0000-000059330000}"/>
    <cellStyle name="Normal 21 23 18" xfId="18436" xr:uid="{00000000-0005-0000-0000-00005A330000}"/>
    <cellStyle name="Normal 21 23 19" xfId="17839" xr:uid="{00000000-0005-0000-0000-00005B330000}"/>
    <cellStyle name="Normal 21 23 2" xfId="27978" xr:uid="{00000000-0005-0000-0000-00005C330000}"/>
    <cellStyle name="Normal 21 23 20" xfId="16142" xr:uid="{00000000-0005-0000-0000-00005D330000}"/>
    <cellStyle name="Normal 21 23 21" xfId="15247" xr:uid="{00000000-0005-0000-0000-00005E330000}"/>
    <cellStyle name="Normal 21 23 22" xfId="13614" xr:uid="{00000000-0005-0000-0000-00005F330000}"/>
    <cellStyle name="Normal 21 23 23" xfId="13457" xr:uid="{00000000-0005-0000-0000-000060330000}"/>
    <cellStyle name="Normal 21 23 24" xfId="15651" xr:uid="{00000000-0005-0000-0000-000061330000}"/>
    <cellStyle name="Normal 21 23 25" xfId="12952" xr:uid="{00000000-0005-0000-0000-000062330000}"/>
    <cellStyle name="Normal 21 23 26" xfId="14801" xr:uid="{00000000-0005-0000-0000-000063330000}"/>
    <cellStyle name="Normal 21 23 27" xfId="12758" xr:uid="{00000000-0005-0000-0000-000064330000}"/>
    <cellStyle name="Normal 21 23 28" xfId="12448" xr:uid="{00000000-0005-0000-0000-000065330000}"/>
    <cellStyle name="Normal 21 23 29" xfId="7297" xr:uid="{00000000-0005-0000-0000-000066330000}"/>
    <cellStyle name="Normal 21 23 3" xfId="27381" xr:uid="{00000000-0005-0000-0000-000067330000}"/>
    <cellStyle name="Normal 21 23 30" xfId="11967" xr:uid="{00000000-0005-0000-0000-000068330000}"/>
    <cellStyle name="Normal 21 23 31" xfId="11591" xr:uid="{00000000-0005-0000-0000-000069330000}"/>
    <cellStyle name="Normal 21 23 32" xfId="6022" xr:uid="{00000000-0005-0000-0000-00006A330000}"/>
    <cellStyle name="Normal 21 23 33" xfId="5966" xr:uid="{00000000-0005-0000-0000-00006B330000}"/>
    <cellStyle name="Normal 21 23 34" xfId="8235" xr:uid="{00000000-0005-0000-0000-00006C330000}"/>
    <cellStyle name="Normal 21 23 35" xfId="5400" xr:uid="{00000000-0005-0000-0000-00006D330000}"/>
    <cellStyle name="Normal 21 23 36" xfId="4419" xr:uid="{00000000-0005-0000-0000-00006E330000}"/>
    <cellStyle name="Normal 21 23 37" xfId="7819" xr:uid="{00000000-0005-0000-0000-00006F330000}"/>
    <cellStyle name="Normal 21 23 38" xfId="8132" xr:uid="{00000000-0005-0000-0000-000070330000}"/>
    <cellStyle name="Normal 21 23 39" xfId="7347" xr:uid="{00000000-0005-0000-0000-000071330000}"/>
    <cellStyle name="Normal 21 23 4" xfId="26784" xr:uid="{00000000-0005-0000-0000-000072330000}"/>
    <cellStyle name="Normal 21 23 40" xfId="4940" xr:uid="{00000000-0005-0000-0000-000073330000}"/>
    <cellStyle name="Normal 21 23 41" xfId="7974" xr:uid="{00000000-0005-0000-0000-000074330000}"/>
    <cellStyle name="Normal 21 23 42" xfId="8881" xr:uid="{00000000-0005-0000-0000-000075330000}"/>
    <cellStyle name="Normal 21 23 43" xfId="10694" xr:uid="{00000000-0005-0000-0000-000076330000}"/>
    <cellStyle name="Normal 21 23 5" xfId="26188" xr:uid="{00000000-0005-0000-0000-000077330000}"/>
    <cellStyle name="Normal 21 23 6" xfId="25592" xr:uid="{00000000-0005-0000-0000-000078330000}"/>
    <cellStyle name="Normal 21 23 7" xfId="24995" xr:uid="{00000000-0005-0000-0000-000079330000}"/>
    <cellStyle name="Normal 21 23 8" xfId="24398" xr:uid="{00000000-0005-0000-0000-00007A330000}"/>
    <cellStyle name="Normal 21 23 9" xfId="23801" xr:uid="{00000000-0005-0000-0000-00007B330000}"/>
    <cellStyle name="Normal 21 24" xfId="28577" xr:uid="{00000000-0005-0000-0000-00007C330000}"/>
    <cellStyle name="Normal 21 24 10" xfId="23203" xr:uid="{00000000-0005-0000-0000-00007D330000}"/>
    <cellStyle name="Normal 21 24 11" xfId="22606" xr:uid="{00000000-0005-0000-0000-00007E330000}"/>
    <cellStyle name="Normal 21 24 12" xfId="22010" xr:uid="{00000000-0005-0000-0000-00007F330000}"/>
    <cellStyle name="Normal 21 24 13" xfId="21413" xr:uid="{00000000-0005-0000-0000-000080330000}"/>
    <cellStyle name="Normal 21 24 14" xfId="20816" xr:uid="{00000000-0005-0000-0000-000081330000}"/>
    <cellStyle name="Normal 21 24 15" xfId="20219" xr:uid="{00000000-0005-0000-0000-000082330000}"/>
    <cellStyle name="Normal 21 24 16" xfId="19623" xr:uid="{00000000-0005-0000-0000-000083330000}"/>
    <cellStyle name="Normal 21 24 17" xfId="19027" xr:uid="{00000000-0005-0000-0000-000084330000}"/>
    <cellStyle name="Normal 21 24 18" xfId="18435" xr:uid="{00000000-0005-0000-0000-000085330000}"/>
    <cellStyle name="Normal 21 24 19" xfId="17838" xr:uid="{00000000-0005-0000-0000-000086330000}"/>
    <cellStyle name="Normal 21 24 2" xfId="27977" xr:uid="{00000000-0005-0000-0000-000087330000}"/>
    <cellStyle name="Normal 21 24 20" xfId="16343" xr:uid="{00000000-0005-0000-0000-000088330000}"/>
    <cellStyle name="Normal 21 24 21" xfId="14826" xr:uid="{00000000-0005-0000-0000-000089330000}"/>
    <cellStyle name="Normal 21 24 22" xfId="13992" xr:uid="{00000000-0005-0000-0000-00008A330000}"/>
    <cellStyle name="Normal 21 24 23" xfId="15686" xr:uid="{00000000-0005-0000-0000-00008B330000}"/>
    <cellStyle name="Normal 21 24 24" xfId="13688" xr:uid="{00000000-0005-0000-0000-00008C330000}"/>
    <cellStyle name="Normal 21 24 25" xfId="16381" xr:uid="{00000000-0005-0000-0000-00008D330000}"/>
    <cellStyle name="Normal 21 24 26" xfId="12902" xr:uid="{00000000-0005-0000-0000-00008E330000}"/>
    <cellStyle name="Normal 21 24 27" xfId="12768" xr:uid="{00000000-0005-0000-0000-00008F330000}"/>
    <cellStyle name="Normal 21 24 28" xfId="12447" xr:uid="{00000000-0005-0000-0000-000090330000}"/>
    <cellStyle name="Normal 21 24 29" xfId="7940" xr:uid="{00000000-0005-0000-0000-000091330000}"/>
    <cellStyle name="Normal 21 24 3" xfId="27380" xr:uid="{00000000-0005-0000-0000-000092330000}"/>
    <cellStyle name="Normal 21 24 30" xfId="10834" xr:uid="{00000000-0005-0000-0000-000093330000}"/>
    <cellStyle name="Normal 21 24 31" xfId="9801" xr:uid="{00000000-0005-0000-0000-000094330000}"/>
    <cellStyle name="Normal 21 24 32" xfId="10853" xr:uid="{00000000-0005-0000-0000-000095330000}"/>
    <cellStyle name="Normal 21 24 33" xfId="9180" xr:uid="{00000000-0005-0000-0000-000096330000}"/>
    <cellStyle name="Normal 21 24 34" xfId="5632" xr:uid="{00000000-0005-0000-0000-000097330000}"/>
    <cellStyle name="Normal 21 24 35" xfId="11442" xr:uid="{00000000-0005-0000-0000-000098330000}"/>
    <cellStyle name="Normal 21 24 36" xfId="5791" xr:uid="{00000000-0005-0000-0000-000099330000}"/>
    <cellStyle name="Normal 21 24 37" xfId="6681" xr:uid="{00000000-0005-0000-0000-00009A330000}"/>
    <cellStyle name="Normal 21 24 38" xfId="7992" xr:uid="{00000000-0005-0000-0000-00009B330000}"/>
    <cellStyle name="Normal 21 24 39" xfId="9694" xr:uid="{00000000-0005-0000-0000-00009C330000}"/>
    <cellStyle name="Normal 21 24 4" xfId="26783" xr:uid="{00000000-0005-0000-0000-00009D330000}"/>
    <cellStyle name="Normal 21 24 40" xfId="7676" xr:uid="{00000000-0005-0000-0000-00009E330000}"/>
    <cellStyle name="Normal 21 24 41" xfId="6470" xr:uid="{00000000-0005-0000-0000-00009F330000}"/>
    <cellStyle name="Normal 21 24 42" xfId="11143" xr:uid="{00000000-0005-0000-0000-0000A0330000}"/>
    <cellStyle name="Normal 21 24 43" xfId="4369" xr:uid="{00000000-0005-0000-0000-0000A1330000}"/>
    <cellStyle name="Normal 21 24 5" xfId="26187" xr:uid="{00000000-0005-0000-0000-0000A2330000}"/>
    <cellStyle name="Normal 21 24 6" xfId="25591" xr:uid="{00000000-0005-0000-0000-0000A3330000}"/>
    <cellStyle name="Normal 21 24 7" xfId="24994" xr:uid="{00000000-0005-0000-0000-0000A4330000}"/>
    <cellStyle name="Normal 21 24 8" xfId="24397" xr:uid="{00000000-0005-0000-0000-0000A5330000}"/>
    <cellStyle name="Normal 21 24 9" xfId="23800" xr:uid="{00000000-0005-0000-0000-0000A6330000}"/>
    <cellStyle name="Normal 21 25" xfId="28576" xr:uid="{00000000-0005-0000-0000-0000A7330000}"/>
    <cellStyle name="Normal 21 25 10" xfId="23202" xr:uid="{00000000-0005-0000-0000-0000A8330000}"/>
    <cellStyle name="Normal 21 25 11" xfId="22605" xr:uid="{00000000-0005-0000-0000-0000A9330000}"/>
    <cellStyle name="Normal 21 25 12" xfId="22009" xr:uid="{00000000-0005-0000-0000-0000AA330000}"/>
    <cellStyle name="Normal 21 25 13" xfId="21412" xr:uid="{00000000-0005-0000-0000-0000AB330000}"/>
    <cellStyle name="Normal 21 25 14" xfId="20815" xr:uid="{00000000-0005-0000-0000-0000AC330000}"/>
    <cellStyle name="Normal 21 25 15" xfId="20218" xr:uid="{00000000-0005-0000-0000-0000AD330000}"/>
    <cellStyle name="Normal 21 25 16" xfId="19622" xr:uid="{00000000-0005-0000-0000-0000AE330000}"/>
    <cellStyle name="Normal 21 25 17" xfId="19026" xr:uid="{00000000-0005-0000-0000-0000AF330000}"/>
    <cellStyle name="Normal 21 25 18" xfId="18434" xr:uid="{00000000-0005-0000-0000-0000B0330000}"/>
    <cellStyle name="Normal 21 25 19" xfId="17837" xr:uid="{00000000-0005-0000-0000-0000B1330000}"/>
    <cellStyle name="Normal 21 25 2" xfId="27976" xr:uid="{00000000-0005-0000-0000-0000B2330000}"/>
    <cellStyle name="Normal 21 25 20" xfId="16533" xr:uid="{00000000-0005-0000-0000-0000B3330000}"/>
    <cellStyle name="Normal 21 25 21" xfId="14427" xr:uid="{00000000-0005-0000-0000-0000B4330000}"/>
    <cellStyle name="Normal 21 25 22" xfId="13661" xr:uid="{00000000-0005-0000-0000-0000B5330000}"/>
    <cellStyle name="Normal 21 25 23" xfId="13495" xr:uid="{00000000-0005-0000-0000-0000B6330000}"/>
    <cellStyle name="Normal 21 25 24" xfId="14643" xr:uid="{00000000-0005-0000-0000-0000B7330000}"/>
    <cellStyle name="Normal 21 25 25" xfId="13401" xr:uid="{00000000-0005-0000-0000-0000B8330000}"/>
    <cellStyle name="Normal 21 25 26" xfId="15047" xr:uid="{00000000-0005-0000-0000-0000B9330000}"/>
    <cellStyle name="Normal 21 25 27" xfId="12759" xr:uid="{00000000-0005-0000-0000-0000BA330000}"/>
    <cellStyle name="Normal 21 25 28" xfId="12446" xr:uid="{00000000-0005-0000-0000-0000BB330000}"/>
    <cellStyle name="Normal 21 25 29" xfId="6804" xr:uid="{00000000-0005-0000-0000-0000BC330000}"/>
    <cellStyle name="Normal 21 25 3" xfId="27379" xr:uid="{00000000-0005-0000-0000-0000BD330000}"/>
    <cellStyle name="Normal 21 25 30" xfId="11277" xr:uid="{00000000-0005-0000-0000-0000BE330000}"/>
    <cellStyle name="Normal 21 25 31" xfId="8985" xr:uid="{00000000-0005-0000-0000-0000BF330000}"/>
    <cellStyle name="Normal 21 25 32" xfId="7781" xr:uid="{00000000-0005-0000-0000-0000C0330000}"/>
    <cellStyle name="Normal 21 25 33" xfId="11370" xr:uid="{00000000-0005-0000-0000-0000C1330000}"/>
    <cellStyle name="Normal 21 25 34" xfId="7855" xr:uid="{00000000-0005-0000-0000-0000C2330000}"/>
    <cellStyle name="Normal 21 25 35" xfId="7821" xr:uid="{00000000-0005-0000-0000-0000C3330000}"/>
    <cellStyle name="Normal 21 25 36" xfId="5483" xr:uid="{00000000-0005-0000-0000-0000C4330000}"/>
    <cellStyle name="Normal 21 25 37" xfId="10465" xr:uid="{00000000-0005-0000-0000-0000C5330000}"/>
    <cellStyle name="Normal 21 25 38" xfId="4636" xr:uid="{00000000-0005-0000-0000-0000C6330000}"/>
    <cellStyle name="Normal 21 25 39" xfId="6610" xr:uid="{00000000-0005-0000-0000-0000C7330000}"/>
    <cellStyle name="Normal 21 25 4" xfId="26782" xr:uid="{00000000-0005-0000-0000-0000C8330000}"/>
    <cellStyle name="Normal 21 25 40" xfId="4604" xr:uid="{00000000-0005-0000-0000-0000C9330000}"/>
    <cellStyle name="Normal 21 25 41" xfId="5044" xr:uid="{00000000-0005-0000-0000-0000CA330000}"/>
    <cellStyle name="Normal 21 25 42" xfId="9850" xr:uid="{00000000-0005-0000-0000-0000CB330000}"/>
    <cellStyle name="Normal 21 25 43" xfId="6126" xr:uid="{00000000-0005-0000-0000-0000CC330000}"/>
    <cellStyle name="Normal 21 25 5" xfId="26186" xr:uid="{00000000-0005-0000-0000-0000CD330000}"/>
    <cellStyle name="Normal 21 25 6" xfId="25590" xr:uid="{00000000-0005-0000-0000-0000CE330000}"/>
    <cellStyle name="Normal 21 25 7" xfId="24993" xr:uid="{00000000-0005-0000-0000-0000CF330000}"/>
    <cellStyle name="Normal 21 25 8" xfId="24396" xr:uid="{00000000-0005-0000-0000-0000D0330000}"/>
    <cellStyle name="Normal 21 25 9" xfId="23799" xr:uid="{00000000-0005-0000-0000-0000D1330000}"/>
    <cellStyle name="Normal 21 26" xfId="28575" xr:uid="{00000000-0005-0000-0000-0000D2330000}"/>
    <cellStyle name="Normal 21 26 10" xfId="23201" xr:uid="{00000000-0005-0000-0000-0000D3330000}"/>
    <cellStyle name="Normal 21 26 11" xfId="22604" xr:uid="{00000000-0005-0000-0000-0000D4330000}"/>
    <cellStyle name="Normal 21 26 12" xfId="22008" xr:uid="{00000000-0005-0000-0000-0000D5330000}"/>
    <cellStyle name="Normal 21 26 13" xfId="21411" xr:uid="{00000000-0005-0000-0000-0000D6330000}"/>
    <cellStyle name="Normal 21 26 14" xfId="20814" xr:uid="{00000000-0005-0000-0000-0000D7330000}"/>
    <cellStyle name="Normal 21 26 15" xfId="20217" xr:uid="{00000000-0005-0000-0000-0000D8330000}"/>
    <cellStyle name="Normal 21 26 16" xfId="19621" xr:uid="{00000000-0005-0000-0000-0000D9330000}"/>
    <cellStyle name="Normal 21 26 17" xfId="19025" xr:uid="{00000000-0005-0000-0000-0000DA330000}"/>
    <cellStyle name="Normal 21 26 18" xfId="18433" xr:uid="{00000000-0005-0000-0000-0000DB330000}"/>
    <cellStyle name="Normal 21 26 19" xfId="17836" xr:uid="{00000000-0005-0000-0000-0000DC330000}"/>
    <cellStyle name="Normal 21 26 2" xfId="27975" xr:uid="{00000000-0005-0000-0000-0000DD330000}"/>
    <cellStyle name="Normal 21 26 20" xfId="16727" xr:uid="{00000000-0005-0000-0000-0000DE330000}"/>
    <cellStyle name="Normal 21 26 21" xfId="17391" xr:uid="{00000000-0005-0000-0000-0000DF330000}"/>
    <cellStyle name="Normal 21 26 22" xfId="13800" xr:uid="{00000000-0005-0000-0000-0000E0330000}"/>
    <cellStyle name="Normal 21 26 23" xfId="16480" xr:uid="{00000000-0005-0000-0000-0000E1330000}"/>
    <cellStyle name="Normal 21 26 24" xfId="16883" xr:uid="{00000000-0005-0000-0000-0000E2330000}"/>
    <cellStyle name="Normal 21 26 25" xfId="13546" xr:uid="{00000000-0005-0000-0000-0000E3330000}"/>
    <cellStyle name="Normal 21 26 26" xfId="15310" xr:uid="{00000000-0005-0000-0000-0000E4330000}"/>
    <cellStyle name="Normal 21 26 27" xfId="14622" xr:uid="{00000000-0005-0000-0000-0000E5330000}"/>
    <cellStyle name="Normal 21 26 28" xfId="12445" xr:uid="{00000000-0005-0000-0000-0000E6330000}"/>
    <cellStyle name="Normal 21 26 29" xfId="11908" xr:uid="{00000000-0005-0000-0000-0000E7330000}"/>
    <cellStyle name="Normal 21 26 3" xfId="27378" xr:uid="{00000000-0005-0000-0000-0000E8330000}"/>
    <cellStyle name="Normal 21 26 30" xfId="11499" xr:uid="{00000000-0005-0000-0000-0000E9330000}"/>
    <cellStyle name="Normal 21 26 31" xfId="9396" xr:uid="{00000000-0005-0000-0000-0000EA330000}"/>
    <cellStyle name="Normal 21 26 32" xfId="10770" xr:uid="{00000000-0005-0000-0000-0000EB330000}"/>
    <cellStyle name="Normal 21 26 33" xfId="4804" xr:uid="{00000000-0005-0000-0000-0000EC330000}"/>
    <cellStyle name="Normal 21 26 34" xfId="5380" xr:uid="{00000000-0005-0000-0000-0000ED330000}"/>
    <cellStyle name="Normal 21 26 35" xfId="7913" xr:uid="{00000000-0005-0000-0000-0000EE330000}"/>
    <cellStyle name="Normal 21 26 36" xfId="5394" xr:uid="{00000000-0005-0000-0000-0000EF330000}"/>
    <cellStyle name="Normal 21 26 37" xfId="9390" xr:uid="{00000000-0005-0000-0000-0000F0330000}"/>
    <cellStyle name="Normal 21 26 38" xfId="4357" xr:uid="{00000000-0005-0000-0000-0000F1330000}"/>
    <cellStyle name="Normal 21 26 39" xfId="6713" xr:uid="{00000000-0005-0000-0000-0000F2330000}"/>
    <cellStyle name="Normal 21 26 4" xfId="26781" xr:uid="{00000000-0005-0000-0000-0000F3330000}"/>
    <cellStyle name="Normal 21 26 40" xfId="8320" xr:uid="{00000000-0005-0000-0000-0000F4330000}"/>
    <cellStyle name="Normal 21 26 41" xfId="11264" xr:uid="{00000000-0005-0000-0000-0000F5330000}"/>
    <cellStyle name="Normal 21 26 42" xfId="3217" xr:uid="{00000000-0005-0000-0000-0000F6330000}"/>
    <cellStyle name="Normal 21 26 43" xfId="9735" xr:uid="{00000000-0005-0000-0000-0000F7330000}"/>
    <cellStyle name="Normal 21 26 5" xfId="26185" xr:uid="{00000000-0005-0000-0000-0000F8330000}"/>
    <cellStyle name="Normal 21 26 6" xfId="25589" xr:uid="{00000000-0005-0000-0000-0000F9330000}"/>
    <cellStyle name="Normal 21 26 7" xfId="24992" xr:uid="{00000000-0005-0000-0000-0000FA330000}"/>
    <cellStyle name="Normal 21 26 8" xfId="24395" xr:uid="{00000000-0005-0000-0000-0000FB330000}"/>
    <cellStyle name="Normal 21 26 9" xfId="23798" xr:uid="{00000000-0005-0000-0000-0000FC330000}"/>
    <cellStyle name="Normal 21 27" xfId="27993" xr:uid="{00000000-0005-0000-0000-0000FD330000}"/>
    <cellStyle name="Normal 21 28" xfId="27396" xr:uid="{00000000-0005-0000-0000-0000FE330000}"/>
    <cellStyle name="Normal 21 29" xfId="26799" xr:uid="{00000000-0005-0000-0000-0000FF330000}"/>
    <cellStyle name="Normal 21 3" xfId="28574" xr:uid="{00000000-0005-0000-0000-000000340000}"/>
    <cellStyle name="Normal 21 3 10" xfId="23200" xr:uid="{00000000-0005-0000-0000-000001340000}"/>
    <cellStyle name="Normal 21 3 11" xfId="22603" xr:uid="{00000000-0005-0000-0000-000002340000}"/>
    <cellStyle name="Normal 21 3 12" xfId="22007" xr:uid="{00000000-0005-0000-0000-000003340000}"/>
    <cellStyle name="Normal 21 3 13" xfId="21410" xr:uid="{00000000-0005-0000-0000-000004340000}"/>
    <cellStyle name="Normal 21 3 14" xfId="20813" xr:uid="{00000000-0005-0000-0000-000005340000}"/>
    <cellStyle name="Normal 21 3 15" xfId="20216" xr:uid="{00000000-0005-0000-0000-000006340000}"/>
    <cellStyle name="Normal 21 3 16" xfId="19620" xr:uid="{00000000-0005-0000-0000-000007340000}"/>
    <cellStyle name="Normal 21 3 17" xfId="19024" xr:uid="{00000000-0005-0000-0000-000008340000}"/>
    <cellStyle name="Normal 21 3 18" xfId="18432" xr:uid="{00000000-0005-0000-0000-000009340000}"/>
    <cellStyle name="Normal 21 3 19" xfId="17835" xr:uid="{00000000-0005-0000-0000-00000A340000}"/>
    <cellStyle name="Normal 21 3 2" xfId="27974" xr:uid="{00000000-0005-0000-0000-00000B340000}"/>
    <cellStyle name="Normal 21 3 20" xfId="16924" xr:uid="{00000000-0005-0000-0000-00000C340000}"/>
    <cellStyle name="Normal 21 3 21" xfId="14404" xr:uid="{00000000-0005-0000-0000-00000D340000}"/>
    <cellStyle name="Normal 21 3 22" xfId="13949" xr:uid="{00000000-0005-0000-0000-00000E340000}"/>
    <cellStyle name="Normal 21 3 23" xfId="15119" xr:uid="{00000000-0005-0000-0000-00000F340000}"/>
    <cellStyle name="Normal 21 3 24" xfId="16199" xr:uid="{00000000-0005-0000-0000-000010340000}"/>
    <cellStyle name="Normal 21 3 25" xfId="14312" xr:uid="{00000000-0005-0000-0000-000011340000}"/>
    <cellStyle name="Normal 21 3 26" xfId="16630" xr:uid="{00000000-0005-0000-0000-000012340000}"/>
    <cellStyle name="Normal 21 3 27" xfId="15630" xr:uid="{00000000-0005-0000-0000-000013340000}"/>
    <cellStyle name="Normal 21 3 28" xfId="12444" xr:uid="{00000000-0005-0000-0000-000014340000}"/>
    <cellStyle name="Normal 21 3 29" xfId="8088" xr:uid="{00000000-0005-0000-0000-000015340000}"/>
    <cellStyle name="Normal 21 3 3" xfId="27377" xr:uid="{00000000-0005-0000-0000-000016340000}"/>
    <cellStyle name="Normal 21 3 30" xfId="5859" xr:uid="{00000000-0005-0000-0000-000017340000}"/>
    <cellStyle name="Normal 21 3 31" xfId="7114" xr:uid="{00000000-0005-0000-0000-000018340000}"/>
    <cellStyle name="Normal 21 3 32" xfId="6177" xr:uid="{00000000-0005-0000-0000-000019340000}"/>
    <cellStyle name="Normal 21 3 33" xfId="5066" xr:uid="{00000000-0005-0000-0000-00001A340000}"/>
    <cellStyle name="Normal 21 3 34" xfId="5177" xr:uid="{00000000-0005-0000-0000-00001B340000}"/>
    <cellStyle name="Normal 21 3 35" xfId="6119" xr:uid="{00000000-0005-0000-0000-00001C340000}"/>
    <cellStyle name="Normal 21 3 36" xfId="6754" xr:uid="{00000000-0005-0000-0000-00001D340000}"/>
    <cellStyle name="Normal 21 3 37" xfId="5904" xr:uid="{00000000-0005-0000-0000-00001E340000}"/>
    <cellStyle name="Normal 21 3 38" xfId="7160" xr:uid="{00000000-0005-0000-0000-00001F340000}"/>
    <cellStyle name="Normal 21 3 39" xfId="12078" xr:uid="{00000000-0005-0000-0000-000020340000}"/>
    <cellStyle name="Normal 21 3 4" xfId="26780" xr:uid="{00000000-0005-0000-0000-000021340000}"/>
    <cellStyle name="Normal 21 3 40" xfId="5999" xr:uid="{00000000-0005-0000-0000-000022340000}"/>
    <cellStyle name="Normal 21 3 41" xfId="6531" xr:uid="{00000000-0005-0000-0000-000023340000}"/>
    <cellStyle name="Normal 21 3 42" xfId="3136" xr:uid="{00000000-0005-0000-0000-000024340000}"/>
    <cellStyle name="Normal 21 3 43" xfId="10652" xr:uid="{00000000-0005-0000-0000-000025340000}"/>
    <cellStyle name="Normal 21 3 44" xfId="2965" xr:uid="{00000000-0005-0000-0000-000026340000}"/>
    <cellStyle name="Normal 21 3 45" xfId="2722" xr:uid="{00000000-0005-0000-0000-000027340000}"/>
    <cellStyle name="Normal 21 3 46" xfId="2482" xr:uid="{00000000-0005-0000-0000-000028340000}"/>
    <cellStyle name="Normal 21 3 47" xfId="2242" xr:uid="{00000000-0005-0000-0000-000029340000}"/>
    <cellStyle name="Normal 21 3 48" xfId="2002" xr:uid="{00000000-0005-0000-0000-00002A340000}"/>
    <cellStyle name="Normal 21 3 49" xfId="1762" xr:uid="{00000000-0005-0000-0000-00002B340000}"/>
    <cellStyle name="Normal 21 3 5" xfId="26184" xr:uid="{00000000-0005-0000-0000-00002C340000}"/>
    <cellStyle name="Normal 21 3 50" xfId="1523" xr:uid="{00000000-0005-0000-0000-00002D340000}"/>
    <cellStyle name="Normal 21 3 51" xfId="1283" xr:uid="{00000000-0005-0000-0000-00002E340000}"/>
    <cellStyle name="Normal 21 3 52" xfId="1043" xr:uid="{00000000-0005-0000-0000-00002F340000}"/>
    <cellStyle name="Normal 21 3 53" xfId="803" xr:uid="{00000000-0005-0000-0000-000030340000}"/>
    <cellStyle name="Normal 21 3 54" xfId="563" xr:uid="{00000000-0005-0000-0000-000031340000}"/>
    <cellStyle name="Normal 21 3 55" xfId="324" xr:uid="{00000000-0005-0000-0000-000032340000}"/>
    <cellStyle name="Normal 21 3 56" xfId="86" xr:uid="{00000000-0005-0000-0000-000033340000}"/>
    <cellStyle name="Normal 21 3 6" xfId="25588" xr:uid="{00000000-0005-0000-0000-000034340000}"/>
    <cellStyle name="Normal 21 3 7" xfId="24991" xr:uid="{00000000-0005-0000-0000-000035340000}"/>
    <cellStyle name="Normal 21 3 8" xfId="24394" xr:uid="{00000000-0005-0000-0000-000036340000}"/>
    <cellStyle name="Normal 21 3 9" xfId="23797" xr:uid="{00000000-0005-0000-0000-000037340000}"/>
    <cellStyle name="Normal 21 30" xfId="26203" xr:uid="{00000000-0005-0000-0000-000038340000}"/>
    <cellStyle name="Normal 21 31" xfId="25607" xr:uid="{00000000-0005-0000-0000-000039340000}"/>
    <cellStyle name="Normal 21 32" xfId="25010" xr:uid="{00000000-0005-0000-0000-00003A340000}"/>
    <cellStyle name="Normal 21 33" xfId="24413" xr:uid="{00000000-0005-0000-0000-00003B340000}"/>
    <cellStyle name="Normal 21 34" xfId="23816" xr:uid="{00000000-0005-0000-0000-00003C340000}"/>
    <cellStyle name="Normal 21 35" xfId="23219" xr:uid="{00000000-0005-0000-0000-00003D340000}"/>
    <cellStyle name="Normal 21 36" xfId="22622" xr:uid="{00000000-0005-0000-0000-00003E340000}"/>
    <cellStyle name="Normal 21 37" xfId="22026" xr:uid="{00000000-0005-0000-0000-00003F340000}"/>
    <cellStyle name="Normal 21 38" xfId="21429" xr:uid="{00000000-0005-0000-0000-000040340000}"/>
    <cellStyle name="Normal 21 39" xfId="20832" xr:uid="{00000000-0005-0000-0000-000041340000}"/>
    <cellStyle name="Normal 21 4" xfId="28573" xr:uid="{00000000-0005-0000-0000-000042340000}"/>
    <cellStyle name="Normal 21 4 10" xfId="23199" xr:uid="{00000000-0005-0000-0000-000043340000}"/>
    <cellStyle name="Normal 21 4 11" xfId="22602" xr:uid="{00000000-0005-0000-0000-000044340000}"/>
    <cellStyle name="Normal 21 4 12" xfId="22006" xr:uid="{00000000-0005-0000-0000-000045340000}"/>
    <cellStyle name="Normal 21 4 13" xfId="21409" xr:uid="{00000000-0005-0000-0000-000046340000}"/>
    <cellStyle name="Normal 21 4 14" xfId="20812" xr:uid="{00000000-0005-0000-0000-000047340000}"/>
    <cellStyle name="Normal 21 4 15" xfId="20215" xr:uid="{00000000-0005-0000-0000-000048340000}"/>
    <cellStyle name="Normal 21 4 16" xfId="19619" xr:uid="{00000000-0005-0000-0000-000049340000}"/>
    <cellStyle name="Normal 21 4 17" xfId="19023" xr:uid="{00000000-0005-0000-0000-00004A340000}"/>
    <cellStyle name="Normal 21 4 18" xfId="18431" xr:uid="{00000000-0005-0000-0000-00004B340000}"/>
    <cellStyle name="Normal 21 4 19" xfId="17834" xr:uid="{00000000-0005-0000-0000-00004C340000}"/>
    <cellStyle name="Normal 21 4 2" xfId="27973" xr:uid="{00000000-0005-0000-0000-00004D340000}"/>
    <cellStyle name="Normal 21 4 20" xfId="17131" xr:uid="{00000000-0005-0000-0000-00004E340000}"/>
    <cellStyle name="Normal 21 4 21" xfId="14782" xr:uid="{00000000-0005-0000-0000-00004F340000}"/>
    <cellStyle name="Normal 21 4 22" xfId="17374" xr:uid="{00000000-0005-0000-0000-000050340000}"/>
    <cellStyle name="Normal 21 4 23" xfId="14691" xr:uid="{00000000-0005-0000-0000-000051340000}"/>
    <cellStyle name="Normal 21 4 24" xfId="15660" xr:uid="{00000000-0005-0000-0000-000052340000}"/>
    <cellStyle name="Normal 21 4 25" xfId="16827" xr:uid="{00000000-0005-0000-0000-000053340000}"/>
    <cellStyle name="Normal 21 4 26" xfId="15771" xr:uid="{00000000-0005-0000-0000-000054340000}"/>
    <cellStyle name="Normal 21 4 27" xfId="16671" xr:uid="{00000000-0005-0000-0000-000055340000}"/>
    <cellStyle name="Normal 21 4 28" xfId="12443" xr:uid="{00000000-0005-0000-0000-000056340000}"/>
    <cellStyle name="Normal 21 4 29" xfId="8296" xr:uid="{00000000-0005-0000-0000-000057340000}"/>
    <cellStyle name="Normal 21 4 3" xfId="27376" xr:uid="{00000000-0005-0000-0000-000058340000}"/>
    <cellStyle name="Normal 21 4 30" xfId="9413" xr:uid="{00000000-0005-0000-0000-000059340000}"/>
    <cellStyle name="Normal 21 4 31" xfId="8472" xr:uid="{00000000-0005-0000-0000-00005A340000}"/>
    <cellStyle name="Normal 21 4 32" xfId="6975" xr:uid="{00000000-0005-0000-0000-00005B340000}"/>
    <cellStyle name="Normal 21 4 33" xfId="8372" xr:uid="{00000000-0005-0000-0000-00005C340000}"/>
    <cellStyle name="Normal 21 4 34" xfId="11023" xr:uid="{00000000-0005-0000-0000-00005D340000}"/>
    <cellStyle name="Normal 21 4 35" xfId="11830" xr:uid="{00000000-0005-0000-0000-00005E340000}"/>
    <cellStyle name="Normal 21 4 36" xfId="7262" xr:uid="{00000000-0005-0000-0000-00005F340000}"/>
    <cellStyle name="Normal 21 4 37" xfId="10611" xr:uid="{00000000-0005-0000-0000-000060340000}"/>
    <cellStyle name="Normal 21 4 38" xfId="4587" xr:uid="{00000000-0005-0000-0000-000061340000}"/>
    <cellStyle name="Normal 21 4 39" xfId="8158" xr:uid="{00000000-0005-0000-0000-000062340000}"/>
    <cellStyle name="Normal 21 4 4" xfId="26779" xr:uid="{00000000-0005-0000-0000-000063340000}"/>
    <cellStyle name="Normal 21 4 40" xfId="6499" xr:uid="{00000000-0005-0000-0000-000064340000}"/>
    <cellStyle name="Normal 21 4 41" xfId="3784" xr:uid="{00000000-0005-0000-0000-000065340000}"/>
    <cellStyle name="Normal 21 4 42" xfId="5986" xr:uid="{00000000-0005-0000-0000-000066340000}"/>
    <cellStyle name="Normal 21 4 43" xfId="4556" xr:uid="{00000000-0005-0000-0000-000067340000}"/>
    <cellStyle name="Normal 21 4 44" xfId="2964" xr:uid="{00000000-0005-0000-0000-000068340000}"/>
    <cellStyle name="Normal 21 4 45" xfId="2721" xr:uid="{00000000-0005-0000-0000-000069340000}"/>
    <cellStyle name="Normal 21 4 46" xfId="2481" xr:uid="{00000000-0005-0000-0000-00006A340000}"/>
    <cellStyle name="Normal 21 4 47" xfId="2241" xr:uid="{00000000-0005-0000-0000-00006B340000}"/>
    <cellStyle name="Normal 21 4 48" xfId="2001" xr:uid="{00000000-0005-0000-0000-00006C340000}"/>
    <cellStyle name="Normal 21 4 49" xfId="1761" xr:uid="{00000000-0005-0000-0000-00006D340000}"/>
    <cellStyle name="Normal 21 4 5" xfId="26183" xr:uid="{00000000-0005-0000-0000-00006E340000}"/>
    <cellStyle name="Normal 21 4 50" xfId="1522" xr:uid="{00000000-0005-0000-0000-00006F340000}"/>
    <cellStyle name="Normal 21 4 51" xfId="1282" xr:uid="{00000000-0005-0000-0000-000070340000}"/>
    <cellStyle name="Normal 21 4 52" xfId="1042" xr:uid="{00000000-0005-0000-0000-000071340000}"/>
    <cellStyle name="Normal 21 4 53" xfId="802" xr:uid="{00000000-0005-0000-0000-000072340000}"/>
    <cellStyle name="Normal 21 4 54" xfId="562" xr:uid="{00000000-0005-0000-0000-000073340000}"/>
    <cellStyle name="Normal 21 4 55" xfId="323" xr:uid="{00000000-0005-0000-0000-000074340000}"/>
    <cellStyle name="Normal 21 4 56" xfId="85" xr:uid="{00000000-0005-0000-0000-000075340000}"/>
    <cellStyle name="Normal 21 4 6" xfId="25587" xr:uid="{00000000-0005-0000-0000-000076340000}"/>
    <cellStyle name="Normal 21 4 7" xfId="24990" xr:uid="{00000000-0005-0000-0000-000077340000}"/>
    <cellStyle name="Normal 21 4 8" xfId="24393" xr:uid="{00000000-0005-0000-0000-000078340000}"/>
    <cellStyle name="Normal 21 4 9" xfId="23796" xr:uid="{00000000-0005-0000-0000-000079340000}"/>
    <cellStyle name="Normal 21 40" xfId="20235" xr:uid="{00000000-0005-0000-0000-00007A340000}"/>
    <cellStyle name="Normal 21 41" xfId="19639" xr:uid="{00000000-0005-0000-0000-00007B340000}"/>
    <cellStyle name="Normal 21 42" xfId="19043" xr:uid="{00000000-0005-0000-0000-00007C340000}"/>
    <cellStyle name="Normal 21 43" xfId="18451" xr:uid="{00000000-0005-0000-0000-00007D340000}"/>
    <cellStyle name="Normal 21 44" xfId="17854" xr:uid="{00000000-0005-0000-0000-00007E340000}"/>
    <cellStyle name="Normal 21 45" xfId="16532" xr:uid="{00000000-0005-0000-0000-00007F340000}"/>
    <cellStyle name="Normal 21 46" xfId="14619" xr:uid="{00000000-0005-0000-0000-000080340000}"/>
    <cellStyle name="Normal 21 47" xfId="13948" xr:uid="{00000000-0005-0000-0000-000081340000}"/>
    <cellStyle name="Normal 21 48" xfId="15518" xr:uid="{00000000-0005-0000-0000-000082340000}"/>
    <cellStyle name="Normal 21 49" xfId="16449" xr:uid="{00000000-0005-0000-0000-000083340000}"/>
    <cellStyle name="Normal 21 5" xfId="28572" xr:uid="{00000000-0005-0000-0000-000084340000}"/>
    <cellStyle name="Normal 21 5 10" xfId="23198" xr:uid="{00000000-0005-0000-0000-000085340000}"/>
    <cellStyle name="Normal 21 5 11" xfId="22601" xr:uid="{00000000-0005-0000-0000-000086340000}"/>
    <cellStyle name="Normal 21 5 12" xfId="22005" xr:uid="{00000000-0005-0000-0000-000087340000}"/>
    <cellStyle name="Normal 21 5 13" xfId="21408" xr:uid="{00000000-0005-0000-0000-000088340000}"/>
    <cellStyle name="Normal 21 5 14" xfId="20811" xr:uid="{00000000-0005-0000-0000-000089340000}"/>
    <cellStyle name="Normal 21 5 15" xfId="20214" xr:uid="{00000000-0005-0000-0000-00008A340000}"/>
    <cellStyle name="Normal 21 5 16" xfId="19618" xr:uid="{00000000-0005-0000-0000-00008B340000}"/>
    <cellStyle name="Normal 21 5 17" xfId="19022" xr:uid="{00000000-0005-0000-0000-00008C340000}"/>
    <cellStyle name="Normal 21 5 18" xfId="18430" xr:uid="{00000000-0005-0000-0000-00008D340000}"/>
    <cellStyle name="Normal 21 5 19" xfId="17833" xr:uid="{00000000-0005-0000-0000-00008E340000}"/>
    <cellStyle name="Normal 21 5 2" xfId="27972" xr:uid="{00000000-0005-0000-0000-00008F340000}"/>
    <cellStyle name="Normal 21 5 20" xfId="17324" xr:uid="{00000000-0005-0000-0000-000090340000}"/>
    <cellStyle name="Normal 21 5 21" xfId="14386" xr:uid="{00000000-0005-0000-0000-000091340000}"/>
    <cellStyle name="Normal 21 5 22" xfId="14398" xr:uid="{00000000-0005-0000-0000-000092340000}"/>
    <cellStyle name="Normal 21 5 23" xfId="15856" xr:uid="{00000000-0005-0000-0000-000093340000}"/>
    <cellStyle name="Normal 21 5 24" xfId="17234" xr:uid="{00000000-0005-0000-0000-000094340000}"/>
    <cellStyle name="Normal 21 5 25" xfId="14705" xr:uid="{00000000-0005-0000-0000-000095340000}"/>
    <cellStyle name="Normal 21 5 26" xfId="13285" xr:uid="{00000000-0005-0000-0000-000096340000}"/>
    <cellStyle name="Normal 21 5 27" xfId="16778" xr:uid="{00000000-0005-0000-0000-000097340000}"/>
    <cellStyle name="Normal 21 5 28" xfId="12442" xr:uid="{00000000-0005-0000-0000-000098340000}"/>
    <cellStyle name="Normal 21 5 29" xfId="8511" xr:uid="{00000000-0005-0000-0000-000099340000}"/>
    <cellStyle name="Normal 21 5 3" xfId="27375" xr:uid="{00000000-0005-0000-0000-00009A340000}"/>
    <cellStyle name="Normal 21 5 30" xfId="7248" xr:uid="{00000000-0005-0000-0000-00009B340000}"/>
    <cellStyle name="Normal 21 5 31" xfId="11943" xr:uid="{00000000-0005-0000-0000-00009C340000}"/>
    <cellStyle name="Normal 21 5 32" xfId="11803" xr:uid="{00000000-0005-0000-0000-00009D340000}"/>
    <cellStyle name="Normal 21 5 33" xfId="4892" xr:uid="{00000000-0005-0000-0000-00009E340000}"/>
    <cellStyle name="Normal 21 5 34" xfId="7419" xr:uid="{00000000-0005-0000-0000-00009F340000}"/>
    <cellStyle name="Normal 21 5 35" xfId="11592" xr:uid="{00000000-0005-0000-0000-0000A0340000}"/>
    <cellStyle name="Normal 21 5 36" xfId="9730" xr:uid="{00000000-0005-0000-0000-0000A1340000}"/>
    <cellStyle name="Normal 21 5 37" xfId="6073" xr:uid="{00000000-0005-0000-0000-0000A2340000}"/>
    <cellStyle name="Normal 21 5 38" xfId="6963" xr:uid="{00000000-0005-0000-0000-0000A3340000}"/>
    <cellStyle name="Normal 21 5 39" xfId="3886" xr:uid="{00000000-0005-0000-0000-0000A4340000}"/>
    <cellStyle name="Normal 21 5 4" xfId="26778" xr:uid="{00000000-0005-0000-0000-0000A5340000}"/>
    <cellStyle name="Normal 21 5 40" xfId="7841" xr:uid="{00000000-0005-0000-0000-0000A6340000}"/>
    <cellStyle name="Normal 21 5 41" xfId="6816" xr:uid="{00000000-0005-0000-0000-0000A7340000}"/>
    <cellStyle name="Normal 21 5 42" xfId="10560" xr:uid="{00000000-0005-0000-0000-0000A8340000}"/>
    <cellStyle name="Normal 21 5 43" xfId="8551" xr:uid="{00000000-0005-0000-0000-0000A9340000}"/>
    <cellStyle name="Normal 21 5 44" xfId="2963" xr:uid="{00000000-0005-0000-0000-0000AA340000}"/>
    <cellStyle name="Normal 21 5 45" xfId="2720" xr:uid="{00000000-0005-0000-0000-0000AB340000}"/>
    <cellStyle name="Normal 21 5 46" xfId="2480" xr:uid="{00000000-0005-0000-0000-0000AC340000}"/>
    <cellStyle name="Normal 21 5 47" xfId="2240" xr:uid="{00000000-0005-0000-0000-0000AD340000}"/>
    <cellStyle name="Normal 21 5 48" xfId="2000" xr:uid="{00000000-0005-0000-0000-0000AE340000}"/>
    <cellStyle name="Normal 21 5 49" xfId="1760" xr:uid="{00000000-0005-0000-0000-0000AF340000}"/>
    <cellStyle name="Normal 21 5 5" xfId="26182" xr:uid="{00000000-0005-0000-0000-0000B0340000}"/>
    <cellStyle name="Normal 21 5 50" xfId="1521" xr:uid="{00000000-0005-0000-0000-0000B1340000}"/>
    <cellStyle name="Normal 21 5 51" xfId="1281" xr:uid="{00000000-0005-0000-0000-0000B2340000}"/>
    <cellStyle name="Normal 21 5 52" xfId="1041" xr:uid="{00000000-0005-0000-0000-0000B3340000}"/>
    <cellStyle name="Normal 21 5 53" xfId="801" xr:uid="{00000000-0005-0000-0000-0000B4340000}"/>
    <cellStyle name="Normal 21 5 54" xfId="561" xr:uid="{00000000-0005-0000-0000-0000B5340000}"/>
    <cellStyle name="Normal 21 5 55" xfId="322" xr:uid="{00000000-0005-0000-0000-0000B6340000}"/>
    <cellStyle name="Normal 21 5 56" xfId="84" xr:uid="{00000000-0005-0000-0000-0000B7340000}"/>
    <cellStyle name="Normal 21 5 6" xfId="25586" xr:uid="{00000000-0005-0000-0000-0000B8340000}"/>
    <cellStyle name="Normal 21 5 7" xfId="24989" xr:uid="{00000000-0005-0000-0000-0000B9340000}"/>
    <cellStyle name="Normal 21 5 8" xfId="24392" xr:uid="{00000000-0005-0000-0000-0000BA340000}"/>
    <cellStyle name="Normal 21 5 9" xfId="23795" xr:uid="{00000000-0005-0000-0000-0000BB340000}"/>
    <cellStyle name="Normal 21 50" xfId="13325" xr:uid="{00000000-0005-0000-0000-0000BC340000}"/>
    <cellStyle name="Normal 21 51" xfId="15906" xr:uid="{00000000-0005-0000-0000-0000BD340000}"/>
    <cellStyle name="Normal 21 52" xfId="16389" xr:uid="{00000000-0005-0000-0000-0000BE340000}"/>
    <cellStyle name="Normal 21 53" xfId="12463" xr:uid="{00000000-0005-0000-0000-0000BF340000}"/>
    <cellStyle name="Normal 21 54" xfId="9652" xr:uid="{00000000-0005-0000-0000-0000C0340000}"/>
    <cellStyle name="Normal 21 55" xfId="6657" xr:uid="{00000000-0005-0000-0000-0000C1340000}"/>
    <cellStyle name="Normal 21 56" xfId="6300" xr:uid="{00000000-0005-0000-0000-0000C2340000}"/>
    <cellStyle name="Normal 21 57" xfId="11522" xr:uid="{00000000-0005-0000-0000-0000C3340000}"/>
    <cellStyle name="Normal 21 58" xfId="6962" xr:uid="{00000000-0005-0000-0000-0000C4340000}"/>
    <cellStyle name="Normal 21 59" xfId="6334" xr:uid="{00000000-0005-0000-0000-0000C5340000}"/>
    <cellStyle name="Normal 21 6" xfId="28571" xr:uid="{00000000-0005-0000-0000-0000C6340000}"/>
    <cellStyle name="Normal 21 6 10" xfId="23197" xr:uid="{00000000-0005-0000-0000-0000C7340000}"/>
    <cellStyle name="Normal 21 6 11" xfId="22600" xr:uid="{00000000-0005-0000-0000-0000C8340000}"/>
    <cellStyle name="Normal 21 6 12" xfId="22004" xr:uid="{00000000-0005-0000-0000-0000C9340000}"/>
    <cellStyle name="Normal 21 6 13" xfId="21407" xr:uid="{00000000-0005-0000-0000-0000CA340000}"/>
    <cellStyle name="Normal 21 6 14" xfId="20810" xr:uid="{00000000-0005-0000-0000-0000CB340000}"/>
    <cellStyle name="Normal 21 6 15" xfId="20213" xr:uid="{00000000-0005-0000-0000-0000CC340000}"/>
    <cellStyle name="Normal 21 6 16" xfId="19617" xr:uid="{00000000-0005-0000-0000-0000CD340000}"/>
    <cellStyle name="Normal 21 6 17" xfId="19021" xr:uid="{00000000-0005-0000-0000-0000CE340000}"/>
    <cellStyle name="Normal 21 6 18" xfId="18429" xr:uid="{00000000-0005-0000-0000-0000CF340000}"/>
    <cellStyle name="Normal 21 6 19" xfId="17832" xr:uid="{00000000-0005-0000-0000-0000D0340000}"/>
    <cellStyle name="Normal 21 6 2" xfId="27971" xr:uid="{00000000-0005-0000-0000-0000D1340000}"/>
    <cellStyle name="Normal 21 6 20" xfId="14157" xr:uid="{00000000-0005-0000-0000-0000D2340000}"/>
    <cellStyle name="Normal 21 6 21" xfId="17349" xr:uid="{00000000-0005-0000-0000-0000D3340000}"/>
    <cellStyle name="Normal 21 6 22" xfId="16994" xr:uid="{00000000-0005-0000-0000-0000D4340000}"/>
    <cellStyle name="Normal 21 6 23" xfId="16616" xr:uid="{00000000-0005-0000-0000-0000D5340000}"/>
    <cellStyle name="Normal 21 6 24" xfId="13108" xr:uid="{00000000-0005-0000-0000-0000D6340000}"/>
    <cellStyle name="Normal 21 6 25" xfId="16995" xr:uid="{00000000-0005-0000-0000-0000D7340000}"/>
    <cellStyle name="Normal 21 6 26" xfId="15083" xr:uid="{00000000-0005-0000-0000-0000D8340000}"/>
    <cellStyle name="Normal 21 6 27" xfId="14669" xr:uid="{00000000-0005-0000-0000-0000D9340000}"/>
    <cellStyle name="Normal 21 6 28" xfId="12441" xr:uid="{00000000-0005-0000-0000-0000DA340000}"/>
    <cellStyle name="Normal 21 6 29" xfId="8727" xr:uid="{00000000-0005-0000-0000-0000DB340000}"/>
    <cellStyle name="Normal 21 6 3" xfId="27374" xr:uid="{00000000-0005-0000-0000-0000DC340000}"/>
    <cellStyle name="Normal 21 6 30" xfId="11640" xr:uid="{00000000-0005-0000-0000-0000DD340000}"/>
    <cellStyle name="Normal 21 6 31" xfId="7190" xr:uid="{00000000-0005-0000-0000-0000DE340000}"/>
    <cellStyle name="Normal 21 6 32" xfId="12066" xr:uid="{00000000-0005-0000-0000-0000DF340000}"/>
    <cellStyle name="Normal 21 6 33" xfId="11772" xr:uid="{00000000-0005-0000-0000-0000E0340000}"/>
    <cellStyle name="Normal 21 6 34" xfId="9670" xr:uid="{00000000-0005-0000-0000-0000E1340000}"/>
    <cellStyle name="Normal 21 6 35" xfId="11837" xr:uid="{00000000-0005-0000-0000-0000E2340000}"/>
    <cellStyle name="Normal 21 6 36" xfId="4338" xr:uid="{00000000-0005-0000-0000-0000E3340000}"/>
    <cellStyle name="Normal 21 6 37" xfId="5036" xr:uid="{00000000-0005-0000-0000-0000E4340000}"/>
    <cellStyle name="Normal 21 6 38" xfId="5042" xr:uid="{00000000-0005-0000-0000-0000E5340000}"/>
    <cellStyle name="Normal 21 6 39" xfId="7426" xr:uid="{00000000-0005-0000-0000-0000E6340000}"/>
    <cellStyle name="Normal 21 6 4" xfId="26777" xr:uid="{00000000-0005-0000-0000-0000E7340000}"/>
    <cellStyle name="Normal 21 6 40" xfId="9477" xr:uid="{00000000-0005-0000-0000-0000E8340000}"/>
    <cellStyle name="Normal 21 6 41" xfId="5191" xr:uid="{00000000-0005-0000-0000-0000E9340000}"/>
    <cellStyle name="Normal 21 6 42" xfId="3173" xr:uid="{00000000-0005-0000-0000-0000EA340000}"/>
    <cellStyle name="Normal 21 6 43" xfId="10473" xr:uid="{00000000-0005-0000-0000-0000EB340000}"/>
    <cellStyle name="Normal 21 6 44" xfId="2962" xr:uid="{00000000-0005-0000-0000-0000EC340000}"/>
    <cellStyle name="Normal 21 6 45" xfId="2719" xr:uid="{00000000-0005-0000-0000-0000ED340000}"/>
    <cellStyle name="Normal 21 6 46" xfId="2479" xr:uid="{00000000-0005-0000-0000-0000EE340000}"/>
    <cellStyle name="Normal 21 6 47" xfId="2239" xr:uid="{00000000-0005-0000-0000-0000EF340000}"/>
    <cellStyle name="Normal 21 6 48" xfId="1999" xr:uid="{00000000-0005-0000-0000-0000F0340000}"/>
    <cellStyle name="Normal 21 6 49" xfId="1759" xr:uid="{00000000-0005-0000-0000-0000F1340000}"/>
    <cellStyle name="Normal 21 6 5" xfId="26181" xr:uid="{00000000-0005-0000-0000-0000F2340000}"/>
    <cellStyle name="Normal 21 6 50" xfId="1520" xr:uid="{00000000-0005-0000-0000-0000F3340000}"/>
    <cellStyle name="Normal 21 6 51" xfId="1280" xr:uid="{00000000-0005-0000-0000-0000F4340000}"/>
    <cellStyle name="Normal 21 6 52" xfId="1040" xr:uid="{00000000-0005-0000-0000-0000F5340000}"/>
    <cellStyle name="Normal 21 6 53" xfId="800" xr:uid="{00000000-0005-0000-0000-0000F6340000}"/>
    <cellStyle name="Normal 21 6 54" xfId="560" xr:uid="{00000000-0005-0000-0000-0000F7340000}"/>
    <cellStyle name="Normal 21 6 55" xfId="321" xr:uid="{00000000-0005-0000-0000-0000F8340000}"/>
    <cellStyle name="Normal 21 6 56" xfId="83" xr:uid="{00000000-0005-0000-0000-0000F9340000}"/>
    <cellStyle name="Normal 21 6 6" xfId="25585" xr:uid="{00000000-0005-0000-0000-0000FA340000}"/>
    <cellStyle name="Normal 21 6 7" xfId="24988" xr:uid="{00000000-0005-0000-0000-0000FB340000}"/>
    <cellStyle name="Normal 21 6 8" xfId="24391" xr:uid="{00000000-0005-0000-0000-0000FC340000}"/>
    <cellStyle name="Normal 21 6 9" xfId="23794" xr:uid="{00000000-0005-0000-0000-0000FD340000}"/>
    <cellStyle name="Normal 21 60" xfId="9936" xr:uid="{00000000-0005-0000-0000-0000FE340000}"/>
    <cellStyle name="Normal 21 61" xfId="8525" xr:uid="{00000000-0005-0000-0000-0000FF340000}"/>
    <cellStyle name="Normal 21 62" xfId="11977" xr:uid="{00000000-0005-0000-0000-000000350000}"/>
    <cellStyle name="Normal 21 63" xfId="3765" xr:uid="{00000000-0005-0000-0000-000001350000}"/>
    <cellStyle name="Normal 21 64" xfId="4670" xr:uid="{00000000-0005-0000-0000-000002350000}"/>
    <cellStyle name="Normal 21 65" xfId="12084" xr:uid="{00000000-0005-0000-0000-000003350000}"/>
    <cellStyle name="Normal 21 66" xfId="9050" xr:uid="{00000000-0005-0000-0000-000004350000}"/>
    <cellStyle name="Normal 21 67" xfId="3588" xr:uid="{00000000-0005-0000-0000-000005350000}"/>
    <cellStyle name="Normal 21 68" xfId="4622" xr:uid="{00000000-0005-0000-0000-000006350000}"/>
    <cellStyle name="Normal 21 7" xfId="28570" xr:uid="{00000000-0005-0000-0000-000007350000}"/>
    <cellStyle name="Normal 21 7 10" xfId="23196" xr:uid="{00000000-0005-0000-0000-000008350000}"/>
    <cellStyle name="Normal 21 7 11" xfId="22599" xr:uid="{00000000-0005-0000-0000-000009350000}"/>
    <cellStyle name="Normal 21 7 12" xfId="22003" xr:uid="{00000000-0005-0000-0000-00000A350000}"/>
    <cellStyle name="Normal 21 7 13" xfId="21406" xr:uid="{00000000-0005-0000-0000-00000B350000}"/>
    <cellStyle name="Normal 21 7 14" xfId="20809" xr:uid="{00000000-0005-0000-0000-00000C350000}"/>
    <cellStyle name="Normal 21 7 15" xfId="20212" xr:uid="{00000000-0005-0000-0000-00000D350000}"/>
    <cellStyle name="Normal 21 7 16" xfId="19616" xr:uid="{00000000-0005-0000-0000-00000E350000}"/>
    <cellStyle name="Normal 21 7 17" xfId="19020" xr:uid="{00000000-0005-0000-0000-00000F350000}"/>
    <cellStyle name="Normal 21 7 18" xfId="18428" xr:uid="{00000000-0005-0000-0000-000010350000}"/>
    <cellStyle name="Normal 21 7 19" xfId="17831" xr:uid="{00000000-0005-0000-0000-000011350000}"/>
    <cellStyle name="Normal 21 7 2" xfId="27970" xr:uid="{00000000-0005-0000-0000-000012350000}"/>
    <cellStyle name="Normal 21 7 20" xfId="14346" xr:uid="{00000000-0005-0000-0000-000013350000}"/>
    <cellStyle name="Normal 21 7 21" xfId="13968" xr:uid="{00000000-0005-0000-0000-000014350000}"/>
    <cellStyle name="Normal 21 7 22" xfId="14213" xr:uid="{00000000-0005-0000-0000-000015350000}"/>
    <cellStyle name="Normal 21 7 23" xfId="16710" xr:uid="{00000000-0005-0000-0000-000016350000}"/>
    <cellStyle name="Normal 21 7 24" xfId="13080" xr:uid="{00000000-0005-0000-0000-000017350000}"/>
    <cellStyle name="Normal 21 7 25" xfId="14482" xr:uid="{00000000-0005-0000-0000-000018350000}"/>
    <cellStyle name="Normal 21 7 26" xfId="13295" xr:uid="{00000000-0005-0000-0000-000019350000}"/>
    <cellStyle name="Normal 21 7 27" xfId="16063" xr:uid="{00000000-0005-0000-0000-00001A350000}"/>
    <cellStyle name="Normal 21 7 28" xfId="12440" xr:uid="{00000000-0005-0000-0000-00001B350000}"/>
    <cellStyle name="Normal 21 7 29" xfId="8965" xr:uid="{00000000-0005-0000-0000-00001C350000}"/>
    <cellStyle name="Normal 21 7 3" xfId="27373" xr:uid="{00000000-0005-0000-0000-00001D350000}"/>
    <cellStyle name="Normal 21 7 30" xfId="11185" xr:uid="{00000000-0005-0000-0000-00001E350000}"/>
    <cellStyle name="Normal 21 7 31" xfId="7852" xr:uid="{00000000-0005-0000-0000-00001F350000}"/>
    <cellStyle name="Normal 21 7 32" xfId="7041" xr:uid="{00000000-0005-0000-0000-000020350000}"/>
    <cellStyle name="Normal 21 7 33" xfId="6620" xr:uid="{00000000-0005-0000-0000-000021350000}"/>
    <cellStyle name="Normal 21 7 34" xfId="11927" xr:uid="{00000000-0005-0000-0000-000022350000}"/>
    <cellStyle name="Normal 21 7 35" xfId="10280" xr:uid="{00000000-0005-0000-0000-000023350000}"/>
    <cellStyle name="Normal 21 7 36" xfId="10059" xr:uid="{00000000-0005-0000-0000-000024350000}"/>
    <cellStyle name="Normal 21 7 37" xfId="3797" xr:uid="{00000000-0005-0000-0000-000025350000}"/>
    <cellStyle name="Normal 21 7 38" xfId="3823" xr:uid="{00000000-0005-0000-0000-000026350000}"/>
    <cellStyle name="Normal 21 7 39" xfId="3716" xr:uid="{00000000-0005-0000-0000-000027350000}"/>
    <cellStyle name="Normal 21 7 4" xfId="26776" xr:uid="{00000000-0005-0000-0000-000028350000}"/>
    <cellStyle name="Normal 21 7 40" xfId="4397" xr:uid="{00000000-0005-0000-0000-000029350000}"/>
    <cellStyle name="Normal 21 7 41" xfId="6991" xr:uid="{00000000-0005-0000-0000-00002A350000}"/>
    <cellStyle name="Normal 21 7 42" xfId="11124" xr:uid="{00000000-0005-0000-0000-00002B350000}"/>
    <cellStyle name="Normal 21 7 43" xfId="6369" xr:uid="{00000000-0005-0000-0000-00002C350000}"/>
    <cellStyle name="Normal 21 7 44" xfId="2961" xr:uid="{00000000-0005-0000-0000-00002D350000}"/>
    <cellStyle name="Normal 21 7 45" xfId="2718" xr:uid="{00000000-0005-0000-0000-00002E350000}"/>
    <cellStyle name="Normal 21 7 46" xfId="2478" xr:uid="{00000000-0005-0000-0000-00002F350000}"/>
    <cellStyle name="Normal 21 7 47" xfId="2238" xr:uid="{00000000-0005-0000-0000-000030350000}"/>
    <cellStyle name="Normal 21 7 48" xfId="1998" xr:uid="{00000000-0005-0000-0000-000031350000}"/>
    <cellStyle name="Normal 21 7 49" xfId="1758" xr:uid="{00000000-0005-0000-0000-000032350000}"/>
    <cellStyle name="Normal 21 7 5" xfId="26180" xr:uid="{00000000-0005-0000-0000-000033350000}"/>
    <cellStyle name="Normal 21 7 50" xfId="1519" xr:uid="{00000000-0005-0000-0000-000034350000}"/>
    <cellStyle name="Normal 21 7 51" xfId="1279" xr:uid="{00000000-0005-0000-0000-000035350000}"/>
    <cellStyle name="Normal 21 7 52" xfId="1039" xr:uid="{00000000-0005-0000-0000-000036350000}"/>
    <cellStyle name="Normal 21 7 53" xfId="799" xr:uid="{00000000-0005-0000-0000-000037350000}"/>
    <cellStyle name="Normal 21 7 54" xfId="559" xr:uid="{00000000-0005-0000-0000-000038350000}"/>
    <cellStyle name="Normal 21 7 55" xfId="320" xr:uid="{00000000-0005-0000-0000-000039350000}"/>
    <cellStyle name="Normal 21 7 56" xfId="82" xr:uid="{00000000-0005-0000-0000-00003A350000}"/>
    <cellStyle name="Normal 21 7 6" xfId="25584" xr:uid="{00000000-0005-0000-0000-00003B350000}"/>
    <cellStyle name="Normal 21 7 7" xfId="24987" xr:uid="{00000000-0005-0000-0000-00003C350000}"/>
    <cellStyle name="Normal 21 7 8" xfId="24390" xr:uid="{00000000-0005-0000-0000-00003D350000}"/>
    <cellStyle name="Normal 21 7 9" xfId="23793" xr:uid="{00000000-0005-0000-0000-00003E350000}"/>
    <cellStyle name="Normal 21 8" xfId="28569" xr:uid="{00000000-0005-0000-0000-00003F350000}"/>
    <cellStyle name="Normal 21 8 10" xfId="23195" xr:uid="{00000000-0005-0000-0000-000040350000}"/>
    <cellStyle name="Normal 21 8 11" xfId="22598" xr:uid="{00000000-0005-0000-0000-000041350000}"/>
    <cellStyle name="Normal 21 8 12" xfId="22002" xr:uid="{00000000-0005-0000-0000-000042350000}"/>
    <cellStyle name="Normal 21 8 13" xfId="21405" xr:uid="{00000000-0005-0000-0000-000043350000}"/>
    <cellStyle name="Normal 21 8 14" xfId="20808" xr:uid="{00000000-0005-0000-0000-000044350000}"/>
    <cellStyle name="Normal 21 8 15" xfId="20211" xr:uid="{00000000-0005-0000-0000-000045350000}"/>
    <cellStyle name="Normal 21 8 16" xfId="19615" xr:uid="{00000000-0005-0000-0000-000046350000}"/>
    <cellStyle name="Normal 21 8 17" xfId="19019" xr:uid="{00000000-0005-0000-0000-000047350000}"/>
    <cellStyle name="Normal 21 8 18" xfId="18427" xr:uid="{00000000-0005-0000-0000-000048350000}"/>
    <cellStyle name="Normal 21 8 19" xfId="17830" xr:uid="{00000000-0005-0000-0000-000049350000}"/>
    <cellStyle name="Normal 21 8 2" xfId="27969" xr:uid="{00000000-0005-0000-0000-00004A350000}"/>
    <cellStyle name="Normal 21 8 20" xfId="14537" xr:uid="{00000000-0005-0000-0000-00004B350000}"/>
    <cellStyle name="Normal 21 8 21" xfId="14139" xr:uid="{00000000-0005-0000-0000-00004C350000}"/>
    <cellStyle name="Normal 21 8 22" xfId="15227" xr:uid="{00000000-0005-0000-0000-00004D350000}"/>
    <cellStyle name="Normal 21 8 23" xfId="14686" xr:uid="{00000000-0005-0000-0000-00004E350000}"/>
    <cellStyle name="Normal 21 8 24" xfId="13296" xr:uid="{00000000-0005-0000-0000-00004F350000}"/>
    <cellStyle name="Normal 21 8 25" xfId="13420" xr:uid="{00000000-0005-0000-0000-000050350000}"/>
    <cellStyle name="Normal 21 8 26" xfId="13511" xr:uid="{00000000-0005-0000-0000-000051350000}"/>
    <cellStyle name="Normal 21 8 27" xfId="13137" xr:uid="{00000000-0005-0000-0000-000052350000}"/>
    <cellStyle name="Normal 21 8 28" xfId="12439" xr:uid="{00000000-0005-0000-0000-000053350000}"/>
    <cellStyle name="Normal 21 8 29" xfId="9200" xr:uid="{00000000-0005-0000-0000-000054350000}"/>
    <cellStyle name="Normal 21 8 3" xfId="27372" xr:uid="{00000000-0005-0000-0000-000055350000}"/>
    <cellStyle name="Normal 21 8 30" xfId="7736" xr:uid="{00000000-0005-0000-0000-000056350000}"/>
    <cellStyle name="Normal 21 8 31" xfId="10651" xr:uid="{00000000-0005-0000-0000-000057350000}"/>
    <cellStyle name="Normal 21 8 32" xfId="9084" xr:uid="{00000000-0005-0000-0000-000058350000}"/>
    <cellStyle name="Normal 21 8 33" xfId="8419" xr:uid="{00000000-0005-0000-0000-000059350000}"/>
    <cellStyle name="Normal 21 8 34" xfId="7613" xr:uid="{00000000-0005-0000-0000-00005A350000}"/>
    <cellStyle name="Normal 21 8 35" xfId="10693" xr:uid="{00000000-0005-0000-0000-00005B350000}"/>
    <cellStyle name="Normal 21 8 36" xfId="11024" xr:uid="{00000000-0005-0000-0000-00005C350000}"/>
    <cellStyle name="Normal 21 8 37" xfId="4534" xr:uid="{00000000-0005-0000-0000-00005D350000}"/>
    <cellStyle name="Normal 21 8 38" xfId="5079" xr:uid="{00000000-0005-0000-0000-00005E350000}"/>
    <cellStyle name="Normal 21 8 39" xfId="9803" xr:uid="{00000000-0005-0000-0000-00005F350000}"/>
    <cellStyle name="Normal 21 8 4" xfId="26775" xr:uid="{00000000-0005-0000-0000-000060350000}"/>
    <cellStyle name="Normal 21 8 40" xfId="10002" xr:uid="{00000000-0005-0000-0000-000061350000}"/>
    <cellStyle name="Normal 21 8 41" xfId="3704" xr:uid="{00000000-0005-0000-0000-000062350000}"/>
    <cellStyle name="Normal 21 8 42" xfId="5636" xr:uid="{00000000-0005-0000-0000-000063350000}"/>
    <cellStyle name="Normal 21 8 43" xfId="4957" xr:uid="{00000000-0005-0000-0000-000064350000}"/>
    <cellStyle name="Normal 21 8 44" xfId="2960" xr:uid="{00000000-0005-0000-0000-000065350000}"/>
    <cellStyle name="Normal 21 8 45" xfId="2717" xr:uid="{00000000-0005-0000-0000-000066350000}"/>
    <cellStyle name="Normal 21 8 46" xfId="2477" xr:uid="{00000000-0005-0000-0000-000067350000}"/>
    <cellStyle name="Normal 21 8 47" xfId="2237" xr:uid="{00000000-0005-0000-0000-000068350000}"/>
    <cellStyle name="Normal 21 8 48" xfId="1997" xr:uid="{00000000-0005-0000-0000-000069350000}"/>
    <cellStyle name="Normal 21 8 49" xfId="1757" xr:uid="{00000000-0005-0000-0000-00006A350000}"/>
    <cellStyle name="Normal 21 8 5" xfId="26179" xr:uid="{00000000-0005-0000-0000-00006B350000}"/>
    <cellStyle name="Normal 21 8 50" xfId="1518" xr:uid="{00000000-0005-0000-0000-00006C350000}"/>
    <cellStyle name="Normal 21 8 51" xfId="1278" xr:uid="{00000000-0005-0000-0000-00006D350000}"/>
    <cellStyle name="Normal 21 8 52" xfId="1038" xr:uid="{00000000-0005-0000-0000-00006E350000}"/>
    <cellStyle name="Normal 21 8 53" xfId="798" xr:uid="{00000000-0005-0000-0000-00006F350000}"/>
    <cellStyle name="Normal 21 8 54" xfId="558" xr:uid="{00000000-0005-0000-0000-000070350000}"/>
    <cellStyle name="Normal 21 8 55" xfId="319" xr:uid="{00000000-0005-0000-0000-000071350000}"/>
    <cellStyle name="Normal 21 8 56" xfId="81" xr:uid="{00000000-0005-0000-0000-000072350000}"/>
    <cellStyle name="Normal 21 8 6" xfId="25583" xr:uid="{00000000-0005-0000-0000-000073350000}"/>
    <cellStyle name="Normal 21 8 7" xfId="24986" xr:uid="{00000000-0005-0000-0000-000074350000}"/>
    <cellStyle name="Normal 21 8 8" xfId="24389" xr:uid="{00000000-0005-0000-0000-000075350000}"/>
    <cellStyle name="Normal 21 8 9" xfId="23792" xr:uid="{00000000-0005-0000-0000-000076350000}"/>
    <cellStyle name="Normal 21 9" xfId="28568" xr:uid="{00000000-0005-0000-0000-000077350000}"/>
    <cellStyle name="Normal 21 9 10" xfId="23194" xr:uid="{00000000-0005-0000-0000-000078350000}"/>
    <cellStyle name="Normal 21 9 11" xfId="22597" xr:uid="{00000000-0005-0000-0000-000079350000}"/>
    <cellStyle name="Normal 21 9 12" xfId="22001" xr:uid="{00000000-0005-0000-0000-00007A350000}"/>
    <cellStyle name="Normal 21 9 13" xfId="21404" xr:uid="{00000000-0005-0000-0000-00007B350000}"/>
    <cellStyle name="Normal 21 9 14" xfId="20807" xr:uid="{00000000-0005-0000-0000-00007C350000}"/>
    <cellStyle name="Normal 21 9 15" xfId="20210" xr:uid="{00000000-0005-0000-0000-00007D350000}"/>
    <cellStyle name="Normal 21 9 16" xfId="19614" xr:uid="{00000000-0005-0000-0000-00007E350000}"/>
    <cellStyle name="Normal 21 9 17" xfId="19018" xr:uid="{00000000-0005-0000-0000-00007F350000}"/>
    <cellStyle name="Normal 21 9 18" xfId="18426" xr:uid="{00000000-0005-0000-0000-000080350000}"/>
    <cellStyle name="Normal 21 9 19" xfId="17829" xr:uid="{00000000-0005-0000-0000-000081350000}"/>
    <cellStyle name="Normal 21 9 2" xfId="27968" xr:uid="{00000000-0005-0000-0000-000082350000}"/>
    <cellStyle name="Normal 21 9 20" xfId="14734" xr:uid="{00000000-0005-0000-0000-000083350000}"/>
    <cellStyle name="Normal 21 9 21" xfId="16703" xr:uid="{00000000-0005-0000-0000-000084350000}"/>
    <cellStyle name="Normal 21 9 22" xfId="17233" xr:uid="{00000000-0005-0000-0000-000085350000}"/>
    <cellStyle name="Normal 21 9 23" xfId="16272" xr:uid="{00000000-0005-0000-0000-000086350000}"/>
    <cellStyle name="Normal 21 9 24" xfId="17010" xr:uid="{00000000-0005-0000-0000-000087350000}"/>
    <cellStyle name="Normal 21 9 25" xfId="13870" xr:uid="{00000000-0005-0000-0000-000088350000}"/>
    <cellStyle name="Normal 21 9 26" xfId="13361" xr:uid="{00000000-0005-0000-0000-000089350000}"/>
    <cellStyle name="Normal 21 9 27" xfId="16566" xr:uid="{00000000-0005-0000-0000-00008A350000}"/>
    <cellStyle name="Normal 21 9 28" xfId="12438" xr:uid="{00000000-0005-0000-0000-00008B350000}"/>
    <cellStyle name="Normal 21 9 29" xfId="9433" xr:uid="{00000000-0005-0000-0000-00008C350000}"/>
    <cellStyle name="Normal 21 9 3" xfId="27371" xr:uid="{00000000-0005-0000-0000-00008D350000}"/>
    <cellStyle name="Normal 21 9 30" xfId="9615" xr:uid="{00000000-0005-0000-0000-00008E350000}"/>
    <cellStyle name="Normal 21 9 31" xfId="8837" xr:uid="{00000000-0005-0000-0000-00008F350000}"/>
    <cellStyle name="Normal 21 9 32" xfId="9142" xr:uid="{00000000-0005-0000-0000-000090350000}"/>
    <cellStyle name="Normal 21 9 33" xfId="11867" xr:uid="{00000000-0005-0000-0000-000091350000}"/>
    <cellStyle name="Normal 21 9 34" xfId="6082" xr:uid="{00000000-0005-0000-0000-000092350000}"/>
    <cellStyle name="Normal 21 9 35" xfId="11067" xr:uid="{00000000-0005-0000-0000-000093350000}"/>
    <cellStyle name="Normal 21 9 36" xfId="7823" xr:uid="{00000000-0005-0000-0000-000094350000}"/>
    <cellStyle name="Normal 21 9 37" xfId="6237" xr:uid="{00000000-0005-0000-0000-000095350000}"/>
    <cellStyle name="Normal 21 9 38" xfId="6307" xr:uid="{00000000-0005-0000-0000-000096350000}"/>
    <cellStyle name="Normal 21 9 39" xfId="6607" xr:uid="{00000000-0005-0000-0000-000097350000}"/>
    <cellStyle name="Normal 21 9 4" xfId="26774" xr:uid="{00000000-0005-0000-0000-000098350000}"/>
    <cellStyle name="Normal 21 9 40" xfId="10086" xr:uid="{00000000-0005-0000-0000-000099350000}"/>
    <cellStyle name="Normal 21 9 41" xfId="11926" xr:uid="{00000000-0005-0000-0000-00009A350000}"/>
    <cellStyle name="Normal 21 9 42" xfId="3950" xr:uid="{00000000-0005-0000-0000-00009B350000}"/>
    <cellStyle name="Normal 21 9 43" xfId="5424" xr:uid="{00000000-0005-0000-0000-00009C350000}"/>
    <cellStyle name="Normal 21 9 44" xfId="2959" xr:uid="{00000000-0005-0000-0000-00009D350000}"/>
    <cellStyle name="Normal 21 9 45" xfId="2716" xr:uid="{00000000-0005-0000-0000-00009E350000}"/>
    <cellStyle name="Normal 21 9 46" xfId="2476" xr:uid="{00000000-0005-0000-0000-00009F350000}"/>
    <cellStyle name="Normal 21 9 47" xfId="2236" xr:uid="{00000000-0005-0000-0000-0000A0350000}"/>
    <cellStyle name="Normal 21 9 48" xfId="1996" xr:uid="{00000000-0005-0000-0000-0000A1350000}"/>
    <cellStyle name="Normal 21 9 49" xfId="1756" xr:uid="{00000000-0005-0000-0000-0000A2350000}"/>
    <cellStyle name="Normal 21 9 5" xfId="26178" xr:uid="{00000000-0005-0000-0000-0000A3350000}"/>
    <cellStyle name="Normal 21 9 50" xfId="1517" xr:uid="{00000000-0005-0000-0000-0000A4350000}"/>
    <cellStyle name="Normal 21 9 51" xfId="1277" xr:uid="{00000000-0005-0000-0000-0000A5350000}"/>
    <cellStyle name="Normal 21 9 52" xfId="1037" xr:uid="{00000000-0005-0000-0000-0000A6350000}"/>
    <cellStyle name="Normal 21 9 53" xfId="797" xr:uid="{00000000-0005-0000-0000-0000A7350000}"/>
    <cellStyle name="Normal 21 9 54" xfId="557" xr:uid="{00000000-0005-0000-0000-0000A8350000}"/>
    <cellStyle name="Normal 21 9 55" xfId="318" xr:uid="{00000000-0005-0000-0000-0000A9350000}"/>
    <cellStyle name="Normal 21 9 56" xfId="80" xr:uid="{00000000-0005-0000-0000-0000AA350000}"/>
    <cellStyle name="Normal 21 9 6" xfId="25582" xr:uid="{00000000-0005-0000-0000-0000AB350000}"/>
    <cellStyle name="Normal 21 9 7" xfId="24985" xr:uid="{00000000-0005-0000-0000-0000AC350000}"/>
    <cellStyle name="Normal 21 9 8" xfId="24388" xr:uid="{00000000-0005-0000-0000-0000AD350000}"/>
    <cellStyle name="Normal 21 9 9" xfId="23791" xr:uid="{00000000-0005-0000-0000-0000AE350000}"/>
    <cellStyle name="Normal 22" xfId="28567" xr:uid="{00000000-0005-0000-0000-0000AF350000}"/>
    <cellStyle name="Normal 22 10" xfId="28566" xr:uid="{00000000-0005-0000-0000-0000B0350000}"/>
    <cellStyle name="Normal 22 10 10" xfId="23192" xr:uid="{00000000-0005-0000-0000-0000B1350000}"/>
    <cellStyle name="Normal 22 10 11" xfId="22595" xr:uid="{00000000-0005-0000-0000-0000B2350000}"/>
    <cellStyle name="Normal 22 10 12" xfId="21999" xr:uid="{00000000-0005-0000-0000-0000B3350000}"/>
    <cellStyle name="Normal 22 10 13" xfId="21402" xr:uid="{00000000-0005-0000-0000-0000B4350000}"/>
    <cellStyle name="Normal 22 10 14" xfId="20805" xr:uid="{00000000-0005-0000-0000-0000B5350000}"/>
    <cellStyle name="Normal 22 10 15" xfId="20208" xr:uid="{00000000-0005-0000-0000-0000B6350000}"/>
    <cellStyle name="Normal 22 10 16" xfId="19612" xr:uid="{00000000-0005-0000-0000-0000B7350000}"/>
    <cellStyle name="Normal 22 10 17" xfId="19016" xr:uid="{00000000-0005-0000-0000-0000B8350000}"/>
    <cellStyle name="Normal 22 10 18" xfId="18424" xr:uid="{00000000-0005-0000-0000-0000B9350000}"/>
    <cellStyle name="Normal 22 10 19" xfId="17827" xr:uid="{00000000-0005-0000-0000-0000BA350000}"/>
    <cellStyle name="Normal 22 10 2" xfId="27966" xr:uid="{00000000-0005-0000-0000-0000BB350000}"/>
    <cellStyle name="Normal 22 10 20" xfId="15143" xr:uid="{00000000-0005-0000-0000-0000BC350000}"/>
    <cellStyle name="Normal 22 10 21" xfId="16487" xr:uid="{00000000-0005-0000-0000-0000BD350000}"/>
    <cellStyle name="Normal 22 10 22" xfId="14288" xr:uid="{00000000-0005-0000-0000-0000BE350000}"/>
    <cellStyle name="Normal 22 10 23" xfId="14119" xr:uid="{00000000-0005-0000-0000-0000BF350000}"/>
    <cellStyle name="Normal 22 10 24" xfId="17410" xr:uid="{00000000-0005-0000-0000-0000C0350000}"/>
    <cellStyle name="Normal 22 10 25" xfId="13580" xr:uid="{00000000-0005-0000-0000-0000C1350000}"/>
    <cellStyle name="Normal 22 10 26" xfId="16012" xr:uid="{00000000-0005-0000-0000-0000C2350000}"/>
    <cellStyle name="Normal 22 10 27" xfId="13640" xr:uid="{00000000-0005-0000-0000-0000C3350000}"/>
    <cellStyle name="Normal 22 10 28" xfId="12436" xr:uid="{00000000-0005-0000-0000-0000C4350000}"/>
    <cellStyle name="Normal 22 10 29" xfId="9884" xr:uid="{00000000-0005-0000-0000-0000C5350000}"/>
    <cellStyle name="Normal 22 10 3" xfId="27369" xr:uid="{00000000-0005-0000-0000-0000C6350000}"/>
    <cellStyle name="Normal 22 10 30" xfId="8493" xr:uid="{00000000-0005-0000-0000-0000C7350000}"/>
    <cellStyle name="Normal 22 10 31" xfId="7226" xr:uid="{00000000-0005-0000-0000-0000C8350000}"/>
    <cellStyle name="Normal 22 10 32" xfId="8941" xr:uid="{00000000-0005-0000-0000-0000C9350000}"/>
    <cellStyle name="Normal 22 10 33" xfId="7952" xr:uid="{00000000-0005-0000-0000-0000CA350000}"/>
    <cellStyle name="Normal 22 10 34" xfId="4520" xr:uid="{00000000-0005-0000-0000-0000CB350000}"/>
    <cellStyle name="Normal 22 10 35" xfId="5422" xr:uid="{00000000-0005-0000-0000-0000CC350000}"/>
    <cellStyle name="Normal 22 10 36" xfId="5366" xr:uid="{00000000-0005-0000-0000-0000CD350000}"/>
    <cellStyle name="Normal 22 10 37" xfId="12085" xr:uid="{00000000-0005-0000-0000-0000CE350000}"/>
    <cellStyle name="Normal 22 10 38" xfId="6304" xr:uid="{00000000-0005-0000-0000-0000CF350000}"/>
    <cellStyle name="Normal 22 10 39" xfId="7598" xr:uid="{00000000-0005-0000-0000-0000D0350000}"/>
    <cellStyle name="Normal 22 10 4" xfId="26772" xr:uid="{00000000-0005-0000-0000-0000D1350000}"/>
    <cellStyle name="Normal 22 10 40" xfId="3979" xr:uid="{00000000-0005-0000-0000-0000D2350000}"/>
    <cellStyle name="Normal 22 10 41" xfId="11840" xr:uid="{00000000-0005-0000-0000-0000D3350000}"/>
    <cellStyle name="Normal 22 10 42" xfId="4071" xr:uid="{00000000-0005-0000-0000-0000D4350000}"/>
    <cellStyle name="Normal 22 10 43" xfId="3096" xr:uid="{00000000-0005-0000-0000-0000D5350000}"/>
    <cellStyle name="Normal 22 10 44" xfId="2958" xr:uid="{00000000-0005-0000-0000-0000D6350000}"/>
    <cellStyle name="Normal 22 10 45" xfId="2715" xr:uid="{00000000-0005-0000-0000-0000D7350000}"/>
    <cellStyle name="Normal 22 10 46" xfId="2475" xr:uid="{00000000-0005-0000-0000-0000D8350000}"/>
    <cellStyle name="Normal 22 10 47" xfId="2235" xr:uid="{00000000-0005-0000-0000-0000D9350000}"/>
    <cellStyle name="Normal 22 10 48" xfId="1995" xr:uid="{00000000-0005-0000-0000-0000DA350000}"/>
    <cellStyle name="Normal 22 10 49" xfId="1755" xr:uid="{00000000-0005-0000-0000-0000DB350000}"/>
    <cellStyle name="Normal 22 10 5" xfId="26176" xr:uid="{00000000-0005-0000-0000-0000DC350000}"/>
    <cellStyle name="Normal 22 10 50" xfId="1516" xr:uid="{00000000-0005-0000-0000-0000DD350000}"/>
    <cellStyle name="Normal 22 10 51" xfId="1276" xr:uid="{00000000-0005-0000-0000-0000DE350000}"/>
    <cellStyle name="Normal 22 10 52" xfId="1036" xr:uid="{00000000-0005-0000-0000-0000DF350000}"/>
    <cellStyle name="Normal 22 10 53" xfId="796" xr:uid="{00000000-0005-0000-0000-0000E0350000}"/>
    <cellStyle name="Normal 22 10 54" xfId="556" xr:uid="{00000000-0005-0000-0000-0000E1350000}"/>
    <cellStyle name="Normal 22 10 55" xfId="317" xr:uid="{00000000-0005-0000-0000-0000E2350000}"/>
    <cellStyle name="Normal 22 10 56" xfId="79" xr:uid="{00000000-0005-0000-0000-0000E3350000}"/>
    <cellStyle name="Normal 22 10 6" xfId="25580" xr:uid="{00000000-0005-0000-0000-0000E4350000}"/>
    <cellStyle name="Normal 22 10 7" xfId="24983" xr:uid="{00000000-0005-0000-0000-0000E5350000}"/>
    <cellStyle name="Normal 22 10 8" xfId="24386" xr:uid="{00000000-0005-0000-0000-0000E6350000}"/>
    <cellStyle name="Normal 22 10 9" xfId="23789" xr:uid="{00000000-0005-0000-0000-0000E7350000}"/>
    <cellStyle name="Normal 22 11" xfId="28565" xr:uid="{00000000-0005-0000-0000-0000E8350000}"/>
    <cellStyle name="Normal 22 11 10" xfId="23191" xr:uid="{00000000-0005-0000-0000-0000E9350000}"/>
    <cellStyle name="Normal 22 11 11" xfId="22594" xr:uid="{00000000-0005-0000-0000-0000EA350000}"/>
    <cellStyle name="Normal 22 11 12" xfId="21998" xr:uid="{00000000-0005-0000-0000-0000EB350000}"/>
    <cellStyle name="Normal 22 11 13" xfId="21401" xr:uid="{00000000-0005-0000-0000-0000EC350000}"/>
    <cellStyle name="Normal 22 11 14" xfId="20804" xr:uid="{00000000-0005-0000-0000-0000ED350000}"/>
    <cellStyle name="Normal 22 11 15" xfId="20207" xr:uid="{00000000-0005-0000-0000-0000EE350000}"/>
    <cellStyle name="Normal 22 11 16" xfId="19611" xr:uid="{00000000-0005-0000-0000-0000EF350000}"/>
    <cellStyle name="Normal 22 11 17" xfId="19015" xr:uid="{00000000-0005-0000-0000-0000F0350000}"/>
    <cellStyle name="Normal 22 11 18" xfId="18423" xr:uid="{00000000-0005-0000-0000-0000F1350000}"/>
    <cellStyle name="Normal 22 11 19" xfId="17826" xr:uid="{00000000-0005-0000-0000-0000F2350000}"/>
    <cellStyle name="Normal 22 11 2" xfId="27965" xr:uid="{00000000-0005-0000-0000-0000F3350000}"/>
    <cellStyle name="Normal 22 11 20" xfId="15338" xr:uid="{00000000-0005-0000-0000-0000F4350000}"/>
    <cellStyle name="Normal 22 11 21" xfId="16477" xr:uid="{00000000-0005-0000-0000-0000F5350000}"/>
    <cellStyle name="Normal 22 11 22" xfId="17491" xr:uid="{00000000-0005-0000-0000-0000F6350000}"/>
    <cellStyle name="Normal 22 11 23" xfId="14714" xr:uid="{00000000-0005-0000-0000-0000F7350000}"/>
    <cellStyle name="Normal 22 11 24" xfId="15260" xr:uid="{00000000-0005-0000-0000-0000F8350000}"/>
    <cellStyle name="Normal 22 11 25" xfId="16679" xr:uid="{00000000-0005-0000-0000-0000F9350000}"/>
    <cellStyle name="Normal 22 11 26" xfId="12847" xr:uid="{00000000-0005-0000-0000-0000FA350000}"/>
    <cellStyle name="Normal 22 11 27" xfId="13715" xr:uid="{00000000-0005-0000-0000-0000FB350000}"/>
    <cellStyle name="Normal 22 11 28" xfId="12435" xr:uid="{00000000-0005-0000-0000-0000FC350000}"/>
    <cellStyle name="Normal 22 11 29" xfId="10119" xr:uid="{00000000-0005-0000-0000-0000FD350000}"/>
    <cellStyle name="Normal 22 11 3" xfId="27368" xr:uid="{00000000-0005-0000-0000-0000FE350000}"/>
    <cellStyle name="Normal 22 11 30" xfId="11713" xr:uid="{00000000-0005-0000-0000-0000FF350000}"/>
    <cellStyle name="Normal 22 11 31" xfId="9127" xr:uid="{00000000-0005-0000-0000-000000360000}"/>
    <cellStyle name="Normal 22 11 32" xfId="5475" xr:uid="{00000000-0005-0000-0000-000001360000}"/>
    <cellStyle name="Normal 22 11 33" xfId="6224" xr:uid="{00000000-0005-0000-0000-000002360000}"/>
    <cellStyle name="Normal 22 11 34" xfId="7725" xr:uid="{00000000-0005-0000-0000-000003360000}"/>
    <cellStyle name="Normal 22 11 35" xfId="11646" xr:uid="{00000000-0005-0000-0000-000004360000}"/>
    <cellStyle name="Normal 22 11 36" xfId="9421" xr:uid="{00000000-0005-0000-0000-000005360000}"/>
    <cellStyle name="Normal 22 11 37" xfId="9168" xr:uid="{00000000-0005-0000-0000-000006360000}"/>
    <cellStyle name="Normal 22 11 38" xfId="3572" xr:uid="{00000000-0005-0000-0000-000007360000}"/>
    <cellStyle name="Normal 22 11 39" xfId="10633" xr:uid="{00000000-0005-0000-0000-000008360000}"/>
    <cellStyle name="Normal 22 11 4" xfId="26771" xr:uid="{00000000-0005-0000-0000-000009360000}"/>
    <cellStyle name="Normal 22 11 40" xfId="11897" xr:uid="{00000000-0005-0000-0000-00000A360000}"/>
    <cellStyle name="Normal 22 11 41" xfId="10808" xr:uid="{00000000-0005-0000-0000-00000B360000}"/>
    <cellStyle name="Normal 22 11 42" xfId="3731" xr:uid="{00000000-0005-0000-0000-00000C360000}"/>
    <cellStyle name="Normal 22 11 43" xfId="9329" xr:uid="{00000000-0005-0000-0000-00000D360000}"/>
    <cellStyle name="Normal 22 11 44" xfId="2957" xr:uid="{00000000-0005-0000-0000-00000E360000}"/>
    <cellStyle name="Normal 22 11 45" xfId="2714" xr:uid="{00000000-0005-0000-0000-00000F360000}"/>
    <cellStyle name="Normal 22 11 46" xfId="2474" xr:uid="{00000000-0005-0000-0000-000010360000}"/>
    <cellStyle name="Normal 22 11 47" xfId="2234" xr:uid="{00000000-0005-0000-0000-000011360000}"/>
    <cellStyle name="Normal 22 11 48" xfId="1994" xr:uid="{00000000-0005-0000-0000-000012360000}"/>
    <cellStyle name="Normal 22 11 49" xfId="1754" xr:uid="{00000000-0005-0000-0000-000013360000}"/>
    <cellStyle name="Normal 22 11 5" xfId="26175" xr:uid="{00000000-0005-0000-0000-000014360000}"/>
    <cellStyle name="Normal 22 11 50" xfId="1515" xr:uid="{00000000-0005-0000-0000-000015360000}"/>
    <cellStyle name="Normal 22 11 51" xfId="1275" xr:uid="{00000000-0005-0000-0000-000016360000}"/>
    <cellStyle name="Normal 22 11 52" xfId="1035" xr:uid="{00000000-0005-0000-0000-000017360000}"/>
    <cellStyle name="Normal 22 11 53" xfId="795" xr:uid="{00000000-0005-0000-0000-000018360000}"/>
    <cellStyle name="Normal 22 11 54" xfId="555" xr:uid="{00000000-0005-0000-0000-000019360000}"/>
    <cellStyle name="Normal 22 11 55" xfId="316" xr:uid="{00000000-0005-0000-0000-00001A360000}"/>
    <cellStyle name="Normal 22 11 56" xfId="78" xr:uid="{00000000-0005-0000-0000-00001B360000}"/>
    <cellStyle name="Normal 22 11 6" xfId="25579" xr:uid="{00000000-0005-0000-0000-00001C360000}"/>
    <cellStyle name="Normal 22 11 7" xfId="24982" xr:uid="{00000000-0005-0000-0000-00001D360000}"/>
    <cellStyle name="Normal 22 11 8" xfId="24385" xr:uid="{00000000-0005-0000-0000-00001E360000}"/>
    <cellStyle name="Normal 22 11 9" xfId="23788" xr:uid="{00000000-0005-0000-0000-00001F360000}"/>
    <cellStyle name="Normal 22 12" xfId="28564" xr:uid="{00000000-0005-0000-0000-000020360000}"/>
    <cellStyle name="Normal 22 12 10" xfId="23190" xr:uid="{00000000-0005-0000-0000-000021360000}"/>
    <cellStyle name="Normal 22 12 11" xfId="22593" xr:uid="{00000000-0005-0000-0000-000022360000}"/>
    <cellStyle name="Normal 22 12 12" xfId="21997" xr:uid="{00000000-0005-0000-0000-000023360000}"/>
    <cellStyle name="Normal 22 12 13" xfId="21400" xr:uid="{00000000-0005-0000-0000-000024360000}"/>
    <cellStyle name="Normal 22 12 14" xfId="20803" xr:uid="{00000000-0005-0000-0000-000025360000}"/>
    <cellStyle name="Normal 22 12 15" xfId="20206" xr:uid="{00000000-0005-0000-0000-000026360000}"/>
    <cellStyle name="Normal 22 12 16" xfId="19610" xr:uid="{00000000-0005-0000-0000-000027360000}"/>
    <cellStyle name="Normal 22 12 17" xfId="19014" xr:uid="{00000000-0005-0000-0000-000028360000}"/>
    <cellStyle name="Normal 22 12 18" xfId="18422" xr:uid="{00000000-0005-0000-0000-000029360000}"/>
    <cellStyle name="Normal 22 12 19" xfId="17825" xr:uid="{00000000-0005-0000-0000-00002A360000}"/>
    <cellStyle name="Normal 22 12 2" xfId="27964" xr:uid="{00000000-0005-0000-0000-00002B360000}"/>
    <cellStyle name="Normal 22 12 20" xfId="15545" xr:uid="{00000000-0005-0000-0000-00002C360000}"/>
    <cellStyle name="Normal 22 12 21" xfId="16071" xr:uid="{00000000-0005-0000-0000-00002D360000}"/>
    <cellStyle name="Normal 22 12 22" xfId="15123" xr:uid="{00000000-0005-0000-0000-00002E360000}"/>
    <cellStyle name="Normal 22 12 23" xfId="16207" xr:uid="{00000000-0005-0000-0000-00002F360000}"/>
    <cellStyle name="Normal 22 12 24" xfId="13436" xr:uid="{00000000-0005-0000-0000-000030360000}"/>
    <cellStyle name="Normal 22 12 25" xfId="13283" xr:uid="{00000000-0005-0000-0000-000031360000}"/>
    <cellStyle name="Normal 22 12 26" xfId="12888" xr:uid="{00000000-0005-0000-0000-000032360000}"/>
    <cellStyle name="Normal 22 12 27" xfId="12811" xr:uid="{00000000-0005-0000-0000-000033360000}"/>
    <cellStyle name="Normal 22 12 28" xfId="12434" xr:uid="{00000000-0005-0000-0000-000034360000}"/>
    <cellStyle name="Normal 22 12 29" xfId="10346" xr:uid="{00000000-0005-0000-0000-000035360000}"/>
    <cellStyle name="Normal 22 12 3" xfId="27367" xr:uid="{00000000-0005-0000-0000-000036360000}"/>
    <cellStyle name="Normal 22 12 30" xfId="10039" xr:uid="{00000000-0005-0000-0000-000037360000}"/>
    <cellStyle name="Normal 22 12 31" xfId="5513" xr:uid="{00000000-0005-0000-0000-000038360000}"/>
    <cellStyle name="Normal 22 12 32" xfId="8113" xr:uid="{00000000-0005-0000-0000-000039360000}"/>
    <cellStyle name="Normal 22 12 33" xfId="8062" xr:uid="{00000000-0005-0000-0000-00003A360000}"/>
    <cellStyle name="Normal 22 12 34" xfId="8555" xr:uid="{00000000-0005-0000-0000-00003B360000}"/>
    <cellStyle name="Normal 22 12 35" xfId="11576" xr:uid="{00000000-0005-0000-0000-00003C360000}"/>
    <cellStyle name="Normal 22 12 36" xfId="10703" xr:uid="{00000000-0005-0000-0000-00003D360000}"/>
    <cellStyle name="Normal 22 12 37" xfId="11601" xr:uid="{00000000-0005-0000-0000-00003E360000}"/>
    <cellStyle name="Normal 22 12 38" xfId="11799" xr:uid="{00000000-0005-0000-0000-00003F360000}"/>
    <cellStyle name="Normal 22 12 39" xfId="10066" xr:uid="{00000000-0005-0000-0000-000040360000}"/>
    <cellStyle name="Normal 22 12 4" xfId="26770" xr:uid="{00000000-0005-0000-0000-000041360000}"/>
    <cellStyle name="Normal 22 12 40" xfId="3393" xr:uid="{00000000-0005-0000-0000-000042360000}"/>
    <cellStyle name="Normal 22 12 41" xfId="3492" xr:uid="{00000000-0005-0000-0000-000043360000}"/>
    <cellStyle name="Normal 22 12 42" xfId="3535" xr:uid="{00000000-0005-0000-0000-000044360000}"/>
    <cellStyle name="Normal 22 12 43" xfId="3355" xr:uid="{00000000-0005-0000-0000-000045360000}"/>
    <cellStyle name="Normal 22 12 5" xfId="26174" xr:uid="{00000000-0005-0000-0000-000046360000}"/>
    <cellStyle name="Normal 22 12 6" xfId="25578" xr:uid="{00000000-0005-0000-0000-000047360000}"/>
    <cellStyle name="Normal 22 12 7" xfId="24981" xr:uid="{00000000-0005-0000-0000-000048360000}"/>
    <cellStyle name="Normal 22 12 8" xfId="24384" xr:uid="{00000000-0005-0000-0000-000049360000}"/>
    <cellStyle name="Normal 22 12 9" xfId="23787" xr:uid="{00000000-0005-0000-0000-00004A360000}"/>
    <cellStyle name="Normal 22 13" xfId="28563" xr:uid="{00000000-0005-0000-0000-00004B360000}"/>
    <cellStyle name="Normal 22 13 10" xfId="23189" xr:uid="{00000000-0005-0000-0000-00004C360000}"/>
    <cellStyle name="Normal 22 13 11" xfId="22592" xr:uid="{00000000-0005-0000-0000-00004D360000}"/>
    <cellStyle name="Normal 22 13 12" xfId="21996" xr:uid="{00000000-0005-0000-0000-00004E360000}"/>
    <cellStyle name="Normal 22 13 13" xfId="21399" xr:uid="{00000000-0005-0000-0000-00004F360000}"/>
    <cellStyle name="Normal 22 13 14" xfId="20802" xr:uid="{00000000-0005-0000-0000-000050360000}"/>
    <cellStyle name="Normal 22 13 15" xfId="20205" xr:uid="{00000000-0005-0000-0000-000051360000}"/>
    <cellStyle name="Normal 22 13 16" xfId="19609" xr:uid="{00000000-0005-0000-0000-000052360000}"/>
    <cellStyle name="Normal 22 13 17" xfId="19013" xr:uid="{00000000-0005-0000-0000-000053360000}"/>
    <cellStyle name="Normal 22 13 18" xfId="18421" xr:uid="{00000000-0005-0000-0000-000054360000}"/>
    <cellStyle name="Normal 22 13 19" xfId="17824" xr:uid="{00000000-0005-0000-0000-000055360000}"/>
    <cellStyle name="Normal 22 13 2" xfId="27963" xr:uid="{00000000-0005-0000-0000-000056360000}"/>
    <cellStyle name="Normal 22 13 20" xfId="15735" xr:uid="{00000000-0005-0000-0000-000057360000}"/>
    <cellStyle name="Normal 22 13 21" xfId="17903" xr:uid="{00000000-0005-0000-0000-000058360000}"/>
    <cellStyle name="Normal 22 13 22" xfId="16371" xr:uid="{00000000-0005-0000-0000-000059360000}"/>
    <cellStyle name="Normal 22 13 23" xfId="14862" xr:uid="{00000000-0005-0000-0000-00005A360000}"/>
    <cellStyle name="Normal 22 13 24" xfId="14606" xr:uid="{00000000-0005-0000-0000-00005B360000}"/>
    <cellStyle name="Normal 22 13 25" xfId="15019" xr:uid="{00000000-0005-0000-0000-00005C360000}"/>
    <cellStyle name="Normal 22 13 26" xfId="17455" xr:uid="{00000000-0005-0000-0000-00005D360000}"/>
    <cellStyle name="Normal 22 13 27" xfId="12816" xr:uid="{00000000-0005-0000-0000-00005E360000}"/>
    <cellStyle name="Normal 22 13 28" xfId="12433" xr:uid="{00000000-0005-0000-0000-00005F360000}"/>
    <cellStyle name="Normal 22 13 29" xfId="10575" xr:uid="{00000000-0005-0000-0000-000060360000}"/>
    <cellStyle name="Normal 22 13 3" xfId="27366" xr:uid="{00000000-0005-0000-0000-000061360000}"/>
    <cellStyle name="Normal 22 13 30" xfId="10032" xr:uid="{00000000-0005-0000-0000-000062360000}"/>
    <cellStyle name="Normal 22 13 31" xfId="5672" xr:uid="{00000000-0005-0000-0000-000063360000}"/>
    <cellStyle name="Normal 22 13 32" xfId="8313" xr:uid="{00000000-0005-0000-0000-000064360000}"/>
    <cellStyle name="Normal 22 13 33" xfId="7789" xr:uid="{00000000-0005-0000-0000-000065360000}"/>
    <cellStyle name="Normal 22 13 34" xfId="4633" xr:uid="{00000000-0005-0000-0000-000066360000}"/>
    <cellStyle name="Normal 22 13 35" xfId="6778" xr:uid="{00000000-0005-0000-0000-000067360000}"/>
    <cellStyle name="Normal 22 13 36" xfId="4788" xr:uid="{00000000-0005-0000-0000-000068360000}"/>
    <cellStyle name="Normal 22 13 37" xfId="5839" xr:uid="{00000000-0005-0000-0000-000069360000}"/>
    <cellStyle name="Normal 22 13 38" xfId="3804" xr:uid="{00000000-0005-0000-0000-00006A360000}"/>
    <cellStyle name="Normal 22 13 39" xfId="4353" xr:uid="{00000000-0005-0000-0000-00006B360000}"/>
    <cellStyle name="Normal 22 13 4" xfId="26769" xr:uid="{00000000-0005-0000-0000-00006C360000}"/>
    <cellStyle name="Normal 22 13 40" xfId="4230" xr:uid="{00000000-0005-0000-0000-00006D360000}"/>
    <cellStyle name="Normal 22 13 41" xfId="4239" xr:uid="{00000000-0005-0000-0000-00006E360000}"/>
    <cellStyle name="Normal 22 13 42" xfId="4165" xr:uid="{00000000-0005-0000-0000-00006F360000}"/>
    <cellStyle name="Normal 22 13 43" xfId="9786" xr:uid="{00000000-0005-0000-0000-000070360000}"/>
    <cellStyle name="Normal 22 13 5" xfId="26173" xr:uid="{00000000-0005-0000-0000-000071360000}"/>
    <cellStyle name="Normal 22 13 6" xfId="25577" xr:uid="{00000000-0005-0000-0000-000072360000}"/>
    <cellStyle name="Normal 22 13 7" xfId="24980" xr:uid="{00000000-0005-0000-0000-000073360000}"/>
    <cellStyle name="Normal 22 13 8" xfId="24383" xr:uid="{00000000-0005-0000-0000-000074360000}"/>
    <cellStyle name="Normal 22 13 9" xfId="23786" xr:uid="{00000000-0005-0000-0000-000075360000}"/>
    <cellStyle name="Normal 22 14" xfId="28562" xr:uid="{00000000-0005-0000-0000-000076360000}"/>
    <cellStyle name="Normal 22 14 10" xfId="23188" xr:uid="{00000000-0005-0000-0000-000077360000}"/>
    <cellStyle name="Normal 22 14 11" xfId="22591" xr:uid="{00000000-0005-0000-0000-000078360000}"/>
    <cellStyle name="Normal 22 14 12" xfId="21995" xr:uid="{00000000-0005-0000-0000-000079360000}"/>
    <cellStyle name="Normal 22 14 13" xfId="21398" xr:uid="{00000000-0005-0000-0000-00007A360000}"/>
    <cellStyle name="Normal 22 14 14" xfId="20801" xr:uid="{00000000-0005-0000-0000-00007B360000}"/>
    <cellStyle name="Normal 22 14 15" xfId="20204" xr:uid="{00000000-0005-0000-0000-00007C360000}"/>
    <cellStyle name="Normal 22 14 16" xfId="19608" xr:uid="{00000000-0005-0000-0000-00007D360000}"/>
    <cellStyle name="Normal 22 14 17" xfId="19012" xr:uid="{00000000-0005-0000-0000-00007E360000}"/>
    <cellStyle name="Normal 22 14 18" xfId="18420" xr:uid="{00000000-0005-0000-0000-00007F360000}"/>
    <cellStyle name="Normal 22 14 19" xfId="17823" xr:uid="{00000000-0005-0000-0000-000080360000}"/>
    <cellStyle name="Normal 22 14 2" xfId="27962" xr:uid="{00000000-0005-0000-0000-000081360000}"/>
    <cellStyle name="Normal 22 14 20" xfId="15935" xr:uid="{00000000-0005-0000-0000-000082360000}"/>
    <cellStyle name="Normal 22 14 21" xfId="15647" xr:uid="{00000000-0005-0000-0000-000083360000}"/>
    <cellStyle name="Normal 22 14 22" xfId="15526" xr:uid="{00000000-0005-0000-0000-000084360000}"/>
    <cellStyle name="Normal 22 14 23" xfId="14223" xr:uid="{00000000-0005-0000-0000-000085360000}"/>
    <cellStyle name="Normal 22 14 24" xfId="17486" xr:uid="{00000000-0005-0000-0000-000086360000}"/>
    <cellStyle name="Normal 22 14 25" xfId="15762" xr:uid="{00000000-0005-0000-0000-000087360000}"/>
    <cellStyle name="Normal 22 14 26" xfId="16043" xr:uid="{00000000-0005-0000-0000-000088360000}"/>
    <cellStyle name="Normal 22 14 27" xfId="12802" xr:uid="{00000000-0005-0000-0000-000089360000}"/>
    <cellStyle name="Normal 22 14 28" xfId="12432" xr:uid="{00000000-0005-0000-0000-00008A360000}"/>
    <cellStyle name="Normal 22 14 29" xfId="10790" xr:uid="{00000000-0005-0000-0000-00008B360000}"/>
    <cellStyle name="Normal 22 14 3" xfId="27365" xr:uid="{00000000-0005-0000-0000-00008C360000}"/>
    <cellStyle name="Normal 22 14 30" xfId="8426" xr:uid="{00000000-0005-0000-0000-00008D360000}"/>
    <cellStyle name="Normal 22 14 31" xfId="8979" xr:uid="{00000000-0005-0000-0000-00008E360000}"/>
    <cellStyle name="Normal 22 14 32" xfId="9141" xr:uid="{00000000-0005-0000-0000-00008F360000}"/>
    <cellStyle name="Normal 22 14 33" xfId="11365" xr:uid="{00000000-0005-0000-0000-000090360000}"/>
    <cellStyle name="Normal 22 14 34" xfId="9625" xr:uid="{00000000-0005-0000-0000-000091360000}"/>
    <cellStyle name="Normal 22 14 35" xfId="10042" xr:uid="{00000000-0005-0000-0000-000092360000}"/>
    <cellStyle name="Normal 22 14 36" xfId="5106" xr:uid="{00000000-0005-0000-0000-000093360000}"/>
    <cellStyle name="Normal 22 14 37" xfId="9176" xr:uid="{00000000-0005-0000-0000-000094360000}"/>
    <cellStyle name="Normal 22 14 38" xfId="7350" xr:uid="{00000000-0005-0000-0000-000095360000}"/>
    <cellStyle name="Normal 22 14 39" xfId="4754" xr:uid="{00000000-0005-0000-0000-000096360000}"/>
    <cellStyle name="Normal 22 14 4" xfId="26768" xr:uid="{00000000-0005-0000-0000-000097360000}"/>
    <cellStyle name="Normal 22 14 40" xfId="4082" xr:uid="{00000000-0005-0000-0000-000098360000}"/>
    <cellStyle name="Normal 22 14 41" xfId="4390" xr:uid="{00000000-0005-0000-0000-000099360000}"/>
    <cellStyle name="Normal 22 14 42" xfId="11954" xr:uid="{00000000-0005-0000-0000-00009A360000}"/>
    <cellStyle name="Normal 22 14 43" xfId="3922" xr:uid="{00000000-0005-0000-0000-00009B360000}"/>
    <cellStyle name="Normal 22 14 5" xfId="26172" xr:uid="{00000000-0005-0000-0000-00009C360000}"/>
    <cellStyle name="Normal 22 14 6" xfId="25576" xr:uid="{00000000-0005-0000-0000-00009D360000}"/>
    <cellStyle name="Normal 22 14 7" xfId="24979" xr:uid="{00000000-0005-0000-0000-00009E360000}"/>
    <cellStyle name="Normal 22 14 8" xfId="24382" xr:uid="{00000000-0005-0000-0000-00009F360000}"/>
    <cellStyle name="Normal 22 14 9" xfId="23785" xr:uid="{00000000-0005-0000-0000-0000A0360000}"/>
    <cellStyle name="Normal 22 15" xfId="28561" xr:uid="{00000000-0005-0000-0000-0000A1360000}"/>
    <cellStyle name="Normal 22 15 10" xfId="23187" xr:uid="{00000000-0005-0000-0000-0000A2360000}"/>
    <cellStyle name="Normal 22 15 11" xfId="22590" xr:uid="{00000000-0005-0000-0000-0000A3360000}"/>
    <cellStyle name="Normal 22 15 12" xfId="21994" xr:uid="{00000000-0005-0000-0000-0000A4360000}"/>
    <cellStyle name="Normal 22 15 13" xfId="21397" xr:uid="{00000000-0005-0000-0000-0000A5360000}"/>
    <cellStyle name="Normal 22 15 14" xfId="20800" xr:uid="{00000000-0005-0000-0000-0000A6360000}"/>
    <cellStyle name="Normal 22 15 15" xfId="20203" xr:uid="{00000000-0005-0000-0000-0000A7360000}"/>
    <cellStyle name="Normal 22 15 16" xfId="19607" xr:uid="{00000000-0005-0000-0000-0000A8360000}"/>
    <cellStyle name="Normal 22 15 17" xfId="19011" xr:uid="{00000000-0005-0000-0000-0000A9360000}"/>
    <cellStyle name="Normal 22 15 18" xfId="18419" xr:uid="{00000000-0005-0000-0000-0000AA360000}"/>
    <cellStyle name="Normal 22 15 19" xfId="17822" xr:uid="{00000000-0005-0000-0000-0000AB360000}"/>
    <cellStyle name="Normal 22 15 2" xfId="27961" xr:uid="{00000000-0005-0000-0000-0000AC360000}"/>
    <cellStyle name="Normal 22 15 20" xfId="16143" xr:uid="{00000000-0005-0000-0000-0000AD360000}"/>
    <cellStyle name="Normal 22 15 21" xfId="15037" xr:uid="{00000000-0005-0000-0000-0000AE360000}"/>
    <cellStyle name="Normal 22 15 22" xfId="15699" xr:uid="{00000000-0005-0000-0000-0000AF360000}"/>
    <cellStyle name="Normal 22 15 23" xfId="15316" xr:uid="{00000000-0005-0000-0000-0000B0360000}"/>
    <cellStyle name="Normal 22 15 24" xfId="14434" xr:uid="{00000000-0005-0000-0000-0000B1360000}"/>
    <cellStyle name="Normal 22 15 25" xfId="13098" xr:uid="{00000000-0005-0000-0000-0000B2360000}"/>
    <cellStyle name="Normal 22 15 26" xfId="15391" xr:uid="{00000000-0005-0000-0000-0000B3360000}"/>
    <cellStyle name="Normal 22 15 27" xfId="13422" xr:uid="{00000000-0005-0000-0000-0000B4360000}"/>
    <cellStyle name="Normal 22 15 28" xfId="12431" xr:uid="{00000000-0005-0000-0000-0000B5360000}"/>
    <cellStyle name="Normal 22 15 29" xfId="11009" xr:uid="{00000000-0005-0000-0000-0000B6360000}"/>
    <cellStyle name="Normal 22 15 3" xfId="27364" xr:uid="{00000000-0005-0000-0000-0000B7360000}"/>
    <cellStyle name="Normal 22 15 30" xfId="7954" xr:uid="{00000000-0005-0000-0000-0000B8360000}"/>
    <cellStyle name="Normal 22 15 31" xfId="6739" xr:uid="{00000000-0005-0000-0000-0000B9360000}"/>
    <cellStyle name="Normal 22 15 32" xfId="8860" xr:uid="{00000000-0005-0000-0000-0000BA360000}"/>
    <cellStyle name="Normal 22 15 33" xfId="11742" xr:uid="{00000000-0005-0000-0000-0000BB360000}"/>
    <cellStyle name="Normal 22 15 34" xfId="11547" xr:uid="{00000000-0005-0000-0000-0000BC360000}"/>
    <cellStyle name="Normal 22 15 35" xfId="7830" xr:uid="{00000000-0005-0000-0000-0000BD360000}"/>
    <cellStyle name="Normal 22 15 36" xfId="9347" xr:uid="{00000000-0005-0000-0000-0000BE360000}"/>
    <cellStyle name="Normal 22 15 37" xfId="7353" xr:uid="{00000000-0005-0000-0000-0000BF360000}"/>
    <cellStyle name="Normal 22 15 38" xfId="3626" xr:uid="{00000000-0005-0000-0000-0000C0360000}"/>
    <cellStyle name="Normal 22 15 39" xfId="3946" xr:uid="{00000000-0005-0000-0000-0000C1360000}"/>
    <cellStyle name="Normal 22 15 4" xfId="26767" xr:uid="{00000000-0005-0000-0000-0000C2360000}"/>
    <cellStyle name="Normal 22 15 40" xfId="3630" xr:uid="{00000000-0005-0000-0000-0000C3360000}"/>
    <cellStyle name="Normal 22 15 41" xfId="4810" xr:uid="{00000000-0005-0000-0000-0000C4360000}"/>
    <cellStyle name="Normal 22 15 42" xfId="3498" xr:uid="{00000000-0005-0000-0000-0000C5360000}"/>
    <cellStyle name="Normal 22 15 43" xfId="3429" xr:uid="{00000000-0005-0000-0000-0000C6360000}"/>
    <cellStyle name="Normal 22 15 5" xfId="26171" xr:uid="{00000000-0005-0000-0000-0000C7360000}"/>
    <cellStyle name="Normal 22 15 6" xfId="25575" xr:uid="{00000000-0005-0000-0000-0000C8360000}"/>
    <cellStyle name="Normal 22 15 7" xfId="24978" xr:uid="{00000000-0005-0000-0000-0000C9360000}"/>
    <cellStyle name="Normal 22 15 8" xfId="24381" xr:uid="{00000000-0005-0000-0000-0000CA360000}"/>
    <cellStyle name="Normal 22 15 9" xfId="23784" xr:uid="{00000000-0005-0000-0000-0000CB360000}"/>
    <cellStyle name="Normal 22 16" xfId="28560" xr:uid="{00000000-0005-0000-0000-0000CC360000}"/>
    <cellStyle name="Normal 22 16 10" xfId="23186" xr:uid="{00000000-0005-0000-0000-0000CD360000}"/>
    <cellStyle name="Normal 22 16 11" xfId="22589" xr:uid="{00000000-0005-0000-0000-0000CE360000}"/>
    <cellStyle name="Normal 22 16 12" xfId="21993" xr:uid="{00000000-0005-0000-0000-0000CF360000}"/>
    <cellStyle name="Normal 22 16 13" xfId="21396" xr:uid="{00000000-0005-0000-0000-0000D0360000}"/>
    <cellStyle name="Normal 22 16 14" xfId="20799" xr:uid="{00000000-0005-0000-0000-0000D1360000}"/>
    <cellStyle name="Normal 22 16 15" xfId="20202" xr:uid="{00000000-0005-0000-0000-0000D2360000}"/>
    <cellStyle name="Normal 22 16 16" xfId="19606" xr:uid="{00000000-0005-0000-0000-0000D3360000}"/>
    <cellStyle name="Normal 22 16 17" xfId="19010" xr:uid="{00000000-0005-0000-0000-0000D4360000}"/>
    <cellStyle name="Normal 22 16 18" xfId="18418" xr:uid="{00000000-0005-0000-0000-0000D5360000}"/>
    <cellStyle name="Normal 22 16 19" xfId="17821" xr:uid="{00000000-0005-0000-0000-0000D6360000}"/>
    <cellStyle name="Normal 22 16 2" xfId="27960" xr:uid="{00000000-0005-0000-0000-0000D7360000}"/>
    <cellStyle name="Normal 22 16 20" xfId="16344" xr:uid="{00000000-0005-0000-0000-0000D8360000}"/>
    <cellStyle name="Normal 22 16 21" xfId="14625" xr:uid="{00000000-0005-0000-0000-0000D9360000}"/>
    <cellStyle name="Normal 22 16 22" xfId="15716" xr:uid="{00000000-0005-0000-0000-0000DA360000}"/>
    <cellStyle name="Normal 22 16 23" xfId="13685" xr:uid="{00000000-0005-0000-0000-0000DB360000}"/>
    <cellStyle name="Normal 22 16 24" xfId="13567" xr:uid="{00000000-0005-0000-0000-0000DC360000}"/>
    <cellStyle name="Normal 22 16 25" xfId="13393" xr:uid="{00000000-0005-0000-0000-0000DD360000}"/>
    <cellStyle name="Normal 22 16 26" xfId="13101" xr:uid="{00000000-0005-0000-0000-0000DE360000}"/>
    <cellStyle name="Normal 22 16 27" xfId="13745" xr:uid="{00000000-0005-0000-0000-0000DF360000}"/>
    <cellStyle name="Normal 22 16 28" xfId="12430" xr:uid="{00000000-0005-0000-0000-0000E0360000}"/>
    <cellStyle name="Normal 22 16 29" xfId="11237" xr:uid="{00000000-0005-0000-0000-0000E1360000}"/>
    <cellStyle name="Normal 22 16 3" xfId="27363" xr:uid="{00000000-0005-0000-0000-0000E2360000}"/>
    <cellStyle name="Normal 22 16 30" xfId="8420" xr:uid="{00000000-0005-0000-0000-0000E3360000}"/>
    <cellStyle name="Normal 22 16 31" xfId="10057" xr:uid="{00000000-0005-0000-0000-0000E4360000}"/>
    <cellStyle name="Normal 22 16 32" xfId="6900" xr:uid="{00000000-0005-0000-0000-0000E5360000}"/>
    <cellStyle name="Normal 22 16 33" xfId="10077" xr:uid="{00000000-0005-0000-0000-0000E6360000}"/>
    <cellStyle name="Normal 22 16 34" xfId="5028" xr:uid="{00000000-0005-0000-0000-0000E7360000}"/>
    <cellStyle name="Normal 22 16 35" xfId="10076" xr:uid="{00000000-0005-0000-0000-0000E8360000}"/>
    <cellStyle name="Normal 22 16 36" xfId="4256" xr:uid="{00000000-0005-0000-0000-0000E9360000}"/>
    <cellStyle name="Normal 22 16 37" xfId="7501" xr:uid="{00000000-0005-0000-0000-0000EA360000}"/>
    <cellStyle name="Normal 22 16 38" xfId="7964" xr:uid="{00000000-0005-0000-0000-0000EB360000}"/>
    <cellStyle name="Normal 22 16 39" xfId="10515" xr:uid="{00000000-0005-0000-0000-0000EC360000}"/>
    <cellStyle name="Normal 22 16 4" xfId="26766" xr:uid="{00000000-0005-0000-0000-0000ED360000}"/>
    <cellStyle name="Normal 22 16 40" xfId="8567" xr:uid="{00000000-0005-0000-0000-0000EE360000}"/>
    <cellStyle name="Normal 22 16 41" xfId="8348" xr:uid="{00000000-0005-0000-0000-0000EF360000}"/>
    <cellStyle name="Normal 22 16 42" xfId="4194" xr:uid="{00000000-0005-0000-0000-0000F0360000}"/>
    <cellStyle name="Normal 22 16 43" xfId="5727" xr:uid="{00000000-0005-0000-0000-0000F1360000}"/>
    <cellStyle name="Normal 22 16 5" xfId="26170" xr:uid="{00000000-0005-0000-0000-0000F2360000}"/>
    <cellStyle name="Normal 22 16 6" xfId="25574" xr:uid="{00000000-0005-0000-0000-0000F3360000}"/>
    <cellStyle name="Normal 22 16 7" xfId="24977" xr:uid="{00000000-0005-0000-0000-0000F4360000}"/>
    <cellStyle name="Normal 22 16 8" xfId="24380" xr:uid="{00000000-0005-0000-0000-0000F5360000}"/>
    <cellStyle name="Normal 22 16 9" xfId="23783" xr:uid="{00000000-0005-0000-0000-0000F6360000}"/>
    <cellStyle name="Normal 22 17" xfId="28559" xr:uid="{00000000-0005-0000-0000-0000F7360000}"/>
    <cellStyle name="Normal 22 17 10" xfId="23185" xr:uid="{00000000-0005-0000-0000-0000F8360000}"/>
    <cellStyle name="Normal 22 17 11" xfId="22588" xr:uid="{00000000-0005-0000-0000-0000F9360000}"/>
    <cellStyle name="Normal 22 17 12" xfId="21992" xr:uid="{00000000-0005-0000-0000-0000FA360000}"/>
    <cellStyle name="Normal 22 17 13" xfId="21395" xr:uid="{00000000-0005-0000-0000-0000FB360000}"/>
    <cellStyle name="Normal 22 17 14" xfId="20798" xr:uid="{00000000-0005-0000-0000-0000FC360000}"/>
    <cellStyle name="Normal 22 17 15" xfId="20201" xr:uid="{00000000-0005-0000-0000-0000FD360000}"/>
    <cellStyle name="Normal 22 17 16" xfId="19605" xr:uid="{00000000-0005-0000-0000-0000FE360000}"/>
    <cellStyle name="Normal 22 17 17" xfId="19009" xr:uid="{00000000-0005-0000-0000-0000FF360000}"/>
    <cellStyle name="Normal 22 17 18" xfId="18417" xr:uid="{00000000-0005-0000-0000-000000370000}"/>
    <cellStyle name="Normal 22 17 19" xfId="17820" xr:uid="{00000000-0005-0000-0000-000001370000}"/>
    <cellStyle name="Normal 22 17 2" xfId="27959" xr:uid="{00000000-0005-0000-0000-000002370000}"/>
    <cellStyle name="Normal 22 17 20" xfId="16534" xr:uid="{00000000-0005-0000-0000-000003370000}"/>
    <cellStyle name="Normal 22 17 21" xfId="14228" xr:uid="{00000000-0005-0000-0000-000004370000}"/>
    <cellStyle name="Normal 22 17 22" xfId="13610" xr:uid="{00000000-0005-0000-0000-000005370000}"/>
    <cellStyle name="Normal 22 17 23" xfId="13451" xr:uid="{00000000-0005-0000-0000-000006370000}"/>
    <cellStyle name="Normal 22 17 24" xfId="15173" xr:uid="{00000000-0005-0000-0000-000007370000}"/>
    <cellStyle name="Normal 22 17 25" xfId="15696" xr:uid="{00000000-0005-0000-0000-000008370000}"/>
    <cellStyle name="Normal 22 17 26" xfId="13363" xr:uid="{00000000-0005-0000-0000-000009370000}"/>
    <cellStyle name="Normal 22 17 27" xfId="13740" xr:uid="{00000000-0005-0000-0000-00000A370000}"/>
    <cellStyle name="Normal 22 17 28" xfId="12429" xr:uid="{00000000-0005-0000-0000-00000B370000}"/>
    <cellStyle name="Normal 22 17 29" xfId="11470" xr:uid="{00000000-0005-0000-0000-00000C370000}"/>
    <cellStyle name="Normal 22 17 3" xfId="27362" xr:uid="{00000000-0005-0000-0000-00000D370000}"/>
    <cellStyle name="Normal 22 17 30" xfId="7842" xr:uid="{00000000-0005-0000-0000-00000E370000}"/>
    <cellStyle name="Normal 22 17 31" xfId="10925" xr:uid="{00000000-0005-0000-0000-00000F370000}"/>
    <cellStyle name="Normal 22 17 32" xfId="8366" xr:uid="{00000000-0005-0000-0000-000010370000}"/>
    <cellStyle name="Normal 22 17 33" xfId="7807" xr:uid="{00000000-0005-0000-0000-000011370000}"/>
    <cellStyle name="Normal 22 17 34" xfId="6870" xr:uid="{00000000-0005-0000-0000-000012370000}"/>
    <cellStyle name="Normal 22 17 35" xfId="8590" xr:uid="{00000000-0005-0000-0000-000013370000}"/>
    <cellStyle name="Normal 22 17 36" xfId="11569" xr:uid="{00000000-0005-0000-0000-000014370000}"/>
    <cellStyle name="Normal 22 17 37" xfId="9690" xr:uid="{00000000-0005-0000-0000-000015370000}"/>
    <cellStyle name="Normal 22 17 38" xfId="12119" xr:uid="{00000000-0005-0000-0000-000016370000}"/>
    <cellStyle name="Normal 22 17 39" xfId="3838" xr:uid="{00000000-0005-0000-0000-000017370000}"/>
    <cellStyle name="Normal 22 17 4" xfId="26765" xr:uid="{00000000-0005-0000-0000-000018370000}"/>
    <cellStyle name="Normal 22 17 40" xfId="4299" xr:uid="{00000000-0005-0000-0000-000019370000}"/>
    <cellStyle name="Normal 22 17 41" xfId="10688" xr:uid="{00000000-0005-0000-0000-00001A370000}"/>
    <cellStyle name="Normal 22 17 42" xfId="8185" xr:uid="{00000000-0005-0000-0000-00001B370000}"/>
    <cellStyle name="Normal 22 17 43" xfId="9076" xr:uid="{00000000-0005-0000-0000-00001C370000}"/>
    <cellStyle name="Normal 22 17 5" xfId="26169" xr:uid="{00000000-0005-0000-0000-00001D370000}"/>
    <cellStyle name="Normal 22 17 6" xfId="25573" xr:uid="{00000000-0005-0000-0000-00001E370000}"/>
    <cellStyle name="Normal 22 17 7" xfId="24976" xr:uid="{00000000-0005-0000-0000-00001F370000}"/>
    <cellStyle name="Normal 22 17 8" xfId="24379" xr:uid="{00000000-0005-0000-0000-000020370000}"/>
    <cellStyle name="Normal 22 17 9" xfId="23782" xr:uid="{00000000-0005-0000-0000-000021370000}"/>
    <cellStyle name="Normal 22 18" xfId="28558" xr:uid="{00000000-0005-0000-0000-000022370000}"/>
    <cellStyle name="Normal 22 18 10" xfId="23184" xr:uid="{00000000-0005-0000-0000-000023370000}"/>
    <cellStyle name="Normal 22 18 11" xfId="22587" xr:uid="{00000000-0005-0000-0000-000024370000}"/>
    <cellStyle name="Normal 22 18 12" xfId="21991" xr:uid="{00000000-0005-0000-0000-000025370000}"/>
    <cellStyle name="Normal 22 18 13" xfId="21394" xr:uid="{00000000-0005-0000-0000-000026370000}"/>
    <cellStyle name="Normal 22 18 14" xfId="20797" xr:uid="{00000000-0005-0000-0000-000027370000}"/>
    <cellStyle name="Normal 22 18 15" xfId="20200" xr:uid="{00000000-0005-0000-0000-000028370000}"/>
    <cellStyle name="Normal 22 18 16" xfId="19604" xr:uid="{00000000-0005-0000-0000-000029370000}"/>
    <cellStyle name="Normal 22 18 17" xfId="19008" xr:uid="{00000000-0005-0000-0000-00002A370000}"/>
    <cellStyle name="Normal 22 18 18" xfId="18416" xr:uid="{00000000-0005-0000-0000-00002B370000}"/>
    <cellStyle name="Normal 22 18 19" xfId="17819" xr:uid="{00000000-0005-0000-0000-00002C370000}"/>
    <cellStyle name="Normal 22 18 2" xfId="27958" xr:uid="{00000000-0005-0000-0000-00002D370000}"/>
    <cellStyle name="Normal 22 18 20" xfId="16728" xr:uid="{00000000-0005-0000-0000-00002E370000}"/>
    <cellStyle name="Normal 22 18 21" xfId="17208" xr:uid="{00000000-0005-0000-0000-00002F370000}"/>
    <cellStyle name="Normal 22 18 22" xfId="16754" xr:uid="{00000000-0005-0000-0000-000030370000}"/>
    <cellStyle name="Normal 22 18 23" xfId="14865" xr:uid="{00000000-0005-0000-0000-000031370000}"/>
    <cellStyle name="Normal 22 18 24" xfId="15855" xr:uid="{00000000-0005-0000-0000-000032370000}"/>
    <cellStyle name="Normal 22 18 25" xfId="13318" xr:uid="{00000000-0005-0000-0000-000033370000}"/>
    <cellStyle name="Normal 22 18 26" xfId="13769" xr:uid="{00000000-0005-0000-0000-000034370000}"/>
    <cellStyle name="Normal 22 18 27" xfId="16481" xr:uid="{00000000-0005-0000-0000-000035370000}"/>
    <cellStyle name="Normal 22 18 28" xfId="12428" xr:uid="{00000000-0005-0000-0000-000036370000}"/>
    <cellStyle name="Normal 22 18 29" xfId="11694" xr:uid="{00000000-0005-0000-0000-000037370000}"/>
    <cellStyle name="Normal 22 18 3" xfId="27361" xr:uid="{00000000-0005-0000-0000-000038370000}"/>
    <cellStyle name="Normal 22 18 30" xfId="7081" xr:uid="{00000000-0005-0000-0000-000039370000}"/>
    <cellStyle name="Normal 22 18 31" xfId="10325" xr:uid="{00000000-0005-0000-0000-00003A370000}"/>
    <cellStyle name="Normal 22 18 32" xfId="8181" xr:uid="{00000000-0005-0000-0000-00003B370000}"/>
    <cellStyle name="Normal 22 18 33" xfId="8532" xr:uid="{00000000-0005-0000-0000-00003C370000}"/>
    <cellStyle name="Normal 22 18 34" xfId="11641" xr:uid="{00000000-0005-0000-0000-00003D370000}"/>
    <cellStyle name="Normal 22 18 35" xfId="11331" xr:uid="{00000000-0005-0000-0000-00003E370000}"/>
    <cellStyle name="Normal 22 18 36" xfId="9453" xr:uid="{00000000-0005-0000-0000-00003F370000}"/>
    <cellStyle name="Normal 22 18 37" xfId="10508" xr:uid="{00000000-0005-0000-0000-000040370000}"/>
    <cellStyle name="Normal 22 18 38" xfId="10595" xr:uid="{00000000-0005-0000-0000-000041370000}"/>
    <cellStyle name="Normal 22 18 39" xfId="10958" xr:uid="{00000000-0005-0000-0000-000042370000}"/>
    <cellStyle name="Normal 22 18 4" xfId="26764" xr:uid="{00000000-0005-0000-0000-000043370000}"/>
    <cellStyle name="Normal 22 18 40" xfId="4032" xr:uid="{00000000-0005-0000-0000-000044370000}"/>
    <cellStyle name="Normal 22 18 41" xfId="5576" xr:uid="{00000000-0005-0000-0000-000045370000}"/>
    <cellStyle name="Normal 22 18 42" xfId="7438" xr:uid="{00000000-0005-0000-0000-000046370000}"/>
    <cellStyle name="Normal 22 18 43" xfId="3608" xr:uid="{00000000-0005-0000-0000-000047370000}"/>
    <cellStyle name="Normal 22 18 5" xfId="26168" xr:uid="{00000000-0005-0000-0000-000048370000}"/>
    <cellStyle name="Normal 22 18 6" xfId="25572" xr:uid="{00000000-0005-0000-0000-000049370000}"/>
    <cellStyle name="Normal 22 18 7" xfId="24975" xr:uid="{00000000-0005-0000-0000-00004A370000}"/>
    <cellStyle name="Normal 22 18 8" xfId="24378" xr:uid="{00000000-0005-0000-0000-00004B370000}"/>
    <cellStyle name="Normal 22 18 9" xfId="23781" xr:uid="{00000000-0005-0000-0000-00004C370000}"/>
    <cellStyle name="Normal 22 19" xfId="28557" xr:uid="{00000000-0005-0000-0000-00004D370000}"/>
    <cellStyle name="Normal 22 19 10" xfId="23183" xr:uid="{00000000-0005-0000-0000-00004E370000}"/>
    <cellStyle name="Normal 22 19 11" xfId="22586" xr:uid="{00000000-0005-0000-0000-00004F370000}"/>
    <cellStyle name="Normal 22 19 12" xfId="21990" xr:uid="{00000000-0005-0000-0000-000050370000}"/>
    <cellStyle name="Normal 22 19 13" xfId="21393" xr:uid="{00000000-0005-0000-0000-000051370000}"/>
    <cellStyle name="Normal 22 19 14" xfId="20796" xr:uid="{00000000-0005-0000-0000-000052370000}"/>
    <cellStyle name="Normal 22 19 15" xfId="20199" xr:uid="{00000000-0005-0000-0000-000053370000}"/>
    <cellStyle name="Normal 22 19 16" xfId="19603" xr:uid="{00000000-0005-0000-0000-000054370000}"/>
    <cellStyle name="Normal 22 19 17" xfId="19007" xr:uid="{00000000-0005-0000-0000-000055370000}"/>
    <cellStyle name="Normal 22 19 18" xfId="18415" xr:uid="{00000000-0005-0000-0000-000056370000}"/>
    <cellStyle name="Normal 22 19 19" xfId="17818" xr:uid="{00000000-0005-0000-0000-000057370000}"/>
    <cellStyle name="Normal 22 19 2" xfId="27957" xr:uid="{00000000-0005-0000-0000-000058370000}"/>
    <cellStyle name="Normal 22 19 20" xfId="16925" xr:uid="{00000000-0005-0000-0000-000059370000}"/>
    <cellStyle name="Normal 22 19 21" xfId="14210" xr:uid="{00000000-0005-0000-0000-00005A370000}"/>
    <cellStyle name="Normal 22 19 22" xfId="13662" xr:uid="{00000000-0005-0000-0000-00005B370000}"/>
    <cellStyle name="Normal 22 19 23" xfId="13496" xr:uid="{00000000-0005-0000-0000-00005C370000}"/>
    <cellStyle name="Normal 22 19 24" xfId="17482" xr:uid="{00000000-0005-0000-0000-00005D370000}"/>
    <cellStyle name="Normal 22 19 25" xfId="12953" xr:uid="{00000000-0005-0000-0000-00005E370000}"/>
    <cellStyle name="Normal 22 19 26" xfId="13882" xr:uid="{00000000-0005-0000-0000-00005F370000}"/>
    <cellStyle name="Normal 22 19 27" xfId="15179" xr:uid="{00000000-0005-0000-0000-000060370000}"/>
    <cellStyle name="Normal 22 19 28" xfId="12427" xr:uid="{00000000-0005-0000-0000-000061370000}"/>
    <cellStyle name="Normal 22 19 29" xfId="6273" xr:uid="{00000000-0005-0000-0000-000062370000}"/>
    <cellStyle name="Normal 22 19 3" xfId="27360" xr:uid="{00000000-0005-0000-0000-000063370000}"/>
    <cellStyle name="Normal 22 19 30" xfId="7981" xr:uid="{00000000-0005-0000-0000-000064370000}"/>
    <cellStyle name="Normal 22 19 31" xfId="12024" xr:uid="{00000000-0005-0000-0000-000065370000}"/>
    <cellStyle name="Normal 22 19 32" xfId="8213" xr:uid="{00000000-0005-0000-0000-000066370000}"/>
    <cellStyle name="Normal 22 19 33" xfId="6909" xr:uid="{00000000-0005-0000-0000-000067370000}"/>
    <cellStyle name="Normal 22 19 34" xfId="8037" xr:uid="{00000000-0005-0000-0000-000068370000}"/>
    <cellStyle name="Normal 22 19 35" xfId="4243" xr:uid="{00000000-0005-0000-0000-000069370000}"/>
    <cellStyle name="Normal 22 19 36" xfId="4119" xr:uid="{00000000-0005-0000-0000-00006A370000}"/>
    <cellStyle name="Normal 22 19 37" xfId="6033" xr:uid="{00000000-0005-0000-0000-00006B370000}"/>
    <cellStyle name="Normal 22 19 38" xfId="7698" xr:uid="{00000000-0005-0000-0000-00006C370000}"/>
    <cellStyle name="Normal 22 19 39" xfId="3402" xr:uid="{00000000-0005-0000-0000-00006D370000}"/>
    <cellStyle name="Normal 22 19 4" xfId="26763" xr:uid="{00000000-0005-0000-0000-00006E370000}"/>
    <cellStyle name="Normal 22 19 40" xfId="7773" xr:uid="{00000000-0005-0000-0000-00006F370000}"/>
    <cellStyle name="Normal 22 19 41" xfId="4925" xr:uid="{00000000-0005-0000-0000-000070370000}"/>
    <cellStyle name="Normal 22 19 42" xfId="8470" xr:uid="{00000000-0005-0000-0000-000071370000}"/>
    <cellStyle name="Normal 22 19 43" xfId="3198" xr:uid="{00000000-0005-0000-0000-000072370000}"/>
    <cellStyle name="Normal 22 19 5" xfId="26167" xr:uid="{00000000-0005-0000-0000-000073370000}"/>
    <cellStyle name="Normal 22 19 6" xfId="25571" xr:uid="{00000000-0005-0000-0000-000074370000}"/>
    <cellStyle name="Normal 22 19 7" xfId="24974" xr:uid="{00000000-0005-0000-0000-000075370000}"/>
    <cellStyle name="Normal 22 19 8" xfId="24377" xr:uid="{00000000-0005-0000-0000-000076370000}"/>
    <cellStyle name="Normal 22 19 9" xfId="23780" xr:uid="{00000000-0005-0000-0000-000077370000}"/>
    <cellStyle name="Normal 22 2" xfId="28556" xr:uid="{00000000-0005-0000-0000-000078370000}"/>
    <cellStyle name="Normal 22 2 10" xfId="23182" xr:uid="{00000000-0005-0000-0000-000079370000}"/>
    <cellStyle name="Normal 22 2 11" xfId="22585" xr:uid="{00000000-0005-0000-0000-00007A370000}"/>
    <cellStyle name="Normal 22 2 12" xfId="21989" xr:uid="{00000000-0005-0000-0000-00007B370000}"/>
    <cellStyle name="Normal 22 2 13" xfId="21392" xr:uid="{00000000-0005-0000-0000-00007C370000}"/>
    <cellStyle name="Normal 22 2 14" xfId="20795" xr:uid="{00000000-0005-0000-0000-00007D370000}"/>
    <cellStyle name="Normal 22 2 15" xfId="20198" xr:uid="{00000000-0005-0000-0000-00007E370000}"/>
    <cellStyle name="Normal 22 2 16" xfId="19602" xr:uid="{00000000-0005-0000-0000-00007F370000}"/>
    <cellStyle name="Normal 22 2 17" xfId="19006" xr:uid="{00000000-0005-0000-0000-000080370000}"/>
    <cellStyle name="Normal 22 2 18" xfId="18414" xr:uid="{00000000-0005-0000-0000-000081370000}"/>
    <cellStyle name="Normal 22 2 19" xfId="17817" xr:uid="{00000000-0005-0000-0000-000082370000}"/>
    <cellStyle name="Normal 22 2 2" xfId="27956" xr:uid="{00000000-0005-0000-0000-000083370000}"/>
    <cellStyle name="Normal 22 2 20" xfId="17132" xr:uid="{00000000-0005-0000-0000-000084370000}"/>
    <cellStyle name="Normal 22 2 21" xfId="14588" xr:uid="{00000000-0005-0000-0000-000085370000}"/>
    <cellStyle name="Normal 22 2 22" xfId="13801" xr:uid="{00000000-0005-0000-0000-000086370000}"/>
    <cellStyle name="Normal 22 2 23" xfId="15879" xr:uid="{00000000-0005-0000-0000-000087370000}"/>
    <cellStyle name="Normal 22 2 24" xfId="15758" xr:uid="{00000000-0005-0000-0000-000088370000}"/>
    <cellStyle name="Normal 22 2 25" xfId="12919" xr:uid="{00000000-0005-0000-0000-000089370000}"/>
    <cellStyle name="Normal 22 2 26" xfId="17407" xr:uid="{00000000-0005-0000-0000-00008A370000}"/>
    <cellStyle name="Normal 22 2 27" xfId="12732" xr:uid="{00000000-0005-0000-0000-00008B370000}"/>
    <cellStyle name="Normal 22 2 28" xfId="12426" xr:uid="{00000000-0005-0000-0000-00008C370000}"/>
    <cellStyle name="Normal 22 2 29" xfId="7671" xr:uid="{00000000-0005-0000-0000-00008D370000}"/>
    <cellStyle name="Normal 22 2 3" xfId="27359" xr:uid="{00000000-0005-0000-0000-00008E370000}"/>
    <cellStyle name="Normal 22 2 30" xfId="7856" xr:uid="{00000000-0005-0000-0000-00008F370000}"/>
    <cellStyle name="Normal 22 2 31" xfId="6706" xr:uid="{00000000-0005-0000-0000-000090370000}"/>
    <cellStyle name="Normal 22 2 32" xfId="9268" xr:uid="{00000000-0005-0000-0000-000091370000}"/>
    <cellStyle name="Normal 22 2 33" xfId="5294" xr:uid="{00000000-0005-0000-0000-000092370000}"/>
    <cellStyle name="Normal 22 2 34" xfId="6278" xr:uid="{00000000-0005-0000-0000-000093370000}"/>
    <cellStyle name="Normal 22 2 35" xfId="4339" xr:uid="{00000000-0005-0000-0000-000094370000}"/>
    <cellStyle name="Normal 22 2 36" xfId="4880" xr:uid="{00000000-0005-0000-0000-000095370000}"/>
    <cellStyle name="Normal 22 2 37" xfId="9352" xr:uid="{00000000-0005-0000-0000-000096370000}"/>
    <cellStyle name="Normal 22 2 38" xfId="7062" xr:uid="{00000000-0005-0000-0000-000097370000}"/>
    <cellStyle name="Normal 22 2 39" xfId="3432" xr:uid="{00000000-0005-0000-0000-000098370000}"/>
    <cellStyle name="Normal 22 2 4" xfId="26762" xr:uid="{00000000-0005-0000-0000-000099370000}"/>
    <cellStyle name="Normal 22 2 40" xfId="5306" xr:uid="{00000000-0005-0000-0000-00009A370000}"/>
    <cellStyle name="Normal 22 2 41" xfId="7953" xr:uid="{00000000-0005-0000-0000-00009B370000}"/>
    <cellStyle name="Normal 22 2 42" xfId="3512" xr:uid="{00000000-0005-0000-0000-00009C370000}"/>
    <cellStyle name="Normal 22 2 43" xfId="3128" xr:uid="{00000000-0005-0000-0000-00009D370000}"/>
    <cellStyle name="Normal 22 2 44" xfId="2956" xr:uid="{00000000-0005-0000-0000-00009E370000}"/>
    <cellStyle name="Normal 22 2 45" xfId="2713" xr:uid="{00000000-0005-0000-0000-00009F370000}"/>
    <cellStyle name="Normal 22 2 46" xfId="2473" xr:uid="{00000000-0005-0000-0000-0000A0370000}"/>
    <cellStyle name="Normal 22 2 47" xfId="2233" xr:uid="{00000000-0005-0000-0000-0000A1370000}"/>
    <cellStyle name="Normal 22 2 48" xfId="1993" xr:uid="{00000000-0005-0000-0000-0000A2370000}"/>
    <cellStyle name="Normal 22 2 49" xfId="1753" xr:uid="{00000000-0005-0000-0000-0000A3370000}"/>
    <cellStyle name="Normal 22 2 5" xfId="26166" xr:uid="{00000000-0005-0000-0000-0000A4370000}"/>
    <cellStyle name="Normal 22 2 50" xfId="1514" xr:uid="{00000000-0005-0000-0000-0000A5370000}"/>
    <cellStyle name="Normal 22 2 51" xfId="1274" xr:uid="{00000000-0005-0000-0000-0000A6370000}"/>
    <cellStyle name="Normal 22 2 52" xfId="1034" xr:uid="{00000000-0005-0000-0000-0000A7370000}"/>
    <cellStyle name="Normal 22 2 53" xfId="794" xr:uid="{00000000-0005-0000-0000-0000A8370000}"/>
    <cellStyle name="Normal 22 2 54" xfId="554" xr:uid="{00000000-0005-0000-0000-0000A9370000}"/>
    <cellStyle name="Normal 22 2 55" xfId="315" xr:uid="{00000000-0005-0000-0000-0000AA370000}"/>
    <cellStyle name="Normal 22 2 56" xfId="77" xr:uid="{00000000-0005-0000-0000-0000AB370000}"/>
    <cellStyle name="Normal 22 2 6" xfId="25570" xr:uid="{00000000-0005-0000-0000-0000AC370000}"/>
    <cellStyle name="Normal 22 2 7" xfId="24973" xr:uid="{00000000-0005-0000-0000-0000AD370000}"/>
    <cellStyle name="Normal 22 2 8" xfId="24376" xr:uid="{00000000-0005-0000-0000-0000AE370000}"/>
    <cellStyle name="Normal 22 2 9" xfId="23779" xr:uid="{00000000-0005-0000-0000-0000AF370000}"/>
    <cellStyle name="Normal 22 20" xfId="28555" xr:uid="{00000000-0005-0000-0000-0000B0370000}"/>
    <cellStyle name="Normal 22 20 10" xfId="23181" xr:uid="{00000000-0005-0000-0000-0000B1370000}"/>
    <cellStyle name="Normal 22 20 11" xfId="22584" xr:uid="{00000000-0005-0000-0000-0000B2370000}"/>
    <cellStyle name="Normal 22 20 12" xfId="21988" xr:uid="{00000000-0005-0000-0000-0000B3370000}"/>
    <cellStyle name="Normal 22 20 13" xfId="21391" xr:uid="{00000000-0005-0000-0000-0000B4370000}"/>
    <cellStyle name="Normal 22 20 14" xfId="20794" xr:uid="{00000000-0005-0000-0000-0000B5370000}"/>
    <cellStyle name="Normal 22 20 15" xfId="20197" xr:uid="{00000000-0005-0000-0000-0000B6370000}"/>
    <cellStyle name="Normal 22 20 16" xfId="19601" xr:uid="{00000000-0005-0000-0000-0000B7370000}"/>
    <cellStyle name="Normal 22 20 17" xfId="19005" xr:uid="{00000000-0005-0000-0000-0000B8370000}"/>
    <cellStyle name="Normal 22 20 18" xfId="18413" xr:uid="{00000000-0005-0000-0000-0000B9370000}"/>
    <cellStyle name="Normal 22 20 19" xfId="17816" xr:uid="{00000000-0005-0000-0000-0000BA370000}"/>
    <cellStyle name="Normal 22 20 2" xfId="27955" xr:uid="{00000000-0005-0000-0000-0000BB370000}"/>
    <cellStyle name="Normal 22 20 20" xfId="17325" xr:uid="{00000000-0005-0000-0000-0000BC370000}"/>
    <cellStyle name="Normal 22 20 21" xfId="14193" xr:uid="{00000000-0005-0000-0000-0000BD370000}"/>
    <cellStyle name="Normal 22 20 22" xfId="13950" xr:uid="{00000000-0005-0000-0000-0000BE370000}"/>
    <cellStyle name="Normal 22 20 23" xfId="13922" xr:uid="{00000000-0005-0000-0000-0000BF370000}"/>
    <cellStyle name="Normal 22 20 24" xfId="16659" xr:uid="{00000000-0005-0000-0000-0000C0370000}"/>
    <cellStyle name="Normal 22 20 25" xfId="16048" xr:uid="{00000000-0005-0000-0000-0000C1370000}"/>
    <cellStyle name="Normal 22 20 26" xfId="14795" xr:uid="{00000000-0005-0000-0000-0000C2370000}"/>
    <cellStyle name="Normal 22 20 27" xfId="14652" xr:uid="{00000000-0005-0000-0000-0000C3370000}"/>
    <cellStyle name="Normal 22 20 28" xfId="12425" xr:uid="{00000000-0005-0000-0000-0000C4370000}"/>
    <cellStyle name="Normal 22 20 29" xfId="7124" xr:uid="{00000000-0005-0000-0000-0000C5370000}"/>
    <cellStyle name="Normal 22 20 3" xfId="27358" xr:uid="{00000000-0005-0000-0000-0000C6370000}"/>
    <cellStyle name="Normal 22 20 30" xfId="12001" xr:uid="{00000000-0005-0000-0000-0000C7370000}"/>
    <cellStyle name="Normal 22 20 31" xfId="9316" xr:uid="{00000000-0005-0000-0000-0000C8370000}"/>
    <cellStyle name="Normal 22 20 32" xfId="5440" xr:uid="{00000000-0005-0000-0000-0000C9370000}"/>
    <cellStyle name="Normal 22 20 33" xfId="9979" xr:uid="{00000000-0005-0000-0000-0000CA370000}"/>
    <cellStyle name="Normal 22 20 34" xfId="7645" xr:uid="{00000000-0005-0000-0000-0000CB370000}"/>
    <cellStyle name="Normal 22 20 35" xfId="4266" xr:uid="{00000000-0005-0000-0000-0000CC370000}"/>
    <cellStyle name="Normal 22 20 36" xfId="4144" xr:uid="{00000000-0005-0000-0000-0000CD370000}"/>
    <cellStyle name="Normal 22 20 37" xfId="8622" xr:uid="{00000000-0005-0000-0000-0000CE370000}"/>
    <cellStyle name="Normal 22 20 38" xfId="5835" xr:uid="{00000000-0005-0000-0000-0000CF370000}"/>
    <cellStyle name="Normal 22 20 39" xfId="6074" xr:uid="{00000000-0005-0000-0000-0000D0370000}"/>
    <cellStyle name="Normal 22 20 4" xfId="26761" xr:uid="{00000000-0005-0000-0000-0000D1370000}"/>
    <cellStyle name="Normal 22 20 40" xfId="4319" xr:uid="{00000000-0005-0000-0000-0000D2370000}"/>
    <cellStyle name="Normal 22 20 41" xfId="12052" xr:uid="{00000000-0005-0000-0000-0000D3370000}"/>
    <cellStyle name="Normal 22 20 42" xfId="4267" xr:uid="{00000000-0005-0000-0000-0000D4370000}"/>
    <cellStyle name="Normal 22 20 43" xfId="5889" xr:uid="{00000000-0005-0000-0000-0000D5370000}"/>
    <cellStyle name="Normal 22 20 5" xfId="26165" xr:uid="{00000000-0005-0000-0000-0000D6370000}"/>
    <cellStyle name="Normal 22 20 6" xfId="25569" xr:uid="{00000000-0005-0000-0000-0000D7370000}"/>
    <cellStyle name="Normal 22 20 7" xfId="24972" xr:uid="{00000000-0005-0000-0000-0000D8370000}"/>
    <cellStyle name="Normal 22 20 8" xfId="24375" xr:uid="{00000000-0005-0000-0000-0000D9370000}"/>
    <cellStyle name="Normal 22 20 9" xfId="23778" xr:uid="{00000000-0005-0000-0000-0000DA370000}"/>
    <cellStyle name="Normal 22 21" xfId="28554" xr:uid="{00000000-0005-0000-0000-0000DB370000}"/>
    <cellStyle name="Normal 22 21 10" xfId="23180" xr:uid="{00000000-0005-0000-0000-0000DC370000}"/>
    <cellStyle name="Normal 22 21 11" xfId="22583" xr:uid="{00000000-0005-0000-0000-0000DD370000}"/>
    <cellStyle name="Normal 22 21 12" xfId="21987" xr:uid="{00000000-0005-0000-0000-0000DE370000}"/>
    <cellStyle name="Normal 22 21 13" xfId="21390" xr:uid="{00000000-0005-0000-0000-0000DF370000}"/>
    <cellStyle name="Normal 22 21 14" xfId="20793" xr:uid="{00000000-0005-0000-0000-0000E0370000}"/>
    <cellStyle name="Normal 22 21 15" xfId="20196" xr:uid="{00000000-0005-0000-0000-0000E1370000}"/>
    <cellStyle name="Normal 22 21 16" xfId="19600" xr:uid="{00000000-0005-0000-0000-0000E2370000}"/>
    <cellStyle name="Normal 22 21 17" xfId="19004" xr:uid="{00000000-0005-0000-0000-0000E3370000}"/>
    <cellStyle name="Normal 22 21 18" xfId="18412" xr:uid="{00000000-0005-0000-0000-0000E4370000}"/>
    <cellStyle name="Normal 22 21 19" xfId="17815" xr:uid="{00000000-0005-0000-0000-0000E5370000}"/>
    <cellStyle name="Normal 22 21 2" xfId="27954" xr:uid="{00000000-0005-0000-0000-0000E6370000}"/>
    <cellStyle name="Normal 22 21 20" xfId="14158" xr:uid="{00000000-0005-0000-0000-0000E7370000}"/>
    <cellStyle name="Normal 22 21 21" xfId="17158" xr:uid="{00000000-0005-0000-0000-0000E8370000}"/>
    <cellStyle name="Normal 22 21 22" xfId="16992" xr:uid="{00000000-0005-0000-0000-0000E9370000}"/>
    <cellStyle name="Normal 22 21 23" xfId="15779" xr:uid="{00000000-0005-0000-0000-0000EA370000}"/>
    <cellStyle name="Normal 22 21 24" xfId="16762" xr:uid="{00000000-0005-0000-0000-0000EB370000}"/>
    <cellStyle name="Normal 22 21 25" xfId="16110" xr:uid="{00000000-0005-0000-0000-0000EC370000}"/>
    <cellStyle name="Normal 22 21 26" xfId="15572" xr:uid="{00000000-0005-0000-0000-0000ED370000}"/>
    <cellStyle name="Normal 22 21 27" xfId="16365" xr:uid="{00000000-0005-0000-0000-0000EE370000}"/>
    <cellStyle name="Normal 22 21 28" xfId="12424" xr:uid="{00000000-0005-0000-0000-0000EF370000}"/>
    <cellStyle name="Normal 22 21 29" xfId="7875" xr:uid="{00000000-0005-0000-0000-0000F0370000}"/>
    <cellStyle name="Normal 22 21 3" xfId="27357" xr:uid="{00000000-0005-0000-0000-0000F1370000}"/>
    <cellStyle name="Normal 22 21 30" xfId="11989" xr:uid="{00000000-0005-0000-0000-0000F2370000}"/>
    <cellStyle name="Normal 22 21 31" xfId="9395" xr:uid="{00000000-0005-0000-0000-0000F3370000}"/>
    <cellStyle name="Normal 22 21 32" xfId="5695" xr:uid="{00000000-0005-0000-0000-0000F4370000}"/>
    <cellStyle name="Normal 22 21 33" xfId="11612" xr:uid="{00000000-0005-0000-0000-0000F5370000}"/>
    <cellStyle name="Normal 22 21 34" xfId="5045" xr:uid="{00000000-0005-0000-0000-0000F6370000}"/>
    <cellStyle name="Normal 22 21 35" xfId="11504" xr:uid="{00000000-0005-0000-0000-0000F7370000}"/>
    <cellStyle name="Normal 22 21 36" xfId="9731" xr:uid="{00000000-0005-0000-0000-0000F8370000}"/>
    <cellStyle name="Normal 22 21 37" xfId="5068" xr:uid="{00000000-0005-0000-0000-0000F9370000}"/>
    <cellStyle name="Normal 22 21 38" xfId="6101" xr:uid="{00000000-0005-0000-0000-0000FA370000}"/>
    <cellStyle name="Normal 22 21 39" xfId="4423" xr:uid="{00000000-0005-0000-0000-0000FB370000}"/>
    <cellStyle name="Normal 22 21 4" xfId="26760" xr:uid="{00000000-0005-0000-0000-0000FC370000}"/>
    <cellStyle name="Normal 22 21 40" xfId="3627" xr:uid="{00000000-0005-0000-0000-0000FD370000}"/>
    <cellStyle name="Normal 22 21 41" xfId="5722" xr:uid="{00000000-0005-0000-0000-0000FE370000}"/>
    <cellStyle name="Normal 22 21 42" xfId="5293" xr:uid="{00000000-0005-0000-0000-0000FF370000}"/>
    <cellStyle name="Normal 22 21 43" xfId="10532" xr:uid="{00000000-0005-0000-0000-000000380000}"/>
    <cellStyle name="Normal 22 21 5" xfId="26164" xr:uid="{00000000-0005-0000-0000-000001380000}"/>
    <cellStyle name="Normal 22 21 6" xfId="25568" xr:uid="{00000000-0005-0000-0000-000002380000}"/>
    <cellStyle name="Normal 22 21 7" xfId="24971" xr:uid="{00000000-0005-0000-0000-000003380000}"/>
    <cellStyle name="Normal 22 21 8" xfId="24374" xr:uid="{00000000-0005-0000-0000-000004380000}"/>
    <cellStyle name="Normal 22 21 9" xfId="23777" xr:uid="{00000000-0005-0000-0000-000005380000}"/>
    <cellStyle name="Normal 22 22" xfId="28553" xr:uid="{00000000-0005-0000-0000-000006380000}"/>
    <cellStyle name="Normal 22 22 10" xfId="23179" xr:uid="{00000000-0005-0000-0000-000007380000}"/>
    <cellStyle name="Normal 22 22 11" xfId="22582" xr:uid="{00000000-0005-0000-0000-000008380000}"/>
    <cellStyle name="Normal 22 22 12" xfId="21986" xr:uid="{00000000-0005-0000-0000-000009380000}"/>
    <cellStyle name="Normal 22 22 13" xfId="21389" xr:uid="{00000000-0005-0000-0000-00000A380000}"/>
    <cellStyle name="Normal 22 22 14" xfId="20792" xr:uid="{00000000-0005-0000-0000-00000B380000}"/>
    <cellStyle name="Normal 22 22 15" xfId="20195" xr:uid="{00000000-0005-0000-0000-00000C380000}"/>
    <cellStyle name="Normal 22 22 16" xfId="19599" xr:uid="{00000000-0005-0000-0000-00000D380000}"/>
    <cellStyle name="Normal 22 22 17" xfId="19003" xr:uid="{00000000-0005-0000-0000-00000E380000}"/>
    <cellStyle name="Normal 22 22 18" xfId="18411" xr:uid="{00000000-0005-0000-0000-00000F380000}"/>
    <cellStyle name="Normal 22 22 19" xfId="17814" xr:uid="{00000000-0005-0000-0000-000010380000}"/>
    <cellStyle name="Normal 22 22 2" xfId="27953" xr:uid="{00000000-0005-0000-0000-000011380000}"/>
    <cellStyle name="Normal 22 22 20" xfId="14347" xr:uid="{00000000-0005-0000-0000-000012380000}"/>
    <cellStyle name="Normal 22 22 21" xfId="13969" xr:uid="{00000000-0005-0000-0000-000013380000}"/>
    <cellStyle name="Normal 22 22 22" xfId="17381" xr:uid="{00000000-0005-0000-0000-000014380000}"/>
    <cellStyle name="Normal 22 22 23" xfId="14831" xr:uid="{00000000-0005-0000-0000-000015380000}"/>
    <cellStyle name="Normal 22 22 24" xfId="16790" xr:uid="{00000000-0005-0000-0000-000016380000}"/>
    <cellStyle name="Normal 22 22 25" xfId="13732" xr:uid="{00000000-0005-0000-0000-000017380000}"/>
    <cellStyle name="Normal 22 22 26" xfId="16802" xr:uid="{00000000-0005-0000-0000-000018380000}"/>
    <cellStyle name="Normal 22 22 27" xfId="15017" xr:uid="{00000000-0005-0000-0000-000019380000}"/>
    <cellStyle name="Normal 22 22 28" xfId="12423" xr:uid="{00000000-0005-0000-0000-00001A380000}"/>
    <cellStyle name="Normal 22 22 29" xfId="6809" xr:uid="{00000000-0005-0000-0000-00001B380000}"/>
    <cellStyle name="Normal 22 22 3" xfId="27356" xr:uid="{00000000-0005-0000-0000-00001C380000}"/>
    <cellStyle name="Normal 22 22 30" xfId="8157" xr:uid="{00000000-0005-0000-0000-00001D380000}"/>
    <cellStyle name="Normal 22 22 31" xfId="8611" xr:uid="{00000000-0005-0000-0000-00001E380000}"/>
    <cellStyle name="Normal 22 22 32" xfId="5181" xr:uid="{00000000-0005-0000-0000-00001F380000}"/>
    <cellStyle name="Normal 22 22 33" xfId="10623" xr:uid="{00000000-0005-0000-0000-000020380000}"/>
    <cellStyle name="Normal 22 22 34" xfId="9280" xr:uid="{00000000-0005-0000-0000-000021380000}"/>
    <cellStyle name="Normal 22 22 35" xfId="6439" xr:uid="{00000000-0005-0000-0000-000022380000}"/>
    <cellStyle name="Normal 22 22 36" xfId="11825" xr:uid="{00000000-0005-0000-0000-000023380000}"/>
    <cellStyle name="Normal 22 22 37" xfId="5555" xr:uid="{00000000-0005-0000-0000-000024380000}"/>
    <cellStyle name="Normal 22 22 38" xfId="9707" xr:uid="{00000000-0005-0000-0000-000025380000}"/>
    <cellStyle name="Normal 22 22 39" xfId="3712" xr:uid="{00000000-0005-0000-0000-000026380000}"/>
    <cellStyle name="Normal 22 22 4" xfId="26759" xr:uid="{00000000-0005-0000-0000-000027380000}"/>
    <cellStyle name="Normal 22 22 40" xfId="6094" xr:uid="{00000000-0005-0000-0000-000028380000}"/>
    <cellStyle name="Normal 22 22 41" xfId="9344" xr:uid="{00000000-0005-0000-0000-000029380000}"/>
    <cellStyle name="Normal 22 22 42" xfId="6239" xr:uid="{00000000-0005-0000-0000-00002A380000}"/>
    <cellStyle name="Normal 22 22 43" xfId="3363" xr:uid="{00000000-0005-0000-0000-00002B380000}"/>
    <cellStyle name="Normal 22 22 5" xfId="26163" xr:uid="{00000000-0005-0000-0000-00002C380000}"/>
    <cellStyle name="Normal 22 22 6" xfId="25567" xr:uid="{00000000-0005-0000-0000-00002D380000}"/>
    <cellStyle name="Normal 22 22 7" xfId="24970" xr:uid="{00000000-0005-0000-0000-00002E380000}"/>
    <cellStyle name="Normal 22 22 8" xfId="24373" xr:uid="{00000000-0005-0000-0000-00002F380000}"/>
    <cellStyle name="Normal 22 22 9" xfId="23776" xr:uid="{00000000-0005-0000-0000-000030380000}"/>
    <cellStyle name="Normal 22 23" xfId="28552" xr:uid="{00000000-0005-0000-0000-000031380000}"/>
    <cellStyle name="Normal 22 23 10" xfId="23178" xr:uid="{00000000-0005-0000-0000-000032380000}"/>
    <cellStyle name="Normal 22 23 11" xfId="22581" xr:uid="{00000000-0005-0000-0000-000033380000}"/>
    <cellStyle name="Normal 22 23 12" xfId="21985" xr:uid="{00000000-0005-0000-0000-000034380000}"/>
    <cellStyle name="Normal 22 23 13" xfId="21388" xr:uid="{00000000-0005-0000-0000-000035380000}"/>
    <cellStyle name="Normal 22 23 14" xfId="20791" xr:uid="{00000000-0005-0000-0000-000036380000}"/>
    <cellStyle name="Normal 22 23 15" xfId="20194" xr:uid="{00000000-0005-0000-0000-000037380000}"/>
    <cellStyle name="Normal 22 23 16" xfId="19598" xr:uid="{00000000-0005-0000-0000-000038380000}"/>
    <cellStyle name="Normal 22 23 17" xfId="19002" xr:uid="{00000000-0005-0000-0000-000039380000}"/>
    <cellStyle name="Normal 22 23 18" xfId="18410" xr:uid="{00000000-0005-0000-0000-00003A380000}"/>
    <cellStyle name="Normal 22 23 19" xfId="17813" xr:uid="{00000000-0005-0000-0000-00003B380000}"/>
    <cellStyle name="Normal 22 23 2" xfId="27952" xr:uid="{00000000-0005-0000-0000-00003C380000}"/>
    <cellStyle name="Normal 22 23 20" xfId="14538" xr:uid="{00000000-0005-0000-0000-00003D380000}"/>
    <cellStyle name="Normal 22 23 21" xfId="14140" xr:uid="{00000000-0005-0000-0000-00003E380000}"/>
    <cellStyle name="Normal 22 23 22" xfId="17393" xr:uid="{00000000-0005-0000-0000-00003F380000}"/>
    <cellStyle name="Normal 22 23 23" xfId="14891" xr:uid="{00000000-0005-0000-0000-000040380000}"/>
    <cellStyle name="Normal 22 23 24" xfId="16774" xr:uid="{00000000-0005-0000-0000-000041380000}"/>
    <cellStyle name="Normal 22 23 25" xfId="16085" xr:uid="{00000000-0005-0000-0000-000042380000}"/>
    <cellStyle name="Normal 22 23 26" xfId="13071" xr:uid="{00000000-0005-0000-0000-000043380000}"/>
    <cellStyle name="Normal 22 23 27" xfId="12772" xr:uid="{00000000-0005-0000-0000-000044380000}"/>
    <cellStyle name="Normal 22 23 28" xfId="12422" xr:uid="{00000000-0005-0000-0000-000045380000}"/>
    <cellStyle name="Normal 22 23 29" xfId="6903" xr:uid="{00000000-0005-0000-0000-000046380000}"/>
    <cellStyle name="Normal 22 23 3" xfId="27355" xr:uid="{00000000-0005-0000-0000-000047380000}"/>
    <cellStyle name="Normal 22 23 30" xfId="9030" xr:uid="{00000000-0005-0000-0000-000048380000}"/>
    <cellStyle name="Normal 22 23 31" xfId="7159" xr:uid="{00000000-0005-0000-0000-000049380000}"/>
    <cellStyle name="Normal 22 23 32" xfId="5469" xr:uid="{00000000-0005-0000-0000-00004A380000}"/>
    <cellStyle name="Normal 22 23 33" xfId="7279" xr:uid="{00000000-0005-0000-0000-00004B380000}"/>
    <cellStyle name="Normal 22 23 34" xfId="8480" xr:uid="{00000000-0005-0000-0000-00004C380000}"/>
    <cellStyle name="Normal 22 23 35" xfId="4389" xr:uid="{00000000-0005-0000-0000-00004D380000}"/>
    <cellStyle name="Normal 22 23 36" xfId="6560" xr:uid="{00000000-0005-0000-0000-00004E380000}"/>
    <cellStyle name="Normal 22 23 37" xfId="10456" xr:uid="{00000000-0005-0000-0000-00004F380000}"/>
    <cellStyle name="Normal 22 23 38" xfId="9458" xr:uid="{00000000-0005-0000-0000-000050380000}"/>
    <cellStyle name="Normal 22 23 39" xfId="3486" xr:uid="{00000000-0005-0000-0000-000051380000}"/>
    <cellStyle name="Normal 22 23 4" xfId="26758" xr:uid="{00000000-0005-0000-0000-000052380000}"/>
    <cellStyle name="Normal 22 23 40" xfId="8002" xr:uid="{00000000-0005-0000-0000-000053380000}"/>
    <cellStyle name="Normal 22 23 41" xfId="9091" xr:uid="{00000000-0005-0000-0000-000054380000}"/>
    <cellStyle name="Normal 22 23 42" xfId="3444" xr:uid="{00000000-0005-0000-0000-000055380000}"/>
    <cellStyle name="Normal 22 23 43" xfId="10459" xr:uid="{00000000-0005-0000-0000-000056380000}"/>
    <cellStyle name="Normal 22 23 5" xfId="26162" xr:uid="{00000000-0005-0000-0000-000057380000}"/>
    <cellStyle name="Normal 22 23 6" xfId="25566" xr:uid="{00000000-0005-0000-0000-000058380000}"/>
    <cellStyle name="Normal 22 23 7" xfId="24969" xr:uid="{00000000-0005-0000-0000-000059380000}"/>
    <cellStyle name="Normal 22 23 8" xfId="24372" xr:uid="{00000000-0005-0000-0000-00005A380000}"/>
    <cellStyle name="Normal 22 23 9" xfId="23775" xr:uid="{00000000-0005-0000-0000-00005B380000}"/>
    <cellStyle name="Normal 22 24" xfId="28551" xr:uid="{00000000-0005-0000-0000-00005C380000}"/>
    <cellStyle name="Normal 22 24 10" xfId="23177" xr:uid="{00000000-0005-0000-0000-00005D380000}"/>
    <cellStyle name="Normal 22 24 11" xfId="22580" xr:uid="{00000000-0005-0000-0000-00005E380000}"/>
    <cellStyle name="Normal 22 24 12" xfId="21984" xr:uid="{00000000-0005-0000-0000-00005F380000}"/>
    <cellStyle name="Normal 22 24 13" xfId="21387" xr:uid="{00000000-0005-0000-0000-000060380000}"/>
    <cellStyle name="Normal 22 24 14" xfId="20790" xr:uid="{00000000-0005-0000-0000-000061380000}"/>
    <cellStyle name="Normal 22 24 15" xfId="20193" xr:uid="{00000000-0005-0000-0000-000062380000}"/>
    <cellStyle name="Normal 22 24 16" xfId="19597" xr:uid="{00000000-0005-0000-0000-000063380000}"/>
    <cellStyle name="Normal 22 24 17" xfId="19001" xr:uid="{00000000-0005-0000-0000-000064380000}"/>
    <cellStyle name="Normal 22 24 18" xfId="18409" xr:uid="{00000000-0005-0000-0000-000065380000}"/>
    <cellStyle name="Normal 22 24 19" xfId="17812" xr:uid="{00000000-0005-0000-0000-000066380000}"/>
    <cellStyle name="Normal 22 24 2" xfId="27951" xr:uid="{00000000-0005-0000-0000-000067380000}"/>
    <cellStyle name="Normal 22 24 20" xfId="14735" xr:uid="{00000000-0005-0000-0000-000068380000}"/>
    <cellStyle name="Normal 22 24 21" xfId="16505" xr:uid="{00000000-0005-0000-0000-000069380000}"/>
    <cellStyle name="Normal 22 24 22" xfId="14611" xr:uid="{00000000-0005-0000-0000-00006A380000}"/>
    <cellStyle name="Normal 22 24 23" xfId="14833" xr:uid="{00000000-0005-0000-0000-00006B380000}"/>
    <cellStyle name="Normal 22 24 24" xfId="13926" xr:uid="{00000000-0005-0000-0000-00006C380000}"/>
    <cellStyle name="Normal 22 24 25" xfId="14851" xr:uid="{00000000-0005-0000-0000-00006D380000}"/>
    <cellStyle name="Normal 22 24 26" xfId="13875" xr:uid="{00000000-0005-0000-0000-00006E380000}"/>
    <cellStyle name="Normal 22 24 27" xfId="15996" xr:uid="{00000000-0005-0000-0000-00006F380000}"/>
    <cellStyle name="Normal 22 24 28" xfId="12421" xr:uid="{00000000-0005-0000-0000-000070380000}"/>
    <cellStyle name="Normal 22 24 29" xfId="6814" xr:uid="{00000000-0005-0000-0000-000071380000}"/>
    <cellStyle name="Normal 22 24 3" xfId="27354" xr:uid="{00000000-0005-0000-0000-000072380000}"/>
    <cellStyle name="Normal 22 24 30" xfId="11756" xr:uid="{00000000-0005-0000-0000-000073380000}"/>
    <cellStyle name="Normal 22 24 31" xfId="6413" xr:uid="{00000000-0005-0000-0000-000074380000}"/>
    <cellStyle name="Normal 22 24 32" xfId="6744" xr:uid="{00000000-0005-0000-0000-000075380000}"/>
    <cellStyle name="Normal 22 24 33" xfId="6720" xr:uid="{00000000-0005-0000-0000-000076380000}"/>
    <cellStyle name="Normal 22 24 34" xfId="9826" xr:uid="{00000000-0005-0000-0000-000077380000}"/>
    <cellStyle name="Normal 22 24 35" xfId="10609" xr:uid="{00000000-0005-0000-0000-000078380000}"/>
    <cellStyle name="Normal 22 24 36" xfId="8712" xr:uid="{00000000-0005-0000-0000-000079380000}"/>
    <cellStyle name="Normal 22 24 37" xfId="5593" xr:uid="{00000000-0005-0000-0000-00007A380000}"/>
    <cellStyle name="Normal 22 24 38" xfId="10275" xr:uid="{00000000-0005-0000-0000-00007B380000}"/>
    <cellStyle name="Normal 22 24 39" xfId="3638" xr:uid="{00000000-0005-0000-0000-00007C380000}"/>
    <cellStyle name="Normal 22 24 4" xfId="26757" xr:uid="{00000000-0005-0000-0000-00007D380000}"/>
    <cellStyle name="Normal 22 24 40" xfId="5208" xr:uid="{00000000-0005-0000-0000-00007E380000}"/>
    <cellStyle name="Normal 22 24 41" xfId="4486" xr:uid="{00000000-0005-0000-0000-00007F380000}"/>
    <cellStyle name="Normal 22 24 42" xfId="5803" xr:uid="{00000000-0005-0000-0000-000080380000}"/>
    <cellStyle name="Normal 22 24 43" xfId="3209" xr:uid="{00000000-0005-0000-0000-000081380000}"/>
    <cellStyle name="Normal 22 24 5" xfId="26161" xr:uid="{00000000-0005-0000-0000-000082380000}"/>
    <cellStyle name="Normal 22 24 6" xfId="25565" xr:uid="{00000000-0005-0000-0000-000083380000}"/>
    <cellStyle name="Normal 22 24 7" xfId="24968" xr:uid="{00000000-0005-0000-0000-000084380000}"/>
    <cellStyle name="Normal 22 24 8" xfId="24371" xr:uid="{00000000-0005-0000-0000-000085380000}"/>
    <cellStyle name="Normal 22 24 9" xfId="23774" xr:uid="{00000000-0005-0000-0000-000086380000}"/>
    <cellStyle name="Normal 22 25" xfId="28550" xr:uid="{00000000-0005-0000-0000-000087380000}"/>
    <cellStyle name="Normal 22 25 10" xfId="23176" xr:uid="{00000000-0005-0000-0000-000088380000}"/>
    <cellStyle name="Normal 22 25 11" xfId="22579" xr:uid="{00000000-0005-0000-0000-000089380000}"/>
    <cellStyle name="Normal 22 25 12" xfId="21983" xr:uid="{00000000-0005-0000-0000-00008A380000}"/>
    <cellStyle name="Normal 22 25 13" xfId="21386" xr:uid="{00000000-0005-0000-0000-00008B380000}"/>
    <cellStyle name="Normal 22 25 14" xfId="20789" xr:uid="{00000000-0005-0000-0000-00008C380000}"/>
    <cellStyle name="Normal 22 25 15" xfId="20192" xr:uid="{00000000-0005-0000-0000-00008D380000}"/>
    <cellStyle name="Normal 22 25 16" xfId="19596" xr:uid="{00000000-0005-0000-0000-00008E380000}"/>
    <cellStyle name="Normal 22 25 17" xfId="19000" xr:uid="{00000000-0005-0000-0000-00008F380000}"/>
    <cellStyle name="Normal 22 25 18" xfId="18408" xr:uid="{00000000-0005-0000-0000-000090380000}"/>
    <cellStyle name="Normal 22 25 19" xfId="17811" xr:uid="{00000000-0005-0000-0000-000091380000}"/>
    <cellStyle name="Normal 22 25 2" xfId="27950" xr:uid="{00000000-0005-0000-0000-000092380000}"/>
    <cellStyle name="Normal 22 25 20" xfId="14937" xr:uid="{00000000-0005-0000-0000-000093380000}"/>
    <cellStyle name="Normal 22 25 21" xfId="16496" xr:uid="{00000000-0005-0000-0000-000094380000}"/>
    <cellStyle name="Normal 22 25 22" xfId="14829" xr:uid="{00000000-0005-0000-0000-000095380000}"/>
    <cellStyle name="Normal 22 25 23" xfId="17256" xr:uid="{00000000-0005-0000-0000-000096380000}"/>
    <cellStyle name="Normal 22 25 24" xfId="13079" xr:uid="{00000000-0005-0000-0000-000097380000}"/>
    <cellStyle name="Normal 22 25 25" xfId="13707" xr:uid="{00000000-0005-0000-0000-000098380000}"/>
    <cellStyle name="Normal 22 25 26" xfId="13504" xr:uid="{00000000-0005-0000-0000-000099380000}"/>
    <cellStyle name="Normal 22 25 27" xfId="16033" xr:uid="{00000000-0005-0000-0000-00009A380000}"/>
    <cellStyle name="Normal 22 25 28" xfId="12420" xr:uid="{00000000-0005-0000-0000-00009B380000}"/>
    <cellStyle name="Normal 22 25 29" xfId="8005" xr:uid="{00000000-0005-0000-0000-00009C380000}"/>
    <cellStyle name="Normal 22 25 3" xfId="27353" xr:uid="{00000000-0005-0000-0000-00009D380000}"/>
    <cellStyle name="Normal 22 25 30" xfId="10619" xr:uid="{00000000-0005-0000-0000-00009E380000}"/>
    <cellStyle name="Normal 22 25 31" xfId="11142" xr:uid="{00000000-0005-0000-0000-00009F380000}"/>
    <cellStyle name="Normal 22 25 32" xfId="8118" xr:uid="{00000000-0005-0000-0000-0000A0380000}"/>
    <cellStyle name="Normal 22 25 33" xfId="6049" xr:uid="{00000000-0005-0000-0000-0000A1380000}"/>
    <cellStyle name="Normal 22 25 34" xfId="6400" xr:uid="{00000000-0005-0000-0000-0000A2380000}"/>
    <cellStyle name="Normal 22 25 35" xfId="4582" xr:uid="{00000000-0005-0000-0000-0000A3380000}"/>
    <cellStyle name="Normal 22 25 36" xfId="5812" xr:uid="{00000000-0005-0000-0000-0000A4380000}"/>
    <cellStyle name="Normal 22 25 37" xfId="10649" xr:uid="{00000000-0005-0000-0000-0000A5380000}"/>
    <cellStyle name="Normal 22 25 38" xfId="8150" xr:uid="{00000000-0005-0000-0000-0000A6380000}"/>
    <cellStyle name="Normal 22 25 39" xfId="4322" xr:uid="{00000000-0005-0000-0000-0000A7380000}"/>
    <cellStyle name="Normal 22 25 4" xfId="26756" xr:uid="{00000000-0005-0000-0000-0000A8380000}"/>
    <cellStyle name="Normal 22 25 40" xfId="11540" xr:uid="{00000000-0005-0000-0000-0000A9380000}"/>
    <cellStyle name="Normal 22 25 41" xfId="3945" xr:uid="{00000000-0005-0000-0000-0000AA380000}"/>
    <cellStyle name="Normal 22 25 42" xfId="5016" xr:uid="{00000000-0005-0000-0000-0000AB380000}"/>
    <cellStyle name="Normal 22 25 43" xfId="9480" xr:uid="{00000000-0005-0000-0000-0000AC380000}"/>
    <cellStyle name="Normal 22 25 5" xfId="26160" xr:uid="{00000000-0005-0000-0000-0000AD380000}"/>
    <cellStyle name="Normal 22 25 6" xfId="25564" xr:uid="{00000000-0005-0000-0000-0000AE380000}"/>
    <cellStyle name="Normal 22 25 7" xfId="24967" xr:uid="{00000000-0005-0000-0000-0000AF380000}"/>
    <cellStyle name="Normal 22 25 8" xfId="24370" xr:uid="{00000000-0005-0000-0000-0000B0380000}"/>
    <cellStyle name="Normal 22 25 9" xfId="23773" xr:uid="{00000000-0005-0000-0000-0000B1380000}"/>
    <cellStyle name="Normal 22 26" xfId="28549" xr:uid="{00000000-0005-0000-0000-0000B2380000}"/>
    <cellStyle name="Normal 22 26 10" xfId="23175" xr:uid="{00000000-0005-0000-0000-0000B3380000}"/>
    <cellStyle name="Normal 22 26 11" xfId="22578" xr:uid="{00000000-0005-0000-0000-0000B4380000}"/>
    <cellStyle name="Normal 22 26 12" xfId="21982" xr:uid="{00000000-0005-0000-0000-0000B5380000}"/>
    <cellStyle name="Normal 22 26 13" xfId="21385" xr:uid="{00000000-0005-0000-0000-0000B6380000}"/>
    <cellStyle name="Normal 22 26 14" xfId="20788" xr:uid="{00000000-0005-0000-0000-0000B7380000}"/>
    <cellStyle name="Normal 22 26 15" xfId="20191" xr:uid="{00000000-0005-0000-0000-0000B8380000}"/>
    <cellStyle name="Normal 22 26 16" xfId="19595" xr:uid="{00000000-0005-0000-0000-0000B9380000}"/>
    <cellStyle name="Normal 22 26 17" xfId="18999" xr:uid="{00000000-0005-0000-0000-0000BA380000}"/>
    <cellStyle name="Normal 22 26 18" xfId="18407" xr:uid="{00000000-0005-0000-0000-0000BB380000}"/>
    <cellStyle name="Normal 22 26 19" xfId="17810" xr:uid="{00000000-0005-0000-0000-0000BC380000}"/>
    <cellStyle name="Normal 22 26 2" xfId="27949" xr:uid="{00000000-0005-0000-0000-0000BD380000}"/>
    <cellStyle name="Normal 22 26 20" xfId="15144" xr:uid="{00000000-0005-0000-0000-0000BE380000}"/>
    <cellStyle name="Normal 22 26 21" xfId="16294" xr:uid="{00000000-0005-0000-0000-0000BF380000}"/>
    <cellStyle name="Normal 22 26 22" xfId="16920" xr:uid="{00000000-0005-0000-0000-0000C0380000}"/>
    <cellStyle name="Normal 22 26 23" xfId="16072" xr:uid="{00000000-0005-0000-0000-0000C1380000}"/>
    <cellStyle name="Normal 22 26 24" xfId="13314" xr:uid="{00000000-0005-0000-0000-0000C2380000}"/>
    <cellStyle name="Normal 22 26 25" xfId="13843" xr:uid="{00000000-0005-0000-0000-0000C3380000}"/>
    <cellStyle name="Normal 22 26 26" xfId="14197" xr:uid="{00000000-0005-0000-0000-0000C4380000}"/>
    <cellStyle name="Normal 22 26 27" xfId="12864" xr:uid="{00000000-0005-0000-0000-0000C5380000}"/>
    <cellStyle name="Normal 22 26 28" xfId="12419" xr:uid="{00000000-0005-0000-0000-0000C6380000}"/>
    <cellStyle name="Normal 22 26 29" xfId="11909" xr:uid="{00000000-0005-0000-0000-0000C7380000}"/>
    <cellStyle name="Normal 22 26 3" xfId="27352" xr:uid="{00000000-0005-0000-0000-0000C8380000}"/>
    <cellStyle name="Normal 22 26 30" xfId="11043" xr:uid="{00000000-0005-0000-0000-0000C9380000}"/>
    <cellStyle name="Normal 22 26 31" xfId="8225" xr:uid="{00000000-0005-0000-0000-0000CA380000}"/>
    <cellStyle name="Normal 22 26 32" xfId="7234" xr:uid="{00000000-0005-0000-0000-0000CB380000}"/>
    <cellStyle name="Normal 22 26 33" xfId="11077" xr:uid="{00000000-0005-0000-0000-0000CC380000}"/>
    <cellStyle name="Normal 22 26 34" xfId="9155" xr:uid="{00000000-0005-0000-0000-0000CD380000}"/>
    <cellStyle name="Normal 22 26 35" xfId="8432" xr:uid="{00000000-0005-0000-0000-0000CE380000}"/>
    <cellStyle name="Normal 22 26 36" xfId="9736" xr:uid="{00000000-0005-0000-0000-0000CF380000}"/>
    <cellStyle name="Normal 22 26 37" xfId="5820" xr:uid="{00000000-0005-0000-0000-0000D0380000}"/>
    <cellStyle name="Normal 22 26 38" xfId="4971" xr:uid="{00000000-0005-0000-0000-0000D1380000}"/>
    <cellStyle name="Normal 22 26 39" xfId="7105" xr:uid="{00000000-0005-0000-0000-0000D2380000}"/>
    <cellStyle name="Normal 22 26 4" xfId="26755" xr:uid="{00000000-0005-0000-0000-0000D3380000}"/>
    <cellStyle name="Normal 22 26 40" xfId="3342" xr:uid="{00000000-0005-0000-0000-0000D4380000}"/>
    <cellStyle name="Normal 22 26 41" xfId="7008" xr:uid="{00000000-0005-0000-0000-0000D5380000}"/>
    <cellStyle name="Normal 22 26 42" xfId="10370" xr:uid="{00000000-0005-0000-0000-0000D6380000}"/>
    <cellStyle name="Normal 22 26 43" xfId="6337" xr:uid="{00000000-0005-0000-0000-0000D7380000}"/>
    <cellStyle name="Normal 22 26 5" xfId="26159" xr:uid="{00000000-0005-0000-0000-0000D8380000}"/>
    <cellStyle name="Normal 22 26 6" xfId="25563" xr:uid="{00000000-0005-0000-0000-0000D9380000}"/>
    <cellStyle name="Normal 22 26 7" xfId="24966" xr:uid="{00000000-0005-0000-0000-0000DA380000}"/>
    <cellStyle name="Normal 22 26 8" xfId="24369" xr:uid="{00000000-0005-0000-0000-0000DB380000}"/>
    <cellStyle name="Normal 22 26 9" xfId="23772" xr:uid="{00000000-0005-0000-0000-0000DC380000}"/>
    <cellStyle name="Normal 22 27" xfId="27967" xr:uid="{00000000-0005-0000-0000-0000DD380000}"/>
    <cellStyle name="Normal 22 28" xfId="27370" xr:uid="{00000000-0005-0000-0000-0000DE380000}"/>
    <cellStyle name="Normal 22 29" xfId="26773" xr:uid="{00000000-0005-0000-0000-0000DF380000}"/>
    <cellStyle name="Normal 22 3" xfId="28548" xr:uid="{00000000-0005-0000-0000-0000E0380000}"/>
    <cellStyle name="Normal 22 3 10" xfId="23174" xr:uid="{00000000-0005-0000-0000-0000E1380000}"/>
    <cellStyle name="Normal 22 3 11" xfId="22577" xr:uid="{00000000-0005-0000-0000-0000E2380000}"/>
    <cellStyle name="Normal 22 3 12" xfId="21981" xr:uid="{00000000-0005-0000-0000-0000E3380000}"/>
    <cellStyle name="Normal 22 3 13" xfId="21384" xr:uid="{00000000-0005-0000-0000-0000E4380000}"/>
    <cellStyle name="Normal 22 3 14" xfId="20787" xr:uid="{00000000-0005-0000-0000-0000E5380000}"/>
    <cellStyle name="Normal 22 3 15" xfId="20190" xr:uid="{00000000-0005-0000-0000-0000E6380000}"/>
    <cellStyle name="Normal 22 3 16" xfId="19594" xr:uid="{00000000-0005-0000-0000-0000E7380000}"/>
    <cellStyle name="Normal 22 3 17" xfId="18998" xr:uid="{00000000-0005-0000-0000-0000E8380000}"/>
    <cellStyle name="Normal 22 3 18" xfId="18406" xr:uid="{00000000-0005-0000-0000-0000E9380000}"/>
    <cellStyle name="Normal 22 3 19" xfId="17809" xr:uid="{00000000-0005-0000-0000-0000EA380000}"/>
    <cellStyle name="Normal 22 3 2" xfId="27948" xr:uid="{00000000-0005-0000-0000-0000EB380000}"/>
    <cellStyle name="Normal 22 3 20" xfId="15339" xr:uid="{00000000-0005-0000-0000-0000EC380000}"/>
    <cellStyle name="Normal 22 3 21" xfId="16281" xr:uid="{00000000-0005-0000-0000-0000ED380000}"/>
    <cellStyle name="Normal 22 3 22" xfId="17246" xr:uid="{00000000-0005-0000-0000-0000EE380000}"/>
    <cellStyle name="Normal 22 3 23" xfId="15802" xr:uid="{00000000-0005-0000-0000-0000EF380000}"/>
    <cellStyle name="Normal 22 3 24" xfId="13281" xr:uid="{00000000-0005-0000-0000-0000F0380000}"/>
    <cellStyle name="Normal 22 3 25" xfId="13415" xr:uid="{00000000-0005-0000-0000-0000F1380000}"/>
    <cellStyle name="Normal 22 3 26" xfId="13921" xr:uid="{00000000-0005-0000-0000-0000F2380000}"/>
    <cellStyle name="Normal 22 3 27" xfId="13635" xr:uid="{00000000-0005-0000-0000-0000F3380000}"/>
    <cellStyle name="Normal 22 3 28" xfId="12418" xr:uid="{00000000-0005-0000-0000-0000F4380000}"/>
    <cellStyle name="Normal 22 3 29" xfId="8089" xr:uid="{00000000-0005-0000-0000-0000F5380000}"/>
    <cellStyle name="Normal 22 3 3" xfId="27351" xr:uid="{00000000-0005-0000-0000-0000F6380000}"/>
    <cellStyle name="Normal 22 3 30" xfId="11267" xr:uid="{00000000-0005-0000-0000-0000F7380000}"/>
    <cellStyle name="Normal 22 3 31" xfId="8923" xr:uid="{00000000-0005-0000-0000-0000F8380000}"/>
    <cellStyle name="Normal 22 3 32" xfId="7404" xr:uid="{00000000-0005-0000-0000-0000F9380000}"/>
    <cellStyle name="Normal 22 3 33" xfId="6717" xr:uid="{00000000-0005-0000-0000-0000FA380000}"/>
    <cellStyle name="Normal 22 3 34" xfId="6253" xr:uid="{00000000-0005-0000-0000-0000FB380000}"/>
    <cellStyle name="Normal 22 3 35" xfId="4553" xr:uid="{00000000-0005-0000-0000-0000FC380000}"/>
    <cellStyle name="Normal 22 3 36" xfId="4378" xr:uid="{00000000-0005-0000-0000-0000FD380000}"/>
    <cellStyle name="Normal 22 3 37" xfId="11869" xr:uid="{00000000-0005-0000-0000-0000FE380000}"/>
    <cellStyle name="Normal 22 3 38" xfId="5121" xr:uid="{00000000-0005-0000-0000-0000FF380000}"/>
    <cellStyle name="Normal 22 3 39" xfId="6167" xr:uid="{00000000-0005-0000-0000-000000390000}"/>
    <cellStyle name="Normal 22 3 4" xfId="26754" xr:uid="{00000000-0005-0000-0000-000001390000}"/>
    <cellStyle name="Normal 22 3 40" xfId="3285" xr:uid="{00000000-0005-0000-0000-000002390000}"/>
    <cellStyle name="Normal 22 3 41" xfId="7232" xr:uid="{00000000-0005-0000-0000-000003390000}"/>
    <cellStyle name="Normal 22 3 42" xfId="6222" xr:uid="{00000000-0005-0000-0000-000004390000}"/>
    <cellStyle name="Normal 22 3 43" xfId="6020" xr:uid="{00000000-0005-0000-0000-000005390000}"/>
    <cellStyle name="Normal 22 3 44" xfId="2955" xr:uid="{00000000-0005-0000-0000-000006390000}"/>
    <cellStyle name="Normal 22 3 45" xfId="2712" xr:uid="{00000000-0005-0000-0000-000007390000}"/>
    <cellStyle name="Normal 22 3 46" xfId="2472" xr:uid="{00000000-0005-0000-0000-000008390000}"/>
    <cellStyle name="Normal 22 3 47" xfId="2232" xr:uid="{00000000-0005-0000-0000-000009390000}"/>
    <cellStyle name="Normal 22 3 48" xfId="1992" xr:uid="{00000000-0005-0000-0000-00000A390000}"/>
    <cellStyle name="Normal 22 3 49" xfId="1752" xr:uid="{00000000-0005-0000-0000-00000B390000}"/>
    <cellStyle name="Normal 22 3 5" xfId="26158" xr:uid="{00000000-0005-0000-0000-00000C390000}"/>
    <cellStyle name="Normal 22 3 50" xfId="1513" xr:uid="{00000000-0005-0000-0000-00000D390000}"/>
    <cellStyle name="Normal 22 3 51" xfId="1273" xr:uid="{00000000-0005-0000-0000-00000E390000}"/>
    <cellStyle name="Normal 22 3 52" xfId="1033" xr:uid="{00000000-0005-0000-0000-00000F390000}"/>
    <cellStyle name="Normal 22 3 53" xfId="793" xr:uid="{00000000-0005-0000-0000-000010390000}"/>
    <cellStyle name="Normal 22 3 54" xfId="553" xr:uid="{00000000-0005-0000-0000-000011390000}"/>
    <cellStyle name="Normal 22 3 55" xfId="314" xr:uid="{00000000-0005-0000-0000-000012390000}"/>
    <cellStyle name="Normal 22 3 56" xfId="76" xr:uid="{00000000-0005-0000-0000-000013390000}"/>
    <cellStyle name="Normal 22 3 6" xfId="25562" xr:uid="{00000000-0005-0000-0000-000014390000}"/>
    <cellStyle name="Normal 22 3 7" xfId="24965" xr:uid="{00000000-0005-0000-0000-000015390000}"/>
    <cellStyle name="Normal 22 3 8" xfId="24368" xr:uid="{00000000-0005-0000-0000-000016390000}"/>
    <cellStyle name="Normal 22 3 9" xfId="23771" xr:uid="{00000000-0005-0000-0000-000017390000}"/>
    <cellStyle name="Normal 22 30" xfId="26177" xr:uid="{00000000-0005-0000-0000-000018390000}"/>
    <cellStyle name="Normal 22 31" xfId="25581" xr:uid="{00000000-0005-0000-0000-000019390000}"/>
    <cellStyle name="Normal 22 32" xfId="24984" xr:uid="{00000000-0005-0000-0000-00001A390000}"/>
    <cellStyle name="Normal 22 33" xfId="24387" xr:uid="{00000000-0005-0000-0000-00001B390000}"/>
    <cellStyle name="Normal 22 34" xfId="23790" xr:uid="{00000000-0005-0000-0000-00001C390000}"/>
    <cellStyle name="Normal 22 35" xfId="23193" xr:uid="{00000000-0005-0000-0000-00001D390000}"/>
    <cellStyle name="Normal 22 36" xfId="22596" xr:uid="{00000000-0005-0000-0000-00001E390000}"/>
    <cellStyle name="Normal 22 37" xfId="22000" xr:uid="{00000000-0005-0000-0000-00001F390000}"/>
    <cellStyle name="Normal 22 38" xfId="21403" xr:uid="{00000000-0005-0000-0000-000020390000}"/>
    <cellStyle name="Normal 22 39" xfId="20806" xr:uid="{00000000-0005-0000-0000-000021390000}"/>
    <cellStyle name="Normal 22 4" xfId="28547" xr:uid="{00000000-0005-0000-0000-000022390000}"/>
    <cellStyle name="Normal 22 4 10" xfId="23173" xr:uid="{00000000-0005-0000-0000-000023390000}"/>
    <cellStyle name="Normal 22 4 11" xfId="22576" xr:uid="{00000000-0005-0000-0000-000024390000}"/>
    <cellStyle name="Normal 22 4 12" xfId="21980" xr:uid="{00000000-0005-0000-0000-000025390000}"/>
    <cellStyle name="Normal 22 4 13" xfId="21383" xr:uid="{00000000-0005-0000-0000-000026390000}"/>
    <cellStyle name="Normal 22 4 14" xfId="20786" xr:uid="{00000000-0005-0000-0000-000027390000}"/>
    <cellStyle name="Normal 22 4 15" xfId="20189" xr:uid="{00000000-0005-0000-0000-000028390000}"/>
    <cellStyle name="Normal 22 4 16" xfId="19593" xr:uid="{00000000-0005-0000-0000-000029390000}"/>
    <cellStyle name="Normal 22 4 17" xfId="18997" xr:uid="{00000000-0005-0000-0000-00002A390000}"/>
    <cellStyle name="Normal 22 4 18" xfId="18405" xr:uid="{00000000-0005-0000-0000-00002B390000}"/>
    <cellStyle name="Normal 22 4 19" xfId="17808" xr:uid="{00000000-0005-0000-0000-00002C390000}"/>
    <cellStyle name="Normal 22 4 2" xfId="27947" xr:uid="{00000000-0005-0000-0000-00002D390000}"/>
    <cellStyle name="Normal 22 4 20" xfId="15546" xr:uid="{00000000-0005-0000-0000-00002E390000}"/>
    <cellStyle name="Normal 22 4 21" xfId="15862" xr:uid="{00000000-0005-0000-0000-00002F390000}"/>
    <cellStyle name="Normal 22 4 22" xfId="14489" xr:uid="{00000000-0005-0000-0000-000030390000}"/>
    <cellStyle name="Normal 22 4 23" xfId="13868" xr:uid="{00000000-0005-0000-0000-000031390000}"/>
    <cellStyle name="Normal 22 4 24" xfId="17263" xr:uid="{00000000-0005-0000-0000-000032390000}"/>
    <cellStyle name="Normal 22 4 25" xfId="13294" xr:uid="{00000000-0005-0000-0000-000033390000}"/>
    <cellStyle name="Normal 22 4 26" xfId="13423" xr:uid="{00000000-0005-0000-0000-000034390000}"/>
    <cellStyle name="Normal 22 4 27" xfId="17370" xr:uid="{00000000-0005-0000-0000-000035390000}"/>
    <cellStyle name="Normal 22 4 28" xfId="12417" xr:uid="{00000000-0005-0000-0000-000036390000}"/>
    <cellStyle name="Normal 22 4 29" xfId="8297" xr:uid="{00000000-0005-0000-0000-000037390000}"/>
    <cellStyle name="Normal 22 4 3" xfId="27350" xr:uid="{00000000-0005-0000-0000-000038390000}"/>
    <cellStyle name="Normal 22 4 30" xfId="5860" xr:uid="{00000000-0005-0000-0000-000039390000}"/>
    <cellStyle name="Normal 22 4 31" xfId="8457" xr:uid="{00000000-0005-0000-0000-00003A390000}"/>
    <cellStyle name="Normal 22 4 32" xfId="9964" xr:uid="{00000000-0005-0000-0000-00003B390000}"/>
    <cellStyle name="Normal 22 4 33" xfId="5101" xr:uid="{00000000-0005-0000-0000-00003C390000}"/>
    <cellStyle name="Normal 22 4 34" xfId="11786" xr:uid="{00000000-0005-0000-0000-00003D390000}"/>
    <cellStyle name="Normal 22 4 35" xfId="5104" xr:uid="{00000000-0005-0000-0000-00003E390000}"/>
    <cellStyle name="Normal 22 4 36" xfId="11578" xr:uid="{00000000-0005-0000-0000-00003F390000}"/>
    <cellStyle name="Normal 22 4 37" xfId="7270" xr:uid="{00000000-0005-0000-0000-000040390000}"/>
    <cellStyle name="Normal 22 4 38" xfId="7803" xr:uid="{00000000-0005-0000-0000-000041390000}"/>
    <cellStyle name="Normal 22 4 39" xfId="11782" xr:uid="{00000000-0005-0000-0000-000042390000}"/>
    <cellStyle name="Normal 22 4 4" xfId="26753" xr:uid="{00000000-0005-0000-0000-000043390000}"/>
    <cellStyle name="Normal 22 4 40" xfId="3322" xr:uid="{00000000-0005-0000-0000-000044390000}"/>
    <cellStyle name="Normal 22 4 41" xfId="9993" xr:uid="{00000000-0005-0000-0000-000045390000}"/>
    <cellStyle name="Normal 22 4 42" xfId="3518" xr:uid="{00000000-0005-0000-0000-000046390000}"/>
    <cellStyle name="Normal 22 4 43" xfId="5065" xr:uid="{00000000-0005-0000-0000-000047390000}"/>
    <cellStyle name="Normal 22 4 44" xfId="2954" xr:uid="{00000000-0005-0000-0000-000048390000}"/>
    <cellStyle name="Normal 22 4 45" xfId="2711" xr:uid="{00000000-0005-0000-0000-000049390000}"/>
    <cellStyle name="Normal 22 4 46" xfId="2471" xr:uid="{00000000-0005-0000-0000-00004A390000}"/>
    <cellStyle name="Normal 22 4 47" xfId="2231" xr:uid="{00000000-0005-0000-0000-00004B390000}"/>
    <cellStyle name="Normal 22 4 48" xfId="1991" xr:uid="{00000000-0005-0000-0000-00004C390000}"/>
    <cellStyle name="Normal 22 4 49" xfId="1751" xr:uid="{00000000-0005-0000-0000-00004D390000}"/>
    <cellStyle name="Normal 22 4 5" xfId="26157" xr:uid="{00000000-0005-0000-0000-00004E390000}"/>
    <cellStyle name="Normal 22 4 50" xfId="1512" xr:uid="{00000000-0005-0000-0000-00004F390000}"/>
    <cellStyle name="Normal 22 4 51" xfId="1272" xr:uid="{00000000-0005-0000-0000-000050390000}"/>
    <cellStyle name="Normal 22 4 52" xfId="1032" xr:uid="{00000000-0005-0000-0000-000051390000}"/>
    <cellStyle name="Normal 22 4 53" xfId="792" xr:uid="{00000000-0005-0000-0000-000052390000}"/>
    <cellStyle name="Normal 22 4 54" xfId="552" xr:uid="{00000000-0005-0000-0000-000053390000}"/>
    <cellStyle name="Normal 22 4 55" xfId="313" xr:uid="{00000000-0005-0000-0000-000054390000}"/>
    <cellStyle name="Normal 22 4 56" xfId="75" xr:uid="{00000000-0005-0000-0000-000055390000}"/>
    <cellStyle name="Normal 22 4 6" xfId="25561" xr:uid="{00000000-0005-0000-0000-000056390000}"/>
    <cellStyle name="Normal 22 4 7" xfId="24964" xr:uid="{00000000-0005-0000-0000-000057390000}"/>
    <cellStyle name="Normal 22 4 8" xfId="24367" xr:uid="{00000000-0005-0000-0000-000058390000}"/>
    <cellStyle name="Normal 22 4 9" xfId="23770" xr:uid="{00000000-0005-0000-0000-000059390000}"/>
    <cellStyle name="Normal 22 40" xfId="20209" xr:uid="{00000000-0005-0000-0000-00005A390000}"/>
    <cellStyle name="Normal 22 41" xfId="19613" xr:uid="{00000000-0005-0000-0000-00005B390000}"/>
    <cellStyle name="Normal 22 42" xfId="19017" xr:uid="{00000000-0005-0000-0000-00005C390000}"/>
    <cellStyle name="Normal 22 43" xfId="18425" xr:uid="{00000000-0005-0000-0000-00005D390000}"/>
    <cellStyle name="Normal 22 44" xfId="17828" xr:uid="{00000000-0005-0000-0000-00005E390000}"/>
    <cellStyle name="Normal 22 45" xfId="14936" xr:uid="{00000000-0005-0000-0000-00005F390000}"/>
    <cellStyle name="Normal 22 46" xfId="16694" xr:uid="{00000000-0005-0000-0000-000060390000}"/>
    <cellStyle name="Normal 22 47" xfId="16832" xr:uid="{00000000-0005-0000-0000-000061390000}"/>
    <cellStyle name="Normal 22 48" xfId="16640" xr:uid="{00000000-0005-0000-0000-000062390000}"/>
    <cellStyle name="Normal 22 49" xfId="13346" xr:uid="{00000000-0005-0000-0000-000063390000}"/>
    <cellStyle name="Normal 22 5" xfId="28546" xr:uid="{00000000-0005-0000-0000-000064390000}"/>
    <cellStyle name="Normal 22 5 10" xfId="23172" xr:uid="{00000000-0005-0000-0000-000065390000}"/>
    <cellStyle name="Normal 22 5 11" xfId="22575" xr:uid="{00000000-0005-0000-0000-000066390000}"/>
    <cellStyle name="Normal 22 5 12" xfId="21979" xr:uid="{00000000-0005-0000-0000-000067390000}"/>
    <cellStyle name="Normal 22 5 13" xfId="21382" xr:uid="{00000000-0005-0000-0000-000068390000}"/>
    <cellStyle name="Normal 22 5 14" xfId="20785" xr:uid="{00000000-0005-0000-0000-000069390000}"/>
    <cellStyle name="Normal 22 5 15" xfId="20188" xr:uid="{00000000-0005-0000-0000-00006A390000}"/>
    <cellStyle name="Normal 22 5 16" xfId="19592" xr:uid="{00000000-0005-0000-0000-00006B390000}"/>
    <cellStyle name="Normal 22 5 17" xfId="18996" xr:uid="{00000000-0005-0000-0000-00006C390000}"/>
    <cellStyle name="Normal 22 5 18" xfId="18404" xr:uid="{00000000-0005-0000-0000-00006D390000}"/>
    <cellStyle name="Normal 22 5 19" xfId="17807" xr:uid="{00000000-0005-0000-0000-00006E390000}"/>
    <cellStyle name="Normal 22 5 2" xfId="27946" xr:uid="{00000000-0005-0000-0000-00006F390000}"/>
    <cellStyle name="Normal 22 5 20" xfId="15736" xr:uid="{00000000-0005-0000-0000-000070390000}"/>
    <cellStyle name="Normal 22 5 21" xfId="15848" xr:uid="{00000000-0005-0000-0000-000071390000}"/>
    <cellStyle name="Normal 22 5 22" xfId="14906" xr:uid="{00000000-0005-0000-0000-000072390000}"/>
    <cellStyle name="Normal 22 5 23" xfId="14503" xr:uid="{00000000-0005-0000-0000-000073390000}"/>
    <cellStyle name="Normal 22 5 24" xfId="13347" xr:uid="{00000000-0005-0000-0000-000074390000}"/>
    <cellStyle name="Normal 22 5 25" xfId="16865" xr:uid="{00000000-0005-0000-0000-000075390000}"/>
    <cellStyle name="Normal 22 5 26" xfId="13244" xr:uid="{00000000-0005-0000-0000-000076390000}"/>
    <cellStyle name="Normal 22 5 27" xfId="12843" xr:uid="{00000000-0005-0000-0000-000077390000}"/>
    <cellStyle name="Normal 22 5 28" xfId="12416" xr:uid="{00000000-0005-0000-0000-000078390000}"/>
    <cellStyle name="Normal 22 5 29" xfId="8512" xr:uid="{00000000-0005-0000-0000-000079390000}"/>
    <cellStyle name="Normal 22 5 3" xfId="27349" xr:uid="{00000000-0005-0000-0000-00007A390000}"/>
    <cellStyle name="Normal 22 5 30" xfId="6059" xr:uid="{00000000-0005-0000-0000-00007B390000}"/>
    <cellStyle name="Normal 22 5 31" xfId="11730" xr:uid="{00000000-0005-0000-0000-00007C390000}"/>
    <cellStyle name="Normal 22 5 32" xfId="9614" xr:uid="{00000000-0005-0000-0000-00007D390000}"/>
    <cellStyle name="Normal 22 5 33" xfId="7019" xr:uid="{00000000-0005-0000-0000-00007E390000}"/>
    <cellStyle name="Normal 22 5 34" xfId="5813" xr:uid="{00000000-0005-0000-0000-00007F390000}"/>
    <cellStyle name="Normal 22 5 35" xfId="10883" xr:uid="{00000000-0005-0000-0000-000080390000}"/>
    <cellStyle name="Normal 22 5 36" xfId="10856" xr:uid="{00000000-0005-0000-0000-000081390000}"/>
    <cellStyle name="Normal 22 5 37" xfId="7068" xr:uid="{00000000-0005-0000-0000-000082390000}"/>
    <cellStyle name="Normal 22 5 38" xfId="8188" xr:uid="{00000000-0005-0000-0000-000083390000}"/>
    <cellStyle name="Normal 22 5 39" xfId="7346" xr:uid="{00000000-0005-0000-0000-000084390000}"/>
    <cellStyle name="Normal 22 5 4" xfId="26752" xr:uid="{00000000-0005-0000-0000-000085390000}"/>
    <cellStyle name="Normal 22 5 40" xfId="4493" xr:uid="{00000000-0005-0000-0000-000086390000}"/>
    <cellStyle name="Normal 22 5 41" xfId="4442" xr:uid="{00000000-0005-0000-0000-000087390000}"/>
    <cellStyle name="Normal 22 5 42" xfId="10015" xr:uid="{00000000-0005-0000-0000-000088390000}"/>
    <cellStyle name="Normal 22 5 43" xfId="4618" xr:uid="{00000000-0005-0000-0000-000089390000}"/>
    <cellStyle name="Normal 22 5 44" xfId="2953" xr:uid="{00000000-0005-0000-0000-00008A390000}"/>
    <cellStyle name="Normal 22 5 45" xfId="2710" xr:uid="{00000000-0005-0000-0000-00008B390000}"/>
    <cellStyle name="Normal 22 5 46" xfId="2470" xr:uid="{00000000-0005-0000-0000-00008C390000}"/>
    <cellStyle name="Normal 22 5 47" xfId="2230" xr:uid="{00000000-0005-0000-0000-00008D390000}"/>
    <cellStyle name="Normal 22 5 48" xfId="1990" xr:uid="{00000000-0005-0000-0000-00008E390000}"/>
    <cellStyle name="Normal 22 5 49" xfId="1750" xr:uid="{00000000-0005-0000-0000-00008F390000}"/>
    <cellStyle name="Normal 22 5 5" xfId="26156" xr:uid="{00000000-0005-0000-0000-000090390000}"/>
    <cellStyle name="Normal 22 5 50" xfId="1511" xr:uid="{00000000-0005-0000-0000-000091390000}"/>
    <cellStyle name="Normal 22 5 51" xfId="1271" xr:uid="{00000000-0005-0000-0000-000092390000}"/>
    <cellStyle name="Normal 22 5 52" xfId="1031" xr:uid="{00000000-0005-0000-0000-000093390000}"/>
    <cellStyle name="Normal 22 5 53" xfId="791" xr:uid="{00000000-0005-0000-0000-000094390000}"/>
    <cellStyle name="Normal 22 5 54" xfId="551" xr:uid="{00000000-0005-0000-0000-000095390000}"/>
    <cellStyle name="Normal 22 5 55" xfId="312" xr:uid="{00000000-0005-0000-0000-000096390000}"/>
    <cellStyle name="Normal 22 5 56" xfId="74" xr:uid="{00000000-0005-0000-0000-000097390000}"/>
    <cellStyle name="Normal 22 5 6" xfId="25560" xr:uid="{00000000-0005-0000-0000-000098390000}"/>
    <cellStyle name="Normal 22 5 7" xfId="24963" xr:uid="{00000000-0005-0000-0000-000099390000}"/>
    <cellStyle name="Normal 22 5 8" xfId="24366" xr:uid="{00000000-0005-0000-0000-00009A390000}"/>
    <cellStyle name="Normal 22 5 9" xfId="23769" xr:uid="{00000000-0005-0000-0000-00009B390000}"/>
    <cellStyle name="Normal 22 50" xfId="16637" xr:uid="{00000000-0005-0000-0000-00009C390000}"/>
    <cellStyle name="Normal 22 51" xfId="17271" xr:uid="{00000000-0005-0000-0000-00009D390000}"/>
    <cellStyle name="Normal 22 52" xfId="13289" xr:uid="{00000000-0005-0000-0000-00009E390000}"/>
    <cellStyle name="Normal 22 53" xfId="12437" xr:uid="{00000000-0005-0000-0000-00009F390000}"/>
    <cellStyle name="Normal 22 54" xfId="9653" xr:uid="{00000000-0005-0000-0000-0000A0390000}"/>
    <cellStyle name="Normal 22 55" xfId="11178" xr:uid="{00000000-0005-0000-0000-0000A1390000}"/>
    <cellStyle name="Normal 22 56" xfId="10163" xr:uid="{00000000-0005-0000-0000-0000A2390000}"/>
    <cellStyle name="Normal 22 57" xfId="12117" xr:uid="{00000000-0005-0000-0000-0000A3390000}"/>
    <cellStyle name="Normal 22 58" xfId="12073" xr:uid="{00000000-0005-0000-0000-0000A4390000}"/>
    <cellStyle name="Normal 22 59" xfId="4579" xr:uid="{00000000-0005-0000-0000-0000A5390000}"/>
    <cellStyle name="Normal 22 6" xfId="28545" xr:uid="{00000000-0005-0000-0000-0000A6390000}"/>
    <cellStyle name="Normal 22 6 10" xfId="23171" xr:uid="{00000000-0005-0000-0000-0000A7390000}"/>
    <cellStyle name="Normal 22 6 11" xfId="22574" xr:uid="{00000000-0005-0000-0000-0000A8390000}"/>
    <cellStyle name="Normal 22 6 12" xfId="21978" xr:uid="{00000000-0005-0000-0000-0000A9390000}"/>
    <cellStyle name="Normal 22 6 13" xfId="21381" xr:uid="{00000000-0005-0000-0000-0000AA390000}"/>
    <cellStyle name="Normal 22 6 14" xfId="20784" xr:uid="{00000000-0005-0000-0000-0000AB390000}"/>
    <cellStyle name="Normal 22 6 15" xfId="20187" xr:uid="{00000000-0005-0000-0000-0000AC390000}"/>
    <cellStyle name="Normal 22 6 16" xfId="19591" xr:uid="{00000000-0005-0000-0000-0000AD390000}"/>
    <cellStyle name="Normal 22 6 17" xfId="18995" xr:uid="{00000000-0005-0000-0000-0000AE390000}"/>
    <cellStyle name="Normal 22 6 18" xfId="18403" xr:uid="{00000000-0005-0000-0000-0000AF390000}"/>
    <cellStyle name="Normal 22 6 19" xfId="17806" xr:uid="{00000000-0005-0000-0000-0000B0390000}"/>
    <cellStyle name="Normal 22 6 2" xfId="27945" xr:uid="{00000000-0005-0000-0000-0000B1390000}"/>
    <cellStyle name="Normal 22 6 20" xfId="15936" xr:uid="{00000000-0005-0000-0000-0000B2390000}"/>
    <cellStyle name="Normal 22 6 21" xfId="15448" xr:uid="{00000000-0005-0000-0000-0000B3390000}"/>
    <cellStyle name="Normal 22 6 22" xfId="14028" xr:uid="{00000000-0005-0000-0000-0000B4390000}"/>
    <cellStyle name="Normal 22 6 23" xfId="16408" xr:uid="{00000000-0005-0000-0000-0000B5390000}"/>
    <cellStyle name="Normal 22 6 24" xfId="13757" xr:uid="{00000000-0005-0000-0000-0000B6390000}"/>
    <cellStyle name="Normal 22 6 25" xfId="14265" xr:uid="{00000000-0005-0000-0000-0000B7390000}"/>
    <cellStyle name="Normal 22 6 26" xfId="12863" xr:uid="{00000000-0005-0000-0000-0000B8390000}"/>
    <cellStyle name="Normal 22 6 27" xfId="14321" xr:uid="{00000000-0005-0000-0000-0000B9390000}"/>
    <cellStyle name="Normal 22 6 28" xfId="12415" xr:uid="{00000000-0005-0000-0000-0000BA390000}"/>
    <cellStyle name="Normal 22 6 29" xfId="8728" xr:uid="{00000000-0005-0000-0000-0000BB390000}"/>
    <cellStyle name="Normal 22 6 3" xfId="27348" xr:uid="{00000000-0005-0000-0000-0000BC390000}"/>
    <cellStyle name="Normal 22 6 30" xfId="10526" xr:uid="{00000000-0005-0000-0000-0000BD390000}"/>
    <cellStyle name="Normal 22 6 31" xfId="5942" xr:uid="{00000000-0005-0000-0000-0000BE390000}"/>
    <cellStyle name="Normal 22 6 32" xfId="7808" xr:uid="{00000000-0005-0000-0000-0000BF390000}"/>
    <cellStyle name="Normal 22 6 33" xfId="4912" xr:uid="{00000000-0005-0000-0000-0000C0390000}"/>
    <cellStyle name="Normal 22 6 34" xfId="12060" xr:uid="{00000000-0005-0000-0000-0000C1390000}"/>
    <cellStyle name="Normal 22 6 35" xfId="5718" xr:uid="{00000000-0005-0000-0000-0000C2390000}"/>
    <cellStyle name="Normal 22 6 36" xfId="6752" xr:uid="{00000000-0005-0000-0000-0000C3390000}"/>
    <cellStyle name="Normal 22 6 37" xfId="11766" xr:uid="{00000000-0005-0000-0000-0000C4390000}"/>
    <cellStyle name="Normal 22 6 38" xfId="10715" xr:uid="{00000000-0005-0000-0000-0000C5390000}"/>
    <cellStyle name="Normal 22 6 39" xfId="9038" xr:uid="{00000000-0005-0000-0000-0000C6390000}"/>
    <cellStyle name="Normal 22 6 4" xfId="26751" xr:uid="{00000000-0005-0000-0000-0000C7390000}"/>
    <cellStyle name="Normal 22 6 40" xfId="6281" xr:uid="{00000000-0005-0000-0000-0000C8390000}"/>
    <cellStyle name="Normal 22 6 41" xfId="3278" xr:uid="{00000000-0005-0000-0000-0000C9390000}"/>
    <cellStyle name="Normal 22 6 42" xfId="3241" xr:uid="{00000000-0005-0000-0000-0000CA390000}"/>
    <cellStyle name="Normal 22 6 43" xfId="12031" xr:uid="{00000000-0005-0000-0000-0000CB390000}"/>
    <cellStyle name="Normal 22 6 44" xfId="2952" xr:uid="{00000000-0005-0000-0000-0000CC390000}"/>
    <cellStyle name="Normal 22 6 45" xfId="2709" xr:uid="{00000000-0005-0000-0000-0000CD390000}"/>
    <cellStyle name="Normal 22 6 46" xfId="2469" xr:uid="{00000000-0005-0000-0000-0000CE390000}"/>
    <cellStyle name="Normal 22 6 47" xfId="2229" xr:uid="{00000000-0005-0000-0000-0000CF390000}"/>
    <cellStyle name="Normal 22 6 48" xfId="1989" xr:uid="{00000000-0005-0000-0000-0000D0390000}"/>
    <cellStyle name="Normal 22 6 49" xfId="1749" xr:uid="{00000000-0005-0000-0000-0000D1390000}"/>
    <cellStyle name="Normal 22 6 5" xfId="26155" xr:uid="{00000000-0005-0000-0000-0000D2390000}"/>
    <cellStyle name="Normal 22 6 50" xfId="1510" xr:uid="{00000000-0005-0000-0000-0000D3390000}"/>
    <cellStyle name="Normal 22 6 51" xfId="1270" xr:uid="{00000000-0005-0000-0000-0000D4390000}"/>
    <cellStyle name="Normal 22 6 52" xfId="1030" xr:uid="{00000000-0005-0000-0000-0000D5390000}"/>
    <cellStyle name="Normal 22 6 53" xfId="790" xr:uid="{00000000-0005-0000-0000-0000D6390000}"/>
    <cellStyle name="Normal 22 6 54" xfId="550" xr:uid="{00000000-0005-0000-0000-0000D7390000}"/>
    <cellStyle name="Normal 22 6 55" xfId="311" xr:uid="{00000000-0005-0000-0000-0000D8390000}"/>
    <cellStyle name="Normal 22 6 56" xfId="73" xr:uid="{00000000-0005-0000-0000-0000D9390000}"/>
    <cellStyle name="Normal 22 6 6" xfId="25559" xr:uid="{00000000-0005-0000-0000-0000DA390000}"/>
    <cellStyle name="Normal 22 6 7" xfId="24962" xr:uid="{00000000-0005-0000-0000-0000DB390000}"/>
    <cellStyle name="Normal 22 6 8" xfId="24365" xr:uid="{00000000-0005-0000-0000-0000DC390000}"/>
    <cellStyle name="Normal 22 6 9" xfId="23768" xr:uid="{00000000-0005-0000-0000-0000DD390000}"/>
    <cellStyle name="Normal 22 60" xfId="6124" xr:uid="{00000000-0005-0000-0000-0000DE390000}"/>
    <cellStyle name="Normal 22 61" xfId="9129" xr:uid="{00000000-0005-0000-0000-0000DF390000}"/>
    <cellStyle name="Normal 22 62" xfId="11964" xr:uid="{00000000-0005-0000-0000-0000E0390000}"/>
    <cellStyle name="Normal 22 63" xfId="11093" xr:uid="{00000000-0005-0000-0000-0000E1390000}"/>
    <cellStyle name="Normal 22 64" xfId="10587" xr:uid="{00000000-0005-0000-0000-0000E2390000}"/>
    <cellStyle name="Normal 22 65" xfId="11106" xr:uid="{00000000-0005-0000-0000-0000E3390000}"/>
    <cellStyle name="Normal 22 66" xfId="9505" xr:uid="{00000000-0005-0000-0000-0000E4390000}"/>
    <cellStyle name="Normal 22 67" xfId="6859" xr:uid="{00000000-0005-0000-0000-0000E5390000}"/>
    <cellStyle name="Normal 22 68" xfId="11567" xr:uid="{00000000-0005-0000-0000-0000E6390000}"/>
    <cellStyle name="Normal 22 7" xfId="28544" xr:uid="{00000000-0005-0000-0000-0000E7390000}"/>
    <cellStyle name="Normal 22 7 10" xfId="23170" xr:uid="{00000000-0005-0000-0000-0000E8390000}"/>
    <cellStyle name="Normal 22 7 11" xfId="22573" xr:uid="{00000000-0005-0000-0000-0000E9390000}"/>
    <cellStyle name="Normal 22 7 12" xfId="21977" xr:uid="{00000000-0005-0000-0000-0000EA390000}"/>
    <cellStyle name="Normal 22 7 13" xfId="21380" xr:uid="{00000000-0005-0000-0000-0000EB390000}"/>
    <cellStyle name="Normal 22 7 14" xfId="20783" xr:uid="{00000000-0005-0000-0000-0000EC390000}"/>
    <cellStyle name="Normal 22 7 15" xfId="20186" xr:uid="{00000000-0005-0000-0000-0000ED390000}"/>
    <cellStyle name="Normal 22 7 16" xfId="19590" xr:uid="{00000000-0005-0000-0000-0000EE390000}"/>
    <cellStyle name="Normal 22 7 17" xfId="18994" xr:uid="{00000000-0005-0000-0000-0000EF390000}"/>
    <cellStyle name="Normal 22 7 18" xfId="18402" xr:uid="{00000000-0005-0000-0000-0000F0390000}"/>
    <cellStyle name="Normal 22 7 19" xfId="17805" xr:uid="{00000000-0005-0000-0000-0000F1390000}"/>
    <cellStyle name="Normal 22 7 2" xfId="27944" xr:uid="{00000000-0005-0000-0000-0000F2390000}"/>
    <cellStyle name="Normal 22 7 20" xfId="16144" xr:uid="{00000000-0005-0000-0000-0000F3390000}"/>
    <cellStyle name="Normal 22 7 21" xfId="14837" xr:uid="{00000000-0005-0000-0000-0000F4390000}"/>
    <cellStyle name="Normal 22 7 22" xfId="16184" xr:uid="{00000000-0005-0000-0000-0000F5390000}"/>
    <cellStyle name="Normal 22 7 23" xfId="16289" xr:uid="{00000000-0005-0000-0000-0000F6390000}"/>
    <cellStyle name="Normal 22 7 24" xfId="16379" xr:uid="{00000000-0005-0000-0000-0000F7390000}"/>
    <cellStyle name="Normal 22 7 25" xfId="13621" xr:uid="{00000000-0005-0000-0000-0000F8390000}"/>
    <cellStyle name="Normal 22 7 26" xfId="13454" xr:uid="{00000000-0005-0000-0000-0000F9390000}"/>
    <cellStyle name="Normal 22 7 27" xfId="16885" xr:uid="{00000000-0005-0000-0000-0000FA390000}"/>
    <cellStyle name="Normal 22 7 28" xfId="12414" xr:uid="{00000000-0005-0000-0000-0000FB390000}"/>
    <cellStyle name="Normal 22 7 29" xfId="8966" xr:uid="{00000000-0005-0000-0000-0000FC390000}"/>
    <cellStyle name="Normal 22 7 3" xfId="27347" xr:uid="{00000000-0005-0000-0000-0000FD390000}"/>
    <cellStyle name="Normal 22 7 30" xfId="11208" xr:uid="{00000000-0005-0000-0000-0000FE390000}"/>
    <cellStyle name="Normal 22 7 31" xfId="10384" xr:uid="{00000000-0005-0000-0000-0000FF390000}"/>
    <cellStyle name="Normal 22 7 32" xfId="7053" xr:uid="{00000000-0005-0000-0000-0000003A0000}"/>
    <cellStyle name="Normal 22 7 33" xfId="10169" xr:uid="{00000000-0005-0000-0000-0000013A0000}"/>
    <cellStyle name="Normal 22 7 34" xfId="7885" xr:uid="{00000000-0005-0000-0000-0000023A0000}"/>
    <cellStyle name="Normal 22 7 35" xfId="8817" xr:uid="{00000000-0005-0000-0000-0000033A0000}"/>
    <cellStyle name="Normal 22 7 36" xfId="9517" xr:uid="{00000000-0005-0000-0000-0000043A0000}"/>
    <cellStyle name="Normal 22 7 37" xfId="6025" xr:uid="{00000000-0005-0000-0000-0000053A0000}"/>
    <cellStyle name="Normal 22 7 38" xfId="10668" xr:uid="{00000000-0005-0000-0000-0000063A0000}"/>
    <cellStyle name="Normal 22 7 39" xfId="5853" xr:uid="{00000000-0005-0000-0000-0000073A0000}"/>
    <cellStyle name="Normal 22 7 4" xfId="26750" xr:uid="{00000000-0005-0000-0000-0000083A0000}"/>
    <cellStyle name="Normal 22 7 40" xfId="10754" xr:uid="{00000000-0005-0000-0000-0000093A0000}"/>
    <cellStyle name="Normal 22 7 41" xfId="10984" xr:uid="{00000000-0005-0000-0000-00000A3A0000}"/>
    <cellStyle name="Normal 22 7 42" xfId="5336" xr:uid="{00000000-0005-0000-0000-00000B3A0000}"/>
    <cellStyle name="Normal 22 7 43" xfId="7265" xr:uid="{00000000-0005-0000-0000-00000C3A0000}"/>
    <cellStyle name="Normal 22 7 44" xfId="2951" xr:uid="{00000000-0005-0000-0000-00000D3A0000}"/>
    <cellStyle name="Normal 22 7 45" xfId="2708" xr:uid="{00000000-0005-0000-0000-00000E3A0000}"/>
    <cellStyle name="Normal 22 7 46" xfId="2468" xr:uid="{00000000-0005-0000-0000-00000F3A0000}"/>
    <cellStyle name="Normal 22 7 47" xfId="2228" xr:uid="{00000000-0005-0000-0000-0000103A0000}"/>
    <cellStyle name="Normal 22 7 48" xfId="1988" xr:uid="{00000000-0005-0000-0000-0000113A0000}"/>
    <cellStyle name="Normal 22 7 49" xfId="1748" xr:uid="{00000000-0005-0000-0000-0000123A0000}"/>
    <cellStyle name="Normal 22 7 5" xfId="26154" xr:uid="{00000000-0005-0000-0000-0000133A0000}"/>
    <cellStyle name="Normal 22 7 50" xfId="1509" xr:uid="{00000000-0005-0000-0000-0000143A0000}"/>
    <cellStyle name="Normal 22 7 51" xfId="1269" xr:uid="{00000000-0005-0000-0000-0000153A0000}"/>
    <cellStyle name="Normal 22 7 52" xfId="1029" xr:uid="{00000000-0005-0000-0000-0000163A0000}"/>
    <cellStyle name="Normal 22 7 53" xfId="789" xr:uid="{00000000-0005-0000-0000-0000173A0000}"/>
    <cellStyle name="Normal 22 7 54" xfId="549" xr:uid="{00000000-0005-0000-0000-0000183A0000}"/>
    <cellStyle name="Normal 22 7 55" xfId="310" xr:uid="{00000000-0005-0000-0000-0000193A0000}"/>
    <cellStyle name="Normal 22 7 56" xfId="72" xr:uid="{00000000-0005-0000-0000-00001A3A0000}"/>
    <cellStyle name="Normal 22 7 6" xfId="25558" xr:uid="{00000000-0005-0000-0000-00001B3A0000}"/>
    <cellStyle name="Normal 22 7 7" xfId="24961" xr:uid="{00000000-0005-0000-0000-00001C3A0000}"/>
    <cellStyle name="Normal 22 7 8" xfId="24364" xr:uid="{00000000-0005-0000-0000-00001D3A0000}"/>
    <cellStyle name="Normal 22 7 9" xfId="23767" xr:uid="{00000000-0005-0000-0000-00001E3A0000}"/>
    <cellStyle name="Normal 22 8" xfId="28543" xr:uid="{00000000-0005-0000-0000-00001F3A0000}"/>
    <cellStyle name="Normal 22 8 10" xfId="23169" xr:uid="{00000000-0005-0000-0000-0000203A0000}"/>
    <cellStyle name="Normal 22 8 11" xfId="22572" xr:uid="{00000000-0005-0000-0000-0000213A0000}"/>
    <cellStyle name="Normal 22 8 12" xfId="21976" xr:uid="{00000000-0005-0000-0000-0000223A0000}"/>
    <cellStyle name="Normal 22 8 13" xfId="21379" xr:uid="{00000000-0005-0000-0000-0000233A0000}"/>
    <cellStyle name="Normal 22 8 14" xfId="20782" xr:uid="{00000000-0005-0000-0000-0000243A0000}"/>
    <cellStyle name="Normal 22 8 15" xfId="20185" xr:uid="{00000000-0005-0000-0000-0000253A0000}"/>
    <cellStyle name="Normal 22 8 16" xfId="19589" xr:uid="{00000000-0005-0000-0000-0000263A0000}"/>
    <cellStyle name="Normal 22 8 17" xfId="18993" xr:uid="{00000000-0005-0000-0000-0000273A0000}"/>
    <cellStyle name="Normal 22 8 18" xfId="18401" xr:uid="{00000000-0005-0000-0000-0000283A0000}"/>
    <cellStyle name="Normal 22 8 19" xfId="17804" xr:uid="{00000000-0005-0000-0000-0000293A0000}"/>
    <cellStyle name="Normal 22 8 2" xfId="27943" xr:uid="{00000000-0005-0000-0000-00002A3A0000}"/>
    <cellStyle name="Normal 22 8 20" xfId="16345" xr:uid="{00000000-0005-0000-0000-00002B3A0000}"/>
    <cellStyle name="Normal 22 8 21" xfId="14438" xr:uid="{00000000-0005-0000-0000-00002C3A0000}"/>
    <cellStyle name="Normal 22 8 22" xfId="14014" xr:uid="{00000000-0005-0000-0000-00002D3A0000}"/>
    <cellStyle name="Normal 22 8 23" xfId="14205" xr:uid="{00000000-0005-0000-0000-00002E3A0000}"/>
    <cellStyle name="Normal 22 8 24" xfId="14821" xr:uid="{00000000-0005-0000-0000-00002F3A0000}"/>
    <cellStyle name="Normal 22 8 25" xfId="13432" xr:uid="{00000000-0005-0000-0000-0000303A0000}"/>
    <cellStyle name="Normal 22 8 26" xfId="12848" xr:uid="{00000000-0005-0000-0000-0000313A0000}"/>
    <cellStyle name="Normal 22 8 27" xfId="13741" xr:uid="{00000000-0005-0000-0000-0000323A0000}"/>
    <cellStyle name="Normal 22 8 28" xfId="12413" xr:uid="{00000000-0005-0000-0000-0000333A0000}"/>
    <cellStyle name="Normal 22 8 29" xfId="9201" xr:uid="{00000000-0005-0000-0000-0000343A0000}"/>
    <cellStyle name="Normal 22 8 3" xfId="27346" xr:uid="{00000000-0005-0000-0000-0000353A0000}"/>
    <cellStyle name="Normal 22 8 30" xfId="11855" xr:uid="{00000000-0005-0000-0000-0000363A0000}"/>
    <cellStyle name="Normal 22 8 31" xfId="7794" xr:uid="{00000000-0005-0000-0000-0000373A0000}"/>
    <cellStyle name="Normal 22 8 32" xfId="11997" xr:uid="{00000000-0005-0000-0000-0000383A0000}"/>
    <cellStyle name="Normal 22 8 33" xfId="7660" xr:uid="{00000000-0005-0000-0000-0000393A0000}"/>
    <cellStyle name="Normal 22 8 34" xfId="11788" xr:uid="{00000000-0005-0000-0000-00003A3A0000}"/>
    <cellStyle name="Normal 22 8 35" xfId="11364" xr:uid="{00000000-0005-0000-0000-00003B3A0000}"/>
    <cellStyle name="Normal 22 8 36" xfId="9131" xr:uid="{00000000-0005-0000-0000-00003C3A0000}"/>
    <cellStyle name="Normal 22 8 37" xfId="5007" xr:uid="{00000000-0005-0000-0000-00003D3A0000}"/>
    <cellStyle name="Normal 22 8 38" xfId="5359" xr:uid="{00000000-0005-0000-0000-00003E3A0000}"/>
    <cellStyle name="Normal 22 8 39" xfId="3789" xr:uid="{00000000-0005-0000-0000-00003F3A0000}"/>
    <cellStyle name="Normal 22 8 4" xfId="26749" xr:uid="{00000000-0005-0000-0000-0000403A0000}"/>
    <cellStyle name="Normal 22 8 40" xfId="3368" xr:uid="{00000000-0005-0000-0000-0000413A0000}"/>
    <cellStyle name="Normal 22 8 41" xfId="9182" xr:uid="{00000000-0005-0000-0000-0000423A0000}"/>
    <cellStyle name="Normal 22 8 42" xfId="5693" xr:uid="{00000000-0005-0000-0000-0000433A0000}"/>
    <cellStyle name="Normal 22 8 43" xfId="11949" xr:uid="{00000000-0005-0000-0000-0000443A0000}"/>
    <cellStyle name="Normal 22 8 44" xfId="2950" xr:uid="{00000000-0005-0000-0000-0000453A0000}"/>
    <cellStyle name="Normal 22 8 45" xfId="2707" xr:uid="{00000000-0005-0000-0000-0000463A0000}"/>
    <cellStyle name="Normal 22 8 46" xfId="2467" xr:uid="{00000000-0005-0000-0000-0000473A0000}"/>
    <cellStyle name="Normal 22 8 47" xfId="2227" xr:uid="{00000000-0005-0000-0000-0000483A0000}"/>
    <cellStyle name="Normal 22 8 48" xfId="1987" xr:uid="{00000000-0005-0000-0000-0000493A0000}"/>
    <cellStyle name="Normal 22 8 49" xfId="1747" xr:uid="{00000000-0005-0000-0000-00004A3A0000}"/>
    <cellStyle name="Normal 22 8 5" xfId="26153" xr:uid="{00000000-0005-0000-0000-00004B3A0000}"/>
    <cellStyle name="Normal 22 8 50" xfId="1508" xr:uid="{00000000-0005-0000-0000-00004C3A0000}"/>
    <cellStyle name="Normal 22 8 51" xfId="1268" xr:uid="{00000000-0005-0000-0000-00004D3A0000}"/>
    <cellStyle name="Normal 22 8 52" xfId="1028" xr:uid="{00000000-0005-0000-0000-00004E3A0000}"/>
    <cellStyle name="Normal 22 8 53" xfId="788" xr:uid="{00000000-0005-0000-0000-00004F3A0000}"/>
    <cellStyle name="Normal 22 8 54" xfId="548" xr:uid="{00000000-0005-0000-0000-0000503A0000}"/>
    <cellStyle name="Normal 22 8 55" xfId="309" xr:uid="{00000000-0005-0000-0000-0000513A0000}"/>
    <cellStyle name="Normal 22 8 56" xfId="71" xr:uid="{00000000-0005-0000-0000-0000523A0000}"/>
    <cellStyle name="Normal 22 8 6" xfId="25557" xr:uid="{00000000-0005-0000-0000-0000533A0000}"/>
    <cellStyle name="Normal 22 8 7" xfId="24960" xr:uid="{00000000-0005-0000-0000-0000543A0000}"/>
    <cellStyle name="Normal 22 8 8" xfId="24363" xr:uid="{00000000-0005-0000-0000-0000553A0000}"/>
    <cellStyle name="Normal 22 8 9" xfId="23766" xr:uid="{00000000-0005-0000-0000-0000563A0000}"/>
    <cellStyle name="Normal 22 9" xfId="28542" xr:uid="{00000000-0005-0000-0000-0000573A0000}"/>
    <cellStyle name="Normal 22 9 10" xfId="23168" xr:uid="{00000000-0005-0000-0000-0000583A0000}"/>
    <cellStyle name="Normal 22 9 11" xfId="22571" xr:uid="{00000000-0005-0000-0000-0000593A0000}"/>
    <cellStyle name="Normal 22 9 12" xfId="21975" xr:uid="{00000000-0005-0000-0000-00005A3A0000}"/>
    <cellStyle name="Normal 22 9 13" xfId="21378" xr:uid="{00000000-0005-0000-0000-00005B3A0000}"/>
    <cellStyle name="Normal 22 9 14" xfId="20781" xr:uid="{00000000-0005-0000-0000-00005C3A0000}"/>
    <cellStyle name="Normal 22 9 15" xfId="20184" xr:uid="{00000000-0005-0000-0000-00005D3A0000}"/>
    <cellStyle name="Normal 22 9 16" xfId="19588" xr:uid="{00000000-0005-0000-0000-00005E3A0000}"/>
    <cellStyle name="Normal 22 9 17" xfId="18992" xr:uid="{00000000-0005-0000-0000-00005F3A0000}"/>
    <cellStyle name="Normal 22 9 18" xfId="18400" xr:uid="{00000000-0005-0000-0000-0000603A0000}"/>
    <cellStyle name="Normal 22 9 19" xfId="17803" xr:uid="{00000000-0005-0000-0000-0000613A0000}"/>
    <cellStyle name="Normal 22 9 2" xfId="27942" xr:uid="{00000000-0005-0000-0000-0000623A0000}"/>
    <cellStyle name="Normal 22 9 20" xfId="16535" xr:uid="{00000000-0005-0000-0000-0000633A0000}"/>
    <cellStyle name="Normal 22 9 21" xfId="17404" xr:uid="{00000000-0005-0000-0000-0000643A0000}"/>
    <cellStyle name="Normal 22 9 22" xfId="15707" xr:uid="{00000000-0005-0000-0000-0000653A0000}"/>
    <cellStyle name="Normal 22 9 23" xfId="16388" xr:uid="{00000000-0005-0000-0000-0000663A0000}"/>
    <cellStyle name="Normal 22 9 24" xfId="13723" xr:uid="{00000000-0005-0000-0000-0000673A0000}"/>
    <cellStyle name="Normal 22 9 25" xfId="14754" xr:uid="{00000000-0005-0000-0000-0000683A0000}"/>
    <cellStyle name="Normal 22 9 26" xfId="12830" xr:uid="{00000000-0005-0000-0000-0000693A0000}"/>
    <cellStyle name="Normal 22 9 27" xfId="17097" xr:uid="{00000000-0005-0000-0000-00006A3A0000}"/>
    <cellStyle name="Normal 22 9 28" xfId="12412" xr:uid="{00000000-0005-0000-0000-00006B3A0000}"/>
    <cellStyle name="Normal 22 9 29" xfId="9434" xr:uid="{00000000-0005-0000-0000-00006C3A0000}"/>
    <cellStyle name="Normal 22 9 3" xfId="27345" xr:uid="{00000000-0005-0000-0000-00006D3A0000}"/>
    <cellStyle name="Normal 22 9 30" xfId="6873" xr:uid="{00000000-0005-0000-0000-00006E3A0000}"/>
    <cellStyle name="Normal 22 9 31" xfId="11768" xr:uid="{00000000-0005-0000-0000-00006F3A0000}"/>
    <cellStyle name="Normal 22 9 32" xfId="10916" xr:uid="{00000000-0005-0000-0000-0000703A0000}"/>
    <cellStyle name="Normal 22 9 33" xfId="4904" xr:uid="{00000000-0005-0000-0000-0000713A0000}"/>
    <cellStyle name="Normal 22 9 34" xfId="4845" xr:uid="{00000000-0005-0000-0000-0000723A0000}"/>
    <cellStyle name="Normal 22 9 35" xfId="9734" xr:uid="{00000000-0005-0000-0000-0000733A0000}"/>
    <cellStyle name="Normal 22 9 36" xfId="6342" xr:uid="{00000000-0005-0000-0000-0000743A0000}"/>
    <cellStyle name="Normal 22 9 37" xfId="4128" xr:uid="{00000000-0005-0000-0000-0000753A0000}"/>
    <cellStyle name="Normal 22 9 38" xfId="5777" xr:uid="{00000000-0005-0000-0000-0000763A0000}"/>
    <cellStyle name="Normal 22 9 39" xfId="4740" xr:uid="{00000000-0005-0000-0000-0000773A0000}"/>
    <cellStyle name="Normal 22 9 4" xfId="26748" xr:uid="{00000000-0005-0000-0000-0000783A0000}"/>
    <cellStyle name="Normal 22 9 40" xfId="4365" xr:uid="{00000000-0005-0000-0000-0000793A0000}"/>
    <cellStyle name="Normal 22 9 41" xfId="11553" xr:uid="{00000000-0005-0000-0000-00007A3A0000}"/>
    <cellStyle name="Normal 22 9 42" xfId="5568" xr:uid="{00000000-0005-0000-0000-00007B3A0000}"/>
    <cellStyle name="Normal 22 9 43" xfId="7341" xr:uid="{00000000-0005-0000-0000-00007C3A0000}"/>
    <cellStyle name="Normal 22 9 44" xfId="2949" xr:uid="{00000000-0005-0000-0000-00007D3A0000}"/>
    <cellStyle name="Normal 22 9 45" xfId="2706" xr:uid="{00000000-0005-0000-0000-00007E3A0000}"/>
    <cellStyle name="Normal 22 9 46" xfId="2466" xr:uid="{00000000-0005-0000-0000-00007F3A0000}"/>
    <cellStyle name="Normal 22 9 47" xfId="2226" xr:uid="{00000000-0005-0000-0000-0000803A0000}"/>
    <cellStyle name="Normal 22 9 48" xfId="1986" xr:uid="{00000000-0005-0000-0000-0000813A0000}"/>
    <cellStyle name="Normal 22 9 49" xfId="1746" xr:uid="{00000000-0005-0000-0000-0000823A0000}"/>
    <cellStyle name="Normal 22 9 5" xfId="26152" xr:uid="{00000000-0005-0000-0000-0000833A0000}"/>
    <cellStyle name="Normal 22 9 50" xfId="1507" xr:uid="{00000000-0005-0000-0000-0000843A0000}"/>
    <cellStyle name="Normal 22 9 51" xfId="1267" xr:uid="{00000000-0005-0000-0000-0000853A0000}"/>
    <cellStyle name="Normal 22 9 52" xfId="1027" xr:uid="{00000000-0005-0000-0000-0000863A0000}"/>
    <cellStyle name="Normal 22 9 53" xfId="787" xr:uid="{00000000-0005-0000-0000-0000873A0000}"/>
    <cellStyle name="Normal 22 9 54" xfId="547" xr:uid="{00000000-0005-0000-0000-0000883A0000}"/>
    <cellStyle name="Normal 22 9 55" xfId="308" xr:uid="{00000000-0005-0000-0000-0000893A0000}"/>
    <cellStyle name="Normal 22 9 56" xfId="70" xr:uid="{00000000-0005-0000-0000-00008A3A0000}"/>
    <cellStyle name="Normal 22 9 6" xfId="25556" xr:uid="{00000000-0005-0000-0000-00008B3A0000}"/>
    <cellStyle name="Normal 22 9 7" xfId="24959" xr:uid="{00000000-0005-0000-0000-00008C3A0000}"/>
    <cellStyle name="Normal 22 9 8" xfId="24362" xr:uid="{00000000-0005-0000-0000-00008D3A0000}"/>
    <cellStyle name="Normal 22 9 9" xfId="23765" xr:uid="{00000000-0005-0000-0000-00008E3A0000}"/>
    <cellStyle name="Normal 23" xfId="28541" xr:uid="{00000000-0005-0000-0000-00008F3A0000}"/>
    <cellStyle name="Normal 23 10" xfId="28540" xr:uid="{00000000-0005-0000-0000-0000903A0000}"/>
    <cellStyle name="Normal 23 10 10" xfId="23166" xr:uid="{00000000-0005-0000-0000-0000913A0000}"/>
    <cellStyle name="Normal 23 10 11" xfId="22569" xr:uid="{00000000-0005-0000-0000-0000923A0000}"/>
    <cellStyle name="Normal 23 10 12" xfId="21973" xr:uid="{00000000-0005-0000-0000-0000933A0000}"/>
    <cellStyle name="Normal 23 10 13" xfId="21376" xr:uid="{00000000-0005-0000-0000-0000943A0000}"/>
    <cellStyle name="Normal 23 10 14" xfId="20779" xr:uid="{00000000-0005-0000-0000-0000953A0000}"/>
    <cellStyle name="Normal 23 10 15" xfId="20182" xr:uid="{00000000-0005-0000-0000-0000963A0000}"/>
    <cellStyle name="Normal 23 10 16" xfId="19586" xr:uid="{00000000-0005-0000-0000-0000973A0000}"/>
    <cellStyle name="Normal 23 10 17" xfId="18990" xr:uid="{00000000-0005-0000-0000-0000983A0000}"/>
    <cellStyle name="Normal 23 10 18" xfId="18398" xr:uid="{00000000-0005-0000-0000-0000993A0000}"/>
    <cellStyle name="Normal 23 10 19" xfId="17801" xr:uid="{00000000-0005-0000-0000-00009A3A0000}"/>
    <cellStyle name="Normal 23 10 2" xfId="27940" xr:uid="{00000000-0005-0000-0000-00009B3A0000}"/>
    <cellStyle name="Normal 23 10 20" xfId="16926" xr:uid="{00000000-0005-0000-0000-00009C3A0000}"/>
    <cellStyle name="Normal 23 10 21" xfId="17379" xr:uid="{00000000-0005-0000-0000-00009D3A0000}"/>
    <cellStyle name="Normal 23 10 22" xfId="13602" xr:uid="{00000000-0005-0000-0000-00009E3A0000}"/>
    <cellStyle name="Normal 23 10 23" xfId="13442" xr:uid="{00000000-0005-0000-0000-00009F3A0000}"/>
    <cellStyle name="Normal 23 10 24" xfId="15905" xr:uid="{00000000-0005-0000-0000-0000A03A0000}"/>
    <cellStyle name="Normal 23 10 25" xfId="14279" xr:uid="{00000000-0005-0000-0000-0000A13A0000}"/>
    <cellStyle name="Normal 23 10 26" xfId="13450" xr:uid="{00000000-0005-0000-0000-0000A23A0000}"/>
    <cellStyle name="Normal 23 10 27" xfId="17384" xr:uid="{00000000-0005-0000-0000-0000A33A0000}"/>
    <cellStyle name="Normal 23 10 28" xfId="12410" xr:uid="{00000000-0005-0000-0000-0000A43A0000}"/>
    <cellStyle name="Normal 23 10 29" xfId="9885" xr:uid="{00000000-0005-0000-0000-0000A53A0000}"/>
    <cellStyle name="Normal 23 10 3" xfId="27343" xr:uid="{00000000-0005-0000-0000-0000A63A0000}"/>
    <cellStyle name="Normal 23 10 30" xfId="10551" xr:uid="{00000000-0005-0000-0000-0000A73A0000}"/>
    <cellStyle name="Normal 23 10 31" xfId="10455" xr:uid="{00000000-0005-0000-0000-0000A83A0000}"/>
    <cellStyle name="Normal 23 10 32" xfId="10941" xr:uid="{00000000-0005-0000-0000-0000A93A0000}"/>
    <cellStyle name="Normal 23 10 33" xfId="11760" xr:uid="{00000000-0005-0000-0000-0000AA3A0000}"/>
    <cellStyle name="Normal 23 10 34" xfId="5428" xr:uid="{00000000-0005-0000-0000-0000AB3A0000}"/>
    <cellStyle name="Normal 23 10 35" xfId="9729" xr:uid="{00000000-0005-0000-0000-0000AC3A0000}"/>
    <cellStyle name="Normal 23 10 36" xfId="9779" xr:uid="{00000000-0005-0000-0000-0000AD3A0000}"/>
    <cellStyle name="Normal 23 10 37" xfId="5567" xr:uid="{00000000-0005-0000-0000-0000AE3A0000}"/>
    <cellStyle name="Normal 23 10 38" xfId="4158" xr:uid="{00000000-0005-0000-0000-0000AF3A0000}"/>
    <cellStyle name="Normal 23 10 39" xfId="10896" xr:uid="{00000000-0005-0000-0000-0000B03A0000}"/>
    <cellStyle name="Normal 23 10 4" xfId="26746" xr:uid="{00000000-0005-0000-0000-0000B13A0000}"/>
    <cellStyle name="Normal 23 10 40" xfId="4200" xr:uid="{00000000-0005-0000-0000-0000B23A0000}"/>
    <cellStyle name="Normal 23 10 41" xfId="3253" xr:uid="{00000000-0005-0000-0000-0000B33A0000}"/>
    <cellStyle name="Normal 23 10 42" xfId="4632" xr:uid="{00000000-0005-0000-0000-0000B43A0000}"/>
    <cellStyle name="Normal 23 10 43" xfId="3758" xr:uid="{00000000-0005-0000-0000-0000B53A0000}"/>
    <cellStyle name="Normal 23 10 44" xfId="2948" xr:uid="{00000000-0005-0000-0000-0000B63A0000}"/>
    <cellStyle name="Normal 23 10 45" xfId="2705" xr:uid="{00000000-0005-0000-0000-0000B73A0000}"/>
    <cellStyle name="Normal 23 10 46" xfId="2465" xr:uid="{00000000-0005-0000-0000-0000B83A0000}"/>
    <cellStyle name="Normal 23 10 47" xfId="2225" xr:uid="{00000000-0005-0000-0000-0000B93A0000}"/>
    <cellStyle name="Normal 23 10 48" xfId="1985" xr:uid="{00000000-0005-0000-0000-0000BA3A0000}"/>
    <cellStyle name="Normal 23 10 49" xfId="1745" xr:uid="{00000000-0005-0000-0000-0000BB3A0000}"/>
    <cellStyle name="Normal 23 10 5" xfId="26150" xr:uid="{00000000-0005-0000-0000-0000BC3A0000}"/>
    <cellStyle name="Normal 23 10 50" xfId="1506" xr:uid="{00000000-0005-0000-0000-0000BD3A0000}"/>
    <cellStyle name="Normal 23 10 51" xfId="1266" xr:uid="{00000000-0005-0000-0000-0000BE3A0000}"/>
    <cellStyle name="Normal 23 10 52" xfId="1026" xr:uid="{00000000-0005-0000-0000-0000BF3A0000}"/>
    <cellStyle name="Normal 23 10 53" xfId="786" xr:uid="{00000000-0005-0000-0000-0000C03A0000}"/>
    <cellStyle name="Normal 23 10 54" xfId="546" xr:uid="{00000000-0005-0000-0000-0000C13A0000}"/>
    <cellStyle name="Normal 23 10 55" xfId="307" xr:uid="{00000000-0005-0000-0000-0000C23A0000}"/>
    <cellStyle name="Normal 23 10 56" xfId="69" xr:uid="{00000000-0005-0000-0000-0000C33A0000}"/>
    <cellStyle name="Normal 23 10 6" xfId="25554" xr:uid="{00000000-0005-0000-0000-0000C43A0000}"/>
    <cellStyle name="Normal 23 10 7" xfId="24957" xr:uid="{00000000-0005-0000-0000-0000C53A0000}"/>
    <cellStyle name="Normal 23 10 8" xfId="24360" xr:uid="{00000000-0005-0000-0000-0000C63A0000}"/>
    <cellStyle name="Normal 23 10 9" xfId="23763" xr:uid="{00000000-0005-0000-0000-0000C73A0000}"/>
    <cellStyle name="Normal 23 11" xfId="28539" xr:uid="{00000000-0005-0000-0000-0000C83A0000}"/>
    <cellStyle name="Normal 23 11 10" xfId="23165" xr:uid="{00000000-0005-0000-0000-0000C93A0000}"/>
    <cellStyle name="Normal 23 11 11" xfId="22568" xr:uid="{00000000-0005-0000-0000-0000CA3A0000}"/>
    <cellStyle name="Normal 23 11 12" xfId="21972" xr:uid="{00000000-0005-0000-0000-0000CB3A0000}"/>
    <cellStyle name="Normal 23 11 13" xfId="21375" xr:uid="{00000000-0005-0000-0000-0000CC3A0000}"/>
    <cellStyle name="Normal 23 11 14" xfId="20778" xr:uid="{00000000-0005-0000-0000-0000CD3A0000}"/>
    <cellStyle name="Normal 23 11 15" xfId="20181" xr:uid="{00000000-0005-0000-0000-0000CE3A0000}"/>
    <cellStyle name="Normal 23 11 16" xfId="19585" xr:uid="{00000000-0005-0000-0000-0000CF3A0000}"/>
    <cellStyle name="Normal 23 11 17" xfId="18989" xr:uid="{00000000-0005-0000-0000-0000D03A0000}"/>
    <cellStyle name="Normal 23 11 18" xfId="18397" xr:uid="{00000000-0005-0000-0000-0000D13A0000}"/>
    <cellStyle name="Normal 23 11 19" xfId="17800" xr:uid="{00000000-0005-0000-0000-0000D23A0000}"/>
    <cellStyle name="Normal 23 11 2" xfId="27939" xr:uid="{00000000-0005-0000-0000-0000D33A0000}"/>
    <cellStyle name="Normal 23 11 20" xfId="17133" xr:uid="{00000000-0005-0000-0000-0000D43A0000}"/>
    <cellStyle name="Normal 23 11 21" xfId="14396" xr:uid="{00000000-0005-0000-0000-0000D53A0000}"/>
    <cellStyle name="Normal 23 11 22" xfId="17170" xr:uid="{00000000-0005-0000-0000-0000D63A0000}"/>
    <cellStyle name="Normal 23 11 23" xfId="17433" xr:uid="{00000000-0005-0000-0000-0000D73A0000}"/>
    <cellStyle name="Normal 23 11 24" xfId="15226" xr:uid="{00000000-0005-0000-0000-0000D83A0000}"/>
    <cellStyle name="Normal 23 11 25" xfId="13333" xr:uid="{00000000-0005-0000-0000-0000D93A0000}"/>
    <cellStyle name="Normal 23 11 26" xfId="13702" xr:uid="{00000000-0005-0000-0000-0000DA3A0000}"/>
    <cellStyle name="Normal 23 11 27" xfId="12788" xr:uid="{00000000-0005-0000-0000-0000DB3A0000}"/>
    <cellStyle name="Normal 23 11 28" xfId="12409" xr:uid="{00000000-0005-0000-0000-0000DC3A0000}"/>
    <cellStyle name="Normal 23 11 29" xfId="10120" xr:uid="{00000000-0005-0000-0000-0000DD3A0000}"/>
    <cellStyle name="Normal 23 11 3" xfId="27342" xr:uid="{00000000-0005-0000-0000-0000DE3A0000}"/>
    <cellStyle name="Normal 23 11 30" xfId="11174" xr:uid="{00000000-0005-0000-0000-0000DF3A0000}"/>
    <cellStyle name="Normal 23 11 31" xfId="6412" xr:uid="{00000000-0005-0000-0000-0000E03A0000}"/>
    <cellStyle name="Normal 23 11 32" xfId="9452" xr:uid="{00000000-0005-0000-0000-0000E13A0000}"/>
    <cellStyle name="Normal 23 11 33" xfId="11484" xr:uid="{00000000-0005-0000-0000-0000E23A0000}"/>
    <cellStyle name="Normal 23 11 34" xfId="7082" xr:uid="{00000000-0005-0000-0000-0000E33A0000}"/>
    <cellStyle name="Normal 23 11 35" xfId="4682" xr:uid="{00000000-0005-0000-0000-0000E43A0000}"/>
    <cellStyle name="Normal 23 11 36" xfId="4785" xr:uid="{00000000-0005-0000-0000-0000E53A0000}"/>
    <cellStyle name="Normal 23 11 37" xfId="3859" xr:uid="{00000000-0005-0000-0000-0000E63A0000}"/>
    <cellStyle name="Normal 23 11 38" xfId="9401" xr:uid="{00000000-0005-0000-0000-0000E73A0000}"/>
    <cellStyle name="Normal 23 11 39" xfId="10866" xr:uid="{00000000-0005-0000-0000-0000E83A0000}"/>
    <cellStyle name="Normal 23 11 4" xfId="26745" xr:uid="{00000000-0005-0000-0000-0000E93A0000}"/>
    <cellStyle name="Normal 23 11 40" xfId="10135" xr:uid="{00000000-0005-0000-0000-0000EA3A0000}"/>
    <cellStyle name="Normal 23 11 41" xfId="3196" xr:uid="{00000000-0005-0000-0000-0000EB3A0000}"/>
    <cellStyle name="Normal 23 11 42" xfId="5263" xr:uid="{00000000-0005-0000-0000-0000EC3A0000}"/>
    <cellStyle name="Normal 23 11 43" xfId="11561" xr:uid="{00000000-0005-0000-0000-0000ED3A0000}"/>
    <cellStyle name="Normal 23 11 44" xfId="2947" xr:uid="{00000000-0005-0000-0000-0000EE3A0000}"/>
    <cellStyle name="Normal 23 11 45" xfId="2704" xr:uid="{00000000-0005-0000-0000-0000EF3A0000}"/>
    <cellStyle name="Normal 23 11 46" xfId="2464" xr:uid="{00000000-0005-0000-0000-0000F03A0000}"/>
    <cellStyle name="Normal 23 11 47" xfId="2224" xr:uid="{00000000-0005-0000-0000-0000F13A0000}"/>
    <cellStyle name="Normal 23 11 48" xfId="1984" xr:uid="{00000000-0005-0000-0000-0000F23A0000}"/>
    <cellStyle name="Normal 23 11 49" xfId="1744" xr:uid="{00000000-0005-0000-0000-0000F33A0000}"/>
    <cellStyle name="Normal 23 11 5" xfId="26149" xr:uid="{00000000-0005-0000-0000-0000F43A0000}"/>
    <cellStyle name="Normal 23 11 50" xfId="1505" xr:uid="{00000000-0005-0000-0000-0000F53A0000}"/>
    <cellStyle name="Normal 23 11 51" xfId="1265" xr:uid="{00000000-0005-0000-0000-0000F63A0000}"/>
    <cellStyle name="Normal 23 11 52" xfId="1025" xr:uid="{00000000-0005-0000-0000-0000F73A0000}"/>
    <cellStyle name="Normal 23 11 53" xfId="785" xr:uid="{00000000-0005-0000-0000-0000F83A0000}"/>
    <cellStyle name="Normal 23 11 54" xfId="545" xr:uid="{00000000-0005-0000-0000-0000F93A0000}"/>
    <cellStyle name="Normal 23 11 55" xfId="306" xr:uid="{00000000-0005-0000-0000-0000FA3A0000}"/>
    <cellStyle name="Normal 23 11 56" xfId="68" xr:uid="{00000000-0005-0000-0000-0000FB3A0000}"/>
    <cellStyle name="Normal 23 11 6" xfId="25553" xr:uid="{00000000-0005-0000-0000-0000FC3A0000}"/>
    <cellStyle name="Normal 23 11 7" xfId="24956" xr:uid="{00000000-0005-0000-0000-0000FD3A0000}"/>
    <cellStyle name="Normal 23 11 8" xfId="24359" xr:uid="{00000000-0005-0000-0000-0000FE3A0000}"/>
    <cellStyle name="Normal 23 11 9" xfId="23762" xr:uid="{00000000-0005-0000-0000-0000FF3A0000}"/>
    <cellStyle name="Normal 23 12" xfId="28538" xr:uid="{00000000-0005-0000-0000-0000003B0000}"/>
    <cellStyle name="Normal 23 12 10" xfId="23164" xr:uid="{00000000-0005-0000-0000-0000013B0000}"/>
    <cellStyle name="Normal 23 12 11" xfId="22567" xr:uid="{00000000-0005-0000-0000-0000023B0000}"/>
    <cellStyle name="Normal 23 12 12" xfId="21971" xr:uid="{00000000-0005-0000-0000-0000033B0000}"/>
    <cellStyle name="Normal 23 12 13" xfId="21374" xr:uid="{00000000-0005-0000-0000-0000043B0000}"/>
    <cellStyle name="Normal 23 12 14" xfId="20777" xr:uid="{00000000-0005-0000-0000-0000053B0000}"/>
    <cellStyle name="Normal 23 12 15" xfId="20180" xr:uid="{00000000-0005-0000-0000-0000063B0000}"/>
    <cellStyle name="Normal 23 12 16" xfId="19584" xr:uid="{00000000-0005-0000-0000-0000073B0000}"/>
    <cellStyle name="Normal 23 12 17" xfId="18988" xr:uid="{00000000-0005-0000-0000-0000083B0000}"/>
    <cellStyle name="Normal 23 12 18" xfId="18396" xr:uid="{00000000-0005-0000-0000-0000093B0000}"/>
    <cellStyle name="Normal 23 12 19" xfId="17799" xr:uid="{00000000-0005-0000-0000-00000A3B0000}"/>
    <cellStyle name="Normal 23 12 2" xfId="27938" xr:uid="{00000000-0005-0000-0000-00000B3B0000}"/>
    <cellStyle name="Normal 23 12 20" xfId="17326" xr:uid="{00000000-0005-0000-0000-00000C3B0000}"/>
    <cellStyle name="Normal 23 12 21" xfId="17360" xr:uid="{00000000-0005-0000-0000-00000D3B0000}"/>
    <cellStyle name="Normal 23 12 22" xfId="13663" xr:uid="{00000000-0005-0000-0000-00000E3B0000}"/>
    <cellStyle name="Normal 23 12 23" xfId="14636" xr:uid="{00000000-0005-0000-0000-00000F3B0000}"/>
    <cellStyle name="Normal 23 12 24" xfId="14593" xr:uid="{00000000-0005-0000-0000-0000103B0000}"/>
    <cellStyle name="Normal 23 12 25" xfId="13552" xr:uid="{00000000-0005-0000-0000-0000113B0000}"/>
    <cellStyle name="Normal 23 12 26" xfId="16903" xr:uid="{00000000-0005-0000-0000-0000123B0000}"/>
    <cellStyle name="Normal 23 12 27" xfId="12851" xr:uid="{00000000-0005-0000-0000-0000133B0000}"/>
    <cellStyle name="Normal 23 12 28" xfId="12408" xr:uid="{00000000-0005-0000-0000-0000143B0000}"/>
    <cellStyle name="Normal 23 12 29" xfId="10347" xr:uid="{00000000-0005-0000-0000-0000153B0000}"/>
    <cellStyle name="Normal 23 12 3" xfId="27341" xr:uid="{00000000-0005-0000-0000-0000163B0000}"/>
    <cellStyle name="Normal 23 12 30" xfId="11490" xr:uid="{00000000-0005-0000-0000-0000173B0000}"/>
    <cellStyle name="Normal 23 12 31" xfId="7306" xr:uid="{00000000-0005-0000-0000-0000183B0000}"/>
    <cellStyle name="Normal 23 12 32" xfId="9351" xr:uid="{00000000-0005-0000-0000-0000193B0000}"/>
    <cellStyle name="Normal 23 12 33" xfId="7545" xr:uid="{00000000-0005-0000-0000-00001A3B0000}"/>
    <cellStyle name="Normal 23 12 34" xfId="11132" xr:uid="{00000000-0005-0000-0000-00001B3B0000}"/>
    <cellStyle name="Normal 23 12 35" xfId="5271" xr:uid="{00000000-0005-0000-0000-00001C3B0000}"/>
    <cellStyle name="Normal 23 12 36" xfId="4329" xr:uid="{00000000-0005-0000-0000-00001D3B0000}"/>
    <cellStyle name="Normal 23 12 37" xfId="8543" xr:uid="{00000000-0005-0000-0000-00001E3B0000}"/>
    <cellStyle name="Normal 23 12 38" xfId="9525" xr:uid="{00000000-0005-0000-0000-00001F3B0000}"/>
    <cellStyle name="Normal 23 12 39" xfId="6165" xr:uid="{00000000-0005-0000-0000-0000203B0000}"/>
    <cellStyle name="Normal 23 12 4" xfId="26744" xr:uid="{00000000-0005-0000-0000-0000213B0000}"/>
    <cellStyle name="Normal 23 12 40" xfId="7599" xr:uid="{00000000-0005-0000-0000-0000223B0000}"/>
    <cellStyle name="Normal 23 12 41" xfId="3230" xr:uid="{00000000-0005-0000-0000-0000233B0000}"/>
    <cellStyle name="Normal 23 12 42" xfId="9524" xr:uid="{00000000-0005-0000-0000-0000243B0000}"/>
    <cellStyle name="Normal 23 12 43" xfId="6884" xr:uid="{00000000-0005-0000-0000-0000253B0000}"/>
    <cellStyle name="Normal 23 12 5" xfId="26148" xr:uid="{00000000-0005-0000-0000-0000263B0000}"/>
    <cellStyle name="Normal 23 12 6" xfId="25552" xr:uid="{00000000-0005-0000-0000-0000273B0000}"/>
    <cellStyle name="Normal 23 12 7" xfId="24955" xr:uid="{00000000-0005-0000-0000-0000283B0000}"/>
    <cellStyle name="Normal 23 12 8" xfId="24358" xr:uid="{00000000-0005-0000-0000-0000293B0000}"/>
    <cellStyle name="Normal 23 12 9" xfId="23761" xr:uid="{00000000-0005-0000-0000-00002A3B0000}"/>
    <cellStyle name="Normal 23 13" xfId="28537" xr:uid="{00000000-0005-0000-0000-00002B3B0000}"/>
    <cellStyle name="Normal 23 13 10" xfId="23163" xr:uid="{00000000-0005-0000-0000-00002C3B0000}"/>
    <cellStyle name="Normal 23 13 11" xfId="22566" xr:uid="{00000000-0005-0000-0000-00002D3B0000}"/>
    <cellStyle name="Normal 23 13 12" xfId="21970" xr:uid="{00000000-0005-0000-0000-00002E3B0000}"/>
    <cellStyle name="Normal 23 13 13" xfId="21373" xr:uid="{00000000-0005-0000-0000-00002F3B0000}"/>
    <cellStyle name="Normal 23 13 14" xfId="20776" xr:uid="{00000000-0005-0000-0000-0000303B0000}"/>
    <cellStyle name="Normal 23 13 15" xfId="20179" xr:uid="{00000000-0005-0000-0000-0000313B0000}"/>
    <cellStyle name="Normal 23 13 16" xfId="19583" xr:uid="{00000000-0005-0000-0000-0000323B0000}"/>
    <cellStyle name="Normal 23 13 17" xfId="18987" xr:uid="{00000000-0005-0000-0000-0000333B0000}"/>
    <cellStyle name="Normal 23 13 18" xfId="18395" xr:uid="{00000000-0005-0000-0000-0000343B0000}"/>
    <cellStyle name="Normal 23 13 19" xfId="17798" xr:uid="{00000000-0005-0000-0000-0000353B0000}"/>
    <cellStyle name="Normal 23 13 2" xfId="27937" xr:uid="{00000000-0005-0000-0000-0000363B0000}"/>
    <cellStyle name="Normal 23 13 20" xfId="14159" xr:uid="{00000000-0005-0000-0000-0000373B0000}"/>
    <cellStyle name="Normal 23 13 21" xfId="16956" xr:uid="{00000000-0005-0000-0000-0000383B0000}"/>
    <cellStyle name="Normal 23 13 22" xfId="13802" xr:uid="{00000000-0005-0000-0000-0000393B0000}"/>
    <cellStyle name="Normal 23 13 23" xfId="15878" xr:uid="{00000000-0005-0000-0000-00003A3B0000}"/>
    <cellStyle name="Normal 23 13 24" xfId="13606" xr:uid="{00000000-0005-0000-0000-00003B3B0000}"/>
    <cellStyle name="Normal 23 13 25" xfId="16904" xr:uid="{00000000-0005-0000-0000-00003C3B0000}"/>
    <cellStyle name="Normal 23 13 26" xfId="16879" xr:uid="{00000000-0005-0000-0000-00003D3B0000}"/>
    <cellStyle name="Normal 23 13 27" xfId="16047" xr:uid="{00000000-0005-0000-0000-00003E3B0000}"/>
    <cellStyle name="Normal 23 13 28" xfId="12407" xr:uid="{00000000-0005-0000-0000-00003F3B0000}"/>
    <cellStyle name="Normal 23 13 29" xfId="10576" xr:uid="{00000000-0005-0000-0000-0000403B0000}"/>
    <cellStyle name="Normal 23 13 3" xfId="27340" xr:uid="{00000000-0005-0000-0000-0000413B0000}"/>
    <cellStyle name="Normal 23 13 30" xfId="9822" xr:uid="{00000000-0005-0000-0000-0000423B0000}"/>
    <cellStyle name="Normal 23 13 31" xfId="9135" xr:uid="{00000000-0005-0000-0000-0000433B0000}"/>
    <cellStyle name="Normal 23 13 32" xfId="6416" xr:uid="{00000000-0005-0000-0000-0000443B0000}"/>
    <cellStyle name="Normal 23 13 33" xfId="10426" xr:uid="{00000000-0005-0000-0000-0000453B0000}"/>
    <cellStyle name="Normal 23 13 34" xfId="9686" xr:uid="{00000000-0005-0000-0000-0000463B0000}"/>
    <cellStyle name="Normal 23 13 35" xfId="5784" xr:uid="{00000000-0005-0000-0000-0000473B0000}"/>
    <cellStyle name="Normal 23 13 36" xfId="5247" xr:uid="{00000000-0005-0000-0000-0000483B0000}"/>
    <cellStyle name="Normal 23 13 37" xfId="3845" xr:uid="{00000000-0005-0000-0000-0000493B0000}"/>
    <cellStyle name="Normal 23 13 38" xfId="10846" xr:uid="{00000000-0005-0000-0000-00004A3B0000}"/>
    <cellStyle name="Normal 23 13 39" xfId="11340" xr:uid="{00000000-0005-0000-0000-00004B3B0000}"/>
    <cellStyle name="Normal 23 13 4" xfId="26743" xr:uid="{00000000-0005-0000-0000-00004C3B0000}"/>
    <cellStyle name="Normal 23 13 40" xfId="6491" xr:uid="{00000000-0005-0000-0000-00004D3B0000}"/>
    <cellStyle name="Normal 23 13 41" xfId="10017" xr:uid="{00000000-0005-0000-0000-00004E3B0000}"/>
    <cellStyle name="Normal 23 13 42" xfId="6149" xr:uid="{00000000-0005-0000-0000-00004F3B0000}"/>
    <cellStyle name="Normal 23 13 43" xfId="9273" xr:uid="{00000000-0005-0000-0000-0000503B0000}"/>
    <cellStyle name="Normal 23 13 5" xfId="26147" xr:uid="{00000000-0005-0000-0000-0000513B0000}"/>
    <cellStyle name="Normal 23 13 6" xfId="25551" xr:uid="{00000000-0005-0000-0000-0000523B0000}"/>
    <cellStyle name="Normal 23 13 7" xfId="24954" xr:uid="{00000000-0005-0000-0000-0000533B0000}"/>
    <cellStyle name="Normal 23 13 8" xfId="24357" xr:uid="{00000000-0005-0000-0000-0000543B0000}"/>
    <cellStyle name="Normal 23 13 9" xfId="23760" xr:uid="{00000000-0005-0000-0000-0000553B0000}"/>
    <cellStyle name="Normal 23 14" xfId="28536" xr:uid="{00000000-0005-0000-0000-0000563B0000}"/>
    <cellStyle name="Normal 23 14 10" xfId="23162" xr:uid="{00000000-0005-0000-0000-0000573B0000}"/>
    <cellStyle name="Normal 23 14 11" xfId="22565" xr:uid="{00000000-0005-0000-0000-0000583B0000}"/>
    <cellStyle name="Normal 23 14 12" xfId="21969" xr:uid="{00000000-0005-0000-0000-0000593B0000}"/>
    <cellStyle name="Normal 23 14 13" xfId="21372" xr:uid="{00000000-0005-0000-0000-00005A3B0000}"/>
    <cellStyle name="Normal 23 14 14" xfId="20775" xr:uid="{00000000-0005-0000-0000-00005B3B0000}"/>
    <cellStyle name="Normal 23 14 15" xfId="20178" xr:uid="{00000000-0005-0000-0000-00005C3B0000}"/>
    <cellStyle name="Normal 23 14 16" xfId="19582" xr:uid="{00000000-0005-0000-0000-00005D3B0000}"/>
    <cellStyle name="Normal 23 14 17" xfId="18986" xr:uid="{00000000-0005-0000-0000-00005E3B0000}"/>
    <cellStyle name="Normal 23 14 18" xfId="18394" xr:uid="{00000000-0005-0000-0000-00005F3B0000}"/>
    <cellStyle name="Normal 23 14 19" xfId="17797" xr:uid="{00000000-0005-0000-0000-0000603B0000}"/>
    <cellStyle name="Normal 23 14 2" xfId="27936" xr:uid="{00000000-0005-0000-0000-0000613B0000}"/>
    <cellStyle name="Normal 23 14 20" xfId="14348" xr:uid="{00000000-0005-0000-0000-0000623B0000}"/>
    <cellStyle name="Normal 23 14 21" xfId="13970" xr:uid="{00000000-0005-0000-0000-0000633B0000}"/>
    <cellStyle name="Normal 23 14 22" xfId="13951" xr:uid="{00000000-0005-0000-0000-0000643B0000}"/>
    <cellStyle name="Normal 23 14 23" xfId="13782" xr:uid="{00000000-0005-0000-0000-0000653B0000}"/>
    <cellStyle name="Normal 23 14 24" xfId="13919" xr:uid="{00000000-0005-0000-0000-0000663B0000}"/>
    <cellStyle name="Normal 23 14 25" xfId="12995" xr:uid="{00000000-0005-0000-0000-0000673B0000}"/>
    <cellStyle name="Normal 23 14 26" xfId="15293" xr:uid="{00000000-0005-0000-0000-0000683B0000}"/>
    <cellStyle name="Normal 23 14 27" xfId="13027" xr:uid="{00000000-0005-0000-0000-0000693B0000}"/>
    <cellStyle name="Normal 23 14 28" xfId="12406" xr:uid="{00000000-0005-0000-0000-00006A3B0000}"/>
    <cellStyle name="Normal 23 14 29" xfId="10791" xr:uid="{00000000-0005-0000-0000-00006B3B0000}"/>
    <cellStyle name="Normal 23 14 3" xfId="27339" xr:uid="{00000000-0005-0000-0000-00006C3B0000}"/>
    <cellStyle name="Normal 23 14 30" xfId="9816" xr:uid="{00000000-0005-0000-0000-00006D3B0000}"/>
    <cellStyle name="Normal 23 14 31" xfId="5507" xr:uid="{00000000-0005-0000-0000-00006E3B0000}"/>
    <cellStyle name="Normal 23 14 32" xfId="11163" xr:uid="{00000000-0005-0000-0000-00006F3B0000}"/>
    <cellStyle name="Normal 23 14 33" xfId="6482" xr:uid="{00000000-0005-0000-0000-0000703B0000}"/>
    <cellStyle name="Normal 23 14 34" xfId="4458" xr:uid="{00000000-0005-0000-0000-0000713B0000}"/>
    <cellStyle name="Normal 23 14 35" xfId="9570" xr:uid="{00000000-0005-0000-0000-0000723B0000}"/>
    <cellStyle name="Normal 23 14 36" xfId="11889" xr:uid="{00000000-0005-0000-0000-0000733B0000}"/>
    <cellStyle name="Normal 23 14 37" xfId="3948" xr:uid="{00000000-0005-0000-0000-0000743B0000}"/>
    <cellStyle name="Normal 23 14 38" xfId="8868" xr:uid="{00000000-0005-0000-0000-0000753B0000}"/>
    <cellStyle name="Normal 23 14 39" xfId="4007" xr:uid="{00000000-0005-0000-0000-0000763B0000}"/>
    <cellStyle name="Normal 23 14 4" xfId="26742" xr:uid="{00000000-0005-0000-0000-0000773B0000}"/>
    <cellStyle name="Normal 23 14 40" xfId="5253" xr:uid="{00000000-0005-0000-0000-0000783B0000}"/>
    <cellStyle name="Normal 23 14 41" xfId="7661" xr:uid="{00000000-0005-0000-0000-0000793B0000}"/>
    <cellStyle name="Normal 23 14 42" xfId="7552" xr:uid="{00000000-0005-0000-0000-00007A3B0000}"/>
    <cellStyle name="Normal 23 14 43" xfId="3888" xr:uid="{00000000-0005-0000-0000-00007B3B0000}"/>
    <cellStyle name="Normal 23 14 5" xfId="26146" xr:uid="{00000000-0005-0000-0000-00007C3B0000}"/>
    <cellStyle name="Normal 23 14 6" xfId="25550" xr:uid="{00000000-0005-0000-0000-00007D3B0000}"/>
    <cellStyle name="Normal 23 14 7" xfId="24953" xr:uid="{00000000-0005-0000-0000-00007E3B0000}"/>
    <cellStyle name="Normal 23 14 8" xfId="24356" xr:uid="{00000000-0005-0000-0000-00007F3B0000}"/>
    <cellStyle name="Normal 23 14 9" xfId="23759" xr:uid="{00000000-0005-0000-0000-0000803B0000}"/>
    <cellStyle name="Normal 23 15" xfId="28535" xr:uid="{00000000-0005-0000-0000-0000813B0000}"/>
    <cellStyle name="Normal 23 15 10" xfId="23161" xr:uid="{00000000-0005-0000-0000-0000823B0000}"/>
    <cellStyle name="Normal 23 15 11" xfId="22564" xr:uid="{00000000-0005-0000-0000-0000833B0000}"/>
    <cellStyle name="Normal 23 15 12" xfId="21968" xr:uid="{00000000-0005-0000-0000-0000843B0000}"/>
    <cellStyle name="Normal 23 15 13" xfId="21371" xr:uid="{00000000-0005-0000-0000-0000853B0000}"/>
    <cellStyle name="Normal 23 15 14" xfId="20774" xr:uid="{00000000-0005-0000-0000-0000863B0000}"/>
    <cellStyle name="Normal 23 15 15" xfId="20177" xr:uid="{00000000-0005-0000-0000-0000873B0000}"/>
    <cellStyle name="Normal 23 15 16" xfId="19581" xr:uid="{00000000-0005-0000-0000-0000883B0000}"/>
    <cellStyle name="Normal 23 15 17" xfId="18985" xr:uid="{00000000-0005-0000-0000-0000893B0000}"/>
    <cellStyle name="Normal 23 15 18" xfId="18393" xr:uid="{00000000-0005-0000-0000-00008A3B0000}"/>
    <cellStyle name="Normal 23 15 19" xfId="17796" xr:uid="{00000000-0005-0000-0000-00008B3B0000}"/>
    <cellStyle name="Normal 23 15 2" xfId="27935" xr:uid="{00000000-0005-0000-0000-00008C3B0000}"/>
    <cellStyle name="Normal 23 15 20" xfId="14539" xr:uid="{00000000-0005-0000-0000-00008D3B0000}"/>
    <cellStyle name="Normal 23 15 21" xfId="14141" xr:uid="{00000000-0005-0000-0000-00008E3B0000}"/>
    <cellStyle name="Normal 23 15 22" xfId="16003" xr:uid="{00000000-0005-0000-0000-00008F3B0000}"/>
    <cellStyle name="Normal 23 15 23" xfId="17249" xr:uid="{00000000-0005-0000-0000-0000903B0000}"/>
    <cellStyle name="Normal 23 15 24" xfId="17385" xr:uid="{00000000-0005-0000-0000-0000913B0000}"/>
    <cellStyle name="Normal 23 15 25" xfId="12918" xr:uid="{00000000-0005-0000-0000-0000923B0000}"/>
    <cellStyle name="Normal 23 15 26" xfId="14604" xr:uid="{00000000-0005-0000-0000-0000933B0000}"/>
    <cellStyle name="Normal 23 15 27" xfId="15222" xr:uid="{00000000-0005-0000-0000-0000943B0000}"/>
    <cellStyle name="Normal 23 15 28" xfId="12405" xr:uid="{00000000-0005-0000-0000-0000953B0000}"/>
    <cellStyle name="Normal 23 15 29" xfId="11010" xr:uid="{00000000-0005-0000-0000-0000963B0000}"/>
    <cellStyle name="Normal 23 15 3" xfId="27338" xr:uid="{00000000-0005-0000-0000-0000973B0000}"/>
    <cellStyle name="Normal 23 15 30" xfId="8222" xr:uid="{00000000-0005-0000-0000-0000983B0000}"/>
    <cellStyle name="Normal 23 15 31" xfId="5673" xr:uid="{00000000-0005-0000-0000-0000993B0000}"/>
    <cellStyle name="Normal 23 15 32" xfId="9873" xr:uid="{00000000-0005-0000-0000-00009A3B0000}"/>
    <cellStyle name="Normal 23 15 33" xfId="9825" xr:uid="{00000000-0005-0000-0000-00009B3B0000}"/>
    <cellStyle name="Normal 23 15 34" xfId="4661" xr:uid="{00000000-0005-0000-0000-00009C3B0000}"/>
    <cellStyle name="Normal 23 15 35" xfId="8875" xr:uid="{00000000-0005-0000-0000-00009D3B0000}"/>
    <cellStyle name="Normal 23 15 36" xfId="5574" xr:uid="{00000000-0005-0000-0000-00009E3B0000}"/>
    <cellStyle name="Normal 23 15 37" xfId="3872" xr:uid="{00000000-0005-0000-0000-00009F3B0000}"/>
    <cellStyle name="Normal 23 15 38" xfId="3816" xr:uid="{00000000-0005-0000-0000-0000A03B0000}"/>
    <cellStyle name="Normal 23 15 39" xfId="5930" xr:uid="{00000000-0005-0000-0000-0000A13B0000}"/>
    <cellStyle name="Normal 23 15 4" xfId="26741" xr:uid="{00000000-0005-0000-0000-0000A23B0000}"/>
    <cellStyle name="Normal 23 15 40" xfId="4438" xr:uid="{00000000-0005-0000-0000-0000A33B0000}"/>
    <cellStyle name="Normal 23 15 41" xfId="5377" xr:uid="{00000000-0005-0000-0000-0000A43B0000}"/>
    <cellStyle name="Normal 23 15 42" xfId="8479" xr:uid="{00000000-0005-0000-0000-0000A53B0000}"/>
    <cellStyle name="Normal 23 15 43" xfId="8882" xr:uid="{00000000-0005-0000-0000-0000A63B0000}"/>
    <cellStyle name="Normal 23 15 5" xfId="26145" xr:uid="{00000000-0005-0000-0000-0000A73B0000}"/>
    <cellStyle name="Normal 23 15 6" xfId="25549" xr:uid="{00000000-0005-0000-0000-0000A83B0000}"/>
    <cellStyle name="Normal 23 15 7" xfId="24952" xr:uid="{00000000-0005-0000-0000-0000A93B0000}"/>
    <cellStyle name="Normal 23 15 8" xfId="24355" xr:uid="{00000000-0005-0000-0000-0000AA3B0000}"/>
    <cellStyle name="Normal 23 15 9" xfId="23758" xr:uid="{00000000-0005-0000-0000-0000AB3B0000}"/>
    <cellStyle name="Normal 23 16" xfId="28534" xr:uid="{00000000-0005-0000-0000-0000AC3B0000}"/>
    <cellStyle name="Normal 23 16 10" xfId="23160" xr:uid="{00000000-0005-0000-0000-0000AD3B0000}"/>
    <cellStyle name="Normal 23 16 11" xfId="22563" xr:uid="{00000000-0005-0000-0000-0000AE3B0000}"/>
    <cellStyle name="Normal 23 16 12" xfId="21967" xr:uid="{00000000-0005-0000-0000-0000AF3B0000}"/>
    <cellStyle name="Normal 23 16 13" xfId="21370" xr:uid="{00000000-0005-0000-0000-0000B03B0000}"/>
    <cellStyle name="Normal 23 16 14" xfId="20773" xr:uid="{00000000-0005-0000-0000-0000B13B0000}"/>
    <cellStyle name="Normal 23 16 15" xfId="20176" xr:uid="{00000000-0005-0000-0000-0000B23B0000}"/>
    <cellStyle name="Normal 23 16 16" xfId="19580" xr:uid="{00000000-0005-0000-0000-0000B33B0000}"/>
    <cellStyle name="Normal 23 16 17" xfId="18984" xr:uid="{00000000-0005-0000-0000-0000B43B0000}"/>
    <cellStyle name="Normal 23 16 18" xfId="18392" xr:uid="{00000000-0005-0000-0000-0000B53B0000}"/>
    <cellStyle name="Normal 23 16 19" xfId="17795" xr:uid="{00000000-0005-0000-0000-0000B63B0000}"/>
    <cellStyle name="Normal 23 16 2" xfId="27934" xr:uid="{00000000-0005-0000-0000-0000B73B0000}"/>
    <cellStyle name="Normal 23 16 20" xfId="14736" xr:uid="{00000000-0005-0000-0000-0000B83B0000}"/>
    <cellStyle name="Normal 23 16 21" xfId="16316" xr:uid="{00000000-0005-0000-0000-0000B93B0000}"/>
    <cellStyle name="Normal 23 16 22" xfId="14417" xr:uid="{00000000-0005-0000-0000-0000BA3B0000}"/>
    <cellStyle name="Normal 23 16 23" xfId="17210" xr:uid="{00000000-0005-0000-0000-0000BB3B0000}"/>
    <cellStyle name="Normal 23 16 24" xfId="15499" xr:uid="{00000000-0005-0000-0000-0000BC3B0000}"/>
    <cellStyle name="Normal 23 16 25" xfId="14856" xr:uid="{00000000-0005-0000-0000-0000BD3B0000}"/>
    <cellStyle name="Normal 23 16 26" xfId="13849" xr:uid="{00000000-0005-0000-0000-0000BE3B0000}"/>
    <cellStyle name="Normal 23 16 27" xfId="14977" xr:uid="{00000000-0005-0000-0000-0000BF3B0000}"/>
    <cellStyle name="Normal 23 16 28" xfId="12404" xr:uid="{00000000-0005-0000-0000-0000C03B0000}"/>
    <cellStyle name="Normal 23 16 29" xfId="11238" xr:uid="{00000000-0005-0000-0000-0000C13B0000}"/>
    <cellStyle name="Normal 23 16 3" xfId="27337" xr:uid="{00000000-0005-0000-0000-0000C23B0000}"/>
    <cellStyle name="Normal 23 16 30" xfId="11827" xr:uid="{00000000-0005-0000-0000-0000C33B0000}"/>
    <cellStyle name="Normal 23 16 31" xfId="9760" xr:uid="{00000000-0005-0000-0000-0000C43B0000}"/>
    <cellStyle name="Normal 23 16 32" xfId="10106" xr:uid="{00000000-0005-0000-0000-0000C53B0000}"/>
    <cellStyle name="Normal 23 16 33" xfId="6939" xr:uid="{00000000-0005-0000-0000-0000C63B0000}"/>
    <cellStyle name="Normal 23 16 34" xfId="9295" xr:uid="{00000000-0005-0000-0000-0000C73B0000}"/>
    <cellStyle name="Normal 23 16 35" xfId="11931" xr:uid="{00000000-0005-0000-0000-0000C83B0000}"/>
    <cellStyle name="Normal 23 16 36" xfId="11574" xr:uid="{00000000-0005-0000-0000-0000C93B0000}"/>
    <cellStyle name="Normal 23 16 37" xfId="11152" xr:uid="{00000000-0005-0000-0000-0000CA3B0000}"/>
    <cellStyle name="Normal 23 16 38" xfId="5804" xr:uid="{00000000-0005-0000-0000-0000CB3B0000}"/>
    <cellStyle name="Normal 23 16 39" xfId="5252" xr:uid="{00000000-0005-0000-0000-0000CC3B0000}"/>
    <cellStyle name="Normal 23 16 4" xfId="26740" xr:uid="{00000000-0005-0000-0000-0000CD3B0000}"/>
    <cellStyle name="Normal 23 16 40" xfId="5811" xr:uid="{00000000-0005-0000-0000-0000CE3B0000}"/>
    <cellStyle name="Normal 23 16 41" xfId="3273" xr:uid="{00000000-0005-0000-0000-0000CF3B0000}"/>
    <cellStyle name="Normal 23 16 42" xfId="4557" xr:uid="{00000000-0005-0000-0000-0000D03B0000}"/>
    <cellStyle name="Normal 23 16 43" xfId="10064" xr:uid="{00000000-0005-0000-0000-0000D13B0000}"/>
    <cellStyle name="Normal 23 16 5" xfId="26144" xr:uid="{00000000-0005-0000-0000-0000D23B0000}"/>
    <cellStyle name="Normal 23 16 6" xfId="25548" xr:uid="{00000000-0005-0000-0000-0000D33B0000}"/>
    <cellStyle name="Normal 23 16 7" xfId="24951" xr:uid="{00000000-0005-0000-0000-0000D43B0000}"/>
    <cellStyle name="Normal 23 16 8" xfId="24354" xr:uid="{00000000-0005-0000-0000-0000D53B0000}"/>
    <cellStyle name="Normal 23 16 9" xfId="23757" xr:uid="{00000000-0005-0000-0000-0000D63B0000}"/>
    <cellStyle name="Normal 23 17" xfId="28533" xr:uid="{00000000-0005-0000-0000-0000D73B0000}"/>
    <cellStyle name="Normal 23 17 10" xfId="23159" xr:uid="{00000000-0005-0000-0000-0000D83B0000}"/>
    <cellStyle name="Normal 23 17 11" xfId="22562" xr:uid="{00000000-0005-0000-0000-0000D93B0000}"/>
    <cellStyle name="Normal 23 17 12" xfId="21966" xr:uid="{00000000-0005-0000-0000-0000DA3B0000}"/>
    <cellStyle name="Normal 23 17 13" xfId="21369" xr:uid="{00000000-0005-0000-0000-0000DB3B0000}"/>
    <cellStyle name="Normal 23 17 14" xfId="20772" xr:uid="{00000000-0005-0000-0000-0000DC3B0000}"/>
    <cellStyle name="Normal 23 17 15" xfId="20175" xr:uid="{00000000-0005-0000-0000-0000DD3B0000}"/>
    <cellStyle name="Normal 23 17 16" xfId="19579" xr:uid="{00000000-0005-0000-0000-0000DE3B0000}"/>
    <cellStyle name="Normal 23 17 17" xfId="18983" xr:uid="{00000000-0005-0000-0000-0000DF3B0000}"/>
    <cellStyle name="Normal 23 17 18" xfId="18391" xr:uid="{00000000-0005-0000-0000-0000E03B0000}"/>
    <cellStyle name="Normal 23 17 19" xfId="17794" xr:uid="{00000000-0005-0000-0000-0000E13B0000}"/>
    <cellStyle name="Normal 23 17 2" xfId="27933" xr:uid="{00000000-0005-0000-0000-0000E23B0000}"/>
    <cellStyle name="Normal 23 17 20" xfId="14938" xr:uid="{00000000-0005-0000-0000-0000E33B0000}"/>
    <cellStyle name="Normal 23 17 21" xfId="16305" xr:uid="{00000000-0005-0000-0000-0000E43B0000}"/>
    <cellStyle name="Normal 23 17 22" xfId="14429" xr:uid="{00000000-0005-0000-0000-0000E53B0000}"/>
    <cellStyle name="Normal 23 17 23" xfId="13899" xr:uid="{00000000-0005-0000-0000-0000E63B0000}"/>
    <cellStyle name="Normal 23 17 24" xfId="16040" xr:uid="{00000000-0005-0000-0000-0000E73B0000}"/>
    <cellStyle name="Normal 23 17 25" xfId="13237" xr:uid="{00000000-0005-0000-0000-0000E83B0000}"/>
    <cellStyle name="Normal 23 17 26" xfId="13301" xr:uid="{00000000-0005-0000-0000-0000E93B0000}"/>
    <cellStyle name="Normal 23 17 27" xfId="17473" xr:uid="{00000000-0005-0000-0000-0000EA3B0000}"/>
    <cellStyle name="Normal 23 17 28" xfId="12403" xr:uid="{00000000-0005-0000-0000-0000EB3B0000}"/>
    <cellStyle name="Normal 23 17 29" xfId="11471" xr:uid="{00000000-0005-0000-0000-0000EC3B0000}"/>
    <cellStyle name="Normal 23 17 3" xfId="27336" xr:uid="{00000000-0005-0000-0000-0000ED3B0000}"/>
    <cellStyle name="Normal 23 17 30" xfId="8214" xr:uid="{00000000-0005-0000-0000-0000EE3B0000}"/>
    <cellStyle name="Normal 23 17 31" xfId="8481" xr:uid="{00000000-0005-0000-0000-0000EF3B0000}"/>
    <cellStyle name="Normal 23 17 32" xfId="6211" xr:uid="{00000000-0005-0000-0000-0000F03B0000}"/>
    <cellStyle name="Normal 23 17 33" xfId="7608" xr:uid="{00000000-0005-0000-0000-0000F13B0000}"/>
    <cellStyle name="Normal 23 17 34" xfId="10023" xr:uid="{00000000-0005-0000-0000-0000F23B0000}"/>
    <cellStyle name="Normal 23 17 35" xfId="7972" xr:uid="{00000000-0005-0000-0000-0000F33B0000}"/>
    <cellStyle name="Normal 23 17 36" xfId="4541" xr:uid="{00000000-0005-0000-0000-0000F43B0000}"/>
    <cellStyle name="Normal 23 17 37" xfId="5245" xr:uid="{00000000-0005-0000-0000-0000F53B0000}"/>
    <cellStyle name="Normal 23 17 38" xfId="4131" xr:uid="{00000000-0005-0000-0000-0000F63B0000}"/>
    <cellStyle name="Normal 23 17 39" xfId="10830" xr:uid="{00000000-0005-0000-0000-0000F73B0000}"/>
    <cellStyle name="Normal 23 17 4" xfId="26739" xr:uid="{00000000-0005-0000-0000-0000F83B0000}"/>
    <cellStyle name="Normal 23 17 40" xfId="4264" xr:uid="{00000000-0005-0000-0000-0000F93B0000}"/>
    <cellStyle name="Normal 23 17 41" xfId="6041" xr:uid="{00000000-0005-0000-0000-0000FA3B0000}"/>
    <cellStyle name="Normal 23 17 42" xfId="11571" xr:uid="{00000000-0005-0000-0000-0000FB3B0000}"/>
    <cellStyle name="Normal 23 17 43" xfId="5911" xr:uid="{00000000-0005-0000-0000-0000FC3B0000}"/>
    <cellStyle name="Normal 23 17 5" xfId="26143" xr:uid="{00000000-0005-0000-0000-0000FD3B0000}"/>
    <cellStyle name="Normal 23 17 6" xfId="25547" xr:uid="{00000000-0005-0000-0000-0000FE3B0000}"/>
    <cellStyle name="Normal 23 17 7" xfId="24950" xr:uid="{00000000-0005-0000-0000-0000FF3B0000}"/>
    <cellStyle name="Normal 23 17 8" xfId="24353" xr:uid="{00000000-0005-0000-0000-0000003C0000}"/>
    <cellStyle name="Normal 23 17 9" xfId="23756" xr:uid="{00000000-0005-0000-0000-0000013C0000}"/>
    <cellStyle name="Normal 23 18" xfId="28532" xr:uid="{00000000-0005-0000-0000-0000023C0000}"/>
    <cellStyle name="Normal 23 18 10" xfId="23158" xr:uid="{00000000-0005-0000-0000-0000033C0000}"/>
    <cellStyle name="Normal 23 18 11" xfId="22561" xr:uid="{00000000-0005-0000-0000-0000043C0000}"/>
    <cellStyle name="Normal 23 18 12" xfId="21965" xr:uid="{00000000-0005-0000-0000-0000053C0000}"/>
    <cellStyle name="Normal 23 18 13" xfId="21368" xr:uid="{00000000-0005-0000-0000-0000063C0000}"/>
    <cellStyle name="Normal 23 18 14" xfId="20771" xr:uid="{00000000-0005-0000-0000-0000073C0000}"/>
    <cellStyle name="Normal 23 18 15" xfId="20174" xr:uid="{00000000-0005-0000-0000-0000083C0000}"/>
    <cellStyle name="Normal 23 18 16" xfId="19578" xr:uid="{00000000-0005-0000-0000-0000093C0000}"/>
    <cellStyle name="Normal 23 18 17" xfId="18982" xr:uid="{00000000-0005-0000-0000-00000A3C0000}"/>
    <cellStyle name="Normal 23 18 18" xfId="18390" xr:uid="{00000000-0005-0000-0000-00000B3C0000}"/>
    <cellStyle name="Normal 23 18 19" xfId="17793" xr:uid="{00000000-0005-0000-0000-00000C3C0000}"/>
    <cellStyle name="Normal 23 18 2" xfId="27932" xr:uid="{00000000-0005-0000-0000-00000D3C0000}"/>
    <cellStyle name="Normal 23 18 20" xfId="15145" xr:uid="{00000000-0005-0000-0000-00000E3C0000}"/>
    <cellStyle name="Normal 23 18 21" xfId="16093" xr:uid="{00000000-0005-0000-0000-00000F3C0000}"/>
    <cellStyle name="Normal 23 18 22" xfId="15023" xr:uid="{00000000-0005-0000-0000-0000103C0000}"/>
    <cellStyle name="Normal 23 18 23" xfId="17355" xr:uid="{00000000-0005-0000-0000-0000113C0000}"/>
    <cellStyle name="Normal 23 18 24" xfId="15180" xr:uid="{00000000-0005-0000-0000-0000123C0000}"/>
    <cellStyle name="Normal 23 18 25" xfId="13074" xr:uid="{00000000-0005-0000-0000-0000133C0000}"/>
    <cellStyle name="Normal 23 18 26" xfId="16958" xr:uid="{00000000-0005-0000-0000-0000143C0000}"/>
    <cellStyle name="Normal 23 18 27" xfId="12775" xr:uid="{00000000-0005-0000-0000-0000153C0000}"/>
    <cellStyle name="Normal 23 18 28" xfId="12402" xr:uid="{00000000-0005-0000-0000-0000163C0000}"/>
    <cellStyle name="Normal 23 18 29" xfId="11695" xr:uid="{00000000-0005-0000-0000-0000173C0000}"/>
    <cellStyle name="Normal 23 18 3" xfId="27335" xr:uid="{00000000-0005-0000-0000-0000183C0000}"/>
    <cellStyle name="Normal 23 18 30" xfId="6576" xr:uid="{00000000-0005-0000-0000-0000193C0000}"/>
    <cellStyle name="Normal 23 18 31" xfId="9859" xr:uid="{00000000-0005-0000-0000-00001A3C0000}"/>
    <cellStyle name="Normal 23 18 32" xfId="7578" xr:uid="{00000000-0005-0000-0000-00001B3C0000}"/>
    <cellStyle name="Normal 23 18 33" xfId="12053" xr:uid="{00000000-0005-0000-0000-00001C3C0000}"/>
    <cellStyle name="Normal 23 18 34" xfId="4649" xr:uid="{00000000-0005-0000-0000-00001D3C0000}"/>
    <cellStyle name="Normal 23 18 35" xfId="11488" xr:uid="{00000000-0005-0000-0000-00001E3C0000}"/>
    <cellStyle name="Normal 23 18 36" xfId="5921" xr:uid="{00000000-0005-0000-0000-00001F3C0000}"/>
    <cellStyle name="Normal 23 18 37" xfId="3998" xr:uid="{00000000-0005-0000-0000-0000203C0000}"/>
    <cellStyle name="Normal 23 18 38" xfId="9036" xr:uid="{00000000-0005-0000-0000-0000213C0000}"/>
    <cellStyle name="Normal 23 18 39" xfId="6660" xr:uid="{00000000-0005-0000-0000-0000223C0000}"/>
    <cellStyle name="Normal 23 18 4" xfId="26738" xr:uid="{00000000-0005-0000-0000-0000233C0000}"/>
    <cellStyle name="Normal 23 18 40" xfId="3984" xr:uid="{00000000-0005-0000-0000-0000243C0000}"/>
    <cellStyle name="Normal 23 18 41" xfId="9264" xr:uid="{00000000-0005-0000-0000-0000253C0000}"/>
    <cellStyle name="Normal 23 18 42" xfId="3163" xr:uid="{00000000-0005-0000-0000-0000263C0000}"/>
    <cellStyle name="Normal 23 18 43" xfId="8160" xr:uid="{00000000-0005-0000-0000-0000273C0000}"/>
    <cellStyle name="Normal 23 18 5" xfId="26142" xr:uid="{00000000-0005-0000-0000-0000283C0000}"/>
    <cellStyle name="Normal 23 18 6" xfId="25546" xr:uid="{00000000-0005-0000-0000-0000293C0000}"/>
    <cellStyle name="Normal 23 18 7" xfId="24949" xr:uid="{00000000-0005-0000-0000-00002A3C0000}"/>
    <cellStyle name="Normal 23 18 8" xfId="24352" xr:uid="{00000000-0005-0000-0000-00002B3C0000}"/>
    <cellStyle name="Normal 23 18 9" xfId="23755" xr:uid="{00000000-0005-0000-0000-00002C3C0000}"/>
    <cellStyle name="Normal 23 19" xfId="28531" xr:uid="{00000000-0005-0000-0000-00002D3C0000}"/>
    <cellStyle name="Normal 23 19 10" xfId="23157" xr:uid="{00000000-0005-0000-0000-00002E3C0000}"/>
    <cellStyle name="Normal 23 19 11" xfId="22560" xr:uid="{00000000-0005-0000-0000-00002F3C0000}"/>
    <cellStyle name="Normal 23 19 12" xfId="21964" xr:uid="{00000000-0005-0000-0000-0000303C0000}"/>
    <cellStyle name="Normal 23 19 13" xfId="21367" xr:uid="{00000000-0005-0000-0000-0000313C0000}"/>
    <cellStyle name="Normal 23 19 14" xfId="20770" xr:uid="{00000000-0005-0000-0000-0000323C0000}"/>
    <cellStyle name="Normal 23 19 15" xfId="20173" xr:uid="{00000000-0005-0000-0000-0000333C0000}"/>
    <cellStyle name="Normal 23 19 16" xfId="19577" xr:uid="{00000000-0005-0000-0000-0000343C0000}"/>
    <cellStyle name="Normal 23 19 17" xfId="18981" xr:uid="{00000000-0005-0000-0000-0000353C0000}"/>
    <cellStyle name="Normal 23 19 18" xfId="18389" xr:uid="{00000000-0005-0000-0000-0000363C0000}"/>
    <cellStyle name="Normal 23 19 19" xfId="17792" xr:uid="{00000000-0005-0000-0000-0000373C0000}"/>
    <cellStyle name="Normal 23 19 2" xfId="27931" xr:uid="{00000000-0005-0000-0000-0000383C0000}"/>
    <cellStyle name="Normal 23 19 20" xfId="15340" xr:uid="{00000000-0005-0000-0000-0000393C0000}"/>
    <cellStyle name="Normal 23 19 21" xfId="16079" xr:uid="{00000000-0005-0000-0000-00003A3C0000}"/>
    <cellStyle name="Normal 23 19 22" xfId="16243" xr:uid="{00000000-0005-0000-0000-00003B3C0000}"/>
    <cellStyle name="Normal 23 19 23" xfId="16843" xr:uid="{00000000-0005-0000-0000-00003C3C0000}"/>
    <cellStyle name="Normal 23 19 24" xfId="14428" xr:uid="{00000000-0005-0000-0000-00003D3C0000}"/>
    <cellStyle name="Normal 23 19 25" xfId="15175" xr:uid="{00000000-0005-0000-0000-00003E3C0000}"/>
    <cellStyle name="Normal 23 19 26" xfId="12974" xr:uid="{00000000-0005-0000-0000-00003F3C0000}"/>
    <cellStyle name="Normal 23 19 27" xfId="13724" xr:uid="{00000000-0005-0000-0000-0000403C0000}"/>
    <cellStyle name="Normal 23 19 28" xfId="12401" xr:uid="{00000000-0005-0000-0000-0000413C0000}"/>
    <cellStyle name="Normal 23 19 29" xfId="6266" xr:uid="{00000000-0005-0000-0000-0000423C0000}"/>
    <cellStyle name="Normal 23 19 3" xfId="27334" xr:uid="{00000000-0005-0000-0000-0000433C0000}"/>
    <cellStyle name="Normal 23 19 30" xfId="7796" xr:uid="{00000000-0005-0000-0000-0000443C0000}"/>
    <cellStyle name="Normal 23 19 31" xfId="8109" xr:uid="{00000000-0005-0000-0000-0000453C0000}"/>
    <cellStyle name="Normal 23 19 32" xfId="8822" xr:uid="{00000000-0005-0000-0000-0000463C0000}"/>
    <cellStyle name="Normal 23 19 33" xfId="6164" xr:uid="{00000000-0005-0000-0000-0000473C0000}"/>
    <cellStyle name="Normal 23 19 34" xfId="8692" xr:uid="{00000000-0005-0000-0000-0000483C0000}"/>
    <cellStyle name="Normal 23 19 35" xfId="7932" xr:uid="{00000000-0005-0000-0000-0000493C0000}"/>
    <cellStyle name="Normal 23 19 36" xfId="5052" xr:uid="{00000000-0005-0000-0000-00004A3C0000}"/>
    <cellStyle name="Normal 23 19 37" xfId="7194" xr:uid="{00000000-0005-0000-0000-00004B3C0000}"/>
    <cellStyle name="Normal 23 19 38" xfId="10435" xr:uid="{00000000-0005-0000-0000-00004C3C0000}"/>
    <cellStyle name="Normal 23 19 39" xfId="8533" xr:uid="{00000000-0005-0000-0000-00004D3C0000}"/>
    <cellStyle name="Normal 23 19 4" xfId="26737" xr:uid="{00000000-0005-0000-0000-00004E3C0000}"/>
    <cellStyle name="Normal 23 19 40" xfId="5126" xr:uid="{00000000-0005-0000-0000-00004F3C0000}"/>
    <cellStyle name="Normal 23 19 41" xfId="4361" xr:uid="{00000000-0005-0000-0000-0000503C0000}"/>
    <cellStyle name="Normal 23 19 42" xfId="3176" xr:uid="{00000000-0005-0000-0000-0000513C0000}"/>
    <cellStyle name="Normal 23 19 43" xfId="10008" xr:uid="{00000000-0005-0000-0000-0000523C0000}"/>
    <cellStyle name="Normal 23 19 5" xfId="26141" xr:uid="{00000000-0005-0000-0000-0000533C0000}"/>
    <cellStyle name="Normal 23 19 6" xfId="25545" xr:uid="{00000000-0005-0000-0000-0000543C0000}"/>
    <cellStyle name="Normal 23 19 7" xfId="24948" xr:uid="{00000000-0005-0000-0000-0000553C0000}"/>
    <cellStyle name="Normal 23 19 8" xfId="24351" xr:uid="{00000000-0005-0000-0000-0000563C0000}"/>
    <cellStyle name="Normal 23 19 9" xfId="23754" xr:uid="{00000000-0005-0000-0000-0000573C0000}"/>
    <cellStyle name="Normal 23 2" xfId="28530" xr:uid="{00000000-0005-0000-0000-0000583C0000}"/>
    <cellStyle name="Normal 23 2 10" xfId="23156" xr:uid="{00000000-0005-0000-0000-0000593C0000}"/>
    <cellStyle name="Normal 23 2 11" xfId="22559" xr:uid="{00000000-0005-0000-0000-00005A3C0000}"/>
    <cellStyle name="Normal 23 2 12" xfId="21963" xr:uid="{00000000-0005-0000-0000-00005B3C0000}"/>
    <cellStyle name="Normal 23 2 13" xfId="21366" xr:uid="{00000000-0005-0000-0000-00005C3C0000}"/>
    <cellStyle name="Normal 23 2 14" xfId="20769" xr:uid="{00000000-0005-0000-0000-00005D3C0000}"/>
    <cellStyle name="Normal 23 2 15" xfId="20172" xr:uid="{00000000-0005-0000-0000-00005E3C0000}"/>
    <cellStyle name="Normal 23 2 16" xfId="19576" xr:uid="{00000000-0005-0000-0000-00005F3C0000}"/>
    <cellStyle name="Normal 23 2 17" xfId="18980" xr:uid="{00000000-0005-0000-0000-0000603C0000}"/>
    <cellStyle name="Normal 23 2 18" xfId="18388" xr:uid="{00000000-0005-0000-0000-0000613C0000}"/>
    <cellStyle name="Normal 23 2 19" xfId="17791" xr:uid="{00000000-0005-0000-0000-0000623C0000}"/>
    <cellStyle name="Normal 23 2 2" xfId="27930" xr:uid="{00000000-0005-0000-0000-0000633C0000}"/>
    <cellStyle name="Normal 23 2 20" xfId="15547" xr:uid="{00000000-0005-0000-0000-0000643C0000}"/>
    <cellStyle name="Normal 23 2 21" xfId="15667" xr:uid="{00000000-0005-0000-0000-0000653C0000}"/>
    <cellStyle name="Normal 23 2 22" xfId="16444" xr:uid="{00000000-0005-0000-0000-0000663C0000}"/>
    <cellStyle name="Normal 23 2 23" xfId="13880" xr:uid="{00000000-0005-0000-0000-0000673C0000}"/>
    <cellStyle name="Normal 23 2 24" xfId="16252" xr:uid="{00000000-0005-0000-0000-0000683C0000}"/>
    <cellStyle name="Normal 23 2 25" xfId="13517" xr:uid="{00000000-0005-0000-0000-0000693C0000}"/>
    <cellStyle name="Normal 23 2 26" xfId="15219" xr:uid="{00000000-0005-0000-0000-00006A3C0000}"/>
    <cellStyle name="Normal 23 2 27" xfId="14195" xr:uid="{00000000-0005-0000-0000-00006B3C0000}"/>
    <cellStyle name="Normal 23 2 28" xfId="12400" xr:uid="{00000000-0005-0000-0000-00006C3C0000}"/>
    <cellStyle name="Normal 23 2 29" xfId="7749" xr:uid="{00000000-0005-0000-0000-00006D3C0000}"/>
    <cellStyle name="Normal 23 2 3" xfId="27333" xr:uid="{00000000-0005-0000-0000-00006E3C0000}"/>
    <cellStyle name="Normal 23 2 30" xfId="7513" xr:uid="{00000000-0005-0000-0000-00006F3C0000}"/>
    <cellStyle name="Normal 23 2 31" xfId="8688" xr:uid="{00000000-0005-0000-0000-0000703C0000}"/>
    <cellStyle name="Normal 23 2 32" xfId="8558" xr:uid="{00000000-0005-0000-0000-0000713C0000}"/>
    <cellStyle name="Normal 23 2 33" xfId="6256" xr:uid="{00000000-0005-0000-0000-0000723C0000}"/>
    <cellStyle name="Normal 23 2 34" xfId="5915" xr:uid="{00000000-0005-0000-0000-0000733C0000}"/>
    <cellStyle name="Normal 23 2 35" xfId="6889" xr:uid="{00000000-0005-0000-0000-0000743C0000}"/>
    <cellStyle name="Normal 23 2 36" xfId="4417" xr:uid="{00000000-0005-0000-0000-0000753C0000}"/>
    <cellStyle name="Normal 23 2 37" xfId="4884" xr:uid="{00000000-0005-0000-0000-0000763C0000}"/>
    <cellStyle name="Normal 23 2 38" xfId="3629" xr:uid="{00000000-0005-0000-0000-0000773C0000}"/>
    <cellStyle name="Normal 23 2 39" xfId="7001" xr:uid="{00000000-0005-0000-0000-0000783C0000}"/>
    <cellStyle name="Normal 23 2 4" xfId="26736" xr:uid="{00000000-0005-0000-0000-0000793C0000}"/>
    <cellStyle name="Normal 23 2 40" xfId="8711" xr:uid="{00000000-0005-0000-0000-00007A3C0000}"/>
    <cellStyle name="Normal 23 2 41" xfId="8552" xr:uid="{00000000-0005-0000-0000-00007B3C0000}"/>
    <cellStyle name="Normal 23 2 42" xfId="3134" xr:uid="{00000000-0005-0000-0000-00007C3C0000}"/>
    <cellStyle name="Normal 23 2 43" xfId="4932" xr:uid="{00000000-0005-0000-0000-00007D3C0000}"/>
    <cellStyle name="Normal 23 2 44" xfId="2946" xr:uid="{00000000-0005-0000-0000-00007E3C0000}"/>
    <cellStyle name="Normal 23 2 45" xfId="2703" xr:uid="{00000000-0005-0000-0000-00007F3C0000}"/>
    <cellStyle name="Normal 23 2 46" xfId="2463" xr:uid="{00000000-0005-0000-0000-0000803C0000}"/>
    <cellStyle name="Normal 23 2 47" xfId="2223" xr:uid="{00000000-0005-0000-0000-0000813C0000}"/>
    <cellStyle name="Normal 23 2 48" xfId="1983" xr:uid="{00000000-0005-0000-0000-0000823C0000}"/>
    <cellStyle name="Normal 23 2 49" xfId="1743" xr:uid="{00000000-0005-0000-0000-0000833C0000}"/>
    <cellStyle name="Normal 23 2 5" xfId="26140" xr:uid="{00000000-0005-0000-0000-0000843C0000}"/>
    <cellStyle name="Normal 23 2 50" xfId="1504" xr:uid="{00000000-0005-0000-0000-0000853C0000}"/>
    <cellStyle name="Normal 23 2 51" xfId="1264" xr:uid="{00000000-0005-0000-0000-0000863C0000}"/>
    <cellStyle name="Normal 23 2 52" xfId="1024" xr:uid="{00000000-0005-0000-0000-0000873C0000}"/>
    <cellStyle name="Normal 23 2 53" xfId="784" xr:uid="{00000000-0005-0000-0000-0000883C0000}"/>
    <cellStyle name="Normal 23 2 54" xfId="544" xr:uid="{00000000-0005-0000-0000-0000893C0000}"/>
    <cellStyle name="Normal 23 2 55" xfId="305" xr:uid="{00000000-0005-0000-0000-00008A3C0000}"/>
    <cellStyle name="Normal 23 2 56" xfId="67" xr:uid="{00000000-0005-0000-0000-00008B3C0000}"/>
    <cellStyle name="Normal 23 2 6" xfId="25544" xr:uid="{00000000-0005-0000-0000-00008C3C0000}"/>
    <cellStyle name="Normal 23 2 7" xfId="24947" xr:uid="{00000000-0005-0000-0000-00008D3C0000}"/>
    <cellStyle name="Normal 23 2 8" xfId="24350" xr:uid="{00000000-0005-0000-0000-00008E3C0000}"/>
    <cellStyle name="Normal 23 2 9" xfId="23753" xr:uid="{00000000-0005-0000-0000-00008F3C0000}"/>
    <cellStyle name="Normal 23 20" xfId="28529" xr:uid="{00000000-0005-0000-0000-0000903C0000}"/>
    <cellStyle name="Normal 23 20 10" xfId="23155" xr:uid="{00000000-0005-0000-0000-0000913C0000}"/>
    <cellStyle name="Normal 23 20 11" xfId="22558" xr:uid="{00000000-0005-0000-0000-0000923C0000}"/>
    <cellStyle name="Normal 23 20 12" xfId="21962" xr:uid="{00000000-0005-0000-0000-0000933C0000}"/>
    <cellStyle name="Normal 23 20 13" xfId="21365" xr:uid="{00000000-0005-0000-0000-0000943C0000}"/>
    <cellStyle name="Normal 23 20 14" xfId="20768" xr:uid="{00000000-0005-0000-0000-0000953C0000}"/>
    <cellStyle name="Normal 23 20 15" xfId="20171" xr:uid="{00000000-0005-0000-0000-0000963C0000}"/>
    <cellStyle name="Normal 23 20 16" xfId="19575" xr:uid="{00000000-0005-0000-0000-0000973C0000}"/>
    <cellStyle name="Normal 23 20 17" xfId="18979" xr:uid="{00000000-0005-0000-0000-0000983C0000}"/>
    <cellStyle name="Normal 23 20 18" xfId="18387" xr:uid="{00000000-0005-0000-0000-0000993C0000}"/>
    <cellStyle name="Normal 23 20 19" xfId="17790" xr:uid="{00000000-0005-0000-0000-00009A3C0000}"/>
    <cellStyle name="Normal 23 20 2" xfId="27929" xr:uid="{00000000-0005-0000-0000-00009B3C0000}"/>
    <cellStyle name="Normal 23 20 20" xfId="15737" xr:uid="{00000000-0005-0000-0000-00009C3C0000}"/>
    <cellStyle name="Normal 23 20 21" xfId="15657" xr:uid="{00000000-0005-0000-0000-00009D3C0000}"/>
    <cellStyle name="Normal 23 20 22" xfId="17259" xr:uid="{00000000-0005-0000-0000-00009E3C0000}"/>
    <cellStyle name="Normal 23 20 23" xfId="15977" xr:uid="{00000000-0005-0000-0000-00009F3C0000}"/>
    <cellStyle name="Normal 23 20 24" xfId="13134" xr:uid="{00000000-0005-0000-0000-0000A03C0000}"/>
    <cellStyle name="Normal 23 20 25" xfId="13894" xr:uid="{00000000-0005-0000-0000-0000A13C0000}"/>
    <cellStyle name="Normal 23 20 26" xfId="17507" xr:uid="{00000000-0005-0000-0000-0000A23C0000}"/>
    <cellStyle name="Normal 23 20 27" xfId="12773" xr:uid="{00000000-0005-0000-0000-0000A33C0000}"/>
    <cellStyle name="Normal 23 20 28" xfId="12399" xr:uid="{00000000-0005-0000-0000-0000A43C0000}"/>
    <cellStyle name="Normal 23 20 29" xfId="6469" xr:uid="{00000000-0005-0000-0000-0000A53C0000}"/>
    <cellStyle name="Normal 23 20 3" xfId="27332" xr:uid="{00000000-0005-0000-0000-0000A63C0000}"/>
    <cellStyle name="Normal 23 20 30" xfId="7881" xr:uid="{00000000-0005-0000-0000-0000A73C0000}"/>
    <cellStyle name="Normal 23 20 31" xfId="9675" xr:uid="{00000000-0005-0000-0000-0000A83C0000}"/>
    <cellStyle name="Normal 23 20 32" xfId="10734" xr:uid="{00000000-0005-0000-0000-0000A93C0000}"/>
    <cellStyle name="Normal 23 20 33" xfId="8703" xr:uid="{00000000-0005-0000-0000-0000AA3C0000}"/>
    <cellStyle name="Normal 23 20 34" xfId="7482" xr:uid="{00000000-0005-0000-0000-0000AB3C0000}"/>
    <cellStyle name="Normal 23 20 35" xfId="8568" xr:uid="{00000000-0005-0000-0000-0000AC3C0000}"/>
    <cellStyle name="Normal 23 20 36" xfId="7926" xr:uid="{00000000-0005-0000-0000-0000AD3C0000}"/>
    <cellStyle name="Normal 23 20 37" xfId="11594" xr:uid="{00000000-0005-0000-0000-0000AE3C0000}"/>
    <cellStyle name="Normal 23 20 38" xfId="3689" xr:uid="{00000000-0005-0000-0000-0000AF3C0000}"/>
    <cellStyle name="Normal 23 20 39" xfId="8435" xr:uid="{00000000-0005-0000-0000-0000B03C0000}"/>
    <cellStyle name="Normal 23 20 4" xfId="26735" xr:uid="{00000000-0005-0000-0000-0000B13C0000}"/>
    <cellStyle name="Normal 23 20 40" xfId="5806" xr:uid="{00000000-0005-0000-0000-0000B23C0000}"/>
    <cellStyle name="Normal 23 20 41" xfId="3653" xr:uid="{00000000-0005-0000-0000-0000B33C0000}"/>
    <cellStyle name="Normal 23 20 42" xfId="3160" xr:uid="{00000000-0005-0000-0000-0000B43C0000}"/>
    <cellStyle name="Normal 23 20 43" xfId="4279" xr:uid="{00000000-0005-0000-0000-0000B53C0000}"/>
    <cellStyle name="Normal 23 20 5" xfId="26139" xr:uid="{00000000-0005-0000-0000-0000B63C0000}"/>
    <cellStyle name="Normal 23 20 6" xfId="25543" xr:uid="{00000000-0005-0000-0000-0000B73C0000}"/>
    <cellStyle name="Normal 23 20 7" xfId="24946" xr:uid="{00000000-0005-0000-0000-0000B83C0000}"/>
    <cellStyle name="Normal 23 20 8" xfId="24349" xr:uid="{00000000-0005-0000-0000-0000B93C0000}"/>
    <cellStyle name="Normal 23 20 9" xfId="23752" xr:uid="{00000000-0005-0000-0000-0000BA3C0000}"/>
    <cellStyle name="Normal 23 21" xfId="28528" xr:uid="{00000000-0005-0000-0000-0000BB3C0000}"/>
    <cellStyle name="Normal 23 21 10" xfId="23154" xr:uid="{00000000-0005-0000-0000-0000BC3C0000}"/>
    <cellStyle name="Normal 23 21 11" xfId="22557" xr:uid="{00000000-0005-0000-0000-0000BD3C0000}"/>
    <cellStyle name="Normal 23 21 12" xfId="21961" xr:uid="{00000000-0005-0000-0000-0000BE3C0000}"/>
    <cellStyle name="Normal 23 21 13" xfId="21364" xr:uid="{00000000-0005-0000-0000-0000BF3C0000}"/>
    <cellStyle name="Normal 23 21 14" xfId="20767" xr:uid="{00000000-0005-0000-0000-0000C03C0000}"/>
    <cellStyle name="Normal 23 21 15" xfId="20170" xr:uid="{00000000-0005-0000-0000-0000C13C0000}"/>
    <cellStyle name="Normal 23 21 16" xfId="19574" xr:uid="{00000000-0005-0000-0000-0000C23C0000}"/>
    <cellStyle name="Normal 23 21 17" xfId="18978" xr:uid="{00000000-0005-0000-0000-0000C33C0000}"/>
    <cellStyle name="Normal 23 21 18" xfId="18386" xr:uid="{00000000-0005-0000-0000-0000C43C0000}"/>
    <cellStyle name="Normal 23 21 19" xfId="17789" xr:uid="{00000000-0005-0000-0000-0000C53C0000}"/>
    <cellStyle name="Normal 23 21 2" xfId="27928" xr:uid="{00000000-0005-0000-0000-0000C63C0000}"/>
    <cellStyle name="Normal 23 21 20" xfId="15937" xr:uid="{00000000-0005-0000-0000-0000C73C0000}"/>
    <cellStyle name="Normal 23 21 21" xfId="15255" xr:uid="{00000000-0005-0000-0000-0000C83C0000}"/>
    <cellStyle name="Normal 23 21 22" xfId="14502" xr:uid="{00000000-0005-0000-0000-0000C93C0000}"/>
    <cellStyle name="Normal 23 21 23" xfId="13729" xr:uid="{00000000-0005-0000-0000-0000CA3C0000}"/>
    <cellStyle name="Normal 23 21 24" xfId="13081" xr:uid="{00000000-0005-0000-0000-0000CB3C0000}"/>
    <cellStyle name="Normal 23 21 25" xfId="16613" xr:uid="{00000000-0005-0000-0000-0000CC3C0000}"/>
    <cellStyle name="Normal 23 21 26" xfId="13236" xr:uid="{00000000-0005-0000-0000-0000CD3C0000}"/>
    <cellStyle name="Normal 23 21 27" xfId="12761" xr:uid="{00000000-0005-0000-0000-0000CE3C0000}"/>
    <cellStyle name="Normal 23 21 28" xfId="12398" xr:uid="{00000000-0005-0000-0000-0000CF3C0000}"/>
    <cellStyle name="Normal 23 21 29" xfId="8019" xr:uid="{00000000-0005-0000-0000-0000D03C0000}"/>
    <cellStyle name="Normal 23 21 3" xfId="27331" xr:uid="{00000000-0005-0000-0000-0000D13C0000}"/>
    <cellStyle name="Normal 23 21 30" xfId="7023" xr:uid="{00000000-0005-0000-0000-0000D23C0000}"/>
    <cellStyle name="Normal 23 21 31" xfId="11939" xr:uid="{00000000-0005-0000-0000-0000D33C0000}"/>
    <cellStyle name="Normal 23 21 32" xfId="10223" xr:uid="{00000000-0005-0000-0000-0000D43C0000}"/>
    <cellStyle name="Normal 23 21 33" xfId="9778" xr:uid="{00000000-0005-0000-0000-0000D53C0000}"/>
    <cellStyle name="Normal 23 21 34" xfId="5620" xr:uid="{00000000-0005-0000-0000-0000D63C0000}"/>
    <cellStyle name="Normal 23 21 35" xfId="11056" xr:uid="{00000000-0005-0000-0000-0000D73C0000}"/>
    <cellStyle name="Normal 23 21 36" xfId="8556" xr:uid="{00000000-0005-0000-0000-0000D83C0000}"/>
    <cellStyle name="Normal 23 21 37" xfId="8417" xr:uid="{00000000-0005-0000-0000-0000D93C0000}"/>
    <cellStyle name="Normal 23 21 38" xfId="10333" xr:uid="{00000000-0005-0000-0000-0000DA3C0000}"/>
    <cellStyle name="Normal 23 21 39" xfId="3663" xr:uid="{00000000-0005-0000-0000-0000DB3C0000}"/>
    <cellStyle name="Normal 23 21 4" xfId="26734" xr:uid="{00000000-0005-0000-0000-0000DC3C0000}"/>
    <cellStyle name="Normal 23 21 40" xfId="11514" xr:uid="{00000000-0005-0000-0000-0000DD3C0000}"/>
    <cellStyle name="Normal 23 21 41" xfId="6862" xr:uid="{00000000-0005-0000-0000-0000DE3C0000}"/>
    <cellStyle name="Normal 23 21 42" xfId="9026" xr:uid="{00000000-0005-0000-0000-0000DF3C0000}"/>
    <cellStyle name="Normal 23 21 43" xfId="4356" xr:uid="{00000000-0005-0000-0000-0000E03C0000}"/>
    <cellStyle name="Normal 23 21 5" xfId="26138" xr:uid="{00000000-0005-0000-0000-0000E13C0000}"/>
    <cellStyle name="Normal 23 21 6" xfId="25542" xr:uid="{00000000-0005-0000-0000-0000E23C0000}"/>
    <cellStyle name="Normal 23 21 7" xfId="24945" xr:uid="{00000000-0005-0000-0000-0000E33C0000}"/>
    <cellStyle name="Normal 23 21 8" xfId="24348" xr:uid="{00000000-0005-0000-0000-0000E43C0000}"/>
    <cellStyle name="Normal 23 21 9" xfId="23751" xr:uid="{00000000-0005-0000-0000-0000E53C0000}"/>
    <cellStyle name="Normal 23 22" xfId="28527" xr:uid="{00000000-0005-0000-0000-0000E63C0000}"/>
    <cellStyle name="Normal 23 22 10" xfId="23153" xr:uid="{00000000-0005-0000-0000-0000E73C0000}"/>
    <cellStyle name="Normal 23 22 11" xfId="22556" xr:uid="{00000000-0005-0000-0000-0000E83C0000}"/>
    <cellStyle name="Normal 23 22 12" xfId="21960" xr:uid="{00000000-0005-0000-0000-0000E93C0000}"/>
    <cellStyle name="Normal 23 22 13" xfId="21363" xr:uid="{00000000-0005-0000-0000-0000EA3C0000}"/>
    <cellStyle name="Normal 23 22 14" xfId="20766" xr:uid="{00000000-0005-0000-0000-0000EB3C0000}"/>
    <cellStyle name="Normal 23 22 15" xfId="20169" xr:uid="{00000000-0005-0000-0000-0000EC3C0000}"/>
    <cellStyle name="Normal 23 22 16" xfId="19573" xr:uid="{00000000-0005-0000-0000-0000ED3C0000}"/>
    <cellStyle name="Normal 23 22 17" xfId="18977" xr:uid="{00000000-0005-0000-0000-0000EE3C0000}"/>
    <cellStyle name="Normal 23 22 18" xfId="18385" xr:uid="{00000000-0005-0000-0000-0000EF3C0000}"/>
    <cellStyle name="Normal 23 22 19" xfId="17788" xr:uid="{00000000-0005-0000-0000-0000F03C0000}"/>
    <cellStyle name="Normal 23 22 2" xfId="27927" xr:uid="{00000000-0005-0000-0000-0000F13C0000}"/>
    <cellStyle name="Normal 23 22 20" xfId="16145" xr:uid="{00000000-0005-0000-0000-0000F23C0000}"/>
    <cellStyle name="Normal 23 22 21" xfId="14637" xr:uid="{00000000-0005-0000-0000-0000F33C0000}"/>
    <cellStyle name="Normal 23 22 22" xfId="14914" xr:uid="{00000000-0005-0000-0000-0000F43C0000}"/>
    <cellStyle name="Normal 23 22 23" xfId="14791" xr:uid="{00000000-0005-0000-0000-0000F53C0000}"/>
    <cellStyle name="Normal 23 22 24" xfId="13266" xr:uid="{00000000-0005-0000-0000-0000F63C0000}"/>
    <cellStyle name="Normal 23 22 25" xfId="13836" xr:uid="{00000000-0005-0000-0000-0000F73C0000}"/>
    <cellStyle name="Normal 23 22 26" xfId="16283" xr:uid="{00000000-0005-0000-0000-0000F83C0000}"/>
    <cellStyle name="Normal 23 22 27" xfId="15271" xr:uid="{00000000-0005-0000-0000-0000F93C0000}"/>
    <cellStyle name="Normal 23 22 28" xfId="12397" xr:uid="{00000000-0005-0000-0000-0000FA3C0000}"/>
    <cellStyle name="Normal 23 22 29" xfId="7285" xr:uid="{00000000-0005-0000-0000-0000FB3C0000}"/>
    <cellStyle name="Normal 23 22 3" xfId="27330" xr:uid="{00000000-0005-0000-0000-0000FC3C0000}"/>
    <cellStyle name="Normal 23 22 30" xfId="7497" xr:uid="{00000000-0005-0000-0000-0000FD3C0000}"/>
    <cellStyle name="Normal 23 22 31" xfId="10265" xr:uid="{00000000-0005-0000-0000-0000FE3C0000}"/>
    <cellStyle name="Normal 23 22 32" xfId="9060" xr:uid="{00000000-0005-0000-0000-0000FF3C0000}"/>
    <cellStyle name="Normal 23 22 33" xfId="10861" xr:uid="{00000000-0005-0000-0000-0000003D0000}"/>
    <cellStyle name="Normal 23 22 34" xfId="8187" xr:uid="{00000000-0005-0000-0000-0000013D0000}"/>
    <cellStyle name="Normal 23 22 35" xfId="10646" xr:uid="{00000000-0005-0000-0000-0000023D0000}"/>
    <cellStyle name="Normal 23 22 36" xfId="4818" xr:uid="{00000000-0005-0000-0000-0000033D0000}"/>
    <cellStyle name="Normal 23 22 37" xfId="10857" xr:uid="{00000000-0005-0000-0000-0000043D0000}"/>
    <cellStyle name="Normal 23 22 38" xfId="3676" xr:uid="{00000000-0005-0000-0000-0000053D0000}"/>
    <cellStyle name="Normal 23 22 39" xfId="12006" xr:uid="{00000000-0005-0000-0000-0000063D0000}"/>
    <cellStyle name="Normal 23 22 4" xfId="26733" xr:uid="{00000000-0005-0000-0000-0000073D0000}"/>
    <cellStyle name="Normal 23 22 40" xfId="7635" xr:uid="{00000000-0005-0000-0000-0000083D0000}"/>
    <cellStyle name="Normal 23 22 41" xfId="9297" xr:uid="{00000000-0005-0000-0000-0000093D0000}"/>
    <cellStyle name="Normal 23 22 42" xfId="11717" xr:uid="{00000000-0005-0000-0000-00000A3D0000}"/>
    <cellStyle name="Normal 23 22 43" xfId="5755" xr:uid="{00000000-0005-0000-0000-00000B3D0000}"/>
    <cellStyle name="Normal 23 22 5" xfId="26137" xr:uid="{00000000-0005-0000-0000-00000C3D0000}"/>
    <cellStyle name="Normal 23 22 6" xfId="25541" xr:uid="{00000000-0005-0000-0000-00000D3D0000}"/>
    <cellStyle name="Normal 23 22 7" xfId="24944" xr:uid="{00000000-0005-0000-0000-00000E3D0000}"/>
    <cellStyle name="Normal 23 22 8" xfId="24347" xr:uid="{00000000-0005-0000-0000-00000F3D0000}"/>
    <cellStyle name="Normal 23 22 9" xfId="23750" xr:uid="{00000000-0005-0000-0000-0000103D0000}"/>
    <cellStyle name="Normal 23 23" xfId="28526" xr:uid="{00000000-0005-0000-0000-0000113D0000}"/>
    <cellStyle name="Normal 23 23 10" xfId="23152" xr:uid="{00000000-0005-0000-0000-0000123D0000}"/>
    <cellStyle name="Normal 23 23 11" xfId="22555" xr:uid="{00000000-0005-0000-0000-0000133D0000}"/>
    <cellStyle name="Normal 23 23 12" xfId="21959" xr:uid="{00000000-0005-0000-0000-0000143D0000}"/>
    <cellStyle name="Normal 23 23 13" xfId="21362" xr:uid="{00000000-0005-0000-0000-0000153D0000}"/>
    <cellStyle name="Normal 23 23 14" xfId="20765" xr:uid="{00000000-0005-0000-0000-0000163D0000}"/>
    <cellStyle name="Normal 23 23 15" xfId="20168" xr:uid="{00000000-0005-0000-0000-0000173D0000}"/>
    <cellStyle name="Normal 23 23 16" xfId="19572" xr:uid="{00000000-0005-0000-0000-0000183D0000}"/>
    <cellStyle name="Normal 23 23 17" xfId="18976" xr:uid="{00000000-0005-0000-0000-0000193D0000}"/>
    <cellStyle name="Normal 23 23 18" xfId="18384" xr:uid="{00000000-0005-0000-0000-00001A3D0000}"/>
    <cellStyle name="Normal 23 23 19" xfId="17787" xr:uid="{00000000-0005-0000-0000-00001B3D0000}"/>
    <cellStyle name="Normal 23 23 2" xfId="27926" xr:uid="{00000000-0005-0000-0000-00001C3D0000}"/>
    <cellStyle name="Normal 23 23 20" xfId="16346" xr:uid="{00000000-0005-0000-0000-00001D3D0000}"/>
    <cellStyle name="Normal 23 23 21" xfId="14234" xr:uid="{00000000-0005-0000-0000-00001E3D0000}"/>
    <cellStyle name="Normal 23 23 22" xfId="15763" xr:uid="{00000000-0005-0000-0000-00001F3D0000}"/>
    <cellStyle name="Normal 23 23 23" xfId="16206" xr:uid="{00000000-0005-0000-0000-0000203D0000}"/>
    <cellStyle name="Normal 23 23 24" xfId="14111" xr:uid="{00000000-0005-0000-0000-0000213D0000}"/>
    <cellStyle name="Normal 23 23 25" xfId="16696" xr:uid="{00000000-0005-0000-0000-0000223D0000}"/>
    <cellStyle name="Normal 23 23 26" xfId="14214" xr:uid="{00000000-0005-0000-0000-0000233D0000}"/>
    <cellStyle name="Normal 23 23 27" xfId="13378" xr:uid="{00000000-0005-0000-0000-0000243D0000}"/>
    <cellStyle name="Normal 23 23 28" xfId="12396" xr:uid="{00000000-0005-0000-0000-0000253D0000}"/>
    <cellStyle name="Normal 23 23 29" xfId="7958" xr:uid="{00000000-0005-0000-0000-0000263D0000}"/>
    <cellStyle name="Normal 23 23 3" xfId="27329" xr:uid="{00000000-0005-0000-0000-0000273D0000}"/>
    <cellStyle name="Normal 23 23 30" xfId="11979" xr:uid="{00000000-0005-0000-0000-0000283D0000}"/>
    <cellStyle name="Normal 23 23 31" xfId="9160" xr:uid="{00000000-0005-0000-0000-0000293D0000}"/>
    <cellStyle name="Normal 23 23 32" xfId="5146" xr:uid="{00000000-0005-0000-0000-00002A3D0000}"/>
    <cellStyle name="Normal 23 23 33" xfId="7706" xr:uid="{00000000-0005-0000-0000-00002B3D0000}"/>
    <cellStyle name="Normal 23 23 34" xfId="6952" xr:uid="{00000000-0005-0000-0000-00002C3D0000}"/>
    <cellStyle name="Normal 23 23 35" xfId="9845" xr:uid="{00000000-0005-0000-0000-00002D3D0000}"/>
    <cellStyle name="Normal 23 23 36" xfId="5829" xr:uid="{00000000-0005-0000-0000-00002E3D0000}"/>
    <cellStyle name="Normal 23 23 37" xfId="5435" xr:uid="{00000000-0005-0000-0000-00002F3D0000}"/>
    <cellStyle name="Normal 23 23 38" xfId="9020" xr:uid="{00000000-0005-0000-0000-0000303D0000}"/>
    <cellStyle name="Normal 23 23 39" xfId="11286" xr:uid="{00000000-0005-0000-0000-0000313D0000}"/>
    <cellStyle name="Normal 23 23 4" xfId="26732" xr:uid="{00000000-0005-0000-0000-0000323D0000}"/>
    <cellStyle name="Normal 23 23 40" xfId="3435" xr:uid="{00000000-0005-0000-0000-0000333D0000}"/>
    <cellStyle name="Normal 23 23 41" xfId="3745" xr:uid="{00000000-0005-0000-0000-0000343D0000}"/>
    <cellStyle name="Normal 23 23 42" xfId="5998" xr:uid="{00000000-0005-0000-0000-0000353D0000}"/>
    <cellStyle name="Normal 23 23 43" xfId="10359" xr:uid="{00000000-0005-0000-0000-0000363D0000}"/>
    <cellStyle name="Normal 23 23 5" xfId="26136" xr:uid="{00000000-0005-0000-0000-0000373D0000}"/>
    <cellStyle name="Normal 23 23 6" xfId="25540" xr:uid="{00000000-0005-0000-0000-0000383D0000}"/>
    <cellStyle name="Normal 23 23 7" xfId="24943" xr:uid="{00000000-0005-0000-0000-0000393D0000}"/>
    <cellStyle name="Normal 23 23 8" xfId="24346" xr:uid="{00000000-0005-0000-0000-00003A3D0000}"/>
    <cellStyle name="Normal 23 23 9" xfId="23749" xr:uid="{00000000-0005-0000-0000-00003B3D0000}"/>
    <cellStyle name="Normal 23 24" xfId="28525" xr:uid="{00000000-0005-0000-0000-00003C3D0000}"/>
    <cellStyle name="Normal 23 24 10" xfId="23151" xr:uid="{00000000-0005-0000-0000-00003D3D0000}"/>
    <cellStyle name="Normal 23 24 11" xfId="22554" xr:uid="{00000000-0005-0000-0000-00003E3D0000}"/>
    <cellStyle name="Normal 23 24 12" xfId="21958" xr:uid="{00000000-0005-0000-0000-00003F3D0000}"/>
    <cellStyle name="Normal 23 24 13" xfId="21361" xr:uid="{00000000-0005-0000-0000-0000403D0000}"/>
    <cellStyle name="Normal 23 24 14" xfId="20764" xr:uid="{00000000-0005-0000-0000-0000413D0000}"/>
    <cellStyle name="Normal 23 24 15" xfId="20167" xr:uid="{00000000-0005-0000-0000-0000423D0000}"/>
    <cellStyle name="Normal 23 24 16" xfId="19571" xr:uid="{00000000-0005-0000-0000-0000433D0000}"/>
    <cellStyle name="Normal 23 24 17" xfId="18975" xr:uid="{00000000-0005-0000-0000-0000443D0000}"/>
    <cellStyle name="Normal 23 24 18" xfId="18383" xr:uid="{00000000-0005-0000-0000-0000453D0000}"/>
    <cellStyle name="Normal 23 24 19" xfId="17786" xr:uid="{00000000-0005-0000-0000-0000463D0000}"/>
    <cellStyle name="Normal 23 24 2" xfId="27925" xr:uid="{00000000-0005-0000-0000-0000473D0000}"/>
    <cellStyle name="Normal 23 24 20" xfId="16536" xr:uid="{00000000-0005-0000-0000-0000483D0000}"/>
    <cellStyle name="Normal 23 24 21" xfId="17214" xr:uid="{00000000-0005-0000-0000-0000493D0000}"/>
    <cellStyle name="Normal 23 24 22" xfId="16583" xr:uid="{00000000-0005-0000-0000-00004A3D0000}"/>
    <cellStyle name="Normal 23 24 23" xfId="15461" xr:uid="{00000000-0005-0000-0000-00004B3D0000}"/>
    <cellStyle name="Normal 23 24 24" xfId="13348" xr:uid="{00000000-0005-0000-0000-00004C3D0000}"/>
    <cellStyle name="Normal 23 24 25" xfId="13136" xr:uid="{00000000-0005-0000-0000-00004D3D0000}"/>
    <cellStyle name="Normal 23 24 26" xfId="14004" xr:uid="{00000000-0005-0000-0000-00004E3D0000}"/>
    <cellStyle name="Normal 23 24 27" xfId="13851" xr:uid="{00000000-0005-0000-0000-00004F3D0000}"/>
    <cellStyle name="Normal 23 24 28" xfId="12395" xr:uid="{00000000-0005-0000-0000-0000503D0000}"/>
    <cellStyle name="Normal 23 24 29" xfId="6968" xr:uid="{00000000-0005-0000-0000-0000513D0000}"/>
    <cellStyle name="Normal 23 24 3" xfId="27328" xr:uid="{00000000-0005-0000-0000-0000523D0000}"/>
    <cellStyle name="Normal 23 24 30" xfId="8791" xr:uid="{00000000-0005-0000-0000-0000533D0000}"/>
    <cellStyle name="Normal 23 24 31" xfId="8402" xr:uid="{00000000-0005-0000-0000-0000543D0000}"/>
    <cellStyle name="Normal 23 24 32" xfId="5527" xr:uid="{00000000-0005-0000-0000-0000553D0000}"/>
    <cellStyle name="Normal 23 24 33" xfId="8045" xr:uid="{00000000-0005-0000-0000-0000563D0000}"/>
    <cellStyle name="Normal 23 24 34" xfId="10807" xr:uid="{00000000-0005-0000-0000-0000573D0000}"/>
    <cellStyle name="Normal 23 24 35" xfId="4215" xr:uid="{00000000-0005-0000-0000-0000583D0000}"/>
    <cellStyle name="Normal 23 24 36" xfId="4089" xr:uid="{00000000-0005-0000-0000-0000593D0000}"/>
    <cellStyle name="Normal 23 24 37" xfId="10224" xr:uid="{00000000-0005-0000-0000-00005A3D0000}"/>
    <cellStyle name="Normal 23 24 38" xfId="3701" xr:uid="{00000000-0005-0000-0000-00005B3D0000}"/>
    <cellStyle name="Normal 23 24 39" xfId="5515" xr:uid="{00000000-0005-0000-0000-00005C3D0000}"/>
    <cellStyle name="Normal 23 24 4" xfId="26731" xr:uid="{00000000-0005-0000-0000-00005D3D0000}"/>
    <cellStyle name="Normal 23 24 40" xfId="4583" xr:uid="{00000000-0005-0000-0000-00005E3D0000}"/>
    <cellStyle name="Normal 23 24 41" xfId="4068" xr:uid="{00000000-0005-0000-0000-00005F3D0000}"/>
    <cellStyle name="Normal 23 24 42" xfId="8570" xr:uid="{00000000-0005-0000-0000-0000603D0000}"/>
    <cellStyle name="Normal 23 24 43" xfId="8444" xr:uid="{00000000-0005-0000-0000-0000613D0000}"/>
    <cellStyle name="Normal 23 24 5" xfId="26135" xr:uid="{00000000-0005-0000-0000-0000623D0000}"/>
    <cellStyle name="Normal 23 24 6" xfId="25539" xr:uid="{00000000-0005-0000-0000-0000633D0000}"/>
    <cellStyle name="Normal 23 24 7" xfId="24942" xr:uid="{00000000-0005-0000-0000-0000643D0000}"/>
    <cellStyle name="Normal 23 24 8" xfId="24345" xr:uid="{00000000-0005-0000-0000-0000653D0000}"/>
    <cellStyle name="Normal 23 24 9" xfId="23748" xr:uid="{00000000-0005-0000-0000-0000663D0000}"/>
    <cellStyle name="Normal 23 25" xfId="28524" xr:uid="{00000000-0005-0000-0000-0000673D0000}"/>
    <cellStyle name="Normal 23 25 10" xfId="23150" xr:uid="{00000000-0005-0000-0000-0000683D0000}"/>
    <cellStyle name="Normal 23 25 11" xfId="22553" xr:uid="{00000000-0005-0000-0000-0000693D0000}"/>
    <cellStyle name="Normal 23 25 12" xfId="21957" xr:uid="{00000000-0005-0000-0000-00006A3D0000}"/>
    <cellStyle name="Normal 23 25 13" xfId="21360" xr:uid="{00000000-0005-0000-0000-00006B3D0000}"/>
    <cellStyle name="Normal 23 25 14" xfId="20763" xr:uid="{00000000-0005-0000-0000-00006C3D0000}"/>
    <cellStyle name="Normal 23 25 15" xfId="20166" xr:uid="{00000000-0005-0000-0000-00006D3D0000}"/>
    <cellStyle name="Normal 23 25 16" xfId="19570" xr:uid="{00000000-0005-0000-0000-00006E3D0000}"/>
    <cellStyle name="Normal 23 25 17" xfId="18974" xr:uid="{00000000-0005-0000-0000-00006F3D0000}"/>
    <cellStyle name="Normal 23 25 18" xfId="18382" xr:uid="{00000000-0005-0000-0000-0000703D0000}"/>
    <cellStyle name="Normal 23 25 19" xfId="17785" xr:uid="{00000000-0005-0000-0000-0000713D0000}"/>
    <cellStyle name="Normal 23 25 2" xfId="27924" xr:uid="{00000000-0005-0000-0000-0000723D0000}"/>
    <cellStyle name="Normal 23 25 20" xfId="16730" xr:uid="{00000000-0005-0000-0000-0000733D0000}"/>
    <cellStyle name="Normal 23 25 21" xfId="16797" xr:uid="{00000000-0005-0000-0000-0000743D0000}"/>
    <cellStyle name="Normal 23 25 22" xfId="16171" xr:uid="{00000000-0005-0000-0000-0000753D0000}"/>
    <cellStyle name="Normal 23 25 23" xfId="17354" xr:uid="{00000000-0005-0000-0000-0000763D0000}"/>
    <cellStyle name="Normal 23 25 24" xfId="14030" xr:uid="{00000000-0005-0000-0000-0000773D0000}"/>
    <cellStyle name="Normal 23 25 25" xfId="16382" xr:uid="{00000000-0005-0000-0000-0000783D0000}"/>
    <cellStyle name="Normal 23 25 26" xfId="16404" xr:uid="{00000000-0005-0000-0000-0000793D0000}"/>
    <cellStyle name="Normal 23 25 27" xfId="12865" xr:uid="{00000000-0005-0000-0000-00007A3D0000}"/>
    <cellStyle name="Normal 23 25 28" xfId="12394" xr:uid="{00000000-0005-0000-0000-00007B3D0000}"/>
    <cellStyle name="Normal 23 25 29" xfId="7936" xr:uid="{00000000-0005-0000-0000-00007C3D0000}"/>
    <cellStyle name="Normal 23 25 3" xfId="27327" xr:uid="{00000000-0005-0000-0000-00007D3D0000}"/>
    <cellStyle name="Normal 23 25 30" xfId="11531" xr:uid="{00000000-0005-0000-0000-00007E3D0000}"/>
    <cellStyle name="Normal 23 25 31" xfId="10931" xr:uid="{00000000-0005-0000-0000-00007F3D0000}"/>
    <cellStyle name="Normal 23 25 32" xfId="5174" xr:uid="{00000000-0005-0000-0000-0000803D0000}"/>
    <cellStyle name="Normal 23 25 33" xfId="11950" xr:uid="{00000000-0005-0000-0000-0000813D0000}"/>
    <cellStyle name="Normal 23 25 34" xfId="7072" xr:uid="{00000000-0005-0000-0000-0000823D0000}"/>
    <cellStyle name="Normal 23 25 35" xfId="4199" xr:uid="{00000000-0005-0000-0000-0000833D0000}"/>
    <cellStyle name="Normal 23 25 36" xfId="4070" xr:uid="{00000000-0005-0000-0000-0000843D0000}"/>
    <cellStyle name="Normal 23 25 37" xfId="10765" xr:uid="{00000000-0005-0000-0000-0000853D0000}"/>
    <cellStyle name="Normal 23 25 38" xfId="8341" xr:uid="{00000000-0005-0000-0000-0000863D0000}"/>
    <cellStyle name="Normal 23 25 39" xfId="3954" xr:uid="{00000000-0005-0000-0000-0000873D0000}"/>
    <cellStyle name="Normal 23 25 4" xfId="26730" xr:uid="{00000000-0005-0000-0000-0000883D0000}"/>
    <cellStyle name="Normal 23 25 40" xfId="12077" xr:uid="{00000000-0005-0000-0000-0000893D0000}"/>
    <cellStyle name="Normal 23 25 41" xfId="7434" xr:uid="{00000000-0005-0000-0000-00008A3D0000}"/>
    <cellStyle name="Normal 23 25 42" xfId="11066" xr:uid="{00000000-0005-0000-0000-00008B3D0000}"/>
    <cellStyle name="Normal 23 25 43" xfId="3276" xr:uid="{00000000-0005-0000-0000-00008C3D0000}"/>
    <cellStyle name="Normal 23 25 5" xfId="26134" xr:uid="{00000000-0005-0000-0000-00008D3D0000}"/>
    <cellStyle name="Normal 23 25 6" xfId="25538" xr:uid="{00000000-0005-0000-0000-00008E3D0000}"/>
    <cellStyle name="Normal 23 25 7" xfId="24941" xr:uid="{00000000-0005-0000-0000-00008F3D0000}"/>
    <cellStyle name="Normal 23 25 8" xfId="24344" xr:uid="{00000000-0005-0000-0000-0000903D0000}"/>
    <cellStyle name="Normal 23 25 9" xfId="23747" xr:uid="{00000000-0005-0000-0000-0000913D0000}"/>
    <cellStyle name="Normal 23 26" xfId="28523" xr:uid="{00000000-0005-0000-0000-0000923D0000}"/>
    <cellStyle name="Normal 23 26 10" xfId="23149" xr:uid="{00000000-0005-0000-0000-0000933D0000}"/>
    <cellStyle name="Normal 23 26 11" xfId="22552" xr:uid="{00000000-0005-0000-0000-0000943D0000}"/>
    <cellStyle name="Normal 23 26 12" xfId="21956" xr:uid="{00000000-0005-0000-0000-0000953D0000}"/>
    <cellStyle name="Normal 23 26 13" xfId="21359" xr:uid="{00000000-0005-0000-0000-0000963D0000}"/>
    <cellStyle name="Normal 23 26 14" xfId="20762" xr:uid="{00000000-0005-0000-0000-0000973D0000}"/>
    <cellStyle name="Normal 23 26 15" xfId="20165" xr:uid="{00000000-0005-0000-0000-0000983D0000}"/>
    <cellStyle name="Normal 23 26 16" xfId="19569" xr:uid="{00000000-0005-0000-0000-0000993D0000}"/>
    <cellStyle name="Normal 23 26 17" xfId="18973" xr:uid="{00000000-0005-0000-0000-00009A3D0000}"/>
    <cellStyle name="Normal 23 26 18" xfId="18381" xr:uid="{00000000-0005-0000-0000-00009B3D0000}"/>
    <cellStyle name="Normal 23 26 19" xfId="17784" xr:uid="{00000000-0005-0000-0000-00009C3D0000}"/>
    <cellStyle name="Normal 23 26 2" xfId="27923" xr:uid="{00000000-0005-0000-0000-00009D3D0000}"/>
    <cellStyle name="Normal 23 26 20" xfId="16927" xr:uid="{00000000-0005-0000-0000-00009E3D0000}"/>
    <cellStyle name="Normal 23 26 21" xfId="17199" xr:uid="{00000000-0005-0000-0000-00009F3D0000}"/>
    <cellStyle name="Normal 23 26 22" xfId="15715" xr:uid="{00000000-0005-0000-0000-0000A03D0000}"/>
    <cellStyle name="Normal 23 26 23" xfId="15097" xr:uid="{00000000-0005-0000-0000-0000A13D0000}"/>
    <cellStyle name="Normal 23 26 24" xfId="13611" xr:uid="{00000000-0005-0000-0000-0000A23D0000}"/>
    <cellStyle name="Normal 23 26 25" xfId="13995" xr:uid="{00000000-0005-0000-0000-0000A33D0000}"/>
    <cellStyle name="Normal 23 26 26" xfId="15163" xr:uid="{00000000-0005-0000-0000-0000A43D0000}"/>
    <cellStyle name="Normal 23 26 27" xfId="12822" xr:uid="{00000000-0005-0000-0000-0000A53D0000}"/>
    <cellStyle name="Normal 23 26 28" xfId="12393" xr:uid="{00000000-0005-0000-0000-0000A63D0000}"/>
    <cellStyle name="Normal 23 26 29" xfId="11910" xr:uid="{00000000-0005-0000-0000-0000A73D0000}"/>
    <cellStyle name="Normal 23 26 3" xfId="27326" xr:uid="{00000000-0005-0000-0000-0000A83D0000}"/>
    <cellStyle name="Normal 23 26 30" xfId="10387" xr:uid="{00000000-0005-0000-0000-0000A93D0000}"/>
    <cellStyle name="Normal 23 26 31" xfId="6718" xr:uid="{00000000-0005-0000-0000-0000AA3D0000}"/>
    <cellStyle name="Normal 23 26 32" xfId="5470" xr:uid="{00000000-0005-0000-0000-0000AB3D0000}"/>
    <cellStyle name="Normal 23 26 33" xfId="6153" xr:uid="{00000000-0005-0000-0000-0000AC3D0000}"/>
    <cellStyle name="Normal 23 26 34" xfId="9947" xr:uid="{00000000-0005-0000-0000-0000AD3D0000}"/>
    <cellStyle name="Normal 23 26 35" xfId="4420" xr:uid="{00000000-0005-0000-0000-0000AE3D0000}"/>
    <cellStyle name="Normal 23 26 36" xfId="10049" xr:uid="{00000000-0005-0000-0000-0000AF3D0000}"/>
    <cellStyle name="Normal 23 26 37" xfId="5734" xr:uid="{00000000-0005-0000-0000-0000B03D0000}"/>
    <cellStyle name="Normal 23 26 38" xfId="11315" xr:uid="{00000000-0005-0000-0000-0000B13D0000}"/>
    <cellStyle name="Normal 23 26 39" xfId="4024" xr:uid="{00000000-0005-0000-0000-0000B23D0000}"/>
    <cellStyle name="Normal 23 26 4" xfId="26729" xr:uid="{00000000-0005-0000-0000-0000B33D0000}"/>
    <cellStyle name="Normal 23 26 40" xfId="7338" xr:uid="{00000000-0005-0000-0000-0000B43D0000}"/>
    <cellStyle name="Normal 23 26 41" xfId="8528" xr:uid="{00000000-0005-0000-0000-0000B53D0000}"/>
    <cellStyle name="Normal 23 26 42" xfId="5629" xr:uid="{00000000-0005-0000-0000-0000B63D0000}"/>
    <cellStyle name="Normal 23 26 43" xfId="3115" xr:uid="{00000000-0005-0000-0000-0000B73D0000}"/>
    <cellStyle name="Normal 23 26 5" xfId="26133" xr:uid="{00000000-0005-0000-0000-0000B83D0000}"/>
    <cellStyle name="Normal 23 26 6" xfId="25537" xr:uid="{00000000-0005-0000-0000-0000B93D0000}"/>
    <cellStyle name="Normal 23 26 7" xfId="24940" xr:uid="{00000000-0005-0000-0000-0000BA3D0000}"/>
    <cellStyle name="Normal 23 26 8" xfId="24343" xr:uid="{00000000-0005-0000-0000-0000BB3D0000}"/>
    <cellStyle name="Normal 23 26 9" xfId="23746" xr:uid="{00000000-0005-0000-0000-0000BC3D0000}"/>
    <cellStyle name="Normal 23 27" xfId="27941" xr:uid="{00000000-0005-0000-0000-0000BD3D0000}"/>
    <cellStyle name="Normal 23 28" xfId="27344" xr:uid="{00000000-0005-0000-0000-0000BE3D0000}"/>
    <cellStyle name="Normal 23 29" xfId="26747" xr:uid="{00000000-0005-0000-0000-0000BF3D0000}"/>
    <cellStyle name="Normal 23 3" xfId="28522" xr:uid="{00000000-0005-0000-0000-0000C03D0000}"/>
    <cellStyle name="Normal 23 3 10" xfId="23148" xr:uid="{00000000-0005-0000-0000-0000C13D0000}"/>
    <cellStyle name="Normal 23 3 11" xfId="22551" xr:uid="{00000000-0005-0000-0000-0000C23D0000}"/>
    <cellStyle name="Normal 23 3 12" xfId="21955" xr:uid="{00000000-0005-0000-0000-0000C33D0000}"/>
    <cellStyle name="Normal 23 3 13" xfId="21358" xr:uid="{00000000-0005-0000-0000-0000C43D0000}"/>
    <cellStyle name="Normal 23 3 14" xfId="20761" xr:uid="{00000000-0005-0000-0000-0000C53D0000}"/>
    <cellStyle name="Normal 23 3 15" xfId="20164" xr:uid="{00000000-0005-0000-0000-0000C63D0000}"/>
    <cellStyle name="Normal 23 3 16" xfId="19568" xr:uid="{00000000-0005-0000-0000-0000C73D0000}"/>
    <cellStyle name="Normal 23 3 17" xfId="18972" xr:uid="{00000000-0005-0000-0000-0000C83D0000}"/>
    <cellStyle name="Normal 23 3 18" xfId="18380" xr:uid="{00000000-0005-0000-0000-0000C93D0000}"/>
    <cellStyle name="Normal 23 3 19" xfId="17783" xr:uid="{00000000-0005-0000-0000-0000CA3D0000}"/>
    <cellStyle name="Normal 23 3 2" xfId="27922" xr:uid="{00000000-0005-0000-0000-0000CB3D0000}"/>
    <cellStyle name="Normal 23 3 20" xfId="17134" xr:uid="{00000000-0005-0000-0000-0000CC3D0000}"/>
    <cellStyle name="Normal 23 3 21" xfId="14202" xr:uid="{00000000-0005-0000-0000-0000CD3D0000}"/>
    <cellStyle name="Normal 23 3 22" xfId="16374" xr:uid="{00000000-0005-0000-0000-0000CE3D0000}"/>
    <cellStyle name="Normal 23 3 23" xfId="13514" xr:uid="{00000000-0005-0000-0000-0000CF3D0000}"/>
    <cellStyle name="Normal 23 3 24" xfId="17421" xr:uid="{00000000-0005-0000-0000-0000D03D0000}"/>
    <cellStyle name="Normal 23 3 25" xfId="15916" xr:uid="{00000000-0005-0000-0000-0000D13D0000}"/>
    <cellStyle name="Normal 23 3 26" xfId="15263" xr:uid="{00000000-0005-0000-0000-0000D23D0000}"/>
    <cellStyle name="Normal 23 3 27" xfId="12824" xr:uid="{00000000-0005-0000-0000-0000D33D0000}"/>
    <cellStyle name="Normal 23 3 28" xfId="12392" xr:uid="{00000000-0005-0000-0000-0000D43D0000}"/>
    <cellStyle name="Normal 23 3 29" xfId="8090" xr:uid="{00000000-0005-0000-0000-0000D53D0000}"/>
    <cellStyle name="Normal 23 3 3" xfId="27325" xr:uid="{00000000-0005-0000-0000-0000D63D0000}"/>
    <cellStyle name="Normal 23 3 30" xfId="10828" xr:uid="{00000000-0005-0000-0000-0000D73D0000}"/>
    <cellStyle name="Normal 23 3 31" xfId="10698" xr:uid="{00000000-0005-0000-0000-0000D83D0000}"/>
    <cellStyle name="Normal 23 3 32" xfId="11795" xr:uid="{00000000-0005-0000-0000-0000D93D0000}"/>
    <cellStyle name="Normal 23 3 33" xfId="6886" xr:uid="{00000000-0005-0000-0000-0000DA3D0000}"/>
    <cellStyle name="Normal 23 3 34" xfId="6433" xr:uid="{00000000-0005-0000-0000-0000DB3D0000}"/>
    <cellStyle name="Normal 23 3 35" xfId="5731" xr:uid="{00000000-0005-0000-0000-0000DC3D0000}"/>
    <cellStyle name="Normal 23 3 36" xfId="6148" xr:uid="{00000000-0005-0000-0000-0000DD3D0000}"/>
    <cellStyle name="Normal 23 3 37" xfId="5779" xr:uid="{00000000-0005-0000-0000-0000DE3D0000}"/>
    <cellStyle name="Normal 23 3 38" xfId="6529" xr:uid="{00000000-0005-0000-0000-0000DF3D0000}"/>
    <cellStyle name="Normal 23 3 39" xfId="5530" xr:uid="{00000000-0005-0000-0000-0000E03D0000}"/>
    <cellStyle name="Normal 23 3 4" xfId="26728" xr:uid="{00000000-0005-0000-0000-0000E13D0000}"/>
    <cellStyle name="Normal 23 3 40" xfId="4153" xr:uid="{00000000-0005-0000-0000-0000E23D0000}"/>
    <cellStyle name="Normal 23 3 41" xfId="4282" xr:uid="{00000000-0005-0000-0000-0000E33D0000}"/>
    <cellStyle name="Normal 23 3 42" xfId="5615" xr:uid="{00000000-0005-0000-0000-0000E43D0000}"/>
    <cellStyle name="Normal 23 3 43" xfId="5303" xr:uid="{00000000-0005-0000-0000-0000E53D0000}"/>
    <cellStyle name="Normal 23 3 44" xfId="2945" xr:uid="{00000000-0005-0000-0000-0000E63D0000}"/>
    <cellStyle name="Normal 23 3 45" xfId="2702" xr:uid="{00000000-0005-0000-0000-0000E73D0000}"/>
    <cellStyle name="Normal 23 3 46" xfId="2462" xr:uid="{00000000-0005-0000-0000-0000E83D0000}"/>
    <cellStyle name="Normal 23 3 47" xfId="2222" xr:uid="{00000000-0005-0000-0000-0000E93D0000}"/>
    <cellStyle name="Normal 23 3 48" xfId="1982" xr:uid="{00000000-0005-0000-0000-0000EA3D0000}"/>
    <cellStyle name="Normal 23 3 49" xfId="1742" xr:uid="{00000000-0005-0000-0000-0000EB3D0000}"/>
    <cellStyle name="Normal 23 3 5" xfId="26132" xr:uid="{00000000-0005-0000-0000-0000EC3D0000}"/>
    <cellStyle name="Normal 23 3 50" xfId="1503" xr:uid="{00000000-0005-0000-0000-0000ED3D0000}"/>
    <cellStyle name="Normal 23 3 51" xfId="1263" xr:uid="{00000000-0005-0000-0000-0000EE3D0000}"/>
    <cellStyle name="Normal 23 3 52" xfId="1023" xr:uid="{00000000-0005-0000-0000-0000EF3D0000}"/>
    <cellStyle name="Normal 23 3 53" xfId="783" xr:uid="{00000000-0005-0000-0000-0000F03D0000}"/>
    <cellStyle name="Normal 23 3 54" xfId="543" xr:uid="{00000000-0005-0000-0000-0000F13D0000}"/>
    <cellStyle name="Normal 23 3 55" xfId="304" xr:uid="{00000000-0005-0000-0000-0000F23D0000}"/>
    <cellStyle name="Normal 23 3 56" xfId="66" xr:uid="{00000000-0005-0000-0000-0000F33D0000}"/>
    <cellStyle name="Normal 23 3 6" xfId="25536" xr:uid="{00000000-0005-0000-0000-0000F43D0000}"/>
    <cellStyle name="Normal 23 3 7" xfId="24939" xr:uid="{00000000-0005-0000-0000-0000F53D0000}"/>
    <cellStyle name="Normal 23 3 8" xfId="24342" xr:uid="{00000000-0005-0000-0000-0000F63D0000}"/>
    <cellStyle name="Normal 23 3 9" xfId="23745" xr:uid="{00000000-0005-0000-0000-0000F73D0000}"/>
    <cellStyle name="Normal 23 30" xfId="26151" xr:uid="{00000000-0005-0000-0000-0000F83D0000}"/>
    <cellStyle name="Normal 23 31" xfId="25555" xr:uid="{00000000-0005-0000-0000-0000F93D0000}"/>
    <cellStyle name="Normal 23 32" xfId="24958" xr:uid="{00000000-0005-0000-0000-0000FA3D0000}"/>
    <cellStyle name="Normal 23 33" xfId="24361" xr:uid="{00000000-0005-0000-0000-0000FB3D0000}"/>
    <cellStyle name="Normal 23 34" xfId="23764" xr:uid="{00000000-0005-0000-0000-0000FC3D0000}"/>
    <cellStyle name="Normal 23 35" xfId="23167" xr:uid="{00000000-0005-0000-0000-0000FD3D0000}"/>
    <cellStyle name="Normal 23 36" xfId="22570" xr:uid="{00000000-0005-0000-0000-0000FE3D0000}"/>
    <cellStyle name="Normal 23 37" xfId="21974" xr:uid="{00000000-0005-0000-0000-0000FF3D0000}"/>
    <cellStyle name="Normal 23 38" xfId="21377" xr:uid="{00000000-0005-0000-0000-0000003E0000}"/>
    <cellStyle name="Normal 23 39" xfId="20780" xr:uid="{00000000-0005-0000-0000-0000013E0000}"/>
    <cellStyle name="Normal 23 4" xfId="28521" xr:uid="{00000000-0005-0000-0000-0000023E0000}"/>
    <cellStyle name="Normal 23 4 10" xfId="23147" xr:uid="{00000000-0005-0000-0000-0000033E0000}"/>
    <cellStyle name="Normal 23 4 11" xfId="22550" xr:uid="{00000000-0005-0000-0000-0000043E0000}"/>
    <cellStyle name="Normal 23 4 12" xfId="21954" xr:uid="{00000000-0005-0000-0000-0000053E0000}"/>
    <cellStyle name="Normal 23 4 13" xfId="21357" xr:uid="{00000000-0005-0000-0000-0000063E0000}"/>
    <cellStyle name="Normal 23 4 14" xfId="20760" xr:uid="{00000000-0005-0000-0000-0000073E0000}"/>
    <cellStyle name="Normal 23 4 15" xfId="20163" xr:uid="{00000000-0005-0000-0000-0000083E0000}"/>
    <cellStyle name="Normal 23 4 16" xfId="19567" xr:uid="{00000000-0005-0000-0000-0000093E0000}"/>
    <cellStyle name="Normal 23 4 17" xfId="18971" xr:uid="{00000000-0005-0000-0000-00000A3E0000}"/>
    <cellStyle name="Normal 23 4 18" xfId="18379" xr:uid="{00000000-0005-0000-0000-00000B3E0000}"/>
    <cellStyle name="Normal 23 4 19" xfId="17782" xr:uid="{00000000-0005-0000-0000-00000C3E0000}"/>
    <cellStyle name="Normal 23 4 2" xfId="27921" xr:uid="{00000000-0005-0000-0000-00000D3E0000}"/>
    <cellStyle name="Normal 23 4 20" xfId="17327" xr:uid="{00000000-0005-0000-0000-00000E3E0000}"/>
    <cellStyle name="Normal 23 4 21" xfId="17173" xr:uid="{00000000-0005-0000-0000-00000F3E0000}"/>
    <cellStyle name="Normal 23 4 22" xfId="13590" xr:uid="{00000000-0005-0000-0000-0000103E0000}"/>
    <cellStyle name="Normal 23 4 23" xfId="13433" xr:uid="{00000000-0005-0000-0000-0000113E0000}"/>
    <cellStyle name="Normal 23 4 24" xfId="14296" xr:uid="{00000000-0005-0000-0000-0000123E0000}"/>
    <cellStyle name="Normal 23 4 25" xfId="14757" xr:uid="{00000000-0005-0000-0000-0000133E0000}"/>
    <cellStyle name="Normal 23 4 26" xfId="14224" xr:uid="{00000000-0005-0000-0000-0000143E0000}"/>
    <cellStyle name="Normal 23 4 27" xfId="13006" xr:uid="{00000000-0005-0000-0000-0000153E0000}"/>
    <cellStyle name="Normal 23 4 28" xfId="12391" xr:uid="{00000000-0005-0000-0000-0000163E0000}"/>
    <cellStyle name="Normal 23 4 29" xfId="8298" xr:uid="{00000000-0005-0000-0000-0000173E0000}"/>
    <cellStyle name="Normal 23 4 3" xfId="27324" xr:uid="{00000000-0005-0000-0000-0000183E0000}"/>
    <cellStyle name="Normal 23 4 30" xfId="11037" xr:uid="{00000000-0005-0000-0000-0000193E0000}"/>
    <cellStyle name="Normal 23 4 31" xfId="8233" xr:uid="{00000000-0005-0000-0000-00001A3E0000}"/>
    <cellStyle name="Normal 23 4 32" xfId="11533" xr:uid="{00000000-0005-0000-0000-00001B3E0000}"/>
    <cellStyle name="Normal 23 4 33" xfId="10363" xr:uid="{00000000-0005-0000-0000-00001C3E0000}"/>
    <cellStyle name="Normal 23 4 34" xfId="6926" xr:uid="{00000000-0005-0000-0000-00001D3E0000}"/>
    <cellStyle name="Normal 23 4 35" xfId="9002" xr:uid="{00000000-0005-0000-0000-00001E3E0000}"/>
    <cellStyle name="Normal 23 4 36" xfId="10404" xr:uid="{00000000-0005-0000-0000-00001F3E0000}"/>
    <cellStyle name="Normal 23 4 37" xfId="7112" xr:uid="{00000000-0005-0000-0000-0000203E0000}"/>
    <cellStyle name="Normal 23 4 38" xfId="10323" xr:uid="{00000000-0005-0000-0000-0000213E0000}"/>
    <cellStyle name="Normal 23 4 39" xfId="11134" xr:uid="{00000000-0005-0000-0000-0000223E0000}"/>
    <cellStyle name="Normal 23 4 4" xfId="26727" xr:uid="{00000000-0005-0000-0000-0000233E0000}"/>
    <cellStyle name="Normal 23 4 40" xfId="4254" xr:uid="{00000000-0005-0000-0000-0000243E0000}"/>
    <cellStyle name="Normal 23 4 41" xfId="5113" xr:uid="{00000000-0005-0000-0000-0000253E0000}"/>
    <cellStyle name="Normal 23 4 42" xfId="8536" xr:uid="{00000000-0005-0000-0000-0000263E0000}"/>
    <cellStyle name="Normal 23 4 43" xfId="3094" xr:uid="{00000000-0005-0000-0000-0000273E0000}"/>
    <cellStyle name="Normal 23 4 44" xfId="2944" xr:uid="{00000000-0005-0000-0000-0000283E0000}"/>
    <cellStyle name="Normal 23 4 45" xfId="2701" xr:uid="{00000000-0005-0000-0000-0000293E0000}"/>
    <cellStyle name="Normal 23 4 46" xfId="2461" xr:uid="{00000000-0005-0000-0000-00002A3E0000}"/>
    <cellStyle name="Normal 23 4 47" xfId="2221" xr:uid="{00000000-0005-0000-0000-00002B3E0000}"/>
    <cellStyle name="Normal 23 4 48" xfId="1981" xr:uid="{00000000-0005-0000-0000-00002C3E0000}"/>
    <cellStyle name="Normal 23 4 49" xfId="1741" xr:uid="{00000000-0005-0000-0000-00002D3E0000}"/>
    <cellStyle name="Normal 23 4 5" xfId="26131" xr:uid="{00000000-0005-0000-0000-00002E3E0000}"/>
    <cellStyle name="Normal 23 4 50" xfId="1502" xr:uid="{00000000-0005-0000-0000-00002F3E0000}"/>
    <cellStyle name="Normal 23 4 51" xfId="1262" xr:uid="{00000000-0005-0000-0000-0000303E0000}"/>
    <cellStyle name="Normal 23 4 52" xfId="1022" xr:uid="{00000000-0005-0000-0000-0000313E0000}"/>
    <cellStyle name="Normal 23 4 53" xfId="782" xr:uid="{00000000-0005-0000-0000-0000323E0000}"/>
    <cellStyle name="Normal 23 4 54" xfId="542" xr:uid="{00000000-0005-0000-0000-0000333E0000}"/>
    <cellStyle name="Normal 23 4 55" xfId="303" xr:uid="{00000000-0005-0000-0000-0000343E0000}"/>
    <cellStyle name="Normal 23 4 56" xfId="65" xr:uid="{00000000-0005-0000-0000-0000353E0000}"/>
    <cellStyle name="Normal 23 4 6" xfId="25535" xr:uid="{00000000-0005-0000-0000-0000363E0000}"/>
    <cellStyle name="Normal 23 4 7" xfId="24938" xr:uid="{00000000-0005-0000-0000-0000373E0000}"/>
    <cellStyle name="Normal 23 4 8" xfId="24341" xr:uid="{00000000-0005-0000-0000-0000383E0000}"/>
    <cellStyle name="Normal 23 4 9" xfId="23744" xr:uid="{00000000-0005-0000-0000-0000393E0000}"/>
    <cellStyle name="Normal 23 40" xfId="20183" xr:uid="{00000000-0005-0000-0000-00003A3E0000}"/>
    <cellStyle name="Normal 23 41" xfId="19587" xr:uid="{00000000-0005-0000-0000-00003B3E0000}"/>
    <cellStyle name="Normal 23 42" xfId="18991" xr:uid="{00000000-0005-0000-0000-00003C3E0000}"/>
    <cellStyle name="Normal 23 43" xfId="18399" xr:uid="{00000000-0005-0000-0000-00003D3E0000}"/>
    <cellStyle name="Normal 23 44" xfId="17802" xr:uid="{00000000-0005-0000-0000-00003E3E0000}"/>
    <cellStyle name="Normal 23 45" xfId="16729" xr:uid="{00000000-0005-0000-0000-00003F3E0000}"/>
    <cellStyle name="Normal 23 46" xfId="16998" xr:uid="{00000000-0005-0000-0000-0000403E0000}"/>
    <cellStyle name="Normal 23 47" xfId="13999" xr:uid="{00000000-0005-0000-0000-0000413E0000}"/>
    <cellStyle name="Normal 23 48" xfId="16869" xr:uid="{00000000-0005-0000-0000-0000423E0000}"/>
    <cellStyle name="Normal 23 49" xfId="16312" xr:uid="{00000000-0005-0000-0000-0000433E0000}"/>
    <cellStyle name="Normal 23 5" xfId="28520" xr:uid="{00000000-0005-0000-0000-0000443E0000}"/>
    <cellStyle name="Normal 23 5 10" xfId="23146" xr:uid="{00000000-0005-0000-0000-0000453E0000}"/>
    <cellStyle name="Normal 23 5 11" xfId="22549" xr:uid="{00000000-0005-0000-0000-0000463E0000}"/>
    <cellStyle name="Normal 23 5 12" xfId="21953" xr:uid="{00000000-0005-0000-0000-0000473E0000}"/>
    <cellStyle name="Normal 23 5 13" xfId="21356" xr:uid="{00000000-0005-0000-0000-0000483E0000}"/>
    <cellStyle name="Normal 23 5 14" xfId="20759" xr:uid="{00000000-0005-0000-0000-0000493E0000}"/>
    <cellStyle name="Normal 23 5 15" xfId="20162" xr:uid="{00000000-0005-0000-0000-00004A3E0000}"/>
    <cellStyle name="Normal 23 5 16" xfId="19566" xr:uid="{00000000-0005-0000-0000-00004B3E0000}"/>
    <cellStyle name="Normal 23 5 17" xfId="18970" xr:uid="{00000000-0005-0000-0000-00004C3E0000}"/>
    <cellStyle name="Normal 23 5 18" xfId="18378" xr:uid="{00000000-0005-0000-0000-00004D3E0000}"/>
    <cellStyle name="Normal 23 5 19" xfId="17781" xr:uid="{00000000-0005-0000-0000-00004E3E0000}"/>
    <cellStyle name="Normal 23 5 2" xfId="27920" xr:uid="{00000000-0005-0000-0000-00004F3E0000}"/>
    <cellStyle name="Normal 23 5 20" xfId="14160" xr:uid="{00000000-0005-0000-0000-0000503E0000}"/>
    <cellStyle name="Normal 23 5 21" xfId="16756" xr:uid="{00000000-0005-0000-0000-0000513E0000}"/>
    <cellStyle name="Normal 23 5 22" xfId="14779" xr:uid="{00000000-0005-0000-0000-0000523E0000}"/>
    <cellStyle name="Normal 23 5 23" xfId="16006" xr:uid="{00000000-0005-0000-0000-0000533E0000}"/>
    <cellStyle name="Normal 23 5 24" xfId="16492" xr:uid="{00000000-0005-0000-0000-0000543E0000}"/>
    <cellStyle name="Normal 23 5 25" xfId="13500" xr:uid="{00000000-0005-0000-0000-0000553E0000}"/>
    <cellStyle name="Normal 23 5 26" xfId="12829" xr:uid="{00000000-0005-0000-0000-0000563E0000}"/>
    <cellStyle name="Normal 23 5 27" xfId="13725" xr:uid="{00000000-0005-0000-0000-0000573E0000}"/>
    <cellStyle name="Normal 23 5 28" xfId="12390" xr:uid="{00000000-0005-0000-0000-0000583E0000}"/>
    <cellStyle name="Normal 23 5 29" xfId="8513" xr:uid="{00000000-0005-0000-0000-0000593E0000}"/>
    <cellStyle name="Normal 23 5 3" xfId="27323" xr:uid="{00000000-0005-0000-0000-00005A3E0000}"/>
    <cellStyle name="Normal 23 5 30" xfId="5861" xr:uid="{00000000-0005-0000-0000-00005B3E0000}"/>
    <cellStyle name="Normal 23 5 31" xfId="7604" xr:uid="{00000000-0005-0000-0000-00005C3E0000}"/>
    <cellStyle name="Normal 23 5 32" xfId="10251" xr:uid="{00000000-0005-0000-0000-00005D3E0000}"/>
    <cellStyle name="Normal 23 5 33" xfId="9333" xr:uid="{00000000-0005-0000-0000-00005E3E0000}"/>
    <cellStyle name="Normal 23 5 34" xfId="8041" xr:uid="{00000000-0005-0000-0000-00005F3E0000}"/>
    <cellStyle name="Normal 23 5 35" xfId="4400" xr:uid="{00000000-0005-0000-0000-0000603E0000}"/>
    <cellStyle name="Normal 23 5 36" xfId="8918" xr:uid="{00000000-0005-0000-0000-0000613E0000}"/>
    <cellStyle name="Normal 23 5 37" xfId="9154" xr:uid="{00000000-0005-0000-0000-0000623E0000}"/>
    <cellStyle name="Normal 23 5 38" xfId="6376" xr:uid="{00000000-0005-0000-0000-0000633E0000}"/>
    <cellStyle name="Normal 23 5 39" xfId="3488" xr:uid="{00000000-0005-0000-0000-0000643E0000}"/>
    <cellStyle name="Normal 23 5 4" xfId="26726" xr:uid="{00000000-0005-0000-0000-0000653E0000}"/>
    <cellStyle name="Normal 23 5 40" xfId="5374" xr:uid="{00000000-0005-0000-0000-0000663E0000}"/>
    <cellStyle name="Normal 23 5 41" xfId="4133" xr:uid="{00000000-0005-0000-0000-0000673E0000}"/>
    <cellStyle name="Normal 23 5 42" xfId="4460" xr:uid="{00000000-0005-0000-0000-0000683E0000}"/>
    <cellStyle name="Normal 23 5 43" xfId="3112" xr:uid="{00000000-0005-0000-0000-0000693E0000}"/>
    <cellStyle name="Normal 23 5 44" xfId="2943" xr:uid="{00000000-0005-0000-0000-00006A3E0000}"/>
    <cellStyle name="Normal 23 5 45" xfId="2700" xr:uid="{00000000-0005-0000-0000-00006B3E0000}"/>
    <cellStyle name="Normal 23 5 46" xfId="2460" xr:uid="{00000000-0005-0000-0000-00006C3E0000}"/>
    <cellStyle name="Normal 23 5 47" xfId="2220" xr:uid="{00000000-0005-0000-0000-00006D3E0000}"/>
    <cellStyle name="Normal 23 5 48" xfId="1980" xr:uid="{00000000-0005-0000-0000-00006E3E0000}"/>
    <cellStyle name="Normal 23 5 49" xfId="1740" xr:uid="{00000000-0005-0000-0000-00006F3E0000}"/>
    <cellStyle name="Normal 23 5 5" xfId="26130" xr:uid="{00000000-0005-0000-0000-0000703E0000}"/>
    <cellStyle name="Normal 23 5 50" xfId="1501" xr:uid="{00000000-0005-0000-0000-0000713E0000}"/>
    <cellStyle name="Normal 23 5 51" xfId="1261" xr:uid="{00000000-0005-0000-0000-0000723E0000}"/>
    <cellStyle name="Normal 23 5 52" xfId="1021" xr:uid="{00000000-0005-0000-0000-0000733E0000}"/>
    <cellStyle name="Normal 23 5 53" xfId="781" xr:uid="{00000000-0005-0000-0000-0000743E0000}"/>
    <cellStyle name="Normal 23 5 54" xfId="541" xr:uid="{00000000-0005-0000-0000-0000753E0000}"/>
    <cellStyle name="Normal 23 5 55" xfId="302" xr:uid="{00000000-0005-0000-0000-0000763E0000}"/>
    <cellStyle name="Normal 23 5 56" xfId="64" xr:uid="{00000000-0005-0000-0000-0000773E0000}"/>
    <cellStyle name="Normal 23 5 6" xfId="25534" xr:uid="{00000000-0005-0000-0000-0000783E0000}"/>
    <cellStyle name="Normal 23 5 7" xfId="24937" xr:uid="{00000000-0005-0000-0000-0000793E0000}"/>
    <cellStyle name="Normal 23 5 8" xfId="24340" xr:uid="{00000000-0005-0000-0000-00007A3E0000}"/>
    <cellStyle name="Normal 23 5 9" xfId="23743" xr:uid="{00000000-0005-0000-0000-00007B3E0000}"/>
    <cellStyle name="Normal 23 50" xfId="14841" xr:uid="{00000000-0005-0000-0000-00007C3E0000}"/>
    <cellStyle name="Normal 23 51" xfId="14605" xr:uid="{00000000-0005-0000-0000-00007D3E0000}"/>
    <cellStyle name="Normal 23 52" xfId="12923" xr:uid="{00000000-0005-0000-0000-00007E3E0000}"/>
    <cellStyle name="Normal 23 53" xfId="12411" xr:uid="{00000000-0005-0000-0000-00007F3E0000}"/>
    <cellStyle name="Normal 23 54" xfId="9654" xr:uid="{00000000-0005-0000-0000-0000803E0000}"/>
    <cellStyle name="Normal 23 55" xfId="8940" xr:uid="{00000000-0005-0000-0000-0000813E0000}"/>
    <cellStyle name="Normal 23 56" xfId="10658" xr:uid="{00000000-0005-0000-0000-0000823E0000}"/>
    <cellStyle name="Normal 23 57" xfId="11165" xr:uid="{00000000-0005-0000-0000-0000833E0000}"/>
    <cellStyle name="Normal 23 58" xfId="5994" xr:uid="{00000000-0005-0000-0000-0000843E0000}"/>
    <cellStyle name="Normal 23 59" xfId="5291" xr:uid="{00000000-0005-0000-0000-0000853E0000}"/>
    <cellStyle name="Normal 23 6" xfId="28519" xr:uid="{00000000-0005-0000-0000-0000863E0000}"/>
    <cellStyle name="Normal 23 6 10" xfId="23145" xr:uid="{00000000-0005-0000-0000-0000873E0000}"/>
    <cellStyle name="Normal 23 6 11" xfId="22548" xr:uid="{00000000-0005-0000-0000-0000883E0000}"/>
    <cellStyle name="Normal 23 6 12" xfId="21952" xr:uid="{00000000-0005-0000-0000-0000893E0000}"/>
    <cellStyle name="Normal 23 6 13" xfId="21355" xr:uid="{00000000-0005-0000-0000-00008A3E0000}"/>
    <cellStyle name="Normal 23 6 14" xfId="20758" xr:uid="{00000000-0005-0000-0000-00008B3E0000}"/>
    <cellStyle name="Normal 23 6 15" xfId="20161" xr:uid="{00000000-0005-0000-0000-00008C3E0000}"/>
    <cellStyle name="Normal 23 6 16" xfId="19565" xr:uid="{00000000-0005-0000-0000-00008D3E0000}"/>
    <cellStyle name="Normal 23 6 17" xfId="18969" xr:uid="{00000000-0005-0000-0000-00008E3E0000}"/>
    <cellStyle name="Normal 23 6 18" xfId="18377" xr:uid="{00000000-0005-0000-0000-00008F3E0000}"/>
    <cellStyle name="Normal 23 6 19" xfId="17780" xr:uid="{00000000-0005-0000-0000-0000903E0000}"/>
    <cellStyle name="Normal 23 6 2" xfId="27919" xr:uid="{00000000-0005-0000-0000-0000913E0000}"/>
    <cellStyle name="Normal 23 6 20" xfId="14349" xr:uid="{00000000-0005-0000-0000-0000923E0000}"/>
    <cellStyle name="Normal 23 6 21" xfId="13971" xr:uid="{00000000-0005-0000-0000-0000933E0000}"/>
    <cellStyle name="Normal 23 6 22" xfId="13664" xr:uid="{00000000-0005-0000-0000-0000943E0000}"/>
    <cellStyle name="Normal 23 6 23" xfId="17464" xr:uid="{00000000-0005-0000-0000-0000953E0000}"/>
    <cellStyle name="Normal 23 6 24" xfId="16588" xr:uid="{00000000-0005-0000-0000-0000963E0000}"/>
    <cellStyle name="Normal 23 6 25" xfId="13924" xr:uid="{00000000-0005-0000-0000-0000973E0000}"/>
    <cellStyle name="Normal 23 6 26" xfId="15250" xr:uid="{00000000-0005-0000-0000-0000983E0000}"/>
    <cellStyle name="Normal 23 6 27" xfId="17007" xr:uid="{00000000-0005-0000-0000-0000993E0000}"/>
    <cellStyle name="Normal 23 6 28" xfId="12389" xr:uid="{00000000-0005-0000-0000-00009A3E0000}"/>
    <cellStyle name="Normal 23 6 29" xfId="8729" xr:uid="{00000000-0005-0000-0000-00009B3E0000}"/>
    <cellStyle name="Normal 23 6 3" xfId="27322" xr:uid="{00000000-0005-0000-0000-00009C3E0000}"/>
    <cellStyle name="Normal 23 6 30" xfId="6052" xr:uid="{00000000-0005-0000-0000-00009D3E0000}"/>
    <cellStyle name="Normal 23 6 31" xfId="10559" xr:uid="{00000000-0005-0000-0000-00009E3E0000}"/>
    <cellStyle name="Normal 23 6 32" xfId="11218" xr:uid="{00000000-0005-0000-0000-00009F3E0000}"/>
    <cellStyle name="Normal 23 6 33" xfId="5114" xr:uid="{00000000-0005-0000-0000-0000A03E0000}"/>
    <cellStyle name="Normal 23 6 34" xfId="4813" xr:uid="{00000000-0005-0000-0000-0000A13E0000}"/>
    <cellStyle name="Normal 23 6 35" xfId="10737" xr:uid="{00000000-0005-0000-0000-0000A23E0000}"/>
    <cellStyle name="Normal 23 6 36" xfId="10838" xr:uid="{00000000-0005-0000-0000-0000A33E0000}"/>
    <cellStyle name="Normal 23 6 37" xfId="5352" xr:uid="{00000000-0005-0000-0000-0000A43E0000}"/>
    <cellStyle name="Normal 23 6 38" xfId="11580" xr:uid="{00000000-0005-0000-0000-0000A53E0000}"/>
    <cellStyle name="Normal 23 6 39" xfId="3537" xr:uid="{00000000-0005-0000-0000-0000A63E0000}"/>
    <cellStyle name="Normal 23 6 4" xfId="26725" xr:uid="{00000000-0005-0000-0000-0000A73E0000}"/>
    <cellStyle name="Normal 23 6 40" xfId="8485" xr:uid="{00000000-0005-0000-0000-0000A83E0000}"/>
    <cellStyle name="Normal 23 6 41" xfId="9636" xr:uid="{00000000-0005-0000-0000-0000A93E0000}"/>
    <cellStyle name="Normal 23 6 42" xfId="9147" xr:uid="{00000000-0005-0000-0000-0000AA3E0000}"/>
    <cellStyle name="Normal 23 6 43" xfId="7529" xr:uid="{00000000-0005-0000-0000-0000AB3E0000}"/>
    <cellStyle name="Normal 23 6 44" xfId="2942" xr:uid="{00000000-0005-0000-0000-0000AC3E0000}"/>
    <cellStyle name="Normal 23 6 45" xfId="2699" xr:uid="{00000000-0005-0000-0000-0000AD3E0000}"/>
    <cellStyle name="Normal 23 6 46" xfId="2459" xr:uid="{00000000-0005-0000-0000-0000AE3E0000}"/>
    <cellStyle name="Normal 23 6 47" xfId="2219" xr:uid="{00000000-0005-0000-0000-0000AF3E0000}"/>
    <cellStyle name="Normal 23 6 48" xfId="1979" xr:uid="{00000000-0005-0000-0000-0000B03E0000}"/>
    <cellStyle name="Normal 23 6 49" xfId="1739" xr:uid="{00000000-0005-0000-0000-0000B13E0000}"/>
    <cellStyle name="Normal 23 6 5" xfId="26129" xr:uid="{00000000-0005-0000-0000-0000B23E0000}"/>
    <cellStyle name="Normal 23 6 50" xfId="1500" xr:uid="{00000000-0005-0000-0000-0000B33E0000}"/>
    <cellStyle name="Normal 23 6 51" xfId="1260" xr:uid="{00000000-0005-0000-0000-0000B43E0000}"/>
    <cellStyle name="Normal 23 6 52" xfId="1020" xr:uid="{00000000-0005-0000-0000-0000B53E0000}"/>
    <cellStyle name="Normal 23 6 53" xfId="780" xr:uid="{00000000-0005-0000-0000-0000B63E0000}"/>
    <cellStyle name="Normal 23 6 54" xfId="540" xr:uid="{00000000-0005-0000-0000-0000B73E0000}"/>
    <cellStyle name="Normal 23 6 55" xfId="301" xr:uid="{00000000-0005-0000-0000-0000B83E0000}"/>
    <cellStyle name="Normal 23 6 56" xfId="63" xr:uid="{00000000-0005-0000-0000-0000B93E0000}"/>
    <cellStyle name="Normal 23 6 6" xfId="25533" xr:uid="{00000000-0005-0000-0000-0000BA3E0000}"/>
    <cellStyle name="Normal 23 6 7" xfId="24936" xr:uid="{00000000-0005-0000-0000-0000BB3E0000}"/>
    <cellStyle name="Normal 23 6 8" xfId="24339" xr:uid="{00000000-0005-0000-0000-0000BC3E0000}"/>
    <cellStyle name="Normal 23 6 9" xfId="23742" xr:uid="{00000000-0005-0000-0000-0000BD3E0000}"/>
    <cellStyle name="Normal 23 60" xfId="11664" xr:uid="{00000000-0005-0000-0000-0000BE3E0000}"/>
    <cellStyle name="Normal 23 61" xfId="8046" xr:uid="{00000000-0005-0000-0000-0000BF3E0000}"/>
    <cellStyle name="Normal 23 62" xfId="8483" xr:uid="{00000000-0005-0000-0000-0000C03E0000}"/>
    <cellStyle name="Normal 23 63" xfId="11714" xr:uid="{00000000-0005-0000-0000-0000C13E0000}"/>
    <cellStyle name="Normal 23 64" xfId="3993" xr:uid="{00000000-0005-0000-0000-0000C23E0000}"/>
    <cellStyle name="Normal 23 65" xfId="11195" xr:uid="{00000000-0005-0000-0000-0000C33E0000}"/>
    <cellStyle name="Normal 23 66" xfId="3235" xr:uid="{00000000-0005-0000-0000-0000C43E0000}"/>
    <cellStyle name="Normal 23 67" xfId="6173" xr:uid="{00000000-0005-0000-0000-0000C53E0000}"/>
    <cellStyle name="Normal 23 68" xfId="9146" xr:uid="{00000000-0005-0000-0000-0000C63E0000}"/>
    <cellStyle name="Normal 23 7" xfId="28518" xr:uid="{00000000-0005-0000-0000-0000C73E0000}"/>
    <cellStyle name="Normal 23 7 10" xfId="23144" xr:uid="{00000000-0005-0000-0000-0000C83E0000}"/>
    <cellStyle name="Normal 23 7 11" xfId="22547" xr:uid="{00000000-0005-0000-0000-0000C93E0000}"/>
    <cellStyle name="Normal 23 7 12" xfId="21951" xr:uid="{00000000-0005-0000-0000-0000CA3E0000}"/>
    <cellStyle name="Normal 23 7 13" xfId="21354" xr:uid="{00000000-0005-0000-0000-0000CB3E0000}"/>
    <cellStyle name="Normal 23 7 14" xfId="20757" xr:uid="{00000000-0005-0000-0000-0000CC3E0000}"/>
    <cellStyle name="Normal 23 7 15" xfId="20160" xr:uid="{00000000-0005-0000-0000-0000CD3E0000}"/>
    <cellStyle name="Normal 23 7 16" xfId="19564" xr:uid="{00000000-0005-0000-0000-0000CE3E0000}"/>
    <cellStyle name="Normal 23 7 17" xfId="18968" xr:uid="{00000000-0005-0000-0000-0000CF3E0000}"/>
    <cellStyle name="Normal 23 7 18" xfId="18376" xr:uid="{00000000-0005-0000-0000-0000D03E0000}"/>
    <cellStyle name="Normal 23 7 19" xfId="17779" xr:uid="{00000000-0005-0000-0000-0000D13E0000}"/>
    <cellStyle name="Normal 23 7 2" xfId="27918" xr:uid="{00000000-0005-0000-0000-0000D23E0000}"/>
    <cellStyle name="Normal 23 7 20" xfId="14540" xr:uid="{00000000-0005-0000-0000-0000D33E0000}"/>
    <cellStyle name="Normal 23 7 21" xfId="17512" xr:uid="{00000000-0005-0000-0000-0000D43E0000}"/>
    <cellStyle name="Normal 23 7 22" xfId="13803" xr:uid="{00000000-0005-0000-0000-0000D53E0000}"/>
    <cellStyle name="Normal 23 7 23" xfId="15484" xr:uid="{00000000-0005-0000-0000-0000D63E0000}"/>
    <cellStyle name="Normal 23 7 24" xfId="16014" xr:uid="{00000000-0005-0000-0000-0000D73E0000}"/>
    <cellStyle name="Normal 23 7 25" xfId="16948" xr:uid="{00000000-0005-0000-0000-0000D83E0000}"/>
    <cellStyle name="Normal 23 7 26" xfId="14067" xr:uid="{00000000-0005-0000-0000-0000D93E0000}"/>
    <cellStyle name="Normal 23 7 27" xfId="16089" xr:uid="{00000000-0005-0000-0000-0000DA3E0000}"/>
    <cellStyle name="Normal 23 7 28" xfId="12388" xr:uid="{00000000-0005-0000-0000-0000DB3E0000}"/>
    <cellStyle name="Normal 23 7 29" xfId="8967" xr:uid="{00000000-0005-0000-0000-0000DC3E0000}"/>
    <cellStyle name="Normal 23 7 3" xfId="27321" xr:uid="{00000000-0005-0000-0000-0000DD3E0000}"/>
    <cellStyle name="Normal 23 7 30" xfId="6879" xr:uid="{00000000-0005-0000-0000-0000DE3E0000}"/>
    <cellStyle name="Normal 23 7 31" xfId="6515" xr:uid="{00000000-0005-0000-0000-0000DF3E0000}"/>
    <cellStyle name="Normal 23 7 32" xfId="11374" xr:uid="{00000000-0005-0000-0000-0000E03E0000}"/>
    <cellStyle name="Normal 23 7 33" xfId="7150" xr:uid="{00000000-0005-0000-0000-0000E13E0000}"/>
    <cellStyle name="Normal 23 7 34" xfId="5200" xr:uid="{00000000-0005-0000-0000-0000E23E0000}"/>
    <cellStyle name="Normal 23 7 35" xfId="10976" xr:uid="{00000000-0005-0000-0000-0000E33E0000}"/>
    <cellStyle name="Normal 23 7 36" xfId="4662" xr:uid="{00000000-0005-0000-0000-0000E43E0000}"/>
    <cellStyle name="Normal 23 7 37" xfId="4958" xr:uid="{00000000-0005-0000-0000-0000E53E0000}"/>
    <cellStyle name="Normal 23 7 38" xfId="10744" xr:uid="{00000000-0005-0000-0000-0000E63E0000}"/>
    <cellStyle name="Normal 23 7 39" xfId="11921" xr:uid="{00000000-0005-0000-0000-0000E73E0000}"/>
    <cellStyle name="Normal 23 7 4" xfId="26724" xr:uid="{00000000-0005-0000-0000-0000E83E0000}"/>
    <cellStyle name="Normal 23 7 40" xfId="6109" xr:uid="{00000000-0005-0000-0000-0000E93E0000}"/>
    <cellStyle name="Normal 23 7 41" xfId="9870" xr:uid="{00000000-0005-0000-0000-0000EA3E0000}"/>
    <cellStyle name="Normal 23 7 42" xfId="6168" xr:uid="{00000000-0005-0000-0000-0000EB3E0000}"/>
    <cellStyle name="Normal 23 7 43" xfId="3118" xr:uid="{00000000-0005-0000-0000-0000EC3E0000}"/>
    <cellStyle name="Normal 23 7 44" xfId="2941" xr:uid="{00000000-0005-0000-0000-0000ED3E0000}"/>
    <cellStyle name="Normal 23 7 45" xfId="2698" xr:uid="{00000000-0005-0000-0000-0000EE3E0000}"/>
    <cellStyle name="Normal 23 7 46" xfId="2458" xr:uid="{00000000-0005-0000-0000-0000EF3E0000}"/>
    <cellStyle name="Normal 23 7 47" xfId="2218" xr:uid="{00000000-0005-0000-0000-0000F03E0000}"/>
    <cellStyle name="Normal 23 7 48" xfId="1978" xr:uid="{00000000-0005-0000-0000-0000F13E0000}"/>
    <cellStyle name="Normal 23 7 49" xfId="1738" xr:uid="{00000000-0005-0000-0000-0000F23E0000}"/>
    <cellStyle name="Normal 23 7 5" xfId="26128" xr:uid="{00000000-0005-0000-0000-0000F33E0000}"/>
    <cellStyle name="Normal 23 7 50" xfId="1499" xr:uid="{00000000-0005-0000-0000-0000F43E0000}"/>
    <cellStyle name="Normal 23 7 51" xfId="1259" xr:uid="{00000000-0005-0000-0000-0000F53E0000}"/>
    <cellStyle name="Normal 23 7 52" xfId="1019" xr:uid="{00000000-0005-0000-0000-0000F63E0000}"/>
    <cellStyle name="Normal 23 7 53" xfId="779" xr:uid="{00000000-0005-0000-0000-0000F73E0000}"/>
    <cellStyle name="Normal 23 7 54" xfId="539" xr:uid="{00000000-0005-0000-0000-0000F83E0000}"/>
    <cellStyle name="Normal 23 7 55" xfId="300" xr:uid="{00000000-0005-0000-0000-0000F93E0000}"/>
    <cellStyle name="Normal 23 7 56" xfId="62" xr:uid="{00000000-0005-0000-0000-0000FA3E0000}"/>
    <cellStyle name="Normal 23 7 6" xfId="25532" xr:uid="{00000000-0005-0000-0000-0000FB3E0000}"/>
    <cellStyle name="Normal 23 7 7" xfId="24935" xr:uid="{00000000-0005-0000-0000-0000FC3E0000}"/>
    <cellStyle name="Normal 23 7 8" xfId="24338" xr:uid="{00000000-0005-0000-0000-0000FD3E0000}"/>
    <cellStyle name="Normal 23 7 9" xfId="23741" xr:uid="{00000000-0005-0000-0000-0000FE3E0000}"/>
    <cellStyle name="Normal 23 8" xfId="28517" xr:uid="{00000000-0005-0000-0000-0000FF3E0000}"/>
    <cellStyle name="Normal 23 8 10" xfId="23143" xr:uid="{00000000-0005-0000-0000-0000003F0000}"/>
    <cellStyle name="Normal 23 8 11" xfId="22546" xr:uid="{00000000-0005-0000-0000-0000013F0000}"/>
    <cellStyle name="Normal 23 8 12" xfId="21950" xr:uid="{00000000-0005-0000-0000-0000023F0000}"/>
    <cellStyle name="Normal 23 8 13" xfId="21353" xr:uid="{00000000-0005-0000-0000-0000033F0000}"/>
    <cellStyle name="Normal 23 8 14" xfId="20756" xr:uid="{00000000-0005-0000-0000-0000043F0000}"/>
    <cellStyle name="Normal 23 8 15" xfId="20159" xr:uid="{00000000-0005-0000-0000-0000053F0000}"/>
    <cellStyle name="Normal 23 8 16" xfId="19563" xr:uid="{00000000-0005-0000-0000-0000063F0000}"/>
    <cellStyle name="Normal 23 8 17" xfId="18967" xr:uid="{00000000-0005-0000-0000-0000073F0000}"/>
    <cellStyle name="Normal 23 8 18" xfId="18375" xr:uid="{00000000-0005-0000-0000-0000083F0000}"/>
    <cellStyle name="Normal 23 8 19" xfId="17778" xr:uid="{00000000-0005-0000-0000-0000093F0000}"/>
    <cellStyle name="Normal 23 8 2" xfId="27917" xr:uid="{00000000-0005-0000-0000-00000A3F0000}"/>
    <cellStyle name="Normal 23 8 20" xfId="14737" xr:uid="{00000000-0005-0000-0000-00000B3F0000}"/>
    <cellStyle name="Normal 23 8 21" xfId="16114" xr:uid="{00000000-0005-0000-0000-00000C3F0000}"/>
    <cellStyle name="Normal 23 8 22" xfId="17513" xr:uid="{00000000-0005-0000-0000-00000D3F0000}"/>
    <cellStyle name="Normal 23 8 23" xfId="15294" xr:uid="{00000000-0005-0000-0000-00000E3F0000}"/>
    <cellStyle name="Normal 23 8 24" xfId="16023" xr:uid="{00000000-0005-0000-0000-00000F3F0000}"/>
    <cellStyle name="Normal 23 8 25" xfId="13612" xr:uid="{00000000-0005-0000-0000-0000103F0000}"/>
    <cellStyle name="Normal 23 8 26" xfId="14483" xr:uid="{00000000-0005-0000-0000-0000113F0000}"/>
    <cellStyle name="Normal 23 8 27" xfId="13053" xr:uid="{00000000-0005-0000-0000-0000123F0000}"/>
    <cellStyle name="Normal 23 8 28" xfId="12387" xr:uid="{00000000-0005-0000-0000-0000133F0000}"/>
    <cellStyle name="Normal 23 8 29" xfId="9202" xr:uid="{00000000-0005-0000-0000-0000143F0000}"/>
    <cellStyle name="Normal 23 8 3" xfId="27320" xr:uid="{00000000-0005-0000-0000-0000153F0000}"/>
    <cellStyle name="Normal 23 8 30" xfId="6232" xr:uid="{00000000-0005-0000-0000-0000163F0000}"/>
    <cellStyle name="Normal 23 8 31" xfId="6263" xr:uid="{00000000-0005-0000-0000-0000173F0000}"/>
    <cellStyle name="Normal 23 8 32" xfId="6533" xr:uid="{00000000-0005-0000-0000-0000183F0000}"/>
    <cellStyle name="Normal 23 8 33" xfId="7759" xr:uid="{00000000-0005-0000-0000-0000193F0000}"/>
    <cellStyle name="Normal 23 8 34" xfId="5765" xr:uid="{00000000-0005-0000-0000-00001A3F0000}"/>
    <cellStyle name="Normal 23 8 35" xfId="4733" xr:uid="{00000000-0005-0000-0000-00001B3F0000}"/>
    <cellStyle name="Normal 23 8 36" xfId="9450" xr:uid="{00000000-0005-0000-0000-00001C3F0000}"/>
    <cellStyle name="Normal 23 8 37" xfId="6772" xr:uid="{00000000-0005-0000-0000-00001D3F0000}"/>
    <cellStyle name="Normal 23 8 38" xfId="8156" xr:uid="{00000000-0005-0000-0000-00001E3F0000}"/>
    <cellStyle name="Normal 23 8 39" xfId="3525" xr:uid="{00000000-0005-0000-0000-00001F3F0000}"/>
    <cellStyle name="Normal 23 8 4" xfId="26723" xr:uid="{00000000-0005-0000-0000-0000203F0000}"/>
    <cellStyle name="Normal 23 8 40" xfId="3437" xr:uid="{00000000-0005-0000-0000-0000213F0000}"/>
    <cellStyle name="Normal 23 8 41" xfId="8577" xr:uid="{00000000-0005-0000-0000-0000223F0000}"/>
    <cellStyle name="Normal 23 8 42" xfId="11589" xr:uid="{00000000-0005-0000-0000-0000233F0000}"/>
    <cellStyle name="Normal 23 8 43" xfId="3376" xr:uid="{00000000-0005-0000-0000-0000243F0000}"/>
    <cellStyle name="Normal 23 8 44" xfId="2940" xr:uid="{00000000-0005-0000-0000-0000253F0000}"/>
    <cellStyle name="Normal 23 8 45" xfId="2697" xr:uid="{00000000-0005-0000-0000-0000263F0000}"/>
    <cellStyle name="Normal 23 8 46" xfId="2457" xr:uid="{00000000-0005-0000-0000-0000273F0000}"/>
    <cellStyle name="Normal 23 8 47" xfId="2217" xr:uid="{00000000-0005-0000-0000-0000283F0000}"/>
    <cellStyle name="Normal 23 8 48" xfId="1977" xr:uid="{00000000-0005-0000-0000-0000293F0000}"/>
    <cellStyle name="Normal 23 8 49" xfId="1737" xr:uid="{00000000-0005-0000-0000-00002A3F0000}"/>
    <cellStyle name="Normal 23 8 5" xfId="26127" xr:uid="{00000000-0005-0000-0000-00002B3F0000}"/>
    <cellStyle name="Normal 23 8 50" xfId="1498" xr:uid="{00000000-0005-0000-0000-00002C3F0000}"/>
    <cellStyle name="Normal 23 8 51" xfId="1258" xr:uid="{00000000-0005-0000-0000-00002D3F0000}"/>
    <cellStyle name="Normal 23 8 52" xfId="1018" xr:uid="{00000000-0005-0000-0000-00002E3F0000}"/>
    <cellStyle name="Normal 23 8 53" xfId="778" xr:uid="{00000000-0005-0000-0000-00002F3F0000}"/>
    <cellStyle name="Normal 23 8 54" xfId="538" xr:uid="{00000000-0005-0000-0000-0000303F0000}"/>
    <cellStyle name="Normal 23 8 55" xfId="299" xr:uid="{00000000-0005-0000-0000-0000313F0000}"/>
    <cellStyle name="Normal 23 8 56" xfId="61" xr:uid="{00000000-0005-0000-0000-0000323F0000}"/>
    <cellStyle name="Normal 23 8 6" xfId="25531" xr:uid="{00000000-0005-0000-0000-0000333F0000}"/>
    <cellStyle name="Normal 23 8 7" xfId="24934" xr:uid="{00000000-0005-0000-0000-0000343F0000}"/>
    <cellStyle name="Normal 23 8 8" xfId="24337" xr:uid="{00000000-0005-0000-0000-0000353F0000}"/>
    <cellStyle name="Normal 23 8 9" xfId="23740" xr:uid="{00000000-0005-0000-0000-0000363F0000}"/>
    <cellStyle name="Normal 23 9" xfId="28516" xr:uid="{00000000-0005-0000-0000-0000373F0000}"/>
    <cellStyle name="Normal 23 9 10" xfId="23142" xr:uid="{00000000-0005-0000-0000-0000383F0000}"/>
    <cellStyle name="Normal 23 9 11" xfId="22545" xr:uid="{00000000-0005-0000-0000-0000393F0000}"/>
    <cellStyle name="Normal 23 9 12" xfId="21949" xr:uid="{00000000-0005-0000-0000-00003A3F0000}"/>
    <cellStyle name="Normal 23 9 13" xfId="21352" xr:uid="{00000000-0005-0000-0000-00003B3F0000}"/>
    <cellStyle name="Normal 23 9 14" xfId="20755" xr:uid="{00000000-0005-0000-0000-00003C3F0000}"/>
    <cellStyle name="Normal 23 9 15" xfId="20158" xr:uid="{00000000-0005-0000-0000-00003D3F0000}"/>
    <cellStyle name="Normal 23 9 16" xfId="19562" xr:uid="{00000000-0005-0000-0000-00003E3F0000}"/>
    <cellStyle name="Normal 23 9 17" xfId="18966" xr:uid="{00000000-0005-0000-0000-00003F3F0000}"/>
    <cellStyle name="Normal 23 9 18" xfId="18374" xr:uid="{00000000-0005-0000-0000-0000403F0000}"/>
    <cellStyle name="Normal 23 9 19" xfId="17777" xr:uid="{00000000-0005-0000-0000-0000413F0000}"/>
    <cellStyle name="Normal 23 9 2" xfId="27916" xr:uid="{00000000-0005-0000-0000-0000423F0000}"/>
    <cellStyle name="Normal 23 9 20" xfId="14939" xr:uid="{00000000-0005-0000-0000-0000433F0000}"/>
    <cellStyle name="Normal 23 9 21" xfId="16101" xr:uid="{00000000-0005-0000-0000-0000443F0000}"/>
    <cellStyle name="Normal 23 9 22" xfId="17216" xr:uid="{00000000-0005-0000-0000-0000453F0000}"/>
    <cellStyle name="Normal 23 9 23" xfId="17467" xr:uid="{00000000-0005-0000-0000-0000463F0000}"/>
    <cellStyle name="Normal 23 9 24" xfId="15114" xr:uid="{00000000-0005-0000-0000-0000473F0000}"/>
    <cellStyle name="Normal 23 9 25" xfId="17495" xr:uid="{00000000-0005-0000-0000-0000483F0000}"/>
    <cellStyle name="Normal 23 9 26" xfId="13056" xr:uid="{00000000-0005-0000-0000-0000493F0000}"/>
    <cellStyle name="Normal 23 9 27" xfId="13103" xr:uid="{00000000-0005-0000-0000-00004A3F0000}"/>
    <cellStyle name="Normal 23 9 28" xfId="12386" xr:uid="{00000000-0005-0000-0000-00004B3F0000}"/>
    <cellStyle name="Normal 23 9 29" xfId="9435" xr:uid="{00000000-0005-0000-0000-00004C3F0000}"/>
    <cellStyle name="Normal 23 9 3" xfId="27319" xr:uid="{00000000-0005-0000-0000-00004D3F0000}"/>
    <cellStyle name="Normal 23 9 30" xfId="6721" xr:uid="{00000000-0005-0000-0000-00004E3F0000}"/>
    <cellStyle name="Normal 23 9 31" xfId="9934" xr:uid="{00000000-0005-0000-0000-00004F3F0000}"/>
    <cellStyle name="Normal 23 9 32" xfId="11650" xr:uid="{00000000-0005-0000-0000-0000503F0000}"/>
    <cellStyle name="Normal 23 9 33" xfId="10865" xr:uid="{00000000-0005-0000-0000-0000513F0000}"/>
    <cellStyle name="Normal 23 9 34" xfId="11864" xr:uid="{00000000-0005-0000-0000-0000523F0000}"/>
    <cellStyle name="Normal 23 9 35" xfId="9237" xr:uid="{00000000-0005-0000-0000-0000533F0000}"/>
    <cellStyle name="Normal 23 9 36" xfId="5751" xr:uid="{00000000-0005-0000-0000-0000543F0000}"/>
    <cellStyle name="Normal 23 9 37" xfId="10876" xr:uid="{00000000-0005-0000-0000-0000553F0000}"/>
    <cellStyle name="Normal 23 9 38" xfId="11276" xr:uid="{00000000-0005-0000-0000-0000563F0000}"/>
    <cellStyle name="Normal 23 9 39" xfId="9410" xr:uid="{00000000-0005-0000-0000-0000573F0000}"/>
    <cellStyle name="Normal 23 9 4" xfId="26722" xr:uid="{00000000-0005-0000-0000-0000583F0000}"/>
    <cellStyle name="Normal 23 9 40" xfId="4757" xr:uid="{00000000-0005-0000-0000-0000593F0000}"/>
    <cellStyle name="Normal 23 9 41" xfId="5415" xr:uid="{00000000-0005-0000-0000-00005A3F0000}"/>
    <cellStyle name="Normal 23 9 42" xfId="4050" xr:uid="{00000000-0005-0000-0000-00005B3F0000}"/>
    <cellStyle name="Normal 23 9 43" xfId="3856" xr:uid="{00000000-0005-0000-0000-00005C3F0000}"/>
    <cellStyle name="Normal 23 9 44" xfId="2939" xr:uid="{00000000-0005-0000-0000-00005D3F0000}"/>
    <cellStyle name="Normal 23 9 45" xfId="2696" xr:uid="{00000000-0005-0000-0000-00005E3F0000}"/>
    <cellStyle name="Normal 23 9 46" xfId="2456" xr:uid="{00000000-0005-0000-0000-00005F3F0000}"/>
    <cellStyle name="Normal 23 9 47" xfId="2216" xr:uid="{00000000-0005-0000-0000-0000603F0000}"/>
    <cellStyle name="Normal 23 9 48" xfId="1976" xr:uid="{00000000-0005-0000-0000-0000613F0000}"/>
    <cellStyle name="Normal 23 9 49" xfId="1736" xr:uid="{00000000-0005-0000-0000-0000623F0000}"/>
    <cellStyle name="Normal 23 9 5" xfId="26126" xr:uid="{00000000-0005-0000-0000-0000633F0000}"/>
    <cellStyle name="Normal 23 9 50" xfId="1497" xr:uid="{00000000-0005-0000-0000-0000643F0000}"/>
    <cellStyle name="Normal 23 9 51" xfId="1257" xr:uid="{00000000-0005-0000-0000-0000653F0000}"/>
    <cellStyle name="Normal 23 9 52" xfId="1017" xr:uid="{00000000-0005-0000-0000-0000663F0000}"/>
    <cellStyle name="Normal 23 9 53" xfId="777" xr:uid="{00000000-0005-0000-0000-0000673F0000}"/>
    <cellStyle name="Normal 23 9 54" xfId="537" xr:uid="{00000000-0005-0000-0000-0000683F0000}"/>
    <cellStyle name="Normal 23 9 55" xfId="298" xr:uid="{00000000-0005-0000-0000-0000693F0000}"/>
    <cellStyle name="Normal 23 9 56" xfId="60" xr:uid="{00000000-0005-0000-0000-00006A3F0000}"/>
    <cellStyle name="Normal 23 9 6" xfId="25530" xr:uid="{00000000-0005-0000-0000-00006B3F0000}"/>
    <cellStyle name="Normal 23 9 7" xfId="24933" xr:uid="{00000000-0005-0000-0000-00006C3F0000}"/>
    <cellStyle name="Normal 23 9 8" xfId="24336" xr:uid="{00000000-0005-0000-0000-00006D3F0000}"/>
    <cellStyle name="Normal 23 9 9" xfId="23739" xr:uid="{00000000-0005-0000-0000-00006E3F0000}"/>
    <cellStyle name="Normal 24" xfId="28515" xr:uid="{00000000-0005-0000-0000-00006F3F0000}"/>
    <cellStyle name="Normal 24 10" xfId="28514" xr:uid="{00000000-0005-0000-0000-0000703F0000}"/>
    <cellStyle name="Normal 24 10 10" xfId="23140" xr:uid="{00000000-0005-0000-0000-0000713F0000}"/>
    <cellStyle name="Normal 24 10 11" xfId="22543" xr:uid="{00000000-0005-0000-0000-0000723F0000}"/>
    <cellStyle name="Normal 24 10 12" xfId="21947" xr:uid="{00000000-0005-0000-0000-0000733F0000}"/>
    <cellStyle name="Normal 24 10 13" xfId="21350" xr:uid="{00000000-0005-0000-0000-0000743F0000}"/>
    <cellStyle name="Normal 24 10 14" xfId="20753" xr:uid="{00000000-0005-0000-0000-0000753F0000}"/>
    <cellStyle name="Normal 24 10 15" xfId="20156" xr:uid="{00000000-0005-0000-0000-0000763F0000}"/>
    <cellStyle name="Normal 24 10 16" xfId="19560" xr:uid="{00000000-0005-0000-0000-0000773F0000}"/>
    <cellStyle name="Normal 24 10 17" xfId="18964" xr:uid="{00000000-0005-0000-0000-0000783F0000}"/>
    <cellStyle name="Normal 24 10 18" xfId="18372" xr:uid="{00000000-0005-0000-0000-0000793F0000}"/>
    <cellStyle name="Normal 24 10 19" xfId="17775" xr:uid="{00000000-0005-0000-0000-00007A3F0000}"/>
    <cellStyle name="Normal 24 10 2" xfId="27914" xr:uid="{00000000-0005-0000-0000-00007B3F0000}"/>
    <cellStyle name="Normal 24 10 20" xfId="15341" xr:uid="{00000000-0005-0000-0000-00007C3F0000}"/>
    <cellStyle name="Normal 24 10 21" xfId="15875" xr:uid="{00000000-0005-0000-0000-00007D3F0000}"/>
    <cellStyle name="Normal 24 10 22" xfId="14828" xr:uid="{00000000-0005-0000-0000-00007E3F0000}"/>
    <cellStyle name="Normal 24 10 23" xfId="13761" xr:uid="{00000000-0005-0000-0000-00007F3F0000}"/>
    <cellStyle name="Normal 24 10 24" xfId="15787" xr:uid="{00000000-0005-0000-0000-0000803F0000}"/>
    <cellStyle name="Normal 24 10 25" xfId="13094" xr:uid="{00000000-0005-0000-0000-0000813F0000}"/>
    <cellStyle name="Normal 24 10 26" xfId="13586" xr:uid="{00000000-0005-0000-0000-0000823F0000}"/>
    <cellStyle name="Normal 24 10 27" xfId="12808" xr:uid="{00000000-0005-0000-0000-0000833F0000}"/>
    <cellStyle name="Normal 24 10 28" xfId="12384" xr:uid="{00000000-0005-0000-0000-0000843F0000}"/>
    <cellStyle name="Normal 24 10 29" xfId="9886" xr:uid="{00000000-0005-0000-0000-0000853F0000}"/>
    <cellStyle name="Normal 24 10 3" xfId="27317" xr:uid="{00000000-0005-0000-0000-0000863F0000}"/>
    <cellStyle name="Normal 24 10 30" xfId="7092" xr:uid="{00000000-0005-0000-0000-0000873F0000}"/>
    <cellStyle name="Normal 24 10 31" xfId="11774" xr:uid="{00000000-0005-0000-0000-0000883F0000}"/>
    <cellStyle name="Normal 24 10 32" xfId="7427" xr:uid="{00000000-0005-0000-0000-0000893F0000}"/>
    <cellStyle name="Normal 24 10 33" xfId="4844" xr:uid="{00000000-0005-0000-0000-00008A3F0000}"/>
    <cellStyle name="Normal 24 10 34" xfId="8825" xr:uid="{00000000-0005-0000-0000-00008B3F0000}"/>
    <cellStyle name="Normal 24 10 35" xfId="6874" xr:uid="{00000000-0005-0000-0000-00008C3F0000}"/>
    <cellStyle name="Normal 24 10 36" xfId="6542" xr:uid="{00000000-0005-0000-0000-00008D3F0000}"/>
    <cellStyle name="Normal 24 10 37" xfId="8992" xr:uid="{00000000-0005-0000-0000-00008E3F0000}"/>
    <cellStyle name="Normal 24 10 38" xfId="11608" xr:uid="{00000000-0005-0000-0000-00008F3F0000}"/>
    <cellStyle name="Normal 24 10 39" xfId="3826" xr:uid="{00000000-0005-0000-0000-0000903F0000}"/>
    <cellStyle name="Normal 24 10 4" xfId="26720" xr:uid="{00000000-0005-0000-0000-0000913F0000}"/>
    <cellStyle name="Normal 24 10 40" xfId="3607" xr:uid="{00000000-0005-0000-0000-0000923F0000}"/>
    <cellStyle name="Normal 24 10 41" xfId="3409" xr:uid="{00000000-0005-0000-0000-0000933F0000}"/>
    <cellStyle name="Normal 24 10 42" xfId="10653" xr:uid="{00000000-0005-0000-0000-0000943F0000}"/>
    <cellStyle name="Normal 24 10 43" xfId="3181" xr:uid="{00000000-0005-0000-0000-0000953F0000}"/>
    <cellStyle name="Normal 24 10 44" xfId="2938" xr:uid="{00000000-0005-0000-0000-0000963F0000}"/>
    <cellStyle name="Normal 24 10 45" xfId="2695" xr:uid="{00000000-0005-0000-0000-0000973F0000}"/>
    <cellStyle name="Normal 24 10 46" xfId="2455" xr:uid="{00000000-0005-0000-0000-0000983F0000}"/>
    <cellStyle name="Normal 24 10 47" xfId="2215" xr:uid="{00000000-0005-0000-0000-0000993F0000}"/>
    <cellStyle name="Normal 24 10 48" xfId="1975" xr:uid="{00000000-0005-0000-0000-00009A3F0000}"/>
    <cellStyle name="Normal 24 10 49" xfId="1735" xr:uid="{00000000-0005-0000-0000-00009B3F0000}"/>
    <cellStyle name="Normal 24 10 5" xfId="26124" xr:uid="{00000000-0005-0000-0000-00009C3F0000}"/>
    <cellStyle name="Normal 24 10 50" xfId="1496" xr:uid="{00000000-0005-0000-0000-00009D3F0000}"/>
    <cellStyle name="Normal 24 10 51" xfId="1256" xr:uid="{00000000-0005-0000-0000-00009E3F0000}"/>
    <cellStyle name="Normal 24 10 52" xfId="1016" xr:uid="{00000000-0005-0000-0000-00009F3F0000}"/>
    <cellStyle name="Normal 24 10 53" xfId="776" xr:uid="{00000000-0005-0000-0000-0000A03F0000}"/>
    <cellStyle name="Normal 24 10 54" xfId="536" xr:uid="{00000000-0005-0000-0000-0000A13F0000}"/>
    <cellStyle name="Normal 24 10 55" xfId="297" xr:uid="{00000000-0005-0000-0000-0000A23F0000}"/>
    <cellStyle name="Normal 24 10 56" xfId="59" xr:uid="{00000000-0005-0000-0000-0000A33F0000}"/>
    <cellStyle name="Normal 24 10 6" xfId="25528" xr:uid="{00000000-0005-0000-0000-0000A43F0000}"/>
    <cellStyle name="Normal 24 10 7" xfId="24931" xr:uid="{00000000-0005-0000-0000-0000A53F0000}"/>
    <cellStyle name="Normal 24 10 8" xfId="24334" xr:uid="{00000000-0005-0000-0000-0000A63F0000}"/>
    <cellStyle name="Normal 24 10 9" xfId="23737" xr:uid="{00000000-0005-0000-0000-0000A73F0000}"/>
    <cellStyle name="Normal 24 11" xfId="28513" xr:uid="{00000000-0005-0000-0000-0000A83F0000}"/>
    <cellStyle name="Normal 24 11 10" xfId="23139" xr:uid="{00000000-0005-0000-0000-0000A93F0000}"/>
    <cellStyle name="Normal 24 11 11" xfId="22542" xr:uid="{00000000-0005-0000-0000-0000AA3F0000}"/>
    <cellStyle name="Normal 24 11 12" xfId="21946" xr:uid="{00000000-0005-0000-0000-0000AB3F0000}"/>
    <cellStyle name="Normal 24 11 13" xfId="21349" xr:uid="{00000000-0005-0000-0000-0000AC3F0000}"/>
    <cellStyle name="Normal 24 11 14" xfId="20752" xr:uid="{00000000-0005-0000-0000-0000AD3F0000}"/>
    <cellStyle name="Normal 24 11 15" xfId="20155" xr:uid="{00000000-0005-0000-0000-0000AE3F0000}"/>
    <cellStyle name="Normal 24 11 16" xfId="19559" xr:uid="{00000000-0005-0000-0000-0000AF3F0000}"/>
    <cellStyle name="Normal 24 11 17" xfId="18963" xr:uid="{00000000-0005-0000-0000-0000B03F0000}"/>
    <cellStyle name="Normal 24 11 18" xfId="18371" xr:uid="{00000000-0005-0000-0000-0000B13F0000}"/>
    <cellStyle name="Normal 24 11 19" xfId="17774" xr:uid="{00000000-0005-0000-0000-0000B23F0000}"/>
    <cellStyle name="Normal 24 11 2" xfId="27913" xr:uid="{00000000-0005-0000-0000-0000B33F0000}"/>
    <cellStyle name="Normal 24 11 20" xfId="15548" xr:uid="{00000000-0005-0000-0000-0000B43F0000}"/>
    <cellStyle name="Normal 24 11 21" xfId="15468" xr:uid="{00000000-0005-0000-0000-0000B53F0000}"/>
    <cellStyle name="Normal 24 11 22" xfId="15431" xr:uid="{00000000-0005-0000-0000-0000B63F0000}"/>
    <cellStyle name="Normal 24 11 23" xfId="14031" xr:uid="{00000000-0005-0000-0000-0000B73F0000}"/>
    <cellStyle name="Normal 24 11 24" xfId="14758" xr:uid="{00000000-0005-0000-0000-0000B83F0000}"/>
    <cellStyle name="Normal 24 11 25" xfId="12988" xr:uid="{00000000-0005-0000-0000-0000B93F0000}"/>
    <cellStyle name="Normal 24 11 26" xfId="13062" xr:uid="{00000000-0005-0000-0000-0000BA3F0000}"/>
    <cellStyle name="Normal 24 11 27" xfId="13073" xr:uid="{00000000-0005-0000-0000-0000BB3F0000}"/>
    <cellStyle name="Normal 24 11 28" xfId="12383" xr:uid="{00000000-0005-0000-0000-0000BC3F0000}"/>
    <cellStyle name="Normal 24 11 29" xfId="10121" xr:uid="{00000000-0005-0000-0000-0000BD3F0000}"/>
    <cellStyle name="Normal 24 11 3" xfId="27316" xr:uid="{00000000-0005-0000-0000-0000BE3F0000}"/>
    <cellStyle name="Normal 24 11 30" xfId="9409" xr:uid="{00000000-0005-0000-0000-0000BF3F0000}"/>
    <cellStyle name="Normal 24 11 31" xfId="10432" xr:uid="{00000000-0005-0000-0000-0000C03F0000}"/>
    <cellStyle name="Normal 24 11 32" xfId="7056" xr:uid="{00000000-0005-0000-0000-0000C13F0000}"/>
    <cellStyle name="Normal 24 11 33" xfId="10307" xr:uid="{00000000-0005-0000-0000-0000C23F0000}"/>
    <cellStyle name="Normal 24 11 34" xfId="11552" xr:uid="{00000000-0005-0000-0000-0000C33F0000}"/>
    <cellStyle name="Normal 24 11 35" xfId="9867" xr:uid="{00000000-0005-0000-0000-0000C43F0000}"/>
    <cellStyle name="Normal 24 11 36" xfId="7308" xr:uid="{00000000-0005-0000-0000-0000C53F0000}"/>
    <cellStyle name="Normal 24 11 37" xfId="9387" xr:uid="{00000000-0005-0000-0000-0000C63F0000}"/>
    <cellStyle name="Normal 24 11 38" xfId="6684" xr:uid="{00000000-0005-0000-0000-0000C73F0000}"/>
    <cellStyle name="Normal 24 11 39" xfId="7892" xr:uid="{00000000-0005-0000-0000-0000C83F0000}"/>
    <cellStyle name="Normal 24 11 4" xfId="26719" xr:uid="{00000000-0005-0000-0000-0000C93F0000}"/>
    <cellStyle name="Normal 24 11 40" xfId="10074" xr:uid="{00000000-0005-0000-0000-0000CA3F0000}"/>
    <cellStyle name="Normal 24 11 41" xfId="3656" xr:uid="{00000000-0005-0000-0000-0000CB3F0000}"/>
    <cellStyle name="Normal 24 11 42" xfId="6958" xr:uid="{00000000-0005-0000-0000-0000CC3F0000}"/>
    <cellStyle name="Normal 24 11 43" xfId="3593" xr:uid="{00000000-0005-0000-0000-0000CD3F0000}"/>
    <cellStyle name="Normal 24 11 44" xfId="2937" xr:uid="{00000000-0005-0000-0000-0000CE3F0000}"/>
    <cellStyle name="Normal 24 11 45" xfId="2694" xr:uid="{00000000-0005-0000-0000-0000CF3F0000}"/>
    <cellStyle name="Normal 24 11 46" xfId="2454" xr:uid="{00000000-0005-0000-0000-0000D03F0000}"/>
    <cellStyle name="Normal 24 11 47" xfId="2214" xr:uid="{00000000-0005-0000-0000-0000D13F0000}"/>
    <cellStyle name="Normal 24 11 48" xfId="1974" xr:uid="{00000000-0005-0000-0000-0000D23F0000}"/>
    <cellStyle name="Normal 24 11 49" xfId="1734" xr:uid="{00000000-0005-0000-0000-0000D33F0000}"/>
    <cellStyle name="Normal 24 11 5" xfId="26123" xr:uid="{00000000-0005-0000-0000-0000D43F0000}"/>
    <cellStyle name="Normal 24 11 50" xfId="1495" xr:uid="{00000000-0005-0000-0000-0000D53F0000}"/>
    <cellStyle name="Normal 24 11 51" xfId="1255" xr:uid="{00000000-0005-0000-0000-0000D63F0000}"/>
    <cellStyle name="Normal 24 11 52" xfId="1015" xr:uid="{00000000-0005-0000-0000-0000D73F0000}"/>
    <cellStyle name="Normal 24 11 53" xfId="775" xr:uid="{00000000-0005-0000-0000-0000D83F0000}"/>
    <cellStyle name="Normal 24 11 54" xfId="535" xr:uid="{00000000-0005-0000-0000-0000D93F0000}"/>
    <cellStyle name="Normal 24 11 55" xfId="296" xr:uid="{00000000-0005-0000-0000-0000DA3F0000}"/>
    <cellStyle name="Normal 24 11 56" xfId="58" xr:uid="{00000000-0005-0000-0000-0000DB3F0000}"/>
    <cellStyle name="Normal 24 11 6" xfId="25527" xr:uid="{00000000-0005-0000-0000-0000DC3F0000}"/>
    <cellStyle name="Normal 24 11 7" xfId="24930" xr:uid="{00000000-0005-0000-0000-0000DD3F0000}"/>
    <cellStyle name="Normal 24 11 8" xfId="24333" xr:uid="{00000000-0005-0000-0000-0000DE3F0000}"/>
    <cellStyle name="Normal 24 11 9" xfId="23736" xr:uid="{00000000-0005-0000-0000-0000DF3F0000}"/>
    <cellStyle name="Normal 24 12" xfId="28512" xr:uid="{00000000-0005-0000-0000-0000E03F0000}"/>
    <cellStyle name="Normal 24 12 10" xfId="23138" xr:uid="{00000000-0005-0000-0000-0000E13F0000}"/>
    <cellStyle name="Normal 24 12 11" xfId="22541" xr:uid="{00000000-0005-0000-0000-0000E23F0000}"/>
    <cellStyle name="Normal 24 12 12" xfId="21945" xr:uid="{00000000-0005-0000-0000-0000E33F0000}"/>
    <cellStyle name="Normal 24 12 13" xfId="21348" xr:uid="{00000000-0005-0000-0000-0000E43F0000}"/>
    <cellStyle name="Normal 24 12 14" xfId="20751" xr:uid="{00000000-0005-0000-0000-0000E53F0000}"/>
    <cellStyle name="Normal 24 12 15" xfId="20154" xr:uid="{00000000-0005-0000-0000-0000E63F0000}"/>
    <cellStyle name="Normal 24 12 16" xfId="19558" xr:uid="{00000000-0005-0000-0000-0000E73F0000}"/>
    <cellStyle name="Normal 24 12 17" xfId="18962" xr:uid="{00000000-0005-0000-0000-0000E83F0000}"/>
    <cellStyle name="Normal 24 12 18" xfId="18370" xr:uid="{00000000-0005-0000-0000-0000E93F0000}"/>
    <cellStyle name="Normal 24 12 19" xfId="17773" xr:uid="{00000000-0005-0000-0000-0000EA3F0000}"/>
    <cellStyle name="Normal 24 12 2" xfId="27912" xr:uid="{00000000-0005-0000-0000-0000EB3F0000}"/>
    <cellStyle name="Normal 24 12 20" xfId="15738" xr:uid="{00000000-0005-0000-0000-0000EC3F0000}"/>
    <cellStyle name="Normal 24 12 21" xfId="15458" xr:uid="{00000000-0005-0000-0000-0000ED3F0000}"/>
    <cellStyle name="Normal 24 12 22" xfId="16654" xr:uid="{00000000-0005-0000-0000-0000EE3F0000}"/>
    <cellStyle name="Normal 24 12 23" xfId="16044" xr:uid="{00000000-0005-0000-0000-0000EF3F0000}"/>
    <cellStyle name="Normal 24 12 24" xfId="15822" xr:uid="{00000000-0005-0000-0000-0000F03F0000}"/>
    <cellStyle name="Normal 24 12 25" xfId="12920" xr:uid="{00000000-0005-0000-0000-0000F13F0000}"/>
    <cellStyle name="Normal 24 12 26" xfId="13434" xr:uid="{00000000-0005-0000-0000-0000F23F0000}"/>
    <cellStyle name="Normal 24 12 27" xfId="13096" xr:uid="{00000000-0005-0000-0000-0000F33F0000}"/>
    <cellStyle name="Normal 24 12 28" xfId="12382" xr:uid="{00000000-0005-0000-0000-0000F43F0000}"/>
    <cellStyle name="Normal 24 12 29" xfId="10348" xr:uid="{00000000-0005-0000-0000-0000F53F0000}"/>
    <cellStyle name="Normal 24 12 3" xfId="27315" xr:uid="{00000000-0005-0000-0000-0000F63F0000}"/>
    <cellStyle name="Normal 24 12 30" xfId="8011" xr:uid="{00000000-0005-0000-0000-0000F73F0000}"/>
    <cellStyle name="Normal 24 12 31" xfId="8404" xr:uid="{00000000-0005-0000-0000-0000F83F0000}"/>
    <cellStyle name="Normal 24 12 32" xfId="6539" xr:uid="{00000000-0005-0000-0000-0000F93F0000}"/>
    <cellStyle name="Normal 24 12 33" xfId="4891" xr:uid="{00000000-0005-0000-0000-0000FA3F0000}"/>
    <cellStyle name="Normal 24 12 34" xfId="10295" xr:uid="{00000000-0005-0000-0000-0000FB3F0000}"/>
    <cellStyle name="Normal 24 12 35" xfId="5319" xr:uid="{00000000-0005-0000-0000-0000FC3F0000}"/>
    <cellStyle name="Normal 24 12 36" xfId="9798" xr:uid="{00000000-0005-0000-0000-0000FD3F0000}"/>
    <cellStyle name="Normal 24 12 37" xfId="6085" xr:uid="{00000000-0005-0000-0000-0000FE3F0000}"/>
    <cellStyle name="Normal 24 12 38" xfId="5323" xr:uid="{00000000-0005-0000-0000-0000FF3F0000}"/>
    <cellStyle name="Normal 24 12 39" xfId="9905" xr:uid="{00000000-0005-0000-0000-000000400000}"/>
    <cellStyle name="Normal 24 12 4" xfId="26718" xr:uid="{00000000-0005-0000-0000-000001400000}"/>
    <cellStyle name="Normal 24 12 40" xfId="3327" xr:uid="{00000000-0005-0000-0000-000002400000}"/>
    <cellStyle name="Normal 24 12 41" xfId="9161" xr:uid="{00000000-0005-0000-0000-000003400000}"/>
    <cellStyle name="Normal 24 12 42" xfId="8843" xr:uid="{00000000-0005-0000-0000-000004400000}"/>
    <cellStyle name="Normal 24 12 43" xfId="11069" xr:uid="{00000000-0005-0000-0000-000005400000}"/>
    <cellStyle name="Normal 24 12 5" xfId="26122" xr:uid="{00000000-0005-0000-0000-000006400000}"/>
    <cellStyle name="Normal 24 12 6" xfId="25526" xr:uid="{00000000-0005-0000-0000-000007400000}"/>
    <cellStyle name="Normal 24 12 7" xfId="24929" xr:uid="{00000000-0005-0000-0000-000008400000}"/>
    <cellStyle name="Normal 24 12 8" xfId="24332" xr:uid="{00000000-0005-0000-0000-000009400000}"/>
    <cellStyle name="Normal 24 12 9" xfId="23735" xr:uid="{00000000-0005-0000-0000-00000A400000}"/>
    <cellStyle name="Normal 24 13" xfId="28511" xr:uid="{00000000-0005-0000-0000-00000B400000}"/>
    <cellStyle name="Normal 24 13 10" xfId="23137" xr:uid="{00000000-0005-0000-0000-00000C400000}"/>
    <cellStyle name="Normal 24 13 11" xfId="22540" xr:uid="{00000000-0005-0000-0000-00000D400000}"/>
    <cellStyle name="Normal 24 13 12" xfId="21944" xr:uid="{00000000-0005-0000-0000-00000E400000}"/>
    <cellStyle name="Normal 24 13 13" xfId="21347" xr:uid="{00000000-0005-0000-0000-00000F400000}"/>
    <cellStyle name="Normal 24 13 14" xfId="20750" xr:uid="{00000000-0005-0000-0000-000010400000}"/>
    <cellStyle name="Normal 24 13 15" xfId="20153" xr:uid="{00000000-0005-0000-0000-000011400000}"/>
    <cellStyle name="Normal 24 13 16" xfId="19557" xr:uid="{00000000-0005-0000-0000-000012400000}"/>
    <cellStyle name="Normal 24 13 17" xfId="18961" xr:uid="{00000000-0005-0000-0000-000013400000}"/>
    <cellStyle name="Normal 24 13 18" xfId="18369" xr:uid="{00000000-0005-0000-0000-000014400000}"/>
    <cellStyle name="Normal 24 13 19" xfId="17772" xr:uid="{00000000-0005-0000-0000-000015400000}"/>
    <cellStyle name="Normal 24 13 2" xfId="27911" xr:uid="{00000000-0005-0000-0000-000016400000}"/>
    <cellStyle name="Normal 24 13 20" xfId="15938" xr:uid="{00000000-0005-0000-0000-000017400000}"/>
    <cellStyle name="Normal 24 13 21" xfId="15051" xr:uid="{00000000-0005-0000-0000-000018400000}"/>
    <cellStyle name="Normal 24 13 22" xfId="16844" xr:uid="{00000000-0005-0000-0000-000019400000}"/>
    <cellStyle name="Normal 24 13 23" xfId="13744" xr:uid="{00000000-0005-0000-0000-00001A400000}"/>
    <cellStyle name="Normal 24 13 24" xfId="15070" xr:uid="{00000000-0005-0000-0000-00001B400000}"/>
    <cellStyle name="Normal 24 13 25" xfId="16419" xr:uid="{00000000-0005-0000-0000-00001C400000}"/>
    <cellStyle name="Normal 24 13 26" xfId="17061" xr:uid="{00000000-0005-0000-0000-00001D400000}"/>
    <cellStyle name="Normal 24 13 27" xfId="15510" xr:uid="{00000000-0005-0000-0000-00001E400000}"/>
    <cellStyle name="Normal 24 13 28" xfId="12381" xr:uid="{00000000-0005-0000-0000-00001F400000}"/>
    <cellStyle name="Normal 24 13 29" xfId="10577" xr:uid="{00000000-0005-0000-0000-000020400000}"/>
    <cellStyle name="Normal 24 13 3" xfId="27314" xr:uid="{00000000-0005-0000-0000-000021400000}"/>
    <cellStyle name="Normal 24 13 30" xfId="11257" xr:uid="{00000000-0005-0000-0000-000022400000}"/>
    <cellStyle name="Normal 24 13 31" xfId="7585" xr:uid="{00000000-0005-0000-0000-000023400000}"/>
    <cellStyle name="Normal 24 13 32" xfId="10481" xr:uid="{00000000-0005-0000-0000-000024400000}"/>
    <cellStyle name="Normal 24 13 33" xfId="8026" xr:uid="{00000000-0005-0000-0000-000025400000}"/>
    <cellStyle name="Normal 24 13 34" xfId="9635" xr:uid="{00000000-0005-0000-0000-000026400000}"/>
    <cellStyle name="Normal 24 13 35" xfId="7088" xr:uid="{00000000-0005-0000-0000-000027400000}"/>
    <cellStyle name="Normal 24 13 36" xfId="7165" xr:uid="{00000000-0005-0000-0000-000028400000}"/>
    <cellStyle name="Normal 24 13 37" xfId="6790" xr:uid="{00000000-0005-0000-0000-000029400000}"/>
    <cellStyle name="Normal 24 13 38" xfId="6429" xr:uid="{00000000-0005-0000-0000-00002A400000}"/>
    <cellStyle name="Normal 24 13 39" xfId="10929" xr:uid="{00000000-0005-0000-0000-00002B400000}"/>
    <cellStyle name="Normal 24 13 4" xfId="26717" xr:uid="{00000000-0005-0000-0000-00002C400000}"/>
    <cellStyle name="Normal 24 13 40" xfId="9239" xr:uid="{00000000-0005-0000-0000-00002D400000}"/>
    <cellStyle name="Normal 24 13 41" xfId="9931" xr:uid="{00000000-0005-0000-0000-00002E400000}"/>
    <cellStyle name="Normal 24 13 42" xfId="6921" xr:uid="{00000000-0005-0000-0000-00002F400000}"/>
    <cellStyle name="Normal 24 13 43" xfId="9326" xr:uid="{00000000-0005-0000-0000-000030400000}"/>
    <cellStyle name="Normal 24 13 5" xfId="26121" xr:uid="{00000000-0005-0000-0000-000031400000}"/>
    <cellStyle name="Normal 24 13 6" xfId="25525" xr:uid="{00000000-0005-0000-0000-000032400000}"/>
    <cellStyle name="Normal 24 13 7" xfId="24928" xr:uid="{00000000-0005-0000-0000-000033400000}"/>
    <cellStyle name="Normal 24 13 8" xfId="24331" xr:uid="{00000000-0005-0000-0000-000034400000}"/>
    <cellStyle name="Normal 24 13 9" xfId="23734" xr:uid="{00000000-0005-0000-0000-000035400000}"/>
    <cellStyle name="Normal 24 14" xfId="28510" xr:uid="{00000000-0005-0000-0000-000036400000}"/>
    <cellStyle name="Normal 24 14 10" xfId="23136" xr:uid="{00000000-0005-0000-0000-000037400000}"/>
    <cellStyle name="Normal 24 14 11" xfId="22539" xr:uid="{00000000-0005-0000-0000-000038400000}"/>
    <cellStyle name="Normal 24 14 12" xfId="21943" xr:uid="{00000000-0005-0000-0000-000039400000}"/>
    <cellStyle name="Normal 24 14 13" xfId="21346" xr:uid="{00000000-0005-0000-0000-00003A400000}"/>
    <cellStyle name="Normal 24 14 14" xfId="20749" xr:uid="{00000000-0005-0000-0000-00003B400000}"/>
    <cellStyle name="Normal 24 14 15" xfId="20152" xr:uid="{00000000-0005-0000-0000-00003C400000}"/>
    <cellStyle name="Normal 24 14 16" xfId="19556" xr:uid="{00000000-0005-0000-0000-00003D400000}"/>
    <cellStyle name="Normal 24 14 17" xfId="18960" xr:uid="{00000000-0005-0000-0000-00003E400000}"/>
    <cellStyle name="Normal 24 14 18" xfId="18368" xr:uid="{00000000-0005-0000-0000-00003F400000}"/>
    <cellStyle name="Normal 24 14 19" xfId="17771" xr:uid="{00000000-0005-0000-0000-000040400000}"/>
    <cellStyle name="Normal 24 14 2" xfId="27910" xr:uid="{00000000-0005-0000-0000-000041400000}"/>
    <cellStyle name="Normal 24 14 20" xfId="16146" xr:uid="{00000000-0005-0000-0000-000042400000}"/>
    <cellStyle name="Normal 24 14 21" xfId="14448" xr:uid="{00000000-0005-0000-0000-000043400000}"/>
    <cellStyle name="Normal 24 14 22" xfId="14287" xr:uid="{00000000-0005-0000-0000-000044400000}"/>
    <cellStyle name="Normal 24 14 23" xfId="14753" xr:uid="{00000000-0005-0000-0000-000045400000}"/>
    <cellStyle name="Normal 24 14 24" xfId="15280" xr:uid="{00000000-0005-0000-0000-000046400000}"/>
    <cellStyle name="Normal 24 14 25" xfId="13089" xr:uid="{00000000-0005-0000-0000-000047400000}"/>
    <cellStyle name="Normal 24 14 26" xfId="14615" xr:uid="{00000000-0005-0000-0000-000048400000}"/>
    <cellStyle name="Normal 24 14 27" xfId="13570" xr:uid="{00000000-0005-0000-0000-000049400000}"/>
    <cellStyle name="Normal 24 14 28" xfId="12380" xr:uid="{00000000-0005-0000-0000-00004A400000}"/>
    <cellStyle name="Normal 24 14 29" xfId="10792" xr:uid="{00000000-0005-0000-0000-00004B400000}"/>
    <cellStyle name="Normal 24 14 3" xfId="27313" xr:uid="{00000000-0005-0000-0000-00004C400000}"/>
    <cellStyle name="Normal 24 14 30" xfId="9592" xr:uid="{00000000-0005-0000-0000-00004D400000}"/>
    <cellStyle name="Normal 24 14 31" xfId="11387" xr:uid="{00000000-0005-0000-0000-00004E400000}"/>
    <cellStyle name="Normal 24 14 32" xfId="8647" xr:uid="{00000000-0005-0000-0000-00004F400000}"/>
    <cellStyle name="Normal 24 14 33" xfId="10172" xr:uid="{00000000-0005-0000-0000-000050400000}"/>
    <cellStyle name="Normal 24 14 34" xfId="5017" xr:uid="{00000000-0005-0000-0000-000051400000}"/>
    <cellStyle name="Normal 24 14 35" xfId="7014" xr:uid="{00000000-0005-0000-0000-000052400000}"/>
    <cellStyle name="Normal 24 14 36" xfId="4750" xr:uid="{00000000-0005-0000-0000-000053400000}"/>
    <cellStyle name="Normal 24 14 37" xfId="11736" xr:uid="{00000000-0005-0000-0000-000054400000}"/>
    <cellStyle name="Normal 24 14 38" xfId="11820" xr:uid="{00000000-0005-0000-0000-000055400000}"/>
    <cellStyle name="Normal 24 14 39" xfId="7656" xr:uid="{00000000-0005-0000-0000-000056400000}"/>
    <cellStyle name="Normal 24 14 4" xfId="26716" xr:uid="{00000000-0005-0000-0000-000057400000}"/>
    <cellStyle name="Normal 24 14 40" xfId="3371" xr:uid="{00000000-0005-0000-0000-000058400000}"/>
    <cellStyle name="Normal 24 14 41" xfId="4169" xr:uid="{00000000-0005-0000-0000-000059400000}"/>
    <cellStyle name="Normal 24 14 42" xfId="5344" xr:uid="{00000000-0005-0000-0000-00005A400000}"/>
    <cellStyle name="Normal 24 14 43" xfId="3401" xr:uid="{00000000-0005-0000-0000-00005B400000}"/>
    <cellStyle name="Normal 24 14 5" xfId="26120" xr:uid="{00000000-0005-0000-0000-00005C400000}"/>
    <cellStyle name="Normal 24 14 6" xfId="25524" xr:uid="{00000000-0005-0000-0000-00005D400000}"/>
    <cellStyle name="Normal 24 14 7" xfId="24927" xr:uid="{00000000-0005-0000-0000-00005E400000}"/>
    <cellStyle name="Normal 24 14 8" xfId="24330" xr:uid="{00000000-0005-0000-0000-00005F400000}"/>
    <cellStyle name="Normal 24 14 9" xfId="23733" xr:uid="{00000000-0005-0000-0000-000060400000}"/>
    <cellStyle name="Normal 24 15" xfId="28509" xr:uid="{00000000-0005-0000-0000-000061400000}"/>
    <cellStyle name="Normal 24 15 10" xfId="23135" xr:uid="{00000000-0005-0000-0000-000062400000}"/>
    <cellStyle name="Normal 24 15 11" xfId="22538" xr:uid="{00000000-0005-0000-0000-000063400000}"/>
    <cellStyle name="Normal 24 15 12" xfId="21942" xr:uid="{00000000-0005-0000-0000-000064400000}"/>
    <cellStyle name="Normal 24 15 13" xfId="21345" xr:uid="{00000000-0005-0000-0000-000065400000}"/>
    <cellStyle name="Normal 24 15 14" xfId="20748" xr:uid="{00000000-0005-0000-0000-000066400000}"/>
    <cellStyle name="Normal 24 15 15" xfId="20151" xr:uid="{00000000-0005-0000-0000-000067400000}"/>
    <cellStyle name="Normal 24 15 16" xfId="19555" xr:uid="{00000000-0005-0000-0000-000068400000}"/>
    <cellStyle name="Normal 24 15 17" xfId="18959" xr:uid="{00000000-0005-0000-0000-000069400000}"/>
    <cellStyle name="Normal 24 15 18" xfId="18367" xr:uid="{00000000-0005-0000-0000-00006A400000}"/>
    <cellStyle name="Normal 24 15 19" xfId="17770" xr:uid="{00000000-0005-0000-0000-00006B400000}"/>
    <cellStyle name="Normal 24 15 2" xfId="27909" xr:uid="{00000000-0005-0000-0000-00006C400000}"/>
    <cellStyle name="Normal 24 15 20" xfId="16347" xr:uid="{00000000-0005-0000-0000-00006D400000}"/>
    <cellStyle name="Normal 24 15 21" xfId="17415" xr:uid="{00000000-0005-0000-0000-00006E400000}"/>
    <cellStyle name="Normal 24 15 22" xfId="14512" xr:uid="{00000000-0005-0000-0000-00006F400000}"/>
    <cellStyle name="Normal 24 15 23" xfId="15492" xr:uid="{00000000-0005-0000-0000-000070400000}"/>
    <cellStyle name="Normal 24 15 24" xfId="16018" xr:uid="{00000000-0005-0000-0000-000071400000}"/>
    <cellStyle name="Normal 24 15 25" xfId="16691" xr:uid="{00000000-0005-0000-0000-000072400000}"/>
    <cellStyle name="Normal 24 15 26" xfId="13022" xr:uid="{00000000-0005-0000-0000-000073400000}"/>
    <cellStyle name="Normal 24 15 27" xfId="16058" xr:uid="{00000000-0005-0000-0000-000074400000}"/>
    <cellStyle name="Normal 24 15 28" xfId="12379" xr:uid="{00000000-0005-0000-0000-000075400000}"/>
    <cellStyle name="Normal 24 15 29" xfId="11011" xr:uid="{00000000-0005-0000-0000-000076400000}"/>
    <cellStyle name="Normal 24 15 3" xfId="27312" xr:uid="{00000000-0005-0000-0000-000077400000}"/>
    <cellStyle name="Normal 24 15 30" xfId="9585" xr:uid="{00000000-0005-0000-0000-000078400000}"/>
    <cellStyle name="Normal 24 15 31" xfId="10809" xr:uid="{00000000-0005-0000-0000-000079400000}"/>
    <cellStyle name="Normal 24 15 32" xfId="11135" xr:uid="{00000000-0005-0000-0000-00007A400000}"/>
    <cellStyle name="Normal 24 15 33" xfId="10539" xr:uid="{00000000-0005-0000-0000-00007B400000}"/>
    <cellStyle name="Normal 24 15 34" xfId="7310" xr:uid="{00000000-0005-0000-0000-00007C400000}"/>
    <cellStyle name="Normal 24 15 35" xfId="9922" xr:uid="{00000000-0005-0000-0000-00007D400000}"/>
    <cellStyle name="Normal 24 15 36" xfId="9052" xr:uid="{00000000-0005-0000-0000-00007E400000}"/>
    <cellStyle name="Normal 24 15 37" xfId="7591" xr:uid="{00000000-0005-0000-0000-00007F400000}"/>
    <cellStyle name="Normal 24 15 38" xfId="8554" xr:uid="{00000000-0005-0000-0000-000080400000}"/>
    <cellStyle name="Normal 24 15 39" xfId="3680" xr:uid="{00000000-0005-0000-0000-000081400000}"/>
    <cellStyle name="Normal 24 15 4" xfId="26715" xr:uid="{00000000-0005-0000-0000-000082400000}"/>
    <cellStyle name="Normal 24 15 40" xfId="3819" xr:uid="{00000000-0005-0000-0000-000083400000}"/>
    <cellStyle name="Normal 24 15 41" xfId="3574" xr:uid="{00000000-0005-0000-0000-000084400000}"/>
    <cellStyle name="Normal 24 15 42" xfId="9133" xr:uid="{00000000-0005-0000-0000-000085400000}"/>
    <cellStyle name="Normal 24 15 43" xfId="9594" xr:uid="{00000000-0005-0000-0000-000086400000}"/>
    <cellStyle name="Normal 24 15 5" xfId="26119" xr:uid="{00000000-0005-0000-0000-000087400000}"/>
    <cellStyle name="Normal 24 15 6" xfId="25523" xr:uid="{00000000-0005-0000-0000-000088400000}"/>
    <cellStyle name="Normal 24 15 7" xfId="24926" xr:uid="{00000000-0005-0000-0000-000089400000}"/>
    <cellStyle name="Normal 24 15 8" xfId="24329" xr:uid="{00000000-0005-0000-0000-00008A400000}"/>
    <cellStyle name="Normal 24 15 9" xfId="23732" xr:uid="{00000000-0005-0000-0000-00008B400000}"/>
    <cellStyle name="Normal 24 16" xfId="28508" xr:uid="{00000000-0005-0000-0000-00008C400000}"/>
    <cellStyle name="Normal 24 16 10" xfId="23134" xr:uid="{00000000-0005-0000-0000-00008D400000}"/>
    <cellStyle name="Normal 24 16 11" xfId="22537" xr:uid="{00000000-0005-0000-0000-00008E400000}"/>
    <cellStyle name="Normal 24 16 12" xfId="21941" xr:uid="{00000000-0005-0000-0000-00008F400000}"/>
    <cellStyle name="Normal 24 16 13" xfId="21344" xr:uid="{00000000-0005-0000-0000-000090400000}"/>
    <cellStyle name="Normal 24 16 14" xfId="20747" xr:uid="{00000000-0005-0000-0000-000091400000}"/>
    <cellStyle name="Normal 24 16 15" xfId="20150" xr:uid="{00000000-0005-0000-0000-000092400000}"/>
    <cellStyle name="Normal 24 16 16" xfId="19554" xr:uid="{00000000-0005-0000-0000-000093400000}"/>
    <cellStyle name="Normal 24 16 17" xfId="18958" xr:uid="{00000000-0005-0000-0000-000094400000}"/>
    <cellStyle name="Normal 24 16 18" xfId="18366" xr:uid="{00000000-0005-0000-0000-000095400000}"/>
    <cellStyle name="Normal 24 16 19" xfId="17769" xr:uid="{00000000-0005-0000-0000-000096400000}"/>
    <cellStyle name="Normal 24 16 2" xfId="27908" xr:uid="{00000000-0005-0000-0000-000097400000}"/>
    <cellStyle name="Normal 24 16 20" xfId="16537" xr:uid="{00000000-0005-0000-0000-000098400000}"/>
    <cellStyle name="Normal 24 16 21" xfId="17005" xr:uid="{00000000-0005-0000-0000-000099400000}"/>
    <cellStyle name="Normal 24 16 22" xfId="14038" xr:uid="{00000000-0005-0000-0000-00009A400000}"/>
    <cellStyle name="Normal 24 16 23" xfId="16845" xr:uid="{00000000-0005-0000-0000-00009B400000}"/>
    <cellStyle name="Normal 24 16 24" xfId="13051" xr:uid="{00000000-0005-0000-0000-00009C400000}"/>
    <cellStyle name="Normal 24 16 25" xfId="16324" xr:uid="{00000000-0005-0000-0000-00009D400000}"/>
    <cellStyle name="Normal 24 16 26" xfId="15956" xr:uid="{00000000-0005-0000-0000-00009E400000}"/>
    <cellStyle name="Normal 24 16 27" xfId="12726" xr:uid="{00000000-0005-0000-0000-00009F400000}"/>
    <cellStyle name="Normal 24 16 28" xfId="12378" xr:uid="{00000000-0005-0000-0000-0000A0400000}"/>
    <cellStyle name="Normal 24 16 29" xfId="11239" xr:uid="{00000000-0005-0000-0000-0000A1400000}"/>
    <cellStyle name="Normal 24 16 3" xfId="27311" xr:uid="{00000000-0005-0000-0000-0000A2400000}"/>
    <cellStyle name="Normal 24 16 30" xfId="12063" xr:uid="{00000000-0005-0000-0000-0000A3400000}"/>
    <cellStyle name="Normal 24 16 31" xfId="5501" xr:uid="{00000000-0005-0000-0000-0000A4400000}"/>
    <cellStyle name="Normal 24 16 32" xfId="7396" xr:uid="{00000000-0005-0000-0000-0000A5400000}"/>
    <cellStyle name="Normal 24 16 33" xfId="8606" xr:uid="{00000000-0005-0000-0000-0000A6400000}"/>
    <cellStyle name="Normal 24 16 34" xfId="5103" xr:uid="{00000000-0005-0000-0000-0000A7400000}"/>
    <cellStyle name="Normal 24 16 35" xfId="5231" xr:uid="{00000000-0005-0000-0000-0000A8400000}"/>
    <cellStyle name="Normal 24 16 36" xfId="8851" xr:uid="{00000000-0005-0000-0000-0000A9400000}"/>
    <cellStyle name="Normal 24 16 37" xfId="11894" xr:uid="{00000000-0005-0000-0000-0000AA400000}"/>
    <cellStyle name="Normal 24 16 38" xfId="4188" xr:uid="{00000000-0005-0000-0000-0000AB400000}"/>
    <cellStyle name="Normal 24 16 39" xfId="3633" xr:uid="{00000000-0005-0000-0000-0000AC400000}"/>
    <cellStyle name="Normal 24 16 4" xfId="26714" xr:uid="{00000000-0005-0000-0000-0000AD400000}"/>
    <cellStyle name="Normal 24 16 40" xfId="5391" xr:uid="{00000000-0005-0000-0000-0000AE400000}"/>
    <cellStyle name="Normal 24 16 41" xfId="3382" xr:uid="{00000000-0005-0000-0000-0000AF400000}"/>
    <cellStyle name="Normal 24 16 42" xfId="8549" xr:uid="{00000000-0005-0000-0000-0000B0400000}"/>
    <cellStyle name="Normal 24 16 43" xfId="11418" xr:uid="{00000000-0005-0000-0000-0000B1400000}"/>
    <cellStyle name="Normal 24 16 5" xfId="26118" xr:uid="{00000000-0005-0000-0000-0000B2400000}"/>
    <cellStyle name="Normal 24 16 6" xfId="25522" xr:uid="{00000000-0005-0000-0000-0000B3400000}"/>
    <cellStyle name="Normal 24 16 7" xfId="24925" xr:uid="{00000000-0005-0000-0000-0000B4400000}"/>
    <cellStyle name="Normal 24 16 8" xfId="24328" xr:uid="{00000000-0005-0000-0000-0000B5400000}"/>
    <cellStyle name="Normal 24 16 9" xfId="23731" xr:uid="{00000000-0005-0000-0000-0000B6400000}"/>
    <cellStyle name="Normal 24 17" xfId="28507" xr:uid="{00000000-0005-0000-0000-0000B7400000}"/>
    <cellStyle name="Normal 24 17 10" xfId="23133" xr:uid="{00000000-0005-0000-0000-0000B8400000}"/>
    <cellStyle name="Normal 24 17 11" xfId="22536" xr:uid="{00000000-0005-0000-0000-0000B9400000}"/>
    <cellStyle name="Normal 24 17 12" xfId="21940" xr:uid="{00000000-0005-0000-0000-0000BA400000}"/>
    <cellStyle name="Normal 24 17 13" xfId="21343" xr:uid="{00000000-0005-0000-0000-0000BB400000}"/>
    <cellStyle name="Normal 24 17 14" xfId="20746" xr:uid="{00000000-0005-0000-0000-0000BC400000}"/>
    <cellStyle name="Normal 24 17 15" xfId="20149" xr:uid="{00000000-0005-0000-0000-0000BD400000}"/>
    <cellStyle name="Normal 24 17 16" xfId="19553" xr:uid="{00000000-0005-0000-0000-0000BE400000}"/>
    <cellStyle name="Normal 24 17 17" xfId="18957" xr:uid="{00000000-0005-0000-0000-0000BF400000}"/>
    <cellStyle name="Normal 24 17 18" xfId="18365" xr:uid="{00000000-0005-0000-0000-0000C0400000}"/>
    <cellStyle name="Normal 24 17 19" xfId="17768" xr:uid="{00000000-0005-0000-0000-0000C1400000}"/>
    <cellStyle name="Normal 24 17 2" xfId="27907" xr:uid="{00000000-0005-0000-0000-0000C2400000}"/>
    <cellStyle name="Normal 24 17 20" xfId="16731" xr:uid="{00000000-0005-0000-0000-0000C3400000}"/>
    <cellStyle name="Normal 24 17 21" xfId="16609" xr:uid="{00000000-0005-0000-0000-0000C4400000}"/>
    <cellStyle name="Normal 24 17 22" xfId="16182" xr:uid="{00000000-0005-0000-0000-0000C5400000}"/>
    <cellStyle name="Normal 24 17 23" xfId="15994" xr:uid="{00000000-0005-0000-0000-0000C6400000}"/>
    <cellStyle name="Normal 24 17 24" xfId="13109" xr:uid="{00000000-0005-0000-0000-0000C7400000}"/>
    <cellStyle name="Normal 24 17 25" xfId="16674" xr:uid="{00000000-0005-0000-0000-0000C8400000}"/>
    <cellStyle name="Normal 24 17 26" xfId="13214" xr:uid="{00000000-0005-0000-0000-0000C9400000}"/>
    <cellStyle name="Normal 24 17 27" xfId="16858" xr:uid="{00000000-0005-0000-0000-0000CA400000}"/>
    <cellStyle name="Normal 24 17 28" xfId="12377" xr:uid="{00000000-0005-0000-0000-0000CB400000}"/>
    <cellStyle name="Normal 24 17 29" xfId="11472" xr:uid="{00000000-0005-0000-0000-0000CC400000}"/>
    <cellStyle name="Normal 24 17 3" xfId="27310" xr:uid="{00000000-0005-0000-0000-0000CD400000}"/>
    <cellStyle name="Normal 24 17 30" xfId="11609" xr:uid="{00000000-0005-0000-0000-0000CE400000}"/>
    <cellStyle name="Normal 24 17 31" xfId="5674" xr:uid="{00000000-0005-0000-0000-0000CF400000}"/>
    <cellStyle name="Normal 24 17 32" xfId="9756" xr:uid="{00000000-0005-0000-0000-0000D0400000}"/>
    <cellStyle name="Normal 24 17 33" xfId="11279" xr:uid="{00000000-0005-0000-0000-0000D1400000}"/>
    <cellStyle name="Normal 24 17 34" xfId="9213" xr:uid="{00000000-0005-0000-0000-0000D2400000}"/>
    <cellStyle name="Normal 24 17 35" xfId="5289" xr:uid="{00000000-0005-0000-0000-0000D3400000}"/>
    <cellStyle name="Normal 24 17 36" xfId="7154" xr:uid="{00000000-0005-0000-0000-0000D4400000}"/>
    <cellStyle name="Normal 24 17 37" xfId="8656" xr:uid="{00000000-0005-0000-0000-0000D5400000}"/>
    <cellStyle name="Normal 24 17 38" xfId="4170" xr:uid="{00000000-0005-0000-0000-0000D6400000}"/>
    <cellStyle name="Normal 24 17 39" xfId="9457" xr:uid="{00000000-0005-0000-0000-0000D7400000}"/>
    <cellStyle name="Normal 24 17 4" xfId="26713" xr:uid="{00000000-0005-0000-0000-0000D8400000}"/>
    <cellStyle name="Normal 24 17 40" xfId="9293" xr:uid="{00000000-0005-0000-0000-0000D9400000}"/>
    <cellStyle name="Normal 24 17 41" xfId="7629" xr:uid="{00000000-0005-0000-0000-0000DA400000}"/>
    <cellStyle name="Normal 24 17 42" xfId="10858" xr:uid="{00000000-0005-0000-0000-0000DB400000}"/>
    <cellStyle name="Normal 24 17 43" xfId="5088" xr:uid="{00000000-0005-0000-0000-0000DC400000}"/>
    <cellStyle name="Normal 24 17 5" xfId="26117" xr:uid="{00000000-0005-0000-0000-0000DD400000}"/>
    <cellStyle name="Normal 24 17 6" xfId="25521" xr:uid="{00000000-0005-0000-0000-0000DE400000}"/>
    <cellStyle name="Normal 24 17 7" xfId="24924" xr:uid="{00000000-0005-0000-0000-0000DF400000}"/>
    <cellStyle name="Normal 24 17 8" xfId="24327" xr:uid="{00000000-0005-0000-0000-0000E0400000}"/>
    <cellStyle name="Normal 24 17 9" xfId="23730" xr:uid="{00000000-0005-0000-0000-0000E1400000}"/>
    <cellStyle name="Normal 24 18" xfId="28506" xr:uid="{00000000-0005-0000-0000-0000E2400000}"/>
    <cellStyle name="Normal 24 18 10" xfId="23132" xr:uid="{00000000-0005-0000-0000-0000E3400000}"/>
    <cellStyle name="Normal 24 18 11" xfId="22535" xr:uid="{00000000-0005-0000-0000-0000E4400000}"/>
    <cellStyle name="Normal 24 18 12" xfId="21939" xr:uid="{00000000-0005-0000-0000-0000E5400000}"/>
    <cellStyle name="Normal 24 18 13" xfId="21342" xr:uid="{00000000-0005-0000-0000-0000E6400000}"/>
    <cellStyle name="Normal 24 18 14" xfId="20745" xr:uid="{00000000-0005-0000-0000-0000E7400000}"/>
    <cellStyle name="Normal 24 18 15" xfId="20148" xr:uid="{00000000-0005-0000-0000-0000E8400000}"/>
    <cellStyle name="Normal 24 18 16" xfId="19552" xr:uid="{00000000-0005-0000-0000-0000E9400000}"/>
    <cellStyle name="Normal 24 18 17" xfId="18956" xr:uid="{00000000-0005-0000-0000-0000EA400000}"/>
    <cellStyle name="Normal 24 18 18" xfId="18364" xr:uid="{00000000-0005-0000-0000-0000EB400000}"/>
    <cellStyle name="Normal 24 18 19" xfId="17767" xr:uid="{00000000-0005-0000-0000-0000EC400000}"/>
    <cellStyle name="Normal 24 18 2" xfId="27906" xr:uid="{00000000-0005-0000-0000-0000ED400000}"/>
    <cellStyle name="Normal 24 18 20" xfId="16928" xr:uid="{00000000-0005-0000-0000-0000EE400000}"/>
    <cellStyle name="Normal 24 18 21" xfId="16989" xr:uid="{00000000-0005-0000-0000-0000EF400000}"/>
    <cellStyle name="Normal 24 18 22" xfId="16202" xr:uid="{00000000-0005-0000-0000-0000F0400000}"/>
    <cellStyle name="Normal 24 18 23" xfId="15064" xr:uid="{00000000-0005-0000-0000-0000F1400000}"/>
    <cellStyle name="Normal 24 18 24" xfId="13251" xr:uid="{00000000-0005-0000-0000-0000F2400000}"/>
    <cellStyle name="Normal 24 18 25" xfId="15207" xr:uid="{00000000-0005-0000-0000-0000F3400000}"/>
    <cellStyle name="Normal 24 18 26" xfId="13562" xr:uid="{00000000-0005-0000-0000-0000F4400000}"/>
    <cellStyle name="Normal 24 18 27" xfId="13133" xr:uid="{00000000-0005-0000-0000-0000F5400000}"/>
    <cellStyle name="Normal 24 18 28" xfId="12376" xr:uid="{00000000-0005-0000-0000-0000F6400000}"/>
    <cellStyle name="Normal 24 18 29" xfId="11696" xr:uid="{00000000-0005-0000-0000-0000F7400000}"/>
    <cellStyle name="Normal 24 18 3" xfId="27309" xr:uid="{00000000-0005-0000-0000-0000F8400000}"/>
    <cellStyle name="Normal 24 18 30" xfId="7021" xr:uid="{00000000-0005-0000-0000-0000F9400000}"/>
    <cellStyle name="Normal 24 18 31" xfId="9769" xr:uid="{00000000-0005-0000-0000-0000FA400000}"/>
    <cellStyle name="Normal 24 18 32" xfId="10752" xr:uid="{00000000-0005-0000-0000-0000FB400000}"/>
    <cellStyle name="Normal 24 18 33" xfId="7999" xr:uid="{00000000-0005-0000-0000-0000FC400000}"/>
    <cellStyle name="Normal 24 18 34" xfId="11402" xr:uid="{00000000-0005-0000-0000-0000FD400000}"/>
    <cellStyle name="Normal 24 18 35" xfId="10681" xr:uid="{00000000-0005-0000-0000-0000FE400000}"/>
    <cellStyle name="Normal 24 18 36" xfId="10390" xr:uid="{00000000-0005-0000-0000-0000FF400000}"/>
    <cellStyle name="Normal 24 18 37" xfId="11397" xr:uid="{00000000-0005-0000-0000-000000410000}"/>
    <cellStyle name="Normal 24 18 38" xfId="7101" xr:uid="{00000000-0005-0000-0000-000001410000}"/>
    <cellStyle name="Normal 24 18 39" xfId="7385" xr:uid="{00000000-0005-0000-0000-000002410000}"/>
    <cellStyle name="Normal 24 18 4" xfId="26712" xr:uid="{00000000-0005-0000-0000-000003410000}"/>
    <cellStyle name="Normal 24 18 40" xfId="4525" xr:uid="{00000000-0005-0000-0000-000004410000}"/>
    <cellStyle name="Normal 24 18 41" xfId="3434" xr:uid="{00000000-0005-0000-0000-000005410000}"/>
    <cellStyle name="Normal 24 18 42" xfId="3421" xr:uid="{00000000-0005-0000-0000-000006410000}"/>
    <cellStyle name="Normal 24 18 43" xfId="4805" xr:uid="{00000000-0005-0000-0000-000007410000}"/>
    <cellStyle name="Normal 24 18 5" xfId="26116" xr:uid="{00000000-0005-0000-0000-000008410000}"/>
    <cellStyle name="Normal 24 18 6" xfId="25520" xr:uid="{00000000-0005-0000-0000-000009410000}"/>
    <cellStyle name="Normal 24 18 7" xfId="24923" xr:uid="{00000000-0005-0000-0000-00000A410000}"/>
    <cellStyle name="Normal 24 18 8" xfId="24326" xr:uid="{00000000-0005-0000-0000-00000B410000}"/>
    <cellStyle name="Normal 24 18 9" xfId="23729" xr:uid="{00000000-0005-0000-0000-00000C410000}"/>
    <cellStyle name="Normal 24 19" xfId="28505" xr:uid="{00000000-0005-0000-0000-00000D410000}"/>
    <cellStyle name="Normal 24 19 10" xfId="23131" xr:uid="{00000000-0005-0000-0000-00000E410000}"/>
    <cellStyle name="Normal 24 19 11" xfId="22534" xr:uid="{00000000-0005-0000-0000-00000F410000}"/>
    <cellStyle name="Normal 24 19 12" xfId="21938" xr:uid="{00000000-0005-0000-0000-000010410000}"/>
    <cellStyle name="Normal 24 19 13" xfId="21341" xr:uid="{00000000-0005-0000-0000-000011410000}"/>
    <cellStyle name="Normal 24 19 14" xfId="20744" xr:uid="{00000000-0005-0000-0000-000012410000}"/>
    <cellStyle name="Normal 24 19 15" xfId="20147" xr:uid="{00000000-0005-0000-0000-000013410000}"/>
    <cellStyle name="Normal 24 19 16" xfId="19551" xr:uid="{00000000-0005-0000-0000-000014410000}"/>
    <cellStyle name="Normal 24 19 17" xfId="18955" xr:uid="{00000000-0005-0000-0000-000015410000}"/>
    <cellStyle name="Normal 24 19 18" xfId="18363" xr:uid="{00000000-0005-0000-0000-000016410000}"/>
    <cellStyle name="Normal 24 19 19" xfId="17766" xr:uid="{00000000-0005-0000-0000-000017410000}"/>
    <cellStyle name="Normal 24 19 2" xfId="27905" xr:uid="{00000000-0005-0000-0000-000018410000}"/>
    <cellStyle name="Normal 24 19 20" xfId="17135" xr:uid="{00000000-0005-0000-0000-000019410000}"/>
    <cellStyle name="Normal 24 19 21" xfId="17372" xr:uid="{00000000-0005-0000-0000-00001A410000}"/>
    <cellStyle name="Normal 24 19 22" xfId="16570" xr:uid="{00000000-0005-0000-0000-00001B410000}"/>
    <cellStyle name="Normal 24 19 23" xfId="15915" xr:uid="{00000000-0005-0000-0000-00001C410000}"/>
    <cellStyle name="Normal 24 19 24" xfId="17111" xr:uid="{00000000-0005-0000-0000-00001D410000}"/>
    <cellStyle name="Normal 24 19 25" xfId="15034" xr:uid="{00000000-0005-0000-0000-00001E410000}"/>
    <cellStyle name="Normal 24 19 26" xfId="16601" xr:uid="{00000000-0005-0000-0000-00001F410000}"/>
    <cellStyle name="Normal 24 19 27" xfId="12760" xr:uid="{00000000-0005-0000-0000-000020410000}"/>
    <cellStyle name="Normal 24 19 28" xfId="12375" xr:uid="{00000000-0005-0000-0000-000021410000}"/>
    <cellStyle name="Normal 24 19 29" xfId="7044" xr:uid="{00000000-0005-0000-0000-000022410000}"/>
    <cellStyle name="Normal 24 19 3" xfId="27308" xr:uid="{00000000-0005-0000-0000-000023410000}"/>
    <cellStyle name="Normal 24 19 30" xfId="7250" xr:uid="{00000000-0005-0000-0000-000024410000}"/>
    <cellStyle name="Normal 24 19 31" xfId="11259" xr:uid="{00000000-0005-0000-0000-000025410000}"/>
    <cellStyle name="Normal 24 19 32" xfId="10956" xr:uid="{00000000-0005-0000-0000-000026410000}"/>
    <cellStyle name="Normal 24 19 33" xfId="6464" xr:uid="{00000000-0005-0000-0000-000027410000}"/>
    <cellStyle name="Normal 24 19 34" xfId="8063" xr:uid="{00000000-0005-0000-0000-000028410000}"/>
    <cellStyle name="Normal 24 19 35" xfId="6792" xr:uid="{00000000-0005-0000-0000-000029410000}"/>
    <cellStyle name="Normal 24 19 36" xfId="11958" xr:uid="{00000000-0005-0000-0000-00002A410000}"/>
    <cellStyle name="Normal 24 19 37" xfId="6341" xr:uid="{00000000-0005-0000-0000-00002B410000}"/>
    <cellStyle name="Normal 24 19 38" xfId="8141" xr:uid="{00000000-0005-0000-0000-00002C410000}"/>
    <cellStyle name="Normal 24 19 39" xfId="10143" xr:uid="{00000000-0005-0000-0000-00002D410000}"/>
    <cellStyle name="Normal 24 19 4" xfId="26711" xr:uid="{00000000-0005-0000-0000-00002E410000}"/>
    <cellStyle name="Normal 24 19 40" xfId="8645" xr:uid="{00000000-0005-0000-0000-00002F410000}"/>
    <cellStyle name="Normal 24 19 41" xfId="3678" xr:uid="{00000000-0005-0000-0000-000030410000}"/>
    <cellStyle name="Normal 24 19 42" xfId="3530" xr:uid="{00000000-0005-0000-0000-000031410000}"/>
    <cellStyle name="Normal 24 19 43" xfId="5387" xr:uid="{00000000-0005-0000-0000-000032410000}"/>
    <cellStyle name="Normal 24 19 5" xfId="26115" xr:uid="{00000000-0005-0000-0000-000033410000}"/>
    <cellStyle name="Normal 24 19 6" xfId="25519" xr:uid="{00000000-0005-0000-0000-000034410000}"/>
    <cellStyle name="Normal 24 19 7" xfId="24922" xr:uid="{00000000-0005-0000-0000-000035410000}"/>
    <cellStyle name="Normal 24 19 8" xfId="24325" xr:uid="{00000000-0005-0000-0000-000036410000}"/>
    <cellStyle name="Normal 24 19 9" xfId="23728" xr:uid="{00000000-0005-0000-0000-000037410000}"/>
    <cellStyle name="Normal 24 2" xfId="28504" xr:uid="{00000000-0005-0000-0000-000038410000}"/>
    <cellStyle name="Normal 24 2 10" xfId="23130" xr:uid="{00000000-0005-0000-0000-000039410000}"/>
    <cellStyle name="Normal 24 2 11" xfId="22533" xr:uid="{00000000-0005-0000-0000-00003A410000}"/>
    <cellStyle name="Normal 24 2 12" xfId="21937" xr:uid="{00000000-0005-0000-0000-00003B410000}"/>
    <cellStyle name="Normal 24 2 13" xfId="21340" xr:uid="{00000000-0005-0000-0000-00003C410000}"/>
    <cellStyle name="Normal 24 2 14" xfId="20743" xr:uid="{00000000-0005-0000-0000-00003D410000}"/>
    <cellStyle name="Normal 24 2 15" xfId="20146" xr:uid="{00000000-0005-0000-0000-00003E410000}"/>
    <cellStyle name="Normal 24 2 16" xfId="19550" xr:uid="{00000000-0005-0000-0000-00003F410000}"/>
    <cellStyle name="Normal 24 2 17" xfId="18954" xr:uid="{00000000-0005-0000-0000-000040410000}"/>
    <cellStyle name="Normal 24 2 18" xfId="18362" xr:uid="{00000000-0005-0000-0000-000041410000}"/>
    <cellStyle name="Normal 24 2 19" xfId="17765" xr:uid="{00000000-0005-0000-0000-000042410000}"/>
    <cellStyle name="Normal 24 2 2" xfId="27904" xr:uid="{00000000-0005-0000-0000-000043410000}"/>
    <cellStyle name="Normal 24 2 20" xfId="17328" xr:uid="{00000000-0005-0000-0000-000044410000}"/>
    <cellStyle name="Normal 24 2 21" xfId="16970" xr:uid="{00000000-0005-0000-0000-000045410000}"/>
    <cellStyle name="Normal 24 2 22" xfId="14006" xr:uid="{00000000-0005-0000-0000-000046410000}"/>
    <cellStyle name="Normal 24 2 23" xfId="14499" xr:uid="{00000000-0005-0000-0000-000047410000}"/>
    <cellStyle name="Normal 24 2 24" xfId="13349" xr:uid="{00000000-0005-0000-0000-000048410000}"/>
    <cellStyle name="Normal 24 2 25" xfId="15406" xr:uid="{00000000-0005-0000-0000-000049410000}"/>
    <cellStyle name="Normal 24 2 26" xfId="17175" xr:uid="{00000000-0005-0000-0000-00004A410000}"/>
    <cellStyle name="Normal 24 2 27" xfId="13003" xr:uid="{00000000-0005-0000-0000-00004B410000}"/>
    <cellStyle name="Normal 24 2 28" xfId="12374" xr:uid="{00000000-0005-0000-0000-00004C410000}"/>
    <cellStyle name="Normal 24 2 29" xfId="7900" xr:uid="{00000000-0005-0000-0000-00004D410000}"/>
    <cellStyle name="Normal 24 2 3" xfId="27307" xr:uid="{00000000-0005-0000-0000-00004E410000}"/>
    <cellStyle name="Normal 24 2 30" xfId="7558" xr:uid="{00000000-0005-0000-0000-00004F410000}"/>
    <cellStyle name="Normal 24 2 31" xfId="10499" xr:uid="{00000000-0005-0000-0000-000050410000}"/>
    <cellStyle name="Normal 24 2 32" xfId="6934" xr:uid="{00000000-0005-0000-0000-000051410000}"/>
    <cellStyle name="Normal 24 2 33" xfId="6680" xr:uid="{00000000-0005-0000-0000-000052410000}"/>
    <cellStyle name="Normal 24 2 34" xfId="5818" xr:uid="{00000000-0005-0000-0000-000053410000}"/>
    <cellStyle name="Normal 24 2 35" xfId="5771" xr:uid="{00000000-0005-0000-0000-000054410000}"/>
    <cellStyle name="Normal 24 2 36" xfId="6643" xr:uid="{00000000-0005-0000-0000-000055410000}"/>
    <cellStyle name="Normal 24 2 37" xfId="6428" xr:uid="{00000000-0005-0000-0000-000056410000}"/>
    <cellStyle name="Normal 24 2 38" xfId="5273" xr:uid="{00000000-0005-0000-0000-000057410000}"/>
    <cellStyle name="Normal 24 2 39" xfId="9325" xr:uid="{00000000-0005-0000-0000-000058410000}"/>
    <cellStyle name="Normal 24 2 4" xfId="26710" xr:uid="{00000000-0005-0000-0000-000059410000}"/>
    <cellStyle name="Normal 24 2 40" xfId="10234" xr:uid="{00000000-0005-0000-0000-00005A410000}"/>
    <cellStyle name="Normal 24 2 41" xfId="4368" xr:uid="{00000000-0005-0000-0000-00005B410000}"/>
    <cellStyle name="Normal 24 2 42" xfId="3242" xr:uid="{00000000-0005-0000-0000-00005C410000}"/>
    <cellStyle name="Normal 24 2 43" xfId="4294" xr:uid="{00000000-0005-0000-0000-00005D410000}"/>
    <cellStyle name="Normal 24 2 44" xfId="2936" xr:uid="{00000000-0005-0000-0000-00005E410000}"/>
    <cellStyle name="Normal 24 2 45" xfId="2693" xr:uid="{00000000-0005-0000-0000-00005F410000}"/>
    <cellStyle name="Normal 24 2 46" xfId="2453" xr:uid="{00000000-0005-0000-0000-000060410000}"/>
    <cellStyle name="Normal 24 2 47" xfId="2213" xr:uid="{00000000-0005-0000-0000-000061410000}"/>
    <cellStyle name="Normal 24 2 48" xfId="1973" xr:uid="{00000000-0005-0000-0000-000062410000}"/>
    <cellStyle name="Normal 24 2 49" xfId="1733" xr:uid="{00000000-0005-0000-0000-000063410000}"/>
    <cellStyle name="Normal 24 2 5" xfId="26114" xr:uid="{00000000-0005-0000-0000-000064410000}"/>
    <cellStyle name="Normal 24 2 50" xfId="1494" xr:uid="{00000000-0005-0000-0000-000065410000}"/>
    <cellStyle name="Normal 24 2 51" xfId="1254" xr:uid="{00000000-0005-0000-0000-000066410000}"/>
    <cellStyle name="Normal 24 2 52" xfId="1014" xr:uid="{00000000-0005-0000-0000-000067410000}"/>
    <cellStyle name="Normal 24 2 53" xfId="774" xr:uid="{00000000-0005-0000-0000-000068410000}"/>
    <cellStyle name="Normal 24 2 54" xfId="534" xr:uid="{00000000-0005-0000-0000-000069410000}"/>
    <cellStyle name="Normal 24 2 55" xfId="295" xr:uid="{00000000-0005-0000-0000-00006A410000}"/>
    <cellStyle name="Normal 24 2 56" xfId="57" xr:uid="{00000000-0005-0000-0000-00006B410000}"/>
    <cellStyle name="Normal 24 2 6" xfId="25518" xr:uid="{00000000-0005-0000-0000-00006C410000}"/>
    <cellStyle name="Normal 24 2 7" xfId="24921" xr:uid="{00000000-0005-0000-0000-00006D410000}"/>
    <cellStyle name="Normal 24 2 8" xfId="24324" xr:uid="{00000000-0005-0000-0000-00006E410000}"/>
    <cellStyle name="Normal 24 2 9" xfId="23727" xr:uid="{00000000-0005-0000-0000-00006F410000}"/>
    <cellStyle name="Normal 24 20" xfId="28503" xr:uid="{00000000-0005-0000-0000-000070410000}"/>
    <cellStyle name="Normal 24 20 10" xfId="23129" xr:uid="{00000000-0005-0000-0000-000071410000}"/>
    <cellStyle name="Normal 24 20 11" xfId="22532" xr:uid="{00000000-0005-0000-0000-000072410000}"/>
    <cellStyle name="Normal 24 20 12" xfId="21936" xr:uid="{00000000-0005-0000-0000-000073410000}"/>
    <cellStyle name="Normal 24 20 13" xfId="21339" xr:uid="{00000000-0005-0000-0000-000074410000}"/>
    <cellStyle name="Normal 24 20 14" xfId="20742" xr:uid="{00000000-0005-0000-0000-000075410000}"/>
    <cellStyle name="Normal 24 20 15" xfId="20145" xr:uid="{00000000-0005-0000-0000-000076410000}"/>
    <cellStyle name="Normal 24 20 16" xfId="19549" xr:uid="{00000000-0005-0000-0000-000077410000}"/>
    <cellStyle name="Normal 24 20 17" xfId="18953" xr:uid="{00000000-0005-0000-0000-000078410000}"/>
    <cellStyle name="Normal 24 20 18" xfId="18361" xr:uid="{00000000-0005-0000-0000-000079410000}"/>
    <cellStyle name="Normal 24 20 19" xfId="17764" xr:uid="{00000000-0005-0000-0000-00007A410000}"/>
    <cellStyle name="Normal 24 20 2" xfId="27903" xr:uid="{00000000-0005-0000-0000-00007B410000}"/>
    <cellStyle name="Normal 24 20 20" xfId="14161" xr:uid="{00000000-0005-0000-0000-00007C410000}"/>
    <cellStyle name="Normal 24 20 21" xfId="16560" xr:uid="{00000000-0005-0000-0000-00007D410000}"/>
    <cellStyle name="Normal 24 20 22" xfId="16766" xr:uid="{00000000-0005-0000-0000-00007E410000}"/>
    <cellStyle name="Normal 24 20 23" xfId="16258" xr:uid="{00000000-0005-0000-0000-00007F410000}"/>
    <cellStyle name="Normal 24 20 24" xfId="17492" xr:uid="{00000000-0005-0000-0000-000080410000}"/>
    <cellStyle name="Normal 24 20 25" xfId="13217" xr:uid="{00000000-0005-0000-0000-000081410000}"/>
    <cellStyle name="Normal 24 20 26" xfId="16497" xr:uid="{00000000-0005-0000-0000-000082410000}"/>
    <cellStyle name="Normal 24 20 27" xfId="14610" xr:uid="{00000000-0005-0000-0000-000083410000}"/>
    <cellStyle name="Normal 24 20 28" xfId="12373" xr:uid="{00000000-0005-0000-0000-000084410000}"/>
    <cellStyle name="Normal 24 20 29" xfId="6974" xr:uid="{00000000-0005-0000-0000-000085410000}"/>
    <cellStyle name="Normal 24 20 3" xfId="27306" xr:uid="{00000000-0005-0000-0000-000086410000}"/>
    <cellStyle name="Normal 24 20 30" xfId="6424" xr:uid="{00000000-0005-0000-0000-000087410000}"/>
    <cellStyle name="Normal 24 20 31" xfId="11254" xr:uid="{00000000-0005-0000-0000-000088410000}"/>
    <cellStyle name="Normal 24 20 32" xfId="6807" xr:uid="{00000000-0005-0000-0000-000089410000}"/>
    <cellStyle name="Normal 24 20 33" xfId="5265" xr:uid="{00000000-0005-0000-0000-00008A410000}"/>
    <cellStyle name="Normal 24 20 34" xfId="4570" xr:uid="{00000000-0005-0000-0000-00008B410000}"/>
    <cellStyle name="Normal 24 20 35" xfId="4681" xr:uid="{00000000-0005-0000-0000-00008C410000}"/>
    <cellStyle name="Normal 24 20 36" xfId="10711" xr:uid="{00000000-0005-0000-0000-00008D410000}"/>
    <cellStyle name="Normal 24 20 37" xfId="3814" xr:uid="{00000000-0005-0000-0000-00008E410000}"/>
    <cellStyle name="Normal 24 20 38" xfId="8595" xr:uid="{00000000-0005-0000-0000-00008F410000}"/>
    <cellStyle name="Normal 24 20 39" xfId="3924" xr:uid="{00000000-0005-0000-0000-000090410000}"/>
    <cellStyle name="Normal 24 20 4" xfId="26709" xr:uid="{00000000-0005-0000-0000-000091410000}"/>
    <cellStyle name="Normal 24 20 40" xfId="3969" xr:uid="{00000000-0005-0000-0000-000092410000}"/>
    <cellStyle name="Normal 24 20 41" xfId="3265" xr:uid="{00000000-0005-0000-0000-000093410000}"/>
    <cellStyle name="Normal 24 20 42" xfId="8161" xr:uid="{00000000-0005-0000-0000-000094410000}"/>
    <cellStyle name="Normal 24 20 43" xfId="9521" xr:uid="{00000000-0005-0000-0000-000095410000}"/>
    <cellStyle name="Normal 24 20 5" xfId="26113" xr:uid="{00000000-0005-0000-0000-000096410000}"/>
    <cellStyle name="Normal 24 20 6" xfId="25517" xr:uid="{00000000-0005-0000-0000-000097410000}"/>
    <cellStyle name="Normal 24 20 7" xfId="24920" xr:uid="{00000000-0005-0000-0000-000098410000}"/>
    <cellStyle name="Normal 24 20 8" xfId="24323" xr:uid="{00000000-0005-0000-0000-000099410000}"/>
    <cellStyle name="Normal 24 20 9" xfId="23726" xr:uid="{00000000-0005-0000-0000-00009A410000}"/>
    <cellStyle name="Normal 24 21" xfId="28502" xr:uid="{00000000-0005-0000-0000-00009B410000}"/>
    <cellStyle name="Normal 24 21 10" xfId="23128" xr:uid="{00000000-0005-0000-0000-00009C410000}"/>
    <cellStyle name="Normal 24 21 11" xfId="22531" xr:uid="{00000000-0005-0000-0000-00009D410000}"/>
    <cellStyle name="Normal 24 21 12" xfId="21935" xr:uid="{00000000-0005-0000-0000-00009E410000}"/>
    <cellStyle name="Normal 24 21 13" xfId="21338" xr:uid="{00000000-0005-0000-0000-00009F410000}"/>
    <cellStyle name="Normal 24 21 14" xfId="20741" xr:uid="{00000000-0005-0000-0000-0000A0410000}"/>
    <cellStyle name="Normal 24 21 15" xfId="20144" xr:uid="{00000000-0005-0000-0000-0000A1410000}"/>
    <cellStyle name="Normal 24 21 16" xfId="19548" xr:uid="{00000000-0005-0000-0000-0000A2410000}"/>
    <cellStyle name="Normal 24 21 17" xfId="18952" xr:uid="{00000000-0005-0000-0000-0000A3410000}"/>
    <cellStyle name="Normal 24 21 18" xfId="18360" xr:uid="{00000000-0005-0000-0000-0000A4410000}"/>
    <cellStyle name="Normal 24 21 19" xfId="17763" xr:uid="{00000000-0005-0000-0000-0000A5410000}"/>
    <cellStyle name="Normal 24 21 2" xfId="27902" xr:uid="{00000000-0005-0000-0000-0000A6410000}"/>
    <cellStyle name="Normal 24 21 20" xfId="14350" xr:uid="{00000000-0005-0000-0000-0000A7410000}"/>
    <cellStyle name="Normal 24 21 21" xfId="13972" xr:uid="{00000000-0005-0000-0000-0000A8410000}"/>
    <cellStyle name="Normal 24 21 22" xfId="13583" xr:uid="{00000000-0005-0000-0000-0000A9410000}"/>
    <cellStyle name="Normal 24 21 23" xfId="13429" xr:uid="{00000000-0005-0000-0000-0000AA410000}"/>
    <cellStyle name="Normal 24 21 24" xfId="14091" xr:uid="{00000000-0005-0000-0000-0000AB410000}"/>
    <cellStyle name="Normal 24 21 25" xfId="16088" xr:uid="{00000000-0005-0000-0000-0000AC410000}"/>
    <cellStyle name="Normal 24 21 26" xfId="17230" xr:uid="{00000000-0005-0000-0000-0000AD410000}"/>
    <cellStyle name="Normal 24 21 27" xfId="17268" xr:uid="{00000000-0005-0000-0000-0000AE410000}"/>
    <cellStyle name="Normal 24 21 28" xfId="12372" xr:uid="{00000000-0005-0000-0000-0000AF410000}"/>
    <cellStyle name="Normal 24 21 29" xfId="7091" xr:uid="{00000000-0005-0000-0000-0000B0410000}"/>
    <cellStyle name="Normal 24 21 3" xfId="27305" xr:uid="{00000000-0005-0000-0000-0000B1410000}"/>
    <cellStyle name="Normal 24 21 30" xfId="7592" xr:uid="{00000000-0005-0000-0000-0000B2410000}"/>
    <cellStyle name="Normal 24 21 31" xfId="11391" xr:uid="{00000000-0005-0000-0000-0000B3410000}"/>
    <cellStyle name="Normal 24 21 32" xfId="9754" xr:uid="{00000000-0005-0000-0000-0000B4410000}"/>
    <cellStyle name="Normal 24 21 33" xfId="9715" xr:uid="{00000000-0005-0000-0000-0000B5410000}"/>
    <cellStyle name="Normal 24 21 34" xfId="6333" xr:uid="{00000000-0005-0000-0000-0000B6410000}"/>
    <cellStyle name="Normal 24 21 35" xfId="7178" xr:uid="{00000000-0005-0000-0000-0000B7410000}"/>
    <cellStyle name="Normal 24 21 36" xfId="8198" xr:uid="{00000000-0005-0000-0000-0000B8410000}"/>
    <cellStyle name="Normal 24 21 37" xfId="3782" xr:uid="{00000000-0005-0000-0000-0000B9410000}"/>
    <cellStyle name="Normal 24 21 38" xfId="9978" xr:uid="{00000000-0005-0000-0000-0000BA410000}"/>
    <cellStyle name="Normal 24 21 39" xfId="6743" xr:uid="{00000000-0005-0000-0000-0000BB410000}"/>
    <cellStyle name="Normal 24 21 4" xfId="26708" xr:uid="{00000000-0005-0000-0000-0000BC410000}"/>
    <cellStyle name="Normal 24 21 40" xfId="3536" xr:uid="{00000000-0005-0000-0000-0000BD410000}"/>
    <cellStyle name="Normal 24 21 41" xfId="3234" xr:uid="{00000000-0005-0000-0000-0000BE410000}"/>
    <cellStyle name="Normal 24 21 42" xfId="6198" xr:uid="{00000000-0005-0000-0000-0000BF410000}"/>
    <cellStyle name="Normal 24 21 43" xfId="6036" xr:uid="{00000000-0005-0000-0000-0000C0410000}"/>
    <cellStyle name="Normal 24 21 5" xfId="26112" xr:uid="{00000000-0005-0000-0000-0000C1410000}"/>
    <cellStyle name="Normal 24 21 6" xfId="25516" xr:uid="{00000000-0005-0000-0000-0000C2410000}"/>
    <cellStyle name="Normal 24 21 7" xfId="24919" xr:uid="{00000000-0005-0000-0000-0000C3410000}"/>
    <cellStyle name="Normal 24 21 8" xfId="24322" xr:uid="{00000000-0005-0000-0000-0000C4410000}"/>
    <cellStyle name="Normal 24 21 9" xfId="23725" xr:uid="{00000000-0005-0000-0000-0000C5410000}"/>
    <cellStyle name="Normal 24 22" xfId="28501" xr:uid="{00000000-0005-0000-0000-0000C6410000}"/>
    <cellStyle name="Normal 24 22 10" xfId="23127" xr:uid="{00000000-0005-0000-0000-0000C7410000}"/>
    <cellStyle name="Normal 24 22 11" xfId="22530" xr:uid="{00000000-0005-0000-0000-0000C8410000}"/>
    <cellStyle name="Normal 24 22 12" xfId="21934" xr:uid="{00000000-0005-0000-0000-0000C9410000}"/>
    <cellStyle name="Normal 24 22 13" xfId="21337" xr:uid="{00000000-0005-0000-0000-0000CA410000}"/>
    <cellStyle name="Normal 24 22 14" xfId="20740" xr:uid="{00000000-0005-0000-0000-0000CB410000}"/>
    <cellStyle name="Normal 24 22 15" xfId="20143" xr:uid="{00000000-0005-0000-0000-0000CC410000}"/>
    <cellStyle name="Normal 24 22 16" xfId="19547" xr:uid="{00000000-0005-0000-0000-0000CD410000}"/>
    <cellStyle name="Normal 24 22 17" xfId="18951" xr:uid="{00000000-0005-0000-0000-0000CE410000}"/>
    <cellStyle name="Normal 24 22 18" xfId="18359" xr:uid="{00000000-0005-0000-0000-0000CF410000}"/>
    <cellStyle name="Normal 24 22 19" xfId="17762" xr:uid="{00000000-0005-0000-0000-0000D0410000}"/>
    <cellStyle name="Normal 24 22 2" xfId="27901" xr:uid="{00000000-0005-0000-0000-0000D1410000}"/>
    <cellStyle name="Normal 24 22 20" xfId="14541" xr:uid="{00000000-0005-0000-0000-0000D2410000}"/>
    <cellStyle name="Normal 24 22 21" xfId="15918" xr:uid="{00000000-0005-0000-0000-0000D3410000}"/>
    <cellStyle name="Normal 24 22 22" xfId="17198" xr:uid="{00000000-0005-0000-0000-0000D4410000}"/>
    <cellStyle name="Normal 24 22 23" xfId="16200" xr:uid="{00000000-0005-0000-0000-0000D5410000}"/>
    <cellStyle name="Normal 24 22 24" xfId="13693" xr:uid="{00000000-0005-0000-0000-0000D6410000}"/>
    <cellStyle name="Normal 24 22 25" xfId="13998" xr:uid="{00000000-0005-0000-0000-0000D7410000}"/>
    <cellStyle name="Normal 24 22 26" xfId="15420" xr:uid="{00000000-0005-0000-0000-0000D8410000}"/>
    <cellStyle name="Normal 24 22 27" xfId="16554" xr:uid="{00000000-0005-0000-0000-0000D9410000}"/>
    <cellStyle name="Normal 24 22 28" xfId="12371" xr:uid="{00000000-0005-0000-0000-0000DA410000}"/>
    <cellStyle name="Normal 24 22 29" xfId="7912" xr:uid="{00000000-0005-0000-0000-0000DB410000}"/>
    <cellStyle name="Normal 24 22 3" xfId="27304" xr:uid="{00000000-0005-0000-0000-0000DC410000}"/>
    <cellStyle name="Normal 24 22 30" xfId="7412" xr:uid="{00000000-0005-0000-0000-0000DD410000}"/>
    <cellStyle name="Normal 24 22 31" xfId="11794" xr:uid="{00000000-0005-0000-0000-0000DE410000}"/>
    <cellStyle name="Normal 24 22 32" xfId="7895" xr:uid="{00000000-0005-0000-0000-0000DF410000}"/>
    <cellStyle name="Normal 24 22 33" xfId="11528" xr:uid="{00000000-0005-0000-0000-0000E0410000}"/>
    <cellStyle name="Normal 24 22 34" xfId="4631" xr:uid="{00000000-0005-0000-0000-0000E1410000}"/>
    <cellStyle name="Normal 24 22 35" xfId="7177" xr:uid="{00000000-0005-0000-0000-0000E2410000}"/>
    <cellStyle name="Normal 24 22 36" xfId="9262" xr:uid="{00000000-0005-0000-0000-0000E3410000}"/>
    <cellStyle name="Normal 24 22 37" xfId="4018" xr:uid="{00000000-0005-0000-0000-0000E4410000}"/>
    <cellStyle name="Normal 24 22 38" xfId="7532" xr:uid="{00000000-0005-0000-0000-0000E5410000}"/>
    <cellStyle name="Normal 24 22 39" xfId="5418" xr:uid="{00000000-0005-0000-0000-0000E6410000}"/>
    <cellStyle name="Normal 24 22 4" xfId="26707" xr:uid="{00000000-0005-0000-0000-0000E7410000}"/>
    <cellStyle name="Normal 24 22 40" xfId="3685" xr:uid="{00000000-0005-0000-0000-0000E8410000}"/>
    <cellStyle name="Normal 24 22 41" xfId="8351" xr:uid="{00000000-0005-0000-0000-0000E9410000}"/>
    <cellStyle name="Normal 24 22 42" xfId="8445" xr:uid="{00000000-0005-0000-0000-0000EA410000}"/>
    <cellStyle name="Normal 24 22 43" xfId="3255" xr:uid="{00000000-0005-0000-0000-0000EB410000}"/>
    <cellStyle name="Normal 24 22 5" xfId="26111" xr:uid="{00000000-0005-0000-0000-0000EC410000}"/>
    <cellStyle name="Normal 24 22 6" xfId="25515" xr:uid="{00000000-0005-0000-0000-0000ED410000}"/>
    <cellStyle name="Normal 24 22 7" xfId="24918" xr:uid="{00000000-0005-0000-0000-0000EE410000}"/>
    <cellStyle name="Normal 24 22 8" xfId="24321" xr:uid="{00000000-0005-0000-0000-0000EF410000}"/>
    <cellStyle name="Normal 24 22 9" xfId="23724" xr:uid="{00000000-0005-0000-0000-0000F0410000}"/>
    <cellStyle name="Normal 24 23" xfId="28500" xr:uid="{00000000-0005-0000-0000-0000F1410000}"/>
    <cellStyle name="Normal 24 23 10" xfId="23126" xr:uid="{00000000-0005-0000-0000-0000F2410000}"/>
    <cellStyle name="Normal 24 23 11" xfId="22529" xr:uid="{00000000-0005-0000-0000-0000F3410000}"/>
    <cellStyle name="Normal 24 23 12" xfId="21933" xr:uid="{00000000-0005-0000-0000-0000F4410000}"/>
    <cellStyle name="Normal 24 23 13" xfId="21336" xr:uid="{00000000-0005-0000-0000-0000F5410000}"/>
    <cellStyle name="Normal 24 23 14" xfId="20739" xr:uid="{00000000-0005-0000-0000-0000F6410000}"/>
    <cellStyle name="Normal 24 23 15" xfId="20142" xr:uid="{00000000-0005-0000-0000-0000F7410000}"/>
    <cellStyle name="Normal 24 23 16" xfId="19546" xr:uid="{00000000-0005-0000-0000-0000F8410000}"/>
    <cellStyle name="Normal 24 23 17" xfId="18950" xr:uid="{00000000-0005-0000-0000-0000F9410000}"/>
    <cellStyle name="Normal 24 23 18" xfId="18358" xr:uid="{00000000-0005-0000-0000-0000FA410000}"/>
    <cellStyle name="Normal 24 23 19" xfId="17761" xr:uid="{00000000-0005-0000-0000-0000FB410000}"/>
    <cellStyle name="Normal 24 23 2" xfId="27900" xr:uid="{00000000-0005-0000-0000-0000FC410000}"/>
    <cellStyle name="Normal 24 23 20" xfId="14738" xr:uid="{00000000-0005-0000-0000-0000FD410000}"/>
    <cellStyle name="Normal 24 23 21" xfId="15911" xr:uid="{00000000-0005-0000-0000-0000FE410000}"/>
    <cellStyle name="Normal 24 23 22" xfId="13665" xr:uid="{00000000-0005-0000-0000-0000FF410000}"/>
    <cellStyle name="Normal 24 23 23" xfId="17045" xr:uid="{00000000-0005-0000-0000-000000420000}"/>
    <cellStyle name="Normal 24 23 24" xfId="13605" xr:uid="{00000000-0005-0000-0000-000001420000}"/>
    <cellStyle name="Normal 24 23 25" xfId="15798" xr:uid="{00000000-0005-0000-0000-000002420000}"/>
    <cellStyle name="Normal 24 23 26" xfId="14713" xr:uid="{00000000-0005-0000-0000-000003420000}"/>
    <cellStyle name="Normal 24 23 27" xfId="13438" xr:uid="{00000000-0005-0000-0000-000004420000}"/>
    <cellStyle name="Normal 24 23 28" xfId="12370" xr:uid="{00000000-0005-0000-0000-000005420000}"/>
    <cellStyle name="Normal 24 23 29" xfId="6969" xr:uid="{00000000-0005-0000-0000-000006420000}"/>
    <cellStyle name="Normal 24 23 3" xfId="27303" xr:uid="{00000000-0005-0000-0000-000007420000}"/>
    <cellStyle name="Normal 24 23 30" xfId="6915" xr:uid="{00000000-0005-0000-0000-000008420000}"/>
    <cellStyle name="Normal 24 23 31" xfId="11707" xr:uid="{00000000-0005-0000-0000-000009420000}"/>
    <cellStyle name="Normal 24 23 32" xfId="8271" xr:uid="{00000000-0005-0000-0000-00000A420000}"/>
    <cellStyle name="Normal 24 23 33" xfId="10476" xr:uid="{00000000-0005-0000-0000-00000B420000}"/>
    <cellStyle name="Normal 24 23 34" xfId="11663" xr:uid="{00000000-0005-0000-0000-00000C420000}"/>
    <cellStyle name="Normal 24 23 35" xfId="9987" xr:uid="{00000000-0005-0000-0000-00000D420000}"/>
    <cellStyle name="Normal 24 23 36" xfId="11047" xr:uid="{00000000-0005-0000-0000-00000E420000}"/>
    <cellStyle name="Normal 24 23 37" xfId="10701" xr:uid="{00000000-0005-0000-0000-00000F420000}"/>
    <cellStyle name="Normal 24 23 38" xfId="3971" xr:uid="{00000000-0005-0000-0000-000010420000}"/>
    <cellStyle name="Normal 24 23 39" xfId="7380" xr:uid="{00000000-0005-0000-0000-000011420000}"/>
    <cellStyle name="Normal 24 23 4" xfId="26706" xr:uid="{00000000-0005-0000-0000-000012420000}"/>
    <cellStyle name="Normal 24 23 40" xfId="9712" xr:uid="{00000000-0005-0000-0000-000013420000}"/>
    <cellStyle name="Normal 24 23 41" xfId="3275" xr:uid="{00000000-0005-0000-0000-000014420000}"/>
    <cellStyle name="Normal 24 23 42" xfId="9354" xr:uid="{00000000-0005-0000-0000-000015420000}"/>
    <cellStyle name="Normal 24 23 43" xfId="3124" xr:uid="{00000000-0005-0000-0000-000016420000}"/>
    <cellStyle name="Normal 24 23 5" xfId="26110" xr:uid="{00000000-0005-0000-0000-000017420000}"/>
    <cellStyle name="Normal 24 23 6" xfId="25514" xr:uid="{00000000-0005-0000-0000-000018420000}"/>
    <cellStyle name="Normal 24 23 7" xfId="24917" xr:uid="{00000000-0005-0000-0000-000019420000}"/>
    <cellStyle name="Normal 24 23 8" xfId="24320" xr:uid="{00000000-0005-0000-0000-00001A420000}"/>
    <cellStyle name="Normal 24 23 9" xfId="23723" xr:uid="{00000000-0005-0000-0000-00001B420000}"/>
    <cellStyle name="Normal 24 24" xfId="28499" xr:uid="{00000000-0005-0000-0000-00001C420000}"/>
    <cellStyle name="Normal 24 24 10" xfId="23125" xr:uid="{00000000-0005-0000-0000-00001D420000}"/>
    <cellStyle name="Normal 24 24 11" xfId="22528" xr:uid="{00000000-0005-0000-0000-00001E420000}"/>
    <cellStyle name="Normal 24 24 12" xfId="21932" xr:uid="{00000000-0005-0000-0000-00001F420000}"/>
    <cellStyle name="Normal 24 24 13" xfId="21335" xr:uid="{00000000-0005-0000-0000-000020420000}"/>
    <cellStyle name="Normal 24 24 14" xfId="20738" xr:uid="{00000000-0005-0000-0000-000021420000}"/>
    <cellStyle name="Normal 24 24 15" xfId="20141" xr:uid="{00000000-0005-0000-0000-000022420000}"/>
    <cellStyle name="Normal 24 24 16" xfId="19545" xr:uid="{00000000-0005-0000-0000-000023420000}"/>
    <cellStyle name="Normal 24 24 17" xfId="18949" xr:uid="{00000000-0005-0000-0000-000024420000}"/>
    <cellStyle name="Normal 24 24 18" xfId="18357" xr:uid="{00000000-0005-0000-0000-000025420000}"/>
    <cellStyle name="Normal 24 24 19" xfId="17760" xr:uid="{00000000-0005-0000-0000-000026420000}"/>
    <cellStyle name="Normal 24 24 2" xfId="27899" xr:uid="{00000000-0005-0000-0000-000027420000}"/>
    <cellStyle name="Normal 24 24 20" xfId="14940" xr:uid="{00000000-0005-0000-0000-000028420000}"/>
    <cellStyle name="Normal 24 24 21" xfId="15898" xr:uid="{00000000-0005-0000-0000-000029420000}"/>
    <cellStyle name="Normal 24 24 22" xfId="13804" xr:uid="{00000000-0005-0000-0000-00002A420000}"/>
    <cellStyle name="Normal 24 24 23" xfId="13927" xr:uid="{00000000-0005-0000-0000-00002B420000}"/>
    <cellStyle name="Normal 24 24 24" xfId="16384" xr:uid="{00000000-0005-0000-0000-00002C420000}"/>
    <cellStyle name="Normal 24 24 25" xfId="15513" xr:uid="{00000000-0005-0000-0000-00002D420000}"/>
    <cellStyle name="Normal 24 24 26" xfId="15705" xr:uid="{00000000-0005-0000-0000-00002E420000}"/>
    <cellStyle name="Normal 24 24 27" xfId="12817" xr:uid="{00000000-0005-0000-0000-00002F420000}"/>
    <cellStyle name="Normal 24 24 28" xfId="12369" xr:uid="{00000000-0005-0000-0000-000030420000}"/>
    <cellStyle name="Normal 24 24 29" xfId="6822" xr:uid="{00000000-0005-0000-0000-000031420000}"/>
    <cellStyle name="Normal 24 24 3" xfId="27302" xr:uid="{00000000-0005-0000-0000-000032420000}"/>
    <cellStyle name="Normal 24 24 30" xfId="7858" xr:uid="{00000000-0005-0000-0000-000033420000}"/>
    <cellStyle name="Normal 24 24 31" xfId="11119" xr:uid="{00000000-0005-0000-0000-000034420000}"/>
    <cellStyle name="Normal 24 24 32" xfId="6358" xr:uid="{00000000-0005-0000-0000-000035420000}"/>
    <cellStyle name="Normal 24 24 33" xfId="6932" xr:uid="{00000000-0005-0000-0000-000036420000}"/>
    <cellStyle name="Normal 24 24 34" xfId="11027" xr:uid="{00000000-0005-0000-0000-000037420000}"/>
    <cellStyle name="Normal 24 24 35" xfId="11994" xr:uid="{00000000-0005-0000-0000-000038420000}"/>
    <cellStyle name="Normal 24 24 36" xfId="6187" xr:uid="{00000000-0005-0000-0000-000039420000}"/>
    <cellStyle name="Normal 24 24 37" xfId="7987" xr:uid="{00000000-0005-0000-0000-00003A420000}"/>
    <cellStyle name="Normal 24 24 38" xfId="5356" xr:uid="{00000000-0005-0000-0000-00003B420000}"/>
    <cellStyle name="Normal 24 24 39" xfId="11448" xr:uid="{00000000-0005-0000-0000-00003C420000}"/>
    <cellStyle name="Normal 24 24 4" xfId="26705" xr:uid="{00000000-0005-0000-0000-00003D420000}"/>
    <cellStyle name="Normal 24 24 40" xfId="3871" xr:uid="{00000000-0005-0000-0000-00003E420000}"/>
    <cellStyle name="Normal 24 24 41" xfId="11032" xr:uid="{00000000-0005-0000-0000-00003F420000}"/>
    <cellStyle name="Normal 24 24 42" xfId="9900" xr:uid="{00000000-0005-0000-0000-000040420000}"/>
    <cellStyle name="Normal 24 24 43" xfId="7948" xr:uid="{00000000-0005-0000-0000-000041420000}"/>
    <cellStyle name="Normal 24 24 5" xfId="26109" xr:uid="{00000000-0005-0000-0000-000042420000}"/>
    <cellStyle name="Normal 24 24 6" xfId="25513" xr:uid="{00000000-0005-0000-0000-000043420000}"/>
    <cellStyle name="Normal 24 24 7" xfId="24916" xr:uid="{00000000-0005-0000-0000-000044420000}"/>
    <cellStyle name="Normal 24 24 8" xfId="24319" xr:uid="{00000000-0005-0000-0000-000045420000}"/>
    <cellStyle name="Normal 24 24 9" xfId="23722" xr:uid="{00000000-0005-0000-0000-000046420000}"/>
    <cellStyle name="Normal 24 25" xfId="28498" xr:uid="{00000000-0005-0000-0000-000047420000}"/>
    <cellStyle name="Normal 24 25 10" xfId="23124" xr:uid="{00000000-0005-0000-0000-000048420000}"/>
    <cellStyle name="Normal 24 25 11" xfId="22527" xr:uid="{00000000-0005-0000-0000-000049420000}"/>
    <cellStyle name="Normal 24 25 12" xfId="21931" xr:uid="{00000000-0005-0000-0000-00004A420000}"/>
    <cellStyle name="Normal 24 25 13" xfId="21334" xr:uid="{00000000-0005-0000-0000-00004B420000}"/>
    <cellStyle name="Normal 24 25 14" xfId="20737" xr:uid="{00000000-0005-0000-0000-00004C420000}"/>
    <cellStyle name="Normal 24 25 15" xfId="20140" xr:uid="{00000000-0005-0000-0000-00004D420000}"/>
    <cellStyle name="Normal 24 25 16" xfId="19544" xr:uid="{00000000-0005-0000-0000-00004E420000}"/>
    <cellStyle name="Normal 24 25 17" xfId="18948" xr:uid="{00000000-0005-0000-0000-00004F420000}"/>
    <cellStyle name="Normal 24 25 18" xfId="18356" xr:uid="{00000000-0005-0000-0000-000050420000}"/>
    <cellStyle name="Normal 24 25 19" xfId="17759" xr:uid="{00000000-0005-0000-0000-000051420000}"/>
    <cellStyle name="Normal 24 25 2" xfId="27898" xr:uid="{00000000-0005-0000-0000-000052420000}"/>
    <cellStyle name="Normal 24 25 20" xfId="15147" xr:uid="{00000000-0005-0000-0000-000053420000}"/>
    <cellStyle name="Normal 24 25 21" xfId="15692" xr:uid="{00000000-0005-0000-0000-000054420000}"/>
    <cellStyle name="Normal 24 25 22" xfId="16162" xr:uid="{00000000-0005-0000-0000-000055420000}"/>
    <cellStyle name="Normal 24 25 23" xfId="13498" xr:uid="{00000000-0005-0000-0000-000056420000}"/>
    <cellStyle name="Normal 24 25 24" xfId="15834" xr:uid="{00000000-0005-0000-0000-000057420000}"/>
    <cellStyle name="Normal 24 25 25" xfId="16963" xr:uid="{00000000-0005-0000-0000-000058420000}"/>
    <cellStyle name="Normal 24 25 26" xfId="12972" xr:uid="{00000000-0005-0000-0000-000059420000}"/>
    <cellStyle name="Normal 24 25 27" xfId="12801" xr:uid="{00000000-0005-0000-0000-00005A420000}"/>
    <cellStyle name="Normal 24 25 28" xfId="12368" xr:uid="{00000000-0005-0000-0000-00005B420000}"/>
    <cellStyle name="Normal 24 25 29" xfId="7863" xr:uid="{00000000-0005-0000-0000-00005C420000}"/>
    <cellStyle name="Normal 24 25 3" xfId="27301" xr:uid="{00000000-0005-0000-0000-00005D420000}"/>
    <cellStyle name="Normal 24 25 30" xfId="8569" xr:uid="{00000000-0005-0000-0000-00005E420000}"/>
    <cellStyle name="Normal 24 25 31" xfId="11850" xr:uid="{00000000-0005-0000-0000-00005F420000}"/>
    <cellStyle name="Normal 24 25 32" xfId="7923" xr:uid="{00000000-0005-0000-0000-000060420000}"/>
    <cellStyle name="Normal 24 25 33" xfId="10773" xr:uid="{00000000-0005-0000-0000-000061420000}"/>
    <cellStyle name="Normal 24 25 34" xfId="7589" xr:uid="{00000000-0005-0000-0000-000062420000}"/>
    <cellStyle name="Normal 24 25 35" xfId="8709" xr:uid="{00000000-0005-0000-0000-000063420000}"/>
    <cellStyle name="Normal 24 25 36" xfId="4259" xr:uid="{00000000-0005-0000-0000-000064420000}"/>
    <cellStyle name="Normal 24 25 37" xfId="4009" xr:uid="{00000000-0005-0000-0000-000065420000}"/>
    <cellStyle name="Normal 24 25 38" xfId="8409" xr:uid="{00000000-0005-0000-0000-000066420000}"/>
    <cellStyle name="Normal 24 25 39" xfId="4213" xr:uid="{00000000-0005-0000-0000-000067420000}"/>
    <cellStyle name="Normal 24 25 4" xfId="26704" xr:uid="{00000000-0005-0000-0000-000068420000}"/>
    <cellStyle name="Normal 24 25 40" xfId="8668" xr:uid="{00000000-0005-0000-0000-000069420000}"/>
    <cellStyle name="Normal 24 25 41" xfId="7163" xr:uid="{00000000-0005-0000-0000-00006A420000}"/>
    <cellStyle name="Normal 24 25 42" xfId="10745" xr:uid="{00000000-0005-0000-0000-00006B420000}"/>
    <cellStyle name="Normal 24 25 43" xfId="3759" xr:uid="{00000000-0005-0000-0000-00006C420000}"/>
    <cellStyle name="Normal 24 25 5" xfId="26108" xr:uid="{00000000-0005-0000-0000-00006D420000}"/>
    <cellStyle name="Normal 24 25 6" xfId="25512" xr:uid="{00000000-0005-0000-0000-00006E420000}"/>
    <cellStyle name="Normal 24 25 7" xfId="24915" xr:uid="{00000000-0005-0000-0000-00006F420000}"/>
    <cellStyle name="Normal 24 25 8" xfId="24318" xr:uid="{00000000-0005-0000-0000-000070420000}"/>
    <cellStyle name="Normal 24 25 9" xfId="23721" xr:uid="{00000000-0005-0000-0000-000071420000}"/>
    <cellStyle name="Normal 24 26" xfId="28497" xr:uid="{00000000-0005-0000-0000-000072420000}"/>
    <cellStyle name="Normal 24 26 10" xfId="23123" xr:uid="{00000000-0005-0000-0000-000073420000}"/>
    <cellStyle name="Normal 24 26 11" xfId="22526" xr:uid="{00000000-0005-0000-0000-000074420000}"/>
    <cellStyle name="Normal 24 26 12" xfId="21930" xr:uid="{00000000-0005-0000-0000-000075420000}"/>
    <cellStyle name="Normal 24 26 13" xfId="21333" xr:uid="{00000000-0005-0000-0000-000076420000}"/>
    <cellStyle name="Normal 24 26 14" xfId="20736" xr:uid="{00000000-0005-0000-0000-000077420000}"/>
    <cellStyle name="Normal 24 26 15" xfId="20139" xr:uid="{00000000-0005-0000-0000-000078420000}"/>
    <cellStyle name="Normal 24 26 16" xfId="19543" xr:uid="{00000000-0005-0000-0000-000079420000}"/>
    <cellStyle name="Normal 24 26 17" xfId="18947" xr:uid="{00000000-0005-0000-0000-00007A420000}"/>
    <cellStyle name="Normal 24 26 18" xfId="18355" xr:uid="{00000000-0005-0000-0000-00007B420000}"/>
    <cellStyle name="Normal 24 26 19" xfId="17758" xr:uid="{00000000-0005-0000-0000-00007C420000}"/>
    <cellStyle name="Normal 24 26 2" xfId="27897" xr:uid="{00000000-0005-0000-0000-00007D420000}"/>
    <cellStyle name="Normal 24 26 20" xfId="15342" xr:uid="{00000000-0005-0000-0000-00007E420000}"/>
    <cellStyle name="Normal 24 26 21" xfId="15681" xr:uid="{00000000-0005-0000-0000-00007F420000}"/>
    <cellStyle name="Normal 24 26 22" xfId="14236" xr:uid="{00000000-0005-0000-0000-000080420000}"/>
    <cellStyle name="Normal 24 26 23" xfId="17480" xr:uid="{00000000-0005-0000-0000-000081420000}"/>
    <cellStyle name="Normal 24 26 24" xfId="13892" xr:uid="{00000000-0005-0000-0000-000082420000}"/>
    <cellStyle name="Normal 24 26 25" xfId="17074" xr:uid="{00000000-0005-0000-0000-000083420000}"/>
    <cellStyle name="Normal 24 26 26" xfId="12871" xr:uid="{00000000-0005-0000-0000-000084420000}"/>
    <cellStyle name="Normal 24 26 27" xfId="15450" xr:uid="{00000000-0005-0000-0000-000085420000}"/>
    <cellStyle name="Normal 24 26 28" xfId="12367" xr:uid="{00000000-0005-0000-0000-000086420000}"/>
    <cellStyle name="Normal 24 26 29" xfId="11911" xr:uid="{00000000-0005-0000-0000-000087420000}"/>
    <cellStyle name="Normal 24 26 3" xfId="27300" xr:uid="{00000000-0005-0000-0000-000088420000}"/>
    <cellStyle name="Normal 24 26 30" xfId="10175" xr:uid="{00000000-0005-0000-0000-000089420000}"/>
    <cellStyle name="Normal 24 26 31" xfId="8201" xr:uid="{00000000-0005-0000-0000-00008A420000}"/>
    <cellStyle name="Normal 24 26 32" xfId="5168" xr:uid="{00000000-0005-0000-0000-00008B420000}"/>
    <cellStyle name="Normal 24 26 33" xfId="5607" xr:uid="{00000000-0005-0000-0000-00008C420000}"/>
    <cellStyle name="Normal 24 26 34" xfId="4879" xr:uid="{00000000-0005-0000-0000-00008D420000}"/>
    <cellStyle name="Normal 24 26 35" xfId="5553" xr:uid="{00000000-0005-0000-0000-00008E420000}"/>
    <cellStyle name="Normal 24 26 36" xfId="8207" xr:uid="{00000000-0005-0000-0000-00008F420000}"/>
    <cellStyle name="Normal 24 26 37" xfId="4434" xr:uid="{00000000-0005-0000-0000-000090420000}"/>
    <cellStyle name="Normal 24 26 38" xfId="11092" xr:uid="{00000000-0005-0000-0000-000091420000}"/>
    <cellStyle name="Normal 24 26 39" xfId="4793" xr:uid="{00000000-0005-0000-0000-000092420000}"/>
    <cellStyle name="Normal 24 26 4" xfId="26703" xr:uid="{00000000-0005-0000-0000-000093420000}"/>
    <cellStyle name="Normal 24 26 40" xfId="10486" xr:uid="{00000000-0005-0000-0000-000094420000}"/>
    <cellStyle name="Normal 24 26 41" xfId="9463" xr:uid="{00000000-0005-0000-0000-000095420000}"/>
    <cellStyle name="Normal 24 26 42" xfId="7153" xr:uid="{00000000-0005-0000-0000-000096420000}"/>
    <cellStyle name="Normal 24 26 43" xfId="3419" xr:uid="{00000000-0005-0000-0000-000097420000}"/>
    <cellStyle name="Normal 24 26 5" xfId="26107" xr:uid="{00000000-0005-0000-0000-000098420000}"/>
    <cellStyle name="Normal 24 26 6" xfId="25511" xr:uid="{00000000-0005-0000-0000-000099420000}"/>
    <cellStyle name="Normal 24 26 7" xfId="24914" xr:uid="{00000000-0005-0000-0000-00009A420000}"/>
    <cellStyle name="Normal 24 26 8" xfId="24317" xr:uid="{00000000-0005-0000-0000-00009B420000}"/>
    <cellStyle name="Normal 24 26 9" xfId="23720" xr:uid="{00000000-0005-0000-0000-00009C420000}"/>
    <cellStyle name="Normal 24 27" xfId="27915" xr:uid="{00000000-0005-0000-0000-00009D420000}"/>
    <cellStyle name="Normal 24 28" xfId="27318" xr:uid="{00000000-0005-0000-0000-00009E420000}"/>
    <cellStyle name="Normal 24 29" xfId="26721" xr:uid="{00000000-0005-0000-0000-00009F420000}"/>
    <cellStyle name="Normal 24 3" xfId="28496" xr:uid="{00000000-0005-0000-0000-0000A0420000}"/>
    <cellStyle name="Normal 24 3 10" xfId="23122" xr:uid="{00000000-0005-0000-0000-0000A1420000}"/>
    <cellStyle name="Normal 24 3 11" xfId="22525" xr:uid="{00000000-0005-0000-0000-0000A2420000}"/>
    <cellStyle name="Normal 24 3 12" xfId="21929" xr:uid="{00000000-0005-0000-0000-0000A3420000}"/>
    <cellStyle name="Normal 24 3 13" xfId="21332" xr:uid="{00000000-0005-0000-0000-0000A4420000}"/>
    <cellStyle name="Normal 24 3 14" xfId="20735" xr:uid="{00000000-0005-0000-0000-0000A5420000}"/>
    <cellStyle name="Normal 24 3 15" xfId="20138" xr:uid="{00000000-0005-0000-0000-0000A6420000}"/>
    <cellStyle name="Normal 24 3 16" xfId="19542" xr:uid="{00000000-0005-0000-0000-0000A7420000}"/>
    <cellStyle name="Normal 24 3 17" xfId="18946" xr:uid="{00000000-0005-0000-0000-0000A8420000}"/>
    <cellStyle name="Normal 24 3 18" xfId="18354" xr:uid="{00000000-0005-0000-0000-0000A9420000}"/>
    <cellStyle name="Normal 24 3 19" xfId="17757" xr:uid="{00000000-0005-0000-0000-0000AA420000}"/>
    <cellStyle name="Normal 24 3 2" xfId="27896" xr:uid="{00000000-0005-0000-0000-0000AB420000}"/>
    <cellStyle name="Normal 24 3 20" xfId="15549" xr:uid="{00000000-0005-0000-0000-0000AC420000}"/>
    <cellStyle name="Normal 24 3 21" xfId="15276" xr:uid="{00000000-0005-0000-0000-0000AD420000}"/>
    <cellStyle name="Normal 24 3 22" xfId="14628" xr:uid="{00000000-0005-0000-0000-0000AE420000}"/>
    <cellStyle name="Normal 24 3 23" xfId="17192" xr:uid="{00000000-0005-0000-0000-0000AF420000}"/>
    <cellStyle name="Normal 24 3 24" xfId="16814" xr:uid="{00000000-0005-0000-0000-0000B0420000}"/>
    <cellStyle name="Normal 24 3 25" xfId="15761" xr:uid="{00000000-0005-0000-0000-0000B1420000}"/>
    <cellStyle name="Normal 24 3 26" xfId="12832" xr:uid="{00000000-0005-0000-0000-0000B2420000}"/>
    <cellStyle name="Normal 24 3 27" xfId="13126" xr:uid="{00000000-0005-0000-0000-0000B3420000}"/>
    <cellStyle name="Normal 24 3 28" xfId="12366" xr:uid="{00000000-0005-0000-0000-0000B4420000}"/>
    <cellStyle name="Normal 24 3 29" xfId="8091" xr:uid="{00000000-0005-0000-0000-0000B5420000}"/>
    <cellStyle name="Normal 24 3 3" xfId="27299" xr:uid="{00000000-0005-0000-0000-0000B6420000}"/>
    <cellStyle name="Normal 24 3 30" xfId="10165" xr:uid="{00000000-0005-0000-0000-0000B7420000}"/>
    <cellStyle name="Normal 24 3 31" xfId="10714" xr:uid="{00000000-0005-0000-0000-0000B8420000}"/>
    <cellStyle name="Normal 24 3 32" xfId="9583" xr:uid="{00000000-0005-0000-0000-0000B9420000}"/>
    <cellStyle name="Normal 24 3 33" xfId="5442" xr:uid="{00000000-0005-0000-0000-0000BA420000}"/>
    <cellStyle name="Normal 24 3 34" xfId="6553" xr:uid="{00000000-0005-0000-0000-0000BB420000}"/>
    <cellStyle name="Normal 24 3 35" xfId="8138" xr:uid="{00000000-0005-0000-0000-0000BC420000}"/>
    <cellStyle name="Normal 24 3 36" xfId="6420" xr:uid="{00000000-0005-0000-0000-0000BD420000}"/>
    <cellStyle name="Normal 24 3 37" xfId="4706" xr:uid="{00000000-0005-0000-0000-0000BE420000}"/>
    <cellStyle name="Normal 24 3 38" xfId="7083" xr:uid="{00000000-0005-0000-0000-0000BF420000}"/>
    <cellStyle name="Normal 24 3 39" xfId="3645" xr:uid="{00000000-0005-0000-0000-0000C0420000}"/>
    <cellStyle name="Normal 24 3 4" xfId="26702" xr:uid="{00000000-0005-0000-0000-0000C1420000}"/>
    <cellStyle name="Normal 24 3 40" xfId="7479" xr:uid="{00000000-0005-0000-0000-0000C2420000}"/>
    <cellStyle name="Normal 24 3 41" xfId="8584" xr:uid="{00000000-0005-0000-0000-0000C3420000}"/>
    <cellStyle name="Normal 24 3 42" xfId="7810" xr:uid="{00000000-0005-0000-0000-0000C4420000}"/>
    <cellStyle name="Normal 24 3 43" xfId="8347" xr:uid="{00000000-0005-0000-0000-0000C5420000}"/>
    <cellStyle name="Normal 24 3 44" xfId="2935" xr:uid="{00000000-0005-0000-0000-0000C6420000}"/>
    <cellStyle name="Normal 24 3 45" xfId="2692" xr:uid="{00000000-0005-0000-0000-0000C7420000}"/>
    <cellStyle name="Normal 24 3 46" xfId="2452" xr:uid="{00000000-0005-0000-0000-0000C8420000}"/>
    <cellStyle name="Normal 24 3 47" xfId="2212" xr:uid="{00000000-0005-0000-0000-0000C9420000}"/>
    <cellStyle name="Normal 24 3 48" xfId="1972" xr:uid="{00000000-0005-0000-0000-0000CA420000}"/>
    <cellStyle name="Normal 24 3 49" xfId="1732" xr:uid="{00000000-0005-0000-0000-0000CB420000}"/>
    <cellStyle name="Normal 24 3 5" xfId="26106" xr:uid="{00000000-0005-0000-0000-0000CC420000}"/>
    <cellStyle name="Normal 24 3 50" xfId="1493" xr:uid="{00000000-0005-0000-0000-0000CD420000}"/>
    <cellStyle name="Normal 24 3 51" xfId="1253" xr:uid="{00000000-0005-0000-0000-0000CE420000}"/>
    <cellStyle name="Normal 24 3 52" xfId="1013" xr:uid="{00000000-0005-0000-0000-0000CF420000}"/>
    <cellStyle name="Normal 24 3 53" xfId="773" xr:uid="{00000000-0005-0000-0000-0000D0420000}"/>
    <cellStyle name="Normal 24 3 54" xfId="533" xr:uid="{00000000-0005-0000-0000-0000D1420000}"/>
    <cellStyle name="Normal 24 3 55" xfId="294" xr:uid="{00000000-0005-0000-0000-0000D2420000}"/>
    <cellStyle name="Normal 24 3 56" xfId="56" xr:uid="{00000000-0005-0000-0000-0000D3420000}"/>
    <cellStyle name="Normal 24 3 6" xfId="25510" xr:uid="{00000000-0005-0000-0000-0000D4420000}"/>
    <cellStyle name="Normal 24 3 7" xfId="24913" xr:uid="{00000000-0005-0000-0000-0000D5420000}"/>
    <cellStyle name="Normal 24 3 8" xfId="24316" xr:uid="{00000000-0005-0000-0000-0000D6420000}"/>
    <cellStyle name="Normal 24 3 9" xfId="23719" xr:uid="{00000000-0005-0000-0000-0000D7420000}"/>
    <cellStyle name="Normal 24 30" xfId="26125" xr:uid="{00000000-0005-0000-0000-0000D8420000}"/>
    <cellStyle name="Normal 24 31" xfId="25529" xr:uid="{00000000-0005-0000-0000-0000D9420000}"/>
    <cellStyle name="Normal 24 32" xfId="24932" xr:uid="{00000000-0005-0000-0000-0000DA420000}"/>
    <cellStyle name="Normal 24 33" xfId="24335" xr:uid="{00000000-0005-0000-0000-0000DB420000}"/>
    <cellStyle name="Normal 24 34" xfId="23738" xr:uid="{00000000-0005-0000-0000-0000DC420000}"/>
    <cellStyle name="Normal 24 35" xfId="23141" xr:uid="{00000000-0005-0000-0000-0000DD420000}"/>
    <cellStyle name="Normal 24 36" xfId="22544" xr:uid="{00000000-0005-0000-0000-0000DE420000}"/>
    <cellStyle name="Normal 24 37" xfId="21948" xr:uid="{00000000-0005-0000-0000-0000DF420000}"/>
    <cellStyle name="Normal 24 38" xfId="21351" xr:uid="{00000000-0005-0000-0000-0000E0420000}"/>
    <cellStyle name="Normal 24 39" xfId="20754" xr:uid="{00000000-0005-0000-0000-0000E1420000}"/>
    <cellStyle name="Normal 24 4" xfId="28495" xr:uid="{00000000-0005-0000-0000-0000E2420000}"/>
    <cellStyle name="Normal 24 4 10" xfId="23121" xr:uid="{00000000-0005-0000-0000-0000E3420000}"/>
    <cellStyle name="Normal 24 4 11" xfId="22524" xr:uid="{00000000-0005-0000-0000-0000E4420000}"/>
    <cellStyle name="Normal 24 4 12" xfId="21928" xr:uid="{00000000-0005-0000-0000-0000E5420000}"/>
    <cellStyle name="Normal 24 4 13" xfId="21331" xr:uid="{00000000-0005-0000-0000-0000E6420000}"/>
    <cellStyle name="Normal 24 4 14" xfId="20734" xr:uid="{00000000-0005-0000-0000-0000E7420000}"/>
    <cellStyle name="Normal 24 4 15" xfId="20137" xr:uid="{00000000-0005-0000-0000-0000E8420000}"/>
    <cellStyle name="Normal 24 4 16" xfId="19541" xr:uid="{00000000-0005-0000-0000-0000E9420000}"/>
    <cellStyle name="Normal 24 4 17" xfId="18945" xr:uid="{00000000-0005-0000-0000-0000EA420000}"/>
    <cellStyle name="Normal 24 4 18" xfId="18353" xr:uid="{00000000-0005-0000-0000-0000EB420000}"/>
    <cellStyle name="Normal 24 4 19" xfId="17756" xr:uid="{00000000-0005-0000-0000-0000EC420000}"/>
    <cellStyle name="Normal 24 4 2" xfId="27895" xr:uid="{00000000-0005-0000-0000-0000ED420000}"/>
    <cellStyle name="Normal 24 4 20" xfId="15739" xr:uid="{00000000-0005-0000-0000-0000EE420000}"/>
    <cellStyle name="Normal 24 4 21" xfId="15267" xr:uid="{00000000-0005-0000-0000-0000EF420000}"/>
    <cellStyle name="Normal 24 4 22" xfId="15441" xr:uid="{00000000-0005-0000-0000-0000F0420000}"/>
    <cellStyle name="Normal 24 4 23" xfId="15374" xr:uid="{00000000-0005-0000-0000-0000F1420000}"/>
    <cellStyle name="Normal 24 4 24" xfId="17425" xr:uid="{00000000-0005-0000-0000-0000F2420000}"/>
    <cellStyle name="Normal 24 4 25" xfId="16214" xr:uid="{00000000-0005-0000-0000-0000F3420000}"/>
    <cellStyle name="Normal 24 4 26" xfId="15904" xr:uid="{00000000-0005-0000-0000-0000F4420000}"/>
    <cellStyle name="Normal 24 4 27" xfId="13165" xr:uid="{00000000-0005-0000-0000-0000F5420000}"/>
    <cellStyle name="Normal 24 4 28" xfId="12365" xr:uid="{00000000-0005-0000-0000-0000F6420000}"/>
    <cellStyle name="Normal 24 4 29" xfId="8299" xr:uid="{00000000-0005-0000-0000-0000F7420000}"/>
    <cellStyle name="Normal 24 4 3" xfId="27298" xr:uid="{00000000-0005-0000-0000-0000F8420000}"/>
    <cellStyle name="Normal 24 4 30" xfId="10610" xr:uid="{00000000-0005-0000-0000-0000F9420000}"/>
    <cellStyle name="Normal 24 4 31" xfId="11821" xr:uid="{00000000-0005-0000-0000-0000FA420000}"/>
    <cellStyle name="Normal 24 4 32" xfId="5165" xr:uid="{00000000-0005-0000-0000-0000FB420000}"/>
    <cellStyle name="Normal 24 4 33" xfId="8269" xr:uid="{00000000-0005-0000-0000-0000FC420000}"/>
    <cellStyle name="Normal 24 4 34" xfId="4936" xr:uid="{00000000-0005-0000-0000-0000FD420000}"/>
    <cellStyle name="Normal 24 4 35" xfId="11812" xr:uid="{00000000-0005-0000-0000-0000FE420000}"/>
    <cellStyle name="Normal 24 4 36" xfId="7038" xr:uid="{00000000-0005-0000-0000-0000FF420000}"/>
    <cellStyle name="Normal 24 4 37" xfId="4483" xr:uid="{00000000-0005-0000-0000-000000430000}"/>
    <cellStyle name="Normal 24 4 38" xfId="3548" xr:uid="{00000000-0005-0000-0000-000001430000}"/>
    <cellStyle name="Normal 24 4 39" xfId="9967" xr:uid="{00000000-0005-0000-0000-000002430000}"/>
    <cellStyle name="Normal 24 4 4" xfId="26701" xr:uid="{00000000-0005-0000-0000-000003430000}"/>
    <cellStyle name="Normal 24 4 40" xfId="8316" xr:uid="{00000000-0005-0000-0000-000004430000}"/>
    <cellStyle name="Normal 24 4 41" xfId="3556" xr:uid="{00000000-0005-0000-0000-000005430000}"/>
    <cellStyle name="Normal 24 4 42" xfId="4627" xr:uid="{00000000-0005-0000-0000-000006430000}"/>
    <cellStyle name="Normal 24 4 43" xfId="11373" xr:uid="{00000000-0005-0000-0000-000007430000}"/>
    <cellStyle name="Normal 24 4 44" xfId="2934" xr:uid="{00000000-0005-0000-0000-000008430000}"/>
    <cellStyle name="Normal 24 4 45" xfId="2691" xr:uid="{00000000-0005-0000-0000-000009430000}"/>
    <cellStyle name="Normal 24 4 46" xfId="2451" xr:uid="{00000000-0005-0000-0000-00000A430000}"/>
    <cellStyle name="Normal 24 4 47" xfId="2211" xr:uid="{00000000-0005-0000-0000-00000B430000}"/>
    <cellStyle name="Normal 24 4 48" xfId="1971" xr:uid="{00000000-0005-0000-0000-00000C430000}"/>
    <cellStyle name="Normal 24 4 49" xfId="1731" xr:uid="{00000000-0005-0000-0000-00000D430000}"/>
    <cellStyle name="Normal 24 4 5" xfId="26105" xr:uid="{00000000-0005-0000-0000-00000E430000}"/>
    <cellStyle name="Normal 24 4 50" xfId="1492" xr:uid="{00000000-0005-0000-0000-00000F430000}"/>
    <cellStyle name="Normal 24 4 51" xfId="1252" xr:uid="{00000000-0005-0000-0000-000010430000}"/>
    <cellStyle name="Normal 24 4 52" xfId="1012" xr:uid="{00000000-0005-0000-0000-000011430000}"/>
    <cellStyle name="Normal 24 4 53" xfId="772" xr:uid="{00000000-0005-0000-0000-000012430000}"/>
    <cellStyle name="Normal 24 4 54" xfId="532" xr:uid="{00000000-0005-0000-0000-000013430000}"/>
    <cellStyle name="Normal 24 4 55" xfId="293" xr:uid="{00000000-0005-0000-0000-000014430000}"/>
    <cellStyle name="Normal 24 4 56" xfId="55" xr:uid="{00000000-0005-0000-0000-000015430000}"/>
    <cellStyle name="Normal 24 4 6" xfId="25509" xr:uid="{00000000-0005-0000-0000-000016430000}"/>
    <cellStyle name="Normal 24 4 7" xfId="24912" xr:uid="{00000000-0005-0000-0000-000017430000}"/>
    <cellStyle name="Normal 24 4 8" xfId="24315" xr:uid="{00000000-0005-0000-0000-000018430000}"/>
    <cellStyle name="Normal 24 4 9" xfId="23718" xr:uid="{00000000-0005-0000-0000-000019430000}"/>
    <cellStyle name="Normal 24 40" xfId="20157" xr:uid="{00000000-0005-0000-0000-00001A430000}"/>
    <cellStyle name="Normal 24 41" xfId="19561" xr:uid="{00000000-0005-0000-0000-00001B430000}"/>
    <cellStyle name="Normal 24 42" xfId="18965" xr:uid="{00000000-0005-0000-0000-00001C430000}"/>
    <cellStyle name="Normal 24 43" xfId="18373" xr:uid="{00000000-0005-0000-0000-00001D430000}"/>
    <cellStyle name="Normal 24 44" xfId="17776" xr:uid="{00000000-0005-0000-0000-00001E430000}"/>
    <cellStyle name="Normal 24 45" xfId="15146" xr:uid="{00000000-0005-0000-0000-00001F430000}"/>
    <cellStyle name="Normal 24 46" xfId="15887" xr:uid="{00000000-0005-0000-0000-000020430000}"/>
    <cellStyle name="Normal 24 47" xfId="14229" xr:uid="{00000000-0005-0000-0000-000021430000}"/>
    <cellStyle name="Normal 24 48" xfId="16800" xr:uid="{00000000-0005-0000-0000-000022430000}"/>
    <cellStyle name="Normal 24 49" xfId="15703" xr:uid="{00000000-0005-0000-0000-000023430000}"/>
    <cellStyle name="Normal 24 5" xfId="28494" xr:uid="{00000000-0005-0000-0000-000024430000}"/>
    <cellStyle name="Normal 24 5 10" xfId="23120" xr:uid="{00000000-0005-0000-0000-000025430000}"/>
    <cellStyle name="Normal 24 5 11" xfId="22523" xr:uid="{00000000-0005-0000-0000-000026430000}"/>
    <cellStyle name="Normal 24 5 12" xfId="21927" xr:uid="{00000000-0005-0000-0000-000027430000}"/>
    <cellStyle name="Normal 24 5 13" xfId="21330" xr:uid="{00000000-0005-0000-0000-000028430000}"/>
    <cellStyle name="Normal 24 5 14" xfId="20733" xr:uid="{00000000-0005-0000-0000-000029430000}"/>
    <cellStyle name="Normal 24 5 15" xfId="20136" xr:uid="{00000000-0005-0000-0000-00002A430000}"/>
    <cellStyle name="Normal 24 5 16" xfId="19540" xr:uid="{00000000-0005-0000-0000-00002B430000}"/>
    <cellStyle name="Normal 24 5 17" xfId="18944" xr:uid="{00000000-0005-0000-0000-00002C430000}"/>
    <cellStyle name="Normal 24 5 18" xfId="18352" xr:uid="{00000000-0005-0000-0000-00002D430000}"/>
    <cellStyle name="Normal 24 5 19" xfId="17755" xr:uid="{00000000-0005-0000-0000-00002E430000}"/>
    <cellStyle name="Normal 24 5 2" xfId="27894" xr:uid="{00000000-0005-0000-0000-00002F430000}"/>
    <cellStyle name="Normal 24 5 20" xfId="15939" xr:uid="{00000000-0005-0000-0000-000030430000}"/>
    <cellStyle name="Normal 24 5 21" xfId="14846" xr:uid="{00000000-0005-0000-0000-000031430000}"/>
    <cellStyle name="Normal 24 5 22" xfId="16045" xr:uid="{00000000-0005-0000-0000-000032430000}"/>
    <cellStyle name="Normal 24 5 23" xfId="16811" xr:uid="{00000000-0005-0000-0000-000033430000}"/>
    <cellStyle name="Normal 24 5 24" xfId="15595" xr:uid="{00000000-0005-0000-0000-000034430000}"/>
    <cellStyle name="Normal 24 5 25" xfId="13770" xr:uid="{00000000-0005-0000-0000-000035430000}"/>
    <cellStyle name="Normal 24 5 26" xfId="12948" xr:uid="{00000000-0005-0000-0000-000036430000}"/>
    <cellStyle name="Normal 24 5 27" xfId="15234" xr:uid="{00000000-0005-0000-0000-000037430000}"/>
    <cellStyle name="Normal 24 5 28" xfId="12364" xr:uid="{00000000-0005-0000-0000-000038430000}"/>
    <cellStyle name="Normal 24 5 29" xfId="8514" xr:uid="{00000000-0005-0000-0000-000039430000}"/>
    <cellStyle name="Normal 24 5 3" xfId="27297" xr:uid="{00000000-0005-0000-0000-00003A430000}"/>
    <cellStyle name="Normal 24 5 30" xfId="10818" xr:uid="{00000000-0005-0000-0000-00003B430000}"/>
    <cellStyle name="Normal 24 5 31" xfId="9122" xr:uid="{00000000-0005-0000-0000-00003C430000}"/>
    <cellStyle name="Normal 24 5 32" xfId="5471" xr:uid="{00000000-0005-0000-0000-00003D430000}"/>
    <cellStyle name="Normal 24 5 33" xfId="9467" xr:uid="{00000000-0005-0000-0000-00003E430000}"/>
    <cellStyle name="Normal 24 5 34" xfId="11832" xr:uid="{00000000-0005-0000-0000-00003F430000}"/>
    <cellStyle name="Normal 24 5 35" xfId="6401" xr:uid="{00000000-0005-0000-0000-000040430000}"/>
    <cellStyle name="Normal 24 5 36" xfId="4654" xr:uid="{00000000-0005-0000-0000-000041430000}"/>
    <cellStyle name="Normal 24 5 37" xfId="12046" xr:uid="{00000000-0005-0000-0000-000042430000}"/>
    <cellStyle name="Normal 24 5 38" xfId="9150" xr:uid="{00000000-0005-0000-0000-000043430000}"/>
    <cellStyle name="Normal 24 5 39" xfId="3561" xr:uid="{00000000-0005-0000-0000-000044430000}"/>
    <cellStyle name="Normal 24 5 4" xfId="26700" xr:uid="{00000000-0005-0000-0000-000045430000}"/>
    <cellStyle name="Normal 24 5 40" xfId="9381" xr:uid="{00000000-0005-0000-0000-000046430000}"/>
    <cellStyle name="Normal 24 5 41" xfId="9703" xr:uid="{00000000-0005-0000-0000-000047430000}"/>
    <cellStyle name="Normal 24 5 42" xfId="3560" xr:uid="{00000000-0005-0000-0000-000048430000}"/>
    <cellStyle name="Normal 24 5 43" xfId="5733" xr:uid="{00000000-0005-0000-0000-000049430000}"/>
    <cellStyle name="Normal 24 5 44" xfId="2933" xr:uid="{00000000-0005-0000-0000-00004A430000}"/>
    <cellStyle name="Normal 24 5 45" xfId="2690" xr:uid="{00000000-0005-0000-0000-00004B430000}"/>
    <cellStyle name="Normal 24 5 46" xfId="2450" xr:uid="{00000000-0005-0000-0000-00004C430000}"/>
    <cellStyle name="Normal 24 5 47" xfId="2210" xr:uid="{00000000-0005-0000-0000-00004D430000}"/>
    <cellStyle name="Normal 24 5 48" xfId="1970" xr:uid="{00000000-0005-0000-0000-00004E430000}"/>
    <cellStyle name="Normal 24 5 49" xfId="1730" xr:uid="{00000000-0005-0000-0000-00004F430000}"/>
    <cellStyle name="Normal 24 5 5" xfId="26104" xr:uid="{00000000-0005-0000-0000-000050430000}"/>
    <cellStyle name="Normal 24 5 50" xfId="1491" xr:uid="{00000000-0005-0000-0000-000051430000}"/>
    <cellStyle name="Normal 24 5 51" xfId="1251" xr:uid="{00000000-0005-0000-0000-000052430000}"/>
    <cellStyle name="Normal 24 5 52" xfId="1011" xr:uid="{00000000-0005-0000-0000-000053430000}"/>
    <cellStyle name="Normal 24 5 53" xfId="771" xr:uid="{00000000-0005-0000-0000-000054430000}"/>
    <cellStyle name="Normal 24 5 54" xfId="531" xr:uid="{00000000-0005-0000-0000-000055430000}"/>
    <cellStyle name="Normal 24 5 55" xfId="292" xr:uid="{00000000-0005-0000-0000-000056430000}"/>
    <cellStyle name="Normal 24 5 56" xfId="54" xr:uid="{00000000-0005-0000-0000-000057430000}"/>
    <cellStyle name="Normal 24 5 6" xfId="25508" xr:uid="{00000000-0005-0000-0000-000058430000}"/>
    <cellStyle name="Normal 24 5 7" xfId="24911" xr:uid="{00000000-0005-0000-0000-000059430000}"/>
    <cellStyle name="Normal 24 5 8" xfId="24314" xr:uid="{00000000-0005-0000-0000-00005A430000}"/>
    <cellStyle name="Normal 24 5 9" xfId="23717" xr:uid="{00000000-0005-0000-0000-00005B430000}"/>
    <cellStyle name="Normal 24 50" xfId="15400" xr:uid="{00000000-0005-0000-0000-00005C430000}"/>
    <cellStyle name="Normal 24 51" xfId="16396" xr:uid="{00000000-0005-0000-0000-00005D430000}"/>
    <cellStyle name="Normal 24 52" xfId="13888" xr:uid="{00000000-0005-0000-0000-00005E430000}"/>
    <cellStyle name="Normal 24 53" xfId="12385" xr:uid="{00000000-0005-0000-0000-00005F430000}"/>
    <cellStyle name="Normal 24 54" xfId="9655" xr:uid="{00000000-0005-0000-0000-000060430000}"/>
    <cellStyle name="Normal 24 55" xfId="8928" xr:uid="{00000000-0005-0000-0000-000061430000}"/>
    <cellStyle name="Normal 24 56" xfId="7805" xr:uid="{00000000-0005-0000-0000-000062430000}"/>
    <cellStyle name="Normal 24 57" xfId="8047" xr:uid="{00000000-0005-0000-0000-000063430000}"/>
    <cellStyle name="Normal 24 58" xfId="5046" xr:uid="{00000000-0005-0000-0000-000064430000}"/>
    <cellStyle name="Normal 24 59" xfId="9089" xr:uid="{00000000-0005-0000-0000-000065430000}"/>
    <cellStyle name="Normal 24 6" xfId="28493" xr:uid="{00000000-0005-0000-0000-000066430000}"/>
    <cellStyle name="Normal 24 6 10" xfId="23119" xr:uid="{00000000-0005-0000-0000-000067430000}"/>
    <cellStyle name="Normal 24 6 11" xfId="22522" xr:uid="{00000000-0005-0000-0000-000068430000}"/>
    <cellStyle name="Normal 24 6 12" xfId="21926" xr:uid="{00000000-0005-0000-0000-000069430000}"/>
    <cellStyle name="Normal 24 6 13" xfId="21329" xr:uid="{00000000-0005-0000-0000-00006A430000}"/>
    <cellStyle name="Normal 24 6 14" xfId="20732" xr:uid="{00000000-0005-0000-0000-00006B430000}"/>
    <cellStyle name="Normal 24 6 15" xfId="20135" xr:uid="{00000000-0005-0000-0000-00006C430000}"/>
    <cellStyle name="Normal 24 6 16" xfId="19539" xr:uid="{00000000-0005-0000-0000-00006D430000}"/>
    <cellStyle name="Normal 24 6 17" xfId="18943" xr:uid="{00000000-0005-0000-0000-00006E430000}"/>
    <cellStyle name="Normal 24 6 18" xfId="18351" xr:uid="{00000000-0005-0000-0000-00006F430000}"/>
    <cellStyle name="Normal 24 6 19" xfId="17754" xr:uid="{00000000-0005-0000-0000-000070430000}"/>
    <cellStyle name="Normal 24 6 2" xfId="27893" xr:uid="{00000000-0005-0000-0000-000071430000}"/>
    <cellStyle name="Normal 24 6 20" xfId="16147" xr:uid="{00000000-0005-0000-0000-000072430000}"/>
    <cellStyle name="Normal 24 6 21" xfId="14248" xr:uid="{00000000-0005-0000-0000-000073430000}"/>
    <cellStyle name="Normal 24 6 22" xfId="16662" xr:uid="{00000000-0005-0000-0000-000074430000}"/>
    <cellStyle name="Normal 24 6 23" xfId="14820" xr:uid="{00000000-0005-0000-0000-000075430000}"/>
    <cellStyle name="Normal 24 6 24" xfId="14237" xr:uid="{00000000-0005-0000-0000-000076430000}"/>
    <cellStyle name="Normal 24 6 25" xfId="16598" xr:uid="{00000000-0005-0000-0000-000077430000}"/>
    <cellStyle name="Normal 24 6 26" xfId="16690" xr:uid="{00000000-0005-0000-0000-000078430000}"/>
    <cellStyle name="Normal 24 6 27" xfId="13461" xr:uid="{00000000-0005-0000-0000-000079430000}"/>
    <cellStyle name="Normal 24 6 28" xfId="12363" xr:uid="{00000000-0005-0000-0000-00007A430000}"/>
    <cellStyle name="Normal 24 6 29" xfId="8730" xr:uid="{00000000-0005-0000-0000-00007B430000}"/>
    <cellStyle name="Normal 24 6 3" xfId="27296" xr:uid="{00000000-0005-0000-0000-00007C430000}"/>
    <cellStyle name="Normal 24 6 30" xfId="5862" xr:uid="{00000000-0005-0000-0000-00007D430000}"/>
    <cellStyle name="Normal 24 6 31" xfId="11718" xr:uid="{00000000-0005-0000-0000-00007E430000}"/>
    <cellStyle name="Normal 24 6 32" xfId="8640" xr:uid="{00000000-0005-0000-0000-00007F430000}"/>
    <cellStyle name="Normal 24 6 33" xfId="5612" xr:uid="{00000000-0005-0000-0000-000080430000}"/>
    <cellStyle name="Normal 24 6 34" xfId="10731" xr:uid="{00000000-0005-0000-0000-000081430000}"/>
    <cellStyle name="Normal 24 6 35" xfId="4351" xr:uid="{00000000-0005-0000-0000-000082430000}"/>
    <cellStyle name="Normal 24 6 36" xfId="4272" xr:uid="{00000000-0005-0000-0000-000083430000}"/>
    <cellStyle name="Normal 24 6 37" xfId="5789" xr:uid="{00000000-0005-0000-0000-000084430000}"/>
    <cellStyle name="Normal 24 6 38" xfId="5262" xr:uid="{00000000-0005-0000-0000-000085430000}"/>
    <cellStyle name="Normal 24 6 39" xfId="3688" xr:uid="{00000000-0005-0000-0000-000086430000}"/>
    <cellStyle name="Normal 24 6 4" xfId="26699" xr:uid="{00000000-0005-0000-0000-000087430000}"/>
    <cellStyle name="Normal 24 6 40" xfId="9403" xr:uid="{00000000-0005-0000-0000-000088430000}"/>
    <cellStyle name="Normal 24 6 41" xfId="7646" xr:uid="{00000000-0005-0000-0000-000089430000}"/>
    <cellStyle name="Normal 24 6 42" xfId="7919" xr:uid="{00000000-0005-0000-0000-00008A430000}"/>
    <cellStyle name="Normal 24 6 43" xfId="3271" xr:uid="{00000000-0005-0000-0000-00008B430000}"/>
    <cellStyle name="Normal 24 6 44" xfId="2932" xr:uid="{00000000-0005-0000-0000-00008C430000}"/>
    <cellStyle name="Normal 24 6 45" xfId="2689" xr:uid="{00000000-0005-0000-0000-00008D430000}"/>
    <cellStyle name="Normal 24 6 46" xfId="2449" xr:uid="{00000000-0005-0000-0000-00008E430000}"/>
    <cellStyle name="Normal 24 6 47" xfId="2209" xr:uid="{00000000-0005-0000-0000-00008F430000}"/>
    <cellStyle name="Normal 24 6 48" xfId="1969" xr:uid="{00000000-0005-0000-0000-000090430000}"/>
    <cellStyle name="Normal 24 6 49" xfId="1729" xr:uid="{00000000-0005-0000-0000-000091430000}"/>
    <cellStyle name="Normal 24 6 5" xfId="26103" xr:uid="{00000000-0005-0000-0000-000092430000}"/>
    <cellStyle name="Normal 24 6 50" xfId="1490" xr:uid="{00000000-0005-0000-0000-000093430000}"/>
    <cellStyle name="Normal 24 6 51" xfId="1250" xr:uid="{00000000-0005-0000-0000-000094430000}"/>
    <cellStyle name="Normal 24 6 52" xfId="1010" xr:uid="{00000000-0005-0000-0000-000095430000}"/>
    <cellStyle name="Normal 24 6 53" xfId="770" xr:uid="{00000000-0005-0000-0000-000096430000}"/>
    <cellStyle name="Normal 24 6 54" xfId="530" xr:uid="{00000000-0005-0000-0000-000097430000}"/>
    <cellStyle name="Normal 24 6 55" xfId="291" xr:uid="{00000000-0005-0000-0000-000098430000}"/>
    <cellStyle name="Normal 24 6 56" xfId="53" xr:uid="{00000000-0005-0000-0000-000099430000}"/>
    <cellStyle name="Normal 24 6 6" xfId="25507" xr:uid="{00000000-0005-0000-0000-00009A430000}"/>
    <cellStyle name="Normal 24 6 7" xfId="24910" xr:uid="{00000000-0005-0000-0000-00009B430000}"/>
    <cellStyle name="Normal 24 6 8" xfId="24313" xr:uid="{00000000-0005-0000-0000-00009C430000}"/>
    <cellStyle name="Normal 24 6 9" xfId="23716" xr:uid="{00000000-0005-0000-0000-00009D430000}"/>
    <cellStyle name="Normal 24 60" xfId="11025" xr:uid="{00000000-0005-0000-0000-00009E430000}"/>
    <cellStyle name="Normal 24 61" xfId="9955" xr:uid="{00000000-0005-0000-0000-00009F430000}"/>
    <cellStyle name="Normal 24 62" xfId="11733" xr:uid="{00000000-0005-0000-0000-0000A0430000}"/>
    <cellStyle name="Normal 24 63" xfId="4713" xr:uid="{00000000-0005-0000-0000-0000A1430000}"/>
    <cellStyle name="Normal 24 64" xfId="9077" xr:uid="{00000000-0005-0000-0000-0000A2430000}"/>
    <cellStyle name="Normal 24 65" xfId="6172" xr:uid="{00000000-0005-0000-0000-0000A3430000}"/>
    <cellStyle name="Normal 24 66" xfId="8663" xr:uid="{00000000-0005-0000-0000-0000A4430000}"/>
    <cellStyle name="Normal 24 67" xfId="10051" xr:uid="{00000000-0005-0000-0000-0000A5430000}"/>
    <cellStyle name="Normal 24 68" xfId="8823" xr:uid="{00000000-0005-0000-0000-0000A6430000}"/>
    <cellStyle name="Normal 24 7" xfId="28492" xr:uid="{00000000-0005-0000-0000-0000A7430000}"/>
    <cellStyle name="Normal 24 7 10" xfId="23118" xr:uid="{00000000-0005-0000-0000-0000A8430000}"/>
    <cellStyle name="Normal 24 7 11" xfId="22521" xr:uid="{00000000-0005-0000-0000-0000A9430000}"/>
    <cellStyle name="Normal 24 7 12" xfId="21925" xr:uid="{00000000-0005-0000-0000-0000AA430000}"/>
    <cellStyle name="Normal 24 7 13" xfId="21328" xr:uid="{00000000-0005-0000-0000-0000AB430000}"/>
    <cellStyle name="Normal 24 7 14" xfId="20731" xr:uid="{00000000-0005-0000-0000-0000AC430000}"/>
    <cellStyle name="Normal 24 7 15" xfId="20134" xr:uid="{00000000-0005-0000-0000-0000AD430000}"/>
    <cellStyle name="Normal 24 7 16" xfId="19538" xr:uid="{00000000-0005-0000-0000-0000AE430000}"/>
    <cellStyle name="Normal 24 7 17" xfId="18942" xr:uid="{00000000-0005-0000-0000-0000AF430000}"/>
    <cellStyle name="Normal 24 7 18" xfId="18350" xr:uid="{00000000-0005-0000-0000-0000B0430000}"/>
    <cellStyle name="Normal 24 7 19" xfId="17753" xr:uid="{00000000-0005-0000-0000-0000B1430000}"/>
    <cellStyle name="Normal 24 7 2" xfId="27892" xr:uid="{00000000-0005-0000-0000-0000B2430000}"/>
    <cellStyle name="Normal 24 7 20" xfId="16348" xr:uid="{00000000-0005-0000-0000-0000B3430000}"/>
    <cellStyle name="Normal 24 7 21" xfId="17224" xr:uid="{00000000-0005-0000-0000-0000B4430000}"/>
    <cellStyle name="Normal 24 7 22" xfId="16853" xr:uid="{00000000-0005-0000-0000-0000B5430000}"/>
    <cellStyle name="Normal 24 7 23" xfId="15035" xr:uid="{00000000-0005-0000-0000-0000B6430000}"/>
    <cellStyle name="Normal 24 7 24" xfId="13912" xr:uid="{00000000-0005-0000-0000-0000B7430000}"/>
    <cellStyle name="Normal 24 7 25" xfId="12969" xr:uid="{00000000-0005-0000-0000-0000B8430000}"/>
    <cellStyle name="Normal 24 7 26" xfId="17081" xr:uid="{00000000-0005-0000-0000-0000B9430000}"/>
    <cellStyle name="Normal 24 7 27" xfId="16430" xr:uid="{00000000-0005-0000-0000-0000BA430000}"/>
    <cellStyle name="Normal 24 7 28" xfId="12362" xr:uid="{00000000-0005-0000-0000-0000BB430000}"/>
    <cellStyle name="Normal 24 7 29" xfId="8968" xr:uid="{00000000-0005-0000-0000-0000BC430000}"/>
    <cellStyle name="Normal 24 7 3" xfId="27295" xr:uid="{00000000-0005-0000-0000-0000BD430000}"/>
    <cellStyle name="Normal 24 7 30" xfId="11445" xr:uid="{00000000-0005-0000-0000-0000BE430000}"/>
    <cellStyle name="Normal 24 7 31" xfId="6294" xr:uid="{00000000-0005-0000-0000-0000BF430000}"/>
    <cellStyle name="Normal 24 7 32" xfId="8133" xr:uid="{00000000-0005-0000-0000-0000C0430000}"/>
    <cellStyle name="Normal 24 7 33" xfId="7413" xr:uid="{00000000-0005-0000-0000-0000C1430000}"/>
    <cellStyle name="Normal 24 7 34" xfId="9774" xr:uid="{00000000-0005-0000-0000-0000C2430000}"/>
    <cellStyle name="Normal 24 7 35" xfId="5536" xr:uid="{00000000-0005-0000-0000-0000C3430000}"/>
    <cellStyle name="Normal 24 7 36" xfId="4974" xr:uid="{00000000-0005-0000-0000-0000C4430000}"/>
    <cellStyle name="Normal 24 7 37" xfId="4725" xr:uid="{00000000-0005-0000-0000-0000C5430000}"/>
    <cellStyle name="Normal 24 7 38" xfId="3642" xr:uid="{00000000-0005-0000-0000-0000C6430000}"/>
    <cellStyle name="Normal 24 7 39" xfId="3553" xr:uid="{00000000-0005-0000-0000-0000C7430000}"/>
    <cellStyle name="Normal 24 7 4" xfId="26698" xr:uid="{00000000-0005-0000-0000-0000C8430000}"/>
    <cellStyle name="Normal 24 7 40" xfId="7510" xr:uid="{00000000-0005-0000-0000-0000C9430000}"/>
    <cellStyle name="Normal 24 7 41" xfId="5521" xr:uid="{00000000-0005-0000-0000-0000CA430000}"/>
    <cellStyle name="Normal 24 7 42" xfId="3162" xr:uid="{00000000-0005-0000-0000-0000CB430000}"/>
    <cellStyle name="Normal 24 7 43" xfId="3428" xr:uid="{00000000-0005-0000-0000-0000CC430000}"/>
    <cellStyle name="Normal 24 7 44" xfId="2931" xr:uid="{00000000-0005-0000-0000-0000CD430000}"/>
    <cellStyle name="Normal 24 7 45" xfId="2688" xr:uid="{00000000-0005-0000-0000-0000CE430000}"/>
    <cellStyle name="Normal 24 7 46" xfId="2448" xr:uid="{00000000-0005-0000-0000-0000CF430000}"/>
    <cellStyle name="Normal 24 7 47" xfId="2208" xr:uid="{00000000-0005-0000-0000-0000D0430000}"/>
    <cellStyle name="Normal 24 7 48" xfId="1968" xr:uid="{00000000-0005-0000-0000-0000D1430000}"/>
    <cellStyle name="Normal 24 7 49" xfId="1728" xr:uid="{00000000-0005-0000-0000-0000D2430000}"/>
    <cellStyle name="Normal 24 7 5" xfId="26102" xr:uid="{00000000-0005-0000-0000-0000D3430000}"/>
    <cellStyle name="Normal 24 7 50" xfId="1489" xr:uid="{00000000-0005-0000-0000-0000D4430000}"/>
    <cellStyle name="Normal 24 7 51" xfId="1249" xr:uid="{00000000-0005-0000-0000-0000D5430000}"/>
    <cellStyle name="Normal 24 7 52" xfId="1009" xr:uid="{00000000-0005-0000-0000-0000D6430000}"/>
    <cellStyle name="Normal 24 7 53" xfId="769" xr:uid="{00000000-0005-0000-0000-0000D7430000}"/>
    <cellStyle name="Normal 24 7 54" xfId="529" xr:uid="{00000000-0005-0000-0000-0000D8430000}"/>
    <cellStyle name="Normal 24 7 55" xfId="290" xr:uid="{00000000-0005-0000-0000-0000D9430000}"/>
    <cellStyle name="Normal 24 7 56" xfId="52" xr:uid="{00000000-0005-0000-0000-0000DA430000}"/>
    <cellStyle name="Normal 24 7 6" xfId="25506" xr:uid="{00000000-0005-0000-0000-0000DB430000}"/>
    <cellStyle name="Normal 24 7 7" xfId="24909" xr:uid="{00000000-0005-0000-0000-0000DC430000}"/>
    <cellStyle name="Normal 24 7 8" xfId="24312" xr:uid="{00000000-0005-0000-0000-0000DD430000}"/>
    <cellStyle name="Normal 24 7 9" xfId="23715" xr:uid="{00000000-0005-0000-0000-0000DE430000}"/>
    <cellStyle name="Normal 24 8" xfId="28491" xr:uid="{00000000-0005-0000-0000-0000DF430000}"/>
    <cellStyle name="Normal 24 8 10" xfId="23117" xr:uid="{00000000-0005-0000-0000-0000E0430000}"/>
    <cellStyle name="Normal 24 8 11" xfId="22520" xr:uid="{00000000-0005-0000-0000-0000E1430000}"/>
    <cellStyle name="Normal 24 8 12" xfId="21924" xr:uid="{00000000-0005-0000-0000-0000E2430000}"/>
    <cellStyle name="Normal 24 8 13" xfId="21327" xr:uid="{00000000-0005-0000-0000-0000E3430000}"/>
    <cellStyle name="Normal 24 8 14" xfId="20730" xr:uid="{00000000-0005-0000-0000-0000E4430000}"/>
    <cellStyle name="Normal 24 8 15" xfId="20133" xr:uid="{00000000-0005-0000-0000-0000E5430000}"/>
    <cellStyle name="Normal 24 8 16" xfId="19537" xr:uid="{00000000-0005-0000-0000-0000E6430000}"/>
    <cellStyle name="Normal 24 8 17" xfId="18941" xr:uid="{00000000-0005-0000-0000-0000E7430000}"/>
    <cellStyle name="Normal 24 8 18" xfId="18349" xr:uid="{00000000-0005-0000-0000-0000E8430000}"/>
    <cellStyle name="Normal 24 8 19" xfId="17752" xr:uid="{00000000-0005-0000-0000-0000E9430000}"/>
    <cellStyle name="Normal 24 8 2" xfId="27891" xr:uid="{00000000-0005-0000-0000-0000EA430000}"/>
    <cellStyle name="Normal 24 8 20" xfId="16538" xr:uid="{00000000-0005-0000-0000-0000EB430000}"/>
    <cellStyle name="Normal 24 8 21" xfId="16807" xr:uid="{00000000-0005-0000-0000-0000EC430000}"/>
    <cellStyle name="Normal 24 8 22" xfId="14488" xr:uid="{00000000-0005-0000-0000-0000ED430000}"/>
    <cellStyle name="Normal 24 8 23" xfId="14558" xr:uid="{00000000-0005-0000-0000-0000EE430000}"/>
    <cellStyle name="Normal 24 8 24" xfId="16302" xr:uid="{00000000-0005-0000-0000-0000EF430000}"/>
    <cellStyle name="Normal 24 8 25" xfId="12897" xr:uid="{00000000-0005-0000-0000-0000F0430000}"/>
    <cellStyle name="Normal 24 8 26" xfId="15394" xr:uid="{00000000-0005-0000-0000-0000F1430000}"/>
    <cellStyle name="Normal 24 8 27" xfId="13061" xr:uid="{00000000-0005-0000-0000-0000F2430000}"/>
    <cellStyle name="Normal 24 8 28" xfId="12361" xr:uid="{00000000-0005-0000-0000-0000F3430000}"/>
    <cellStyle name="Normal 24 8 29" xfId="9203" xr:uid="{00000000-0005-0000-0000-0000F4430000}"/>
    <cellStyle name="Normal 24 8 3" xfId="27294" xr:uid="{00000000-0005-0000-0000-0000F5430000}"/>
    <cellStyle name="Normal 24 8 30" xfId="6389" xr:uid="{00000000-0005-0000-0000-0000F6430000}"/>
    <cellStyle name="Normal 24 8 31" xfId="7010" xr:uid="{00000000-0005-0000-0000-0000F7430000}"/>
    <cellStyle name="Normal 24 8 32" xfId="7776" xr:uid="{00000000-0005-0000-0000-0000F8430000}"/>
    <cellStyle name="Normal 24 8 33" xfId="5282" xr:uid="{00000000-0005-0000-0000-0000F9430000}"/>
    <cellStyle name="Normal 24 8 34" xfId="5130" xr:uid="{00000000-0005-0000-0000-0000FA430000}"/>
    <cellStyle name="Normal 24 8 35" xfId="4526" xr:uid="{00000000-0005-0000-0000-0000FB430000}"/>
    <cellStyle name="Normal 24 8 36" xfId="4664" xr:uid="{00000000-0005-0000-0000-0000FC430000}"/>
    <cellStyle name="Normal 24 8 37" xfId="4743" xr:uid="{00000000-0005-0000-0000-0000FD430000}"/>
    <cellStyle name="Normal 24 8 38" xfId="3612" xr:uid="{00000000-0005-0000-0000-0000FE430000}"/>
    <cellStyle name="Normal 24 8 39" xfId="4700" xr:uid="{00000000-0005-0000-0000-0000FF430000}"/>
    <cellStyle name="Normal 24 8 4" xfId="26697" xr:uid="{00000000-0005-0000-0000-000000440000}"/>
    <cellStyle name="Normal 24 8 40" xfId="5117" xr:uid="{00000000-0005-0000-0000-000001440000}"/>
    <cellStyle name="Normal 24 8 41" xfId="5410" xr:uid="{00000000-0005-0000-0000-000002440000}"/>
    <cellStyle name="Normal 24 8 42" xfId="9750" xr:uid="{00000000-0005-0000-0000-000003440000}"/>
    <cellStyle name="Normal 24 8 43" xfId="3791" xr:uid="{00000000-0005-0000-0000-000004440000}"/>
    <cellStyle name="Normal 24 8 44" xfId="2930" xr:uid="{00000000-0005-0000-0000-000005440000}"/>
    <cellStyle name="Normal 24 8 45" xfId="2687" xr:uid="{00000000-0005-0000-0000-000006440000}"/>
    <cellStyle name="Normal 24 8 46" xfId="2447" xr:uid="{00000000-0005-0000-0000-000007440000}"/>
    <cellStyle name="Normal 24 8 47" xfId="2207" xr:uid="{00000000-0005-0000-0000-000008440000}"/>
    <cellStyle name="Normal 24 8 48" xfId="1967" xr:uid="{00000000-0005-0000-0000-000009440000}"/>
    <cellStyle name="Normal 24 8 49" xfId="1727" xr:uid="{00000000-0005-0000-0000-00000A440000}"/>
    <cellStyle name="Normal 24 8 5" xfId="26101" xr:uid="{00000000-0005-0000-0000-00000B440000}"/>
    <cellStyle name="Normal 24 8 50" xfId="1488" xr:uid="{00000000-0005-0000-0000-00000C440000}"/>
    <cellStyle name="Normal 24 8 51" xfId="1248" xr:uid="{00000000-0005-0000-0000-00000D440000}"/>
    <cellStyle name="Normal 24 8 52" xfId="1008" xr:uid="{00000000-0005-0000-0000-00000E440000}"/>
    <cellStyle name="Normal 24 8 53" xfId="768" xr:uid="{00000000-0005-0000-0000-00000F440000}"/>
    <cellStyle name="Normal 24 8 54" xfId="528" xr:uid="{00000000-0005-0000-0000-000010440000}"/>
    <cellStyle name="Normal 24 8 55" xfId="289" xr:uid="{00000000-0005-0000-0000-000011440000}"/>
    <cellStyle name="Normal 24 8 56" xfId="51" xr:uid="{00000000-0005-0000-0000-000012440000}"/>
    <cellStyle name="Normal 24 8 6" xfId="25505" xr:uid="{00000000-0005-0000-0000-000013440000}"/>
    <cellStyle name="Normal 24 8 7" xfId="24908" xr:uid="{00000000-0005-0000-0000-000014440000}"/>
    <cellStyle name="Normal 24 8 8" xfId="24311" xr:uid="{00000000-0005-0000-0000-000015440000}"/>
    <cellStyle name="Normal 24 8 9" xfId="23714" xr:uid="{00000000-0005-0000-0000-000016440000}"/>
    <cellStyle name="Normal 24 9" xfId="28490" xr:uid="{00000000-0005-0000-0000-000017440000}"/>
    <cellStyle name="Normal 24 9 10" xfId="23116" xr:uid="{00000000-0005-0000-0000-000018440000}"/>
    <cellStyle name="Normal 24 9 11" xfId="22519" xr:uid="{00000000-0005-0000-0000-000019440000}"/>
    <cellStyle name="Normal 24 9 12" xfId="21923" xr:uid="{00000000-0005-0000-0000-00001A440000}"/>
    <cellStyle name="Normal 24 9 13" xfId="21326" xr:uid="{00000000-0005-0000-0000-00001B440000}"/>
    <cellStyle name="Normal 24 9 14" xfId="20729" xr:uid="{00000000-0005-0000-0000-00001C440000}"/>
    <cellStyle name="Normal 24 9 15" xfId="20132" xr:uid="{00000000-0005-0000-0000-00001D440000}"/>
    <cellStyle name="Normal 24 9 16" xfId="19536" xr:uid="{00000000-0005-0000-0000-00001E440000}"/>
    <cellStyle name="Normal 24 9 17" xfId="18940" xr:uid="{00000000-0005-0000-0000-00001F440000}"/>
    <cellStyle name="Normal 24 9 18" xfId="18348" xr:uid="{00000000-0005-0000-0000-000020440000}"/>
    <cellStyle name="Normal 24 9 19" xfId="17751" xr:uid="{00000000-0005-0000-0000-000021440000}"/>
    <cellStyle name="Normal 24 9 2" xfId="27890" xr:uid="{00000000-0005-0000-0000-000022440000}"/>
    <cellStyle name="Normal 24 9 20" xfId="16732" xr:uid="{00000000-0005-0000-0000-000023440000}"/>
    <cellStyle name="Normal 24 9 21" xfId="16415" xr:uid="{00000000-0005-0000-0000-000024440000}"/>
    <cellStyle name="Normal 24 9 22" xfId="14518" xr:uid="{00000000-0005-0000-0000-000025440000}"/>
    <cellStyle name="Normal 24 9 23" xfId="13502" xr:uid="{00000000-0005-0000-0000-000026440000}"/>
    <cellStyle name="Normal 24 9 24" xfId="15411" xr:uid="{00000000-0005-0000-0000-000027440000}"/>
    <cellStyle name="Normal 24 9 25" xfId="12954" xr:uid="{00000000-0005-0000-0000-000028440000}"/>
    <cellStyle name="Normal 24 9 26" xfId="14997" xr:uid="{00000000-0005-0000-0000-000029440000}"/>
    <cellStyle name="Normal 24 9 27" xfId="15985" xr:uid="{00000000-0005-0000-0000-00002A440000}"/>
    <cellStyle name="Normal 24 9 28" xfId="12360" xr:uid="{00000000-0005-0000-0000-00002B440000}"/>
    <cellStyle name="Normal 24 9 29" xfId="9436" xr:uid="{00000000-0005-0000-0000-00002C440000}"/>
    <cellStyle name="Normal 24 9 3" xfId="27293" xr:uid="{00000000-0005-0000-0000-00002D440000}"/>
    <cellStyle name="Normal 24 9 30" xfId="7531" xr:uid="{00000000-0005-0000-0000-00002E440000}"/>
    <cellStyle name="Normal 24 9 31" xfId="11521" xr:uid="{00000000-0005-0000-0000-00002F440000}"/>
    <cellStyle name="Normal 24 9 32" xfId="8190" xr:uid="{00000000-0005-0000-0000-000030440000}"/>
    <cellStyle name="Normal 24 9 33" xfId="10534" xr:uid="{00000000-0005-0000-0000-000031440000}"/>
    <cellStyle name="Normal 24 9 34" xfId="5578" xr:uid="{00000000-0005-0000-0000-000032440000}"/>
    <cellStyle name="Normal 24 9 35" xfId="4324" xr:uid="{00000000-0005-0000-0000-000033440000}"/>
    <cellStyle name="Normal 24 9 36" xfId="5313" xr:uid="{00000000-0005-0000-0000-000034440000}"/>
    <cellStyle name="Normal 24 9 37" xfId="10037" xr:uid="{00000000-0005-0000-0000-000035440000}"/>
    <cellStyle name="Normal 24 9 38" xfId="6965" xr:uid="{00000000-0005-0000-0000-000036440000}"/>
    <cellStyle name="Normal 24 9 39" xfId="5145" xr:uid="{00000000-0005-0000-0000-000037440000}"/>
    <cellStyle name="Normal 24 9 4" xfId="26696" xr:uid="{00000000-0005-0000-0000-000038440000}"/>
    <cellStyle name="Normal 24 9 40" xfId="4151" xr:uid="{00000000-0005-0000-0000-000039440000}"/>
    <cellStyle name="Normal 24 9 41" xfId="6308" xr:uid="{00000000-0005-0000-0000-00003A440000}"/>
    <cellStyle name="Normal 24 9 42" xfId="9540" xr:uid="{00000000-0005-0000-0000-00003B440000}"/>
    <cellStyle name="Normal 24 9 43" xfId="5219" xr:uid="{00000000-0005-0000-0000-00003C440000}"/>
    <cellStyle name="Normal 24 9 44" xfId="2929" xr:uid="{00000000-0005-0000-0000-00003D440000}"/>
    <cellStyle name="Normal 24 9 45" xfId="2686" xr:uid="{00000000-0005-0000-0000-00003E440000}"/>
    <cellStyle name="Normal 24 9 46" xfId="2446" xr:uid="{00000000-0005-0000-0000-00003F440000}"/>
    <cellStyle name="Normal 24 9 47" xfId="2206" xr:uid="{00000000-0005-0000-0000-000040440000}"/>
    <cellStyle name="Normal 24 9 48" xfId="1966" xr:uid="{00000000-0005-0000-0000-000041440000}"/>
    <cellStyle name="Normal 24 9 49" xfId="1726" xr:uid="{00000000-0005-0000-0000-000042440000}"/>
    <cellStyle name="Normal 24 9 5" xfId="26100" xr:uid="{00000000-0005-0000-0000-000043440000}"/>
    <cellStyle name="Normal 24 9 50" xfId="1487" xr:uid="{00000000-0005-0000-0000-000044440000}"/>
    <cellStyle name="Normal 24 9 51" xfId="1247" xr:uid="{00000000-0005-0000-0000-000045440000}"/>
    <cellStyle name="Normal 24 9 52" xfId="1007" xr:uid="{00000000-0005-0000-0000-000046440000}"/>
    <cellStyle name="Normal 24 9 53" xfId="767" xr:uid="{00000000-0005-0000-0000-000047440000}"/>
    <cellStyle name="Normal 24 9 54" xfId="527" xr:uid="{00000000-0005-0000-0000-000048440000}"/>
    <cellStyle name="Normal 24 9 55" xfId="288" xr:uid="{00000000-0005-0000-0000-000049440000}"/>
    <cellStyle name="Normal 24 9 56" xfId="50" xr:uid="{00000000-0005-0000-0000-00004A440000}"/>
    <cellStyle name="Normal 24 9 6" xfId="25504" xr:uid="{00000000-0005-0000-0000-00004B440000}"/>
    <cellStyle name="Normal 24 9 7" xfId="24907" xr:uid="{00000000-0005-0000-0000-00004C440000}"/>
    <cellStyle name="Normal 24 9 8" xfId="24310" xr:uid="{00000000-0005-0000-0000-00004D440000}"/>
    <cellStyle name="Normal 24 9 9" xfId="23713" xr:uid="{00000000-0005-0000-0000-00004E440000}"/>
    <cellStyle name="Normal 25" xfId="28489" xr:uid="{00000000-0005-0000-0000-00004F440000}"/>
    <cellStyle name="Normal 25 10" xfId="28488" xr:uid="{00000000-0005-0000-0000-000050440000}"/>
    <cellStyle name="Normal 25 10 10" xfId="23114" xr:uid="{00000000-0005-0000-0000-000051440000}"/>
    <cellStyle name="Normal 25 10 11" xfId="22517" xr:uid="{00000000-0005-0000-0000-000052440000}"/>
    <cellStyle name="Normal 25 10 12" xfId="21921" xr:uid="{00000000-0005-0000-0000-000053440000}"/>
    <cellStyle name="Normal 25 10 13" xfId="21324" xr:uid="{00000000-0005-0000-0000-000054440000}"/>
    <cellStyle name="Normal 25 10 14" xfId="20727" xr:uid="{00000000-0005-0000-0000-000055440000}"/>
    <cellStyle name="Normal 25 10 15" xfId="20130" xr:uid="{00000000-0005-0000-0000-000056440000}"/>
    <cellStyle name="Normal 25 10 16" xfId="19534" xr:uid="{00000000-0005-0000-0000-000057440000}"/>
    <cellStyle name="Normal 25 10 17" xfId="18938" xr:uid="{00000000-0005-0000-0000-000058440000}"/>
    <cellStyle name="Normal 25 10 18" xfId="18346" xr:uid="{00000000-0005-0000-0000-000059440000}"/>
    <cellStyle name="Normal 25 10 19" xfId="17749" xr:uid="{00000000-0005-0000-0000-00005A440000}"/>
    <cellStyle name="Normal 25 10 2" xfId="27888" xr:uid="{00000000-0005-0000-0000-00005B440000}"/>
    <cellStyle name="Normal 25 10 20" xfId="17136" xr:uid="{00000000-0005-0000-0000-00005C440000}"/>
    <cellStyle name="Normal 25 10 21" xfId="17186" xr:uid="{00000000-0005-0000-0000-00005D440000}"/>
    <cellStyle name="Normal 25 10 22" xfId="16582" xr:uid="{00000000-0005-0000-0000-00005E440000}"/>
    <cellStyle name="Normal 25 10 23" xfId="13857" xr:uid="{00000000-0005-0000-0000-00005F440000}"/>
    <cellStyle name="Normal 25 10 24" xfId="13364" xr:uid="{00000000-0005-0000-0000-000060440000}"/>
    <cellStyle name="Normal 25 10 25" xfId="13151" xr:uid="{00000000-0005-0000-0000-000061440000}"/>
    <cellStyle name="Normal 25 10 26" xfId="14601" xr:uid="{00000000-0005-0000-0000-000062440000}"/>
    <cellStyle name="Normal 25 10 27" xfId="16974" xr:uid="{00000000-0005-0000-0000-000063440000}"/>
    <cellStyle name="Normal 25 10 28" xfId="12358" xr:uid="{00000000-0005-0000-0000-000064440000}"/>
    <cellStyle name="Normal 25 10 29" xfId="9887" xr:uid="{00000000-0005-0000-0000-000065440000}"/>
    <cellStyle name="Normal 25 10 3" xfId="27291" xr:uid="{00000000-0005-0000-0000-000066440000}"/>
    <cellStyle name="Normal 25 10 30" xfId="10045" xr:uid="{00000000-0005-0000-0000-000067440000}"/>
    <cellStyle name="Normal 25 10 31" xfId="9492" xr:uid="{00000000-0005-0000-0000-000068440000}"/>
    <cellStyle name="Normal 25 10 32" xfId="9461" xr:uid="{00000000-0005-0000-0000-000069440000}"/>
    <cellStyle name="Normal 25 10 33" xfId="11151" xr:uid="{00000000-0005-0000-0000-00006A440000}"/>
    <cellStyle name="Normal 25 10 34" xfId="4770" xr:uid="{00000000-0005-0000-0000-00006B440000}"/>
    <cellStyle name="Normal 25 10 35" xfId="4387" xr:uid="{00000000-0005-0000-0000-00006C440000}"/>
    <cellStyle name="Normal 25 10 36" xfId="6898" xr:uid="{00000000-0005-0000-0000-00006D440000}"/>
    <cellStyle name="Normal 25 10 37" xfId="9501" xr:uid="{00000000-0005-0000-0000-00006E440000}"/>
    <cellStyle name="Normal 25 10 38" xfId="4502" xr:uid="{00000000-0005-0000-0000-00006F440000}"/>
    <cellStyle name="Normal 25 10 39" xfId="4396" xr:uid="{00000000-0005-0000-0000-000070440000}"/>
    <cellStyle name="Normal 25 10 4" xfId="26694" xr:uid="{00000000-0005-0000-0000-000071440000}"/>
    <cellStyle name="Normal 25 10 40" xfId="3595" xr:uid="{00000000-0005-0000-0000-000072440000}"/>
    <cellStyle name="Normal 25 10 41" xfId="9523" xr:uid="{00000000-0005-0000-0000-000073440000}"/>
    <cellStyle name="Normal 25 10 42" xfId="8710" xr:uid="{00000000-0005-0000-0000-000074440000}"/>
    <cellStyle name="Normal 25 10 43" xfId="6723" xr:uid="{00000000-0005-0000-0000-000075440000}"/>
    <cellStyle name="Normal 25 10 44" xfId="2928" xr:uid="{00000000-0005-0000-0000-000076440000}"/>
    <cellStyle name="Normal 25 10 45" xfId="2685" xr:uid="{00000000-0005-0000-0000-000077440000}"/>
    <cellStyle name="Normal 25 10 46" xfId="2445" xr:uid="{00000000-0005-0000-0000-000078440000}"/>
    <cellStyle name="Normal 25 10 47" xfId="2205" xr:uid="{00000000-0005-0000-0000-000079440000}"/>
    <cellStyle name="Normal 25 10 48" xfId="1965" xr:uid="{00000000-0005-0000-0000-00007A440000}"/>
    <cellStyle name="Normal 25 10 49" xfId="1725" xr:uid="{00000000-0005-0000-0000-00007B440000}"/>
    <cellStyle name="Normal 25 10 5" xfId="26098" xr:uid="{00000000-0005-0000-0000-00007C440000}"/>
    <cellStyle name="Normal 25 10 50" xfId="1486" xr:uid="{00000000-0005-0000-0000-00007D440000}"/>
    <cellStyle name="Normal 25 10 51" xfId="1246" xr:uid="{00000000-0005-0000-0000-00007E440000}"/>
    <cellStyle name="Normal 25 10 52" xfId="1006" xr:uid="{00000000-0005-0000-0000-00007F440000}"/>
    <cellStyle name="Normal 25 10 53" xfId="766" xr:uid="{00000000-0005-0000-0000-000080440000}"/>
    <cellStyle name="Normal 25 10 54" xfId="526" xr:uid="{00000000-0005-0000-0000-000081440000}"/>
    <cellStyle name="Normal 25 10 55" xfId="287" xr:uid="{00000000-0005-0000-0000-000082440000}"/>
    <cellStyle name="Normal 25 10 56" xfId="49" xr:uid="{00000000-0005-0000-0000-000083440000}"/>
    <cellStyle name="Normal 25 10 6" xfId="25502" xr:uid="{00000000-0005-0000-0000-000084440000}"/>
    <cellStyle name="Normal 25 10 7" xfId="24905" xr:uid="{00000000-0005-0000-0000-000085440000}"/>
    <cellStyle name="Normal 25 10 8" xfId="24308" xr:uid="{00000000-0005-0000-0000-000086440000}"/>
    <cellStyle name="Normal 25 10 9" xfId="23711" xr:uid="{00000000-0005-0000-0000-000087440000}"/>
    <cellStyle name="Normal 25 11" xfId="28487" xr:uid="{00000000-0005-0000-0000-000088440000}"/>
    <cellStyle name="Normal 25 11 10" xfId="23113" xr:uid="{00000000-0005-0000-0000-000089440000}"/>
    <cellStyle name="Normal 25 11 11" xfId="22516" xr:uid="{00000000-0005-0000-0000-00008A440000}"/>
    <cellStyle name="Normal 25 11 12" xfId="21920" xr:uid="{00000000-0005-0000-0000-00008B440000}"/>
    <cellStyle name="Normal 25 11 13" xfId="21323" xr:uid="{00000000-0005-0000-0000-00008C440000}"/>
    <cellStyle name="Normal 25 11 14" xfId="20726" xr:uid="{00000000-0005-0000-0000-00008D440000}"/>
    <cellStyle name="Normal 25 11 15" xfId="20129" xr:uid="{00000000-0005-0000-0000-00008E440000}"/>
    <cellStyle name="Normal 25 11 16" xfId="19533" xr:uid="{00000000-0005-0000-0000-00008F440000}"/>
    <cellStyle name="Normal 25 11 17" xfId="18937" xr:uid="{00000000-0005-0000-0000-000090440000}"/>
    <cellStyle name="Normal 25 11 18" xfId="18345" xr:uid="{00000000-0005-0000-0000-000091440000}"/>
    <cellStyle name="Normal 25 11 19" xfId="17748" xr:uid="{00000000-0005-0000-0000-000092440000}"/>
    <cellStyle name="Normal 25 11 2" xfId="27887" xr:uid="{00000000-0005-0000-0000-000093440000}"/>
    <cellStyle name="Normal 25 11 20" xfId="17329" xr:uid="{00000000-0005-0000-0000-000094440000}"/>
    <cellStyle name="Normal 25 11 21" xfId="16768" xr:uid="{00000000-0005-0000-0000-000095440000}"/>
    <cellStyle name="Normal 25 11 22" xfId="15794" xr:uid="{00000000-0005-0000-0000-000096440000}"/>
    <cellStyle name="Normal 25 11 23" xfId="14642" xr:uid="{00000000-0005-0000-0000-000097440000}"/>
    <cellStyle name="Normal 25 11 24" xfId="13045" xr:uid="{00000000-0005-0000-0000-000098440000}"/>
    <cellStyle name="Normal 25 11 25" xfId="14094" xr:uid="{00000000-0005-0000-0000-000099440000}"/>
    <cellStyle name="Normal 25 11 26" xfId="14509" xr:uid="{00000000-0005-0000-0000-00009A440000}"/>
    <cellStyle name="Normal 25 11 27" xfId="13536" xr:uid="{00000000-0005-0000-0000-00009B440000}"/>
    <cellStyle name="Normal 25 11 28" xfId="12357" xr:uid="{00000000-0005-0000-0000-00009C440000}"/>
    <cellStyle name="Normal 25 11 29" xfId="10122" xr:uid="{00000000-0005-0000-0000-00009D440000}"/>
    <cellStyle name="Normal 25 11 3" xfId="27290" xr:uid="{00000000-0005-0000-0000-00009E440000}"/>
    <cellStyle name="Normal 25 11 30" xfId="8701" xr:uid="{00000000-0005-0000-0000-00009F440000}"/>
    <cellStyle name="Normal 25 11 31" xfId="7332" xr:uid="{00000000-0005-0000-0000-0000A0440000}"/>
    <cellStyle name="Normal 25 11 32" xfId="8130" xr:uid="{00000000-0005-0000-0000-0000A1440000}"/>
    <cellStyle name="Normal 25 11 33" xfId="6017" xr:uid="{00000000-0005-0000-0000-0000A2440000}"/>
    <cellStyle name="Normal 25 11 34" xfId="6132" xr:uid="{00000000-0005-0000-0000-0000A3440000}"/>
    <cellStyle name="Normal 25 11 35" xfId="7096" xr:uid="{00000000-0005-0000-0000-0000A4440000}"/>
    <cellStyle name="Normal 25 11 36" xfId="9960" xr:uid="{00000000-0005-0000-0000-0000A5440000}"/>
    <cellStyle name="Normal 25 11 37" xfId="5955" xr:uid="{00000000-0005-0000-0000-0000A6440000}"/>
    <cellStyle name="Normal 25 11 38" xfId="10024" xr:uid="{00000000-0005-0000-0000-0000A7440000}"/>
    <cellStyle name="Normal 25 11 39" xfId="9037" xr:uid="{00000000-0005-0000-0000-0000A8440000}"/>
    <cellStyle name="Normal 25 11 4" xfId="26693" xr:uid="{00000000-0005-0000-0000-0000A9440000}"/>
    <cellStyle name="Normal 25 11 40" xfId="7544" xr:uid="{00000000-0005-0000-0000-0000AA440000}"/>
    <cellStyle name="Normal 25 11 41" xfId="6230" xr:uid="{00000000-0005-0000-0000-0000AB440000}"/>
    <cellStyle name="Normal 25 11 42" xfId="6716" xr:uid="{00000000-0005-0000-0000-0000AC440000}"/>
    <cellStyle name="Normal 25 11 43" xfId="3809" xr:uid="{00000000-0005-0000-0000-0000AD440000}"/>
    <cellStyle name="Normal 25 11 44" xfId="2927" xr:uid="{00000000-0005-0000-0000-0000AE440000}"/>
    <cellStyle name="Normal 25 11 45" xfId="2684" xr:uid="{00000000-0005-0000-0000-0000AF440000}"/>
    <cellStyle name="Normal 25 11 46" xfId="2444" xr:uid="{00000000-0005-0000-0000-0000B0440000}"/>
    <cellStyle name="Normal 25 11 47" xfId="2204" xr:uid="{00000000-0005-0000-0000-0000B1440000}"/>
    <cellStyle name="Normal 25 11 48" xfId="1964" xr:uid="{00000000-0005-0000-0000-0000B2440000}"/>
    <cellStyle name="Normal 25 11 49" xfId="1724" xr:uid="{00000000-0005-0000-0000-0000B3440000}"/>
    <cellStyle name="Normal 25 11 5" xfId="26097" xr:uid="{00000000-0005-0000-0000-0000B4440000}"/>
    <cellStyle name="Normal 25 11 50" xfId="1485" xr:uid="{00000000-0005-0000-0000-0000B5440000}"/>
    <cellStyle name="Normal 25 11 51" xfId="1245" xr:uid="{00000000-0005-0000-0000-0000B6440000}"/>
    <cellStyle name="Normal 25 11 52" xfId="1005" xr:uid="{00000000-0005-0000-0000-0000B7440000}"/>
    <cellStyle name="Normal 25 11 53" xfId="765" xr:uid="{00000000-0005-0000-0000-0000B8440000}"/>
    <cellStyle name="Normal 25 11 54" xfId="525" xr:uid="{00000000-0005-0000-0000-0000B9440000}"/>
    <cellStyle name="Normal 25 11 55" xfId="286" xr:uid="{00000000-0005-0000-0000-0000BA440000}"/>
    <cellStyle name="Normal 25 11 56" xfId="48" xr:uid="{00000000-0005-0000-0000-0000BB440000}"/>
    <cellStyle name="Normal 25 11 6" xfId="25501" xr:uid="{00000000-0005-0000-0000-0000BC440000}"/>
    <cellStyle name="Normal 25 11 7" xfId="24904" xr:uid="{00000000-0005-0000-0000-0000BD440000}"/>
    <cellStyle name="Normal 25 11 8" xfId="24307" xr:uid="{00000000-0005-0000-0000-0000BE440000}"/>
    <cellStyle name="Normal 25 11 9" xfId="23710" xr:uid="{00000000-0005-0000-0000-0000BF440000}"/>
    <cellStyle name="Normal 25 12" xfId="28486" xr:uid="{00000000-0005-0000-0000-0000C0440000}"/>
    <cellStyle name="Normal 25 12 10" xfId="23112" xr:uid="{00000000-0005-0000-0000-0000C1440000}"/>
    <cellStyle name="Normal 25 12 11" xfId="22515" xr:uid="{00000000-0005-0000-0000-0000C2440000}"/>
    <cellStyle name="Normal 25 12 12" xfId="21919" xr:uid="{00000000-0005-0000-0000-0000C3440000}"/>
    <cellStyle name="Normal 25 12 13" xfId="21322" xr:uid="{00000000-0005-0000-0000-0000C4440000}"/>
    <cellStyle name="Normal 25 12 14" xfId="20725" xr:uid="{00000000-0005-0000-0000-0000C5440000}"/>
    <cellStyle name="Normal 25 12 15" xfId="20128" xr:uid="{00000000-0005-0000-0000-0000C6440000}"/>
    <cellStyle name="Normal 25 12 16" xfId="19532" xr:uid="{00000000-0005-0000-0000-0000C7440000}"/>
    <cellStyle name="Normal 25 12 17" xfId="18936" xr:uid="{00000000-0005-0000-0000-0000C8440000}"/>
    <cellStyle name="Normal 25 12 18" xfId="18344" xr:uid="{00000000-0005-0000-0000-0000C9440000}"/>
    <cellStyle name="Normal 25 12 19" xfId="17747" xr:uid="{00000000-0005-0000-0000-0000CA440000}"/>
    <cellStyle name="Normal 25 12 2" xfId="27886" xr:uid="{00000000-0005-0000-0000-0000CB440000}"/>
    <cellStyle name="Normal 25 12 20" xfId="14162" xr:uid="{00000000-0005-0000-0000-0000CC440000}"/>
    <cellStyle name="Normal 25 12 21" xfId="16375" xr:uid="{00000000-0005-0000-0000-0000CD440000}"/>
    <cellStyle name="Normal 25 12 22" xfId="16979" xr:uid="{00000000-0005-0000-0000-0000CE440000}"/>
    <cellStyle name="Normal 25 12 23" xfId="15895" xr:uid="{00000000-0005-0000-0000-0000CF440000}"/>
    <cellStyle name="Normal 25 12 24" xfId="13140" xr:uid="{00000000-0005-0000-0000-0000D0440000}"/>
    <cellStyle name="Normal 25 12 25" xfId="16760" xr:uid="{00000000-0005-0000-0000-0000D1440000}"/>
    <cellStyle name="Normal 25 12 26" xfId="12939" xr:uid="{00000000-0005-0000-0000-0000D2440000}"/>
    <cellStyle name="Normal 25 12 27" xfId="14715" xr:uid="{00000000-0005-0000-0000-0000D3440000}"/>
    <cellStyle name="Normal 25 12 28" xfId="12356" xr:uid="{00000000-0005-0000-0000-0000D4440000}"/>
    <cellStyle name="Normal 25 12 29" xfId="10349" xr:uid="{00000000-0005-0000-0000-0000D5440000}"/>
    <cellStyle name="Normal 25 12 3" xfId="27289" xr:uid="{00000000-0005-0000-0000-0000D6440000}"/>
    <cellStyle name="Normal 25 12 30" xfId="6368" xr:uid="{00000000-0005-0000-0000-0000D7440000}"/>
    <cellStyle name="Normal 25 12 31" xfId="11562" xr:uid="{00000000-0005-0000-0000-0000D8440000}"/>
    <cellStyle name="Normal 25 12 32" xfId="8281" xr:uid="{00000000-0005-0000-0000-0000D9440000}"/>
    <cellStyle name="Normal 25 12 33" xfId="5840" xr:uid="{00000000-0005-0000-0000-0000DA440000}"/>
    <cellStyle name="Normal 25 12 34" xfId="6664" xr:uid="{00000000-0005-0000-0000-0000DB440000}"/>
    <cellStyle name="Normal 25 12 35" xfId="11544" xr:uid="{00000000-0005-0000-0000-0000DC440000}"/>
    <cellStyle name="Normal 25 12 36" xfId="6998" xr:uid="{00000000-0005-0000-0000-0000DD440000}"/>
    <cellStyle name="Normal 25 12 37" xfId="5871" xr:uid="{00000000-0005-0000-0000-0000DE440000}"/>
    <cellStyle name="Normal 25 12 38" xfId="4558" xr:uid="{00000000-0005-0000-0000-0000DF440000}"/>
    <cellStyle name="Normal 25 12 39" xfId="8812" xr:uid="{00000000-0005-0000-0000-0000E0440000}"/>
    <cellStyle name="Normal 25 12 4" xfId="26692" xr:uid="{00000000-0005-0000-0000-0000E1440000}"/>
    <cellStyle name="Normal 25 12 40" xfId="7653" xr:uid="{00000000-0005-0000-0000-0000E2440000}"/>
    <cellStyle name="Normal 25 12 41" xfId="3735" xr:uid="{00000000-0005-0000-0000-0000E3440000}"/>
    <cellStyle name="Normal 25 12 42" xfId="4236" xr:uid="{00000000-0005-0000-0000-0000E4440000}"/>
    <cellStyle name="Normal 25 12 43" xfId="3082" xr:uid="{00000000-0005-0000-0000-0000E5440000}"/>
    <cellStyle name="Normal 25 12 5" xfId="26096" xr:uid="{00000000-0005-0000-0000-0000E6440000}"/>
    <cellStyle name="Normal 25 12 6" xfId="25500" xr:uid="{00000000-0005-0000-0000-0000E7440000}"/>
    <cellStyle name="Normal 25 12 7" xfId="24903" xr:uid="{00000000-0005-0000-0000-0000E8440000}"/>
    <cellStyle name="Normal 25 12 8" xfId="24306" xr:uid="{00000000-0005-0000-0000-0000E9440000}"/>
    <cellStyle name="Normal 25 12 9" xfId="23709" xr:uid="{00000000-0005-0000-0000-0000EA440000}"/>
    <cellStyle name="Normal 25 13" xfId="28485" xr:uid="{00000000-0005-0000-0000-0000EB440000}"/>
    <cellStyle name="Normal 25 13 10" xfId="23111" xr:uid="{00000000-0005-0000-0000-0000EC440000}"/>
    <cellStyle name="Normal 25 13 11" xfId="22514" xr:uid="{00000000-0005-0000-0000-0000ED440000}"/>
    <cellStyle name="Normal 25 13 12" xfId="21918" xr:uid="{00000000-0005-0000-0000-0000EE440000}"/>
    <cellStyle name="Normal 25 13 13" xfId="21321" xr:uid="{00000000-0005-0000-0000-0000EF440000}"/>
    <cellStyle name="Normal 25 13 14" xfId="20724" xr:uid="{00000000-0005-0000-0000-0000F0440000}"/>
    <cellStyle name="Normal 25 13 15" xfId="20127" xr:uid="{00000000-0005-0000-0000-0000F1440000}"/>
    <cellStyle name="Normal 25 13 16" xfId="19531" xr:uid="{00000000-0005-0000-0000-0000F2440000}"/>
    <cellStyle name="Normal 25 13 17" xfId="18935" xr:uid="{00000000-0005-0000-0000-0000F3440000}"/>
    <cellStyle name="Normal 25 13 18" xfId="18343" xr:uid="{00000000-0005-0000-0000-0000F4440000}"/>
    <cellStyle name="Normal 25 13 19" xfId="17746" xr:uid="{00000000-0005-0000-0000-0000F5440000}"/>
    <cellStyle name="Normal 25 13 2" xfId="27885" xr:uid="{00000000-0005-0000-0000-0000F6440000}"/>
    <cellStyle name="Normal 25 13 20" xfId="14351" xr:uid="{00000000-0005-0000-0000-0000F7440000}"/>
    <cellStyle name="Normal 25 13 21" xfId="13973" xr:uid="{00000000-0005-0000-0000-0000F8440000}"/>
    <cellStyle name="Normal 25 13 22" xfId="16373" xr:uid="{00000000-0005-0000-0000-0000F9440000}"/>
    <cellStyle name="Normal 25 13 23" xfId="14294" xr:uid="{00000000-0005-0000-0000-0000FA440000}"/>
    <cellStyle name="Normal 25 13 24" xfId="13232" xr:uid="{00000000-0005-0000-0000-0000FB440000}"/>
    <cellStyle name="Normal 25 13 25" xfId="16432" xr:uid="{00000000-0005-0000-0000-0000FC440000}"/>
    <cellStyle name="Normal 25 13 26" xfId="13265" xr:uid="{00000000-0005-0000-0000-0000FD440000}"/>
    <cellStyle name="Normal 25 13 27" xfId="13865" xr:uid="{00000000-0005-0000-0000-0000FE440000}"/>
    <cellStyle name="Normal 25 13 28" xfId="12355" xr:uid="{00000000-0005-0000-0000-0000FF440000}"/>
    <cellStyle name="Normal 25 13 29" xfId="10578" xr:uid="{00000000-0005-0000-0000-000000450000}"/>
    <cellStyle name="Normal 25 13 3" xfId="27288" xr:uid="{00000000-0005-0000-0000-000001450000}"/>
    <cellStyle name="Normal 25 13 30" xfId="7627" xr:uid="{00000000-0005-0000-0000-000002450000}"/>
    <cellStyle name="Normal 25 13 31" xfId="9982" xr:uid="{00000000-0005-0000-0000-000003450000}"/>
    <cellStyle name="Normal 25 13 32" xfId="6280" xr:uid="{00000000-0005-0000-0000-000004450000}"/>
    <cellStyle name="Normal 25 13 33" xfId="4901" xr:uid="{00000000-0005-0000-0000-000005450000}"/>
    <cellStyle name="Normal 25 13 34" xfId="8865" xr:uid="{00000000-0005-0000-0000-000006450000}"/>
    <cellStyle name="Normal 25 13 35" xfId="11459" xr:uid="{00000000-0005-0000-0000-000007450000}"/>
    <cellStyle name="Normal 25 13 36" xfId="10912" xr:uid="{00000000-0005-0000-0000-000008450000}"/>
    <cellStyle name="Normal 25 13 37" xfId="5080" xr:uid="{00000000-0005-0000-0000-000009450000}"/>
    <cellStyle name="Normal 25 13 38" xfId="7674" xr:uid="{00000000-0005-0000-0000-00000A450000}"/>
    <cellStyle name="Normal 25 13 39" xfId="3398" xr:uid="{00000000-0005-0000-0000-00000B450000}"/>
    <cellStyle name="Normal 25 13 4" xfId="26691" xr:uid="{00000000-0005-0000-0000-00000C450000}"/>
    <cellStyle name="Normal 25 13 40" xfId="6502" xr:uid="{00000000-0005-0000-0000-00000D450000}"/>
    <cellStyle name="Normal 25 13 41" xfId="5729" xr:uid="{00000000-0005-0000-0000-00000E450000}"/>
    <cellStyle name="Normal 25 13 42" xfId="10550" xr:uid="{00000000-0005-0000-0000-00000F450000}"/>
    <cellStyle name="Normal 25 13 43" xfId="8635" xr:uid="{00000000-0005-0000-0000-000010450000}"/>
    <cellStyle name="Normal 25 13 5" xfId="26095" xr:uid="{00000000-0005-0000-0000-000011450000}"/>
    <cellStyle name="Normal 25 13 6" xfId="25499" xr:uid="{00000000-0005-0000-0000-000012450000}"/>
    <cellStyle name="Normal 25 13 7" xfId="24902" xr:uid="{00000000-0005-0000-0000-000013450000}"/>
    <cellStyle name="Normal 25 13 8" xfId="24305" xr:uid="{00000000-0005-0000-0000-000014450000}"/>
    <cellStyle name="Normal 25 13 9" xfId="23708" xr:uid="{00000000-0005-0000-0000-000015450000}"/>
    <cellStyle name="Normal 25 14" xfId="28484" xr:uid="{00000000-0005-0000-0000-000016450000}"/>
    <cellStyle name="Normal 25 14 10" xfId="23110" xr:uid="{00000000-0005-0000-0000-000017450000}"/>
    <cellStyle name="Normal 25 14 11" xfId="22513" xr:uid="{00000000-0005-0000-0000-000018450000}"/>
    <cellStyle name="Normal 25 14 12" xfId="21917" xr:uid="{00000000-0005-0000-0000-000019450000}"/>
    <cellStyle name="Normal 25 14 13" xfId="21320" xr:uid="{00000000-0005-0000-0000-00001A450000}"/>
    <cellStyle name="Normal 25 14 14" xfId="20723" xr:uid="{00000000-0005-0000-0000-00001B450000}"/>
    <cellStyle name="Normal 25 14 15" xfId="20126" xr:uid="{00000000-0005-0000-0000-00001C450000}"/>
    <cellStyle name="Normal 25 14 16" xfId="19530" xr:uid="{00000000-0005-0000-0000-00001D450000}"/>
    <cellStyle name="Normal 25 14 17" xfId="18934" xr:uid="{00000000-0005-0000-0000-00001E450000}"/>
    <cellStyle name="Normal 25 14 18" xfId="18342" xr:uid="{00000000-0005-0000-0000-00001F450000}"/>
    <cellStyle name="Normal 25 14 19" xfId="17745" xr:uid="{00000000-0005-0000-0000-000020450000}"/>
    <cellStyle name="Normal 25 14 2" xfId="27884" xr:uid="{00000000-0005-0000-0000-000021450000}"/>
    <cellStyle name="Normal 25 14 20" xfId="14542" xr:uid="{00000000-0005-0000-0000-000022450000}"/>
    <cellStyle name="Normal 25 14 21" xfId="15718" xr:uid="{00000000-0005-0000-0000-000023450000}"/>
    <cellStyle name="Normal 25 14 22" xfId="16392" xr:uid="{00000000-0005-0000-0000-000024450000}"/>
    <cellStyle name="Normal 25 14 23" xfId="16277" xr:uid="{00000000-0005-0000-0000-000025450000}"/>
    <cellStyle name="Normal 25 14 24" xfId="13872" xr:uid="{00000000-0005-0000-0000-000026450000}"/>
    <cellStyle name="Normal 25 14 25" xfId="14500" xr:uid="{00000000-0005-0000-0000-000027450000}"/>
    <cellStyle name="Normal 25 14 26" xfId="15026" xr:uid="{00000000-0005-0000-0000-000028450000}"/>
    <cellStyle name="Normal 25 14 27" xfId="17382" xr:uid="{00000000-0005-0000-0000-000029450000}"/>
    <cellStyle name="Normal 25 14 28" xfId="12354" xr:uid="{00000000-0005-0000-0000-00002A450000}"/>
    <cellStyle name="Normal 25 14 29" xfId="10793" xr:uid="{00000000-0005-0000-0000-00002B450000}"/>
    <cellStyle name="Normal 25 14 3" xfId="27287" xr:uid="{00000000-0005-0000-0000-00002C450000}"/>
    <cellStyle name="Normal 25 14 30" xfId="11029" xr:uid="{00000000-0005-0000-0000-00002D450000}"/>
    <cellStyle name="Normal 25 14 31" xfId="8205" xr:uid="{00000000-0005-0000-0000-00002E450000}"/>
    <cellStyle name="Normal 25 14 32" xfId="8102" xr:uid="{00000000-0005-0000-0000-00002F450000}"/>
    <cellStyle name="Normal 25 14 33" xfId="4874" xr:uid="{00000000-0005-0000-0000-000030450000}"/>
    <cellStyle name="Normal 25 14 34" xfId="5650" xr:uid="{00000000-0005-0000-0000-000031450000}"/>
    <cellStyle name="Normal 25 14 35" xfId="10961" xr:uid="{00000000-0005-0000-0000-000032450000}"/>
    <cellStyle name="Normal 25 14 36" xfId="4963" xr:uid="{00000000-0005-0000-0000-000033450000}"/>
    <cellStyle name="Normal 25 14 37" xfId="4258" xr:uid="{00000000-0005-0000-0000-000034450000}"/>
    <cellStyle name="Normal 25 14 38" xfId="12003" xr:uid="{00000000-0005-0000-0000-000035450000}"/>
    <cellStyle name="Normal 25 14 39" xfId="3413" xr:uid="{00000000-0005-0000-0000-000036450000}"/>
    <cellStyle name="Normal 25 14 4" xfId="26690" xr:uid="{00000000-0005-0000-0000-000037450000}"/>
    <cellStyle name="Normal 25 14 40" xfId="4922" xr:uid="{00000000-0005-0000-0000-000038450000}"/>
    <cellStyle name="Normal 25 14 41" xfId="10914" xr:uid="{00000000-0005-0000-0000-000039450000}"/>
    <cellStyle name="Normal 25 14 42" xfId="4698" xr:uid="{00000000-0005-0000-0000-00003A450000}"/>
    <cellStyle name="Normal 25 14 43" xfId="5762" xr:uid="{00000000-0005-0000-0000-00003B450000}"/>
    <cellStyle name="Normal 25 14 5" xfId="26094" xr:uid="{00000000-0005-0000-0000-00003C450000}"/>
    <cellStyle name="Normal 25 14 6" xfId="25498" xr:uid="{00000000-0005-0000-0000-00003D450000}"/>
    <cellStyle name="Normal 25 14 7" xfId="24901" xr:uid="{00000000-0005-0000-0000-00003E450000}"/>
    <cellStyle name="Normal 25 14 8" xfId="24304" xr:uid="{00000000-0005-0000-0000-00003F450000}"/>
    <cellStyle name="Normal 25 14 9" xfId="23707" xr:uid="{00000000-0005-0000-0000-000040450000}"/>
    <cellStyle name="Normal 25 15" xfId="28483" xr:uid="{00000000-0005-0000-0000-000041450000}"/>
    <cellStyle name="Normal 25 15 10" xfId="23109" xr:uid="{00000000-0005-0000-0000-000042450000}"/>
    <cellStyle name="Normal 25 15 11" xfId="22512" xr:uid="{00000000-0005-0000-0000-000043450000}"/>
    <cellStyle name="Normal 25 15 12" xfId="21916" xr:uid="{00000000-0005-0000-0000-000044450000}"/>
    <cellStyle name="Normal 25 15 13" xfId="21319" xr:uid="{00000000-0005-0000-0000-000045450000}"/>
    <cellStyle name="Normal 25 15 14" xfId="20722" xr:uid="{00000000-0005-0000-0000-000046450000}"/>
    <cellStyle name="Normal 25 15 15" xfId="20125" xr:uid="{00000000-0005-0000-0000-000047450000}"/>
    <cellStyle name="Normal 25 15 16" xfId="19529" xr:uid="{00000000-0005-0000-0000-000048450000}"/>
    <cellStyle name="Normal 25 15 17" xfId="18933" xr:uid="{00000000-0005-0000-0000-000049450000}"/>
    <cellStyle name="Normal 25 15 18" xfId="18341" xr:uid="{00000000-0005-0000-0000-00004A450000}"/>
    <cellStyle name="Normal 25 15 19" xfId="17744" xr:uid="{00000000-0005-0000-0000-00004B450000}"/>
    <cellStyle name="Normal 25 15 2" xfId="27883" xr:uid="{00000000-0005-0000-0000-00004C450000}"/>
    <cellStyle name="Normal 25 15 20" xfId="14739" xr:uid="{00000000-0005-0000-0000-00004D450000}"/>
    <cellStyle name="Normal 25 15 21" xfId="15710" xr:uid="{00000000-0005-0000-0000-00004E450000}"/>
    <cellStyle name="Normal 25 15 22" xfId="13646" xr:uid="{00000000-0005-0000-0000-00004F450000}"/>
    <cellStyle name="Normal 25 15 23" xfId="13481" xr:uid="{00000000-0005-0000-0000-000050450000}"/>
    <cellStyle name="Normal 25 15 24" xfId="17445" xr:uid="{00000000-0005-0000-0000-000051450000}"/>
    <cellStyle name="Normal 25 15 25" xfId="16178" xr:uid="{00000000-0005-0000-0000-000052450000}"/>
    <cellStyle name="Normal 25 15 26" xfId="16682" xr:uid="{00000000-0005-0000-0000-000053450000}"/>
    <cellStyle name="Normal 25 15 27" xfId="15164" xr:uid="{00000000-0005-0000-0000-000054450000}"/>
    <cellStyle name="Normal 25 15 28" xfId="12353" xr:uid="{00000000-0005-0000-0000-000055450000}"/>
    <cellStyle name="Normal 25 15 29" xfId="11012" xr:uid="{00000000-0005-0000-0000-000056450000}"/>
    <cellStyle name="Normal 25 15 3" xfId="27286" xr:uid="{00000000-0005-0000-0000-000057450000}"/>
    <cellStyle name="Normal 25 15 30" xfId="9369" xr:uid="{00000000-0005-0000-0000-000058450000}"/>
    <cellStyle name="Normal 25 15 31" xfId="11299" xr:uid="{00000000-0005-0000-0000-000059450000}"/>
    <cellStyle name="Normal 25 15 32" xfId="6861" xr:uid="{00000000-0005-0000-0000-00005A450000}"/>
    <cellStyle name="Normal 25 15 33" xfId="9500" xr:uid="{00000000-0005-0000-0000-00005B450000}"/>
    <cellStyle name="Normal 25 15 34" xfId="11098" xr:uid="{00000000-0005-0000-0000-00005C450000}"/>
    <cellStyle name="Normal 25 15 35" xfId="7541" xr:uid="{00000000-0005-0000-0000-00005D450000}"/>
    <cellStyle name="Normal 25 15 36" xfId="11064" xr:uid="{00000000-0005-0000-0000-00005E450000}"/>
    <cellStyle name="Normal 25 15 37" xfId="11839" xr:uid="{00000000-0005-0000-0000-00005F450000}"/>
    <cellStyle name="Normal 25 15 38" xfId="10282" xr:uid="{00000000-0005-0000-0000-000060450000}"/>
    <cellStyle name="Normal 25 15 39" xfId="9948" xr:uid="{00000000-0005-0000-0000-000061450000}"/>
    <cellStyle name="Normal 25 15 4" xfId="26689" xr:uid="{00000000-0005-0000-0000-000062450000}"/>
    <cellStyle name="Normal 25 15 40" xfId="6067" xr:uid="{00000000-0005-0000-0000-000063450000}"/>
    <cellStyle name="Normal 25 15 41" xfId="11407" xr:uid="{00000000-0005-0000-0000-000064450000}"/>
    <cellStyle name="Normal 25 15 42" xfId="9506" xr:uid="{00000000-0005-0000-0000-000065450000}"/>
    <cellStyle name="Normal 25 15 43" xfId="3226" xr:uid="{00000000-0005-0000-0000-000066450000}"/>
    <cellStyle name="Normal 25 15 5" xfId="26093" xr:uid="{00000000-0005-0000-0000-000067450000}"/>
    <cellStyle name="Normal 25 15 6" xfId="25497" xr:uid="{00000000-0005-0000-0000-000068450000}"/>
    <cellStyle name="Normal 25 15 7" xfId="24900" xr:uid="{00000000-0005-0000-0000-000069450000}"/>
    <cellStyle name="Normal 25 15 8" xfId="24303" xr:uid="{00000000-0005-0000-0000-00006A450000}"/>
    <cellStyle name="Normal 25 15 9" xfId="23706" xr:uid="{00000000-0005-0000-0000-00006B450000}"/>
    <cellStyle name="Normal 25 16" xfId="28482" xr:uid="{00000000-0005-0000-0000-00006C450000}"/>
    <cellStyle name="Normal 25 16 10" xfId="23108" xr:uid="{00000000-0005-0000-0000-00006D450000}"/>
    <cellStyle name="Normal 25 16 11" xfId="22511" xr:uid="{00000000-0005-0000-0000-00006E450000}"/>
    <cellStyle name="Normal 25 16 12" xfId="21915" xr:uid="{00000000-0005-0000-0000-00006F450000}"/>
    <cellStyle name="Normal 25 16 13" xfId="21318" xr:uid="{00000000-0005-0000-0000-000070450000}"/>
    <cellStyle name="Normal 25 16 14" xfId="20721" xr:uid="{00000000-0005-0000-0000-000071450000}"/>
    <cellStyle name="Normal 25 16 15" xfId="20124" xr:uid="{00000000-0005-0000-0000-000072450000}"/>
    <cellStyle name="Normal 25 16 16" xfId="19528" xr:uid="{00000000-0005-0000-0000-000073450000}"/>
    <cellStyle name="Normal 25 16 17" xfId="18932" xr:uid="{00000000-0005-0000-0000-000074450000}"/>
    <cellStyle name="Normal 25 16 18" xfId="18340" xr:uid="{00000000-0005-0000-0000-000075450000}"/>
    <cellStyle name="Normal 25 16 19" xfId="17743" xr:uid="{00000000-0005-0000-0000-000076450000}"/>
    <cellStyle name="Normal 25 16 2" xfId="27882" xr:uid="{00000000-0005-0000-0000-000077450000}"/>
    <cellStyle name="Normal 25 16 20" xfId="14941" xr:uid="{00000000-0005-0000-0000-000078450000}"/>
    <cellStyle name="Normal 25 16 21" xfId="15701" xr:uid="{00000000-0005-0000-0000-000079450000}"/>
    <cellStyle name="Normal 25 16 22" xfId="16796" xr:uid="{00000000-0005-0000-0000-00007A450000}"/>
    <cellStyle name="Normal 25 16 23" xfId="15986" xr:uid="{00000000-0005-0000-0000-00007B450000}"/>
    <cellStyle name="Normal 25 16 24" xfId="13915" xr:uid="{00000000-0005-0000-0000-00007C450000}"/>
    <cellStyle name="Normal 25 16 25" xfId="16605" xr:uid="{00000000-0005-0000-0000-00007D450000}"/>
    <cellStyle name="Normal 25 16 26" xfId="15405" xr:uid="{00000000-0005-0000-0000-00007E450000}"/>
    <cellStyle name="Normal 25 16 27" xfId="14262" xr:uid="{00000000-0005-0000-0000-00007F450000}"/>
    <cellStyle name="Normal 25 16 28" xfId="12352" xr:uid="{00000000-0005-0000-0000-000080450000}"/>
    <cellStyle name="Normal 25 16 29" xfId="11240" xr:uid="{00000000-0005-0000-0000-000081450000}"/>
    <cellStyle name="Normal 25 16 3" xfId="27285" xr:uid="{00000000-0005-0000-0000-000082450000}"/>
    <cellStyle name="Normal 25 16 30" xfId="9360" xr:uid="{00000000-0005-0000-0000-000083450000}"/>
    <cellStyle name="Normal 25 16 31" xfId="10031" xr:uid="{00000000-0005-0000-0000-000084450000}"/>
    <cellStyle name="Normal 25 16 32" xfId="9562" xr:uid="{00000000-0005-0000-0000-000085450000}"/>
    <cellStyle name="Normal 25 16 33" xfId="4869" xr:uid="{00000000-0005-0000-0000-000086450000}"/>
    <cellStyle name="Normal 25 16 34" xfId="5499" xr:uid="{00000000-0005-0000-0000-000087450000}"/>
    <cellStyle name="Normal 25 16 35" xfId="4831" xr:uid="{00000000-0005-0000-0000-000088450000}"/>
    <cellStyle name="Normal 25 16 36" xfId="6784" xr:uid="{00000000-0005-0000-0000-000089450000}"/>
    <cellStyle name="Normal 25 16 37" xfId="7518" xr:uid="{00000000-0005-0000-0000-00008A450000}"/>
    <cellStyle name="Normal 25 16 38" xfId="9014" xr:uid="{00000000-0005-0000-0000-00008B450000}"/>
    <cellStyle name="Normal 25 16 39" xfId="4946" xr:uid="{00000000-0005-0000-0000-00008C450000}"/>
    <cellStyle name="Normal 25 16 4" xfId="26688" xr:uid="{00000000-0005-0000-0000-00008D450000}"/>
    <cellStyle name="Normal 25 16 40" xfId="4799" xr:uid="{00000000-0005-0000-0000-00008E450000}"/>
    <cellStyle name="Normal 25 16 41" xfId="11347" xr:uid="{00000000-0005-0000-0000-00008F450000}"/>
    <cellStyle name="Normal 25 16 42" xfId="7084" xr:uid="{00000000-0005-0000-0000-000090450000}"/>
    <cellStyle name="Normal 25 16 43" xfId="3114" xr:uid="{00000000-0005-0000-0000-000091450000}"/>
    <cellStyle name="Normal 25 16 5" xfId="26092" xr:uid="{00000000-0005-0000-0000-000092450000}"/>
    <cellStyle name="Normal 25 16 6" xfId="25496" xr:uid="{00000000-0005-0000-0000-000093450000}"/>
    <cellStyle name="Normal 25 16 7" xfId="24899" xr:uid="{00000000-0005-0000-0000-000094450000}"/>
    <cellStyle name="Normal 25 16 8" xfId="24302" xr:uid="{00000000-0005-0000-0000-000095450000}"/>
    <cellStyle name="Normal 25 16 9" xfId="23705" xr:uid="{00000000-0005-0000-0000-000096450000}"/>
    <cellStyle name="Normal 25 17" xfId="28481" xr:uid="{00000000-0005-0000-0000-000097450000}"/>
    <cellStyle name="Normal 25 17 10" xfId="23107" xr:uid="{00000000-0005-0000-0000-000098450000}"/>
    <cellStyle name="Normal 25 17 11" xfId="22510" xr:uid="{00000000-0005-0000-0000-000099450000}"/>
    <cellStyle name="Normal 25 17 12" xfId="21914" xr:uid="{00000000-0005-0000-0000-00009A450000}"/>
    <cellStyle name="Normal 25 17 13" xfId="21317" xr:uid="{00000000-0005-0000-0000-00009B450000}"/>
    <cellStyle name="Normal 25 17 14" xfId="20720" xr:uid="{00000000-0005-0000-0000-00009C450000}"/>
    <cellStyle name="Normal 25 17 15" xfId="20123" xr:uid="{00000000-0005-0000-0000-00009D450000}"/>
    <cellStyle name="Normal 25 17 16" xfId="19527" xr:uid="{00000000-0005-0000-0000-00009E450000}"/>
    <cellStyle name="Normal 25 17 17" xfId="18931" xr:uid="{00000000-0005-0000-0000-00009F450000}"/>
    <cellStyle name="Normal 25 17 18" xfId="18339" xr:uid="{00000000-0005-0000-0000-0000A0450000}"/>
    <cellStyle name="Normal 25 17 19" xfId="17742" xr:uid="{00000000-0005-0000-0000-0000A1450000}"/>
    <cellStyle name="Normal 25 17 2" xfId="27881" xr:uid="{00000000-0005-0000-0000-0000A2450000}"/>
    <cellStyle name="Normal 25 17 20" xfId="15148" xr:uid="{00000000-0005-0000-0000-0000A3450000}"/>
    <cellStyle name="Normal 25 17 21" xfId="15493" xr:uid="{00000000-0005-0000-0000-0000A4450000}"/>
    <cellStyle name="Normal 25 17 22" xfId="13666" xr:uid="{00000000-0005-0000-0000-0000A5450000}"/>
    <cellStyle name="Normal 25 17 23" xfId="16046" xr:uid="{00000000-0005-0000-0000-0000A6450000}"/>
    <cellStyle name="Normal 25 17 24" xfId="15031" xr:uid="{00000000-0005-0000-0000-0000A7450000}"/>
    <cellStyle name="Normal 25 17 25" xfId="16400" xr:uid="{00000000-0005-0000-0000-0000A8450000}"/>
    <cellStyle name="Normal 25 17 26" xfId="13445" xr:uid="{00000000-0005-0000-0000-0000A9450000}"/>
    <cellStyle name="Normal 25 17 27" xfId="15704" xr:uid="{00000000-0005-0000-0000-0000AA450000}"/>
    <cellStyle name="Normal 25 17 28" xfId="12351" xr:uid="{00000000-0005-0000-0000-0000AB450000}"/>
    <cellStyle name="Normal 25 17 29" xfId="11473" xr:uid="{00000000-0005-0000-0000-0000AC450000}"/>
    <cellStyle name="Normal 25 17 3" xfId="27284" xr:uid="{00000000-0005-0000-0000-0000AD450000}"/>
    <cellStyle name="Normal 25 17 30" xfId="7643" xr:uid="{00000000-0005-0000-0000-0000AE450000}"/>
    <cellStyle name="Normal 25 17 31" xfId="6351" xr:uid="{00000000-0005-0000-0000-0000AF450000}"/>
    <cellStyle name="Normal 25 17 32" xfId="11605" xr:uid="{00000000-0005-0000-0000-0000B0450000}"/>
    <cellStyle name="Normal 25 17 33" xfId="10917" xr:uid="{00000000-0005-0000-0000-0000B1450000}"/>
    <cellStyle name="Normal 25 17 34" xfId="10666" xr:uid="{00000000-0005-0000-0000-0000B2450000}"/>
    <cellStyle name="Normal 25 17 35" xfId="6111" xr:uid="{00000000-0005-0000-0000-0000B3450000}"/>
    <cellStyle name="Normal 25 17 36" xfId="6670" xr:uid="{00000000-0005-0000-0000-0000B4450000}"/>
    <cellStyle name="Normal 25 17 37" xfId="10607" xr:uid="{00000000-0005-0000-0000-0000B5450000}"/>
    <cellStyle name="Normal 25 17 38" xfId="10500" xr:uid="{00000000-0005-0000-0000-0000B6450000}"/>
    <cellStyle name="Normal 25 17 39" xfId="3503" xr:uid="{00000000-0005-0000-0000-0000B7450000}"/>
    <cellStyle name="Normal 25 17 4" xfId="26687" xr:uid="{00000000-0005-0000-0000-0000B8450000}"/>
    <cellStyle name="Normal 25 17 40" xfId="9868" xr:uid="{00000000-0005-0000-0000-0000B9450000}"/>
    <cellStyle name="Normal 25 17 41" xfId="9992" xr:uid="{00000000-0005-0000-0000-0000BA450000}"/>
    <cellStyle name="Normal 25 17 42" xfId="8632" xr:uid="{00000000-0005-0000-0000-0000BB450000}"/>
    <cellStyle name="Normal 25 17 43" xfId="4437" xr:uid="{00000000-0005-0000-0000-0000BC450000}"/>
    <cellStyle name="Normal 25 17 5" xfId="26091" xr:uid="{00000000-0005-0000-0000-0000BD450000}"/>
    <cellStyle name="Normal 25 17 6" xfId="25495" xr:uid="{00000000-0005-0000-0000-0000BE450000}"/>
    <cellStyle name="Normal 25 17 7" xfId="24898" xr:uid="{00000000-0005-0000-0000-0000BF450000}"/>
    <cellStyle name="Normal 25 17 8" xfId="24301" xr:uid="{00000000-0005-0000-0000-0000C0450000}"/>
    <cellStyle name="Normal 25 17 9" xfId="23704" xr:uid="{00000000-0005-0000-0000-0000C1450000}"/>
    <cellStyle name="Normal 25 18" xfId="28480" xr:uid="{00000000-0005-0000-0000-0000C2450000}"/>
    <cellStyle name="Normal 25 18 10" xfId="23106" xr:uid="{00000000-0005-0000-0000-0000C3450000}"/>
    <cellStyle name="Normal 25 18 11" xfId="22509" xr:uid="{00000000-0005-0000-0000-0000C4450000}"/>
    <cellStyle name="Normal 25 18 12" xfId="21913" xr:uid="{00000000-0005-0000-0000-0000C5450000}"/>
    <cellStyle name="Normal 25 18 13" xfId="21316" xr:uid="{00000000-0005-0000-0000-0000C6450000}"/>
    <cellStyle name="Normal 25 18 14" xfId="20719" xr:uid="{00000000-0005-0000-0000-0000C7450000}"/>
    <cellStyle name="Normal 25 18 15" xfId="20122" xr:uid="{00000000-0005-0000-0000-0000C8450000}"/>
    <cellStyle name="Normal 25 18 16" xfId="19526" xr:uid="{00000000-0005-0000-0000-0000C9450000}"/>
    <cellStyle name="Normal 25 18 17" xfId="18930" xr:uid="{00000000-0005-0000-0000-0000CA450000}"/>
    <cellStyle name="Normal 25 18 18" xfId="18338" xr:uid="{00000000-0005-0000-0000-0000CB450000}"/>
    <cellStyle name="Normal 25 18 19" xfId="17741" xr:uid="{00000000-0005-0000-0000-0000CC450000}"/>
    <cellStyle name="Normal 25 18 2" xfId="27880" xr:uid="{00000000-0005-0000-0000-0000CD450000}"/>
    <cellStyle name="Normal 25 18 20" xfId="15343" xr:uid="{00000000-0005-0000-0000-0000CE450000}"/>
    <cellStyle name="Normal 25 18 21" xfId="15482" xr:uid="{00000000-0005-0000-0000-0000CF450000}"/>
    <cellStyle name="Normal 25 18 22" xfId="13805" xr:uid="{00000000-0005-0000-0000-0000D0450000}"/>
    <cellStyle name="Normal 25 18 23" xfId="13783" xr:uid="{00000000-0005-0000-0000-0000D1450000}"/>
    <cellStyle name="Normal 25 18 24" xfId="16878" xr:uid="{00000000-0005-0000-0000-0000D2450000}"/>
    <cellStyle name="Normal 25 18 25" xfId="17292" xr:uid="{00000000-0005-0000-0000-0000D3450000}"/>
    <cellStyle name="Normal 25 18 26" xfId="16398" xr:uid="{00000000-0005-0000-0000-0000D4450000}"/>
    <cellStyle name="Normal 25 18 27" xfId="12762" xr:uid="{00000000-0005-0000-0000-0000D5450000}"/>
    <cellStyle name="Normal 25 18 28" xfId="12350" xr:uid="{00000000-0005-0000-0000-0000D6450000}"/>
    <cellStyle name="Normal 25 18 29" xfId="11697" xr:uid="{00000000-0005-0000-0000-0000D7450000}"/>
    <cellStyle name="Normal 25 18 3" xfId="27283" xr:uid="{00000000-0005-0000-0000-0000D8450000}"/>
    <cellStyle name="Normal 25 18 30" xfId="11377" xr:uid="{00000000-0005-0000-0000-0000D9450000}"/>
    <cellStyle name="Normal 25 18 31" xfId="5479" xr:uid="{00000000-0005-0000-0000-0000DA450000}"/>
    <cellStyle name="Normal 25 18 32" xfId="9539" xr:uid="{00000000-0005-0000-0000-0000DB450000}"/>
    <cellStyle name="Normal 25 18 33" xfId="7802" xr:uid="{00000000-0005-0000-0000-0000DC450000}"/>
    <cellStyle name="Normal 25 18 34" xfId="10259" xr:uid="{00000000-0005-0000-0000-0000DD450000}"/>
    <cellStyle name="Normal 25 18 35" xfId="6789" xr:uid="{00000000-0005-0000-0000-0000DE450000}"/>
    <cellStyle name="Normal 25 18 36" xfId="4576" xr:uid="{00000000-0005-0000-0000-0000DF450000}"/>
    <cellStyle name="Normal 25 18 37" xfId="6035" xr:uid="{00000000-0005-0000-0000-0000E0450000}"/>
    <cellStyle name="Normal 25 18 38" xfId="4514" xr:uid="{00000000-0005-0000-0000-0000E1450000}"/>
    <cellStyle name="Normal 25 18 39" xfId="3474" xr:uid="{00000000-0005-0000-0000-0000E2450000}"/>
    <cellStyle name="Normal 25 18 4" xfId="26686" xr:uid="{00000000-0005-0000-0000-0000E3450000}"/>
    <cellStyle name="Normal 25 18 40" xfId="11428" xr:uid="{00000000-0005-0000-0000-0000E4450000}"/>
    <cellStyle name="Normal 25 18 41" xfId="9449" xr:uid="{00000000-0005-0000-0000-0000E5450000}"/>
    <cellStyle name="Normal 25 18 42" xfId="11565" xr:uid="{00000000-0005-0000-0000-0000E6450000}"/>
    <cellStyle name="Normal 25 18 43" xfId="6145" xr:uid="{00000000-0005-0000-0000-0000E7450000}"/>
    <cellStyle name="Normal 25 18 5" xfId="26090" xr:uid="{00000000-0005-0000-0000-0000E8450000}"/>
    <cellStyle name="Normal 25 18 6" xfId="25494" xr:uid="{00000000-0005-0000-0000-0000E9450000}"/>
    <cellStyle name="Normal 25 18 7" xfId="24897" xr:uid="{00000000-0005-0000-0000-0000EA450000}"/>
    <cellStyle name="Normal 25 18 8" xfId="24300" xr:uid="{00000000-0005-0000-0000-0000EB450000}"/>
    <cellStyle name="Normal 25 18 9" xfId="23703" xr:uid="{00000000-0005-0000-0000-0000EC450000}"/>
    <cellStyle name="Normal 25 19" xfId="28479" xr:uid="{00000000-0005-0000-0000-0000ED450000}"/>
    <cellStyle name="Normal 25 19 10" xfId="23105" xr:uid="{00000000-0005-0000-0000-0000EE450000}"/>
    <cellStyle name="Normal 25 19 11" xfId="22508" xr:uid="{00000000-0005-0000-0000-0000EF450000}"/>
    <cellStyle name="Normal 25 19 12" xfId="21912" xr:uid="{00000000-0005-0000-0000-0000F0450000}"/>
    <cellStyle name="Normal 25 19 13" xfId="21315" xr:uid="{00000000-0005-0000-0000-0000F1450000}"/>
    <cellStyle name="Normal 25 19 14" xfId="20718" xr:uid="{00000000-0005-0000-0000-0000F2450000}"/>
    <cellStyle name="Normal 25 19 15" xfId="20121" xr:uid="{00000000-0005-0000-0000-0000F3450000}"/>
    <cellStyle name="Normal 25 19 16" xfId="19525" xr:uid="{00000000-0005-0000-0000-0000F4450000}"/>
    <cellStyle name="Normal 25 19 17" xfId="18929" xr:uid="{00000000-0005-0000-0000-0000F5450000}"/>
    <cellStyle name="Normal 25 19 18" xfId="18337" xr:uid="{00000000-0005-0000-0000-0000F6450000}"/>
    <cellStyle name="Normal 25 19 19" xfId="17740" xr:uid="{00000000-0005-0000-0000-0000F7450000}"/>
    <cellStyle name="Normal 25 19 2" xfId="27879" xr:uid="{00000000-0005-0000-0000-0000F8450000}"/>
    <cellStyle name="Normal 25 19 20" xfId="15550" xr:uid="{00000000-0005-0000-0000-0000F9450000}"/>
    <cellStyle name="Normal 25 19 21" xfId="15068" xr:uid="{00000000-0005-0000-0000-0000FA450000}"/>
    <cellStyle name="Normal 25 19 22" xfId="15439" xr:uid="{00000000-0005-0000-0000-0000FB450000}"/>
    <cellStyle name="Normal 25 19 23" xfId="14668" xr:uid="{00000000-0005-0000-0000-0000FC450000}"/>
    <cellStyle name="Normal 25 19 24" xfId="14764" xr:uid="{00000000-0005-0000-0000-0000FD450000}"/>
    <cellStyle name="Normal 25 19 25" xfId="13400" xr:uid="{00000000-0005-0000-0000-0000FE450000}"/>
    <cellStyle name="Normal 25 19 26" xfId="13122" xr:uid="{00000000-0005-0000-0000-0000FF450000}"/>
    <cellStyle name="Normal 25 19 27" xfId="12846" xr:uid="{00000000-0005-0000-0000-000000460000}"/>
    <cellStyle name="Normal 25 19 28" xfId="12349" xr:uid="{00000000-0005-0000-0000-000001460000}"/>
    <cellStyle name="Normal 25 19 29" xfId="8042" xr:uid="{00000000-0005-0000-0000-000002460000}"/>
    <cellStyle name="Normal 25 19 3" xfId="27282" xr:uid="{00000000-0005-0000-0000-000003460000}"/>
    <cellStyle name="Normal 25 19 30" xfId="7991" xr:uid="{00000000-0005-0000-0000-000004460000}"/>
    <cellStyle name="Normal 25 19 31" xfId="5675" xr:uid="{00000000-0005-0000-0000-000005460000}"/>
    <cellStyle name="Normal 25 19 32" xfId="7523" xr:uid="{00000000-0005-0000-0000-000006460000}"/>
    <cellStyle name="Normal 25 19 33" xfId="6005" xr:uid="{00000000-0005-0000-0000-000007460000}"/>
    <cellStyle name="Normal 25 19 34" xfId="8616" xr:uid="{00000000-0005-0000-0000-000008460000}"/>
    <cellStyle name="Normal 25 19 35" xfId="8778" xr:uid="{00000000-0005-0000-0000-000009460000}"/>
    <cellStyle name="Normal 25 19 36" xfId="10447" xr:uid="{00000000-0005-0000-0000-00000A460000}"/>
    <cellStyle name="Normal 25 19 37" xfId="6191" xr:uid="{00000000-0005-0000-0000-00000B460000}"/>
    <cellStyle name="Normal 25 19 38" xfId="4327" xr:uid="{00000000-0005-0000-0000-00000C460000}"/>
    <cellStyle name="Normal 25 19 39" xfId="9414" xr:uid="{00000000-0005-0000-0000-00000D460000}"/>
    <cellStyle name="Normal 25 19 4" xfId="26685" xr:uid="{00000000-0005-0000-0000-00000E460000}"/>
    <cellStyle name="Normal 25 19 40" xfId="3891" xr:uid="{00000000-0005-0000-0000-00000F460000}"/>
    <cellStyle name="Normal 25 19 41" xfId="6021" xr:uid="{00000000-0005-0000-0000-000010460000}"/>
    <cellStyle name="Normal 25 19 42" xfId="10601" xr:uid="{00000000-0005-0000-0000-000011460000}"/>
    <cellStyle name="Normal 25 19 43" xfId="7739" xr:uid="{00000000-0005-0000-0000-000012460000}"/>
    <cellStyle name="Normal 25 19 5" xfId="26089" xr:uid="{00000000-0005-0000-0000-000013460000}"/>
    <cellStyle name="Normal 25 19 6" xfId="25493" xr:uid="{00000000-0005-0000-0000-000014460000}"/>
    <cellStyle name="Normal 25 19 7" xfId="24896" xr:uid="{00000000-0005-0000-0000-000015460000}"/>
    <cellStyle name="Normal 25 19 8" xfId="24299" xr:uid="{00000000-0005-0000-0000-000016460000}"/>
    <cellStyle name="Normal 25 19 9" xfId="23702" xr:uid="{00000000-0005-0000-0000-000017460000}"/>
    <cellStyle name="Normal 25 2" xfId="28478" xr:uid="{00000000-0005-0000-0000-000018460000}"/>
    <cellStyle name="Normal 25 2 10" xfId="23104" xr:uid="{00000000-0005-0000-0000-000019460000}"/>
    <cellStyle name="Normal 25 2 11" xfId="22507" xr:uid="{00000000-0005-0000-0000-00001A460000}"/>
    <cellStyle name="Normal 25 2 12" xfId="21911" xr:uid="{00000000-0005-0000-0000-00001B460000}"/>
    <cellStyle name="Normal 25 2 13" xfId="21314" xr:uid="{00000000-0005-0000-0000-00001C460000}"/>
    <cellStyle name="Normal 25 2 14" xfId="20717" xr:uid="{00000000-0005-0000-0000-00001D460000}"/>
    <cellStyle name="Normal 25 2 15" xfId="20120" xr:uid="{00000000-0005-0000-0000-00001E460000}"/>
    <cellStyle name="Normal 25 2 16" xfId="19524" xr:uid="{00000000-0005-0000-0000-00001F460000}"/>
    <cellStyle name="Normal 25 2 17" xfId="18928" xr:uid="{00000000-0005-0000-0000-000020460000}"/>
    <cellStyle name="Normal 25 2 18" xfId="18336" xr:uid="{00000000-0005-0000-0000-000021460000}"/>
    <cellStyle name="Normal 25 2 19" xfId="17739" xr:uid="{00000000-0005-0000-0000-000022460000}"/>
    <cellStyle name="Normal 25 2 2" xfId="27878" xr:uid="{00000000-0005-0000-0000-000023460000}"/>
    <cellStyle name="Normal 25 2 20" xfId="15740" xr:uid="{00000000-0005-0000-0000-000024460000}"/>
    <cellStyle name="Normal 25 2 21" xfId="15060" xr:uid="{00000000-0005-0000-0000-000025460000}"/>
    <cellStyle name="Normal 25 2 22" xfId="16448" xr:uid="{00000000-0005-0000-0000-000026460000}"/>
    <cellStyle name="Normal 25 2 23" xfId="16665" xr:uid="{00000000-0005-0000-0000-000027460000}"/>
    <cellStyle name="Normal 25 2 24" xfId="14075" xr:uid="{00000000-0005-0000-0000-000028460000}"/>
    <cellStyle name="Normal 25 2 25" xfId="16829" xr:uid="{00000000-0005-0000-0000-000029460000}"/>
    <cellStyle name="Normal 25 2 26" xfId="15444" xr:uid="{00000000-0005-0000-0000-00002A460000}"/>
    <cellStyle name="Normal 25 2 27" xfId="14586" xr:uid="{00000000-0005-0000-0000-00002B460000}"/>
    <cellStyle name="Normal 25 2 28" xfId="12348" xr:uid="{00000000-0005-0000-0000-00002C460000}"/>
    <cellStyle name="Normal 25 2 29" xfId="7761" xr:uid="{00000000-0005-0000-0000-00002D460000}"/>
    <cellStyle name="Normal 25 2 3" xfId="27281" xr:uid="{00000000-0005-0000-0000-00002E460000}"/>
    <cellStyle name="Normal 25 2 30" xfId="6980" xr:uid="{00000000-0005-0000-0000-00002F460000}"/>
    <cellStyle name="Normal 25 2 31" xfId="9516" xr:uid="{00000000-0005-0000-0000-000030460000}"/>
    <cellStyle name="Normal 25 2 32" xfId="11085" xr:uid="{00000000-0005-0000-0000-000031460000}"/>
    <cellStyle name="Normal 25 2 33" xfId="5749" xr:uid="{00000000-0005-0000-0000-000032460000}"/>
    <cellStyle name="Normal 25 2 34" xfId="6311" xr:uid="{00000000-0005-0000-0000-000033460000}"/>
    <cellStyle name="Normal 25 2 35" xfId="6595" xr:uid="{00000000-0005-0000-0000-000034460000}"/>
    <cellStyle name="Normal 25 2 36" xfId="4545" xr:uid="{00000000-0005-0000-0000-000035460000}"/>
    <cellStyle name="Normal 25 2 37" xfId="6374" xr:uid="{00000000-0005-0000-0000-000036460000}"/>
    <cellStyle name="Normal 25 2 38" xfId="6466" xr:uid="{00000000-0005-0000-0000-000037460000}"/>
    <cellStyle name="Normal 25 2 39" xfId="11607" xr:uid="{00000000-0005-0000-0000-000038460000}"/>
    <cellStyle name="Normal 25 2 4" xfId="26684" xr:uid="{00000000-0005-0000-0000-000039460000}"/>
    <cellStyle name="Normal 25 2 40" xfId="3715" xr:uid="{00000000-0005-0000-0000-00003A460000}"/>
    <cellStyle name="Normal 25 2 41" xfId="5876" xr:uid="{00000000-0005-0000-0000-00003B460000}"/>
    <cellStyle name="Normal 25 2 42" xfId="3497" xr:uid="{00000000-0005-0000-0000-00003C460000}"/>
    <cellStyle name="Normal 25 2 43" xfId="9627" xr:uid="{00000000-0005-0000-0000-00003D460000}"/>
    <cellStyle name="Normal 25 2 44" xfId="2926" xr:uid="{00000000-0005-0000-0000-00003E460000}"/>
    <cellStyle name="Normal 25 2 45" xfId="2683" xr:uid="{00000000-0005-0000-0000-00003F460000}"/>
    <cellStyle name="Normal 25 2 46" xfId="2443" xr:uid="{00000000-0005-0000-0000-000040460000}"/>
    <cellStyle name="Normal 25 2 47" xfId="2203" xr:uid="{00000000-0005-0000-0000-000041460000}"/>
    <cellStyle name="Normal 25 2 48" xfId="1963" xr:uid="{00000000-0005-0000-0000-000042460000}"/>
    <cellStyle name="Normal 25 2 49" xfId="1723" xr:uid="{00000000-0005-0000-0000-000043460000}"/>
    <cellStyle name="Normal 25 2 5" xfId="26088" xr:uid="{00000000-0005-0000-0000-000044460000}"/>
    <cellStyle name="Normal 25 2 50" xfId="1484" xr:uid="{00000000-0005-0000-0000-000045460000}"/>
    <cellStyle name="Normal 25 2 51" xfId="1244" xr:uid="{00000000-0005-0000-0000-000046460000}"/>
    <cellStyle name="Normal 25 2 52" xfId="1004" xr:uid="{00000000-0005-0000-0000-000047460000}"/>
    <cellStyle name="Normal 25 2 53" xfId="764" xr:uid="{00000000-0005-0000-0000-000048460000}"/>
    <cellStyle name="Normal 25 2 54" xfId="524" xr:uid="{00000000-0005-0000-0000-000049460000}"/>
    <cellStyle name="Normal 25 2 55" xfId="285" xr:uid="{00000000-0005-0000-0000-00004A460000}"/>
    <cellStyle name="Normal 25 2 56" xfId="47" xr:uid="{00000000-0005-0000-0000-00004B460000}"/>
    <cellStyle name="Normal 25 2 6" xfId="25492" xr:uid="{00000000-0005-0000-0000-00004C460000}"/>
    <cellStyle name="Normal 25 2 7" xfId="24895" xr:uid="{00000000-0005-0000-0000-00004D460000}"/>
    <cellStyle name="Normal 25 2 8" xfId="24298" xr:uid="{00000000-0005-0000-0000-00004E460000}"/>
    <cellStyle name="Normal 25 2 9" xfId="23701" xr:uid="{00000000-0005-0000-0000-00004F460000}"/>
    <cellStyle name="Normal 25 20" xfId="28477" xr:uid="{00000000-0005-0000-0000-000050460000}"/>
    <cellStyle name="Normal 25 20 10" xfId="23103" xr:uid="{00000000-0005-0000-0000-000051460000}"/>
    <cellStyle name="Normal 25 20 11" xfId="22506" xr:uid="{00000000-0005-0000-0000-000052460000}"/>
    <cellStyle name="Normal 25 20 12" xfId="21910" xr:uid="{00000000-0005-0000-0000-000053460000}"/>
    <cellStyle name="Normal 25 20 13" xfId="21313" xr:uid="{00000000-0005-0000-0000-000054460000}"/>
    <cellStyle name="Normal 25 20 14" xfId="20716" xr:uid="{00000000-0005-0000-0000-000055460000}"/>
    <cellStyle name="Normal 25 20 15" xfId="20119" xr:uid="{00000000-0005-0000-0000-000056460000}"/>
    <cellStyle name="Normal 25 20 16" xfId="19523" xr:uid="{00000000-0005-0000-0000-000057460000}"/>
    <cellStyle name="Normal 25 20 17" xfId="18927" xr:uid="{00000000-0005-0000-0000-000058460000}"/>
    <cellStyle name="Normal 25 20 18" xfId="18335" xr:uid="{00000000-0005-0000-0000-000059460000}"/>
    <cellStyle name="Normal 25 20 19" xfId="17738" xr:uid="{00000000-0005-0000-0000-00005A460000}"/>
    <cellStyle name="Normal 25 20 2" xfId="27877" xr:uid="{00000000-0005-0000-0000-00005B460000}"/>
    <cellStyle name="Normal 25 20 20" xfId="15940" xr:uid="{00000000-0005-0000-0000-00005C460000}"/>
    <cellStyle name="Normal 25 20 21" xfId="14649" xr:uid="{00000000-0005-0000-0000-00005D460000}"/>
    <cellStyle name="Normal 25 20 22" xfId="15248" xr:uid="{00000000-0005-0000-0000-00005E460000}"/>
    <cellStyle name="Normal 25 20 23" xfId="16580" xr:uid="{00000000-0005-0000-0000-00005F460000}"/>
    <cellStyle name="Normal 25 20 24" xfId="15127" xr:uid="{00000000-0005-0000-0000-000060460000}"/>
    <cellStyle name="Normal 25 20 25" xfId="17419" xr:uid="{00000000-0005-0000-0000-000061460000}"/>
    <cellStyle name="Normal 25 20 26" xfId="15215" xr:uid="{00000000-0005-0000-0000-000062460000}"/>
    <cellStyle name="Normal 25 20 27" xfId="16224" xr:uid="{00000000-0005-0000-0000-000063460000}"/>
    <cellStyle name="Normal 25 20 28" xfId="12347" xr:uid="{00000000-0005-0000-0000-000064460000}"/>
    <cellStyle name="Normal 25 20 29" xfId="6356" xr:uid="{00000000-0005-0000-0000-000065460000}"/>
    <cellStyle name="Normal 25 20 3" xfId="27280" xr:uid="{00000000-0005-0000-0000-000066460000}"/>
    <cellStyle name="Normal 25 20 30" xfId="6403" xr:uid="{00000000-0005-0000-0000-000067460000}"/>
    <cellStyle name="Normal 25 20 31" xfId="12092" xr:uid="{00000000-0005-0000-0000-000068460000}"/>
    <cellStyle name="Normal 25 20 32" xfId="10952" xr:uid="{00000000-0005-0000-0000-000069460000}"/>
    <cellStyle name="Normal 25 20 33" xfId="5278" xr:uid="{00000000-0005-0000-0000-00006A460000}"/>
    <cellStyle name="Normal 25 20 34" xfId="10686" xr:uid="{00000000-0005-0000-0000-00006B460000}"/>
    <cellStyle name="Normal 25 20 35" xfId="8863" xr:uid="{00000000-0005-0000-0000-00006C460000}"/>
    <cellStyle name="Normal 25 20 36" xfId="11368" xr:uid="{00000000-0005-0000-0000-00006D460000}"/>
    <cellStyle name="Normal 25 20 37" xfId="10746" xr:uid="{00000000-0005-0000-0000-00006E460000}"/>
    <cellStyle name="Normal 25 20 38" xfId="4036" xr:uid="{00000000-0005-0000-0000-00006F460000}"/>
    <cellStyle name="Normal 25 20 39" xfId="6896" xr:uid="{00000000-0005-0000-0000-000070460000}"/>
    <cellStyle name="Normal 25 20 4" xfId="26683" xr:uid="{00000000-0005-0000-0000-000071460000}"/>
    <cellStyle name="Normal 25 20 40" xfId="4238" xr:uid="{00000000-0005-0000-0000-000072460000}"/>
    <cellStyle name="Normal 25 20 41" xfId="6140" xr:uid="{00000000-0005-0000-0000-000073460000}"/>
    <cellStyle name="Normal 25 20 42" xfId="3487" xr:uid="{00000000-0005-0000-0000-000074460000}"/>
    <cellStyle name="Normal 25 20 43" xfId="5908" xr:uid="{00000000-0005-0000-0000-000075460000}"/>
    <cellStyle name="Normal 25 20 5" xfId="26087" xr:uid="{00000000-0005-0000-0000-000076460000}"/>
    <cellStyle name="Normal 25 20 6" xfId="25491" xr:uid="{00000000-0005-0000-0000-000077460000}"/>
    <cellStyle name="Normal 25 20 7" xfId="24894" xr:uid="{00000000-0005-0000-0000-000078460000}"/>
    <cellStyle name="Normal 25 20 8" xfId="24297" xr:uid="{00000000-0005-0000-0000-000079460000}"/>
    <cellStyle name="Normal 25 20 9" xfId="23700" xr:uid="{00000000-0005-0000-0000-00007A460000}"/>
    <cellStyle name="Normal 25 21" xfId="28476" xr:uid="{00000000-0005-0000-0000-00007B460000}"/>
    <cellStyle name="Normal 25 21 10" xfId="23102" xr:uid="{00000000-0005-0000-0000-00007C460000}"/>
    <cellStyle name="Normal 25 21 11" xfId="22505" xr:uid="{00000000-0005-0000-0000-00007D460000}"/>
    <cellStyle name="Normal 25 21 12" xfId="21909" xr:uid="{00000000-0005-0000-0000-00007E460000}"/>
    <cellStyle name="Normal 25 21 13" xfId="21312" xr:uid="{00000000-0005-0000-0000-00007F460000}"/>
    <cellStyle name="Normal 25 21 14" xfId="20715" xr:uid="{00000000-0005-0000-0000-000080460000}"/>
    <cellStyle name="Normal 25 21 15" xfId="20118" xr:uid="{00000000-0005-0000-0000-000081460000}"/>
    <cellStyle name="Normal 25 21 16" xfId="19522" xr:uid="{00000000-0005-0000-0000-000082460000}"/>
    <cellStyle name="Normal 25 21 17" xfId="18926" xr:uid="{00000000-0005-0000-0000-000083460000}"/>
    <cellStyle name="Normal 25 21 18" xfId="18334" xr:uid="{00000000-0005-0000-0000-000084460000}"/>
    <cellStyle name="Normal 25 21 19" xfId="17737" xr:uid="{00000000-0005-0000-0000-000085460000}"/>
    <cellStyle name="Normal 25 21 2" xfId="27876" xr:uid="{00000000-0005-0000-0000-000086460000}"/>
    <cellStyle name="Normal 25 21 20" xfId="16148" xr:uid="{00000000-0005-0000-0000-000087460000}"/>
    <cellStyle name="Normal 25 21 21" xfId="17428" xr:uid="{00000000-0005-0000-0000-000088460000}"/>
    <cellStyle name="Normal 25 21 22" xfId="15843" xr:uid="{00000000-0005-0000-0000-000089460000}"/>
    <cellStyle name="Normal 25 21 23" xfId="13593" xr:uid="{00000000-0005-0000-0000-00008A460000}"/>
    <cellStyle name="Normal 25 21 24" xfId="16791" xr:uid="{00000000-0005-0000-0000-00008B460000}"/>
    <cellStyle name="Normal 25 21 25" xfId="14413" xr:uid="{00000000-0005-0000-0000-00008C460000}"/>
    <cellStyle name="Normal 25 21 26" xfId="15713" xr:uid="{00000000-0005-0000-0000-00008D460000}"/>
    <cellStyle name="Normal 25 21 27" xfId="15786" xr:uid="{00000000-0005-0000-0000-00008E460000}"/>
    <cellStyle name="Normal 25 21 28" xfId="12346" xr:uid="{00000000-0005-0000-0000-00008F460000}"/>
    <cellStyle name="Normal 25 21 29" xfId="7451" xr:uid="{00000000-0005-0000-0000-000090460000}"/>
    <cellStyle name="Normal 25 21 3" xfId="27279" xr:uid="{00000000-0005-0000-0000-000091460000}"/>
    <cellStyle name="Normal 25 21 30" xfId="6704" xr:uid="{00000000-0005-0000-0000-000092460000}"/>
    <cellStyle name="Normal 25 21 31" xfId="11268" xr:uid="{00000000-0005-0000-0000-000093460000}"/>
    <cellStyle name="Normal 25 21 32" xfId="11872" xr:uid="{00000000-0005-0000-0000-000094460000}"/>
    <cellStyle name="Normal 25 21 33" xfId="10092" xr:uid="{00000000-0005-0000-0000-000095460000}"/>
    <cellStyle name="Normal 25 21 34" xfId="5279" xr:uid="{00000000-0005-0000-0000-000096460000}"/>
    <cellStyle name="Normal 25 21 35" xfId="5794" xr:uid="{00000000-0005-0000-0000-000097460000}"/>
    <cellStyle name="Normal 25 21 36" xfId="4726" xr:uid="{00000000-0005-0000-0000-000098460000}"/>
    <cellStyle name="Normal 25 21 37" xfId="4136" xr:uid="{00000000-0005-0000-0000-000099460000}"/>
    <cellStyle name="Normal 25 21 38" xfId="11617" xr:uid="{00000000-0005-0000-0000-00009A460000}"/>
    <cellStyle name="Normal 25 21 39" xfId="6236" xr:uid="{00000000-0005-0000-0000-00009B460000}"/>
    <cellStyle name="Normal 25 21 4" xfId="26682" xr:uid="{00000000-0005-0000-0000-00009C460000}"/>
    <cellStyle name="Normal 25 21 40" xfId="7080" xr:uid="{00000000-0005-0000-0000-00009D460000}"/>
    <cellStyle name="Normal 25 21 41" xfId="3744" xr:uid="{00000000-0005-0000-0000-00009E460000}"/>
    <cellStyle name="Normal 25 21 42" xfId="3314" xr:uid="{00000000-0005-0000-0000-00009F460000}"/>
    <cellStyle name="Normal 25 21 43" xfId="3122" xr:uid="{00000000-0005-0000-0000-0000A0460000}"/>
    <cellStyle name="Normal 25 21 5" xfId="26086" xr:uid="{00000000-0005-0000-0000-0000A1460000}"/>
    <cellStyle name="Normal 25 21 6" xfId="25490" xr:uid="{00000000-0005-0000-0000-0000A2460000}"/>
    <cellStyle name="Normal 25 21 7" xfId="24893" xr:uid="{00000000-0005-0000-0000-0000A3460000}"/>
    <cellStyle name="Normal 25 21 8" xfId="24296" xr:uid="{00000000-0005-0000-0000-0000A4460000}"/>
    <cellStyle name="Normal 25 21 9" xfId="23699" xr:uid="{00000000-0005-0000-0000-0000A5460000}"/>
    <cellStyle name="Normal 25 22" xfId="28475" xr:uid="{00000000-0005-0000-0000-0000A6460000}"/>
    <cellStyle name="Normal 25 22 10" xfId="23101" xr:uid="{00000000-0005-0000-0000-0000A7460000}"/>
    <cellStyle name="Normal 25 22 11" xfId="22504" xr:uid="{00000000-0005-0000-0000-0000A8460000}"/>
    <cellStyle name="Normal 25 22 12" xfId="21908" xr:uid="{00000000-0005-0000-0000-0000A9460000}"/>
    <cellStyle name="Normal 25 22 13" xfId="21311" xr:uid="{00000000-0005-0000-0000-0000AA460000}"/>
    <cellStyle name="Normal 25 22 14" xfId="20714" xr:uid="{00000000-0005-0000-0000-0000AB460000}"/>
    <cellStyle name="Normal 25 22 15" xfId="20117" xr:uid="{00000000-0005-0000-0000-0000AC460000}"/>
    <cellStyle name="Normal 25 22 16" xfId="19521" xr:uid="{00000000-0005-0000-0000-0000AD460000}"/>
    <cellStyle name="Normal 25 22 17" xfId="18925" xr:uid="{00000000-0005-0000-0000-0000AE460000}"/>
    <cellStyle name="Normal 25 22 18" xfId="18333" xr:uid="{00000000-0005-0000-0000-0000AF460000}"/>
    <cellStyle name="Normal 25 22 19" xfId="17736" xr:uid="{00000000-0005-0000-0000-0000B0460000}"/>
    <cellStyle name="Normal 25 22 2" xfId="27875" xr:uid="{00000000-0005-0000-0000-0000B1460000}"/>
    <cellStyle name="Normal 25 22 20" xfId="16349" xr:uid="{00000000-0005-0000-0000-0000B2460000}"/>
    <cellStyle name="Normal 25 22 21" xfId="17018" xr:uid="{00000000-0005-0000-0000-0000B3460000}"/>
    <cellStyle name="Normal 25 22 22" xfId="16458" xr:uid="{00000000-0005-0000-0000-0000B4460000}"/>
    <cellStyle name="Normal 25 22 23" xfId="15472" xr:uid="{00000000-0005-0000-0000-0000B5460000}"/>
    <cellStyle name="Normal 25 22 24" xfId="15041" xr:uid="{00000000-0005-0000-0000-0000B6460000}"/>
    <cellStyle name="Normal 25 22 25" xfId="13460" xr:uid="{00000000-0005-0000-0000-0000B7460000}"/>
    <cellStyle name="Normal 25 22 26" xfId="12857" xr:uid="{00000000-0005-0000-0000-0000B8460000}"/>
    <cellStyle name="Normal 25 22 27" xfId="13920" xr:uid="{00000000-0005-0000-0000-0000B9460000}"/>
    <cellStyle name="Normal 25 22 28" xfId="12345" xr:uid="{00000000-0005-0000-0000-0000BA460000}"/>
    <cellStyle name="Normal 25 22 29" xfId="7171" xr:uid="{00000000-0005-0000-0000-0000BB460000}"/>
    <cellStyle name="Normal 25 22 3" xfId="27278" xr:uid="{00000000-0005-0000-0000-0000BC460000}"/>
    <cellStyle name="Normal 25 22 30" xfId="7152" xr:uid="{00000000-0005-0000-0000-0000BD460000}"/>
    <cellStyle name="Normal 25 22 31" xfId="6411" xr:uid="{00000000-0005-0000-0000-0000BE460000}"/>
    <cellStyle name="Normal 25 22 32" xfId="11427" xr:uid="{00000000-0005-0000-0000-0000BF460000}"/>
    <cellStyle name="Normal 25 22 33" xfId="9727" xr:uid="{00000000-0005-0000-0000-0000C0460000}"/>
    <cellStyle name="Normal 25 22 34" xfId="11220" xr:uid="{00000000-0005-0000-0000-0000C1460000}"/>
    <cellStyle name="Normal 25 22 35" xfId="4704" xr:uid="{00000000-0005-0000-0000-0000C2460000}"/>
    <cellStyle name="Normal 25 22 36" xfId="9093" xr:uid="{00000000-0005-0000-0000-0000C3460000}"/>
    <cellStyle name="Normal 25 22 37" xfId="4843" xr:uid="{00000000-0005-0000-0000-0000C4460000}"/>
    <cellStyle name="Normal 25 22 38" xfId="4150" xr:uid="{00000000-0005-0000-0000-0000C5460000}"/>
    <cellStyle name="Normal 25 22 39" xfId="7252" xr:uid="{00000000-0005-0000-0000-0000C6460000}"/>
    <cellStyle name="Normal 25 22 4" xfId="26681" xr:uid="{00000000-0005-0000-0000-0000C7460000}"/>
    <cellStyle name="Normal 25 22 40" xfId="3286" xr:uid="{00000000-0005-0000-0000-0000C8460000}"/>
    <cellStyle name="Normal 25 22 41" xfId="10637" xr:uid="{00000000-0005-0000-0000-0000C9460000}"/>
    <cellStyle name="Normal 25 22 42" xfId="4967" xr:uid="{00000000-0005-0000-0000-0000CA460000}"/>
    <cellStyle name="Normal 25 22 43" xfId="3305" xr:uid="{00000000-0005-0000-0000-0000CB460000}"/>
    <cellStyle name="Normal 25 22 5" xfId="26085" xr:uid="{00000000-0005-0000-0000-0000CC460000}"/>
    <cellStyle name="Normal 25 22 6" xfId="25489" xr:uid="{00000000-0005-0000-0000-0000CD460000}"/>
    <cellStyle name="Normal 25 22 7" xfId="24892" xr:uid="{00000000-0005-0000-0000-0000CE460000}"/>
    <cellStyle name="Normal 25 22 8" xfId="24295" xr:uid="{00000000-0005-0000-0000-0000CF460000}"/>
    <cellStyle name="Normal 25 22 9" xfId="23698" xr:uid="{00000000-0005-0000-0000-0000D0460000}"/>
    <cellStyle name="Normal 25 23" xfId="28474" xr:uid="{00000000-0005-0000-0000-0000D1460000}"/>
    <cellStyle name="Normal 25 23 10" xfId="23100" xr:uid="{00000000-0005-0000-0000-0000D2460000}"/>
    <cellStyle name="Normal 25 23 11" xfId="22503" xr:uid="{00000000-0005-0000-0000-0000D3460000}"/>
    <cellStyle name="Normal 25 23 12" xfId="21907" xr:uid="{00000000-0005-0000-0000-0000D4460000}"/>
    <cellStyle name="Normal 25 23 13" xfId="21310" xr:uid="{00000000-0005-0000-0000-0000D5460000}"/>
    <cellStyle name="Normal 25 23 14" xfId="20713" xr:uid="{00000000-0005-0000-0000-0000D6460000}"/>
    <cellStyle name="Normal 25 23 15" xfId="20116" xr:uid="{00000000-0005-0000-0000-0000D7460000}"/>
    <cellStyle name="Normal 25 23 16" xfId="19520" xr:uid="{00000000-0005-0000-0000-0000D8460000}"/>
    <cellStyle name="Normal 25 23 17" xfId="18924" xr:uid="{00000000-0005-0000-0000-0000D9460000}"/>
    <cellStyle name="Normal 25 23 18" xfId="18332" xr:uid="{00000000-0005-0000-0000-0000DA460000}"/>
    <cellStyle name="Normal 25 23 19" xfId="17735" xr:uid="{00000000-0005-0000-0000-0000DB460000}"/>
    <cellStyle name="Normal 25 23 2" xfId="27874" xr:uid="{00000000-0005-0000-0000-0000DC460000}"/>
    <cellStyle name="Normal 25 23 20" xfId="16539" xr:uid="{00000000-0005-0000-0000-0000DD460000}"/>
    <cellStyle name="Normal 25 23 21" xfId="16621" xr:uid="{00000000-0005-0000-0000-0000DE460000}"/>
    <cellStyle name="Normal 25 23 22" xfId="17064" xr:uid="{00000000-0005-0000-0000-0000DF460000}"/>
    <cellStyle name="Normal 25 23 23" xfId="16053" xr:uid="{00000000-0005-0000-0000-0000E0460000}"/>
    <cellStyle name="Normal 25 23 24" xfId="16285" xr:uid="{00000000-0005-0000-0000-0000E1460000}"/>
    <cellStyle name="Normal 25 23 25" xfId="13229" xr:uid="{00000000-0005-0000-0000-0000E2460000}"/>
    <cellStyle name="Normal 25 23 26" xfId="12812" xr:uid="{00000000-0005-0000-0000-0000E3460000}"/>
    <cellStyle name="Normal 25 23 27" xfId="12795" xr:uid="{00000000-0005-0000-0000-0000E4460000}"/>
    <cellStyle name="Normal 25 23 28" xfId="12344" xr:uid="{00000000-0005-0000-0000-0000E5460000}"/>
    <cellStyle name="Normal 25 23 29" xfId="6820" xr:uid="{00000000-0005-0000-0000-0000E6460000}"/>
    <cellStyle name="Normal 25 23 3" xfId="27277" xr:uid="{00000000-0005-0000-0000-0000E7460000}"/>
    <cellStyle name="Normal 25 23 30" xfId="6612" xr:uid="{00000000-0005-0000-0000-0000E8460000}"/>
    <cellStyle name="Normal 25 23 31" xfId="8993" xr:uid="{00000000-0005-0000-0000-0000E9460000}"/>
    <cellStyle name="Normal 25 23 32" xfId="10464" xr:uid="{00000000-0005-0000-0000-0000EA460000}"/>
    <cellStyle name="Normal 25 23 33" xfId="5385" xr:uid="{00000000-0005-0000-0000-0000EB460000}"/>
    <cellStyle name="Normal 25 23 34" xfId="9345" xr:uid="{00000000-0005-0000-0000-0000EC460000}"/>
    <cellStyle name="Normal 25 23 35" xfId="5261" xr:uid="{00000000-0005-0000-0000-0000ED460000}"/>
    <cellStyle name="Normal 25 23 36" xfId="9165" xr:uid="{00000000-0005-0000-0000-0000EE460000}"/>
    <cellStyle name="Normal 25 23 37" xfId="4296" xr:uid="{00000000-0005-0000-0000-0000EF460000}"/>
    <cellStyle name="Normal 25 23 38" xfId="9848" xr:uid="{00000000-0005-0000-0000-0000F0460000}"/>
    <cellStyle name="Normal 25 23 39" xfId="4915" xr:uid="{00000000-0005-0000-0000-0000F1460000}"/>
    <cellStyle name="Normal 25 23 4" xfId="26680" xr:uid="{00000000-0005-0000-0000-0000F2460000}"/>
    <cellStyle name="Normal 25 23 40" xfId="3282" xr:uid="{00000000-0005-0000-0000-0000F3460000}"/>
    <cellStyle name="Normal 25 23 41" xfId="5357" xr:uid="{00000000-0005-0000-0000-0000F4460000}"/>
    <cellStyle name="Normal 25 23 42" xfId="3851" xr:uid="{00000000-0005-0000-0000-0000F5460000}"/>
    <cellStyle name="Normal 25 23 43" xfId="10682" xr:uid="{00000000-0005-0000-0000-0000F6460000}"/>
    <cellStyle name="Normal 25 23 5" xfId="26084" xr:uid="{00000000-0005-0000-0000-0000F7460000}"/>
    <cellStyle name="Normal 25 23 6" xfId="25488" xr:uid="{00000000-0005-0000-0000-0000F8460000}"/>
    <cellStyle name="Normal 25 23 7" xfId="24891" xr:uid="{00000000-0005-0000-0000-0000F9460000}"/>
    <cellStyle name="Normal 25 23 8" xfId="24294" xr:uid="{00000000-0005-0000-0000-0000FA460000}"/>
    <cellStyle name="Normal 25 23 9" xfId="23697" xr:uid="{00000000-0005-0000-0000-0000FB460000}"/>
    <cellStyle name="Normal 25 24" xfId="28473" xr:uid="{00000000-0005-0000-0000-0000FC460000}"/>
    <cellStyle name="Normal 25 24 10" xfId="23099" xr:uid="{00000000-0005-0000-0000-0000FD460000}"/>
    <cellStyle name="Normal 25 24 11" xfId="22502" xr:uid="{00000000-0005-0000-0000-0000FE460000}"/>
    <cellStyle name="Normal 25 24 12" xfId="21906" xr:uid="{00000000-0005-0000-0000-0000FF460000}"/>
    <cellStyle name="Normal 25 24 13" xfId="21309" xr:uid="{00000000-0005-0000-0000-000000470000}"/>
    <cellStyle name="Normal 25 24 14" xfId="20712" xr:uid="{00000000-0005-0000-0000-000001470000}"/>
    <cellStyle name="Normal 25 24 15" xfId="20115" xr:uid="{00000000-0005-0000-0000-000002470000}"/>
    <cellStyle name="Normal 25 24 16" xfId="19519" xr:uid="{00000000-0005-0000-0000-000003470000}"/>
    <cellStyle name="Normal 25 24 17" xfId="18923" xr:uid="{00000000-0005-0000-0000-000004470000}"/>
    <cellStyle name="Normal 25 24 18" xfId="18331" xr:uid="{00000000-0005-0000-0000-000005470000}"/>
    <cellStyle name="Normal 25 24 19" xfId="17734" xr:uid="{00000000-0005-0000-0000-000006470000}"/>
    <cellStyle name="Normal 25 24 2" xfId="27873" xr:uid="{00000000-0005-0000-0000-000007470000}"/>
    <cellStyle name="Normal 25 24 20" xfId="16733" xr:uid="{00000000-0005-0000-0000-000008470000}"/>
    <cellStyle name="Normal 25 24 21" xfId="16211" xr:uid="{00000000-0005-0000-0000-000009470000}"/>
    <cellStyle name="Normal 25 24 22" xfId="17270" xr:uid="{00000000-0005-0000-0000-00000A470000}"/>
    <cellStyle name="Normal 25 24 23" xfId="13543" xr:uid="{00000000-0005-0000-0000-00000B470000}"/>
    <cellStyle name="Normal 25 24 24" xfId="14675" xr:uid="{00000000-0005-0000-0000-00000C470000}"/>
    <cellStyle name="Normal 25 24 25" xfId="13780" xr:uid="{00000000-0005-0000-0000-00000D470000}"/>
    <cellStyle name="Normal 25 24 26" xfId="12849" xr:uid="{00000000-0005-0000-0000-00000E470000}"/>
    <cellStyle name="Normal 25 24 27" xfId="14041" xr:uid="{00000000-0005-0000-0000-00000F470000}"/>
    <cellStyle name="Normal 25 24 28" xfId="12343" xr:uid="{00000000-0005-0000-0000-000010470000}"/>
    <cellStyle name="Normal 25 24 29" xfId="7960" xr:uid="{00000000-0005-0000-0000-000011470000}"/>
    <cellStyle name="Normal 25 24 3" xfId="27276" xr:uid="{00000000-0005-0000-0000-000012470000}"/>
    <cellStyle name="Normal 25 24 30" xfId="7463" xr:uid="{00000000-0005-0000-0000-000013470000}"/>
    <cellStyle name="Normal 25 24 31" xfId="9184" xr:uid="{00000000-0005-0000-0000-000014470000}"/>
    <cellStyle name="Normal 25 24 32" xfId="9966" xr:uid="{00000000-0005-0000-0000-000015470000}"/>
    <cellStyle name="Normal 25 24 33" xfId="10091" xr:uid="{00000000-0005-0000-0000-000016470000}"/>
    <cellStyle name="Normal 25 24 34" xfId="4641" xr:uid="{00000000-0005-0000-0000-000017470000}"/>
    <cellStyle name="Normal 25 24 35" xfId="5891" xr:uid="{00000000-0005-0000-0000-000018470000}"/>
    <cellStyle name="Normal 25 24 36" xfId="4916" xr:uid="{00000000-0005-0000-0000-000019470000}"/>
    <cellStyle name="Normal 25 24 37" xfId="10239" xr:uid="{00000000-0005-0000-0000-00001A470000}"/>
    <cellStyle name="Normal 25 24 38" xfId="4613" xr:uid="{00000000-0005-0000-0000-00001B470000}"/>
    <cellStyle name="Normal 25 24 39" xfId="3650" xr:uid="{00000000-0005-0000-0000-00001C470000}"/>
    <cellStyle name="Normal 25 24 4" xfId="26679" xr:uid="{00000000-0005-0000-0000-00001D470000}"/>
    <cellStyle name="Normal 25 24 40" xfId="3298" xr:uid="{00000000-0005-0000-0000-00001E470000}"/>
    <cellStyle name="Normal 25 24 41" xfId="4448" xr:uid="{00000000-0005-0000-0000-00001F470000}"/>
    <cellStyle name="Normal 25 24 42" xfId="10816" xr:uid="{00000000-0005-0000-0000-000020470000}"/>
    <cellStyle name="Normal 25 24 43" xfId="3121" xr:uid="{00000000-0005-0000-0000-000021470000}"/>
    <cellStyle name="Normal 25 24 5" xfId="26083" xr:uid="{00000000-0005-0000-0000-000022470000}"/>
    <cellStyle name="Normal 25 24 6" xfId="25487" xr:uid="{00000000-0005-0000-0000-000023470000}"/>
    <cellStyle name="Normal 25 24 7" xfId="24890" xr:uid="{00000000-0005-0000-0000-000024470000}"/>
    <cellStyle name="Normal 25 24 8" xfId="24293" xr:uid="{00000000-0005-0000-0000-000025470000}"/>
    <cellStyle name="Normal 25 24 9" xfId="23696" xr:uid="{00000000-0005-0000-0000-000026470000}"/>
    <cellStyle name="Normal 25 25" xfId="28472" xr:uid="{00000000-0005-0000-0000-000027470000}"/>
    <cellStyle name="Normal 25 25 10" xfId="23098" xr:uid="{00000000-0005-0000-0000-000028470000}"/>
    <cellStyle name="Normal 25 25 11" xfId="22501" xr:uid="{00000000-0005-0000-0000-000029470000}"/>
    <cellStyle name="Normal 25 25 12" xfId="21905" xr:uid="{00000000-0005-0000-0000-00002A470000}"/>
    <cellStyle name="Normal 25 25 13" xfId="21308" xr:uid="{00000000-0005-0000-0000-00002B470000}"/>
    <cellStyle name="Normal 25 25 14" xfId="20711" xr:uid="{00000000-0005-0000-0000-00002C470000}"/>
    <cellStyle name="Normal 25 25 15" xfId="20114" xr:uid="{00000000-0005-0000-0000-00002D470000}"/>
    <cellStyle name="Normal 25 25 16" xfId="19518" xr:uid="{00000000-0005-0000-0000-00002E470000}"/>
    <cellStyle name="Normal 25 25 17" xfId="18922" xr:uid="{00000000-0005-0000-0000-00002F470000}"/>
    <cellStyle name="Normal 25 25 18" xfId="18330" xr:uid="{00000000-0005-0000-0000-000030470000}"/>
    <cellStyle name="Normal 25 25 19" xfId="17733" xr:uid="{00000000-0005-0000-0000-000031470000}"/>
    <cellStyle name="Normal 25 25 2" xfId="27872" xr:uid="{00000000-0005-0000-0000-000032470000}"/>
    <cellStyle name="Normal 25 25 20" xfId="16930" xr:uid="{00000000-0005-0000-0000-000033470000}"/>
    <cellStyle name="Normal 25 25 21" xfId="16594" xr:uid="{00000000-0005-0000-0000-000034470000}"/>
    <cellStyle name="Normal 25 25 22" xfId="14501" xr:uid="{00000000-0005-0000-0000-000035470000}"/>
    <cellStyle name="Normal 25 25 23" xfId="16122" xr:uid="{00000000-0005-0000-0000-000036470000}"/>
    <cellStyle name="Normal 25 25 24" xfId="17162" xr:uid="{00000000-0005-0000-0000-000037470000}"/>
    <cellStyle name="Normal 25 25 25" xfId="17034" xr:uid="{00000000-0005-0000-0000-000038470000}"/>
    <cellStyle name="Normal 25 25 26" xfId="17465" xr:uid="{00000000-0005-0000-0000-000039470000}"/>
    <cellStyle name="Normal 25 25 27" xfId="12967" xr:uid="{00000000-0005-0000-0000-00003A470000}"/>
    <cellStyle name="Normal 25 25 28" xfId="12342" xr:uid="{00000000-0005-0000-0000-00003B470000}"/>
    <cellStyle name="Normal 25 25 29" xfId="7785" xr:uid="{00000000-0005-0000-0000-00003C470000}"/>
    <cellStyle name="Normal 25 25 3" xfId="27275" xr:uid="{00000000-0005-0000-0000-00003D470000}"/>
    <cellStyle name="Normal 25 25 30" xfId="7593" xr:uid="{00000000-0005-0000-0000-00003E470000}"/>
    <cellStyle name="Normal 25 25 31" xfId="7418" xr:uid="{00000000-0005-0000-0000-00003F470000}"/>
    <cellStyle name="Normal 25 25 32" xfId="11535" xr:uid="{00000000-0005-0000-0000-000040470000}"/>
    <cellStyle name="Normal 25 25 33" xfId="8152" xr:uid="{00000000-0005-0000-0000-000041470000}"/>
    <cellStyle name="Normal 25 25 34" xfId="4619" xr:uid="{00000000-0005-0000-0000-000042470000}"/>
    <cellStyle name="Normal 25 25 35" xfId="4794" xr:uid="{00000000-0005-0000-0000-000043470000}"/>
    <cellStyle name="Normal 25 25 36" xfId="8642" xr:uid="{00000000-0005-0000-0000-000044470000}"/>
    <cellStyle name="Normal 25 25 37" xfId="8272" xr:uid="{00000000-0005-0000-0000-000045470000}"/>
    <cellStyle name="Normal 25 25 38" xfId="10298" xr:uid="{00000000-0005-0000-0000-000046470000}"/>
    <cellStyle name="Normal 25 25 39" xfId="9363" xr:uid="{00000000-0005-0000-0000-000047470000}"/>
    <cellStyle name="Normal 25 25 4" xfId="26678" xr:uid="{00000000-0005-0000-0000-000048470000}"/>
    <cellStyle name="Normal 25 25 40" xfId="4015" xr:uid="{00000000-0005-0000-0000-000049470000}"/>
    <cellStyle name="Normal 25 25 41" xfId="10713" xr:uid="{00000000-0005-0000-0000-00004A470000}"/>
    <cellStyle name="Normal 25 25 42" xfId="4945" xr:uid="{00000000-0005-0000-0000-00004B470000}"/>
    <cellStyle name="Normal 25 25 43" xfId="4668" xr:uid="{00000000-0005-0000-0000-00004C470000}"/>
    <cellStyle name="Normal 25 25 5" xfId="26082" xr:uid="{00000000-0005-0000-0000-00004D470000}"/>
    <cellStyle name="Normal 25 25 6" xfId="25486" xr:uid="{00000000-0005-0000-0000-00004E470000}"/>
    <cellStyle name="Normal 25 25 7" xfId="24889" xr:uid="{00000000-0005-0000-0000-00004F470000}"/>
    <cellStyle name="Normal 25 25 8" xfId="24292" xr:uid="{00000000-0005-0000-0000-000050470000}"/>
    <cellStyle name="Normal 25 25 9" xfId="23695" xr:uid="{00000000-0005-0000-0000-000051470000}"/>
    <cellStyle name="Normal 25 26" xfId="28471" xr:uid="{00000000-0005-0000-0000-000052470000}"/>
    <cellStyle name="Normal 25 26 10" xfId="23097" xr:uid="{00000000-0005-0000-0000-000053470000}"/>
    <cellStyle name="Normal 25 26 11" xfId="22500" xr:uid="{00000000-0005-0000-0000-000054470000}"/>
    <cellStyle name="Normal 25 26 12" xfId="21904" xr:uid="{00000000-0005-0000-0000-000055470000}"/>
    <cellStyle name="Normal 25 26 13" xfId="21307" xr:uid="{00000000-0005-0000-0000-000056470000}"/>
    <cellStyle name="Normal 25 26 14" xfId="20710" xr:uid="{00000000-0005-0000-0000-000057470000}"/>
    <cellStyle name="Normal 25 26 15" xfId="20113" xr:uid="{00000000-0005-0000-0000-000058470000}"/>
    <cellStyle name="Normal 25 26 16" xfId="19517" xr:uid="{00000000-0005-0000-0000-000059470000}"/>
    <cellStyle name="Normal 25 26 17" xfId="18921" xr:uid="{00000000-0005-0000-0000-00005A470000}"/>
    <cellStyle name="Normal 25 26 18" xfId="18329" xr:uid="{00000000-0005-0000-0000-00005B470000}"/>
    <cellStyle name="Normal 25 26 19" xfId="17732" xr:uid="{00000000-0005-0000-0000-00005C470000}"/>
    <cellStyle name="Normal 25 26 2" xfId="27871" xr:uid="{00000000-0005-0000-0000-00005D470000}"/>
    <cellStyle name="Normal 25 26 20" xfId="17137" xr:uid="{00000000-0005-0000-0000-00005E470000}"/>
    <cellStyle name="Normal 25 26 21" xfId="16983" xr:uid="{00000000-0005-0000-0000-00005F470000}"/>
    <cellStyle name="Normal 25 26 22" xfId="14048" xr:uid="{00000000-0005-0000-0000-000060470000}"/>
    <cellStyle name="Normal 25 26 23" xfId="15663" xr:uid="{00000000-0005-0000-0000-000061470000}"/>
    <cellStyle name="Normal 25 26 24" xfId="15432" xr:uid="{00000000-0005-0000-0000-000062470000}"/>
    <cellStyle name="Normal 25 26 25" xfId="17258" xr:uid="{00000000-0005-0000-0000-000063470000}"/>
    <cellStyle name="Normal 25 26 26" xfId="13245" xr:uid="{00000000-0005-0000-0000-000064470000}"/>
    <cellStyle name="Normal 25 26 27" xfId="15639" xr:uid="{00000000-0005-0000-0000-000065470000}"/>
    <cellStyle name="Normal 25 26 28" xfId="12341" xr:uid="{00000000-0005-0000-0000-000066470000}"/>
    <cellStyle name="Normal 25 26 29" xfId="11912" xr:uid="{00000000-0005-0000-0000-000067470000}"/>
    <cellStyle name="Normal 25 26 3" xfId="27274" xr:uid="{00000000-0005-0000-0000-000068470000}"/>
    <cellStyle name="Normal 25 26 30" xfId="8360" xr:uid="{00000000-0005-0000-0000-000069470000}"/>
    <cellStyle name="Normal 25 26 31" xfId="10235" xr:uid="{00000000-0005-0000-0000-00006A470000}"/>
    <cellStyle name="Normal 25 26 32" xfId="7183" xr:uid="{00000000-0005-0000-0000-00006B470000}"/>
    <cellStyle name="Normal 25 26 33" xfId="12110" xr:uid="{00000000-0005-0000-0000-00006C470000}"/>
    <cellStyle name="Normal 25 26 34" xfId="10836" xr:uid="{00000000-0005-0000-0000-00006D470000}"/>
    <cellStyle name="Normal 25 26 35" xfId="7144" xr:uid="{00000000-0005-0000-0000-00006E470000}"/>
    <cellStyle name="Normal 25 26 36" xfId="6057" xr:uid="{00000000-0005-0000-0000-00006F470000}"/>
    <cellStyle name="Normal 25 26 37" xfId="3736" xr:uid="{00000000-0005-0000-0000-000070470000}"/>
    <cellStyle name="Normal 25 26 38" xfId="4090" xr:uid="{00000000-0005-0000-0000-000071470000}"/>
    <cellStyle name="Normal 25 26 39" xfId="4908" xr:uid="{00000000-0005-0000-0000-000072470000}"/>
    <cellStyle name="Normal 25 26 4" xfId="26677" xr:uid="{00000000-0005-0000-0000-000073470000}"/>
    <cellStyle name="Normal 25 26 40" xfId="3899" xr:uid="{00000000-0005-0000-0000-000074470000}"/>
    <cellStyle name="Normal 25 26 41" xfId="6641" xr:uid="{00000000-0005-0000-0000-000075470000}"/>
    <cellStyle name="Normal 25 26 42" xfId="10606" xr:uid="{00000000-0005-0000-0000-000076470000}"/>
    <cellStyle name="Normal 25 26 43" xfId="6045" xr:uid="{00000000-0005-0000-0000-000077470000}"/>
    <cellStyle name="Normal 25 26 5" xfId="26081" xr:uid="{00000000-0005-0000-0000-000078470000}"/>
    <cellStyle name="Normal 25 26 6" xfId="25485" xr:uid="{00000000-0005-0000-0000-000079470000}"/>
    <cellStyle name="Normal 25 26 7" xfId="24888" xr:uid="{00000000-0005-0000-0000-00007A470000}"/>
    <cellStyle name="Normal 25 26 8" xfId="24291" xr:uid="{00000000-0005-0000-0000-00007B470000}"/>
    <cellStyle name="Normal 25 26 9" xfId="23694" xr:uid="{00000000-0005-0000-0000-00007C470000}"/>
    <cellStyle name="Normal 25 27" xfId="27889" xr:uid="{00000000-0005-0000-0000-00007D470000}"/>
    <cellStyle name="Normal 25 28" xfId="27292" xr:uid="{00000000-0005-0000-0000-00007E470000}"/>
    <cellStyle name="Normal 25 29" xfId="26695" xr:uid="{00000000-0005-0000-0000-00007F470000}"/>
    <cellStyle name="Normal 25 3" xfId="28470" xr:uid="{00000000-0005-0000-0000-000080470000}"/>
    <cellStyle name="Normal 25 3 10" xfId="23096" xr:uid="{00000000-0005-0000-0000-000081470000}"/>
    <cellStyle name="Normal 25 3 11" xfId="22499" xr:uid="{00000000-0005-0000-0000-000082470000}"/>
    <cellStyle name="Normal 25 3 12" xfId="21903" xr:uid="{00000000-0005-0000-0000-000083470000}"/>
    <cellStyle name="Normal 25 3 13" xfId="21306" xr:uid="{00000000-0005-0000-0000-000084470000}"/>
    <cellStyle name="Normal 25 3 14" xfId="20709" xr:uid="{00000000-0005-0000-0000-000085470000}"/>
    <cellStyle name="Normal 25 3 15" xfId="20112" xr:uid="{00000000-0005-0000-0000-000086470000}"/>
    <cellStyle name="Normal 25 3 16" xfId="19516" xr:uid="{00000000-0005-0000-0000-000087470000}"/>
    <cellStyle name="Normal 25 3 17" xfId="18920" xr:uid="{00000000-0005-0000-0000-000088470000}"/>
    <cellStyle name="Normal 25 3 18" xfId="18328" xr:uid="{00000000-0005-0000-0000-000089470000}"/>
    <cellStyle name="Normal 25 3 19" xfId="17731" xr:uid="{00000000-0005-0000-0000-00008A470000}"/>
    <cellStyle name="Normal 25 3 2" xfId="27870" xr:uid="{00000000-0005-0000-0000-00008B470000}"/>
    <cellStyle name="Normal 25 3 20" xfId="17330" xr:uid="{00000000-0005-0000-0000-00008C470000}"/>
    <cellStyle name="Normal 25 3 21" xfId="16575" xr:uid="{00000000-0005-0000-0000-00008D470000}"/>
    <cellStyle name="Normal 25 3 22" xfId="15968" xr:uid="{00000000-0005-0000-0000-00008E470000}"/>
    <cellStyle name="Normal 25 3 23" xfId="14603" xr:uid="{00000000-0005-0000-0000-00008F470000}"/>
    <cellStyle name="Normal 25 3 24" xfId="17345" xr:uid="{00000000-0005-0000-0000-000090470000}"/>
    <cellStyle name="Normal 25 3 25" xfId="13024" xr:uid="{00000000-0005-0000-0000-000091470000}"/>
    <cellStyle name="Normal 25 3 26" xfId="14232" xr:uid="{00000000-0005-0000-0000-000092470000}"/>
    <cellStyle name="Normal 25 3 27" xfId="13178" xr:uid="{00000000-0005-0000-0000-000093470000}"/>
    <cellStyle name="Normal 25 3 28" xfId="12340" xr:uid="{00000000-0005-0000-0000-000094470000}"/>
    <cellStyle name="Normal 25 3 29" xfId="8092" xr:uid="{00000000-0005-0000-0000-000095470000}"/>
    <cellStyle name="Normal 25 3 3" xfId="27273" xr:uid="{00000000-0005-0000-0000-000096470000}"/>
    <cellStyle name="Normal 25 3 30" xfId="9937" xr:uid="{00000000-0005-0000-0000-000097470000}"/>
    <cellStyle name="Normal 25 3 31" xfId="6875" xr:uid="{00000000-0005-0000-0000-000098470000}"/>
    <cellStyle name="Normal 25 3 32" xfId="8786" xr:uid="{00000000-0005-0000-0000-000099470000}"/>
    <cellStyle name="Normal 25 3 33" xfId="5241" xr:uid="{00000000-0005-0000-0000-00009A470000}"/>
    <cellStyle name="Normal 25 3 34" xfId="4611" xr:uid="{00000000-0005-0000-0000-00009B470000}"/>
    <cellStyle name="Normal 25 3 35" xfId="6668" xr:uid="{00000000-0005-0000-0000-00009C470000}"/>
    <cellStyle name="Normal 25 3 36" xfId="6500" xr:uid="{00000000-0005-0000-0000-00009D470000}"/>
    <cellStyle name="Normal 25 3 37" xfId="3977" xr:uid="{00000000-0005-0000-0000-00009E470000}"/>
    <cellStyle name="Normal 25 3 38" xfId="7401" xr:uid="{00000000-0005-0000-0000-00009F470000}"/>
    <cellStyle name="Normal 25 3 39" xfId="3547" xr:uid="{00000000-0005-0000-0000-0000A0470000}"/>
    <cellStyle name="Normal 25 3 4" xfId="26676" xr:uid="{00000000-0005-0000-0000-0000A1470000}"/>
    <cellStyle name="Normal 25 3 40" xfId="3380" xr:uid="{00000000-0005-0000-0000-0000A2470000}"/>
    <cellStyle name="Normal 25 3 41" xfId="8024" xr:uid="{00000000-0005-0000-0000-0000A3470000}"/>
    <cellStyle name="Normal 25 3 42" xfId="6068" xr:uid="{00000000-0005-0000-0000-0000A4470000}"/>
    <cellStyle name="Normal 25 3 43" xfId="7052" xr:uid="{00000000-0005-0000-0000-0000A5470000}"/>
    <cellStyle name="Normal 25 3 44" xfId="2925" xr:uid="{00000000-0005-0000-0000-0000A6470000}"/>
    <cellStyle name="Normal 25 3 45" xfId="2682" xr:uid="{00000000-0005-0000-0000-0000A7470000}"/>
    <cellStyle name="Normal 25 3 46" xfId="2442" xr:uid="{00000000-0005-0000-0000-0000A8470000}"/>
    <cellStyle name="Normal 25 3 47" xfId="2202" xr:uid="{00000000-0005-0000-0000-0000A9470000}"/>
    <cellStyle name="Normal 25 3 48" xfId="1962" xr:uid="{00000000-0005-0000-0000-0000AA470000}"/>
    <cellStyle name="Normal 25 3 49" xfId="1722" xr:uid="{00000000-0005-0000-0000-0000AB470000}"/>
    <cellStyle name="Normal 25 3 5" xfId="26080" xr:uid="{00000000-0005-0000-0000-0000AC470000}"/>
    <cellStyle name="Normal 25 3 50" xfId="1483" xr:uid="{00000000-0005-0000-0000-0000AD470000}"/>
    <cellStyle name="Normal 25 3 51" xfId="1243" xr:uid="{00000000-0005-0000-0000-0000AE470000}"/>
    <cellStyle name="Normal 25 3 52" xfId="1003" xr:uid="{00000000-0005-0000-0000-0000AF470000}"/>
    <cellStyle name="Normal 25 3 53" xfId="763" xr:uid="{00000000-0005-0000-0000-0000B0470000}"/>
    <cellStyle name="Normal 25 3 54" xfId="523" xr:uid="{00000000-0005-0000-0000-0000B1470000}"/>
    <cellStyle name="Normal 25 3 55" xfId="284" xr:uid="{00000000-0005-0000-0000-0000B2470000}"/>
    <cellStyle name="Normal 25 3 56" xfId="46" xr:uid="{00000000-0005-0000-0000-0000B3470000}"/>
    <cellStyle name="Normal 25 3 6" xfId="25484" xr:uid="{00000000-0005-0000-0000-0000B4470000}"/>
    <cellStyle name="Normal 25 3 7" xfId="24887" xr:uid="{00000000-0005-0000-0000-0000B5470000}"/>
    <cellStyle name="Normal 25 3 8" xfId="24290" xr:uid="{00000000-0005-0000-0000-0000B6470000}"/>
    <cellStyle name="Normal 25 3 9" xfId="23693" xr:uid="{00000000-0005-0000-0000-0000B7470000}"/>
    <cellStyle name="Normal 25 30" xfId="26099" xr:uid="{00000000-0005-0000-0000-0000B8470000}"/>
    <cellStyle name="Normal 25 31" xfId="25503" xr:uid="{00000000-0005-0000-0000-0000B9470000}"/>
    <cellStyle name="Normal 25 32" xfId="24906" xr:uid="{00000000-0005-0000-0000-0000BA470000}"/>
    <cellStyle name="Normal 25 33" xfId="24309" xr:uid="{00000000-0005-0000-0000-0000BB470000}"/>
    <cellStyle name="Normal 25 34" xfId="23712" xr:uid="{00000000-0005-0000-0000-0000BC470000}"/>
    <cellStyle name="Normal 25 35" xfId="23115" xr:uid="{00000000-0005-0000-0000-0000BD470000}"/>
    <cellStyle name="Normal 25 36" xfId="22518" xr:uid="{00000000-0005-0000-0000-0000BE470000}"/>
    <cellStyle name="Normal 25 37" xfId="21922" xr:uid="{00000000-0005-0000-0000-0000BF470000}"/>
    <cellStyle name="Normal 25 38" xfId="21325" xr:uid="{00000000-0005-0000-0000-0000C0470000}"/>
    <cellStyle name="Normal 25 39" xfId="20728" xr:uid="{00000000-0005-0000-0000-0000C1470000}"/>
    <cellStyle name="Normal 25 4" xfId="28469" xr:uid="{00000000-0005-0000-0000-0000C2470000}"/>
    <cellStyle name="Normal 25 4 10" xfId="23095" xr:uid="{00000000-0005-0000-0000-0000C3470000}"/>
    <cellStyle name="Normal 25 4 11" xfId="22498" xr:uid="{00000000-0005-0000-0000-0000C4470000}"/>
    <cellStyle name="Normal 25 4 12" xfId="21902" xr:uid="{00000000-0005-0000-0000-0000C5470000}"/>
    <cellStyle name="Normal 25 4 13" xfId="21305" xr:uid="{00000000-0005-0000-0000-0000C6470000}"/>
    <cellStyle name="Normal 25 4 14" xfId="20708" xr:uid="{00000000-0005-0000-0000-0000C7470000}"/>
    <cellStyle name="Normal 25 4 15" xfId="20111" xr:uid="{00000000-0005-0000-0000-0000C8470000}"/>
    <cellStyle name="Normal 25 4 16" xfId="19515" xr:uid="{00000000-0005-0000-0000-0000C9470000}"/>
    <cellStyle name="Normal 25 4 17" xfId="18919" xr:uid="{00000000-0005-0000-0000-0000CA470000}"/>
    <cellStyle name="Normal 25 4 18" xfId="18327" xr:uid="{00000000-0005-0000-0000-0000CB470000}"/>
    <cellStyle name="Normal 25 4 19" xfId="17730" xr:uid="{00000000-0005-0000-0000-0000CC470000}"/>
    <cellStyle name="Normal 25 4 2" xfId="27869" xr:uid="{00000000-0005-0000-0000-0000CD470000}"/>
    <cellStyle name="Normal 25 4 20" xfId="14163" xr:uid="{00000000-0005-0000-0000-0000CE470000}"/>
    <cellStyle name="Normal 25 4 21" xfId="16174" xr:uid="{00000000-0005-0000-0000-0000CF470000}"/>
    <cellStyle name="Normal 25 4 22" xfId="15390" xr:uid="{00000000-0005-0000-0000-0000D0470000}"/>
    <cellStyle name="Normal 25 4 23" xfId="13712" xr:uid="{00000000-0005-0000-0000-0000D1470000}"/>
    <cellStyle name="Normal 25 4 24" xfId="13871" xr:uid="{00000000-0005-0000-0000-0000D2470000}"/>
    <cellStyle name="Normal 25 4 25" xfId="12891" xr:uid="{00000000-0005-0000-0000-0000D3470000}"/>
    <cellStyle name="Normal 25 4 26" xfId="15890" xr:uid="{00000000-0005-0000-0000-0000D4470000}"/>
    <cellStyle name="Normal 25 4 27" xfId="13247" xr:uid="{00000000-0005-0000-0000-0000D5470000}"/>
    <cellStyle name="Normal 25 4 28" xfId="12339" xr:uid="{00000000-0005-0000-0000-0000D6470000}"/>
    <cellStyle name="Normal 25 4 29" xfId="8300" xr:uid="{00000000-0005-0000-0000-0000D7470000}"/>
    <cellStyle name="Normal 25 4 3" xfId="27272" xr:uid="{00000000-0005-0000-0000-0000D8470000}"/>
    <cellStyle name="Normal 25 4 30" xfId="9929" xr:uid="{00000000-0005-0000-0000-0000D9470000}"/>
    <cellStyle name="Normal 25 4 31" xfId="6795" xr:uid="{00000000-0005-0000-0000-0000DA470000}"/>
    <cellStyle name="Normal 25 4 32" xfId="10690" xr:uid="{00000000-0005-0000-0000-0000DB470000}"/>
    <cellStyle name="Normal 25 4 33" xfId="7837" xr:uid="{00000000-0005-0000-0000-0000DC470000}"/>
    <cellStyle name="Normal 25 4 34" xfId="8943" xr:uid="{00000000-0005-0000-0000-0000DD470000}"/>
    <cellStyle name="Normal 25 4 35" xfId="10010" xr:uid="{00000000-0005-0000-0000-0000DE470000}"/>
    <cellStyle name="Normal 25 4 36" xfId="5228" xr:uid="{00000000-0005-0000-0000-0000DF470000}"/>
    <cellStyle name="Normal 25 4 37" xfId="3960" xr:uid="{00000000-0005-0000-0000-0000E0470000}"/>
    <cellStyle name="Normal 25 4 38" xfId="9140" xr:uid="{00000000-0005-0000-0000-0000E1470000}"/>
    <cellStyle name="Normal 25 4 39" xfId="4055" xr:uid="{00000000-0005-0000-0000-0000E2470000}"/>
    <cellStyle name="Normal 25 4 4" xfId="26675" xr:uid="{00000000-0005-0000-0000-0000E3470000}"/>
    <cellStyle name="Normal 25 4 40" xfId="3358" xr:uid="{00000000-0005-0000-0000-0000E4470000}"/>
    <cellStyle name="Normal 25 4 41" xfId="6549" xr:uid="{00000000-0005-0000-0000-0000E5470000}"/>
    <cellStyle name="Normal 25 4 42" xfId="7407" xr:uid="{00000000-0005-0000-0000-0000E6470000}"/>
    <cellStyle name="Normal 25 4 43" xfId="3367" xr:uid="{00000000-0005-0000-0000-0000E7470000}"/>
    <cellStyle name="Normal 25 4 44" xfId="2924" xr:uid="{00000000-0005-0000-0000-0000E8470000}"/>
    <cellStyle name="Normal 25 4 45" xfId="2681" xr:uid="{00000000-0005-0000-0000-0000E9470000}"/>
    <cellStyle name="Normal 25 4 46" xfId="2441" xr:uid="{00000000-0005-0000-0000-0000EA470000}"/>
    <cellStyle name="Normal 25 4 47" xfId="2201" xr:uid="{00000000-0005-0000-0000-0000EB470000}"/>
    <cellStyle name="Normal 25 4 48" xfId="1961" xr:uid="{00000000-0005-0000-0000-0000EC470000}"/>
    <cellStyle name="Normal 25 4 49" xfId="1721" xr:uid="{00000000-0005-0000-0000-0000ED470000}"/>
    <cellStyle name="Normal 25 4 5" xfId="26079" xr:uid="{00000000-0005-0000-0000-0000EE470000}"/>
    <cellStyle name="Normal 25 4 50" xfId="1482" xr:uid="{00000000-0005-0000-0000-0000EF470000}"/>
    <cellStyle name="Normal 25 4 51" xfId="1242" xr:uid="{00000000-0005-0000-0000-0000F0470000}"/>
    <cellStyle name="Normal 25 4 52" xfId="1002" xr:uid="{00000000-0005-0000-0000-0000F1470000}"/>
    <cellStyle name="Normal 25 4 53" xfId="762" xr:uid="{00000000-0005-0000-0000-0000F2470000}"/>
    <cellStyle name="Normal 25 4 54" xfId="522" xr:uid="{00000000-0005-0000-0000-0000F3470000}"/>
    <cellStyle name="Normal 25 4 55" xfId="283" xr:uid="{00000000-0005-0000-0000-0000F4470000}"/>
    <cellStyle name="Normal 25 4 56" xfId="45" xr:uid="{00000000-0005-0000-0000-0000F5470000}"/>
    <cellStyle name="Normal 25 4 6" xfId="25483" xr:uid="{00000000-0005-0000-0000-0000F6470000}"/>
    <cellStyle name="Normal 25 4 7" xfId="24886" xr:uid="{00000000-0005-0000-0000-0000F7470000}"/>
    <cellStyle name="Normal 25 4 8" xfId="24289" xr:uid="{00000000-0005-0000-0000-0000F8470000}"/>
    <cellStyle name="Normal 25 4 9" xfId="23692" xr:uid="{00000000-0005-0000-0000-0000F9470000}"/>
    <cellStyle name="Normal 25 40" xfId="20131" xr:uid="{00000000-0005-0000-0000-0000FA470000}"/>
    <cellStyle name="Normal 25 41" xfId="19535" xr:uid="{00000000-0005-0000-0000-0000FB470000}"/>
    <cellStyle name="Normal 25 42" xfId="18939" xr:uid="{00000000-0005-0000-0000-0000FC470000}"/>
    <cellStyle name="Normal 25 43" xfId="18347" xr:uid="{00000000-0005-0000-0000-0000FD470000}"/>
    <cellStyle name="Normal 25 44" xfId="17750" xr:uid="{00000000-0005-0000-0000-0000FE470000}"/>
    <cellStyle name="Normal 25 45" xfId="16929" xr:uid="{00000000-0005-0000-0000-0000FF470000}"/>
    <cellStyle name="Normal 25 46" xfId="16786" xr:uid="{00000000-0005-0000-0000-000000480000}"/>
    <cellStyle name="Normal 25 47" xfId="15570" xr:uid="{00000000-0005-0000-0000-000001480000}"/>
    <cellStyle name="Normal 25 48" xfId="15231" xr:uid="{00000000-0005-0000-0000-000002480000}"/>
    <cellStyle name="Normal 25 49" xfId="13628" xr:uid="{00000000-0005-0000-0000-000003480000}"/>
    <cellStyle name="Normal 25 5" xfId="28468" xr:uid="{00000000-0005-0000-0000-000004480000}"/>
    <cellStyle name="Normal 25 5 10" xfId="23094" xr:uid="{00000000-0005-0000-0000-000005480000}"/>
    <cellStyle name="Normal 25 5 11" xfId="22497" xr:uid="{00000000-0005-0000-0000-000006480000}"/>
    <cellStyle name="Normal 25 5 12" xfId="21901" xr:uid="{00000000-0005-0000-0000-000007480000}"/>
    <cellStyle name="Normal 25 5 13" xfId="21304" xr:uid="{00000000-0005-0000-0000-000008480000}"/>
    <cellStyle name="Normal 25 5 14" xfId="20707" xr:uid="{00000000-0005-0000-0000-000009480000}"/>
    <cellStyle name="Normal 25 5 15" xfId="20110" xr:uid="{00000000-0005-0000-0000-00000A480000}"/>
    <cellStyle name="Normal 25 5 16" xfId="19514" xr:uid="{00000000-0005-0000-0000-00000B480000}"/>
    <cellStyle name="Normal 25 5 17" xfId="18918" xr:uid="{00000000-0005-0000-0000-00000C480000}"/>
    <cellStyle name="Normal 25 5 18" xfId="18326" xr:uid="{00000000-0005-0000-0000-00000D480000}"/>
    <cellStyle name="Normal 25 5 19" xfId="17729" xr:uid="{00000000-0005-0000-0000-00000E480000}"/>
    <cellStyle name="Normal 25 5 2" xfId="27868" xr:uid="{00000000-0005-0000-0000-00000F480000}"/>
    <cellStyle name="Normal 25 5 20" xfId="14352" xr:uid="{00000000-0005-0000-0000-000010480000}"/>
    <cellStyle name="Normal 25 5 21" xfId="13974" xr:uid="{00000000-0005-0000-0000-000011480000}"/>
    <cellStyle name="Normal 25 5 22" xfId="16218" xr:uid="{00000000-0005-0000-0000-000012480000}"/>
    <cellStyle name="Normal 25 5 23" xfId="17020" xr:uid="{00000000-0005-0000-0000-000013480000}"/>
    <cellStyle name="Normal 25 5 24" xfId="14084" xr:uid="{00000000-0005-0000-0000-000014480000}"/>
    <cellStyle name="Normal 25 5 25" xfId="12992" xr:uid="{00000000-0005-0000-0000-000015480000}"/>
    <cellStyle name="Normal 25 5 26" xfId="14311" xr:uid="{00000000-0005-0000-0000-000016480000}"/>
    <cellStyle name="Normal 25 5 27" xfId="13859" xr:uid="{00000000-0005-0000-0000-000017480000}"/>
    <cellStyle name="Normal 25 5 28" xfId="12338" xr:uid="{00000000-0005-0000-0000-000018480000}"/>
    <cellStyle name="Normal 25 5 29" xfId="8515" xr:uid="{00000000-0005-0000-0000-000019480000}"/>
    <cellStyle name="Normal 25 5 3" xfId="27271" xr:uid="{00000000-0005-0000-0000-00001A480000}"/>
    <cellStyle name="Normal 25 5 30" xfId="10378" xr:uid="{00000000-0005-0000-0000-00001B480000}"/>
    <cellStyle name="Normal 25 5 31" xfId="8324" xr:uid="{00000000-0005-0000-0000-00001C480000}"/>
    <cellStyle name="Normal 25 5 32" xfId="5300" xr:uid="{00000000-0005-0000-0000-00001D480000}"/>
    <cellStyle name="Normal 25 5 33" xfId="9522" xr:uid="{00000000-0005-0000-0000-00001E480000}"/>
    <cellStyle name="Normal 25 5 34" xfId="7762" xr:uid="{00000000-0005-0000-0000-00001F480000}"/>
    <cellStyle name="Normal 25 5 35" xfId="12040" xr:uid="{00000000-0005-0000-0000-000020480000}"/>
    <cellStyle name="Normal 25 5 36" xfId="8650" xr:uid="{00000000-0005-0000-0000-000021480000}"/>
    <cellStyle name="Normal 25 5 37" xfId="9055" xr:uid="{00000000-0005-0000-0000-000022480000}"/>
    <cellStyle name="Normal 25 5 38" xfId="8482" xr:uid="{00000000-0005-0000-0000-000023480000}"/>
    <cellStyle name="Normal 25 5 39" xfId="3880" xr:uid="{00000000-0005-0000-0000-000024480000}"/>
    <cellStyle name="Normal 25 5 4" xfId="26674" xr:uid="{00000000-0005-0000-0000-000025480000}"/>
    <cellStyle name="Normal 25 5 40" xfId="5455" xr:uid="{00000000-0005-0000-0000-000026480000}"/>
    <cellStyle name="Normal 25 5 41" xfId="6750" xr:uid="{00000000-0005-0000-0000-000027480000}"/>
    <cellStyle name="Normal 25 5 42" xfId="3743" xr:uid="{00000000-0005-0000-0000-000028480000}"/>
    <cellStyle name="Normal 25 5 43" xfId="4548" xr:uid="{00000000-0005-0000-0000-000029480000}"/>
    <cellStyle name="Normal 25 5 44" xfId="2923" xr:uid="{00000000-0005-0000-0000-00002A480000}"/>
    <cellStyle name="Normal 25 5 45" xfId="2680" xr:uid="{00000000-0005-0000-0000-00002B480000}"/>
    <cellStyle name="Normal 25 5 46" xfId="2440" xr:uid="{00000000-0005-0000-0000-00002C480000}"/>
    <cellStyle name="Normal 25 5 47" xfId="2200" xr:uid="{00000000-0005-0000-0000-00002D480000}"/>
    <cellStyle name="Normal 25 5 48" xfId="1960" xr:uid="{00000000-0005-0000-0000-00002E480000}"/>
    <cellStyle name="Normal 25 5 49" xfId="1720" xr:uid="{00000000-0005-0000-0000-00002F480000}"/>
    <cellStyle name="Normal 25 5 5" xfId="26078" xr:uid="{00000000-0005-0000-0000-000030480000}"/>
    <cellStyle name="Normal 25 5 50" xfId="1481" xr:uid="{00000000-0005-0000-0000-000031480000}"/>
    <cellStyle name="Normal 25 5 51" xfId="1241" xr:uid="{00000000-0005-0000-0000-000032480000}"/>
    <cellStyle name="Normal 25 5 52" xfId="1001" xr:uid="{00000000-0005-0000-0000-000033480000}"/>
    <cellStyle name="Normal 25 5 53" xfId="761" xr:uid="{00000000-0005-0000-0000-000034480000}"/>
    <cellStyle name="Normal 25 5 54" xfId="521" xr:uid="{00000000-0005-0000-0000-000035480000}"/>
    <cellStyle name="Normal 25 5 55" xfId="282" xr:uid="{00000000-0005-0000-0000-000036480000}"/>
    <cellStyle name="Normal 25 5 56" xfId="44" xr:uid="{00000000-0005-0000-0000-000037480000}"/>
    <cellStyle name="Normal 25 5 6" xfId="25482" xr:uid="{00000000-0005-0000-0000-000038480000}"/>
    <cellStyle name="Normal 25 5 7" xfId="24885" xr:uid="{00000000-0005-0000-0000-000039480000}"/>
    <cellStyle name="Normal 25 5 8" xfId="24288" xr:uid="{00000000-0005-0000-0000-00003A480000}"/>
    <cellStyle name="Normal 25 5 9" xfId="23691" xr:uid="{00000000-0005-0000-0000-00003B480000}"/>
    <cellStyle name="Normal 25 50" xfId="15641" xr:uid="{00000000-0005-0000-0000-00003C480000}"/>
    <cellStyle name="Normal 25 51" xfId="15894" xr:uid="{00000000-0005-0000-0000-00003D480000}"/>
    <cellStyle name="Normal 25 52" xfId="13272" xr:uid="{00000000-0005-0000-0000-00003E480000}"/>
    <cellStyle name="Normal 25 53" xfId="12359" xr:uid="{00000000-0005-0000-0000-00003F480000}"/>
    <cellStyle name="Normal 25 54" xfId="9656" xr:uid="{00000000-0005-0000-0000-000040480000}"/>
    <cellStyle name="Normal 25 55" xfId="11667" xr:uid="{00000000-0005-0000-0000-000041480000}"/>
    <cellStyle name="Normal 25 56" xfId="7829" xr:uid="{00000000-0005-0000-0000-000042480000}"/>
    <cellStyle name="Normal 25 57" xfId="11354" xr:uid="{00000000-0005-0000-0000-000043480000}"/>
    <cellStyle name="Normal 25 58" xfId="10695" xr:uid="{00000000-0005-0000-0000-000044480000}"/>
    <cellStyle name="Normal 25 59" xfId="11628" xr:uid="{00000000-0005-0000-0000-000045480000}"/>
    <cellStyle name="Normal 25 6" xfId="28467" xr:uid="{00000000-0005-0000-0000-000046480000}"/>
    <cellStyle name="Normal 25 6 10" xfId="23093" xr:uid="{00000000-0005-0000-0000-000047480000}"/>
    <cellStyle name="Normal 25 6 11" xfId="22496" xr:uid="{00000000-0005-0000-0000-000048480000}"/>
    <cellStyle name="Normal 25 6 12" xfId="21900" xr:uid="{00000000-0005-0000-0000-000049480000}"/>
    <cellStyle name="Normal 25 6 13" xfId="21303" xr:uid="{00000000-0005-0000-0000-00004A480000}"/>
    <cellStyle name="Normal 25 6 14" xfId="20706" xr:uid="{00000000-0005-0000-0000-00004B480000}"/>
    <cellStyle name="Normal 25 6 15" xfId="20109" xr:uid="{00000000-0005-0000-0000-00004C480000}"/>
    <cellStyle name="Normal 25 6 16" xfId="19513" xr:uid="{00000000-0005-0000-0000-00004D480000}"/>
    <cellStyle name="Normal 25 6 17" xfId="18917" xr:uid="{00000000-0005-0000-0000-00004E480000}"/>
    <cellStyle name="Normal 25 6 18" xfId="18325" xr:uid="{00000000-0005-0000-0000-00004F480000}"/>
    <cellStyle name="Normal 25 6 19" xfId="17728" xr:uid="{00000000-0005-0000-0000-000050480000}"/>
    <cellStyle name="Normal 25 6 2" xfId="27867" xr:uid="{00000000-0005-0000-0000-000051480000}"/>
    <cellStyle name="Normal 25 6 20" xfId="14543" xr:uid="{00000000-0005-0000-0000-000052480000}"/>
    <cellStyle name="Normal 25 6 21" xfId="15529" xr:uid="{00000000-0005-0000-0000-000053480000}"/>
    <cellStyle name="Normal 25 6 22" xfId="16590" xr:uid="{00000000-0005-0000-0000-000054480000}"/>
    <cellStyle name="Normal 25 6 23" xfId="15498" xr:uid="{00000000-0005-0000-0000-000055480000}"/>
    <cellStyle name="Normal 25 6 24" xfId="16015" xr:uid="{00000000-0005-0000-0000-000056480000}"/>
    <cellStyle name="Normal 25 6 25" xfId="15565" xr:uid="{00000000-0005-0000-0000-000057480000}"/>
    <cellStyle name="Normal 25 6 26" xfId="15671" xr:uid="{00000000-0005-0000-0000-000058480000}"/>
    <cellStyle name="Normal 25 6 27" xfId="14690" xr:uid="{00000000-0005-0000-0000-000059480000}"/>
    <cellStyle name="Normal 25 6 28" xfId="12337" xr:uid="{00000000-0005-0000-0000-00005A480000}"/>
    <cellStyle name="Normal 25 6 29" xfId="8731" xr:uid="{00000000-0005-0000-0000-00005B480000}"/>
    <cellStyle name="Normal 25 6 3" xfId="27270" xr:uid="{00000000-0005-0000-0000-00005C480000}"/>
    <cellStyle name="Normal 25 6 30" xfId="10603" xr:uid="{00000000-0005-0000-0000-00005D480000}"/>
    <cellStyle name="Normal 25 6 31" xfId="11381" xr:uid="{00000000-0005-0000-0000-00005E480000}"/>
    <cellStyle name="Normal 25 6 32" xfId="7485" xr:uid="{00000000-0005-0000-0000-00005F480000}"/>
    <cellStyle name="Normal 25 6 33" xfId="11923" xr:uid="{00000000-0005-0000-0000-000060480000}"/>
    <cellStyle name="Normal 25 6 34" xfId="6517" xr:uid="{00000000-0005-0000-0000-000061480000}"/>
    <cellStyle name="Normal 25 6 35" xfId="8179" xr:uid="{00000000-0005-0000-0000-000062480000}"/>
    <cellStyle name="Normal 25 6 36" xfId="7388" xr:uid="{00000000-0005-0000-0000-000063480000}"/>
    <cellStyle name="Normal 25 6 37" xfId="5000" xr:uid="{00000000-0005-0000-0000-000064480000}"/>
    <cellStyle name="Normal 25 6 38" xfId="11787" xr:uid="{00000000-0005-0000-0000-000065480000}"/>
    <cellStyle name="Normal 25 6 39" xfId="11665" xr:uid="{00000000-0005-0000-0000-000066480000}"/>
    <cellStyle name="Normal 25 6 4" xfId="26673" xr:uid="{00000000-0005-0000-0000-000067480000}"/>
    <cellStyle name="Normal 25 6 40" xfId="3564" xr:uid="{00000000-0005-0000-0000-000068480000}"/>
    <cellStyle name="Normal 25 6 41" xfId="10305" xr:uid="{00000000-0005-0000-0000-000069480000}"/>
    <cellStyle name="Normal 25 6 42" xfId="4198" xr:uid="{00000000-0005-0000-0000-00006A480000}"/>
    <cellStyle name="Normal 25 6 43" xfId="6638" xr:uid="{00000000-0005-0000-0000-00006B480000}"/>
    <cellStyle name="Normal 25 6 44" xfId="2922" xr:uid="{00000000-0005-0000-0000-00006C480000}"/>
    <cellStyle name="Normal 25 6 45" xfId="2679" xr:uid="{00000000-0005-0000-0000-00006D480000}"/>
    <cellStyle name="Normal 25 6 46" xfId="2439" xr:uid="{00000000-0005-0000-0000-00006E480000}"/>
    <cellStyle name="Normal 25 6 47" xfId="2199" xr:uid="{00000000-0005-0000-0000-00006F480000}"/>
    <cellStyle name="Normal 25 6 48" xfId="1959" xr:uid="{00000000-0005-0000-0000-000070480000}"/>
    <cellStyle name="Normal 25 6 49" xfId="1719" xr:uid="{00000000-0005-0000-0000-000071480000}"/>
    <cellStyle name="Normal 25 6 5" xfId="26077" xr:uid="{00000000-0005-0000-0000-000072480000}"/>
    <cellStyle name="Normal 25 6 50" xfId="1480" xr:uid="{00000000-0005-0000-0000-000073480000}"/>
    <cellStyle name="Normal 25 6 51" xfId="1240" xr:uid="{00000000-0005-0000-0000-000074480000}"/>
    <cellStyle name="Normal 25 6 52" xfId="1000" xr:uid="{00000000-0005-0000-0000-000075480000}"/>
    <cellStyle name="Normal 25 6 53" xfId="760" xr:uid="{00000000-0005-0000-0000-000076480000}"/>
    <cellStyle name="Normal 25 6 54" xfId="520" xr:uid="{00000000-0005-0000-0000-000077480000}"/>
    <cellStyle name="Normal 25 6 55" xfId="281" xr:uid="{00000000-0005-0000-0000-000078480000}"/>
    <cellStyle name="Normal 25 6 56" xfId="43" xr:uid="{00000000-0005-0000-0000-000079480000}"/>
    <cellStyle name="Normal 25 6 6" xfId="25481" xr:uid="{00000000-0005-0000-0000-00007A480000}"/>
    <cellStyle name="Normal 25 6 7" xfId="24884" xr:uid="{00000000-0005-0000-0000-00007B480000}"/>
    <cellStyle name="Normal 25 6 8" xfId="24287" xr:uid="{00000000-0005-0000-0000-00007C480000}"/>
    <cellStyle name="Normal 25 6 9" xfId="23690" xr:uid="{00000000-0005-0000-0000-00007D480000}"/>
    <cellStyle name="Normal 25 60" xfId="11814" xr:uid="{00000000-0005-0000-0000-00007E480000}"/>
    <cellStyle name="Normal 25 61" xfId="8767" xr:uid="{00000000-0005-0000-0000-00007F480000}"/>
    <cellStyle name="Normal 25 62" xfId="4512" xr:uid="{00000000-0005-0000-0000-000080480000}"/>
    <cellStyle name="Normal 25 63" xfId="4949" xr:uid="{00000000-0005-0000-0000-000081480000}"/>
    <cellStyle name="Normal 25 64" xfId="3794" xr:uid="{00000000-0005-0000-0000-000082480000}"/>
    <cellStyle name="Normal 25 65" xfId="9019" xr:uid="{00000000-0005-0000-0000-000083480000}"/>
    <cellStyle name="Normal 25 66" xfId="12058" xr:uid="{00000000-0005-0000-0000-000084480000}"/>
    <cellStyle name="Normal 25 67" xfId="7869" xr:uid="{00000000-0005-0000-0000-000085480000}"/>
    <cellStyle name="Normal 25 68" xfId="4575" xr:uid="{00000000-0005-0000-0000-000086480000}"/>
    <cellStyle name="Normal 25 7" xfId="28466" xr:uid="{00000000-0005-0000-0000-000087480000}"/>
    <cellStyle name="Normal 25 7 10" xfId="23092" xr:uid="{00000000-0005-0000-0000-000088480000}"/>
    <cellStyle name="Normal 25 7 11" xfId="22495" xr:uid="{00000000-0005-0000-0000-000089480000}"/>
    <cellStyle name="Normal 25 7 12" xfId="21899" xr:uid="{00000000-0005-0000-0000-00008A480000}"/>
    <cellStyle name="Normal 25 7 13" xfId="21302" xr:uid="{00000000-0005-0000-0000-00008B480000}"/>
    <cellStyle name="Normal 25 7 14" xfId="20705" xr:uid="{00000000-0005-0000-0000-00008C480000}"/>
    <cellStyle name="Normal 25 7 15" xfId="20108" xr:uid="{00000000-0005-0000-0000-00008D480000}"/>
    <cellStyle name="Normal 25 7 16" xfId="19512" xr:uid="{00000000-0005-0000-0000-00008E480000}"/>
    <cellStyle name="Normal 25 7 17" xfId="18916" xr:uid="{00000000-0005-0000-0000-00008F480000}"/>
    <cellStyle name="Normal 25 7 18" xfId="18324" xr:uid="{00000000-0005-0000-0000-000090480000}"/>
    <cellStyle name="Normal 25 7 19" xfId="17727" xr:uid="{00000000-0005-0000-0000-000091480000}"/>
    <cellStyle name="Normal 25 7 2" xfId="27866" xr:uid="{00000000-0005-0000-0000-000092480000}"/>
    <cellStyle name="Normal 25 7 20" xfId="14740" xr:uid="{00000000-0005-0000-0000-000093480000}"/>
    <cellStyle name="Normal 25 7 21" xfId="15516" xr:uid="{00000000-0005-0000-0000-000094480000}"/>
    <cellStyle name="Normal 25 7 22" xfId="16765" xr:uid="{00000000-0005-0000-0000-000095480000}"/>
    <cellStyle name="Normal 25 7 23" xfId="17474" xr:uid="{00000000-0005-0000-0000-000096480000}"/>
    <cellStyle name="Normal 25 7 24" xfId="13066" xr:uid="{00000000-0005-0000-0000-000097480000}"/>
    <cellStyle name="Normal 25 7 25" xfId="17150" xr:uid="{00000000-0005-0000-0000-000098480000}"/>
    <cellStyle name="Normal 25 7 26" xfId="17185" xr:uid="{00000000-0005-0000-0000-000099480000}"/>
    <cellStyle name="Normal 25 7 27" xfId="13513" xr:uid="{00000000-0005-0000-0000-00009A480000}"/>
    <cellStyle name="Normal 25 7 28" xfId="12336" xr:uid="{00000000-0005-0000-0000-00009B480000}"/>
    <cellStyle name="Normal 25 7 29" xfId="8969" xr:uid="{00000000-0005-0000-0000-00009C480000}"/>
    <cellStyle name="Normal 25 7 3" xfId="27269" xr:uid="{00000000-0005-0000-0000-00009D480000}"/>
    <cellStyle name="Normal 25 7 30" xfId="5863" xr:uid="{00000000-0005-0000-0000-00009E480000}"/>
    <cellStyle name="Normal 25 7 31" xfId="9132" xr:uid="{00000000-0005-0000-0000-00009F480000}"/>
    <cellStyle name="Normal 25 7 32" xfId="5119" xr:uid="{00000000-0005-0000-0000-0000A0480000}"/>
    <cellStyle name="Normal 25 7 33" xfId="6107" xr:uid="{00000000-0005-0000-0000-0000A1480000}"/>
    <cellStyle name="Normal 25 7 34" xfId="8431" xr:uid="{00000000-0005-0000-0000-0000A2480000}"/>
    <cellStyle name="Normal 25 7 35" xfId="6106" xr:uid="{00000000-0005-0000-0000-0000A3480000}"/>
    <cellStyle name="Normal 25 7 36" xfId="4849" xr:uid="{00000000-0005-0000-0000-0000A4480000}"/>
    <cellStyle name="Normal 25 7 37" xfId="3937" xr:uid="{00000000-0005-0000-0000-0000A5480000}"/>
    <cellStyle name="Normal 25 7 38" xfId="5266" xr:uid="{00000000-0005-0000-0000-0000A6480000}"/>
    <cellStyle name="Normal 25 7 39" xfId="8691" xr:uid="{00000000-0005-0000-0000-0000A7480000}"/>
    <cellStyle name="Normal 25 7 4" xfId="26672" xr:uid="{00000000-0005-0000-0000-0000A8480000}"/>
    <cellStyle name="Normal 25 7 40" xfId="4122" xr:uid="{00000000-0005-0000-0000-0000A9480000}"/>
    <cellStyle name="Normal 25 7 41" xfId="7127" xr:uid="{00000000-0005-0000-0000-0000AA480000}"/>
    <cellStyle name="Normal 25 7 42" xfId="3277" xr:uid="{00000000-0005-0000-0000-0000AB480000}"/>
    <cellStyle name="Normal 25 7 43" xfId="8952" xr:uid="{00000000-0005-0000-0000-0000AC480000}"/>
    <cellStyle name="Normal 25 7 44" xfId="2921" xr:uid="{00000000-0005-0000-0000-0000AD480000}"/>
    <cellStyle name="Normal 25 7 45" xfId="2678" xr:uid="{00000000-0005-0000-0000-0000AE480000}"/>
    <cellStyle name="Normal 25 7 46" xfId="2438" xr:uid="{00000000-0005-0000-0000-0000AF480000}"/>
    <cellStyle name="Normal 25 7 47" xfId="2198" xr:uid="{00000000-0005-0000-0000-0000B0480000}"/>
    <cellStyle name="Normal 25 7 48" xfId="1958" xr:uid="{00000000-0005-0000-0000-0000B1480000}"/>
    <cellStyle name="Normal 25 7 49" xfId="1718" xr:uid="{00000000-0005-0000-0000-0000B2480000}"/>
    <cellStyle name="Normal 25 7 5" xfId="26076" xr:uid="{00000000-0005-0000-0000-0000B3480000}"/>
    <cellStyle name="Normal 25 7 50" xfId="1479" xr:uid="{00000000-0005-0000-0000-0000B4480000}"/>
    <cellStyle name="Normal 25 7 51" xfId="1239" xr:uid="{00000000-0005-0000-0000-0000B5480000}"/>
    <cellStyle name="Normal 25 7 52" xfId="999" xr:uid="{00000000-0005-0000-0000-0000B6480000}"/>
    <cellStyle name="Normal 25 7 53" xfId="759" xr:uid="{00000000-0005-0000-0000-0000B7480000}"/>
    <cellStyle name="Normal 25 7 54" xfId="519" xr:uid="{00000000-0005-0000-0000-0000B8480000}"/>
    <cellStyle name="Normal 25 7 55" xfId="280" xr:uid="{00000000-0005-0000-0000-0000B9480000}"/>
    <cellStyle name="Normal 25 7 56" xfId="42" xr:uid="{00000000-0005-0000-0000-0000BA480000}"/>
    <cellStyle name="Normal 25 7 6" xfId="25480" xr:uid="{00000000-0005-0000-0000-0000BB480000}"/>
    <cellStyle name="Normal 25 7 7" xfId="24883" xr:uid="{00000000-0005-0000-0000-0000BC480000}"/>
    <cellStyle name="Normal 25 7 8" xfId="24286" xr:uid="{00000000-0005-0000-0000-0000BD480000}"/>
    <cellStyle name="Normal 25 7 9" xfId="23689" xr:uid="{00000000-0005-0000-0000-0000BE480000}"/>
    <cellStyle name="Normal 25 8" xfId="28465" xr:uid="{00000000-0005-0000-0000-0000BF480000}"/>
    <cellStyle name="Normal 25 8 10" xfId="23091" xr:uid="{00000000-0005-0000-0000-0000C0480000}"/>
    <cellStyle name="Normal 25 8 11" xfId="22494" xr:uid="{00000000-0005-0000-0000-0000C1480000}"/>
    <cellStyle name="Normal 25 8 12" xfId="21898" xr:uid="{00000000-0005-0000-0000-0000C2480000}"/>
    <cellStyle name="Normal 25 8 13" xfId="21301" xr:uid="{00000000-0005-0000-0000-0000C3480000}"/>
    <cellStyle name="Normal 25 8 14" xfId="20704" xr:uid="{00000000-0005-0000-0000-0000C4480000}"/>
    <cellStyle name="Normal 25 8 15" xfId="20107" xr:uid="{00000000-0005-0000-0000-0000C5480000}"/>
    <cellStyle name="Normal 25 8 16" xfId="19511" xr:uid="{00000000-0005-0000-0000-0000C6480000}"/>
    <cellStyle name="Normal 25 8 17" xfId="18915" xr:uid="{00000000-0005-0000-0000-0000C7480000}"/>
    <cellStyle name="Normal 25 8 18" xfId="18323" xr:uid="{00000000-0005-0000-0000-0000C8480000}"/>
    <cellStyle name="Normal 25 8 19" xfId="17726" xr:uid="{00000000-0005-0000-0000-0000C9480000}"/>
    <cellStyle name="Normal 25 8 2" xfId="27865" xr:uid="{00000000-0005-0000-0000-0000CA480000}"/>
    <cellStyle name="Normal 25 8 20" xfId="14942" xr:uid="{00000000-0005-0000-0000-0000CB480000}"/>
    <cellStyle name="Normal 25 8 21" xfId="15506" xr:uid="{00000000-0005-0000-0000-0000CC480000}"/>
    <cellStyle name="Normal 25 8 22" xfId="16783" xr:uid="{00000000-0005-0000-0000-0000CD480000}"/>
    <cellStyle name="Normal 25 8 23" xfId="15845" xr:uid="{00000000-0005-0000-0000-0000CE480000}"/>
    <cellStyle name="Normal 25 8 24" xfId="13298" xr:uid="{00000000-0005-0000-0000-0000CF480000}"/>
    <cellStyle name="Normal 25 8 25" xfId="13467" xr:uid="{00000000-0005-0000-0000-0000D0480000}"/>
    <cellStyle name="Normal 25 8 26" xfId="17167" xr:uid="{00000000-0005-0000-0000-0000D1480000}"/>
    <cellStyle name="Normal 25 8 27" xfId="16828" xr:uid="{00000000-0005-0000-0000-0000D2480000}"/>
    <cellStyle name="Normal 25 8 28" xfId="12335" xr:uid="{00000000-0005-0000-0000-0000D3480000}"/>
    <cellStyle name="Normal 25 8 29" xfId="9204" xr:uid="{00000000-0005-0000-0000-0000D4480000}"/>
    <cellStyle name="Normal 25 8 3" xfId="27268" xr:uid="{00000000-0005-0000-0000-0000D5480000}"/>
    <cellStyle name="Normal 25 8 30" xfId="8240" xr:uid="{00000000-0005-0000-0000-0000D6480000}"/>
    <cellStyle name="Normal 25 8 31" xfId="11669" xr:uid="{00000000-0005-0000-0000-0000D7480000}"/>
    <cellStyle name="Normal 25 8 32" xfId="5472" xr:uid="{00000000-0005-0000-0000-0000D8480000}"/>
    <cellStyle name="Normal 25 8 33" xfId="9261" xr:uid="{00000000-0005-0000-0000-0000D9480000}"/>
    <cellStyle name="Normal 25 8 34" xfId="6626" xr:uid="{00000000-0005-0000-0000-0000DA480000}"/>
    <cellStyle name="Normal 25 8 35" xfId="9172" xr:uid="{00000000-0005-0000-0000-0000DB480000}"/>
    <cellStyle name="Normal 25 8 36" xfId="11054" xr:uid="{00000000-0005-0000-0000-0000DC480000}"/>
    <cellStyle name="Normal 25 8 37" xfId="5949" xr:uid="{00000000-0005-0000-0000-0000DD480000}"/>
    <cellStyle name="Normal 25 8 38" xfId="8260" xr:uid="{00000000-0005-0000-0000-0000DE480000}"/>
    <cellStyle name="Normal 25 8 39" xfId="8848" xr:uid="{00000000-0005-0000-0000-0000DF480000}"/>
    <cellStyle name="Normal 25 8 4" xfId="26671" xr:uid="{00000000-0005-0000-0000-0000E0480000}"/>
    <cellStyle name="Normal 25 8 40" xfId="7054" xr:uid="{00000000-0005-0000-0000-0000E1480000}"/>
    <cellStyle name="Normal 25 8 41" xfId="3192" xr:uid="{00000000-0005-0000-0000-0000E2480000}"/>
    <cellStyle name="Normal 25 8 42" xfId="4581" xr:uid="{00000000-0005-0000-0000-0000E3480000}"/>
    <cellStyle name="Normal 25 8 43" xfId="9700" xr:uid="{00000000-0005-0000-0000-0000E4480000}"/>
    <cellStyle name="Normal 25 8 44" xfId="2920" xr:uid="{00000000-0005-0000-0000-0000E5480000}"/>
    <cellStyle name="Normal 25 8 45" xfId="2677" xr:uid="{00000000-0005-0000-0000-0000E6480000}"/>
    <cellStyle name="Normal 25 8 46" xfId="2437" xr:uid="{00000000-0005-0000-0000-0000E7480000}"/>
    <cellStyle name="Normal 25 8 47" xfId="2197" xr:uid="{00000000-0005-0000-0000-0000E8480000}"/>
    <cellStyle name="Normal 25 8 48" xfId="1957" xr:uid="{00000000-0005-0000-0000-0000E9480000}"/>
    <cellStyle name="Normal 25 8 49" xfId="1717" xr:uid="{00000000-0005-0000-0000-0000EA480000}"/>
    <cellStyle name="Normal 25 8 5" xfId="26075" xr:uid="{00000000-0005-0000-0000-0000EB480000}"/>
    <cellStyle name="Normal 25 8 50" xfId="1478" xr:uid="{00000000-0005-0000-0000-0000EC480000}"/>
    <cellStyle name="Normal 25 8 51" xfId="1238" xr:uid="{00000000-0005-0000-0000-0000ED480000}"/>
    <cellStyle name="Normal 25 8 52" xfId="998" xr:uid="{00000000-0005-0000-0000-0000EE480000}"/>
    <cellStyle name="Normal 25 8 53" xfId="758" xr:uid="{00000000-0005-0000-0000-0000EF480000}"/>
    <cellStyle name="Normal 25 8 54" xfId="518" xr:uid="{00000000-0005-0000-0000-0000F0480000}"/>
    <cellStyle name="Normal 25 8 55" xfId="279" xr:uid="{00000000-0005-0000-0000-0000F1480000}"/>
    <cellStyle name="Normal 25 8 56" xfId="41" xr:uid="{00000000-0005-0000-0000-0000F2480000}"/>
    <cellStyle name="Normal 25 8 6" xfId="25479" xr:uid="{00000000-0005-0000-0000-0000F3480000}"/>
    <cellStyle name="Normal 25 8 7" xfId="24882" xr:uid="{00000000-0005-0000-0000-0000F4480000}"/>
    <cellStyle name="Normal 25 8 8" xfId="24285" xr:uid="{00000000-0005-0000-0000-0000F5480000}"/>
    <cellStyle name="Normal 25 8 9" xfId="23688" xr:uid="{00000000-0005-0000-0000-0000F6480000}"/>
    <cellStyle name="Normal 25 9" xfId="28464" xr:uid="{00000000-0005-0000-0000-0000F7480000}"/>
    <cellStyle name="Normal 25 9 10" xfId="23090" xr:uid="{00000000-0005-0000-0000-0000F8480000}"/>
    <cellStyle name="Normal 25 9 11" xfId="22493" xr:uid="{00000000-0005-0000-0000-0000F9480000}"/>
    <cellStyle name="Normal 25 9 12" xfId="21897" xr:uid="{00000000-0005-0000-0000-0000FA480000}"/>
    <cellStyle name="Normal 25 9 13" xfId="21300" xr:uid="{00000000-0005-0000-0000-0000FB480000}"/>
    <cellStyle name="Normal 25 9 14" xfId="20703" xr:uid="{00000000-0005-0000-0000-0000FC480000}"/>
    <cellStyle name="Normal 25 9 15" xfId="20106" xr:uid="{00000000-0005-0000-0000-0000FD480000}"/>
    <cellStyle name="Normal 25 9 16" xfId="19510" xr:uid="{00000000-0005-0000-0000-0000FE480000}"/>
    <cellStyle name="Normal 25 9 17" xfId="18914" xr:uid="{00000000-0005-0000-0000-0000FF480000}"/>
    <cellStyle name="Normal 25 9 18" xfId="18322" xr:uid="{00000000-0005-0000-0000-000000490000}"/>
    <cellStyle name="Normal 25 9 19" xfId="17725" xr:uid="{00000000-0005-0000-0000-000001490000}"/>
    <cellStyle name="Normal 25 9 2" xfId="27864" xr:uid="{00000000-0005-0000-0000-000002490000}"/>
    <cellStyle name="Normal 25 9 20" xfId="15149" xr:uid="{00000000-0005-0000-0000-000003490000}"/>
    <cellStyle name="Normal 25 9 21" xfId="15295" xr:uid="{00000000-0005-0000-0000-000004490000}"/>
    <cellStyle name="Normal 25 9 22" xfId="13638" xr:uid="{00000000-0005-0000-0000-000005490000}"/>
    <cellStyle name="Normal 25 9 23" xfId="13473" xr:uid="{00000000-0005-0000-0000-000006490000}"/>
    <cellStyle name="Normal 25 9 24" xfId="13212" xr:uid="{00000000-0005-0000-0000-000007490000}"/>
    <cellStyle name="Normal 25 9 25" xfId="16124" xr:uid="{00000000-0005-0000-0000-000008490000}"/>
    <cellStyle name="Normal 25 9 26" xfId="13005" xr:uid="{00000000-0005-0000-0000-000009490000}"/>
    <cellStyle name="Normal 25 9 27" xfId="14687" xr:uid="{00000000-0005-0000-0000-00000A490000}"/>
    <cellStyle name="Normal 25 9 28" xfId="12334" xr:uid="{00000000-0005-0000-0000-00000B490000}"/>
    <cellStyle name="Normal 25 9 29" xfId="9437" xr:uid="{00000000-0005-0000-0000-00000C490000}"/>
    <cellStyle name="Normal 25 9 3" xfId="27267" xr:uid="{00000000-0005-0000-0000-00000D490000}"/>
    <cellStyle name="Normal 25 9 30" xfId="9383" xr:uid="{00000000-0005-0000-0000-00000E490000}"/>
    <cellStyle name="Normal 25 9 31" xfId="11210" xr:uid="{00000000-0005-0000-0000-00000F490000}"/>
    <cellStyle name="Normal 25 9 32" xfId="9761" xr:uid="{00000000-0005-0000-0000-000010490000}"/>
    <cellStyle name="Normal 25 9 33" xfId="8623" xr:uid="{00000000-0005-0000-0000-000011490000}"/>
    <cellStyle name="Normal 25 9 34" xfId="10268" xr:uid="{00000000-0005-0000-0000-000012490000}"/>
    <cellStyle name="Normal 25 9 35" xfId="9100" xr:uid="{00000000-0005-0000-0000-000013490000}"/>
    <cellStyle name="Normal 25 9 36" xfId="10301" xr:uid="{00000000-0005-0000-0000-000014490000}"/>
    <cellStyle name="Normal 25 9 37" xfId="3994" xr:uid="{00000000-0005-0000-0000-000015490000}"/>
    <cellStyle name="Normal 25 9 38" xfId="10199" xr:uid="{00000000-0005-0000-0000-000016490000}"/>
    <cellStyle name="Normal 25 9 39" xfId="6729" xr:uid="{00000000-0005-0000-0000-000017490000}"/>
    <cellStyle name="Normal 25 9 4" xfId="26670" xr:uid="{00000000-0005-0000-0000-000018490000}"/>
    <cellStyle name="Normal 25 9 40" xfId="4304" xr:uid="{00000000-0005-0000-0000-000019490000}"/>
    <cellStyle name="Normal 25 9 41" xfId="3200" xr:uid="{00000000-0005-0000-0000-00001A490000}"/>
    <cellStyle name="Normal 25 9 42" xfId="10875" xr:uid="{00000000-0005-0000-0000-00001B490000}"/>
    <cellStyle name="Normal 25 9 43" xfId="6852" xr:uid="{00000000-0005-0000-0000-00001C490000}"/>
    <cellStyle name="Normal 25 9 44" xfId="2919" xr:uid="{00000000-0005-0000-0000-00001D490000}"/>
    <cellStyle name="Normal 25 9 45" xfId="2676" xr:uid="{00000000-0005-0000-0000-00001E490000}"/>
    <cellStyle name="Normal 25 9 46" xfId="2436" xr:uid="{00000000-0005-0000-0000-00001F490000}"/>
    <cellStyle name="Normal 25 9 47" xfId="2196" xr:uid="{00000000-0005-0000-0000-000020490000}"/>
    <cellStyle name="Normal 25 9 48" xfId="1956" xr:uid="{00000000-0005-0000-0000-000021490000}"/>
    <cellStyle name="Normal 25 9 49" xfId="1716" xr:uid="{00000000-0005-0000-0000-000022490000}"/>
    <cellStyle name="Normal 25 9 5" xfId="26074" xr:uid="{00000000-0005-0000-0000-000023490000}"/>
    <cellStyle name="Normal 25 9 50" xfId="1477" xr:uid="{00000000-0005-0000-0000-000024490000}"/>
    <cellStyle name="Normal 25 9 51" xfId="1237" xr:uid="{00000000-0005-0000-0000-000025490000}"/>
    <cellStyle name="Normal 25 9 52" xfId="997" xr:uid="{00000000-0005-0000-0000-000026490000}"/>
    <cellStyle name="Normal 25 9 53" xfId="757" xr:uid="{00000000-0005-0000-0000-000027490000}"/>
    <cellStyle name="Normal 25 9 54" xfId="517" xr:uid="{00000000-0005-0000-0000-000028490000}"/>
    <cellStyle name="Normal 25 9 55" xfId="278" xr:uid="{00000000-0005-0000-0000-000029490000}"/>
    <cellStyle name="Normal 25 9 56" xfId="40" xr:uid="{00000000-0005-0000-0000-00002A490000}"/>
    <cellStyle name="Normal 25 9 6" xfId="25478" xr:uid="{00000000-0005-0000-0000-00002B490000}"/>
    <cellStyle name="Normal 25 9 7" xfId="24881" xr:uid="{00000000-0005-0000-0000-00002C490000}"/>
    <cellStyle name="Normal 25 9 8" xfId="24284" xr:uid="{00000000-0005-0000-0000-00002D490000}"/>
    <cellStyle name="Normal 25 9 9" xfId="23687" xr:uid="{00000000-0005-0000-0000-00002E490000}"/>
    <cellStyle name="Normal 26" xfId="28463" xr:uid="{00000000-0005-0000-0000-00002F490000}"/>
    <cellStyle name="Normal 26 10" xfId="28462" xr:uid="{00000000-0005-0000-0000-000030490000}"/>
    <cellStyle name="Normal 26 10 10" xfId="23088" xr:uid="{00000000-0005-0000-0000-000031490000}"/>
    <cellStyle name="Normal 26 10 11" xfId="22491" xr:uid="{00000000-0005-0000-0000-000032490000}"/>
    <cellStyle name="Normal 26 10 12" xfId="21895" xr:uid="{00000000-0005-0000-0000-000033490000}"/>
    <cellStyle name="Normal 26 10 13" xfId="21298" xr:uid="{00000000-0005-0000-0000-000034490000}"/>
    <cellStyle name="Normal 26 10 14" xfId="20701" xr:uid="{00000000-0005-0000-0000-000035490000}"/>
    <cellStyle name="Normal 26 10 15" xfId="20104" xr:uid="{00000000-0005-0000-0000-000036490000}"/>
    <cellStyle name="Normal 26 10 16" xfId="19508" xr:uid="{00000000-0005-0000-0000-000037490000}"/>
    <cellStyle name="Normal 26 10 17" xfId="18912" xr:uid="{00000000-0005-0000-0000-000038490000}"/>
    <cellStyle name="Normal 26 10 18" xfId="18320" xr:uid="{00000000-0005-0000-0000-000039490000}"/>
    <cellStyle name="Normal 26 10 19" xfId="17723" xr:uid="{00000000-0005-0000-0000-00003A490000}"/>
    <cellStyle name="Normal 26 10 2" xfId="27862" xr:uid="{00000000-0005-0000-0000-00003B490000}"/>
    <cellStyle name="Normal 26 10 20" xfId="15551" xr:uid="{00000000-0005-0000-0000-00003C490000}"/>
    <cellStyle name="Normal 26 10 21" xfId="14871" xr:uid="{00000000-0005-0000-0000-00003D490000}"/>
    <cellStyle name="Normal 26 10 22" xfId="13667" xr:uid="{00000000-0005-0000-0000-00003E490000}"/>
    <cellStyle name="Normal 26 10 23" xfId="14631" xr:uid="{00000000-0005-0000-0000-00003F490000}"/>
    <cellStyle name="Normal 26 10 24" xfId="13730" xr:uid="{00000000-0005-0000-0000-000040490000}"/>
    <cellStyle name="Normal 26 10 25" xfId="13293" xr:uid="{00000000-0005-0000-0000-000041490000}"/>
    <cellStyle name="Normal 26 10 26" xfId="16109" xr:uid="{00000000-0005-0000-0000-000042490000}"/>
    <cellStyle name="Normal 26 10 27" xfId="16987" xr:uid="{00000000-0005-0000-0000-000043490000}"/>
    <cellStyle name="Normal 26 10 28" xfId="12332" xr:uid="{00000000-0005-0000-0000-000044490000}"/>
    <cellStyle name="Normal 26 10 29" xfId="9888" xr:uid="{00000000-0005-0000-0000-000045490000}"/>
    <cellStyle name="Normal 26 10 3" xfId="27265" xr:uid="{00000000-0005-0000-0000-000046490000}"/>
    <cellStyle name="Normal 26 10 30" xfId="11658" xr:uid="{00000000-0005-0000-0000-000047490000}"/>
    <cellStyle name="Normal 26 10 31" xfId="11061" xr:uid="{00000000-0005-0000-0000-000048490000}"/>
    <cellStyle name="Normal 26 10 32" xfId="6682" xr:uid="{00000000-0005-0000-0000-000049490000}"/>
    <cellStyle name="Normal 26 10 33" xfId="5750" xr:uid="{00000000-0005-0000-0000-00004A490000}"/>
    <cellStyle name="Normal 26 10 34" xfId="5099" xr:uid="{00000000-0005-0000-0000-00004B490000}"/>
    <cellStyle name="Normal 26 10 35" xfId="11175" xr:uid="{00000000-0005-0000-0000-00004C490000}"/>
    <cellStyle name="Normal 26 10 36" xfId="7957" xr:uid="{00000000-0005-0000-0000-00004D490000}"/>
    <cellStyle name="Normal 26 10 37" xfId="6943" xr:uid="{00000000-0005-0000-0000-00004E490000}"/>
    <cellStyle name="Normal 26 10 38" xfId="11963" xr:uid="{00000000-0005-0000-0000-00004F490000}"/>
    <cellStyle name="Normal 26 10 39" xfId="10906" xr:uid="{00000000-0005-0000-0000-000050490000}"/>
    <cellStyle name="Normal 26 10 4" xfId="26668" xr:uid="{00000000-0005-0000-0000-000051490000}"/>
    <cellStyle name="Normal 26 10 40" xfId="7071" xr:uid="{00000000-0005-0000-0000-000052490000}"/>
    <cellStyle name="Normal 26 10 41" xfId="3213" xr:uid="{00000000-0005-0000-0000-000053490000}"/>
    <cellStyle name="Normal 26 10 42" xfId="3295" xr:uid="{00000000-0005-0000-0000-000054490000}"/>
    <cellStyle name="Normal 26 10 43" xfId="6241" xr:uid="{00000000-0005-0000-0000-000055490000}"/>
    <cellStyle name="Normal 26 10 44" xfId="2918" xr:uid="{00000000-0005-0000-0000-000056490000}"/>
    <cellStyle name="Normal 26 10 45" xfId="2675" xr:uid="{00000000-0005-0000-0000-000057490000}"/>
    <cellStyle name="Normal 26 10 46" xfId="2435" xr:uid="{00000000-0005-0000-0000-000058490000}"/>
    <cellStyle name="Normal 26 10 47" xfId="2195" xr:uid="{00000000-0005-0000-0000-000059490000}"/>
    <cellStyle name="Normal 26 10 48" xfId="1955" xr:uid="{00000000-0005-0000-0000-00005A490000}"/>
    <cellStyle name="Normal 26 10 49" xfId="1715" xr:uid="{00000000-0005-0000-0000-00005B490000}"/>
    <cellStyle name="Normal 26 10 5" xfId="26072" xr:uid="{00000000-0005-0000-0000-00005C490000}"/>
    <cellStyle name="Normal 26 10 50" xfId="1476" xr:uid="{00000000-0005-0000-0000-00005D490000}"/>
    <cellStyle name="Normal 26 10 51" xfId="1236" xr:uid="{00000000-0005-0000-0000-00005E490000}"/>
    <cellStyle name="Normal 26 10 52" xfId="996" xr:uid="{00000000-0005-0000-0000-00005F490000}"/>
    <cellStyle name="Normal 26 10 53" xfId="756" xr:uid="{00000000-0005-0000-0000-000060490000}"/>
    <cellStyle name="Normal 26 10 54" xfId="516" xr:uid="{00000000-0005-0000-0000-000061490000}"/>
    <cellStyle name="Normal 26 10 55" xfId="277" xr:uid="{00000000-0005-0000-0000-000062490000}"/>
    <cellStyle name="Normal 26 10 56" xfId="39" xr:uid="{00000000-0005-0000-0000-000063490000}"/>
    <cellStyle name="Normal 26 10 6" xfId="25476" xr:uid="{00000000-0005-0000-0000-000064490000}"/>
    <cellStyle name="Normal 26 10 7" xfId="24879" xr:uid="{00000000-0005-0000-0000-000065490000}"/>
    <cellStyle name="Normal 26 10 8" xfId="24282" xr:uid="{00000000-0005-0000-0000-000066490000}"/>
    <cellStyle name="Normal 26 10 9" xfId="23685" xr:uid="{00000000-0005-0000-0000-000067490000}"/>
    <cellStyle name="Normal 26 11" xfId="28461" xr:uid="{00000000-0005-0000-0000-000068490000}"/>
    <cellStyle name="Normal 26 11 10" xfId="23087" xr:uid="{00000000-0005-0000-0000-000069490000}"/>
    <cellStyle name="Normal 26 11 11" xfId="22490" xr:uid="{00000000-0005-0000-0000-00006A490000}"/>
    <cellStyle name="Normal 26 11 12" xfId="21894" xr:uid="{00000000-0005-0000-0000-00006B490000}"/>
    <cellStyle name="Normal 26 11 13" xfId="21297" xr:uid="{00000000-0005-0000-0000-00006C490000}"/>
    <cellStyle name="Normal 26 11 14" xfId="20700" xr:uid="{00000000-0005-0000-0000-00006D490000}"/>
    <cellStyle name="Normal 26 11 15" xfId="20103" xr:uid="{00000000-0005-0000-0000-00006E490000}"/>
    <cellStyle name="Normal 26 11 16" xfId="19507" xr:uid="{00000000-0005-0000-0000-00006F490000}"/>
    <cellStyle name="Normal 26 11 17" xfId="18911" xr:uid="{00000000-0005-0000-0000-000070490000}"/>
    <cellStyle name="Normal 26 11 18" xfId="18319" xr:uid="{00000000-0005-0000-0000-000071490000}"/>
    <cellStyle name="Normal 26 11 19" xfId="17722" xr:uid="{00000000-0005-0000-0000-000072490000}"/>
    <cellStyle name="Normal 26 11 2" xfId="27861" xr:uid="{00000000-0005-0000-0000-000073490000}"/>
    <cellStyle name="Normal 26 11 20" xfId="15741" xr:uid="{00000000-0005-0000-0000-000074490000}"/>
    <cellStyle name="Normal 26 11 21" xfId="14857" xr:uid="{00000000-0005-0000-0000-000075490000}"/>
    <cellStyle name="Normal 26 11 22" xfId="13806" xr:uid="{00000000-0005-0000-0000-000076490000}"/>
    <cellStyle name="Normal 26 11 23" xfId="15266" xr:uid="{00000000-0005-0000-0000-000077490000}"/>
    <cellStyle name="Normal 26 11 24" xfId="16749" xr:uid="{00000000-0005-0000-0000-000078490000}"/>
    <cellStyle name="Normal 26 11 25" xfId="14080" xr:uid="{00000000-0005-0000-0000-000079490000}"/>
    <cellStyle name="Normal 26 11 26" xfId="14498" xr:uid="{00000000-0005-0000-0000-00007A490000}"/>
    <cellStyle name="Normal 26 11 27" xfId="16364" xr:uid="{00000000-0005-0000-0000-00007B490000}"/>
    <cellStyle name="Normal 26 11 28" xfId="12331" xr:uid="{00000000-0005-0000-0000-00007C490000}"/>
    <cellStyle name="Normal 26 11 29" xfId="10123" xr:uid="{00000000-0005-0000-0000-00007D490000}"/>
    <cellStyle name="Normal 26 11 3" xfId="27264" xr:uid="{00000000-0005-0000-0000-00007E490000}"/>
    <cellStyle name="Normal 26 11 30" xfId="9619" xr:uid="{00000000-0005-0000-0000-00007F490000}"/>
    <cellStyle name="Normal 26 11 31" xfId="11281" xr:uid="{00000000-0005-0000-0000-000080490000}"/>
    <cellStyle name="Normal 26 11 32" xfId="9021" xr:uid="{00000000-0005-0000-0000-000081490000}"/>
    <cellStyle name="Normal 26 11 33" xfId="9563" xr:uid="{00000000-0005-0000-0000-000082490000}"/>
    <cellStyle name="Normal 26 11 34" xfId="10733" xr:uid="{00000000-0005-0000-0000-000083490000}"/>
    <cellStyle name="Normal 26 11 35" xfId="4388" xr:uid="{00000000-0005-0000-0000-000084490000}"/>
    <cellStyle name="Normal 26 11 36" xfId="10719" xr:uid="{00000000-0005-0000-0000-000085490000}"/>
    <cellStyle name="Normal 26 11 37" xfId="7422" xr:uid="{00000000-0005-0000-0000-000086490000}"/>
    <cellStyle name="Normal 26 11 38" xfId="7521" xr:uid="{00000000-0005-0000-0000-000087490000}"/>
    <cellStyle name="Normal 26 11 39" xfId="5827" xr:uid="{00000000-0005-0000-0000-000088490000}"/>
    <cellStyle name="Normal 26 11 4" xfId="26667" xr:uid="{00000000-0005-0000-0000-000089490000}"/>
    <cellStyle name="Normal 26 11 40" xfId="3933" xr:uid="{00000000-0005-0000-0000-00008A490000}"/>
    <cellStyle name="Normal 26 11 41" xfId="5131" xr:uid="{00000000-0005-0000-0000-00008B490000}"/>
    <cellStyle name="Normal 26 11 42" xfId="11116" xr:uid="{00000000-0005-0000-0000-00008C490000}"/>
    <cellStyle name="Normal 26 11 43" xfId="3658" xr:uid="{00000000-0005-0000-0000-00008D490000}"/>
    <cellStyle name="Normal 26 11 44" xfId="2917" xr:uid="{00000000-0005-0000-0000-00008E490000}"/>
    <cellStyle name="Normal 26 11 45" xfId="2674" xr:uid="{00000000-0005-0000-0000-00008F490000}"/>
    <cellStyle name="Normal 26 11 46" xfId="2434" xr:uid="{00000000-0005-0000-0000-000090490000}"/>
    <cellStyle name="Normal 26 11 47" xfId="2194" xr:uid="{00000000-0005-0000-0000-000091490000}"/>
    <cellStyle name="Normal 26 11 48" xfId="1954" xr:uid="{00000000-0005-0000-0000-000092490000}"/>
    <cellStyle name="Normal 26 11 49" xfId="1714" xr:uid="{00000000-0005-0000-0000-000093490000}"/>
    <cellStyle name="Normal 26 11 5" xfId="26071" xr:uid="{00000000-0005-0000-0000-000094490000}"/>
    <cellStyle name="Normal 26 11 50" xfId="1475" xr:uid="{00000000-0005-0000-0000-000095490000}"/>
    <cellStyle name="Normal 26 11 51" xfId="1235" xr:uid="{00000000-0005-0000-0000-000096490000}"/>
    <cellStyle name="Normal 26 11 52" xfId="995" xr:uid="{00000000-0005-0000-0000-000097490000}"/>
    <cellStyle name="Normal 26 11 53" xfId="755" xr:uid="{00000000-0005-0000-0000-000098490000}"/>
    <cellStyle name="Normal 26 11 54" xfId="515" xr:uid="{00000000-0005-0000-0000-000099490000}"/>
    <cellStyle name="Normal 26 11 55" xfId="276" xr:uid="{00000000-0005-0000-0000-00009A490000}"/>
    <cellStyle name="Normal 26 11 56" xfId="38" xr:uid="{00000000-0005-0000-0000-00009B490000}"/>
    <cellStyle name="Normal 26 11 6" xfId="25475" xr:uid="{00000000-0005-0000-0000-00009C490000}"/>
    <cellStyle name="Normal 26 11 7" xfId="24878" xr:uid="{00000000-0005-0000-0000-00009D490000}"/>
    <cellStyle name="Normal 26 11 8" xfId="24281" xr:uid="{00000000-0005-0000-0000-00009E490000}"/>
    <cellStyle name="Normal 26 11 9" xfId="23684" xr:uid="{00000000-0005-0000-0000-00009F490000}"/>
    <cellStyle name="Normal 26 12" xfId="28460" xr:uid="{00000000-0005-0000-0000-0000A0490000}"/>
    <cellStyle name="Normal 26 12 10" xfId="23086" xr:uid="{00000000-0005-0000-0000-0000A1490000}"/>
    <cellStyle name="Normal 26 12 11" xfId="22489" xr:uid="{00000000-0005-0000-0000-0000A2490000}"/>
    <cellStyle name="Normal 26 12 12" xfId="21893" xr:uid="{00000000-0005-0000-0000-0000A3490000}"/>
    <cellStyle name="Normal 26 12 13" xfId="21296" xr:uid="{00000000-0005-0000-0000-0000A4490000}"/>
    <cellStyle name="Normal 26 12 14" xfId="20699" xr:uid="{00000000-0005-0000-0000-0000A5490000}"/>
    <cellStyle name="Normal 26 12 15" xfId="20102" xr:uid="{00000000-0005-0000-0000-0000A6490000}"/>
    <cellStyle name="Normal 26 12 16" xfId="19506" xr:uid="{00000000-0005-0000-0000-0000A7490000}"/>
    <cellStyle name="Normal 26 12 17" xfId="18910" xr:uid="{00000000-0005-0000-0000-0000A8490000}"/>
    <cellStyle name="Normal 26 12 18" xfId="18318" xr:uid="{00000000-0005-0000-0000-0000A9490000}"/>
    <cellStyle name="Normal 26 12 19" xfId="17721" xr:uid="{00000000-0005-0000-0000-0000AA490000}"/>
    <cellStyle name="Normal 26 12 2" xfId="27860" xr:uid="{00000000-0005-0000-0000-0000AB490000}"/>
    <cellStyle name="Normal 26 12 20" xfId="15941" xr:uid="{00000000-0005-0000-0000-0000AC490000}"/>
    <cellStyle name="Normal 26 12 21" xfId="14454" xr:uid="{00000000-0005-0000-0000-0000AD490000}"/>
    <cellStyle name="Normal 26 12 22" xfId="15842" xr:uid="{00000000-0005-0000-0000-0000AE490000}"/>
    <cellStyle name="Normal 26 12 23" xfId="14689" xr:uid="{00000000-0005-0000-0000-0000AF490000}"/>
    <cellStyle name="Normal 26 12 24" xfId="13351" xr:uid="{00000000-0005-0000-0000-0000B0490000}"/>
    <cellStyle name="Normal 26 12 25" xfId="15440" xr:uid="{00000000-0005-0000-0000-0000B1490000}"/>
    <cellStyle name="Normal 26 12 26" xfId="16275" xr:uid="{00000000-0005-0000-0000-0000B2490000}"/>
    <cellStyle name="Normal 26 12 27" xfId="13063" xr:uid="{00000000-0005-0000-0000-0000B3490000}"/>
    <cellStyle name="Normal 26 12 28" xfId="12330" xr:uid="{00000000-0005-0000-0000-0000B4490000}"/>
    <cellStyle name="Normal 26 12 29" xfId="10350" xr:uid="{00000000-0005-0000-0000-0000B5490000}"/>
    <cellStyle name="Normal 26 12 3" xfId="27263" xr:uid="{00000000-0005-0000-0000-0000B6490000}"/>
    <cellStyle name="Normal 26 12 30" xfId="7179" xr:uid="{00000000-0005-0000-0000-0000B7490000}"/>
    <cellStyle name="Normal 26 12 31" xfId="8574" xr:uid="{00000000-0005-0000-0000-0000B8490000}"/>
    <cellStyle name="Normal 26 12 32" xfId="7922" xr:uid="{00000000-0005-0000-0000-0000B9490000}"/>
    <cellStyle name="Normal 26 12 33" xfId="9746" xr:uid="{00000000-0005-0000-0000-0000BA490000}"/>
    <cellStyle name="Normal 26 12 34" xfId="6295" xr:uid="{00000000-0005-0000-0000-0000BB490000}"/>
    <cellStyle name="Normal 26 12 35" xfId="4477" xr:uid="{00000000-0005-0000-0000-0000BC490000}"/>
    <cellStyle name="Normal 26 12 36" xfId="8920" xr:uid="{00000000-0005-0000-0000-0000BD490000}"/>
    <cellStyle name="Normal 26 12 37" xfId="7824" xr:uid="{00000000-0005-0000-0000-0000BE490000}"/>
    <cellStyle name="Normal 26 12 38" xfId="3544" xr:uid="{00000000-0005-0000-0000-0000BF490000}"/>
    <cellStyle name="Normal 26 12 39" xfId="4323" xr:uid="{00000000-0005-0000-0000-0000C0490000}"/>
    <cellStyle name="Normal 26 12 4" xfId="26666" xr:uid="{00000000-0005-0000-0000-0000C1490000}"/>
    <cellStyle name="Normal 26 12 40" xfId="6013" xr:uid="{00000000-0005-0000-0000-0000C2490000}"/>
    <cellStyle name="Normal 26 12 41" xfId="3513" xr:uid="{00000000-0005-0000-0000-0000C3490000}"/>
    <cellStyle name="Normal 26 12 42" xfId="10144" xr:uid="{00000000-0005-0000-0000-0000C4490000}"/>
    <cellStyle name="Normal 26 12 43" xfId="4885" xr:uid="{00000000-0005-0000-0000-0000C5490000}"/>
    <cellStyle name="Normal 26 12 5" xfId="26070" xr:uid="{00000000-0005-0000-0000-0000C6490000}"/>
    <cellStyle name="Normal 26 12 6" xfId="25474" xr:uid="{00000000-0005-0000-0000-0000C7490000}"/>
    <cellStyle name="Normal 26 12 7" xfId="24877" xr:uid="{00000000-0005-0000-0000-0000C8490000}"/>
    <cellStyle name="Normal 26 12 8" xfId="24280" xr:uid="{00000000-0005-0000-0000-0000C9490000}"/>
    <cellStyle name="Normal 26 12 9" xfId="23683" xr:uid="{00000000-0005-0000-0000-0000CA490000}"/>
    <cellStyle name="Normal 26 13" xfId="28459" xr:uid="{00000000-0005-0000-0000-0000CB490000}"/>
    <cellStyle name="Normal 26 13 10" xfId="23085" xr:uid="{00000000-0005-0000-0000-0000CC490000}"/>
    <cellStyle name="Normal 26 13 11" xfId="22488" xr:uid="{00000000-0005-0000-0000-0000CD490000}"/>
    <cellStyle name="Normal 26 13 12" xfId="21892" xr:uid="{00000000-0005-0000-0000-0000CE490000}"/>
    <cellStyle name="Normal 26 13 13" xfId="21295" xr:uid="{00000000-0005-0000-0000-0000CF490000}"/>
    <cellStyle name="Normal 26 13 14" xfId="20698" xr:uid="{00000000-0005-0000-0000-0000D0490000}"/>
    <cellStyle name="Normal 26 13 15" xfId="20101" xr:uid="{00000000-0005-0000-0000-0000D1490000}"/>
    <cellStyle name="Normal 26 13 16" xfId="19505" xr:uid="{00000000-0005-0000-0000-0000D2490000}"/>
    <cellStyle name="Normal 26 13 17" xfId="18909" xr:uid="{00000000-0005-0000-0000-0000D3490000}"/>
    <cellStyle name="Normal 26 13 18" xfId="18317" xr:uid="{00000000-0005-0000-0000-0000D4490000}"/>
    <cellStyle name="Normal 26 13 19" xfId="17720" xr:uid="{00000000-0005-0000-0000-0000D5490000}"/>
    <cellStyle name="Normal 26 13 2" xfId="27859" xr:uid="{00000000-0005-0000-0000-0000D6490000}"/>
    <cellStyle name="Normal 26 13 20" xfId="16149" xr:uid="{00000000-0005-0000-0000-0000D7490000}"/>
    <cellStyle name="Normal 26 13 21" xfId="17235" xr:uid="{00000000-0005-0000-0000-0000D8490000}"/>
    <cellStyle name="Normal 26 13 22" xfId="15258" xr:uid="{00000000-0005-0000-0000-0000D9490000}"/>
    <cellStyle name="Normal 26 13 23" xfId="15835" xr:uid="{00000000-0005-0000-0000-0000DA490000}"/>
    <cellStyle name="Normal 26 13 24" xfId="16952" xr:uid="{00000000-0005-0000-0000-0000DB490000}"/>
    <cellStyle name="Normal 26 13 25" xfId="13597" xr:uid="{00000000-0005-0000-0000-0000DC490000}"/>
    <cellStyle name="Normal 26 13 26" xfId="15611" xr:uid="{00000000-0005-0000-0000-0000DD490000}"/>
    <cellStyle name="Normal 26 13 27" xfId="16758" xr:uid="{00000000-0005-0000-0000-0000DE490000}"/>
    <cellStyle name="Normal 26 13 28" xfId="12329" xr:uid="{00000000-0005-0000-0000-0000DF490000}"/>
    <cellStyle name="Normal 26 13 29" xfId="10579" xr:uid="{00000000-0005-0000-0000-0000E0490000}"/>
    <cellStyle name="Normal 26 13 3" xfId="27262" xr:uid="{00000000-0005-0000-0000-0000E1490000}"/>
    <cellStyle name="Normal 26 13 30" xfId="11637" xr:uid="{00000000-0005-0000-0000-0000E2490000}"/>
    <cellStyle name="Normal 26 13 31" xfId="8038" xr:uid="{00000000-0005-0000-0000-0000E3490000}"/>
    <cellStyle name="Normal 26 13 32" xfId="6089" xr:uid="{00000000-0005-0000-0000-0000E4490000}"/>
    <cellStyle name="Normal 26 13 33" xfId="5373" xr:uid="{00000000-0005-0000-0000-0000E5490000}"/>
    <cellStyle name="Normal 26 13 34" xfId="9104" xr:uid="{00000000-0005-0000-0000-0000E6490000}"/>
    <cellStyle name="Normal 26 13 35" xfId="4395" xr:uid="{00000000-0005-0000-0000-0000E7490000}"/>
    <cellStyle name="Normal 26 13 36" xfId="5963" xr:uid="{00000000-0005-0000-0000-0000E8490000}"/>
    <cellStyle name="Normal 26 13 37" xfId="4716" xr:uid="{00000000-0005-0000-0000-0000E9490000}"/>
    <cellStyle name="Normal 26 13 38" xfId="3550" xr:uid="{00000000-0005-0000-0000-0000EA490000}"/>
    <cellStyle name="Normal 26 13 39" xfId="11732" xr:uid="{00000000-0005-0000-0000-0000EB490000}"/>
    <cellStyle name="Normal 26 13 4" xfId="26665" xr:uid="{00000000-0005-0000-0000-0000EC490000}"/>
    <cellStyle name="Normal 26 13 40" xfId="10936" xr:uid="{00000000-0005-0000-0000-0000ED490000}"/>
    <cellStyle name="Normal 26 13 41" xfId="3786" xr:uid="{00000000-0005-0000-0000-0000EE490000}"/>
    <cellStyle name="Normal 26 13 42" xfId="9240" xr:uid="{00000000-0005-0000-0000-0000EF490000}"/>
    <cellStyle name="Normal 26 13 43" xfId="4302" xr:uid="{00000000-0005-0000-0000-0000F0490000}"/>
    <cellStyle name="Normal 26 13 5" xfId="26069" xr:uid="{00000000-0005-0000-0000-0000F1490000}"/>
    <cellStyle name="Normal 26 13 6" xfId="25473" xr:uid="{00000000-0005-0000-0000-0000F2490000}"/>
    <cellStyle name="Normal 26 13 7" xfId="24876" xr:uid="{00000000-0005-0000-0000-0000F3490000}"/>
    <cellStyle name="Normal 26 13 8" xfId="24279" xr:uid="{00000000-0005-0000-0000-0000F4490000}"/>
    <cellStyle name="Normal 26 13 9" xfId="23682" xr:uid="{00000000-0005-0000-0000-0000F5490000}"/>
    <cellStyle name="Normal 26 14" xfId="28458" xr:uid="{00000000-0005-0000-0000-0000F6490000}"/>
    <cellStyle name="Normal 26 14 10" xfId="23084" xr:uid="{00000000-0005-0000-0000-0000F7490000}"/>
    <cellStyle name="Normal 26 14 11" xfId="22487" xr:uid="{00000000-0005-0000-0000-0000F8490000}"/>
    <cellStyle name="Normal 26 14 12" xfId="21891" xr:uid="{00000000-0005-0000-0000-0000F9490000}"/>
    <cellStyle name="Normal 26 14 13" xfId="21294" xr:uid="{00000000-0005-0000-0000-0000FA490000}"/>
    <cellStyle name="Normal 26 14 14" xfId="20697" xr:uid="{00000000-0005-0000-0000-0000FB490000}"/>
    <cellStyle name="Normal 26 14 15" xfId="20100" xr:uid="{00000000-0005-0000-0000-0000FC490000}"/>
    <cellStyle name="Normal 26 14 16" xfId="19504" xr:uid="{00000000-0005-0000-0000-0000FD490000}"/>
    <cellStyle name="Normal 26 14 17" xfId="18908" xr:uid="{00000000-0005-0000-0000-0000FE490000}"/>
    <cellStyle name="Normal 26 14 18" xfId="18316" xr:uid="{00000000-0005-0000-0000-0000FF490000}"/>
    <cellStyle name="Normal 26 14 19" xfId="17719" xr:uid="{00000000-0005-0000-0000-0000004A0000}"/>
    <cellStyle name="Normal 26 14 2" xfId="27858" xr:uid="{00000000-0005-0000-0000-0000014A0000}"/>
    <cellStyle name="Normal 26 14 20" xfId="16350" xr:uid="{00000000-0005-0000-0000-0000024A0000}"/>
    <cellStyle name="Normal 26 14 21" xfId="16815" xr:uid="{00000000-0005-0000-0000-0000034A0000}"/>
    <cellStyle name="Normal 26 14 22" xfId="15648" xr:uid="{00000000-0005-0000-0000-0000044A0000}"/>
    <cellStyle name="Normal 26 14 23" xfId="15767" xr:uid="{00000000-0005-0000-0000-0000054A0000}"/>
    <cellStyle name="Normal 26 14 24" xfId="16801" xr:uid="{00000000-0005-0000-0000-0000064A0000}"/>
    <cellStyle name="Normal 26 14 25" xfId="16106" xr:uid="{00000000-0005-0000-0000-0000074A0000}"/>
    <cellStyle name="Normal 26 14 26" xfId="15497" xr:uid="{00000000-0005-0000-0000-0000084A0000}"/>
    <cellStyle name="Normal 26 14 27" xfId="15829" xr:uid="{00000000-0005-0000-0000-0000094A0000}"/>
    <cellStyle name="Normal 26 14 28" xfId="12328" xr:uid="{00000000-0005-0000-0000-00000A4A0000}"/>
    <cellStyle name="Normal 26 14 29" xfId="10794" xr:uid="{00000000-0005-0000-0000-00000B4A0000}"/>
    <cellStyle name="Normal 26 14 3" xfId="27261" xr:uid="{00000000-0005-0000-0000-00000C4A0000}"/>
    <cellStyle name="Normal 26 14 30" xfId="10052" xr:uid="{00000000-0005-0000-0000-00000D4A0000}"/>
    <cellStyle name="Normal 26 14 31" xfId="11104" xr:uid="{00000000-0005-0000-0000-00000E4A0000}"/>
    <cellStyle name="Normal 26 14 32" xfId="5544" xr:uid="{00000000-0005-0000-0000-00000F4A0000}"/>
    <cellStyle name="Normal 26 14 33" xfId="6948" xr:uid="{00000000-0005-0000-0000-0000104A0000}"/>
    <cellStyle name="Normal 26 14 34" xfId="8334" xr:uid="{00000000-0005-0000-0000-0000114A0000}"/>
    <cellStyle name="Normal 26 14 35" xfId="4374" xr:uid="{00000000-0005-0000-0000-0000124A0000}"/>
    <cellStyle name="Normal 26 14 36" xfId="6225" xr:uid="{00000000-0005-0000-0000-0000134A0000}"/>
    <cellStyle name="Normal 26 14 37" xfId="4191" xr:uid="{00000000-0005-0000-0000-0000144A0000}"/>
    <cellStyle name="Normal 26 14 38" xfId="4624" xr:uid="{00000000-0005-0000-0000-0000154A0000}"/>
    <cellStyle name="Normal 26 14 39" xfId="3695" xr:uid="{00000000-0005-0000-0000-0000164A0000}"/>
    <cellStyle name="Normal 26 14 4" xfId="26664" xr:uid="{00000000-0005-0000-0000-0000174A0000}"/>
    <cellStyle name="Normal 26 14 40" xfId="7236" xr:uid="{00000000-0005-0000-0000-0000184A0000}"/>
    <cellStyle name="Normal 26 14 41" xfId="3261" xr:uid="{00000000-0005-0000-0000-0000194A0000}"/>
    <cellStyle name="Normal 26 14 42" xfId="11186" xr:uid="{00000000-0005-0000-0000-00001A4A0000}"/>
    <cellStyle name="Normal 26 14 43" xfId="9263" xr:uid="{00000000-0005-0000-0000-00001B4A0000}"/>
    <cellStyle name="Normal 26 14 5" xfId="26068" xr:uid="{00000000-0005-0000-0000-00001C4A0000}"/>
    <cellStyle name="Normal 26 14 6" xfId="25472" xr:uid="{00000000-0005-0000-0000-00001D4A0000}"/>
    <cellStyle name="Normal 26 14 7" xfId="24875" xr:uid="{00000000-0005-0000-0000-00001E4A0000}"/>
    <cellStyle name="Normal 26 14 8" xfId="24278" xr:uid="{00000000-0005-0000-0000-00001F4A0000}"/>
    <cellStyle name="Normal 26 14 9" xfId="23681" xr:uid="{00000000-0005-0000-0000-0000204A0000}"/>
    <cellStyle name="Normal 26 15" xfId="28457" xr:uid="{00000000-0005-0000-0000-0000214A0000}"/>
    <cellStyle name="Normal 26 15 10" xfId="23083" xr:uid="{00000000-0005-0000-0000-0000224A0000}"/>
    <cellStyle name="Normal 26 15 11" xfId="22486" xr:uid="{00000000-0005-0000-0000-0000234A0000}"/>
    <cellStyle name="Normal 26 15 12" xfId="21890" xr:uid="{00000000-0005-0000-0000-0000244A0000}"/>
    <cellStyle name="Normal 26 15 13" xfId="21293" xr:uid="{00000000-0005-0000-0000-0000254A0000}"/>
    <cellStyle name="Normal 26 15 14" xfId="20696" xr:uid="{00000000-0005-0000-0000-0000264A0000}"/>
    <cellStyle name="Normal 26 15 15" xfId="20099" xr:uid="{00000000-0005-0000-0000-0000274A0000}"/>
    <cellStyle name="Normal 26 15 16" xfId="19503" xr:uid="{00000000-0005-0000-0000-0000284A0000}"/>
    <cellStyle name="Normal 26 15 17" xfId="18907" xr:uid="{00000000-0005-0000-0000-0000294A0000}"/>
    <cellStyle name="Normal 26 15 18" xfId="18315" xr:uid="{00000000-0005-0000-0000-00002A4A0000}"/>
    <cellStyle name="Normal 26 15 19" xfId="17718" xr:uid="{00000000-0005-0000-0000-00002B4A0000}"/>
    <cellStyle name="Normal 26 15 2" xfId="27857" xr:uid="{00000000-0005-0000-0000-00002C4A0000}"/>
    <cellStyle name="Normal 26 15 20" xfId="16540" xr:uid="{00000000-0005-0000-0000-00002D4A0000}"/>
    <cellStyle name="Normal 26 15 21" xfId="16421" xr:uid="{00000000-0005-0000-0000-00002E4A0000}"/>
    <cellStyle name="Normal 26 15 22" xfId="15851" xr:uid="{00000000-0005-0000-0000-00002F4A0000}"/>
    <cellStyle name="Normal 26 15 23" xfId="13994" xr:uid="{00000000-0005-0000-0000-0000304A0000}"/>
    <cellStyle name="Normal 26 15 24" xfId="16282" xr:uid="{00000000-0005-0000-0000-0000314A0000}"/>
    <cellStyle name="Normal 26 15 25" xfId="13115" xr:uid="{00000000-0005-0000-0000-0000324A0000}"/>
    <cellStyle name="Normal 26 15 26" xfId="14215" xr:uid="{00000000-0005-0000-0000-0000334A0000}"/>
    <cellStyle name="Normal 26 15 27" xfId="12746" xr:uid="{00000000-0005-0000-0000-0000344A0000}"/>
    <cellStyle name="Normal 26 15 28" xfId="12327" xr:uid="{00000000-0005-0000-0000-0000354A0000}"/>
    <cellStyle name="Normal 26 15 29" xfId="11013" xr:uid="{00000000-0005-0000-0000-0000364A0000}"/>
    <cellStyle name="Normal 26 15 3" xfId="27260" xr:uid="{00000000-0005-0000-0000-0000374A0000}"/>
    <cellStyle name="Normal 26 15 30" xfId="10810" xr:uid="{00000000-0005-0000-0000-0000384A0000}"/>
    <cellStyle name="Normal 26 15 31" xfId="7982" xr:uid="{00000000-0005-0000-0000-0000394A0000}"/>
    <cellStyle name="Normal 26 15 32" xfId="8919" xr:uid="{00000000-0005-0000-0000-00003A4A0000}"/>
    <cellStyle name="Normal 26 15 33" xfId="10605" xr:uid="{00000000-0005-0000-0000-00003B4A0000}"/>
    <cellStyle name="Normal 26 15 34" xfId="8856" xr:uid="{00000000-0005-0000-0000-00003C4A0000}"/>
    <cellStyle name="Normal 26 15 35" xfId="4861" xr:uid="{00000000-0005-0000-0000-00003D4A0000}"/>
    <cellStyle name="Normal 26 15 36" xfId="8467" xr:uid="{00000000-0005-0000-0000-00003E4A0000}"/>
    <cellStyle name="Normal 26 15 37" xfId="10425" xr:uid="{00000000-0005-0000-0000-00003F4A0000}"/>
    <cellStyle name="Normal 26 15 38" xfId="10923" xr:uid="{00000000-0005-0000-0000-0000404A0000}"/>
    <cellStyle name="Normal 26 15 39" xfId="3684" xr:uid="{00000000-0005-0000-0000-0000414A0000}"/>
    <cellStyle name="Normal 26 15 4" xfId="26663" xr:uid="{00000000-0005-0000-0000-0000424A0000}"/>
    <cellStyle name="Normal 26 15 40" xfId="3641" xr:uid="{00000000-0005-0000-0000-0000434A0000}"/>
    <cellStyle name="Normal 26 15 41" xfId="5388" xr:uid="{00000000-0005-0000-0000-0000444A0000}"/>
    <cellStyle name="Normal 26 15 42" xfId="10822" xr:uid="{00000000-0005-0000-0000-0000454A0000}"/>
    <cellStyle name="Normal 26 15 43" xfId="3798" xr:uid="{00000000-0005-0000-0000-0000464A0000}"/>
    <cellStyle name="Normal 26 15 5" xfId="26067" xr:uid="{00000000-0005-0000-0000-0000474A0000}"/>
    <cellStyle name="Normal 26 15 6" xfId="25471" xr:uid="{00000000-0005-0000-0000-0000484A0000}"/>
    <cellStyle name="Normal 26 15 7" xfId="24874" xr:uid="{00000000-0005-0000-0000-0000494A0000}"/>
    <cellStyle name="Normal 26 15 8" xfId="24277" xr:uid="{00000000-0005-0000-0000-00004A4A0000}"/>
    <cellStyle name="Normal 26 15 9" xfId="23680" xr:uid="{00000000-0005-0000-0000-00004B4A0000}"/>
    <cellStyle name="Normal 26 16" xfId="28456" xr:uid="{00000000-0005-0000-0000-00004C4A0000}"/>
    <cellStyle name="Normal 26 16 10" xfId="23082" xr:uid="{00000000-0005-0000-0000-00004D4A0000}"/>
    <cellStyle name="Normal 26 16 11" xfId="22485" xr:uid="{00000000-0005-0000-0000-00004E4A0000}"/>
    <cellStyle name="Normal 26 16 12" xfId="21889" xr:uid="{00000000-0005-0000-0000-00004F4A0000}"/>
    <cellStyle name="Normal 26 16 13" xfId="21292" xr:uid="{00000000-0005-0000-0000-0000504A0000}"/>
    <cellStyle name="Normal 26 16 14" xfId="20695" xr:uid="{00000000-0005-0000-0000-0000514A0000}"/>
    <cellStyle name="Normal 26 16 15" xfId="20098" xr:uid="{00000000-0005-0000-0000-0000524A0000}"/>
    <cellStyle name="Normal 26 16 16" xfId="19502" xr:uid="{00000000-0005-0000-0000-0000534A0000}"/>
    <cellStyle name="Normal 26 16 17" xfId="18906" xr:uid="{00000000-0005-0000-0000-0000544A0000}"/>
    <cellStyle name="Normal 26 16 18" xfId="18314" xr:uid="{00000000-0005-0000-0000-0000554A0000}"/>
    <cellStyle name="Normal 26 16 19" xfId="17717" xr:uid="{00000000-0005-0000-0000-0000564A0000}"/>
    <cellStyle name="Normal 26 16 2" xfId="27856" xr:uid="{00000000-0005-0000-0000-0000574A0000}"/>
    <cellStyle name="Normal 26 16 20" xfId="16734" xr:uid="{00000000-0005-0000-0000-0000584A0000}"/>
    <cellStyle name="Normal 26 16 21" xfId="16000" xr:uid="{00000000-0005-0000-0000-0000594A0000}"/>
    <cellStyle name="Normal 26 16 22" xfId="16464" xr:uid="{00000000-0005-0000-0000-00005A4A0000}"/>
    <cellStyle name="Normal 26 16 23" xfId="14850" xr:uid="{00000000-0005-0000-0000-00005B4A0000}"/>
    <cellStyle name="Normal 26 16 24" xfId="14073" xr:uid="{00000000-0005-0000-0000-00005C4A0000}"/>
    <cellStyle name="Normal 26 16 25" xfId="14419" xr:uid="{00000000-0005-0000-0000-00005D4A0000}"/>
    <cellStyle name="Normal 26 16 26" xfId="13008" xr:uid="{00000000-0005-0000-0000-00005E4A0000}"/>
    <cellStyle name="Normal 26 16 27" xfId="17357" xr:uid="{00000000-0005-0000-0000-00005F4A0000}"/>
    <cellStyle name="Normal 26 16 28" xfId="12326" xr:uid="{00000000-0005-0000-0000-0000604A0000}"/>
    <cellStyle name="Normal 26 16 29" xfId="11241" xr:uid="{00000000-0005-0000-0000-0000614A0000}"/>
    <cellStyle name="Normal 26 16 3" xfId="27259" xr:uid="{00000000-0005-0000-0000-0000624A0000}"/>
    <cellStyle name="Normal 26 16 30" xfId="9137" xr:uid="{00000000-0005-0000-0000-0000634A0000}"/>
    <cellStyle name="Normal 26 16 31" xfId="7259" xr:uid="{00000000-0005-0000-0000-0000644A0000}"/>
    <cellStyle name="Normal 26 16 32" xfId="5959" xr:uid="{00000000-0005-0000-0000-0000654A0000}"/>
    <cellStyle name="Normal 26 16 33" xfId="6251" xr:uid="{00000000-0005-0000-0000-0000664A0000}"/>
    <cellStyle name="Normal 26 16 34" xfId="5315" xr:uid="{00000000-0005-0000-0000-0000674A0000}"/>
    <cellStyle name="Normal 26 16 35" xfId="4367" xr:uid="{00000000-0005-0000-0000-0000684A0000}"/>
    <cellStyle name="Normal 26 16 36" xfId="4211" xr:uid="{00000000-0005-0000-0000-0000694A0000}"/>
    <cellStyle name="Normal 26 16 37" xfId="5150" xr:uid="{00000000-0005-0000-0000-00006A4A0000}"/>
    <cellStyle name="Normal 26 16 38" xfId="6434" xr:uid="{00000000-0005-0000-0000-00006B4A0000}"/>
    <cellStyle name="Normal 26 16 39" xfId="3545" xr:uid="{00000000-0005-0000-0000-00006C4A0000}"/>
    <cellStyle name="Normal 26 16 4" xfId="26662" xr:uid="{00000000-0005-0000-0000-00006D4A0000}"/>
    <cellStyle name="Normal 26 16 40" xfId="3500" xr:uid="{00000000-0005-0000-0000-00006E4A0000}"/>
    <cellStyle name="Normal 26 16 41" xfId="3681" xr:uid="{00000000-0005-0000-0000-00006F4A0000}"/>
    <cellStyle name="Normal 26 16 42" xfId="4457" xr:uid="{00000000-0005-0000-0000-0000704A0000}"/>
    <cellStyle name="Normal 26 16 43" xfId="10176" xr:uid="{00000000-0005-0000-0000-0000714A0000}"/>
    <cellStyle name="Normal 26 16 5" xfId="26066" xr:uid="{00000000-0005-0000-0000-0000724A0000}"/>
    <cellStyle name="Normal 26 16 6" xfId="25470" xr:uid="{00000000-0005-0000-0000-0000734A0000}"/>
    <cellStyle name="Normal 26 16 7" xfId="24873" xr:uid="{00000000-0005-0000-0000-0000744A0000}"/>
    <cellStyle name="Normal 26 16 8" xfId="24276" xr:uid="{00000000-0005-0000-0000-0000754A0000}"/>
    <cellStyle name="Normal 26 16 9" xfId="23679" xr:uid="{00000000-0005-0000-0000-0000764A0000}"/>
    <cellStyle name="Normal 26 17" xfId="28455" xr:uid="{00000000-0005-0000-0000-0000774A0000}"/>
    <cellStyle name="Normal 26 17 10" xfId="23081" xr:uid="{00000000-0005-0000-0000-0000784A0000}"/>
    <cellStyle name="Normal 26 17 11" xfId="22484" xr:uid="{00000000-0005-0000-0000-0000794A0000}"/>
    <cellStyle name="Normal 26 17 12" xfId="21888" xr:uid="{00000000-0005-0000-0000-00007A4A0000}"/>
    <cellStyle name="Normal 26 17 13" xfId="21291" xr:uid="{00000000-0005-0000-0000-00007B4A0000}"/>
    <cellStyle name="Normal 26 17 14" xfId="20694" xr:uid="{00000000-0005-0000-0000-00007C4A0000}"/>
    <cellStyle name="Normal 26 17 15" xfId="20097" xr:uid="{00000000-0005-0000-0000-00007D4A0000}"/>
    <cellStyle name="Normal 26 17 16" xfId="19501" xr:uid="{00000000-0005-0000-0000-00007E4A0000}"/>
    <cellStyle name="Normal 26 17 17" xfId="18905" xr:uid="{00000000-0005-0000-0000-00007F4A0000}"/>
    <cellStyle name="Normal 26 17 18" xfId="18313" xr:uid="{00000000-0005-0000-0000-0000804A0000}"/>
    <cellStyle name="Normal 26 17 19" xfId="17716" xr:uid="{00000000-0005-0000-0000-0000814A0000}"/>
    <cellStyle name="Normal 26 17 2" xfId="27855" xr:uid="{00000000-0005-0000-0000-0000824A0000}"/>
    <cellStyle name="Normal 26 17 20" xfId="16931" xr:uid="{00000000-0005-0000-0000-0000834A0000}"/>
    <cellStyle name="Normal 26 17 21" xfId="16406" xr:uid="{00000000-0005-0000-0000-0000844A0000}"/>
    <cellStyle name="Normal 26 17 22" xfId="17282" xr:uid="{00000000-0005-0000-0000-0000854A0000}"/>
    <cellStyle name="Normal 26 17 23" xfId="13886" xr:uid="{00000000-0005-0000-0000-0000864A0000}"/>
    <cellStyle name="Normal 26 17 24" xfId="16036" xr:uid="{00000000-0005-0000-0000-0000874A0000}"/>
    <cellStyle name="Normal 26 17 25" xfId="17438" xr:uid="{00000000-0005-0000-0000-0000884A0000}"/>
    <cellStyle name="Normal 26 17 26" xfId="13201" xr:uid="{00000000-0005-0000-0000-0000894A0000}"/>
    <cellStyle name="Normal 26 17 27" xfId="12884" xr:uid="{00000000-0005-0000-0000-00008A4A0000}"/>
    <cellStyle name="Normal 26 17 28" xfId="12325" xr:uid="{00000000-0005-0000-0000-00008B4A0000}"/>
    <cellStyle name="Normal 26 17 29" xfId="11474" xr:uid="{00000000-0005-0000-0000-00008C4A0000}"/>
    <cellStyle name="Normal 26 17 3" xfId="27258" xr:uid="{00000000-0005-0000-0000-00008D4A0000}"/>
    <cellStyle name="Normal 26 17 30" xfId="9128" xr:uid="{00000000-0005-0000-0000-00008E4A0000}"/>
    <cellStyle name="Normal 26 17 31" xfId="10421" xr:uid="{00000000-0005-0000-0000-00008F4A0000}"/>
    <cellStyle name="Normal 26 17 32" xfId="11429" xr:uid="{00000000-0005-0000-0000-0000904A0000}"/>
    <cellStyle name="Normal 26 17 33" xfId="4986" xr:uid="{00000000-0005-0000-0000-0000914A0000}"/>
    <cellStyle name="Normal 26 17 34" xfId="5981" xr:uid="{00000000-0005-0000-0000-0000924A0000}"/>
    <cellStyle name="Normal 26 17 35" xfId="9913" xr:uid="{00000000-0005-0000-0000-0000934A0000}"/>
    <cellStyle name="Normal 26 17 36" xfId="5189" xr:uid="{00000000-0005-0000-0000-0000944A0000}"/>
    <cellStyle name="Normal 26 17 37" xfId="11556" xr:uid="{00000000-0005-0000-0000-0000954A0000}"/>
    <cellStyle name="Normal 26 17 38" xfId="8344" xr:uid="{00000000-0005-0000-0000-0000964A0000}"/>
    <cellStyle name="Normal 26 17 39" xfId="12061" xr:uid="{00000000-0005-0000-0000-0000974A0000}"/>
    <cellStyle name="Normal 26 17 4" xfId="26661" xr:uid="{00000000-0005-0000-0000-0000984A0000}"/>
    <cellStyle name="Normal 26 17 40" xfId="5148" xr:uid="{00000000-0005-0000-0000-0000994A0000}"/>
    <cellStyle name="Normal 26 17 41" xfId="6730" xr:uid="{00000000-0005-0000-0000-00009A4A0000}"/>
    <cellStyle name="Normal 26 17 42" xfId="10320" xr:uid="{00000000-0005-0000-0000-00009B4A0000}"/>
    <cellStyle name="Normal 26 17 43" xfId="4172" xr:uid="{00000000-0005-0000-0000-00009C4A0000}"/>
    <cellStyle name="Normal 26 17 5" xfId="26065" xr:uid="{00000000-0005-0000-0000-00009D4A0000}"/>
    <cellStyle name="Normal 26 17 6" xfId="25469" xr:uid="{00000000-0005-0000-0000-00009E4A0000}"/>
    <cellStyle name="Normal 26 17 7" xfId="24872" xr:uid="{00000000-0005-0000-0000-00009F4A0000}"/>
    <cellStyle name="Normal 26 17 8" xfId="24275" xr:uid="{00000000-0005-0000-0000-0000A04A0000}"/>
    <cellStyle name="Normal 26 17 9" xfId="23678" xr:uid="{00000000-0005-0000-0000-0000A14A0000}"/>
    <cellStyle name="Normal 26 18" xfId="28454" xr:uid="{00000000-0005-0000-0000-0000A24A0000}"/>
    <cellStyle name="Normal 26 18 10" xfId="23080" xr:uid="{00000000-0005-0000-0000-0000A34A0000}"/>
    <cellStyle name="Normal 26 18 11" xfId="22483" xr:uid="{00000000-0005-0000-0000-0000A44A0000}"/>
    <cellStyle name="Normal 26 18 12" xfId="21887" xr:uid="{00000000-0005-0000-0000-0000A54A0000}"/>
    <cellStyle name="Normal 26 18 13" xfId="21290" xr:uid="{00000000-0005-0000-0000-0000A64A0000}"/>
    <cellStyle name="Normal 26 18 14" xfId="20693" xr:uid="{00000000-0005-0000-0000-0000A74A0000}"/>
    <cellStyle name="Normal 26 18 15" xfId="20096" xr:uid="{00000000-0005-0000-0000-0000A84A0000}"/>
    <cellStyle name="Normal 26 18 16" xfId="19500" xr:uid="{00000000-0005-0000-0000-0000A94A0000}"/>
    <cellStyle name="Normal 26 18 17" xfId="18904" xr:uid="{00000000-0005-0000-0000-0000AA4A0000}"/>
    <cellStyle name="Normal 26 18 18" xfId="18312" xr:uid="{00000000-0005-0000-0000-0000AB4A0000}"/>
    <cellStyle name="Normal 26 18 19" xfId="17715" xr:uid="{00000000-0005-0000-0000-0000AC4A0000}"/>
    <cellStyle name="Normal 26 18 2" xfId="27854" xr:uid="{00000000-0005-0000-0000-0000AD4A0000}"/>
    <cellStyle name="Normal 26 18 20" xfId="17138" xr:uid="{00000000-0005-0000-0000-0000AE4A0000}"/>
    <cellStyle name="Normal 26 18 21" xfId="16775" xr:uid="{00000000-0005-0000-0000-0000AF4A0000}"/>
    <cellStyle name="Normal 26 18 22" xfId="17476" xr:uid="{00000000-0005-0000-0000-0000B04A0000}"/>
    <cellStyle name="Normal 26 18 23" xfId="14616" xr:uid="{00000000-0005-0000-0000-0000B14A0000}"/>
    <cellStyle name="Normal 26 18 24" xfId="17152" xr:uid="{00000000-0005-0000-0000-0000B24A0000}"/>
    <cellStyle name="Normal 26 18 25" xfId="13591" xr:uid="{00000000-0005-0000-0000-0000B34A0000}"/>
    <cellStyle name="Normal 26 18 26" xfId="14387" xr:uid="{00000000-0005-0000-0000-0000B44A0000}"/>
    <cellStyle name="Normal 26 18 27" xfId="13291" xr:uid="{00000000-0005-0000-0000-0000B54A0000}"/>
    <cellStyle name="Normal 26 18 28" xfId="12324" xr:uid="{00000000-0005-0000-0000-0000B64A0000}"/>
    <cellStyle name="Normal 26 18 29" xfId="11698" xr:uid="{00000000-0005-0000-0000-0000B74A0000}"/>
    <cellStyle name="Normal 26 18 3" xfId="27257" xr:uid="{00000000-0005-0000-0000-0000B84A0000}"/>
    <cellStyle name="Normal 26 18 30" xfId="7375" xr:uid="{00000000-0005-0000-0000-0000B94A0000}"/>
    <cellStyle name="Normal 26 18 31" xfId="10038" xr:uid="{00000000-0005-0000-0000-0000BA4A0000}"/>
    <cellStyle name="Normal 26 18 32" xfId="10537" xr:uid="{00000000-0005-0000-0000-0000BB4A0000}"/>
    <cellStyle name="Normal 26 18 33" xfId="5040" xr:uid="{00000000-0005-0000-0000-0000BC4A0000}"/>
    <cellStyle name="Normal 26 18 34" xfId="5134" xr:uid="{00000000-0005-0000-0000-0000BD4A0000}"/>
    <cellStyle name="Normal 26 18 35" xfId="7973" xr:uid="{00000000-0005-0000-0000-0000BE4A0000}"/>
    <cellStyle name="Normal 26 18 36" xfId="7175" xr:uid="{00000000-0005-0000-0000-0000BF4A0000}"/>
    <cellStyle name="Normal 26 18 37" xfId="8389" xr:uid="{00000000-0005-0000-0000-0000C04A0000}"/>
    <cellStyle name="Normal 26 18 38" xfId="6118" xr:uid="{00000000-0005-0000-0000-0000C14A0000}"/>
    <cellStyle name="Normal 26 18 39" xfId="5748" xr:uid="{00000000-0005-0000-0000-0000C24A0000}"/>
    <cellStyle name="Normal 26 18 4" xfId="26660" xr:uid="{00000000-0005-0000-0000-0000C34A0000}"/>
    <cellStyle name="Normal 26 18 40" xfId="9866" xr:uid="{00000000-0005-0000-0000-0000C44A0000}"/>
    <cellStyle name="Normal 26 18 41" xfId="4381" xr:uid="{00000000-0005-0000-0000-0000C54A0000}"/>
    <cellStyle name="Normal 26 18 42" xfId="3129" xr:uid="{00000000-0005-0000-0000-0000C64A0000}"/>
    <cellStyle name="Normal 26 18 43" xfId="3861" xr:uid="{00000000-0005-0000-0000-0000C74A0000}"/>
    <cellStyle name="Normal 26 18 5" xfId="26064" xr:uid="{00000000-0005-0000-0000-0000C84A0000}"/>
    <cellStyle name="Normal 26 18 6" xfId="25468" xr:uid="{00000000-0005-0000-0000-0000C94A0000}"/>
    <cellStyle name="Normal 26 18 7" xfId="24871" xr:uid="{00000000-0005-0000-0000-0000CA4A0000}"/>
    <cellStyle name="Normal 26 18 8" xfId="24274" xr:uid="{00000000-0005-0000-0000-0000CB4A0000}"/>
    <cellStyle name="Normal 26 18 9" xfId="23677" xr:uid="{00000000-0005-0000-0000-0000CC4A0000}"/>
    <cellStyle name="Normal 26 19" xfId="28453" xr:uid="{00000000-0005-0000-0000-0000CD4A0000}"/>
    <cellStyle name="Normal 26 19 10" xfId="23079" xr:uid="{00000000-0005-0000-0000-0000CE4A0000}"/>
    <cellStyle name="Normal 26 19 11" xfId="22482" xr:uid="{00000000-0005-0000-0000-0000CF4A0000}"/>
    <cellStyle name="Normal 26 19 12" xfId="21886" xr:uid="{00000000-0005-0000-0000-0000D04A0000}"/>
    <cellStyle name="Normal 26 19 13" xfId="21289" xr:uid="{00000000-0005-0000-0000-0000D14A0000}"/>
    <cellStyle name="Normal 26 19 14" xfId="20692" xr:uid="{00000000-0005-0000-0000-0000D24A0000}"/>
    <cellStyle name="Normal 26 19 15" xfId="20095" xr:uid="{00000000-0005-0000-0000-0000D34A0000}"/>
    <cellStyle name="Normal 26 19 16" xfId="19499" xr:uid="{00000000-0005-0000-0000-0000D44A0000}"/>
    <cellStyle name="Normal 26 19 17" xfId="18903" xr:uid="{00000000-0005-0000-0000-0000D54A0000}"/>
    <cellStyle name="Normal 26 19 18" xfId="18311" xr:uid="{00000000-0005-0000-0000-0000D64A0000}"/>
    <cellStyle name="Normal 26 19 19" xfId="17714" xr:uid="{00000000-0005-0000-0000-0000D74A0000}"/>
    <cellStyle name="Normal 26 19 2" xfId="27853" xr:uid="{00000000-0005-0000-0000-0000D84A0000}"/>
    <cellStyle name="Normal 26 19 20" xfId="17331" xr:uid="{00000000-0005-0000-0000-0000D94A0000}"/>
    <cellStyle name="Normal 26 19 21" xfId="16386" xr:uid="{00000000-0005-0000-0000-0000DA4A0000}"/>
    <cellStyle name="Normal 26 19 22" xfId="14511" xr:uid="{00000000-0005-0000-0000-0000DB4A0000}"/>
    <cellStyle name="Normal 26 19 23" xfId="16697" xr:uid="{00000000-0005-0000-0000-0000DC4A0000}"/>
    <cellStyle name="Normal 26 19 24" xfId="16772" xr:uid="{00000000-0005-0000-0000-0000DD4A0000}"/>
    <cellStyle name="Normal 26 19 25" xfId="14573" xr:uid="{00000000-0005-0000-0000-0000DE4A0000}"/>
    <cellStyle name="Normal 26 19 26" xfId="12807" xr:uid="{00000000-0005-0000-0000-0000DF4A0000}"/>
    <cellStyle name="Normal 26 19 27" xfId="17177" xr:uid="{00000000-0005-0000-0000-0000E04A0000}"/>
    <cellStyle name="Normal 26 19 28" xfId="12323" xr:uid="{00000000-0005-0000-0000-0000E14A0000}"/>
    <cellStyle name="Normal 26 19 29" xfId="8033" xr:uid="{00000000-0005-0000-0000-0000E24A0000}"/>
    <cellStyle name="Normal 26 19 3" xfId="27256" xr:uid="{00000000-0005-0000-0000-0000E34A0000}"/>
    <cellStyle name="Normal 26 19 30" xfId="11146" xr:uid="{00000000-0005-0000-0000-0000E44A0000}"/>
    <cellStyle name="Normal 26 19 31" xfId="7475" xr:uid="{00000000-0005-0000-0000-0000E54A0000}"/>
    <cellStyle name="Normal 26 19 32" xfId="10020" xr:uid="{00000000-0005-0000-0000-0000E64A0000}"/>
    <cellStyle name="Normal 26 19 33" xfId="7260" xr:uid="{00000000-0005-0000-0000-0000E74A0000}"/>
    <cellStyle name="Normal 26 19 34" xfId="8004" xr:uid="{00000000-0005-0000-0000-0000E84A0000}"/>
    <cellStyle name="Normal 26 19 35" xfId="11031" xr:uid="{00000000-0005-0000-0000-0000E94A0000}"/>
    <cellStyle name="Normal 26 19 36" xfId="4473" xr:uid="{00000000-0005-0000-0000-0000EA4A0000}"/>
    <cellStyle name="Normal 26 19 37" xfId="9278" xr:uid="{00000000-0005-0000-0000-0000EB4A0000}"/>
    <cellStyle name="Normal 26 19 38" xfId="4482" xr:uid="{00000000-0005-0000-0000-0000EC4A0000}"/>
    <cellStyle name="Normal 26 19 39" xfId="3803" xr:uid="{00000000-0005-0000-0000-0000ED4A0000}"/>
    <cellStyle name="Normal 26 19 4" xfId="26659" xr:uid="{00000000-0005-0000-0000-0000EE4A0000}"/>
    <cellStyle name="Normal 26 19 40" xfId="4686" xr:uid="{00000000-0005-0000-0000-0000EF4A0000}"/>
    <cellStyle name="Normal 26 19 41" xfId="4817" xr:uid="{00000000-0005-0000-0000-0000F04A0000}"/>
    <cellStyle name="Normal 26 19 42" xfId="3137" xr:uid="{00000000-0005-0000-0000-0000F14A0000}"/>
    <cellStyle name="Normal 26 19 43" xfId="5609" xr:uid="{00000000-0005-0000-0000-0000F24A0000}"/>
    <cellStyle name="Normal 26 19 5" xfId="26063" xr:uid="{00000000-0005-0000-0000-0000F34A0000}"/>
    <cellStyle name="Normal 26 19 6" xfId="25467" xr:uid="{00000000-0005-0000-0000-0000F44A0000}"/>
    <cellStyle name="Normal 26 19 7" xfId="24870" xr:uid="{00000000-0005-0000-0000-0000F54A0000}"/>
    <cellStyle name="Normal 26 19 8" xfId="24273" xr:uid="{00000000-0005-0000-0000-0000F64A0000}"/>
    <cellStyle name="Normal 26 19 9" xfId="23676" xr:uid="{00000000-0005-0000-0000-0000F74A0000}"/>
    <cellStyle name="Normal 26 2" xfId="28452" xr:uid="{00000000-0005-0000-0000-0000F84A0000}"/>
    <cellStyle name="Normal 26 2 10" xfId="23078" xr:uid="{00000000-0005-0000-0000-0000F94A0000}"/>
    <cellStyle name="Normal 26 2 11" xfId="22481" xr:uid="{00000000-0005-0000-0000-0000FA4A0000}"/>
    <cellStyle name="Normal 26 2 12" xfId="21885" xr:uid="{00000000-0005-0000-0000-0000FB4A0000}"/>
    <cellStyle name="Normal 26 2 13" xfId="21288" xr:uid="{00000000-0005-0000-0000-0000FC4A0000}"/>
    <cellStyle name="Normal 26 2 14" xfId="20691" xr:uid="{00000000-0005-0000-0000-0000FD4A0000}"/>
    <cellStyle name="Normal 26 2 15" xfId="20094" xr:uid="{00000000-0005-0000-0000-0000FE4A0000}"/>
    <cellStyle name="Normal 26 2 16" xfId="19498" xr:uid="{00000000-0005-0000-0000-0000FF4A0000}"/>
    <cellStyle name="Normal 26 2 17" xfId="18902" xr:uid="{00000000-0005-0000-0000-0000004B0000}"/>
    <cellStyle name="Normal 26 2 18" xfId="18310" xr:uid="{00000000-0005-0000-0000-0000014B0000}"/>
    <cellStyle name="Normal 26 2 19" xfId="17713" xr:uid="{00000000-0005-0000-0000-0000024B0000}"/>
    <cellStyle name="Normal 26 2 2" xfId="27852" xr:uid="{00000000-0005-0000-0000-0000034B0000}"/>
    <cellStyle name="Normal 26 2 20" xfId="14164" xr:uid="{00000000-0005-0000-0000-0000044B0000}"/>
    <cellStyle name="Normal 26 2 21" xfId="15964" xr:uid="{00000000-0005-0000-0000-0000054B0000}"/>
    <cellStyle name="Normal 26 2 22" xfId="15167" xr:uid="{00000000-0005-0000-0000-0000064B0000}"/>
    <cellStyle name="Normal 26 2 23" xfId="16054" xr:uid="{00000000-0005-0000-0000-0000074B0000}"/>
    <cellStyle name="Normal 26 2 24" xfId="13354" xr:uid="{00000000-0005-0000-0000-0000084B0000}"/>
    <cellStyle name="Normal 26 2 25" xfId="13287" xr:uid="{00000000-0005-0000-0000-0000094B0000}"/>
    <cellStyle name="Normal 26 2 26" xfId="14571" xr:uid="{00000000-0005-0000-0000-00000A4B0000}"/>
    <cellStyle name="Normal 26 2 27" xfId="14085" xr:uid="{00000000-0005-0000-0000-00000B4B0000}"/>
    <cellStyle name="Normal 26 2 28" xfId="12322" xr:uid="{00000000-0005-0000-0000-00000C4B0000}"/>
    <cellStyle name="Normal 26 2 29" xfId="6465" xr:uid="{00000000-0005-0000-0000-00000D4B0000}"/>
    <cellStyle name="Normal 26 2 3" xfId="27255" xr:uid="{00000000-0005-0000-0000-00000E4B0000}"/>
    <cellStyle name="Normal 26 2 30" xfId="7323" xr:uid="{00000000-0005-0000-0000-00000F4B0000}"/>
    <cellStyle name="Normal 26 2 31" xfId="5502" xr:uid="{00000000-0005-0000-0000-0000104B0000}"/>
    <cellStyle name="Normal 26 2 32" xfId="12015" xr:uid="{00000000-0005-0000-0000-0000114B0000}"/>
    <cellStyle name="Normal 26 2 33" xfId="4814" xr:uid="{00000000-0005-0000-0000-0000124B0000}"/>
    <cellStyle name="Normal 26 2 34" xfId="11053" xr:uid="{00000000-0005-0000-0000-0000134B0000}"/>
    <cellStyle name="Normal 26 2 35" xfId="9468" xr:uid="{00000000-0005-0000-0000-0000144B0000}"/>
    <cellStyle name="Normal 26 2 36" xfId="6782" xr:uid="{00000000-0005-0000-0000-0000154B0000}"/>
    <cellStyle name="Normal 26 2 37" xfId="5367" xr:uid="{00000000-0005-0000-0000-0000164B0000}"/>
    <cellStyle name="Normal 26 2 38" xfId="9531" xr:uid="{00000000-0005-0000-0000-0000174B0000}"/>
    <cellStyle name="Normal 26 2 39" xfId="5758" xr:uid="{00000000-0005-0000-0000-0000184B0000}"/>
    <cellStyle name="Normal 26 2 4" xfId="26658" xr:uid="{00000000-0005-0000-0000-0000194B0000}"/>
    <cellStyle name="Normal 26 2 40" xfId="3502" xr:uid="{00000000-0005-0000-0000-00001A4B0000}"/>
    <cellStyle name="Normal 26 2 41" xfId="10555" xr:uid="{00000000-0005-0000-0000-00001B4B0000}"/>
    <cellStyle name="Normal 26 2 42" xfId="3133" xr:uid="{00000000-0005-0000-0000-00001C4B0000}"/>
    <cellStyle name="Normal 26 2 43" xfId="3763" xr:uid="{00000000-0005-0000-0000-00001D4B0000}"/>
    <cellStyle name="Normal 26 2 44" xfId="2916" xr:uid="{00000000-0005-0000-0000-00001E4B0000}"/>
    <cellStyle name="Normal 26 2 45" xfId="2673" xr:uid="{00000000-0005-0000-0000-00001F4B0000}"/>
    <cellStyle name="Normal 26 2 46" xfId="2433" xr:uid="{00000000-0005-0000-0000-0000204B0000}"/>
    <cellStyle name="Normal 26 2 47" xfId="2193" xr:uid="{00000000-0005-0000-0000-0000214B0000}"/>
    <cellStyle name="Normal 26 2 48" xfId="1953" xr:uid="{00000000-0005-0000-0000-0000224B0000}"/>
    <cellStyle name="Normal 26 2 49" xfId="1713" xr:uid="{00000000-0005-0000-0000-0000234B0000}"/>
    <cellStyle name="Normal 26 2 5" xfId="26062" xr:uid="{00000000-0005-0000-0000-0000244B0000}"/>
    <cellStyle name="Normal 26 2 50" xfId="1474" xr:uid="{00000000-0005-0000-0000-0000254B0000}"/>
    <cellStyle name="Normal 26 2 51" xfId="1234" xr:uid="{00000000-0005-0000-0000-0000264B0000}"/>
    <cellStyle name="Normal 26 2 52" xfId="994" xr:uid="{00000000-0005-0000-0000-0000274B0000}"/>
    <cellStyle name="Normal 26 2 53" xfId="754" xr:uid="{00000000-0005-0000-0000-0000284B0000}"/>
    <cellStyle name="Normal 26 2 54" xfId="514" xr:uid="{00000000-0005-0000-0000-0000294B0000}"/>
    <cellStyle name="Normal 26 2 55" xfId="275" xr:uid="{00000000-0005-0000-0000-00002A4B0000}"/>
    <cellStyle name="Normal 26 2 56" xfId="37" xr:uid="{00000000-0005-0000-0000-00002B4B0000}"/>
    <cellStyle name="Normal 26 2 6" xfId="25466" xr:uid="{00000000-0005-0000-0000-00002C4B0000}"/>
    <cellStyle name="Normal 26 2 7" xfId="24869" xr:uid="{00000000-0005-0000-0000-00002D4B0000}"/>
    <cellStyle name="Normal 26 2 8" xfId="24272" xr:uid="{00000000-0005-0000-0000-00002E4B0000}"/>
    <cellStyle name="Normal 26 2 9" xfId="23675" xr:uid="{00000000-0005-0000-0000-00002F4B0000}"/>
    <cellStyle name="Normal 26 20" xfId="28451" xr:uid="{00000000-0005-0000-0000-0000304B0000}"/>
    <cellStyle name="Normal 26 20 10" xfId="23077" xr:uid="{00000000-0005-0000-0000-0000314B0000}"/>
    <cellStyle name="Normal 26 20 11" xfId="22480" xr:uid="{00000000-0005-0000-0000-0000324B0000}"/>
    <cellStyle name="Normal 26 20 12" xfId="21884" xr:uid="{00000000-0005-0000-0000-0000334B0000}"/>
    <cellStyle name="Normal 26 20 13" xfId="21287" xr:uid="{00000000-0005-0000-0000-0000344B0000}"/>
    <cellStyle name="Normal 26 20 14" xfId="20690" xr:uid="{00000000-0005-0000-0000-0000354B0000}"/>
    <cellStyle name="Normal 26 20 15" xfId="20093" xr:uid="{00000000-0005-0000-0000-0000364B0000}"/>
    <cellStyle name="Normal 26 20 16" xfId="19497" xr:uid="{00000000-0005-0000-0000-0000374B0000}"/>
    <cellStyle name="Normal 26 20 17" xfId="18901" xr:uid="{00000000-0005-0000-0000-0000384B0000}"/>
    <cellStyle name="Normal 26 20 18" xfId="18309" xr:uid="{00000000-0005-0000-0000-0000394B0000}"/>
    <cellStyle name="Normal 26 20 19" xfId="17712" xr:uid="{00000000-0005-0000-0000-00003A4B0000}"/>
    <cellStyle name="Normal 26 20 2" xfId="27851" xr:uid="{00000000-0005-0000-0000-00003B4B0000}"/>
    <cellStyle name="Normal 26 20 20" xfId="14353" xr:uid="{00000000-0005-0000-0000-00003C4B0000}"/>
    <cellStyle name="Normal 26 20 21" xfId="13975" xr:uid="{00000000-0005-0000-0000-00003D4B0000}"/>
    <cellStyle name="Normal 26 20 22" xfId="16390" xr:uid="{00000000-0005-0000-0000-00003E4B0000}"/>
    <cellStyle name="Normal 26 20 23" xfId="16410" xr:uid="{00000000-0005-0000-0000-00003F4B0000}"/>
    <cellStyle name="Normal 26 20 24" xfId="16960" xr:uid="{00000000-0005-0000-0000-0000404B0000}"/>
    <cellStyle name="Normal 26 20 25" xfId="17067" xr:uid="{00000000-0005-0000-0000-0000414B0000}"/>
    <cellStyle name="Normal 26 20 26" xfId="12804" xr:uid="{00000000-0005-0000-0000-0000424B0000}"/>
    <cellStyle name="Normal 26 20 27" xfId="12927" xr:uid="{00000000-0005-0000-0000-0000434B0000}"/>
    <cellStyle name="Normal 26 20 28" xfId="12321" xr:uid="{00000000-0005-0000-0000-0000444B0000}"/>
    <cellStyle name="Normal 26 20 29" xfId="8075" xr:uid="{00000000-0005-0000-0000-0000454B0000}"/>
    <cellStyle name="Normal 26 20 3" xfId="27254" xr:uid="{00000000-0005-0000-0000-0000464B0000}"/>
    <cellStyle name="Normal 26 20 30" xfId="11806" xr:uid="{00000000-0005-0000-0000-0000474B0000}"/>
    <cellStyle name="Normal 26 20 31" xfId="5676" xr:uid="{00000000-0005-0000-0000-0000484B0000}"/>
    <cellStyle name="Normal 26 20 32" xfId="8336" xr:uid="{00000000-0005-0000-0000-0000494B0000}"/>
    <cellStyle name="Normal 26 20 33" xfId="8196" xr:uid="{00000000-0005-0000-0000-00004A4B0000}"/>
    <cellStyle name="Normal 26 20 34" xfId="9604" xr:uid="{00000000-0005-0000-0000-00004B4B0000}"/>
    <cellStyle name="Normal 26 20 35" xfId="11380" xr:uid="{00000000-0005-0000-0000-00004C4B0000}"/>
    <cellStyle name="Normal 26 20 36" xfId="9572" xr:uid="{00000000-0005-0000-0000-00004D4B0000}"/>
    <cellStyle name="Normal 26 20 37" xfId="8209" xr:uid="{00000000-0005-0000-0000-00004E4B0000}"/>
    <cellStyle name="Normal 26 20 38" xfId="5648" xr:uid="{00000000-0005-0000-0000-00004F4B0000}"/>
    <cellStyle name="Normal 26 20 39" xfId="11489" xr:uid="{00000000-0005-0000-0000-0000504B0000}"/>
    <cellStyle name="Normal 26 20 4" xfId="26657" xr:uid="{00000000-0005-0000-0000-0000514B0000}"/>
    <cellStyle name="Normal 26 20 40" xfId="5814" xr:uid="{00000000-0005-0000-0000-0000524B0000}"/>
    <cellStyle name="Normal 26 20 41" xfId="10101" xr:uid="{00000000-0005-0000-0000-0000534B0000}"/>
    <cellStyle name="Normal 26 20 42" xfId="3147" xr:uid="{00000000-0005-0000-0000-0000544B0000}"/>
    <cellStyle name="Normal 26 20 43" xfId="7563" xr:uid="{00000000-0005-0000-0000-0000554B0000}"/>
    <cellStyle name="Normal 26 20 5" xfId="26061" xr:uid="{00000000-0005-0000-0000-0000564B0000}"/>
    <cellStyle name="Normal 26 20 6" xfId="25465" xr:uid="{00000000-0005-0000-0000-0000574B0000}"/>
    <cellStyle name="Normal 26 20 7" xfId="24868" xr:uid="{00000000-0005-0000-0000-0000584B0000}"/>
    <cellStyle name="Normal 26 20 8" xfId="24271" xr:uid="{00000000-0005-0000-0000-0000594B0000}"/>
    <cellStyle name="Normal 26 20 9" xfId="23674" xr:uid="{00000000-0005-0000-0000-00005A4B0000}"/>
    <cellStyle name="Normal 26 21" xfId="28450" xr:uid="{00000000-0005-0000-0000-00005B4B0000}"/>
    <cellStyle name="Normal 26 21 10" xfId="23076" xr:uid="{00000000-0005-0000-0000-00005C4B0000}"/>
    <cellStyle name="Normal 26 21 11" xfId="22479" xr:uid="{00000000-0005-0000-0000-00005D4B0000}"/>
    <cellStyle name="Normal 26 21 12" xfId="21883" xr:uid="{00000000-0005-0000-0000-00005E4B0000}"/>
    <cellStyle name="Normal 26 21 13" xfId="21286" xr:uid="{00000000-0005-0000-0000-00005F4B0000}"/>
    <cellStyle name="Normal 26 21 14" xfId="20689" xr:uid="{00000000-0005-0000-0000-0000604B0000}"/>
    <cellStyle name="Normal 26 21 15" xfId="20092" xr:uid="{00000000-0005-0000-0000-0000614B0000}"/>
    <cellStyle name="Normal 26 21 16" xfId="19496" xr:uid="{00000000-0005-0000-0000-0000624B0000}"/>
    <cellStyle name="Normal 26 21 17" xfId="18900" xr:uid="{00000000-0005-0000-0000-0000634B0000}"/>
    <cellStyle name="Normal 26 21 18" xfId="18308" xr:uid="{00000000-0005-0000-0000-0000644B0000}"/>
    <cellStyle name="Normal 26 21 19" xfId="17711" xr:uid="{00000000-0005-0000-0000-0000654B0000}"/>
    <cellStyle name="Normal 26 21 2" xfId="27850" xr:uid="{00000000-0005-0000-0000-0000664B0000}"/>
    <cellStyle name="Normal 26 21 20" xfId="14544" xr:uid="{00000000-0005-0000-0000-0000674B0000}"/>
    <cellStyle name="Normal 26 21 21" xfId="15321" xr:uid="{00000000-0005-0000-0000-0000684B0000}"/>
    <cellStyle name="Normal 26 21 22" xfId="15793" xr:uid="{00000000-0005-0000-0000-0000694B0000}"/>
    <cellStyle name="Normal 26 21 23" xfId="17252" xr:uid="{00000000-0005-0000-0000-00006A4B0000}"/>
    <cellStyle name="Normal 26 21 24" xfId="14988" xr:uid="{00000000-0005-0000-0000-00006B4B0000}"/>
    <cellStyle name="Normal 26 21 25" xfId="15361" xr:uid="{00000000-0005-0000-0000-00006C4B0000}"/>
    <cellStyle name="Normal 26 21 26" xfId="13411" xr:uid="{00000000-0005-0000-0000-00006D4B0000}"/>
    <cellStyle name="Normal 26 21 27" xfId="12998" xr:uid="{00000000-0005-0000-0000-00006E4B0000}"/>
    <cellStyle name="Normal 26 21 28" xfId="12320" xr:uid="{00000000-0005-0000-0000-00006F4B0000}"/>
    <cellStyle name="Normal 26 21 29" xfId="7392" xr:uid="{00000000-0005-0000-0000-0000704B0000}"/>
    <cellStyle name="Normal 26 21 3" xfId="27253" xr:uid="{00000000-0005-0000-0000-0000714B0000}"/>
    <cellStyle name="Normal 26 21 30" xfId="6275" xr:uid="{00000000-0005-0000-0000-0000724B0000}"/>
    <cellStyle name="Normal 26 21 31" xfId="10327" xr:uid="{00000000-0005-0000-0000-0000734B0000}"/>
    <cellStyle name="Normal 26 21 32" xfId="6868" xr:uid="{00000000-0005-0000-0000-0000744B0000}"/>
    <cellStyle name="Normal 26 21 33" xfId="8809" xr:uid="{00000000-0005-0000-0000-0000754B0000}"/>
    <cellStyle name="Normal 26 21 34" xfId="6865" xr:uid="{00000000-0005-0000-0000-0000764B0000}"/>
    <cellStyle name="Normal 26 21 35" xfId="5086" xr:uid="{00000000-0005-0000-0000-0000774B0000}"/>
    <cellStyle name="Normal 26 21 36" xfId="8473" xr:uid="{00000000-0005-0000-0000-0000784B0000}"/>
    <cellStyle name="Normal 26 21 37" xfId="9357" xr:uid="{00000000-0005-0000-0000-0000794B0000}"/>
    <cellStyle name="Normal 26 21 38" xfId="5661" xr:uid="{00000000-0005-0000-0000-00007A4B0000}"/>
    <cellStyle name="Normal 26 21 39" xfId="10742" xr:uid="{00000000-0005-0000-0000-00007B4B0000}"/>
    <cellStyle name="Normal 26 21 4" xfId="26656" xr:uid="{00000000-0005-0000-0000-00007C4B0000}"/>
    <cellStyle name="Normal 26 21 40" xfId="4281" xr:uid="{00000000-0005-0000-0000-00007D4B0000}"/>
    <cellStyle name="Normal 26 21 41" xfId="5350" xr:uid="{00000000-0005-0000-0000-00007E4B0000}"/>
    <cellStyle name="Normal 26 21 42" xfId="9465" xr:uid="{00000000-0005-0000-0000-00007F4B0000}"/>
    <cellStyle name="Normal 26 21 43" xfId="3366" xr:uid="{00000000-0005-0000-0000-0000804B0000}"/>
    <cellStyle name="Normal 26 21 5" xfId="26060" xr:uid="{00000000-0005-0000-0000-0000814B0000}"/>
    <cellStyle name="Normal 26 21 6" xfId="25464" xr:uid="{00000000-0005-0000-0000-0000824B0000}"/>
    <cellStyle name="Normal 26 21 7" xfId="24867" xr:uid="{00000000-0005-0000-0000-0000834B0000}"/>
    <cellStyle name="Normal 26 21 8" xfId="24270" xr:uid="{00000000-0005-0000-0000-0000844B0000}"/>
    <cellStyle name="Normal 26 21 9" xfId="23673" xr:uid="{00000000-0005-0000-0000-0000854B0000}"/>
    <cellStyle name="Normal 26 22" xfId="28449" xr:uid="{00000000-0005-0000-0000-0000864B0000}"/>
    <cellStyle name="Normal 26 22 10" xfId="23075" xr:uid="{00000000-0005-0000-0000-0000874B0000}"/>
    <cellStyle name="Normal 26 22 11" xfId="22478" xr:uid="{00000000-0005-0000-0000-0000884B0000}"/>
    <cellStyle name="Normal 26 22 12" xfId="21882" xr:uid="{00000000-0005-0000-0000-0000894B0000}"/>
    <cellStyle name="Normal 26 22 13" xfId="21285" xr:uid="{00000000-0005-0000-0000-00008A4B0000}"/>
    <cellStyle name="Normal 26 22 14" xfId="20688" xr:uid="{00000000-0005-0000-0000-00008B4B0000}"/>
    <cellStyle name="Normal 26 22 15" xfId="20091" xr:uid="{00000000-0005-0000-0000-00008C4B0000}"/>
    <cellStyle name="Normal 26 22 16" xfId="19495" xr:uid="{00000000-0005-0000-0000-00008D4B0000}"/>
    <cellStyle name="Normal 26 22 17" xfId="18899" xr:uid="{00000000-0005-0000-0000-00008E4B0000}"/>
    <cellStyle name="Normal 26 22 18" xfId="18307" xr:uid="{00000000-0005-0000-0000-00008F4B0000}"/>
    <cellStyle name="Normal 26 22 19" xfId="17710" xr:uid="{00000000-0005-0000-0000-0000904B0000}"/>
    <cellStyle name="Normal 26 22 2" xfId="27849" xr:uid="{00000000-0005-0000-0000-0000914B0000}"/>
    <cellStyle name="Normal 26 22 20" xfId="14741" xr:uid="{00000000-0005-0000-0000-0000924B0000}"/>
    <cellStyle name="Normal 26 22 21" xfId="15314" xr:uid="{00000000-0005-0000-0000-0000934B0000}"/>
    <cellStyle name="Normal 26 22 22" xfId="16628" xr:uid="{00000000-0005-0000-0000-0000944B0000}"/>
    <cellStyle name="Normal 26 22 23" xfId="16638" xr:uid="{00000000-0005-0000-0000-0000954B0000}"/>
    <cellStyle name="Normal 26 22 24" xfId="14445" xr:uid="{00000000-0005-0000-0000-0000964B0000}"/>
    <cellStyle name="Normal 26 22 25" xfId="13541" xr:uid="{00000000-0005-0000-0000-0000974B0000}"/>
    <cellStyle name="Normal 26 22 26" xfId="14216" xr:uid="{00000000-0005-0000-0000-0000984B0000}"/>
    <cellStyle name="Normal 26 22 27" xfId="17047" xr:uid="{00000000-0005-0000-0000-0000994B0000}"/>
    <cellStyle name="Normal 26 22 28" xfId="12319" xr:uid="{00000000-0005-0000-0000-00009A4B0000}"/>
    <cellStyle name="Normal 26 22 29" xfId="7567" xr:uid="{00000000-0005-0000-0000-00009B4B0000}"/>
    <cellStyle name="Normal 26 22 3" xfId="27252" xr:uid="{00000000-0005-0000-0000-00009C4B0000}"/>
    <cellStyle name="Normal 26 22 30" xfId="8073" xr:uid="{00000000-0005-0000-0000-00009D4B0000}"/>
    <cellStyle name="Normal 26 22 31" xfId="7202" xr:uid="{00000000-0005-0000-0000-00009E4B0000}"/>
    <cellStyle name="Normal 26 22 32" xfId="7535" xr:uid="{00000000-0005-0000-0000-00009F4B0000}"/>
    <cellStyle name="Normal 26 22 33" xfId="9279" xr:uid="{00000000-0005-0000-0000-0000A04B0000}"/>
    <cellStyle name="Normal 26 22 34" xfId="7844" xr:uid="{00000000-0005-0000-0000-0000A14B0000}"/>
    <cellStyle name="Normal 26 22 35" xfId="12044" xr:uid="{00000000-0005-0000-0000-0000A24B0000}"/>
    <cellStyle name="Normal 26 22 36" xfId="7707" xr:uid="{00000000-0005-0000-0000-0000A34B0000}"/>
    <cellStyle name="Normal 26 22 37" xfId="4289" xr:uid="{00000000-0005-0000-0000-0000A44B0000}"/>
    <cellStyle name="Normal 26 22 38" xfId="8662" xr:uid="{00000000-0005-0000-0000-0000A54B0000}"/>
    <cellStyle name="Normal 26 22 39" xfId="4117" xr:uid="{00000000-0005-0000-0000-0000A64B0000}"/>
    <cellStyle name="Normal 26 22 4" xfId="26655" xr:uid="{00000000-0005-0000-0000-0000A74B0000}"/>
    <cellStyle name="Normal 26 22 40" xfId="5878" xr:uid="{00000000-0005-0000-0000-0000A84B0000}"/>
    <cellStyle name="Normal 26 22 41" xfId="4038" xr:uid="{00000000-0005-0000-0000-0000A94B0000}"/>
    <cellStyle name="Normal 26 22 42" xfId="5710" xr:uid="{00000000-0005-0000-0000-0000AA4B0000}"/>
    <cellStyle name="Normal 26 22 43" xfId="6845" xr:uid="{00000000-0005-0000-0000-0000AB4B0000}"/>
    <cellStyle name="Normal 26 22 5" xfId="26059" xr:uid="{00000000-0005-0000-0000-0000AC4B0000}"/>
    <cellStyle name="Normal 26 22 6" xfId="25463" xr:uid="{00000000-0005-0000-0000-0000AD4B0000}"/>
    <cellStyle name="Normal 26 22 7" xfId="24866" xr:uid="{00000000-0005-0000-0000-0000AE4B0000}"/>
    <cellStyle name="Normal 26 22 8" xfId="24269" xr:uid="{00000000-0005-0000-0000-0000AF4B0000}"/>
    <cellStyle name="Normal 26 22 9" xfId="23672" xr:uid="{00000000-0005-0000-0000-0000B04B0000}"/>
    <cellStyle name="Normal 26 23" xfId="28448" xr:uid="{00000000-0005-0000-0000-0000B14B0000}"/>
    <cellStyle name="Normal 26 23 10" xfId="23074" xr:uid="{00000000-0005-0000-0000-0000B24B0000}"/>
    <cellStyle name="Normal 26 23 11" xfId="22477" xr:uid="{00000000-0005-0000-0000-0000B34B0000}"/>
    <cellStyle name="Normal 26 23 12" xfId="21881" xr:uid="{00000000-0005-0000-0000-0000B44B0000}"/>
    <cellStyle name="Normal 26 23 13" xfId="21284" xr:uid="{00000000-0005-0000-0000-0000B54B0000}"/>
    <cellStyle name="Normal 26 23 14" xfId="20687" xr:uid="{00000000-0005-0000-0000-0000B64B0000}"/>
    <cellStyle name="Normal 26 23 15" xfId="20090" xr:uid="{00000000-0005-0000-0000-0000B74B0000}"/>
    <cellStyle name="Normal 26 23 16" xfId="19494" xr:uid="{00000000-0005-0000-0000-0000B84B0000}"/>
    <cellStyle name="Normal 26 23 17" xfId="18898" xr:uid="{00000000-0005-0000-0000-0000B94B0000}"/>
    <cellStyle name="Normal 26 23 18" xfId="18306" xr:uid="{00000000-0005-0000-0000-0000BA4B0000}"/>
    <cellStyle name="Normal 26 23 19" xfId="17709" xr:uid="{00000000-0005-0000-0000-0000BB4B0000}"/>
    <cellStyle name="Normal 26 23 2" xfId="27848" xr:uid="{00000000-0005-0000-0000-0000BC4B0000}"/>
    <cellStyle name="Normal 26 23 20" xfId="14943" xr:uid="{00000000-0005-0000-0000-0000BD4B0000}"/>
    <cellStyle name="Normal 26 23 21" xfId="15302" xr:uid="{00000000-0005-0000-0000-0000BE4B0000}"/>
    <cellStyle name="Normal 26 23 22" xfId="16208" xr:uid="{00000000-0005-0000-0000-0000BF4B0000}"/>
    <cellStyle name="Normal 26 23 23" xfId="15072" xr:uid="{00000000-0005-0000-0000-0000C04B0000}"/>
    <cellStyle name="Normal 26 23 24" xfId="17239" xr:uid="{00000000-0005-0000-0000-0000C14B0000}"/>
    <cellStyle name="Normal 26 23 25" xfId="16039" xr:uid="{00000000-0005-0000-0000-0000C24B0000}"/>
    <cellStyle name="Normal 26 23 26" xfId="12890" xr:uid="{00000000-0005-0000-0000-0000C34B0000}"/>
    <cellStyle name="Normal 26 23 27" xfId="12911" xr:uid="{00000000-0005-0000-0000-0000C44B0000}"/>
    <cellStyle name="Normal 26 23 28" xfId="12318" xr:uid="{00000000-0005-0000-0000-0000C54B0000}"/>
    <cellStyle name="Normal 26 23 29" xfId="7116" xr:uid="{00000000-0005-0000-0000-0000C64B0000}"/>
    <cellStyle name="Normal 26 23 3" xfId="27251" xr:uid="{00000000-0005-0000-0000-0000C74B0000}"/>
    <cellStyle name="Normal 26 23 30" xfId="6468" xr:uid="{00000000-0005-0000-0000-0000C84B0000}"/>
    <cellStyle name="Normal 26 23 31" xfId="9896" xr:uid="{00000000-0005-0000-0000-0000C94B0000}"/>
    <cellStyle name="Normal 26 23 32" xfId="10274" xr:uid="{00000000-0005-0000-0000-0000CA4B0000}"/>
    <cellStyle name="Normal 26 23 33" xfId="5753" xr:uid="{00000000-0005-0000-0000-0000CB4B0000}"/>
    <cellStyle name="Normal 26 23 34" xfId="5090" xr:uid="{00000000-0005-0000-0000-0000CC4B0000}"/>
    <cellStyle name="Normal 26 23 35" xfId="9546" xr:uid="{00000000-0005-0000-0000-0000CD4B0000}"/>
    <cellStyle name="Normal 26 23 36" xfId="5944" xr:uid="{00000000-0005-0000-0000-0000CE4B0000}"/>
    <cellStyle name="Normal 26 23 37" xfId="6347" xr:uid="{00000000-0005-0000-0000-0000CF4B0000}"/>
    <cellStyle name="Normal 26 23 38" xfId="7134" xr:uid="{00000000-0005-0000-0000-0000D04B0000}"/>
    <cellStyle name="Normal 26 23 39" xfId="3407" xr:uid="{00000000-0005-0000-0000-0000D14B0000}"/>
    <cellStyle name="Normal 26 23 4" xfId="26654" xr:uid="{00000000-0005-0000-0000-0000D24B0000}"/>
    <cellStyle name="Normal 26 23 40" xfId="10732" xr:uid="{00000000-0005-0000-0000-0000D34B0000}"/>
    <cellStyle name="Normal 26 23 41" xfId="4655" xr:uid="{00000000-0005-0000-0000-0000D44B0000}"/>
    <cellStyle name="Normal 26 23 42" xfId="3302" xr:uid="{00000000-0005-0000-0000-0000D54B0000}"/>
    <cellStyle name="Normal 26 23 43" xfId="6599" xr:uid="{00000000-0005-0000-0000-0000D64B0000}"/>
    <cellStyle name="Normal 26 23 5" xfId="26058" xr:uid="{00000000-0005-0000-0000-0000D74B0000}"/>
    <cellStyle name="Normal 26 23 6" xfId="25462" xr:uid="{00000000-0005-0000-0000-0000D84B0000}"/>
    <cellStyle name="Normal 26 23 7" xfId="24865" xr:uid="{00000000-0005-0000-0000-0000D94B0000}"/>
    <cellStyle name="Normal 26 23 8" xfId="24268" xr:uid="{00000000-0005-0000-0000-0000DA4B0000}"/>
    <cellStyle name="Normal 26 23 9" xfId="23671" xr:uid="{00000000-0005-0000-0000-0000DB4B0000}"/>
    <cellStyle name="Normal 26 24" xfId="28447" xr:uid="{00000000-0005-0000-0000-0000DC4B0000}"/>
    <cellStyle name="Normal 26 24 10" xfId="23073" xr:uid="{00000000-0005-0000-0000-0000DD4B0000}"/>
    <cellStyle name="Normal 26 24 11" xfId="22476" xr:uid="{00000000-0005-0000-0000-0000DE4B0000}"/>
    <cellStyle name="Normal 26 24 12" xfId="21880" xr:uid="{00000000-0005-0000-0000-0000DF4B0000}"/>
    <cellStyle name="Normal 26 24 13" xfId="21283" xr:uid="{00000000-0005-0000-0000-0000E04B0000}"/>
    <cellStyle name="Normal 26 24 14" xfId="20686" xr:uid="{00000000-0005-0000-0000-0000E14B0000}"/>
    <cellStyle name="Normal 26 24 15" xfId="20089" xr:uid="{00000000-0005-0000-0000-0000E24B0000}"/>
    <cellStyle name="Normal 26 24 16" xfId="19493" xr:uid="{00000000-0005-0000-0000-0000E34B0000}"/>
    <cellStyle name="Normal 26 24 17" xfId="18897" xr:uid="{00000000-0005-0000-0000-0000E44B0000}"/>
    <cellStyle name="Normal 26 24 18" xfId="18305" xr:uid="{00000000-0005-0000-0000-0000E54B0000}"/>
    <cellStyle name="Normal 26 24 19" xfId="17708" xr:uid="{00000000-0005-0000-0000-0000E64B0000}"/>
    <cellStyle name="Normal 26 24 2" xfId="27847" xr:uid="{00000000-0005-0000-0000-0000E74B0000}"/>
    <cellStyle name="Normal 26 24 20" xfId="15150" xr:uid="{00000000-0005-0000-0000-0000E84B0000}"/>
    <cellStyle name="Normal 26 24 21" xfId="15093" xr:uid="{00000000-0005-0000-0000-0000E94B0000}"/>
    <cellStyle name="Normal 26 24 22" xfId="17182" xr:uid="{00000000-0005-0000-0000-0000EA4B0000}"/>
    <cellStyle name="Normal 26 24 23" xfId="17278" xr:uid="{00000000-0005-0000-0000-0000EB4B0000}"/>
    <cellStyle name="Normal 26 24 24" xfId="16468" xr:uid="{00000000-0005-0000-0000-0000EC4B0000}"/>
    <cellStyle name="Normal 26 24 25" xfId="12904" xr:uid="{00000000-0005-0000-0000-0000ED4B0000}"/>
    <cellStyle name="Normal 26 24 26" xfId="15061" xr:uid="{00000000-0005-0000-0000-0000EE4B0000}"/>
    <cellStyle name="Normal 26 24 27" xfId="14261" xr:uid="{00000000-0005-0000-0000-0000EF4B0000}"/>
    <cellStyle name="Normal 26 24 28" xfId="12317" xr:uid="{00000000-0005-0000-0000-0000F04B0000}"/>
    <cellStyle name="Normal 26 24 29" xfId="6828" xr:uid="{00000000-0005-0000-0000-0000F14B0000}"/>
    <cellStyle name="Normal 26 24 3" xfId="27250" xr:uid="{00000000-0005-0000-0000-0000F24B0000}"/>
    <cellStyle name="Normal 26 24 30" xfId="6546" xr:uid="{00000000-0005-0000-0000-0000F34B0000}"/>
    <cellStyle name="Normal 26 24 31" xfId="10255" xr:uid="{00000000-0005-0000-0000-0000F44B0000}"/>
    <cellStyle name="Normal 26 24 32" xfId="6659" xr:uid="{00000000-0005-0000-0000-0000F54B0000}"/>
    <cellStyle name="Normal 26 24 33" xfId="8796" xr:uid="{00000000-0005-0000-0000-0000F64B0000}"/>
    <cellStyle name="Normal 26 24 34" xfId="5545" xr:uid="{00000000-0005-0000-0000-0000F74B0000}"/>
    <cellStyle name="Normal 26 24 35" xfId="9858" xr:uid="{00000000-0005-0000-0000-0000F84B0000}"/>
    <cellStyle name="Normal 26 24 36" xfId="4822" xr:uid="{00000000-0005-0000-0000-0000F94B0000}"/>
    <cellStyle name="Normal 26 24 37" xfId="5767" xr:uid="{00000000-0005-0000-0000-0000FA4B0000}"/>
    <cellStyle name="Normal 26 24 38" xfId="8581" xr:uid="{00000000-0005-0000-0000-0000FB4B0000}"/>
    <cellStyle name="Normal 26 24 39" xfId="3414" xr:uid="{00000000-0005-0000-0000-0000FC4B0000}"/>
    <cellStyle name="Normal 26 24 4" xfId="26653" xr:uid="{00000000-0005-0000-0000-0000FD4B0000}"/>
    <cellStyle name="Normal 26 24 40" xfId="3496" xr:uid="{00000000-0005-0000-0000-0000FE4B0000}"/>
    <cellStyle name="Normal 26 24 41" xfId="7840" xr:uid="{00000000-0005-0000-0000-0000FF4B0000}"/>
    <cellStyle name="Normal 26 24 42" xfId="7980" xr:uid="{00000000-0005-0000-0000-0000004C0000}"/>
    <cellStyle name="Normal 26 24 43" xfId="10960" xr:uid="{00000000-0005-0000-0000-0000014C0000}"/>
    <cellStyle name="Normal 26 24 5" xfId="26057" xr:uid="{00000000-0005-0000-0000-0000024C0000}"/>
    <cellStyle name="Normal 26 24 6" xfId="25461" xr:uid="{00000000-0005-0000-0000-0000034C0000}"/>
    <cellStyle name="Normal 26 24 7" xfId="24864" xr:uid="{00000000-0005-0000-0000-0000044C0000}"/>
    <cellStyle name="Normal 26 24 8" xfId="24267" xr:uid="{00000000-0005-0000-0000-0000054C0000}"/>
    <cellStyle name="Normal 26 24 9" xfId="23670" xr:uid="{00000000-0005-0000-0000-0000064C0000}"/>
    <cellStyle name="Normal 26 25" xfId="28446" xr:uid="{00000000-0005-0000-0000-0000074C0000}"/>
    <cellStyle name="Normal 26 25 10" xfId="23072" xr:uid="{00000000-0005-0000-0000-0000084C0000}"/>
    <cellStyle name="Normal 26 25 11" xfId="22475" xr:uid="{00000000-0005-0000-0000-0000094C0000}"/>
    <cellStyle name="Normal 26 25 12" xfId="21879" xr:uid="{00000000-0005-0000-0000-00000A4C0000}"/>
    <cellStyle name="Normal 26 25 13" xfId="21282" xr:uid="{00000000-0005-0000-0000-00000B4C0000}"/>
    <cellStyle name="Normal 26 25 14" xfId="20685" xr:uid="{00000000-0005-0000-0000-00000C4C0000}"/>
    <cellStyle name="Normal 26 25 15" xfId="20088" xr:uid="{00000000-0005-0000-0000-00000D4C0000}"/>
    <cellStyle name="Normal 26 25 16" xfId="19492" xr:uid="{00000000-0005-0000-0000-00000E4C0000}"/>
    <cellStyle name="Normal 26 25 17" xfId="18896" xr:uid="{00000000-0005-0000-0000-00000F4C0000}"/>
    <cellStyle name="Normal 26 25 18" xfId="18304" xr:uid="{00000000-0005-0000-0000-0000104C0000}"/>
    <cellStyle name="Normal 26 25 19" xfId="17707" xr:uid="{00000000-0005-0000-0000-0000114C0000}"/>
    <cellStyle name="Normal 26 25 2" xfId="27846" xr:uid="{00000000-0005-0000-0000-0000124C0000}"/>
    <cellStyle name="Normal 26 25 20" xfId="15345" xr:uid="{00000000-0005-0000-0000-0000134C0000}"/>
    <cellStyle name="Normal 26 25 21" xfId="15079" xr:uid="{00000000-0005-0000-0000-0000144C0000}"/>
    <cellStyle name="Normal 26 25 22" xfId="16413" xr:uid="{00000000-0005-0000-0000-0000154C0000}"/>
    <cellStyle name="Normal 26 25 23" xfId="16075" xr:uid="{00000000-0005-0000-0000-0000164C0000}"/>
    <cellStyle name="Normal 26 25 24" xfId="17041" xr:uid="{00000000-0005-0000-0000-0000174C0000}"/>
    <cellStyle name="Normal 26 25 25" xfId="14916" xr:uid="{00000000-0005-0000-0000-0000184C0000}"/>
    <cellStyle name="Normal 26 25 26" xfId="13512" xr:uid="{00000000-0005-0000-0000-0000194C0000}"/>
    <cellStyle name="Normal 26 25 27" xfId="17284" xr:uid="{00000000-0005-0000-0000-00001A4C0000}"/>
    <cellStyle name="Normal 26 25 28" xfId="12316" xr:uid="{00000000-0005-0000-0000-00001B4C0000}"/>
    <cellStyle name="Normal 26 25 29" xfId="7714" xr:uid="{00000000-0005-0000-0000-00001C4C0000}"/>
    <cellStyle name="Normal 26 25 3" xfId="27249" xr:uid="{00000000-0005-0000-0000-00001D4C0000}"/>
    <cellStyle name="Normal 26 25 30" xfId="7009" xr:uid="{00000000-0005-0000-0000-00001E4C0000}"/>
    <cellStyle name="Normal 26 25 31" xfId="6122" xr:uid="{00000000-0005-0000-0000-00001F4C0000}"/>
    <cellStyle name="Normal 26 25 32" xfId="8268" xr:uid="{00000000-0005-0000-0000-0000204C0000}"/>
    <cellStyle name="Normal 26 25 33" xfId="8468" xr:uid="{00000000-0005-0000-0000-0000214C0000}"/>
    <cellStyle name="Normal 26 25 34" xfId="10650" xr:uid="{00000000-0005-0000-0000-0000224C0000}"/>
    <cellStyle name="Normal 26 25 35" xfId="9865" xr:uid="{00000000-0005-0000-0000-0000234C0000}"/>
    <cellStyle name="Normal 26 25 36" xfId="5967" xr:uid="{00000000-0005-0000-0000-0000244C0000}"/>
    <cellStyle name="Normal 26 25 37" xfId="5656" xr:uid="{00000000-0005-0000-0000-0000254C0000}"/>
    <cellStyle name="Normal 26 25 38" xfId="4023" xr:uid="{00000000-0005-0000-0000-0000264C0000}"/>
    <cellStyle name="Normal 26 25 39" xfId="8012" xr:uid="{00000000-0005-0000-0000-0000274C0000}"/>
    <cellStyle name="Normal 26 25 4" xfId="26652" xr:uid="{00000000-0005-0000-0000-0000284C0000}"/>
    <cellStyle name="Normal 26 25 40" xfId="4697" xr:uid="{00000000-0005-0000-0000-0000294C0000}"/>
    <cellStyle name="Normal 26 25 41" xfId="5105" xr:uid="{00000000-0005-0000-0000-00002A4C0000}"/>
    <cellStyle name="Normal 26 25 42" xfId="5956" xr:uid="{00000000-0005-0000-0000-00002B4C0000}"/>
    <cellStyle name="Normal 26 25 43" xfId="6472" xr:uid="{00000000-0005-0000-0000-00002C4C0000}"/>
    <cellStyle name="Normal 26 25 5" xfId="26056" xr:uid="{00000000-0005-0000-0000-00002D4C0000}"/>
    <cellStyle name="Normal 26 25 6" xfId="25460" xr:uid="{00000000-0005-0000-0000-00002E4C0000}"/>
    <cellStyle name="Normal 26 25 7" xfId="24863" xr:uid="{00000000-0005-0000-0000-00002F4C0000}"/>
    <cellStyle name="Normal 26 25 8" xfId="24266" xr:uid="{00000000-0005-0000-0000-0000304C0000}"/>
    <cellStyle name="Normal 26 25 9" xfId="23669" xr:uid="{00000000-0005-0000-0000-0000314C0000}"/>
    <cellStyle name="Normal 26 26" xfId="28445" xr:uid="{00000000-0005-0000-0000-0000324C0000}"/>
    <cellStyle name="Normal 26 26 10" xfId="23071" xr:uid="{00000000-0005-0000-0000-0000334C0000}"/>
    <cellStyle name="Normal 26 26 11" xfId="22474" xr:uid="{00000000-0005-0000-0000-0000344C0000}"/>
    <cellStyle name="Normal 26 26 12" xfId="21878" xr:uid="{00000000-0005-0000-0000-0000354C0000}"/>
    <cellStyle name="Normal 26 26 13" xfId="21281" xr:uid="{00000000-0005-0000-0000-0000364C0000}"/>
    <cellStyle name="Normal 26 26 14" xfId="20684" xr:uid="{00000000-0005-0000-0000-0000374C0000}"/>
    <cellStyle name="Normal 26 26 15" xfId="20087" xr:uid="{00000000-0005-0000-0000-0000384C0000}"/>
    <cellStyle name="Normal 26 26 16" xfId="19491" xr:uid="{00000000-0005-0000-0000-0000394C0000}"/>
    <cellStyle name="Normal 26 26 17" xfId="18895" xr:uid="{00000000-0005-0000-0000-00003A4C0000}"/>
    <cellStyle name="Normal 26 26 18" xfId="18303" xr:uid="{00000000-0005-0000-0000-00003B4C0000}"/>
    <cellStyle name="Normal 26 26 19" xfId="17706" xr:uid="{00000000-0005-0000-0000-00003C4C0000}"/>
    <cellStyle name="Normal 26 26 2" xfId="27845" xr:uid="{00000000-0005-0000-0000-00003D4C0000}"/>
    <cellStyle name="Normal 26 26 20" xfId="15552" xr:uid="{00000000-0005-0000-0000-00003E4C0000}"/>
    <cellStyle name="Normal 26 26 21" xfId="14670" xr:uid="{00000000-0005-0000-0000-00003F4C0000}"/>
    <cellStyle name="Normal 26 26 22" xfId="13626" xr:uid="{00000000-0005-0000-0000-0000404C0000}"/>
    <cellStyle name="Normal 26 26 23" xfId="13463" xr:uid="{00000000-0005-0000-0000-0000414C0000}"/>
    <cellStyle name="Normal 26 26 24" xfId="13035" xr:uid="{00000000-0005-0000-0000-0000424C0000}"/>
    <cellStyle name="Normal 26 26 25" xfId="13387" xr:uid="{00000000-0005-0000-0000-0000434C0000}"/>
    <cellStyle name="Normal 26 26 26" xfId="14290" xr:uid="{00000000-0005-0000-0000-0000444C0000}"/>
    <cellStyle name="Normal 26 26 27" xfId="15071" xr:uid="{00000000-0005-0000-0000-0000454C0000}"/>
    <cellStyle name="Normal 26 26 28" xfId="12315" xr:uid="{00000000-0005-0000-0000-0000464C0000}"/>
    <cellStyle name="Normal 26 26 29" xfId="11913" xr:uid="{00000000-0005-0000-0000-0000474C0000}"/>
    <cellStyle name="Normal 26 26 3" xfId="27248" xr:uid="{00000000-0005-0000-0000-0000484C0000}"/>
    <cellStyle name="Normal 26 26 30" xfId="7614" xr:uid="{00000000-0005-0000-0000-0000494C0000}"/>
    <cellStyle name="Normal 26 26 31" xfId="9561" xr:uid="{00000000-0005-0000-0000-00004A4C0000}"/>
    <cellStyle name="Normal 26 26 32" xfId="7886" xr:uid="{00000000-0005-0000-0000-00004B4C0000}"/>
    <cellStyle name="Normal 26 26 33" xfId="6580" xr:uid="{00000000-0005-0000-0000-00004C4C0000}"/>
    <cellStyle name="Normal 26 26 34" xfId="9179" xr:uid="{00000000-0005-0000-0000-00004D4C0000}"/>
    <cellStyle name="Normal 26 26 35" xfId="11546" xr:uid="{00000000-0005-0000-0000-00004E4C0000}"/>
    <cellStyle name="Normal 26 26 36" xfId="10776" xr:uid="{00000000-0005-0000-0000-00004F4C0000}"/>
    <cellStyle name="Normal 26 26 37" xfId="10374" xr:uid="{00000000-0005-0000-0000-0000504C0000}"/>
    <cellStyle name="Normal 26 26 38" xfId="10827" xr:uid="{00000000-0005-0000-0000-0000514C0000}"/>
    <cellStyle name="Normal 26 26 39" xfId="4528" xr:uid="{00000000-0005-0000-0000-0000524C0000}"/>
    <cellStyle name="Normal 26 26 4" xfId="26651" xr:uid="{00000000-0005-0000-0000-0000534C0000}"/>
    <cellStyle name="Normal 26 26 40" xfId="10972" xr:uid="{00000000-0005-0000-0000-0000544C0000}"/>
    <cellStyle name="Normal 26 26 41" xfId="8422" xr:uid="{00000000-0005-0000-0000-0000554C0000}"/>
    <cellStyle name="Normal 26 26 42" xfId="6714" xr:uid="{00000000-0005-0000-0000-0000564C0000}"/>
    <cellStyle name="Normal 26 26 43" xfId="9823" xr:uid="{00000000-0005-0000-0000-0000574C0000}"/>
    <cellStyle name="Normal 26 26 5" xfId="26055" xr:uid="{00000000-0005-0000-0000-0000584C0000}"/>
    <cellStyle name="Normal 26 26 6" xfId="25459" xr:uid="{00000000-0005-0000-0000-0000594C0000}"/>
    <cellStyle name="Normal 26 26 7" xfId="24862" xr:uid="{00000000-0005-0000-0000-00005A4C0000}"/>
    <cellStyle name="Normal 26 26 8" xfId="24265" xr:uid="{00000000-0005-0000-0000-00005B4C0000}"/>
    <cellStyle name="Normal 26 26 9" xfId="23668" xr:uid="{00000000-0005-0000-0000-00005C4C0000}"/>
    <cellStyle name="Normal 26 27" xfId="27863" xr:uid="{00000000-0005-0000-0000-00005D4C0000}"/>
    <cellStyle name="Normal 26 28" xfId="27266" xr:uid="{00000000-0005-0000-0000-00005E4C0000}"/>
    <cellStyle name="Normal 26 29" xfId="26669" xr:uid="{00000000-0005-0000-0000-00005F4C0000}"/>
    <cellStyle name="Normal 26 3" xfId="28444" xr:uid="{00000000-0005-0000-0000-0000604C0000}"/>
    <cellStyle name="Normal 26 3 10" xfId="23070" xr:uid="{00000000-0005-0000-0000-0000614C0000}"/>
    <cellStyle name="Normal 26 3 11" xfId="22473" xr:uid="{00000000-0005-0000-0000-0000624C0000}"/>
    <cellStyle name="Normal 26 3 12" xfId="21877" xr:uid="{00000000-0005-0000-0000-0000634C0000}"/>
    <cellStyle name="Normal 26 3 13" xfId="21280" xr:uid="{00000000-0005-0000-0000-0000644C0000}"/>
    <cellStyle name="Normal 26 3 14" xfId="20683" xr:uid="{00000000-0005-0000-0000-0000654C0000}"/>
    <cellStyle name="Normal 26 3 15" xfId="20086" xr:uid="{00000000-0005-0000-0000-0000664C0000}"/>
    <cellStyle name="Normal 26 3 16" xfId="19490" xr:uid="{00000000-0005-0000-0000-0000674C0000}"/>
    <cellStyle name="Normal 26 3 17" xfId="18894" xr:uid="{00000000-0005-0000-0000-0000684C0000}"/>
    <cellStyle name="Normal 26 3 18" xfId="18302" xr:uid="{00000000-0005-0000-0000-0000694C0000}"/>
    <cellStyle name="Normal 26 3 19" xfId="17705" xr:uid="{00000000-0005-0000-0000-00006A4C0000}"/>
    <cellStyle name="Normal 26 3 2" xfId="27844" xr:uid="{00000000-0005-0000-0000-00006B4C0000}"/>
    <cellStyle name="Normal 26 3 20" xfId="15742" xr:uid="{00000000-0005-0000-0000-00006C4C0000}"/>
    <cellStyle name="Normal 26 3 21" xfId="14658" xr:uid="{00000000-0005-0000-0000-00006D4C0000}"/>
    <cellStyle name="Normal 26 3 22" xfId="14231" xr:uid="{00000000-0005-0000-0000-00006E4C0000}"/>
    <cellStyle name="Normal 26 3 23" xfId="14567" xr:uid="{00000000-0005-0000-0000-00006F4C0000}"/>
    <cellStyle name="Normal 26 3 24" xfId="13326" xr:uid="{00000000-0005-0000-0000-0000704C0000}"/>
    <cellStyle name="Normal 26 3 25" xfId="14392" xr:uid="{00000000-0005-0000-0000-0000714C0000}"/>
    <cellStyle name="Normal 26 3 26" xfId="16195" xr:uid="{00000000-0005-0000-0000-0000724C0000}"/>
    <cellStyle name="Normal 26 3 27" xfId="15460" xr:uid="{00000000-0005-0000-0000-0000734C0000}"/>
    <cellStyle name="Normal 26 3 28" xfId="12314" xr:uid="{00000000-0005-0000-0000-0000744C0000}"/>
    <cellStyle name="Normal 26 3 29" xfId="8093" xr:uid="{00000000-0005-0000-0000-0000754C0000}"/>
    <cellStyle name="Normal 26 3 3" xfId="27247" xr:uid="{00000000-0005-0000-0000-0000764C0000}"/>
    <cellStyle name="Normal 26 3 30" xfId="8149" xr:uid="{00000000-0005-0000-0000-0000774C0000}"/>
    <cellStyle name="Normal 26 3 31" xfId="9119" xr:uid="{00000000-0005-0000-0000-0000784C0000}"/>
    <cellStyle name="Normal 26 3 32" xfId="9584" xr:uid="{00000000-0005-0000-0000-0000794C0000}"/>
    <cellStyle name="Normal 26 3 33" xfId="10048" xr:uid="{00000000-0005-0000-0000-00007A4C0000}"/>
    <cellStyle name="Normal 26 3 34" xfId="8751" xr:uid="{00000000-0005-0000-0000-00007B4C0000}"/>
    <cellStyle name="Normal 26 3 35" xfId="11287" xr:uid="{00000000-0005-0000-0000-00007C4C0000}"/>
    <cellStyle name="Normal 26 3 36" xfId="5946" xr:uid="{00000000-0005-0000-0000-00007D4C0000}"/>
    <cellStyle name="Normal 26 3 37" xfId="9925" xr:uid="{00000000-0005-0000-0000-00007E4C0000}"/>
    <cellStyle name="Normal 26 3 38" xfId="5518" xr:uid="{00000000-0005-0000-0000-00007F4C0000}"/>
    <cellStyle name="Normal 26 3 39" xfId="11300" xr:uid="{00000000-0005-0000-0000-0000804C0000}"/>
    <cellStyle name="Normal 26 3 4" xfId="26650" xr:uid="{00000000-0005-0000-0000-0000814C0000}"/>
    <cellStyle name="Normal 26 3 40" xfId="12082" xr:uid="{00000000-0005-0000-0000-0000824C0000}"/>
    <cellStyle name="Normal 26 3 41" xfId="4210" xr:uid="{00000000-0005-0000-0000-0000834C0000}"/>
    <cellStyle name="Normal 26 3 42" xfId="10722" xr:uid="{00000000-0005-0000-0000-0000844C0000}"/>
    <cellStyle name="Normal 26 3 43" xfId="3436" xr:uid="{00000000-0005-0000-0000-0000854C0000}"/>
    <cellStyle name="Normal 26 3 44" xfId="2915" xr:uid="{00000000-0005-0000-0000-0000864C0000}"/>
    <cellStyle name="Normal 26 3 45" xfId="2672" xr:uid="{00000000-0005-0000-0000-0000874C0000}"/>
    <cellStyle name="Normal 26 3 46" xfId="2432" xr:uid="{00000000-0005-0000-0000-0000884C0000}"/>
    <cellStyle name="Normal 26 3 47" xfId="2192" xr:uid="{00000000-0005-0000-0000-0000894C0000}"/>
    <cellStyle name="Normal 26 3 48" xfId="1952" xr:uid="{00000000-0005-0000-0000-00008A4C0000}"/>
    <cellStyle name="Normal 26 3 49" xfId="1712" xr:uid="{00000000-0005-0000-0000-00008B4C0000}"/>
    <cellStyle name="Normal 26 3 5" xfId="26054" xr:uid="{00000000-0005-0000-0000-00008C4C0000}"/>
    <cellStyle name="Normal 26 3 50" xfId="1473" xr:uid="{00000000-0005-0000-0000-00008D4C0000}"/>
    <cellStyle name="Normal 26 3 51" xfId="1233" xr:uid="{00000000-0005-0000-0000-00008E4C0000}"/>
    <cellStyle name="Normal 26 3 52" xfId="993" xr:uid="{00000000-0005-0000-0000-00008F4C0000}"/>
    <cellStyle name="Normal 26 3 53" xfId="753" xr:uid="{00000000-0005-0000-0000-0000904C0000}"/>
    <cellStyle name="Normal 26 3 54" xfId="513" xr:uid="{00000000-0005-0000-0000-0000914C0000}"/>
    <cellStyle name="Normal 26 3 55" xfId="274" xr:uid="{00000000-0005-0000-0000-0000924C0000}"/>
    <cellStyle name="Normal 26 3 56" xfId="36" xr:uid="{00000000-0005-0000-0000-0000934C0000}"/>
    <cellStyle name="Normal 26 3 6" xfId="25458" xr:uid="{00000000-0005-0000-0000-0000944C0000}"/>
    <cellStyle name="Normal 26 3 7" xfId="24861" xr:uid="{00000000-0005-0000-0000-0000954C0000}"/>
    <cellStyle name="Normal 26 3 8" xfId="24264" xr:uid="{00000000-0005-0000-0000-0000964C0000}"/>
    <cellStyle name="Normal 26 3 9" xfId="23667" xr:uid="{00000000-0005-0000-0000-0000974C0000}"/>
    <cellStyle name="Normal 26 30" xfId="26073" xr:uid="{00000000-0005-0000-0000-0000984C0000}"/>
    <cellStyle name="Normal 26 31" xfId="25477" xr:uid="{00000000-0005-0000-0000-0000994C0000}"/>
    <cellStyle name="Normal 26 32" xfId="24880" xr:uid="{00000000-0005-0000-0000-00009A4C0000}"/>
    <cellStyle name="Normal 26 33" xfId="24283" xr:uid="{00000000-0005-0000-0000-00009B4C0000}"/>
    <cellStyle name="Normal 26 34" xfId="23686" xr:uid="{00000000-0005-0000-0000-00009C4C0000}"/>
    <cellStyle name="Normal 26 35" xfId="23089" xr:uid="{00000000-0005-0000-0000-00009D4C0000}"/>
    <cellStyle name="Normal 26 36" xfId="22492" xr:uid="{00000000-0005-0000-0000-00009E4C0000}"/>
    <cellStyle name="Normal 26 37" xfId="21896" xr:uid="{00000000-0005-0000-0000-00009F4C0000}"/>
    <cellStyle name="Normal 26 38" xfId="21299" xr:uid="{00000000-0005-0000-0000-0000A04C0000}"/>
    <cellStyle name="Normal 26 39" xfId="20702" xr:uid="{00000000-0005-0000-0000-0000A14C0000}"/>
    <cellStyle name="Normal 26 4" xfId="28443" xr:uid="{00000000-0005-0000-0000-0000A24C0000}"/>
    <cellStyle name="Normal 26 4 10" xfId="23069" xr:uid="{00000000-0005-0000-0000-0000A34C0000}"/>
    <cellStyle name="Normal 26 4 11" xfId="22472" xr:uid="{00000000-0005-0000-0000-0000A44C0000}"/>
    <cellStyle name="Normal 26 4 12" xfId="21876" xr:uid="{00000000-0005-0000-0000-0000A54C0000}"/>
    <cellStyle name="Normal 26 4 13" xfId="21279" xr:uid="{00000000-0005-0000-0000-0000A64C0000}"/>
    <cellStyle name="Normal 26 4 14" xfId="20682" xr:uid="{00000000-0005-0000-0000-0000A74C0000}"/>
    <cellStyle name="Normal 26 4 15" xfId="20085" xr:uid="{00000000-0005-0000-0000-0000A84C0000}"/>
    <cellStyle name="Normal 26 4 16" xfId="19489" xr:uid="{00000000-0005-0000-0000-0000A94C0000}"/>
    <cellStyle name="Normal 26 4 17" xfId="18893" xr:uid="{00000000-0005-0000-0000-0000AA4C0000}"/>
    <cellStyle name="Normal 26 4 18" xfId="18301" xr:uid="{00000000-0005-0000-0000-0000AB4C0000}"/>
    <cellStyle name="Normal 26 4 19" xfId="17704" xr:uid="{00000000-0005-0000-0000-0000AC4C0000}"/>
    <cellStyle name="Normal 26 4 2" xfId="27843" xr:uid="{00000000-0005-0000-0000-0000AD4C0000}"/>
    <cellStyle name="Normal 26 4 20" xfId="15942" xr:uid="{00000000-0005-0000-0000-0000AE4C0000}"/>
    <cellStyle name="Normal 26 4 21" xfId="14257" xr:uid="{00000000-0005-0000-0000-0000AF4C0000}"/>
    <cellStyle name="Normal 26 4 22" xfId="13668" xr:uid="{00000000-0005-0000-0000-0000B04C0000}"/>
    <cellStyle name="Normal 26 4 23" xfId="14420" xr:uid="{00000000-0005-0000-0000-0000B14C0000}"/>
    <cellStyle name="Normal 26 4 24" xfId="13324" xr:uid="{00000000-0005-0000-0000-0000B24C0000}"/>
    <cellStyle name="Normal 26 4 25" xfId="15966" xr:uid="{00000000-0005-0000-0000-0000B34C0000}"/>
    <cellStyle name="Normal 26 4 26" xfId="13154" xr:uid="{00000000-0005-0000-0000-0000B44C0000}"/>
    <cellStyle name="Normal 26 4 27" xfId="14893" xr:uid="{00000000-0005-0000-0000-0000B54C0000}"/>
    <cellStyle name="Normal 26 4 28" xfId="12313" xr:uid="{00000000-0005-0000-0000-0000B64C0000}"/>
    <cellStyle name="Normal 26 4 29" xfId="8301" xr:uid="{00000000-0005-0000-0000-0000B74C0000}"/>
    <cellStyle name="Normal 26 4 3" xfId="27246" xr:uid="{00000000-0005-0000-0000-0000B84C0000}"/>
    <cellStyle name="Normal 26 4 30" xfId="9705" xr:uid="{00000000-0005-0000-0000-0000B94C0000}"/>
    <cellStyle name="Normal 26 4 31" xfId="7612" xr:uid="{00000000-0005-0000-0000-0000BA4C0000}"/>
    <cellStyle name="Normal 26 4 32" xfId="8676" xr:uid="{00000000-0005-0000-0000-0000BB4C0000}"/>
    <cellStyle name="Normal 26 4 33" xfId="11403" xr:uid="{00000000-0005-0000-0000-0000BC4C0000}"/>
    <cellStyle name="Normal 26 4 34" xfId="4573" xr:uid="{00000000-0005-0000-0000-0000BD4C0000}"/>
    <cellStyle name="Normal 26 4 35" xfId="4765" xr:uid="{00000000-0005-0000-0000-0000BE4C0000}"/>
    <cellStyle name="Normal 26 4 36" xfId="7857" xr:uid="{00000000-0005-0000-0000-0000BF4C0000}"/>
    <cellStyle name="Normal 26 4 37" xfId="6130" xr:uid="{00000000-0005-0000-0000-0000C04C0000}"/>
    <cellStyle name="Normal 26 4 38" xfId="4855" xr:uid="{00000000-0005-0000-0000-0000C14C0000}"/>
    <cellStyle name="Normal 26 4 39" xfId="9860" xr:uid="{00000000-0005-0000-0000-0000C24C0000}"/>
    <cellStyle name="Normal 26 4 4" xfId="26649" xr:uid="{00000000-0005-0000-0000-0000C34C0000}"/>
    <cellStyle name="Normal 26 4 40" xfId="10096" xr:uid="{00000000-0005-0000-0000-0000C44C0000}"/>
    <cellStyle name="Normal 26 4 41" xfId="5187" xr:uid="{00000000-0005-0000-0000-0000C54C0000}"/>
    <cellStyle name="Normal 26 4 42" xfId="3491" xr:uid="{00000000-0005-0000-0000-0000C64C0000}"/>
    <cellStyle name="Normal 26 4 43" xfId="3090" xr:uid="{00000000-0005-0000-0000-0000C74C0000}"/>
    <cellStyle name="Normal 26 4 44" xfId="2914" xr:uid="{00000000-0005-0000-0000-0000C84C0000}"/>
    <cellStyle name="Normal 26 4 45" xfId="2671" xr:uid="{00000000-0005-0000-0000-0000C94C0000}"/>
    <cellStyle name="Normal 26 4 46" xfId="2431" xr:uid="{00000000-0005-0000-0000-0000CA4C0000}"/>
    <cellStyle name="Normal 26 4 47" xfId="2191" xr:uid="{00000000-0005-0000-0000-0000CB4C0000}"/>
    <cellStyle name="Normal 26 4 48" xfId="1951" xr:uid="{00000000-0005-0000-0000-0000CC4C0000}"/>
    <cellStyle name="Normal 26 4 49" xfId="1711" xr:uid="{00000000-0005-0000-0000-0000CD4C0000}"/>
    <cellStyle name="Normal 26 4 5" xfId="26053" xr:uid="{00000000-0005-0000-0000-0000CE4C0000}"/>
    <cellStyle name="Normal 26 4 50" xfId="1472" xr:uid="{00000000-0005-0000-0000-0000CF4C0000}"/>
    <cellStyle name="Normal 26 4 51" xfId="1232" xr:uid="{00000000-0005-0000-0000-0000D04C0000}"/>
    <cellStyle name="Normal 26 4 52" xfId="992" xr:uid="{00000000-0005-0000-0000-0000D14C0000}"/>
    <cellStyle name="Normal 26 4 53" xfId="752" xr:uid="{00000000-0005-0000-0000-0000D24C0000}"/>
    <cellStyle name="Normal 26 4 54" xfId="512" xr:uid="{00000000-0005-0000-0000-0000D34C0000}"/>
    <cellStyle name="Normal 26 4 55" xfId="273" xr:uid="{00000000-0005-0000-0000-0000D44C0000}"/>
    <cellStyle name="Normal 26 4 56" xfId="35" xr:uid="{00000000-0005-0000-0000-0000D54C0000}"/>
    <cellStyle name="Normal 26 4 6" xfId="25457" xr:uid="{00000000-0005-0000-0000-0000D64C0000}"/>
    <cellStyle name="Normal 26 4 7" xfId="24860" xr:uid="{00000000-0005-0000-0000-0000D74C0000}"/>
    <cellStyle name="Normal 26 4 8" xfId="24263" xr:uid="{00000000-0005-0000-0000-0000D84C0000}"/>
    <cellStyle name="Normal 26 4 9" xfId="23666" xr:uid="{00000000-0005-0000-0000-0000D94C0000}"/>
    <cellStyle name="Normal 26 40" xfId="20105" xr:uid="{00000000-0005-0000-0000-0000DA4C0000}"/>
    <cellStyle name="Normal 26 41" xfId="19509" xr:uid="{00000000-0005-0000-0000-0000DB4C0000}"/>
    <cellStyle name="Normal 26 42" xfId="18913" xr:uid="{00000000-0005-0000-0000-0000DC4C0000}"/>
    <cellStyle name="Normal 26 43" xfId="18321" xr:uid="{00000000-0005-0000-0000-0000DD4C0000}"/>
    <cellStyle name="Normal 26 44" xfId="17724" xr:uid="{00000000-0005-0000-0000-0000DE4C0000}"/>
    <cellStyle name="Normal 26 45" xfId="15344" xr:uid="{00000000-0005-0000-0000-0000DF4C0000}"/>
    <cellStyle name="Normal 26 46" xfId="15285" xr:uid="{00000000-0005-0000-0000-0000E04C0000}"/>
    <cellStyle name="Normal 26 47" xfId="17213" xr:uid="{00000000-0005-0000-0000-0000E14C0000}"/>
    <cellStyle name="Normal 26 48" xfId="15174" xr:uid="{00000000-0005-0000-0000-0000E24C0000}"/>
    <cellStyle name="Normal 26 49" xfId="14905" xr:uid="{00000000-0005-0000-0000-0000E34C0000}"/>
    <cellStyle name="Normal 26 5" xfId="28442" xr:uid="{00000000-0005-0000-0000-0000E44C0000}"/>
    <cellStyle name="Normal 26 5 10" xfId="23068" xr:uid="{00000000-0005-0000-0000-0000E54C0000}"/>
    <cellStyle name="Normal 26 5 11" xfId="22471" xr:uid="{00000000-0005-0000-0000-0000E64C0000}"/>
    <cellStyle name="Normal 26 5 12" xfId="21875" xr:uid="{00000000-0005-0000-0000-0000E74C0000}"/>
    <cellStyle name="Normal 26 5 13" xfId="21278" xr:uid="{00000000-0005-0000-0000-0000E84C0000}"/>
    <cellStyle name="Normal 26 5 14" xfId="20681" xr:uid="{00000000-0005-0000-0000-0000E94C0000}"/>
    <cellStyle name="Normal 26 5 15" xfId="20084" xr:uid="{00000000-0005-0000-0000-0000EA4C0000}"/>
    <cellStyle name="Normal 26 5 16" xfId="19488" xr:uid="{00000000-0005-0000-0000-0000EB4C0000}"/>
    <cellStyle name="Normal 26 5 17" xfId="18892" xr:uid="{00000000-0005-0000-0000-0000EC4C0000}"/>
    <cellStyle name="Normal 26 5 18" xfId="18300" xr:uid="{00000000-0005-0000-0000-0000ED4C0000}"/>
    <cellStyle name="Normal 26 5 19" xfId="17703" xr:uid="{00000000-0005-0000-0000-0000EE4C0000}"/>
    <cellStyle name="Normal 26 5 2" xfId="27842" xr:uid="{00000000-0005-0000-0000-0000EF4C0000}"/>
    <cellStyle name="Normal 26 5 20" xfId="16150" xr:uid="{00000000-0005-0000-0000-0000F04C0000}"/>
    <cellStyle name="Normal 26 5 21" xfId="17027" xr:uid="{00000000-0005-0000-0000-0000F14C0000}"/>
    <cellStyle name="Normal 26 5 22" xfId="13807" xr:uid="{00000000-0005-0000-0000-0000F24C0000}"/>
    <cellStyle name="Normal 26 5 23" xfId="13526" xr:uid="{00000000-0005-0000-0000-0000F34C0000}"/>
    <cellStyle name="Normal 26 5 24" xfId="16068" xr:uid="{00000000-0005-0000-0000-0000F44C0000}"/>
    <cellStyle name="Normal 26 5 25" xfId="13156" xr:uid="{00000000-0005-0000-0000-0000F54C0000}"/>
    <cellStyle name="Normal 26 5 26" xfId="16067" xr:uid="{00000000-0005-0000-0000-0000F64C0000}"/>
    <cellStyle name="Normal 26 5 27" xfId="14400" xr:uid="{00000000-0005-0000-0000-0000F74C0000}"/>
    <cellStyle name="Normal 26 5 28" xfId="12312" xr:uid="{00000000-0005-0000-0000-0000F84C0000}"/>
    <cellStyle name="Normal 26 5 29" xfId="8516" xr:uid="{00000000-0005-0000-0000-0000F94C0000}"/>
    <cellStyle name="Normal 26 5 3" xfId="27245" xr:uid="{00000000-0005-0000-0000-0000FA4C0000}"/>
    <cellStyle name="Normal 26 5 30" xfId="9702" xr:uid="{00000000-0005-0000-0000-0000FB4C0000}"/>
    <cellStyle name="Normal 26 5 31" xfId="6320" xr:uid="{00000000-0005-0000-0000-0000FC4C0000}"/>
    <cellStyle name="Normal 26 5 32" xfId="8891" xr:uid="{00000000-0005-0000-0000-0000FD4C0000}"/>
    <cellStyle name="Normal 26 5 33" xfId="5888" xr:uid="{00000000-0005-0000-0000-0000FE4C0000}"/>
    <cellStyle name="Normal 26 5 34" xfId="4742" xr:uid="{00000000-0005-0000-0000-0000FF4C0000}"/>
    <cellStyle name="Normal 26 5 35" xfId="10721" xr:uid="{00000000-0005-0000-0000-0000004D0000}"/>
    <cellStyle name="Normal 26 5 36" xfId="4360" xr:uid="{00000000-0005-0000-0000-0000014D0000}"/>
    <cellStyle name="Normal 26 5 37" xfId="4494" xr:uid="{00000000-0005-0000-0000-0000024D0000}"/>
    <cellStyle name="Normal 26 5 38" xfId="4839" xr:uid="{00000000-0005-0000-0000-0000034D0000}"/>
    <cellStyle name="Normal 26 5 39" xfId="5929" xr:uid="{00000000-0005-0000-0000-0000044D0000}"/>
    <cellStyle name="Normal 26 5 4" xfId="26648" xr:uid="{00000000-0005-0000-0000-0000054D0000}"/>
    <cellStyle name="Normal 26 5 40" xfId="10198" xr:uid="{00000000-0005-0000-0000-0000064D0000}"/>
    <cellStyle name="Normal 26 5 41" xfId="6751" xr:uid="{00000000-0005-0000-0000-0000074D0000}"/>
    <cellStyle name="Normal 26 5 42" xfId="3620" xr:uid="{00000000-0005-0000-0000-0000084D0000}"/>
    <cellStyle name="Normal 26 5 43" xfId="3097" xr:uid="{00000000-0005-0000-0000-0000094D0000}"/>
    <cellStyle name="Normal 26 5 44" xfId="2913" xr:uid="{00000000-0005-0000-0000-00000A4D0000}"/>
    <cellStyle name="Normal 26 5 45" xfId="2670" xr:uid="{00000000-0005-0000-0000-00000B4D0000}"/>
    <cellStyle name="Normal 26 5 46" xfId="2430" xr:uid="{00000000-0005-0000-0000-00000C4D0000}"/>
    <cellStyle name="Normal 26 5 47" xfId="2190" xr:uid="{00000000-0005-0000-0000-00000D4D0000}"/>
    <cellStyle name="Normal 26 5 48" xfId="1950" xr:uid="{00000000-0005-0000-0000-00000E4D0000}"/>
    <cellStyle name="Normal 26 5 49" xfId="1710" xr:uid="{00000000-0005-0000-0000-00000F4D0000}"/>
    <cellStyle name="Normal 26 5 5" xfId="26052" xr:uid="{00000000-0005-0000-0000-0000104D0000}"/>
    <cellStyle name="Normal 26 5 50" xfId="1471" xr:uid="{00000000-0005-0000-0000-0000114D0000}"/>
    <cellStyle name="Normal 26 5 51" xfId="1231" xr:uid="{00000000-0005-0000-0000-0000124D0000}"/>
    <cellStyle name="Normal 26 5 52" xfId="991" xr:uid="{00000000-0005-0000-0000-0000134D0000}"/>
    <cellStyle name="Normal 26 5 53" xfId="751" xr:uid="{00000000-0005-0000-0000-0000144D0000}"/>
    <cellStyle name="Normal 26 5 54" xfId="511" xr:uid="{00000000-0005-0000-0000-0000154D0000}"/>
    <cellStyle name="Normal 26 5 55" xfId="272" xr:uid="{00000000-0005-0000-0000-0000164D0000}"/>
    <cellStyle name="Normal 26 5 56" xfId="34" xr:uid="{00000000-0005-0000-0000-0000174D0000}"/>
    <cellStyle name="Normal 26 5 6" xfId="25456" xr:uid="{00000000-0005-0000-0000-0000184D0000}"/>
    <cellStyle name="Normal 26 5 7" xfId="24859" xr:uid="{00000000-0005-0000-0000-0000194D0000}"/>
    <cellStyle name="Normal 26 5 8" xfId="24262" xr:uid="{00000000-0005-0000-0000-00001A4D0000}"/>
    <cellStyle name="Normal 26 5 9" xfId="23665" xr:uid="{00000000-0005-0000-0000-00001B4D0000}"/>
    <cellStyle name="Normal 26 50" xfId="14860" xr:uid="{00000000-0005-0000-0000-00001C4D0000}"/>
    <cellStyle name="Normal 26 51" xfId="15596" xr:uid="{00000000-0005-0000-0000-00001D4D0000}"/>
    <cellStyle name="Normal 26 52" xfId="14371" xr:uid="{00000000-0005-0000-0000-00001E4D0000}"/>
    <cellStyle name="Normal 26 53" xfId="12333" xr:uid="{00000000-0005-0000-0000-00001F4D0000}"/>
    <cellStyle name="Normal 26 54" xfId="9657" xr:uid="{00000000-0005-0000-0000-0000204D0000}"/>
    <cellStyle name="Normal 26 55" xfId="6128" xr:uid="{00000000-0005-0000-0000-0000214D0000}"/>
    <cellStyle name="Normal 26 56" xfId="6081" xr:uid="{00000000-0005-0000-0000-0000224D0000}"/>
    <cellStyle name="Normal 26 57" xfId="6851" xr:uid="{00000000-0005-0000-0000-0000234D0000}"/>
    <cellStyle name="Normal 26 58" xfId="6492" xr:uid="{00000000-0005-0000-0000-0000244D0000}"/>
    <cellStyle name="Normal 26 59" xfId="5441" xr:uid="{00000000-0005-0000-0000-0000254D0000}"/>
    <cellStyle name="Normal 26 6" xfId="28441" xr:uid="{00000000-0005-0000-0000-0000264D0000}"/>
    <cellStyle name="Normal 26 6 10" xfId="23067" xr:uid="{00000000-0005-0000-0000-0000274D0000}"/>
    <cellStyle name="Normal 26 6 11" xfId="22470" xr:uid="{00000000-0005-0000-0000-0000284D0000}"/>
    <cellStyle name="Normal 26 6 12" xfId="21874" xr:uid="{00000000-0005-0000-0000-0000294D0000}"/>
    <cellStyle name="Normal 26 6 13" xfId="21277" xr:uid="{00000000-0005-0000-0000-00002A4D0000}"/>
    <cellStyle name="Normal 26 6 14" xfId="20680" xr:uid="{00000000-0005-0000-0000-00002B4D0000}"/>
    <cellStyle name="Normal 26 6 15" xfId="20083" xr:uid="{00000000-0005-0000-0000-00002C4D0000}"/>
    <cellStyle name="Normal 26 6 16" xfId="19487" xr:uid="{00000000-0005-0000-0000-00002D4D0000}"/>
    <cellStyle name="Normal 26 6 17" xfId="18891" xr:uid="{00000000-0005-0000-0000-00002E4D0000}"/>
    <cellStyle name="Normal 26 6 18" xfId="18299" xr:uid="{00000000-0005-0000-0000-00002F4D0000}"/>
    <cellStyle name="Normal 26 6 19" xfId="17702" xr:uid="{00000000-0005-0000-0000-0000304D0000}"/>
    <cellStyle name="Normal 26 6 2" xfId="27841" xr:uid="{00000000-0005-0000-0000-0000314D0000}"/>
    <cellStyle name="Normal 26 6 20" xfId="16351" xr:uid="{00000000-0005-0000-0000-0000324D0000}"/>
    <cellStyle name="Normal 26 6 21" xfId="16633" xr:uid="{00000000-0005-0000-0000-0000334D0000}"/>
    <cellStyle name="Normal 26 6 22" xfId="16066" xr:uid="{00000000-0005-0000-0000-0000344D0000}"/>
    <cellStyle name="Normal 26 6 23" xfId="16641" xr:uid="{00000000-0005-0000-0000-0000354D0000}"/>
    <cellStyle name="Normal 26 6 24" xfId="16767" xr:uid="{00000000-0005-0000-0000-0000364D0000}"/>
    <cellStyle name="Normal 26 6 25" xfId="16463" xr:uid="{00000000-0005-0000-0000-0000374D0000}"/>
    <cellStyle name="Normal 26 6 26" xfId="12935" xr:uid="{00000000-0005-0000-0000-0000384D0000}"/>
    <cellStyle name="Normal 26 6 27" xfId="12809" xr:uid="{00000000-0005-0000-0000-0000394D0000}"/>
    <cellStyle name="Normal 26 6 28" xfId="12311" xr:uid="{00000000-0005-0000-0000-00003A4D0000}"/>
    <cellStyle name="Normal 26 6 29" xfId="8732" xr:uid="{00000000-0005-0000-0000-00003B4D0000}"/>
    <cellStyle name="Normal 26 6 3" xfId="27244" xr:uid="{00000000-0005-0000-0000-00003C4D0000}"/>
    <cellStyle name="Normal 26 6 30" xfId="10154" xr:uid="{00000000-0005-0000-0000-00003D4D0000}"/>
    <cellStyle name="Normal 26 6 31" xfId="7786" xr:uid="{00000000-0005-0000-0000-00003E4D0000}"/>
    <cellStyle name="Normal 26 6 32" xfId="10612" xr:uid="{00000000-0005-0000-0000-00003F4D0000}"/>
    <cellStyle name="Normal 26 6 33" xfId="8462" xr:uid="{00000000-0005-0000-0000-0000404D0000}"/>
    <cellStyle name="Normal 26 6 34" xfId="9187" xr:uid="{00000000-0005-0000-0000-0000414D0000}"/>
    <cellStyle name="Normal 26 6 35" xfId="9377" xr:uid="{00000000-0005-0000-0000-0000424D0000}"/>
    <cellStyle name="Normal 26 6 36" xfId="11673" xr:uid="{00000000-0005-0000-0000-0000434D0000}"/>
    <cellStyle name="Normal 26 6 37" xfId="9854" xr:uid="{00000000-0005-0000-0000-0000444D0000}"/>
    <cellStyle name="Normal 26 6 38" xfId="8489" xr:uid="{00000000-0005-0000-0000-0000454D0000}"/>
    <cellStyle name="Normal 26 6 39" xfId="10730" xr:uid="{00000000-0005-0000-0000-0000464D0000}"/>
    <cellStyle name="Normal 26 6 4" xfId="26647" xr:uid="{00000000-0005-0000-0000-0000474D0000}"/>
    <cellStyle name="Normal 26 6 40" xfId="10699" xr:uid="{00000000-0005-0000-0000-0000484D0000}"/>
    <cellStyle name="Normal 26 6 41" xfId="9088" xr:uid="{00000000-0005-0000-0000-0000494D0000}"/>
    <cellStyle name="Normal 26 6 42" xfId="5445" xr:uid="{00000000-0005-0000-0000-00004A4D0000}"/>
    <cellStyle name="Normal 26 6 43" xfId="3093" xr:uid="{00000000-0005-0000-0000-00004B4D0000}"/>
    <cellStyle name="Normal 26 6 44" xfId="2912" xr:uid="{00000000-0005-0000-0000-00004C4D0000}"/>
    <cellStyle name="Normal 26 6 45" xfId="2669" xr:uid="{00000000-0005-0000-0000-00004D4D0000}"/>
    <cellStyle name="Normal 26 6 46" xfId="2429" xr:uid="{00000000-0005-0000-0000-00004E4D0000}"/>
    <cellStyle name="Normal 26 6 47" xfId="2189" xr:uid="{00000000-0005-0000-0000-00004F4D0000}"/>
    <cellStyle name="Normal 26 6 48" xfId="1949" xr:uid="{00000000-0005-0000-0000-0000504D0000}"/>
    <cellStyle name="Normal 26 6 49" xfId="1709" xr:uid="{00000000-0005-0000-0000-0000514D0000}"/>
    <cellStyle name="Normal 26 6 5" xfId="26051" xr:uid="{00000000-0005-0000-0000-0000524D0000}"/>
    <cellStyle name="Normal 26 6 50" xfId="1470" xr:uid="{00000000-0005-0000-0000-0000534D0000}"/>
    <cellStyle name="Normal 26 6 51" xfId="1230" xr:uid="{00000000-0005-0000-0000-0000544D0000}"/>
    <cellStyle name="Normal 26 6 52" xfId="990" xr:uid="{00000000-0005-0000-0000-0000554D0000}"/>
    <cellStyle name="Normal 26 6 53" xfId="750" xr:uid="{00000000-0005-0000-0000-0000564D0000}"/>
    <cellStyle name="Normal 26 6 54" xfId="510" xr:uid="{00000000-0005-0000-0000-0000574D0000}"/>
    <cellStyle name="Normal 26 6 55" xfId="271" xr:uid="{00000000-0005-0000-0000-0000584D0000}"/>
    <cellStyle name="Normal 26 6 56" xfId="33" xr:uid="{00000000-0005-0000-0000-0000594D0000}"/>
    <cellStyle name="Normal 26 6 6" xfId="25455" xr:uid="{00000000-0005-0000-0000-00005A4D0000}"/>
    <cellStyle name="Normal 26 6 7" xfId="24858" xr:uid="{00000000-0005-0000-0000-00005B4D0000}"/>
    <cellStyle name="Normal 26 6 8" xfId="24261" xr:uid="{00000000-0005-0000-0000-00005C4D0000}"/>
    <cellStyle name="Normal 26 6 9" xfId="23664" xr:uid="{00000000-0005-0000-0000-00005D4D0000}"/>
    <cellStyle name="Normal 26 60" xfId="7799" xr:uid="{00000000-0005-0000-0000-00005E4D0000}"/>
    <cellStyle name="Normal 26 61" xfId="6602" xr:uid="{00000000-0005-0000-0000-00005F4D0000}"/>
    <cellStyle name="Normal 26 62" xfId="4293" xr:uid="{00000000-0005-0000-0000-0000604D0000}"/>
    <cellStyle name="Normal 26 63" xfId="6302" xr:uid="{00000000-0005-0000-0000-0000614D0000}"/>
    <cellStyle name="Normal 26 64" xfId="9813" xr:uid="{00000000-0005-0000-0000-0000624D0000}"/>
    <cellStyle name="Normal 26 65" xfId="5125" xr:uid="{00000000-0005-0000-0000-0000634D0000}"/>
    <cellStyle name="Normal 26 66" xfId="3194" xr:uid="{00000000-0005-0000-0000-0000644D0000}"/>
    <cellStyle name="Normal 26 67" xfId="10149" xr:uid="{00000000-0005-0000-0000-0000654D0000}"/>
    <cellStyle name="Normal 26 68" xfId="3331" xr:uid="{00000000-0005-0000-0000-0000664D0000}"/>
    <cellStyle name="Normal 26 7" xfId="28440" xr:uid="{00000000-0005-0000-0000-0000674D0000}"/>
    <cellStyle name="Normal 26 7 10" xfId="23066" xr:uid="{00000000-0005-0000-0000-0000684D0000}"/>
    <cellStyle name="Normal 26 7 11" xfId="22469" xr:uid="{00000000-0005-0000-0000-0000694D0000}"/>
    <cellStyle name="Normal 26 7 12" xfId="21873" xr:uid="{00000000-0005-0000-0000-00006A4D0000}"/>
    <cellStyle name="Normal 26 7 13" xfId="21276" xr:uid="{00000000-0005-0000-0000-00006B4D0000}"/>
    <cellStyle name="Normal 26 7 14" xfId="20679" xr:uid="{00000000-0005-0000-0000-00006C4D0000}"/>
    <cellStyle name="Normal 26 7 15" xfId="20082" xr:uid="{00000000-0005-0000-0000-00006D4D0000}"/>
    <cellStyle name="Normal 26 7 16" xfId="19486" xr:uid="{00000000-0005-0000-0000-00006E4D0000}"/>
    <cellStyle name="Normal 26 7 17" xfId="18890" xr:uid="{00000000-0005-0000-0000-00006F4D0000}"/>
    <cellStyle name="Normal 26 7 18" xfId="18298" xr:uid="{00000000-0005-0000-0000-0000704D0000}"/>
    <cellStyle name="Normal 26 7 19" xfId="17701" xr:uid="{00000000-0005-0000-0000-0000714D0000}"/>
    <cellStyle name="Normal 26 7 2" xfId="27840" xr:uid="{00000000-0005-0000-0000-0000724D0000}"/>
    <cellStyle name="Normal 26 7 20" xfId="16541" xr:uid="{00000000-0005-0000-0000-0000734D0000}"/>
    <cellStyle name="Normal 26 7 21" xfId="16221" xr:uid="{00000000-0005-0000-0000-0000744D0000}"/>
    <cellStyle name="Normal 26 7 22" xfId="14466" xr:uid="{00000000-0005-0000-0000-0000754D0000}"/>
    <cellStyle name="Normal 26 7 23" xfId="14423" xr:uid="{00000000-0005-0000-0000-0000764D0000}"/>
    <cellStyle name="Normal 26 7 24" xfId="17456" xr:uid="{00000000-0005-0000-0000-0000774D0000}"/>
    <cellStyle name="Normal 26 7 25" xfId="13216" xr:uid="{00000000-0005-0000-0000-0000784D0000}"/>
    <cellStyle name="Normal 26 7 26" xfId="13877" xr:uid="{00000000-0005-0000-0000-0000794D0000}"/>
    <cellStyle name="Normal 26 7 27" xfId="13465" xr:uid="{00000000-0005-0000-0000-00007A4D0000}"/>
    <cellStyle name="Normal 26 7 28" xfId="12310" xr:uid="{00000000-0005-0000-0000-00007B4D0000}"/>
    <cellStyle name="Normal 26 7 29" xfId="8970" xr:uid="{00000000-0005-0000-0000-00007C4D0000}"/>
    <cellStyle name="Normal 26 7 3" xfId="27243" xr:uid="{00000000-0005-0000-0000-00007D4D0000}"/>
    <cellStyle name="Normal 26 7 30" xfId="10372" xr:uid="{00000000-0005-0000-0000-00007E4D0000}"/>
    <cellStyle name="Normal 26 7 31" xfId="12103" xr:uid="{00000000-0005-0000-0000-00007F4D0000}"/>
    <cellStyle name="Normal 26 7 32" xfId="7983" xr:uid="{00000000-0005-0000-0000-0000804D0000}"/>
    <cellStyle name="Normal 26 7 33" xfId="7816" xr:uid="{00000000-0005-0000-0000-0000814D0000}"/>
    <cellStyle name="Normal 26 7 34" xfId="10823" xr:uid="{00000000-0005-0000-0000-0000824D0000}"/>
    <cellStyle name="Normal 26 7 35" xfId="7723" xr:uid="{00000000-0005-0000-0000-0000834D0000}"/>
    <cellStyle name="Normal 26 7 36" xfId="6648" xr:uid="{00000000-0005-0000-0000-0000844D0000}"/>
    <cellStyle name="Normal 26 7 37" xfId="5725" xr:uid="{00000000-0005-0000-0000-0000854D0000}"/>
    <cellStyle name="Normal 26 7 38" xfId="6783" xr:uid="{00000000-0005-0000-0000-0000864D0000}"/>
    <cellStyle name="Normal 26 7 39" xfId="4083" xr:uid="{00000000-0005-0000-0000-0000874D0000}"/>
    <cellStyle name="Normal 26 7 4" xfId="26646" xr:uid="{00000000-0005-0000-0000-0000884D0000}"/>
    <cellStyle name="Normal 26 7 40" xfId="4667" xr:uid="{00000000-0005-0000-0000-0000894D0000}"/>
    <cellStyle name="Normal 26 7 41" xfId="10173" xr:uid="{00000000-0005-0000-0000-00008A4D0000}"/>
    <cellStyle name="Normal 26 7 42" xfId="8760" xr:uid="{00000000-0005-0000-0000-00008B4D0000}"/>
    <cellStyle name="Normal 26 7 43" xfId="3103" xr:uid="{00000000-0005-0000-0000-00008C4D0000}"/>
    <cellStyle name="Normal 26 7 44" xfId="2911" xr:uid="{00000000-0005-0000-0000-00008D4D0000}"/>
    <cellStyle name="Normal 26 7 45" xfId="2668" xr:uid="{00000000-0005-0000-0000-00008E4D0000}"/>
    <cellStyle name="Normal 26 7 46" xfId="2428" xr:uid="{00000000-0005-0000-0000-00008F4D0000}"/>
    <cellStyle name="Normal 26 7 47" xfId="2188" xr:uid="{00000000-0005-0000-0000-0000904D0000}"/>
    <cellStyle name="Normal 26 7 48" xfId="1948" xr:uid="{00000000-0005-0000-0000-0000914D0000}"/>
    <cellStyle name="Normal 26 7 49" xfId="1708" xr:uid="{00000000-0005-0000-0000-0000924D0000}"/>
    <cellStyle name="Normal 26 7 5" xfId="26050" xr:uid="{00000000-0005-0000-0000-0000934D0000}"/>
    <cellStyle name="Normal 26 7 50" xfId="1469" xr:uid="{00000000-0005-0000-0000-0000944D0000}"/>
    <cellStyle name="Normal 26 7 51" xfId="1229" xr:uid="{00000000-0005-0000-0000-0000954D0000}"/>
    <cellStyle name="Normal 26 7 52" xfId="989" xr:uid="{00000000-0005-0000-0000-0000964D0000}"/>
    <cellStyle name="Normal 26 7 53" xfId="749" xr:uid="{00000000-0005-0000-0000-0000974D0000}"/>
    <cellStyle name="Normal 26 7 54" xfId="509" xr:uid="{00000000-0005-0000-0000-0000984D0000}"/>
    <cellStyle name="Normal 26 7 55" xfId="270" xr:uid="{00000000-0005-0000-0000-0000994D0000}"/>
    <cellStyle name="Normal 26 7 56" xfId="32" xr:uid="{00000000-0005-0000-0000-00009A4D0000}"/>
    <cellStyle name="Normal 26 7 6" xfId="25454" xr:uid="{00000000-0005-0000-0000-00009B4D0000}"/>
    <cellStyle name="Normal 26 7 7" xfId="24857" xr:uid="{00000000-0005-0000-0000-00009C4D0000}"/>
    <cellStyle name="Normal 26 7 8" xfId="24260" xr:uid="{00000000-0005-0000-0000-00009D4D0000}"/>
    <cellStyle name="Normal 26 7 9" xfId="23663" xr:uid="{00000000-0005-0000-0000-00009E4D0000}"/>
    <cellStyle name="Normal 26 8" xfId="28439" xr:uid="{00000000-0005-0000-0000-00009F4D0000}"/>
    <cellStyle name="Normal 26 8 10" xfId="23065" xr:uid="{00000000-0005-0000-0000-0000A04D0000}"/>
    <cellStyle name="Normal 26 8 11" xfId="22468" xr:uid="{00000000-0005-0000-0000-0000A14D0000}"/>
    <cellStyle name="Normal 26 8 12" xfId="21872" xr:uid="{00000000-0005-0000-0000-0000A24D0000}"/>
    <cellStyle name="Normal 26 8 13" xfId="21275" xr:uid="{00000000-0005-0000-0000-0000A34D0000}"/>
    <cellStyle name="Normal 26 8 14" xfId="20678" xr:uid="{00000000-0005-0000-0000-0000A44D0000}"/>
    <cellStyle name="Normal 26 8 15" xfId="20081" xr:uid="{00000000-0005-0000-0000-0000A54D0000}"/>
    <cellStyle name="Normal 26 8 16" xfId="19485" xr:uid="{00000000-0005-0000-0000-0000A64D0000}"/>
    <cellStyle name="Normal 26 8 17" xfId="18889" xr:uid="{00000000-0005-0000-0000-0000A74D0000}"/>
    <cellStyle name="Normal 26 8 18" xfId="18297" xr:uid="{00000000-0005-0000-0000-0000A84D0000}"/>
    <cellStyle name="Normal 26 8 19" xfId="17700" xr:uid="{00000000-0005-0000-0000-0000A94D0000}"/>
    <cellStyle name="Normal 26 8 2" xfId="27839" xr:uid="{00000000-0005-0000-0000-0000AA4D0000}"/>
    <cellStyle name="Normal 26 8 20" xfId="16735" xr:uid="{00000000-0005-0000-0000-0000AB4D0000}"/>
    <cellStyle name="Normal 26 8 21" xfId="15796" xr:uid="{00000000-0005-0000-0000-0000AC4D0000}"/>
    <cellStyle name="Normal 26 8 22" xfId="17262" xr:uid="{00000000-0005-0000-0000-0000AD4D0000}"/>
    <cellStyle name="Normal 26 8 23" xfId="14973" xr:uid="{00000000-0005-0000-0000-0000AE4D0000}"/>
    <cellStyle name="Normal 26 8 24" xfId="15086" xr:uid="{00000000-0005-0000-0000-0000AF4D0000}"/>
    <cellStyle name="Normal 26 8 25" xfId="13739" xr:uid="{00000000-0005-0000-0000-0000B04D0000}"/>
    <cellStyle name="Normal 26 8 26" xfId="14716" xr:uid="{00000000-0005-0000-0000-0000B14D0000}"/>
    <cellStyle name="Normal 26 8 27" xfId="17402" xr:uid="{00000000-0005-0000-0000-0000B24D0000}"/>
    <cellStyle name="Normal 26 8 28" xfId="12309" xr:uid="{00000000-0005-0000-0000-0000B34D0000}"/>
    <cellStyle name="Normal 26 8 29" xfId="9205" xr:uid="{00000000-0005-0000-0000-0000B44D0000}"/>
    <cellStyle name="Normal 26 8 3" xfId="27242" xr:uid="{00000000-0005-0000-0000-0000B54D0000}"/>
    <cellStyle name="Normal 26 8 30" xfId="5864" xr:uid="{00000000-0005-0000-0000-0000B64D0000}"/>
    <cellStyle name="Normal 26 8 31" xfId="9810" xr:uid="{00000000-0005-0000-0000-0000B74D0000}"/>
    <cellStyle name="Normal 26 8 32" xfId="5351" xr:uid="{00000000-0005-0000-0000-0000B84D0000}"/>
    <cellStyle name="Normal 26 8 33" xfId="9752" xr:uid="{00000000-0005-0000-0000-0000B94D0000}"/>
    <cellStyle name="Normal 26 8 34" xfId="4533" xr:uid="{00000000-0005-0000-0000-0000BA4D0000}"/>
    <cellStyle name="Normal 26 8 35" xfId="4651" xr:uid="{00000000-0005-0000-0000-0000BB4D0000}"/>
    <cellStyle name="Normal 26 8 36" xfId="5969" xr:uid="{00000000-0005-0000-0000-0000BC4D0000}"/>
    <cellStyle name="Normal 26 8 37" xfId="10291" xr:uid="{00000000-0005-0000-0000-0000BD4D0000}"/>
    <cellStyle name="Normal 26 8 38" xfId="5936" xr:uid="{00000000-0005-0000-0000-0000BE4D0000}"/>
    <cellStyle name="Normal 26 8 39" xfId="3936" xr:uid="{00000000-0005-0000-0000-0000BF4D0000}"/>
    <cellStyle name="Normal 26 8 4" xfId="26645" xr:uid="{00000000-0005-0000-0000-0000C04D0000}"/>
    <cellStyle name="Normal 26 8 40" xfId="9861" xr:uid="{00000000-0005-0000-0000-0000C14D0000}"/>
    <cellStyle name="Normal 26 8 41" xfId="12011" xr:uid="{00000000-0005-0000-0000-0000C24D0000}"/>
    <cellStyle name="Normal 26 8 42" xfId="3325" xr:uid="{00000000-0005-0000-0000-0000C34D0000}"/>
    <cellStyle name="Normal 26 8 43" xfId="11973" xr:uid="{00000000-0005-0000-0000-0000C44D0000}"/>
    <cellStyle name="Normal 26 8 44" xfId="2910" xr:uid="{00000000-0005-0000-0000-0000C54D0000}"/>
    <cellStyle name="Normal 26 8 45" xfId="2667" xr:uid="{00000000-0005-0000-0000-0000C64D0000}"/>
    <cellStyle name="Normal 26 8 46" xfId="2427" xr:uid="{00000000-0005-0000-0000-0000C74D0000}"/>
    <cellStyle name="Normal 26 8 47" xfId="2187" xr:uid="{00000000-0005-0000-0000-0000C84D0000}"/>
    <cellStyle name="Normal 26 8 48" xfId="1947" xr:uid="{00000000-0005-0000-0000-0000C94D0000}"/>
    <cellStyle name="Normal 26 8 49" xfId="1707" xr:uid="{00000000-0005-0000-0000-0000CA4D0000}"/>
    <cellStyle name="Normal 26 8 5" xfId="26049" xr:uid="{00000000-0005-0000-0000-0000CB4D0000}"/>
    <cellStyle name="Normal 26 8 50" xfId="1468" xr:uid="{00000000-0005-0000-0000-0000CC4D0000}"/>
    <cellStyle name="Normal 26 8 51" xfId="1228" xr:uid="{00000000-0005-0000-0000-0000CD4D0000}"/>
    <cellStyle name="Normal 26 8 52" xfId="988" xr:uid="{00000000-0005-0000-0000-0000CE4D0000}"/>
    <cellStyle name="Normal 26 8 53" xfId="748" xr:uid="{00000000-0005-0000-0000-0000CF4D0000}"/>
    <cellStyle name="Normal 26 8 54" xfId="508" xr:uid="{00000000-0005-0000-0000-0000D04D0000}"/>
    <cellStyle name="Normal 26 8 55" xfId="269" xr:uid="{00000000-0005-0000-0000-0000D14D0000}"/>
    <cellStyle name="Normal 26 8 56" xfId="31" xr:uid="{00000000-0005-0000-0000-0000D24D0000}"/>
    <cellStyle name="Normal 26 8 6" xfId="25453" xr:uid="{00000000-0005-0000-0000-0000D34D0000}"/>
    <cellStyle name="Normal 26 8 7" xfId="24856" xr:uid="{00000000-0005-0000-0000-0000D44D0000}"/>
    <cellStyle name="Normal 26 8 8" xfId="24259" xr:uid="{00000000-0005-0000-0000-0000D54D0000}"/>
    <cellStyle name="Normal 26 8 9" xfId="23662" xr:uid="{00000000-0005-0000-0000-0000D64D0000}"/>
    <cellStyle name="Normal 26 9" xfId="28438" xr:uid="{00000000-0005-0000-0000-0000D74D0000}"/>
    <cellStyle name="Normal 26 9 10" xfId="23064" xr:uid="{00000000-0005-0000-0000-0000D84D0000}"/>
    <cellStyle name="Normal 26 9 11" xfId="22467" xr:uid="{00000000-0005-0000-0000-0000D94D0000}"/>
    <cellStyle name="Normal 26 9 12" xfId="21871" xr:uid="{00000000-0005-0000-0000-0000DA4D0000}"/>
    <cellStyle name="Normal 26 9 13" xfId="21274" xr:uid="{00000000-0005-0000-0000-0000DB4D0000}"/>
    <cellStyle name="Normal 26 9 14" xfId="20677" xr:uid="{00000000-0005-0000-0000-0000DC4D0000}"/>
    <cellStyle name="Normal 26 9 15" xfId="20080" xr:uid="{00000000-0005-0000-0000-0000DD4D0000}"/>
    <cellStyle name="Normal 26 9 16" xfId="19484" xr:uid="{00000000-0005-0000-0000-0000DE4D0000}"/>
    <cellStyle name="Normal 26 9 17" xfId="18888" xr:uid="{00000000-0005-0000-0000-0000DF4D0000}"/>
    <cellStyle name="Normal 26 9 18" xfId="18296" xr:uid="{00000000-0005-0000-0000-0000E04D0000}"/>
    <cellStyle name="Normal 26 9 19" xfId="17699" xr:uid="{00000000-0005-0000-0000-0000E14D0000}"/>
    <cellStyle name="Normal 26 9 2" xfId="27838" xr:uid="{00000000-0005-0000-0000-0000E24D0000}"/>
    <cellStyle name="Normal 26 9 20" xfId="16932" xr:uid="{00000000-0005-0000-0000-0000E34D0000}"/>
    <cellStyle name="Normal 26 9 21" xfId="16204" xr:uid="{00000000-0005-0000-0000-0000E44D0000}"/>
    <cellStyle name="Normal 26 9 22" xfId="16274" xr:uid="{00000000-0005-0000-0000-0000E54D0000}"/>
    <cellStyle name="Normal 26 9 23" xfId="17299" xr:uid="{00000000-0005-0000-0000-0000E64D0000}"/>
    <cellStyle name="Normal 26 9 24" xfId="13556" xr:uid="{00000000-0005-0000-0000-0000E74D0000}"/>
    <cellStyle name="Normal 26 9 25" xfId="15607" xr:uid="{00000000-0005-0000-0000-0000E84D0000}"/>
    <cellStyle name="Normal 26 9 26" xfId="14462" xr:uid="{00000000-0005-0000-0000-0000E94D0000}"/>
    <cellStyle name="Normal 26 9 27" xfId="13854" xr:uid="{00000000-0005-0000-0000-0000EA4D0000}"/>
    <cellStyle name="Normal 26 9 28" xfId="12308" xr:uid="{00000000-0005-0000-0000-0000EB4D0000}"/>
    <cellStyle name="Normal 26 9 29" xfId="9438" xr:uid="{00000000-0005-0000-0000-0000EC4D0000}"/>
    <cellStyle name="Normal 26 9 3" xfId="27241" xr:uid="{00000000-0005-0000-0000-0000ED4D0000}"/>
    <cellStyle name="Normal 26 9 30" xfId="6348" xr:uid="{00000000-0005-0000-0000-0000EE4D0000}"/>
    <cellStyle name="Normal 26 9 31" xfId="11485" xr:uid="{00000000-0005-0000-0000-0000EF4D0000}"/>
    <cellStyle name="Normal 26 9 32" xfId="7905" xr:uid="{00000000-0005-0000-0000-0000F04D0000}"/>
    <cellStyle name="Normal 26 9 33" xfId="5144" xr:uid="{00000000-0005-0000-0000-0000F14D0000}"/>
    <cellStyle name="Normal 26 9 34" xfId="4827" xr:uid="{00000000-0005-0000-0000-0000F24D0000}"/>
    <cellStyle name="Normal 26 9 35" xfId="7036" xr:uid="{00000000-0005-0000-0000-0000F34D0000}"/>
    <cellStyle name="Normal 26 9 36" xfId="9242" xr:uid="{00000000-0005-0000-0000-0000F44D0000}"/>
    <cellStyle name="Normal 26 9 37" xfId="4589" xr:uid="{00000000-0005-0000-0000-0000F54D0000}"/>
    <cellStyle name="Normal 26 9 38" xfId="6366" xr:uid="{00000000-0005-0000-0000-0000F64D0000}"/>
    <cellStyle name="Normal 26 9 39" xfId="3702" xr:uid="{00000000-0005-0000-0000-0000F74D0000}"/>
    <cellStyle name="Normal 26 9 4" xfId="26644" xr:uid="{00000000-0005-0000-0000-0000F84D0000}"/>
    <cellStyle name="Normal 26 9 40" xfId="7288" xr:uid="{00000000-0005-0000-0000-0000F94D0000}"/>
    <cellStyle name="Normal 26 9 41" xfId="6248" xr:uid="{00000000-0005-0000-0000-0000FA4D0000}"/>
    <cellStyle name="Normal 26 9 42" xfId="6377" xr:uid="{00000000-0005-0000-0000-0000FB4D0000}"/>
    <cellStyle name="Normal 26 9 43" xfId="10540" xr:uid="{00000000-0005-0000-0000-0000FC4D0000}"/>
    <cellStyle name="Normal 26 9 44" xfId="2909" xr:uid="{00000000-0005-0000-0000-0000FD4D0000}"/>
    <cellStyle name="Normal 26 9 45" xfId="2666" xr:uid="{00000000-0005-0000-0000-0000FE4D0000}"/>
    <cellStyle name="Normal 26 9 46" xfId="2426" xr:uid="{00000000-0005-0000-0000-0000FF4D0000}"/>
    <cellStyle name="Normal 26 9 47" xfId="2186" xr:uid="{00000000-0005-0000-0000-0000004E0000}"/>
    <cellStyle name="Normal 26 9 48" xfId="1946" xr:uid="{00000000-0005-0000-0000-0000014E0000}"/>
    <cellStyle name="Normal 26 9 49" xfId="1706" xr:uid="{00000000-0005-0000-0000-0000024E0000}"/>
    <cellStyle name="Normal 26 9 5" xfId="26048" xr:uid="{00000000-0005-0000-0000-0000034E0000}"/>
    <cellStyle name="Normal 26 9 50" xfId="1467" xr:uid="{00000000-0005-0000-0000-0000044E0000}"/>
    <cellStyle name="Normal 26 9 51" xfId="1227" xr:uid="{00000000-0005-0000-0000-0000054E0000}"/>
    <cellStyle name="Normal 26 9 52" xfId="987" xr:uid="{00000000-0005-0000-0000-0000064E0000}"/>
    <cellStyle name="Normal 26 9 53" xfId="747" xr:uid="{00000000-0005-0000-0000-0000074E0000}"/>
    <cellStyle name="Normal 26 9 54" xfId="507" xr:uid="{00000000-0005-0000-0000-0000084E0000}"/>
    <cellStyle name="Normal 26 9 55" xfId="268" xr:uid="{00000000-0005-0000-0000-0000094E0000}"/>
    <cellStyle name="Normal 26 9 56" xfId="30" xr:uid="{00000000-0005-0000-0000-00000A4E0000}"/>
    <cellStyle name="Normal 26 9 6" xfId="25452" xr:uid="{00000000-0005-0000-0000-00000B4E0000}"/>
    <cellStyle name="Normal 26 9 7" xfId="24855" xr:uid="{00000000-0005-0000-0000-00000C4E0000}"/>
    <cellStyle name="Normal 26 9 8" xfId="24258" xr:uid="{00000000-0005-0000-0000-00000D4E0000}"/>
    <cellStyle name="Normal 26 9 9" xfId="23661" xr:uid="{00000000-0005-0000-0000-00000E4E0000}"/>
    <cellStyle name="Normal 27" xfId="24669" xr:uid="{00000000-0005-0000-0000-00000F4E0000}"/>
    <cellStyle name="Normal 28" xfId="24072" xr:uid="{00000000-0005-0000-0000-0000104E0000}"/>
    <cellStyle name="Normal 29" xfId="23475" xr:uid="{00000000-0005-0000-0000-0000114E0000}"/>
    <cellStyle name="Normal 3" xfId="28437" xr:uid="{00000000-0005-0000-0000-0000124E0000}"/>
    <cellStyle name="Normal 3 10" xfId="28436" xr:uid="{00000000-0005-0000-0000-0000134E0000}"/>
    <cellStyle name="Normal 3 10 10" xfId="23062" xr:uid="{00000000-0005-0000-0000-0000144E0000}"/>
    <cellStyle name="Normal 3 10 11" xfId="22465" xr:uid="{00000000-0005-0000-0000-0000154E0000}"/>
    <cellStyle name="Normal 3 10 12" xfId="21869" xr:uid="{00000000-0005-0000-0000-0000164E0000}"/>
    <cellStyle name="Normal 3 10 13" xfId="21272" xr:uid="{00000000-0005-0000-0000-0000174E0000}"/>
    <cellStyle name="Normal 3 10 14" xfId="20675" xr:uid="{00000000-0005-0000-0000-0000184E0000}"/>
    <cellStyle name="Normal 3 10 15" xfId="20078" xr:uid="{00000000-0005-0000-0000-0000194E0000}"/>
    <cellStyle name="Normal 3 10 16" xfId="19482" xr:uid="{00000000-0005-0000-0000-00001A4E0000}"/>
    <cellStyle name="Normal 3 10 17" xfId="18886" xr:uid="{00000000-0005-0000-0000-00001B4E0000}"/>
    <cellStyle name="Normal 3 10 18" xfId="18294" xr:uid="{00000000-0005-0000-0000-00001C4E0000}"/>
    <cellStyle name="Normal 3 10 19" xfId="17697" xr:uid="{00000000-0005-0000-0000-00001D4E0000}"/>
    <cellStyle name="Normal 3 10 2" xfId="27836" xr:uid="{00000000-0005-0000-0000-00001E4E0000}"/>
    <cellStyle name="Normal 3 10 20" xfId="17332" xr:uid="{00000000-0005-0000-0000-00001F4E0000}"/>
    <cellStyle name="Normal 3 10 21" xfId="16188" xr:uid="{00000000-0005-0000-0000-0000204E0000}"/>
    <cellStyle name="Normal 3 10 22" xfId="17489" xr:uid="{00000000-0005-0000-0000-0000214E0000}"/>
    <cellStyle name="Normal 3 10 23" xfId="13748" xr:uid="{00000000-0005-0000-0000-0000224E0000}"/>
    <cellStyle name="Normal 3 10 24" xfId="13437" xr:uid="{00000000-0005-0000-0000-0000234E0000}"/>
    <cellStyle name="Normal 3 10 25" xfId="16488" xr:uid="{00000000-0005-0000-0000-0000244E0000}"/>
    <cellStyle name="Normal 3 10 26" xfId="16002" xr:uid="{00000000-0005-0000-0000-0000254E0000}"/>
    <cellStyle name="Normal 3 10 27" xfId="12725" xr:uid="{00000000-0005-0000-0000-0000264E0000}"/>
    <cellStyle name="Normal 3 10 28" xfId="12306" xr:uid="{00000000-0005-0000-0000-0000274E0000}"/>
    <cellStyle name="Normal 3 10 29" xfId="9889" xr:uid="{00000000-0005-0000-0000-0000284E0000}"/>
    <cellStyle name="Normal 3 10 3" xfId="27239" xr:uid="{00000000-0005-0000-0000-0000294E0000}"/>
    <cellStyle name="Normal 3 10 30" xfId="7927" xr:uid="{00000000-0005-0000-0000-00002A4E0000}"/>
    <cellStyle name="Normal 3 10 31" xfId="10980" xr:uid="{00000000-0005-0000-0000-00002B4E0000}"/>
    <cellStyle name="Normal 3 10 32" xfId="5473" xr:uid="{00000000-0005-0000-0000-00002C4E0000}"/>
    <cellStyle name="Normal 3 10 33" xfId="8375" xr:uid="{00000000-0005-0000-0000-00002D4E0000}"/>
    <cellStyle name="Normal 3 10 34" xfId="6381" xr:uid="{00000000-0005-0000-0000-00002E4E0000}"/>
    <cellStyle name="Normal 3 10 35" xfId="6871" xr:uid="{00000000-0005-0000-0000-00002F4E0000}"/>
    <cellStyle name="Normal 3 10 36" xfId="9957" xr:uid="{00000000-0005-0000-0000-0000304E0000}"/>
    <cellStyle name="Normal 3 10 37" xfId="4669" xr:uid="{00000000-0005-0000-0000-0000314E0000}"/>
    <cellStyle name="Normal 3 10 38" xfId="5369" xr:uid="{00000000-0005-0000-0000-0000324E0000}"/>
    <cellStyle name="Normal 3 10 39" xfId="4201" xr:uid="{00000000-0005-0000-0000-0000334E0000}"/>
    <cellStyle name="Normal 3 10 4" xfId="26642" xr:uid="{00000000-0005-0000-0000-0000344E0000}"/>
    <cellStyle name="Normal 3 10 40" xfId="3291" xr:uid="{00000000-0005-0000-0000-0000354E0000}"/>
    <cellStyle name="Normal 3 10 41" xfId="3452" xr:uid="{00000000-0005-0000-0000-0000364E0000}"/>
    <cellStyle name="Normal 3 10 42" xfId="12009" xr:uid="{00000000-0005-0000-0000-0000374E0000}"/>
    <cellStyle name="Normal 3 10 43" xfId="3243" xr:uid="{00000000-0005-0000-0000-0000384E0000}"/>
    <cellStyle name="Normal 3 10 44" xfId="2908" xr:uid="{00000000-0005-0000-0000-0000394E0000}"/>
    <cellStyle name="Normal 3 10 45" xfId="2665" xr:uid="{00000000-0005-0000-0000-00003A4E0000}"/>
    <cellStyle name="Normal 3 10 46" xfId="2425" xr:uid="{00000000-0005-0000-0000-00003B4E0000}"/>
    <cellStyle name="Normal 3 10 47" xfId="2185" xr:uid="{00000000-0005-0000-0000-00003C4E0000}"/>
    <cellStyle name="Normal 3 10 48" xfId="1945" xr:uid="{00000000-0005-0000-0000-00003D4E0000}"/>
    <cellStyle name="Normal 3 10 49" xfId="1705" xr:uid="{00000000-0005-0000-0000-00003E4E0000}"/>
    <cellStyle name="Normal 3 10 5" xfId="26046" xr:uid="{00000000-0005-0000-0000-00003F4E0000}"/>
    <cellStyle name="Normal 3 10 50" xfId="1466" xr:uid="{00000000-0005-0000-0000-0000404E0000}"/>
    <cellStyle name="Normal 3 10 51" xfId="1226" xr:uid="{00000000-0005-0000-0000-0000414E0000}"/>
    <cellStyle name="Normal 3 10 52" xfId="986" xr:uid="{00000000-0005-0000-0000-0000424E0000}"/>
    <cellStyle name="Normal 3 10 53" xfId="746" xr:uid="{00000000-0005-0000-0000-0000434E0000}"/>
    <cellStyle name="Normal 3 10 54" xfId="506" xr:uid="{00000000-0005-0000-0000-0000444E0000}"/>
    <cellStyle name="Normal 3 10 55" xfId="267" xr:uid="{00000000-0005-0000-0000-0000454E0000}"/>
    <cellStyle name="Normal 3 10 56" xfId="29" xr:uid="{00000000-0005-0000-0000-0000464E0000}"/>
    <cellStyle name="Normal 3 10 6" xfId="25450" xr:uid="{00000000-0005-0000-0000-0000474E0000}"/>
    <cellStyle name="Normal 3 10 7" xfId="24853" xr:uid="{00000000-0005-0000-0000-0000484E0000}"/>
    <cellStyle name="Normal 3 10 8" xfId="24256" xr:uid="{00000000-0005-0000-0000-0000494E0000}"/>
    <cellStyle name="Normal 3 10 9" xfId="23659" xr:uid="{00000000-0005-0000-0000-00004A4E0000}"/>
    <cellStyle name="Normal 3 11" xfId="28435" xr:uid="{00000000-0005-0000-0000-00004B4E0000}"/>
    <cellStyle name="Normal 3 11 10" xfId="23061" xr:uid="{00000000-0005-0000-0000-00004C4E0000}"/>
    <cellStyle name="Normal 3 11 11" xfId="22464" xr:uid="{00000000-0005-0000-0000-00004D4E0000}"/>
    <cellStyle name="Normal 3 11 12" xfId="21868" xr:uid="{00000000-0005-0000-0000-00004E4E0000}"/>
    <cellStyle name="Normal 3 11 13" xfId="21271" xr:uid="{00000000-0005-0000-0000-00004F4E0000}"/>
    <cellStyle name="Normal 3 11 14" xfId="20674" xr:uid="{00000000-0005-0000-0000-0000504E0000}"/>
    <cellStyle name="Normal 3 11 15" xfId="20077" xr:uid="{00000000-0005-0000-0000-0000514E0000}"/>
    <cellStyle name="Normal 3 11 16" xfId="19481" xr:uid="{00000000-0005-0000-0000-0000524E0000}"/>
    <cellStyle name="Normal 3 11 17" xfId="18885" xr:uid="{00000000-0005-0000-0000-0000534E0000}"/>
    <cellStyle name="Normal 3 11 18" xfId="18293" xr:uid="{00000000-0005-0000-0000-0000544E0000}"/>
    <cellStyle name="Normal 3 11 19" xfId="17696" xr:uid="{00000000-0005-0000-0000-0000554E0000}"/>
    <cellStyle name="Normal 3 11 2" xfId="27835" xr:uid="{00000000-0005-0000-0000-0000564E0000}"/>
    <cellStyle name="Normal 3 11 20" xfId="14165" xr:uid="{00000000-0005-0000-0000-0000574E0000}"/>
    <cellStyle name="Normal 3 11 21" xfId="15765" xr:uid="{00000000-0005-0000-0000-0000584E0000}"/>
    <cellStyle name="Normal 3 11 22" xfId="14304" xr:uid="{00000000-0005-0000-0000-0000594E0000}"/>
    <cellStyle name="Normal 3 11 23" xfId="17197" xr:uid="{00000000-0005-0000-0000-00005A4E0000}"/>
    <cellStyle name="Normal 3 11 24" xfId="13733" xr:uid="{00000000-0005-0000-0000-00005B4E0000}"/>
    <cellStyle name="Normal 3 11 25" xfId="13275" xr:uid="{00000000-0005-0000-0000-00005C4E0000}"/>
    <cellStyle name="Normal 3 11 26" xfId="16395" xr:uid="{00000000-0005-0000-0000-00005D4E0000}"/>
    <cellStyle name="Normal 3 11 27" xfId="12744" xr:uid="{00000000-0005-0000-0000-00005E4E0000}"/>
    <cellStyle name="Normal 3 11 28" xfId="12305" xr:uid="{00000000-0005-0000-0000-00005F4E0000}"/>
    <cellStyle name="Normal 3 11 29" xfId="10124" xr:uid="{00000000-0005-0000-0000-0000604E0000}"/>
    <cellStyle name="Normal 3 11 3" xfId="27238" xr:uid="{00000000-0005-0000-0000-0000614E0000}"/>
    <cellStyle name="Normal 3 11 30" xfId="6733" xr:uid="{00000000-0005-0000-0000-0000624E0000}"/>
    <cellStyle name="Normal 3 11 31" xfId="6605" xr:uid="{00000000-0005-0000-0000-0000634E0000}"/>
    <cellStyle name="Normal 3 11 32" xfId="10905" xr:uid="{00000000-0005-0000-0000-0000644E0000}"/>
    <cellStyle name="Normal 3 11 33" xfId="7968" xr:uid="{00000000-0005-0000-0000-0000654E0000}"/>
    <cellStyle name="Normal 3 11 34" xfId="7918" xr:uid="{00000000-0005-0000-0000-0000664E0000}"/>
    <cellStyle name="Normal 3 11 35" xfId="4637" xr:uid="{00000000-0005-0000-0000-0000674E0000}"/>
    <cellStyle name="Normal 3 11 36" xfId="8560" xr:uid="{00000000-0005-0000-0000-0000684E0000}"/>
    <cellStyle name="Normal 3 11 37" xfId="3997" xr:uid="{00000000-0005-0000-0000-0000694E0000}"/>
    <cellStyle name="Normal 3 11 38" xfId="5687" xr:uid="{00000000-0005-0000-0000-00006A4E0000}"/>
    <cellStyle name="Normal 3 11 39" xfId="3624" xr:uid="{00000000-0005-0000-0000-00006B4E0000}"/>
    <cellStyle name="Normal 3 11 4" xfId="26641" xr:uid="{00000000-0005-0000-0000-00006C4E0000}"/>
    <cellStyle name="Normal 3 11 40" xfId="3300" xr:uid="{00000000-0005-0000-0000-00006D4E0000}"/>
    <cellStyle name="Normal 3 11 41" xfId="10164" xr:uid="{00000000-0005-0000-0000-00006E4E0000}"/>
    <cellStyle name="Normal 3 11 42" xfId="4440" xr:uid="{00000000-0005-0000-0000-00006F4E0000}"/>
    <cellStyle name="Normal 3 11 43" xfId="3665" xr:uid="{00000000-0005-0000-0000-0000704E0000}"/>
    <cellStyle name="Normal 3 11 44" xfId="2907" xr:uid="{00000000-0005-0000-0000-0000714E0000}"/>
    <cellStyle name="Normal 3 11 45" xfId="2664" xr:uid="{00000000-0005-0000-0000-0000724E0000}"/>
    <cellStyle name="Normal 3 11 46" xfId="2424" xr:uid="{00000000-0005-0000-0000-0000734E0000}"/>
    <cellStyle name="Normal 3 11 47" xfId="2184" xr:uid="{00000000-0005-0000-0000-0000744E0000}"/>
    <cellStyle name="Normal 3 11 48" xfId="1944" xr:uid="{00000000-0005-0000-0000-0000754E0000}"/>
    <cellStyle name="Normal 3 11 49" xfId="1704" xr:uid="{00000000-0005-0000-0000-0000764E0000}"/>
    <cellStyle name="Normal 3 11 5" xfId="26045" xr:uid="{00000000-0005-0000-0000-0000774E0000}"/>
    <cellStyle name="Normal 3 11 50" xfId="1465" xr:uid="{00000000-0005-0000-0000-0000784E0000}"/>
    <cellStyle name="Normal 3 11 51" xfId="1225" xr:uid="{00000000-0005-0000-0000-0000794E0000}"/>
    <cellStyle name="Normal 3 11 52" xfId="985" xr:uid="{00000000-0005-0000-0000-00007A4E0000}"/>
    <cellStyle name="Normal 3 11 53" xfId="745" xr:uid="{00000000-0005-0000-0000-00007B4E0000}"/>
    <cellStyle name="Normal 3 11 54" xfId="505" xr:uid="{00000000-0005-0000-0000-00007C4E0000}"/>
    <cellStyle name="Normal 3 11 55" xfId="266" xr:uid="{00000000-0005-0000-0000-00007D4E0000}"/>
    <cellStyle name="Normal 3 11 56" xfId="28" xr:uid="{00000000-0005-0000-0000-00007E4E0000}"/>
    <cellStyle name="Normal 3 11 6" xfId="25449" xr:uid="{00000000-0005-0000-0000-00007F4E0000}"/>
    <cellStyle name="Normal 3 11 7" xfId="24852" xr:uid="{00000000-0005-0000-0000-0000804E0000}"/>
    <cellStyle name="Normal 3 11 8" xfId="24255" xr:uid="{00000000-0005-0000-0000-0000814E0000}"/>
    <cellStyle name="Normal 3 11 9" xfId="23658" xr:uid="{00000000-0005-0000-0000-0000824E0000}"/>
    <cellStyle name="Normal 3 12" xfId="28434" xr:uid="{00000000-0005-0000-0000-0000834E0000}"/>
    <cellStyle name="Normal 3 12 10" xfId="23060" xr:uid="{00000000-0005-0000-0000-0000844E0000}"/>
    <cellStyle name="Normal 3 12 11" xfId="22463" xr:uid="{00000000-0005-0000-0000-0000854E0000}"/>
    <cellStyle name="Normal 3 12 12" xfId="21867" xr:uid="{00000000-0005-0000-0000-0000864E0000}"/>
    <cellStyle name="Normal 3 12 13" xfId="21270" xr:uid="{00000000-0005-0000-0000-0000874E0000}"/>
    <cellStyle name="Normal 3 12 14" xfId="20673" xr:uid="{00000000-0005-0000-0000-0000884E0000}"/>
    <cellStyle name="Normal 3 12 15" xfId="20076" xr:uid="{00000000-0005-0000-0000-0000894E0000}"/>
    <cellStyle name="Normal 3 12 16" xfId="19480" xr:uid="{00000000-0005-0000-0000-00008A4E0000}"/>
    <cellStyle name="Normal 3 12 17" xfId="18884" xr:uid="{00000000-0005-0000-0000-00008B4E0000}"/>
    <cellStyle name="Normal 3 12 18" xfId="18292" xr:uid="{00000000-0005-0000-0000-00008C4E0000}"/>
    <cellStyle name="Normal 3 12 19" xfId="17695" xr:uid="{00000000-0005-0000-0000-00008D4E0000}"/>
    <cellStyle name="Normal 3 12 2" xfId="27834" xr:uid="{00000000-0005-0000-0000-00008E4E0000}"/>
    <cellStyle name="Normal 3 12 20" xfId="14354" xr:uid="{00000000-0005-0000-0000-00008F4E0000}"/>
    <cellStyle name="Normal 3 12 21" xfId="13976" xr:uid="{00000000-0005-0000-0000-0000904E0000}"/>
    <cellStyle name="Normal 3 12 22" xfId="14517" xr:uid="{00000000-0005-0000-0000-0000914E0000}"/>
    <cellStyle name="Normal 3 12 23" xfId="16309" xr:uid="{00000000-0005-0000-0000-0000924E0000}"/>
    <cellStyle name="Normal 3 12 24" xfId="13917" xr:uid="{00000000-0005-0000-0000-0000934E0000}"/>
    <cellStyle name="Normal 3 12 25" xfId="13738" xr:uid="{00000000-0005-0000-0000-0000944E0000}"/>
    <cellStyle name="Normal 3 12 26" xfId="16446" xr:uid="{00000000-0005-0000-0000-0000954E0000}"/>
    <cellStyle name="Normal 3 12 27" xfId="15065" xr:uid="{00000000-0005-0000-0000-0000964E0000}"/>
    <cellStyle name="Normal 3 12 28" xfId="12304" xr:uid="{00000000-0005-0000-0000-0000974E0000}"/>
    <cellStyle name="Normal 3 12 29" xfId="10351" xr:uid="{00000000-0005-0000-0000-0000984E0000}"/>
    <cellStyle name="Normal 3 12 3" xfId="27237" xr:uid="{00000000-0005-0000-0000-0000994E0000}"/>
    <cellStyle name="Normal 3 12 30" xfId="7130" xr:uid="{00000000-0005-0000-0000-00009A4E0000}"/>
    <cellStyle name="Normal 3 12 31" xfId="10187" xr:uid="{00000000-0005-0000-0000-00009B4E0000}"/>
    <cellStyle name="Normal 3 12 32" xfId="7429" xr:uid="{00000000-0005-0000-0000-00009C4E0000}"/>
    <cellStyle name="Normal 3 12 33" xfId="7713" xr:uid="{00000000-0005-0000-0000-00009D4E0000}"/>
    <cellStyle name="Normal 3 12 34" xfId="11394" xr:uid="{00000000-0005-0000-0000-00009E4E0000}"/>
    <cellStyle name="Normal 3 12 35" xfId="9901" xr:uid="{00000000-0005-0000-0000-00009F4E0000}"/>
    <cellStyle name="Normal 3 12 36" xfId="7420" xr:uid="{00000000-0005-0000-0000-0000A04E0000}"/>
    <cellStyle name="Normal 3 12 37" xfId="5957" xr:uid="{00000000-0005-0000-0000-0000A14E0000}"/>
    <cellStyle name="Normal 3 12 38" xfId="10529" xr:uid="{00000000-0005-0000-0000-0000A24E0000}"/>
    <cellStyle name="Normal 3 12 39" xfId="4435" xr:uid="{00000000-0005-0000-0000-0000A34E0000}"/>
    <cellStyle name="Normal 3 12 4" xfId="26640" xr:uid="{00000000-0005-0000-0000-0000A44E0000}"/>
    <cellStyle name="Normal 3 12 40" xfId="4208" xr:uid="{00000000-0005-0000-0000-0000A54E0000}"/>
    <cellStyle name="Normal 3 12 41" xfId="5763" xr:uid="{00000000-0005-0000-0000-0000A64E0000}"/>
    <cellStyle name="Normal 3 12 42" xfId="10492" xr:uid="{00000000-0005-0000-0000-0000A74E0000}"/>
    <cellStyle name="Normal 3 12 43" xfId="11360" xr:uid="{00000000-0005-0000-0000-0000A84E0000}"/>
    <cellStyle name="Normal 3 12 5" xfId="26044" xr:uid="{00000000-0005-0000-0000-0000A94E0000}"/>
    <cellStyle name="Normal 3 12 6" xfId="25448" xr:uid="{00000000-0005-0000-0000-0000AA4E0000}"/>
    <cellStyle name="Normal 3 12 7" xfId="24851" xr:uid="{00000000-0005-0000-0000-0000AB4E0000}"/>
    <cellStyle name="Normal 3 12 8" xfId="24254" xr:uid="{00000000-0005-0000-0000-0000AC4E0000}"/>
    <cellStyle name="Normal 3 12 9" xfId="23657" xr:uid="{00000000-0005-0000-0000-0000AD4E0000}"/>
    <cellStyle name="Normal 3 13" xfId="28433" xr:uid="{00000000-0005-0000-0000-0000AE4E0000}"/>
    <cellStyle name="Normal 3 13 10" xfId="23059" xr:uid="{00000000-0005-0000-0000-0000AF4E0000}"/>
    <cellStyle name="Normal 3 13 11" xfId="22462" xr:uid="{00000000-0005-0000-0000-0000B04E0000}"/>
    <cellStyle name="Normal 3 13 12" xfId="21866" xr:uid="{00000000-0005-0000-0000-0000B14E0000}"/>
    <cellStyle name="Normal 3 13 13" xfId="21269" xr:uid="{00000000-0005-0000-0000-0000B24E0000}"/>
    <cellStyle name="Normal 3 13 14" xfId="20672" xr:uid="{00000000-0005-0000-0000-0000B34E0000}"/>
    <cellStyle name="Normal 3 13 15" xfId="20075" xr:uid="{00000000-0005-0000-0000-0000B44E0000}"/>
    <cellStyle name="Normal 3 13 16" xfId="19479" xr:uid="{00000000-0005-0000-0000-0000B54E0000}"/>
    <cellStyle name="Normal 3 13 17" xfId="18883" xr:uid="{00000000-0005-0000-0000-0000B64E0000}"/>
    <cellStyle name="Normal 3 13 18" xfId="18291" xr:uid="{00000000-0005-0000-0000-0000B74E0000}"/>
    <cellStyle name="Normal 3 13 19" xfId="17694" xr:uid="{00000000-0005-0000-0000-0000B84E0000}"/>
    <cellStyle name="Normal 3 13 2" xfId="27833" xr:uid="{00000000-0005-0000-0000-0000B94E0000}"/>
    <cellStyle name="Normal 3 13 20" xfId="14545" xr:uid="{00000000-0005-0000-0000-0000BA4E0000}"/>
    <cellStyle name="Normal 3 13 21" xfId="15126" xr:uid="{00000000-0005-0000-0000-0000BB4E0000}"/>
    <cellStyle name="Normal 3 13 22" xfId="15579" xr:uid="{00000000-0005-0000-0000-0000BC4E0000}"/>
    <cellStyle name="Normal 3 13 23" xfId="14473" xr:uid="{00000000-0005-0000-0000-0000BD4E0000}"/>
    <cellStyle name="Normal 3 13 24" xfId="13392" xr:uid="{00000000-0005-0000-0000-0000BE4E0000}"/>
    <cellStyle name="Normal 3 13 25" xfId="15464" xr:uid="{00000000-0005-0000-0000-0000BF4E0000}"/>
    <cellStyle name="Normal 3 13 26" xfId="14000" xr:uid="{00000000-0005-0000-0000-0000C04E0000}"/>
    <cellStyle name="Normal 3 13 27" xfId="12741" xr:uid="{00000000-0005-0000-0000-0000C14E0000}"/>
    <cellStyle name="Normal 3 13 28" xfId="12303" xr:uid="{00000000-0005-0000-0000-0000C24E0000}"/>
    <cellStyle name="Normal 3 13 29" xfId="10580" xr:uid="{00000000-0005-0000-0000-0000C34E0000}"/>
    <cellStyle name="Normal 3 13 3" xfId="27236" xr:uid="{00000000-0005-0000-0000-0000C44E0000}"/>
    <cellStyle name="Normal 3 13 30" xfId="6877" xr:uid="{00000000-0005-0000-0000-0000C54E0000}"/>
    <cellStyle name="Normal 3 13 31" xfId="10837" xr:uid="{00000000-0005-0000-0000-0000C64E0000}"/>
    <cellStyle name="Normal 3 13 32" xfId="11593" xr:uid="{00000000-0005-0000-0000-0000C74E0000}"/>
    <cellStyle name="Normal 3 13 33" xfId="5614" xr:uid="{00000000-0005-0000-0000-0000C84E0000}"/>
    <cellStyle name="Normal 3 13 34" xfId="9285" xr:uid="{00000000-0005-0000-0000-0000C94E0000}"/>
    <cellStyle name="Normal 3 13 35" xfId="6586" xr:uid="{00000000-0005-0000-0000-0000CA4E0000}"/>
    <cellStyle name="Normal 3 13 36" xfId="5012" xr:uid="{00000000-0005-0000-0000-0000CB4E0000}"/>
    <cellStyle name="Normal 3 13 37" xfId="4004" xr:uid="{00000000-0005-0000-0000-0000CC4E0000}"/>
    <cellStyle name="Normal 3 13 38" xfId="4350" xr:uid="{00000000-0005-0000-0000-0000CD4E0000}"/>
    <cellStyle name="Normal 3 13 39" xfId="4658" xr:uid="{00000000-0005-0000-0000-0000CE4E0000}"/>
    <cellStyle name="Normal 3 13 4" xfId="26639" xr:uid="{00000000-0005-0000-0000-0000CF4E0000}"/>
    <cellStyle name="Normal 3 13 40" xfId="4906" xr:uid="{00000000-0005-0000-0000-0000D04E0000}"/>
    <cellStyle name="Normal 3 13 41" xfId="11432" xr:uid="{00000000-0005-0000-0000-0000D14E0000}"/>
    <cellStyle name="Normal 3 13 42" xfId="4251" xr:uid="{00000000-0005-0000-0000-0000D24E0000}"/>
    <cellStyle name="Normal 3 13 43" xfId="5927" xr:uid="{00000000-0005-0000-0000-0000D34E0000}"/>
    <cellStyle name="Normal 3 13 5" xfId="26043" xr:uid="{00000000-0005-0000-0000-0000D44E0000}"/>
    <cellStyle name="Normal 3 13 6" xfId="25447" xr:uid="{00000000-0005-0000-0000-0000D54E0000}"/>
    <cellStyle name="Normal 3 13 7" xfId="24850" xr:uid="{00000000-0005-0000-0000-0000D64E0000}"/>
    <cellStyle name="Normal 3 13 8" xfId="24253" xr:uid="{00000000-0005-0000-0000-0000D74E0000}"/>
    <cellStyle name="Normal 3 13 9" xfId="23656" xr:uid="{00000000-0005-0000-0000-0000D84E0000}"/>
    <cellStyle name="Normal 3 14" xfId="28432" xr:uid="{00000000-0005-0000-0000-0000D94E0000}"/>
    <cellStyle name="Normal 3 14 10" xfId="23058" xr:uid="{00000000-0005-0000-0000-0000DA4E0000}"/>
    <cellStyle name="Normal 3 14 11" xfId="22461" xr:uid="{00000000-0005-0000-0000-0000DB4E0000}"/>
    <cellStyle name="Normal 3 14 12" xfId="21865" xr:uid="{00000000-0005-0000-0000-0000DC4E0000}"/>
    <cellStyle name="Normal 3 14 13" xfId="21268" xr:uid="{00000000-0005-0000-0000-0000DD4E0000}"/>
    <cellStyle name="Normal 3 14 14" xfId="20671" xr:uid="{00000000-0005-0000-0000-0000DE4E0000}"/>
    <cellStyle name="Normal 3 14 15" xfId="20074" xr:uid="{00000000-0005-0000-0000-0000DF4E0000}"/>
    <cellStyle name="Normal 3 14 16" xfId="19478" xr:uid="{00000000-0005-0000-0000-0000E04E0000}"/>
    <cellStyle name="Normal 3 14 17" xfId="18882" xr:uid="{00000000-0005-0000-0000-0000E14E0000}"/>
    <cellStyle name="Normal 3 14 18" xfId="18290" xr:uid="{00000000-0005-0000-0000-0000E24E0000}"/>
    <cellStyle name="Normal 3 14 19" xfId="17693" xr:uid="{00000000-0005-0000-0000-0000E34E0000}"/>
    <cellStyle name="Normal 3 14 2" xfId="27832" xr:uid="{00000000-0005-0000-0000-0000E44E0000}"/>
    <cellStyle name="Normal 3 14 20" xfId="14742" xr:uid="{00000000-0005-0000-0000-0000E54E0000}"/>
    <cellStyle name="Normal 3 14 21" xfId="15117" xr:uid="{00000000-0005-0000-0000-0000E64E0000}"/>
    <cellStyle name="Normal 3 14 22" xfId="15988" xr:uid="{00000000-0005-0000-0000-0000E74E0000}"/>
    <cellStyle name="Normal 3 14 23" xfId="14087" xr:uid="{00000000-0005-0000-0000-0000E84E0000}"/>
    <cellStyle name="Normal 3 14 24" xfId="14414" xr:uid="{00000000-0005-0000-0000-0000E94E0000}"/>
    <cellStyle name="Normal 3 14 25" xfId="14595" xr:uid="{00000000-0005-0000-0000-0000EA4E0000}"/>
    <cellStyle name="Normal 3 14 26" xfId="15481" xr:uid="{00000000-0005-0000-0000-0000EB4E0000}"/>
    <cellStyle name="Normal 3 14 27" xfId="16187" xr:uid="{00000000-0005-0000-0000-0000EC4E0000}"/>
    <cellStyle name="Normal 3 14 28" xfId="12302" xr:uid="{00000000-0005-0000-0000-0000ED4E0000}"/>
    <cellStyle name="Normal 3 14 29" xfId="10795" xr:uid="{00000000-0005-0000-0000-0000EE4E0000}"/>
    <cellStyle name="Normal 3 14 3" xfId="27235" xr:uid="{00000000-0005-0000-0000-0000EF4E0000}"/>
    <cellStyle name="Normal 3 14 30" xfId="8491" xr:uid="{00000000-0005-0000-0000-0000F04E0000}"/>
    <cellStyle name="Normal 3 14 31" xfId="6801" xr:uid="{00000000-0005-0000-0000-0000F14E0000}"/>
    <cellStyle name="Normal 3 14 32" xfId="9487" xr:uid="{00000000-0005-0000-0000-0000F24E0000}"/>
    <cellStyle name="Normal 3 14 33" xfId="8244" xr:uid="{00000000-0005-0000-0000-0000F34E0000}"/>
    <cellStyle name="Normal 3 14 34" xfId="11355" xr:uid="{00000000-0005-0000-0000-0000F44E0000}"/>
    <cellStyle name="Normal 3 14 35" xfId="6354" xr:uid="{00000000-0005-0000-0000-0000F54E0000}"/>
    <cellStyle name="Normal 3 14 36" xfId="9713" xr:uid="{00000000-0005-0000-0000-0000F64E0000}"/>
    <cellStyle name="Normal 3 14 37" xfId="3980" xr:uid="{00000000-0005-0000-0000-0000F74E0000}"/>
    <cellStyle name="Normal 3 14 38" xfId="11050" xr:uid="{00000000-0005-0000-0000-0000F84E0000}"/>
    <cellStyle name="Normal 3 14 39" xfId="10219" xr:uid="{00000000-0005-0000-0000-0000F94E0000}"/>
    <cellStyle name="Normal 3 14 4" xfId="26638" xr:uid="{00000000-0005-0000-0000-0000FA4E0000}"/>
    <cellStyle name="Normal 3 14 40" xfId="11419" xr:uid="{00000000-0005-0000-0000-0000FB4E0000}"/>
    <cellStyle name="Normal 3 14 41" xfId="7569" xr:uid="{00000000-0005-0000-0000-0000FC4E0000}"/>
    <cellStyle name="Normal 3 14 42" xfId="6985" xr:uid="{00000000-0005-0000-0000-0000FD4E0000}"/>
    <cellStyle name="Normal 3 14 43" xfId="7132" xr:uid="{00000000-0005-0000-0000-0000FE4E0000}"/>
    <cellStyle name="Normal 3 14 5" xfId="26042" xr:uid="{00000000-0005-0000-0000-0000FF4E0000}"/>
    <cellStyle name="Normal 3 14 6" xfId="25446" xr:uid="{00000000-0005-0000-0000-0000004F0000}"/>
    <cellStyle name="Normal 3 14 7" xfId="24849" xr:uid="{00000000-0005-0000-0000-0000014F0000}"/>
    <cellStyle name="Normal 3 14 8" xfId="24252" xr:uid="{00000000-0005-0000-0000-0000024F0000}"/>
    <cellStyle name="Normal 3 14 9" xfId="23655" xr:uid="{00000000-0005-0000-0000-0000034F0000}"/>
    <cellStyle name="Normal 3 15" xfId="28431" xr:uid="{00000000-0005-0000-0000-0000044F0000}"/>
    <cellStyle name="Normal 3 15 10" xfId="23057" xr:uid="{00000000-0005-0000-0000-0000054F0000}"/>
    <cellStyle name="Normal 3 15 11" xfId="22460" xr:uid="{00000000-0005-0000-0000-0000064F0000}"/>
    <cellStyle name="Normal 3 15 12" xfId="21864" xr:uid="{00000000-0005-0000-0000-0000074F0000}"/>
    <cellStyle name="Normal 3 15 13" xfId="21267" xr:uid="{00000000-0005-0000-0000-0000084F0000}"/>
    <cellStyle name="Normal 3 15 14" xfId="20670" xr:uid="{00000000-0005-0000-0000-0000094F0000}"/>
    <cellStyle name="Normal 3 15 15" xfId="20073" xr:uid="{00000000-0005-0000-0000-00000A4F0000}"/>
    <cellStyle name="Normal 3 15 16" xfId="19477" xr:uid="{00000000-0005-0000-0000-00000B4F0000}"/>
    <cellStyle name="Normal 3 15 17" xfId="18881" xr:uid="{00000000-0005-0000-0000-00000C4F0000}"/>
    <cellStyle name="Normal 3 15 18" xfId="18289" xr:uid="{00000000-0005-0000-0000-00000D4F0000}"/>
    <cellStyle name="Normal 3 15 19" xfId="17692" xr:uid="{00000000-0005-0000-0000-00000E4F0000}"/>
    <cellStyle name="Normal 3 15 2" xfId="27831" xr:uid="{00000000-0005-0000-0000-00000F4F0000}"/>
    <cellStyle name="Normal 3 15 20" xfId="14944" xr:uid="{00000000-0005-0000-0000-0000104F0000}"/>
    <cellStyle name="Normal 3 15 21" xfId="15108" xr:uid="{00000000-0005-0000-0000-0000114F0000}"/>
    <cellStyle name="Normal 3 15 22" xfId="16217" xr:uid="{00000000-0005-0000-0000-0000124F0000}"/>
    <cellStyle name="Normal 3 15 23" xfId="13607" xr:uid="{00000000-0005-0000-0000-0000134F0000}"/>
    <cellStyle name="Normal 3 15 24" xfId="16908" xr:uid="{00000000-0005-0000-0000-0000144F0000}"/>
    <cellStyle name="Normal 3 15 25" xfId="14023" xr:uid="{00000000-0005-0000-0000-0000154F0000}"/>
    <cellStyle name="Normal 3 15 26" xfId="17191" xr:uid="{00000000-0005-0000-0000-0000164F0000}"/>
    <cellStyle name="Normal 3 15 27" xfId="16201" xr:uid="{00000000-0005-0000-0000-0000174F0000}"/>
    <cellStyle name="Normal 3 15 28" xfId="12301" xr:uid="{00000000-0005-0000-0000-0000184F0000}"/>
    <cellStyle name="Normal 3 15 29" xfId="11014" xr:uid="{00000000-0005-0000-0000-0000194F0000}"/>
    <cellStyle name="Normal 3 15 3" xfId="27234" xr:uid="{00000000-0005-0000-0000-00001A4F0000}"/>
    <cellStyle name="Normal 3 15 30" xfId="6422" xr:uid="{00000000-0005-0000-0000-00001B4F0000}"/>
    <cellStyle name="Normal 3 15 31" xfId="11114" xr:uid="{00000000-0005-0000-0000-00001C4F0000}"/>
    <cellStyle name="Normal 3 15 32" xfId="9784" xr:uid="{00000000-0005-0000-0000-00001D4F0000}"/>
    <cellStyle name="Normal 3 15 33" xfId="5358" xr:uid="{00000000-0005-0000-0000-00001E4F0000}"/>
    <cellStyle name="Normal 3 15 34" xfId="7945" xr:uid="{00000000-0005-0000-0000-00001F4F0000}"/>
    <cellStyle name="Normal 3 15 35" xfId="9478" xr:uid="{00000000-0005-0000-0000-0000204F0000}"/>
    <cellStyle name="Normal 3 15 36" xfId="7644" xr:uid="{00000000-0005-0000-0000-0000214F0000}"/>
    <cellStyle name="Normal 3 15 37" xfId="7504" xr:uid="{00000000-0005-0000-0000-0000224F0000}"/>
    <cellStyle name="Normal 3 15 38" xfId="7549" xr:uid="{00000000-0005-0000-0000-0000234F0000}"/>
    <cellStyle name="Normal 3 15 39" xfId="6129" xr:uid="{00000000-0005-0000-0000-0000244F0000}"/>
    <cellStyle name="Normal 3 15 4" xfId="26637" xr:uid="{00000000-0005-0000-0000-0000254F0000}"/>
    <cellStyle name="Normal 3 15 40" xfId="10433" xr:uid="{00000000-0005-0000-0000-0000264F0000}"/>
    <cellStyle name="Normal 3 15 41" xfId="3465" xr:uid="{00000000-0005-0000-0000-0000274F0000}"/>
    <cellStyle name="Normal 3 15 42" xfId="11548" xr:uid="{00000000-0005-0000-0000-0000284F0000}"/>
    <cellStyle name="Normal 3 15 43" xfId="10774" xr:uid="{00000000-0005-0000-0000-0000294F0000}"/>
    <cellStyle name="Normal 3 15 5" xfId="26041" xr:uid="{00000000-0005-0000-0000-00002A4F0000}"/>
    <cellStyle name="Normal 3 15 6" xfId="25445" xr:uid="{00000000-0005-0000-0000-00002B4F0000}"/>
    <cellStyle name="Normal 3 15 7" xfId="24848" xr:uid="{00000000-0005-0000-0000-00002C4F0000}"/>
    <cellStyle name="Normal 3 15 8" xfId="24251" xr:uid="{00000000-0005-0000-0000-00002D4F0000}"/>
    <cellStyle name="Normal 3 15 9" xfId="23654" xr:uid="{00000000-0005-0000-0000-00002E4F0000}"/>
    <cellStyle name="Normal 3 16" xfId="28430" xr:uid="{00000000-0005-0000-0000-00002F4F0000}"/>
    <cellStyle name="Normal 3 16 10" xfId="23056" xr:uid="{00000000-0005-0000-0000-0000304F0000}"/>
    <cellStyle name="Normal 3 16 11" xfId="22459" xr:uid="{00000000-0005-0000-0000-0000314F0000}"/>
    <cellStyle name="Normal 3 16 12" xfId="21863" xr:uid="{00000000-0005-0000-0000-0000324F0000}"/>
    <cellStyle name="Normal 3 16 13" xfId="21266" xr:uid="{00000000-0005-0000-0000-0000334F0000}"/>
    <cellStyle name="Normal 3 16 14" xfId="20669" xr:uid="{00000000-0005-0000-0000-0000344F0000}"/>
    <cellStyle name="Normal 3 16 15" xfId="20072" xr:uid="{00000000-0005-0000-0000-0000354F0000}"/>
    <cellStyle name="Normal 3 16 16" xfId="19476" xr:uid="{00000000-0005-0000-0000-0000364F0000}"/>
    <cellStyle name="Normal 3 16 17" xfId="18880" xr:uid="{00000000-0005-0000-0000-0000374F0000}"/>
    <cellStyle name="Normal 3 16 18" xfId="18288" xr:uid="{00000000-0005-0000-0000-0000384F0000}"/>
    <cellStyle name="Normal 3 16 19" xfId="17691" xr:uid="{00000000-0005-0000-0000-0000394F0000}"/>
    <cellStyle name="Normal 3 16 2" xfId="27830" xr:uid="{00000000-0005-0000-0000-00003A4F0000}"/>
    <cellStyle name="Normal 3 16 20" xfId="15151" xr:uid="{00000000-0005-0000-0000-00003B4F0000}"/>
    <cellStyle name="Normal 3 16 21" xfId="14887" xr:uid="{00000000-0005-0000-0000-00003C4F0000}"/>
    <cellStyle name="Normal 3 16 22" xfId="17023" xr:uid="{00000000-0005-0000-0000-00003D4F0000}"/>
    <cellStyle name="Normal 3 16 23" xfId="16435" xr:uid="{00000000-0005-0000-0000-00003E4F0000}"/>
    <cellStyle name="Normal 3 16 24" xfId="17435" xr:uid="{00000000-0005-0000-0000-00003F4F0000}"/>
    <cellStyle name="Normal 3 16 25" xfId="13111" xr:uid="{00000000-0005-0000-0000-0000404F0000}"/>
    <cellStyle name="Normal 3 16 26" xfId="16180" xr:uid="{00000000-0005-0000-0000-0000414F0000}"/>
    <cellStyle name="Normal 3 16 27" xfId="13622" xr:uid="{00000000-0005-0000-0000-0000424F0000}"/>
    <cellStyle name="Normal 3 16 28" xfId="12300" xr:uid="{00000000-0005-0000-0000-0000434F0000}"/>
    <cellStyle name="Normal 3 16 29" xfId="11242" xr:uid="{00000000-0005-0000-0000-0000444F0000}"/>
    <cellStyle name="Normal 3 16 3" xfId="27233" xr:uid="{00000000-0005-0000-0000-0000454F0000}"/>
    <cellStyle name="Normal 3 16 30" xfId="10594" xr:uid="{00000000-0005-0000-0000-0000464F0000}"/>
    <cellStyle name="Normal 3 16 31" xfId="10225" xr:uid="{00000000-0005-0000-0000-0000474F0000}"/>
    <cellStyle name="Normal 3 16 32" xfId="8278" xr:uid="{00000000-0005-0000-0000-0000484F0000}"/>
    <cellStyle name="Normal 3 16 33" xfId="8945" xr:uid="{00000000-0005-0000-0000-0000494F0000}"/>
    <cellStyle name="Normal 3 16 34" xfId="8168" xr:uid="{00000000-0005-0000-0000-00004A4F0000}"/>
    <cellStyle name="Normal 3 16 35" xfId="8535" xr:uid="{00000000-0005-0000-0000-00004B4F0000}"/>
    <cellStyle name="Normal 3 16 36" xfId="4779" xr:uid="{00000000-0005-0000-0000-00004C4F0000}"/>
    <cellStyle name="Normal 3 16 37" xfId="3973" xr:uid="{00000000-0005-0000-0000-00004D4F0000}"/>
    <cellStyle name="Normal 3 16 38" xfId="3738" xr:uid="{00000000-0005-0000-0000-00004E4F0000}"/>
    <cellStyle name="Normal 3 16 39" xfId="7018" xr:uid="{00000000-0005-0000-0000-00004F4F0000}"/>
    <cellStyle name="Normal 3 16 4" xfId="26636" xr:uid="{00000000-0005-0000-0000-0000504F0000}"/>
    <cellStyle name="Normal 3 16 40" xfId="8029" xr:uid="{00000000-0005-0000-0000-0000514F0000}"/>
    <cellStyle name="Normal 3 16 41" xfId="3446" xr:uid="{00000000-0005-0000-0000-0000524F0000}"/>
    <cellStyle name="Normal 3 16 42" xfId="4666" xr:uid="{00000000-0005-0000-0000-0000534F0000}"/>
    <cellStyle name="Normal 3 16 43" xfId="5832" xr:uid="{00000000-0005-0000-0000-0000544F0000}"/>
    <cellStyle name="Normal 3 16 5" xfId="26040" xr:uid="{00000000-0005-0000-0000-0000554F0000}"/>
    <cellStyle name="Normal 3 16 6" xfId="25444" xr:uid="{00000000-0005-0000-0000-0000564F0000}"/>
    <cellStyle name="Normal 3 16 7" xfId="24847" xr:uid="{00000000-0005-0000-0000-0000574F0000}"/>
    <cellStyle name="Normal 3 16 8" xfId="24250" xr:uid="{00000000-0005-0000-0000-0000584F0000}"/>
    <cellStyle name="Normal 3 16 9" xfId="23653" xr:uid="{00000000-0005-0000-0000-0000594F0000}"/>
    <cellStyle name="Normal 3 17" xfId="28429" xr:uid="{00000000-0005-0000-0000-00005A4F0000}"/>
    <cellStyle name="Normal 3 17 10" xfId="23055" xr:uid="{00000000-0005-0000-0000-00005B4F0000}"/>
    <cellStyle name="Normal 3 17 11" xfId="22458" xr:uid="{00000000-0005-0000-0000-00005C4F0000}"/>
    <cellStyle name="Normal 3 17 12" xfId="21862" xr:uid="{00000000-0005-0000-0000-00005D4F0000}"/>
    <cellStyle name="Normal 3 17 13" xfId="21265" xr:uid="{00000000-0005-0000-0000-00005E4F0000}"/>
    <cellStyle name="Normal 3 17 14" xfId="20668" xr:uid="{00000000-0005-0000-0000-00005F4F0000}"/>
    <cellStyle name="Normal 3 17 15" xfId="20071" xr:uid="{00000000-0005-0000-0000-0000604F0000}"/>
    <cellStyle name="Normal 3 17 16" xfId="19475" xr:uid="{00000000-0005-0000-0000-0000614F0000}"/>
    <cellStyle name="Normal 3 17 17" xfId="18879" xr:uid="{00000000-0005-0000-0000-0000624F0000}"/>
    <cellStyle name="Normal 3 17 18" xfId="18287" xr:uid="{00000000-0005-0000-0000-0000634F0000}"/>
    <cellStyle name="Normal 3 17 19" xfId="17690" xr:uid="{00000000-0005-0000-0000-0000644F0000}"/>
    <cellStyle name="Normal 3 17 2" xfId="27829" xr:uid="{00000000-0005-0000-0000-0000654F0000}"/>
    <cellStyle name="Normal 3 17 20" xfId="15346" xr:uid="{00000000-0005-0000-0000-0000664F0000}"/>
    <cellStyle name="Normal 3 17 21" xfId="14877" xr:uid="{00000000-0005-0000-0000-0000674F0000}"/>
    <cellStyle name="Normal 3 17 22" xfId="16618" xr:uid="{00000000-0005-0000-0000-0000684F0000}"/>
    <cellStyle name="Normal 3 17 23" xfId="14273" xr:uid="{00000000-0005-0000-0000-0000694F0000}"/>
    <cellStyle name="Normal 3 17 24" xfId="15273" xr:uid="{00000000-0005-0000-0000-00006A4F0000}"/>
    <cellStyle name="Normal 3 17 25" xfId="13932" xr:uid="{00000000-0005-0000-0000-00006B4F0000}"/>
    <cellStyle name="Normal 3 17 26" xfId="14568" xr:uid="{00000000-0005-0000-0000-00006C4F0000}"/>
    <cellStyle name="Normal 3 17 27" xfId="13158" xr:uid="{00000000-0005-0000-0000-00006D4F0000}"/>
    <cellStyle name="Normal 3 17 28" xfId="12299" xr:uid="{00000000-0005-0000-0000-00006E4F0000}"/>
    <cellStyle name="Normal 3 17 29" xfId="11475" xr:uid="{00000000-0005-0000-0000-00006F4F0000}"/>
    <cellStyle name="Normal 3 17 3" xfId="27232" xr:uid="{00000000-0005-0000-0000-0000704F0000}"/>
    <cellStyle name="Normal 3 17 30" xfId="8901" xr:uid="{00000000-0005-0000-0000-0000714F0000}"/>
    <cellStyle name="Normal 3 17 31" xfId="9547" xr:uid="{00000000-0005-0000-0000-0000724F0000}"/>
    <cellStyle name="Normal 3 17 32" xfId="8218" xr:uid="{00000000-0005-0000-0000-0000734F0000}"/>
    <cellStyle name="Normal 3 17 33" xfId="8596" xr:uid="{00000000-0005-0000-0000-0000744F0000}"/>
    <cellStyle name="Normal 3 17 34" xfId="10975" xr:uid="{00000000-0005-0000-0000-0000754F0000}"/>
    <cellStyle name="Normal 3 17 35" xfId="10312" xr:uid="{00000000-0005-0000-0000-0000764F0000}"/>
    <cellStyle name="Normal 3 17 36" xfId="7583" xr:uid="{00000000-0005-0000-0000-0000774F0000}"/>
    <cellStyle name="Normal 3 17 37" xfId="7320" xr:uid="{00000000-0005-0000-0000-0000784F0000}"/>
    <cellStyle name="Normal 3 17 38" xfId="4130" xr:uid="{00000000-0005-0000-0000-0000794F0000}"/>
    <cellStyle name="Normal 3 17 39" xfId="10627" xr:uid="{00000000-0005-0000-0000-00007A4F0000}"/>
    <cellStyle name="Normal 3 17 4" xfId="26635" xr:uid="{00000000-0005-0000-0000-00007B4F0000}"/>
    <cellStyle name="Normal 3 17 40" xfId="9300" xr:uid="{00000000-0005-0000-0000-00007C4F0000}"/>
    <cellStyle name="Normal 3 17 41" xfId="4173" xr:uid="{00000000-0005-0000-0000-00007D4F0000}"/>
    <cellStyle name="Normal 3 17 42" xfId="8887" xr:uid="{00000000-0005-0000-0000-00007E4F0000}"/>
    <cellStyle name="Normal 3 17 43" xfId="3807" xr:uid="{00000000-0005-0000-0000-00007F4F0000}"/>
    <cellStyle name="Normal 3 17 5" xfId="26039" xr:uid="{00000000-0005-0000-0000-0000804F0000}"/>
    <cellStyle name="Normal 3 17 6" xfId="25443" xr:uid="{00000000-0005-0000-0000-0000814F0000}"/>
    <cellStyle name="Normal 3 17 7" xfId="24846" xr:uid="{00000000-0005-0000-0000-0000824F0000}"/>
    <cellStyle name="Normal 3 17 8" xfId="24249" xr:uid="{00000000-0005-0000-0000-0000834F0000}"/>
    <cellStyle name="Normal 3 17 9" xfId="23652" xr:uid="{00000000-0005-0000-0000-0000844F0000}"/>
    <cellStyle name="Normal 3 18" xfId="28428" xr:uid="{00000000-0005-0000-0000-0000854F0000}"/>
    <cellStyle name="Normal 3 18 10" xfId="23054" xr:uid="{00000000-0005-0000-0000-0000864F0000}"/>
    <cellStyle name="Normal 3 18 11" xfId="22457" xr:uid="{00000000-0005-0000-0000-0000874F0000}"/>
    <cellStyle name="Normal 3 18 12" xfId="21861" xr:uid="{00000000-0005-0000-0000-0000884F0000}"/>
    <cellStyle name="Normal 3 18 13" xfId="21264" xr:uid="{00000000-0005-0000-0000-0000894F0000}"/>
    <cellStyle name="Normal 3 18 14" xfId="20667" xr:uid="{00000000-0005-0000-0000-00008A4F0000}"/>
    <cellStyle name="Normal 3 18 15" xfId="20070" xr:uid="{00000000-0005-0000-0000-00008B4F0000}"/>
    <cellStyle name="Normal 3 18 16" xfId="19474" xr:uid="{00000000-0005-0000-0000-00008C4F0000}"/>
    <cellStyle name="Normal 3 18 17" xfId="18878" xr:uid="{00000000-0005-0000-0000-00008D4F0000}"/>
    <cellStyle name="Normal 3 18 18" xfId="18286" xr:uid="{00000000-0005-0000-0000-00008E4F0000}"/>
    <cellStyle name="Normal 3 18 19" xfId="17689" xr:uid="{00000000-0005-0000-0000-00008F4F0000}"/>
    <cellStyle name="Normal 3 18 2" xfId="27828" xr:uid="{00000000-0005-0000-0000-0000904F0000}"/>
    <cellStyle name="Normal 3 18 20" xfId="15553" xr:uid="{00000000-0005-0000-0000-0000914F0000}"/>
    <cellStyle name="Normal 3 18 21" xfId="14474" xr:uid="{00000000-0005-0000-0000-0000924F0000}"/>
    <cellStyle name="Normal 3 18 22" xfId="16782" xr:uid="{00000000-0005-0000-0000-0000934F0000}"/>
    <cellStyle name="Normal 3 18 23" xfId="13837" xr:uid="{00000000-0005-0000-0000-0000944F0000}"/>
    <cellStyle name="Normal 3 18 24" xfId="13758" xr:uid="{00000000-0005-0000-0000-0000954F0000}"/>
    <cellStyle name="Normal 3 18 25" xfId="17088" xr:uid="{00000000-0005-0000-0000-0000964F0000}"/>
    <cellStyle name="Normal 3 18 26" xfId="12820" xr:uid="{00000000-0005-0000-0000-0000974F0000}"/>
    <cellStyle name="Normal 3 18 27" xfId="12852" xr:uid="{00000000-0005-0000-0000-0000984F0000}"/>
    <cellStyle name="Normal 3 18 28" xfId="12298" xr:uid="{00000000-0005-0000-0000-0000994F0000}"/>
    <cellStyle name="Normal 3 18 29" xfId="11699" xr:uid="{00000000-0005-0000-0000-00009A4F0000}"/>
    <cellStyle name="Normal 3 18 3" xfId="27231" xr:uid="{00000000-0005-0000-0000-00009B4F0000}"/>
    <cellStyle name="Normal 3 18 30" xfId="8895" xr:uid="{00000000-0005-0000-0000-00009C4F0000}"/>
    <cellStyle name="Normal 3 18 31" xfId="7319" xr:uid="{00000000-0005-0000-0000-00009D4F0000}"/>
    <cellStyle name="Normal 3 18 32" xfId="10412" xr:uid="{00000000-0005-0000-0000-00009E4F0000}"/>
    <cellStyle name="Normal 3 18 33" xfId="6083" xr:uid="{00000000-0005-0000-0000-00009F4F0000}"/>
    <cellStyle name="Normal 3 18 34" xfId="9744" xr:uid="{00000000-0005-0000-0000-0000A04F0000}"/>
    <cellStyle name="Normal 3 18 35" xfId="4326" xr:uid="{00000000-0005-0000-0000-0000A14F0000}"/>
    <cellStyle name="Normal 3 18 36" xfId="9842" xr:uid="{00000000-0005-0000-0000-0000A24F0000}"/>
    <cellStyle name="Normal 3 18 37" xfId="5630" xr:uid="{00000000-0005-0000-0000-0000A34F0000}"/>
    <cellStyle name="Normal 3 18 38" xfId="11487" xr:uid="{00000000-0005-0000-0000-0000A44F0000}"/>
    <cellStyle name="Normal 3 18 39" xfId="9368" xr:uid="{00000000-0005-0000-0000-0000A54F0000}"/>
    <cellStyle name="Normal 3 18 4" xfId="26634" xr:uid="{00000000-0005-0000-0000-0000A64F0000}"/>
    <cellStyle name="Normal 3 18 40" xfId="5503" xr:uid="{00000000-0005-0000-0000-0000A74F0000}"/>
    <cellStyle name="Normal 3 18 41" xfId="4552" xr:uid="{00000000-0005-0000-0000-0000A84F0000}"/>
    <cellStyle name="Normal 3 18 42" xfId="9405" xr:uid="{00000000-0005-0000-0000-0000A94F0000}"/>
    <cellStyle name="Normal 3 18 43" xfId="10030" xr:uid="{00000000-0005-0000-0000-0000AA4F0000}"/>
    <cellStyle name="Normal 3 18 5" xfId="26038" xr:uid="{00000000-0005-0000-0000-0000AB4F0000}"/>
    <cellStyle name="Normal 3 18 6" xfId="25442" xr:uid="{00000000-0005-0000-0000-0000AC4F0000}"/>
    <cellStyle name="Normal 3 18 7" xfId="24845" xr:uid="{00000000-0005-0000-0000-0000AD4F0000}"/>
    <cellStyle name="Normal 3 18 8" xfId="24248" xr:uid="{00000000-0005-0000-0000-0000AE4F0000}"/>
    <cellStyle name="Normal 3 18 9" xfId="23651" xr:uid="{00000000-0005-0000-0000-0000AF4F0000}"/>
    <cellStyle name="Normal 3 19" xfId="28427" xr:uid="{00000000-0005-0000-0000-0000B04F0000}"/>
    <cellStyle name="Normal 3 19 10" xfId="23053" xr:uid="{00000000-0005-0000-0000-0000B14F0000}"/>
    <cellStyle name="Normal 3 19 11" xfId="22456" xr:uid="{00000000-0005-0000-0000-0000B24F0000}"/>
    <cellStyle name="Normal 3 19 12" xfId="21860" xr:uid="{00000000-0005-0000-0000-0000B34F0000}"/>
    <cellStyle name="Normal 3 19 13" xfId="21263" xr:uid="{00000000-0005-0000-0000-0000B44F0000}"/>
    <cellStyle name="Normal 3 19 14" xfId="20666" xr:uid="{00000000-0005-0000-0000-0000B54F0000}"/>
    <cellStyle name="Normal 3 19 15" xfId="20069" xr:uid="{00000000-0005-0000-0000-0000B64F0000}"/>
    <cellStyle name="Normal 3 19 16" xfId="19473" xr:uid="{00000000-0005-0000-0000-0000B74F0000}"/>
    <cellStyle name="Normal 3 19 17" xfId="18877" xr:uid="{00000000-0005-0000-0000-0000B84F0000}"/>
    <cellStyle name="Normal 3 19 18" xfId="18285" xr:uid="{00000000-0005-0000-0000-0000B94F0000}"/>
    <cellStyle name="Normal 3 19 19" xfId="17688" xr:uid="{00000000-0005-0000-0000-0000BA4F0000}"/>
    <cellStyle name="Normal 3 19 2" xfId="27827" xr:uid="{00000000-0005-0000-0000-0000BB4F0000}"/>
    <cellStyle name="Normal 3 19 20" xfId="15743" xr:uid="{00000000-0005-0000-0000-0000BC4F0000}"/>
    <cellStyle name="Normal 3 19 21" xfId="14464" xr:uid="{00000000-0005-0000-0000-0000BD4F0000}"/>
    <cellStyle name="Normal 3 19 22" xfId="15025" xr:uid="{00000000-0005-0000-0000-0000BE4F0000}"/>
    <cellStyle name="Normal 3 19 23" xfId="14623" xr:uid="{00000000-0005-0000-0000-0000BF4F0000}"/>
    <cellStyle name="Normal 3 19 24" xfId="15422" xr:uid="{00000000-0005-0000-0000-0000C04F0000}"/>
    <cellStyle name="Normal 3 19 25" xfId="13231" xr:uid="{00000000-0005-0000-0000-0000C14F0000}"/>
    <cellStyle name="Normal 3 19 26" xfId="15317" xr:uid="{00000000-0005-0000-0000-0000C24F0000}"/>
    <cellStyle name="Normal 3 19 27" xfId="12971" xr:uid="{00000000-0005-0000-0000-0000C34F0000}"/>
    <cellStyle name="Normal 3 19 28" xfId="12297" xr:uid="{00000000-0005-0000-0000-0000C44F0000}"/>
    <cellStyle name="Normal 3 19 29" xfId="7471" xr:uid="{00000000-0005-0000-0000-0000C54F0000}"/>
    <cellStyle name="Normal 3 19 3" xfId="27230" xr:uid="{00000000-0005-0000-0000-0000C64F0000}"/>
    <cellStyle name="Normal 3 19 30" xfId="7206" xr:uid="{00000000-0005-0000-0000-0000C74F0000}"/>
    <cellStyle name="Normal 3 19 31" xfId="10205" xr:uid="{00000000-0005-0000-0000-0000C84F0000}"/>
    <cellStyle name="Normal 3 19 32" xfId="8682" xr:uid="{00000000-0005-0000-0000-0000C94F0000}"/>
    <cellStyle name="Normal 3 19 33" xfId="12034" xr:uid="{00000000-0005-0000-0000-0000CA4F0000}"/>
    <cellStyle name="Normal 3 19 34" xfId="7650" xr:uid="{00000000-0005-0000-0000-0000CB4F0000}"/>
    <cellStyle name="Normal 3 19 35" xfId="6361" xr:uid="{00000000-0005-0000-0000-0000CC4F0000}"/>
    <cellStyle name="Normal 3 19 36" xfId="5364" xr:uid="{00000000-0005-0000-0000-0000CD4F0000}"/>
    <cellStyle name="Normal 3 19 37" xfId="7137" xr:uid="{00000000-0005-0000-0000-0000CE4F0000}"/>
    <cellStyle name="Normal 3 19 38" xfId="10429" xr:uid="{00000000-0005-0000-0000-0000CF4F0000}"/>
    <cellStyle name="Normal 3 19 39" xfId="7509" xr:uid="{00000000-0005-0000-0000-0000D04F0000}"/>
    <cellStyle name="Normal 3 19 4" xfId="26633" xr:uid="{00000000-0005-0000-0000-0000D14F0000}"/>
    <cellStyle name="Normal 3 19 40" xfId="3657" xr:uid="{00000000-0005-0000-0000-0000D24F0000}"/>
    <cellStyle name="Normal 3 19 41" xfId="3215" xr:uid="{00000000-0005-0000-0000-0000D34F0000}"/>
    <cellStyle name="Normal 3 19 42" xfId="9508" xr:uid="{00000000-0005-0000-0000-0000D44F0000}"/>
    <cellStyle name="Normal 3 19 43" xfId="8059" xr:uid="{00000000-0005-0000-0000-0000D54F0000}"/>
    <cellStyle name="Normal 3 19 5" xfId="26037" xr:uid="{00000000-0005-0000-0000-0000D64F0000}"/>
    <cellStyle name="Normal 3 19 6" xfId="25441" xr:uid="{00000000-0005-0000-0000-0000D74F0000}"/>
    <cellStyle name="Normal 3 19 7" xfId="24844" xr:uid="{00000000-0005-0000-0000-0000D84F0000}"/>
    <cellStyle name="Normal 3 19 8" xfId="24247" xr:uid="{00000000-0005-0000-0000-0000D94F0000}"/>
    <cellStyle name="Normal 3 19 9" xfId="23650" xr:uid="{00000000-0005-0000-0000-0000DA4F0000}"/>
    <cellStyle name="Normal 3 2" xfId="28426" xr:uid="{00000000-0005-0000-0000-0000DB4F0000}"/>
    <cellStyle name="Normal 3 2 10" xfId="23052" xr:uid="{00000000-0005-0000-0000-0000DC4F0000}"/>
    <cellStyle name="Normal 3 2 11" xfId="22455" xr:uid="{00000000-0005-0000-0000-0000DD4F0000}"/>
    <cellStyle name="Normal 3 2 12" xfId="21859" xr:uid="{00000000-0005-0000-0000-0000DE4F0000}"/>
    <cellStyle name="Normal 3 2 13" xfId="21262" xr:uid="{00000000-0005-0000-0000-0000DF4F0000}"/>
    <cellStyle name="Normal 3 2 14" xfId="20665" xr:uid="{00000000-0005-0000-0000-0000E04F0000}"/>
    <cellStyle name="Normal 3 2 15" xfId="20068" xr:uid="{00000000-0005-0000-0000-0000E14F0000}"/>
    <cellStyle name="Normal 3 2 16" xfId="19472" xr:uid="{00000000-0005-0000-0000-0000E24F0000}"/>
    <cellStyle name="Normal 3 2 17" xfId="18876" xr:uid="{00000000-0005-0000-0000-0000E34F0000}"/>
    <cellStyle name="Normal 3 2 18" xfId="18284" xr:uid="{00000000-0005-0000-0000-0000E44F0000}"/>
    <cellStyle name="Normal 3 2 19" xfId="17687" xr:uid="{00000000-0005-0000-0000-0000E54F0000}"/>
    <cellStyle name="Normal 3 2 2" xfId="27826" xr:uid="{00000000-0005-0000-0000-0000E64F0000}"/>
    <cellStyle name="Normal 3 2 20" xfId="15943" xr:uid="{00000000-0005-0000-0000-0000E74F0000}"/>
    <cellStyle name="Normal 3 2 21" xfId="17441" xr:uid="{00000000-0005-0000-0000-0000E84F0000}"/>
    <cellStyle name="Normal 3 2 22" xfId="13576" xr:uid="{00000000-0005-0000-0000-0000E94F0000}"/>
    <cellStyle name="Normal 3 2 23" xfId="13418" xr:uid="{00000000-0005-0000-0000-0000EA4F0000}"/>
    <cellStyle name="Normal 3 2 24" xfId="13774" xr:uid="{00000000-0005-0000-0000-0000EB4F0000}"/>
    <cellStyle name="Normal 3 2 25" xfId="12878" xr:uid="{00000000-0005-0000-0000-0000EC4F0000}"/>
    <cellStyle name="Normal 3 2 26" xfId="16267" xr:uid="{00000000-0005-0000-0000-0000ED4F0000}"/>
    <cellStyle name="Normal 3 2 27" xfId="12942" xr:uid="{00000000-0005-0000-0000-0000EE4F0000}"/>
    <cellStyle name="Normal 3 2 28" xfId="12296" xr:uid="{00000000-0005-0000-0000-0000EF4F0000}"/>
    <cellStyle name="Normal 3 2 29" xfId="7093" xr:uid="{00000000-0005-0000-0000-0000F04F0000}"/>
    <cellStyle name="Normal 3 2 3" xfId="27229" xr:uid="{00000000-0005-0000-0000-0000F14F0000}"/>
    <cellStyle name="Normal 3 2 30" xfId="10922" xr:uid="{00000000-0005-0000-0000-0000F24F0000}"/>
    <cellStyle name="Normal 3 2 31" xfId="11711" xr:uid="{00000000-0005-0000-0000-0000F34F0000}"/>
    <cellStyle name="Normal 3 2 32" xfId="7212" xr:uid="{00000000-0005-0000-0000-0000F44F0000}"/>
    <cellStyle name="Normal 3 2 33" xfId="11817" xr:uid="{00000000-0005-0000-0000-0000F54F0000}"/>
    <cellStyle name="Normal 3 2 34" xfId="11619" xr:uid="{00000000-0005-0000-0000-0000F64F0000}"/>
    <cellStyle name="Normal 3 2 35" xfId="5169" xr:uid="{00000000-0005-0000-0000-0000F74F0000}"/>
    <cellStyle name="Normal 3 2 36" xfId="7400" xr:uid="{00000000-0005-0000-0000-0000F84F0000}"/>
    <cellStyle name="Normal 3 2 37" xfId="11513" xr:uid="{00000000-0005-0000-0000-0000F94F0000}"/>
    <cellStyle name="Normal 3 2 38" xfId="7311" xr:uid="{00000000-0005-0000-0000-0000FA4F0000}"/>
    <cellStyle name="Normal 3 2 39" xfId="8116" xr:uid="{00000000-0005-0000-0000-0000FB4F0000}"/>
    <cellStyle name="Normal 3 2 4" xfId="26632" xr:uid="{00000000-0005-0000-0000-0000FC4F0000}"/>
    <cellStyle name="Normal 3 2 40" xfId="10137" xr:uid="{00000000-0005-0000-0000-0000FD4F0000}"/>
    <cellStyle name="Normal 3 2 41" xfId="3730" xr:uid="{00000000-0005-0000-0000-0000FE4F0000}"/>
    <cellStyle name="Normal 3 2 42" xfId="3625" xr:uid="{00000000-0005-0000-0000-0000FF4F0000}"/>
    <cellStyle name="Normal 3 2 43" xfId="5115" xr:uid="{00000000-0005-0000-0000-000000500000}"/>
    <cellStyle name="Normal 3 2 44" xfId="2906" xr:uid="{00000000-0005-0000-0000-000001500000}"/>
    <cellStyle name="Normal 3 2 45" xfId="2663" xr:uid="{00000000-0005-0000-0000-000002500000}"/>
    <cellStyle name="Normal 3 2 46" xfId="2423" xr:uid="{00000000-0005-0000-0000-000003500000}"/>
    <cellStyle name="Normal 3 2 47" xfId="2183" xr:uid="{00000000-0005-0000-0000-000004500000}"/>
    <cellStyle name="Normal 3 2 48" xfId="1943" xr:uid="{00000000-0005-0000-0000-000005500000}"/>
    <cellStyle name="Normal 3 2 49" xfId="1703" xr:uid="{00000000-0005-0000-0000-000006500000}"/>
    <cellStyle name="Normal 3 2 5" xfId="26036" xr:uid="{00000000-0005-0000-0000-000007500000}"/>
    <cellStyle name="Normal 3 2 50" xfId="1464" xr:uid="{00000000-0005-0000-0000-000008500000}"/>
    <cellStyle name="Normal 3 2 51" xfId="1224" xr:uid="{00000000-0005-0000-0000-000009500000}"/>
    <cellStyle name="Normal 3 2 52" xfId="984" xr:uid="{00000000-0005-0000-0000-00000A500000}"/>
    <cellStyle name="Normal 3 2 53" xfId="744" xr:uid="{00000000-0005-0000-0000-00000B500000}"/>
    <cellStyle name="Normal 3 2 54" xfId="504" xr:uid="{00000000-0005-0000-0000-00000C500000}"/>
    <cellStyle name="Normal 3 2 55" xfId="265" xr:uid="{00000000-0005-0000-0000-00000D500000}"/>
    <cellStyle name="Normal 3 2 56" xfId="27" xr:uid="{00000000-0005-0000-0000-00000E500000}"/>
    <cellStyle name="Normal 3 2 57" xfId="28924" xr:uid="{00000000-0005-0000-0000-00000F500000}"/>
    <cellStyle name="Normal 3 2 6" xfId="25440" xr:uid="{00000000-0005-0000-0000-000010500000}"/>
    <cellStyle name="Normal 3 2 7" xfId="24843" xr:uid="{00000000-0005-0000-0000-000011500000}"/>
    <cellStyle name="Normal 3 2 8" xfId="24246" xr:uid="{00000000-0005-0000-0000-000012500000}"/>
    <cellStyle name="Normal 3 2 9" xfId="23649" xr:uid="{00000000-0005-0000-0000-000013500000}"/>
    <cellStyle name="Normal 3 20" xfId="28425" xr:uid="{00000000-0005-0000-0000-000014500000}"/>
    <cellStyle name="Normal 3 20 10" xfId="23051" xr:uid="{00000000-0005-0000-0000-000015500000}"/>
    <cellStyle name="Normal 3 20 11" xfId="22454" xr:uid="{00000000-0005-0000-0000-000016500000}"/>
    <cellStyle name="Normal 3 20 12" xfId="21858" xr:uid="{00000000-0005-0000-0000-000017500000}"/>
    <cellStyle name="Normal 3 20 13" xfId="21261" xr:uid="{00000000-0005-0000-0000-000018500000}"/>
    <cellStyle name="Normal 3 20 14" xfId="20664" xr:uid="{00000000-0005-0000-0000-000019500000}"/>
    <cellStyle name="Normal 3 20 15" xfId="20067" xr:uid="{00000000-0005-0000-0000-00001A500000}"/>
    <cellStyle name="Normal 3 20 16" xfId="19471" xr:uid="{00000000-0005-0000-0000-00001B500000}"/>
    <cellStyle name="Normal 3 20 17" xfId="18875" xr:uid="{00000000-0005-0000-0000-00001C500000}"/>
    <cellStyle name="Normal 3 20 18" xfId="18283" xr:uid="{00000000-0005-0000-0000-00001D500000}"/>
    <cellStyle name="Normal 3 20 19" xfId="17686" xr:uid="{00000000-0005-0000-0000-00001E500000}"/>
    <cellStyle name="Normal 3 20 2" xfId="27825" xr:uid="{00000000-0005-0000-0000-00001F500000}"/>
    <cellStyle name="Normal 3 20 20" xfId="16151" xr:uid="{00000000-0005-0000-0000-000020500000}"/>
    <cellStyle name="Normal 3 20 21" xfId="16830" xr:uid="{00000000-0005-0000-0000-000021500000}"/>
    <cellStyle name="Normal 3 20 22" xfId="14635" xr:uid="{00000000-0005-0000-0000-000022500000}"/>
    <cellStyle name="Normal 3 20 23" xfId="17344" xr:uid="{00000000-0005-0000-0000-000023500000}"/>
    <cellStyle name="Normal 3 20 24" xfId="16370" xr:uid="{00000000-0005-0000-0000-000024500000}"/>
    <cellStyle name="Normal 3 20 25" xfId="12886" xr:uid="{00000000-0005-0000-0000-000025500000}"/>
    <cellStyle name="Normal 3 20 26" xfId="14408" xr:uid="{00000000-0005-0000-0000-000026500000}"/>
    <cellStyle name="Normal 3 20 27" xfId="16323" xr:uid="{00000000-0005-0000-0000-000027500000}"/>
    <cellStyle name="Normal 3 20 28" xfId="12295" xr:uid="{00000000-0005-0000-0000-000028500000}"/>
    <cellStyle name="Normal 3 20 29" xfId="8051" xr:uid="{00000000-0005-0000-0000-000029500000}"/>
    <cellStyle name="Normal 3 20 3" xfId="27228" xr:uid="{00000000-0005-0000-0000-00002A500000}"/>
    <cellStyle name="Normal 3 20 30" xfId="7043" xr:uid="{00000000-0005-0000-0000-00002B500000}"/>
    <cellStyle name="Normal 3 20 31" xfId="9611" xr:uid="{00000000-0005-0000-0000-00002C500000}"/>
    <cellStyle name="Normal 3 20 32" xfId="6011" xr:uid="{00000000-0005-0000-0000-00002D500000}"/>
    <cellStyle name="Normal 3 20 33" xfId="4870" xr:uid="{00000000-0005-0000-0000-00002E500000}"/>
    <cellStyle name="Normal 3 20 34" xfId="6440" xr:uid="{00000000-0005-0000-0000-00002F500000}"/>
    <cellStyle name="Normal 3 20 35" xfId="11783" xr:uid="{00000000-0005-0000-0000-000030500000}"/>
    <cellStyle name="Normal 3 20 36" xfId="4614" xr:uid="{00000000-0005-0000-0000-000031500000}"/>
    <cellStyle name="Normal 3 20 37" xfId="9935" xr:uid="{00000000-0005-0000-0000-000032500000}"/>
    <cellStyle name="Normal 3 20 38" xfId="3674" xr:uid="{00000000-0005-0000-0000-000033500000}"/>
    <cellStyle name="Normal 3 20 39" xfId="8263" xr:uid="{00000000-0005-0000-0000-000034500000}"/>
    <cellStyle name="Normal 3 20 4" xfId="26631" xr:uid="{00000000-0005-0000-0000-000035500000}"/>
    <cellStyle name="Normal 3 20 40" xfId="8653" xr:uid="{00000000-0005-0000-0000-000036500000}"/>
    <cellStyle name="Normal 3 20 41" xfId="5230" xr:uid="{00000000-0005-0000-0000-000037500000}"/>
    <cellStyle name="Normal 3 20 42" xfId="4736" xr:uid="{00000000-0005-0000-0000-000038500000}"/>
    <cellStyle name="Normal 3 20 43" xfId="4286" xr:uid="{00000000-0005-0000-0000-000039500000}"/>
    <cellStyle name="Normal 3 20 5" xfId="26035" xr:uid="{00000000-0005-0000-0000-00003A500000}"/>
    <cellStyle name="Normal 3 20 6" xfId="25439" xr:uid="{00000000-0005-0000-0000-00003B500000}"/>
    <cellStyle name="Normal 3 20 7" xfId="24842" xr:uid="{00000000-0005-0000-0000-00003C500000}"/>
    <cellStyle name="Normal 3 20 8" xfId="24245" xr:uid="{00000000-0005-0000-0000-00003D500000}"/>
    <cellStyle name="Normal 3 20 9" xfId="23648" xr:uid="{00000000-0005-0000-0000-00003E500000}"/>
    <cellStyle name="Normal 3 21" xfId="28424" xr:uid="{00000000-0005-0000-0000-00003F500000}"/>
    <cellStyle name="Normal 3 21 10" xfId="23050" xr:uid="{00000000-0005-0000-0000-000040500000}"/>
    <cellStyle name="Normal 3 21 11" xfId="22453" xr:uid="{00000000-0005-0000-0000-000041500000}"/>
    <cellStyle name="Normal 3 21 12" xfId="21857" xr:uid="{00000000-0005-0000-0000-000042500000}"/>
    <cellStyle name="Normal 3 21 13" xfId="21260" xr:uid="{00000000-0005-0000-0000-000043500000}"/>
    <cellStyle name="Normal 3 21 14" xfId="20663" xr:uid="{00000000-0005-0000-0000-000044500000}"/>
    <cellStyle name="Normal 3 21 15" xfId="20066" xr:uid="{00000000-0005-0000-0000-000045500000}"/>
    <cellStyle name="Normal 3 21 16" xfId="19470" xr:uid="{00000000-0005-0000-0000-000046500000}"/>
    <cellStyle name="Normal 3 21 17" xfId="18874" xr:uid="{00000000-0005-0000-0000-000047500000}"/>
    <cellStyle name="Normal 3 21 18" xfId="18282" xr:uid="{00000000-0005-0000-0000-000048500000}"/>
    <cellStyle name="Normal 3 21 19" xfId="17685" xr:uid="{00000000-0005-0000-0000-000049500000}"/>
    <cellStyle name="Normal 3 21 2" xfId="27824" xr:uid="{00000000-0005-0000-0000-00004A500000}"/>
    <cellStyle name="Normal 3 21 20" xfId="16352" xr:uid="{00000000-0005-0000-0000-00004B500000}"/>
    <cellStyle name="Normal 3 21 21" xfId="16433" xr:uid="{00000000-0005-0000-0000-00004C500000}"/>
    <cellStyle name="Normal 3 21 22" xfId="13669" xr:uid="{00000000-0005-0000-0000-00004D500000}"/>
    <cellStyle name="Normal 3 21 23" xfId="17209" xr:uid="{00000000-0005-0000-0000-00004E500000}"/>
    <cellStyle name="Normal 3 21 24" xfId="13207" xr:uid="{00000000-0005-0000-0000-00004F500000}"/>
    <cellStyle name="Normal 3 21 25" xfId="13737" xr:uid="{00000000-0005-0000-0000-000050500000}"/>
    <cellStyle name="Normal 3 21 26" xfId="16643" xr:uid="{00000000-0005-0000-0000-000051500000}"/>
    <cellStyle name="Normal 3 21 27" xfId="13208" xr:uid="{00000000-0005-0000-0000-000052500000}"/>
    <cellStyle name="Normal 3 21 28" xfId="12294" xr:uid="{00000000-0005-0000-0000-000053500000}"/>
    <cellStyle name="Normal 3 21 29" xfId="7941" xr:uid="{00000000-0005-0000-0000-000054500000}"/>
    <cellStyle name="Normal 3 21 3" xfId="27227" xr:uid="{00000000-0005-0000-0000-000055500000}"/>
    <cellStyle name="Normal 3 21 30" xfId="11588" xr:uid="{00000000-0005-0000-0000-000056500000}"/>
    <cellStyle name="Normal 3 21 31" xfId="5487" xr:uid="{00000000-0005-0000-0000-000057500000}"/>
    <cellStyle name="Normal 3 21 32" xfId="5775" xr:uid="{00000000-0005-0000-0000-000058500000}"/>
    <cellStyle name="Normal 3 21 33" xfId="9718" xr:uid="{00000000-0005-0000-0000-000059500000}"/>
    <cellStyle name="Normal 3 21 34" xfId="5798" xr:uid="{00000000-0005-0000-0000-00005A500000}"/>
    <cellStyle name="Normal 3 21 35" xfId="4287" xr:uid="{00000000-0005-0000-0000-00005B500000}"/>
    <cellStyle name="Normal 3 21 36" xfId="4156" xr:uid="{00000000-0005-0000-0000-00005C500000}"/>
    <cellStyle name="Normal 3 21 37" xfId="5903" xr:uid="{00000000-0005-0000-0000-00005D500000}"/>
    <cellStyle name="Normal 3 21 38" xfId="4450" xr:uid="{00000000-0005-0000-0000-00005E500000}"/>
    <cellStyle name="Normal 3 21 39" xfId="3558" xr:uid="{00000000-0005-0000-0000-00005F500000}"/>
    <cellStyle name="Normal 3 21 4" xfId="26630" xr:uid="{00000000-0005-0000-0000-000060500000}"/>
    <cellStyle name="Normal 3 21 40" xfId="6511" xr:uid="{00000000-0005-0000-0000-000061500000}"/>
    <cellStyle name="Normal 3 21 41" xfId="3207" xr:uid="{00000000-0005-0000-0000-000062500000}"/>
    <cellStyle name="Normal 3 21 42" xfId="7489" xr:uid="{00000000-0005-0000-0000-000063500000}"/>
    <cellStyle name="Normal 3 21 43" xfId="12032" xr:uid="{00000000-0005-0000-0000-000064500000}"/>
    <cellStyle name="Normal 3 21 5" xfId="26034" xr:uid="{00000000-0005-0000-0000-000065500000}"/>
    <cellStyle name="Normal 3 21 6" xfId="25438" xr:uid="{00000000-0005-0000-0000-000066500000}"/>
    <cellStyle name="Normal 3 21 7" xfId="24841" xr:uid="{00000000-0005-0000-0000-000067500000}"/>
    <cellStyle name="Normal 3 21 8" xfId="24244" xr:uid="{00000000-0005-0000-0000-000068500000}"/>
    <cellStyle name="Normal 3 21 9" xfId="23647" xr:uid="{00000000-0005-0000-0000-000069500000}"/>
    <cellStyle name="Normal 3 22" xfId="28423" xr:uid="{00000000-0005-0000-0000-00006A500000}"/>
    <cellStyle name="Normal 3 22 10" xfId="23049" xr:uid="{00000000-0005-0000-0000-00006B500000}"/>
    <cellStyle name="Normal 3 22 11" xfId="22452" xr:uid="{00000000-0005-0000-0000-00006C500000}"/>
    <cellStyle name="Normal 3 22 12" xfId="21856" xr:uid="{00000000-0005-0000-0000-00006D500000}"/>
    <cellStyle name="Normal 3 22 13" xfId="21259" xr:uid="{00000000-0005-0000-0000-00006E500000}"/>
    <cellStyle name="Normal 3 22 14" xfId="20662" xr:uid="{00000000-0005-0000-0000-00006F500000}"/>
    <cellStyle name="Normal 3 22 15" xfId="20065" xr:uid="{00000000-0005-0000-0000-000070500000}"/>
    <cellStyle name="Normal 3 22 16" xfId="19469" xr:uid="{00000000-0005-0000-0000-000071500000}"/>
    <cellStyle name="Normal 3 22 17" xfId="18873" xr:uid="{00000000-0005-0000-0000-000072500000}"/>
    <cellStyle name="Normal 3 22 18" xfId="18281" xr:uid="{00000000-0005-0000-0000-000073500000}"/>
    <cellStyle name="Normal 3 22 19" xfId="17684" xr:uid="{00000000-0005-0000-0000-000074500000}"/>
    <cellStyle name="Normal 3 22 2" xfId="27823" xr:uid="{00000000-0005-0000-0000-000075500000}"/>
    <cellStyle name="Normal 3 22 20" xfId="16542" xr:uid="{00000000-0005-0000-0000-000076500000}"/>
    <cellStyle name="Normal 3 22 21" xfId="16010" xr:uid="{00000000-0005-0000-0000-000077500000}"/>
    <cellStyle name="Normal 3 22 22" xfId="13808" xr:uid="{00000000-0005-0000-0000-000078500000}"/>
    <cellStyle name="Normal 3 22 23" xfId="17427" xr:uid="{00000000-0005-0000-0000-000079500000}"/>
    <cellStyle name="Normal 3 22 24" xfId="13090" xr:uid="{00000000-0005-0000-0000-00007A500000}"/>
    <cellStyle name="Normal 3 22 25" xfId="13848" xr:uid="{00000000-0005-0000-0000-00007B500000}"/>
    <cellStyle name="Normal 3 22 26" xfId="15908" xr:uid="{00000000-0005-0000-0000-00007C500000}"/>
    <cellStyle name="Normal 3 22 27" xfId="13904" xr:uid="{00000000-0005-0000-0000-00007D500000}"/>
    <cellStyle name="Normal 3 22 28" xfId="12293" xr:uid="{00000000-0005-0000-0000-00007E500000}"/>
    <cellStyle name="Normal 3 22 29" xfId="7037" xr:uid="{00000000-0005-0000-0000-00007F500000}"/>
    <cellStyle name="Normal 3 22 3" xfId="27226" xr:uid="{00000000-0005-0000-0000-000080500000}"/>
    <cellStyle name="Normal 3 22 30" xfId="11800" xr:uid="{00000000-0005-0000-0000-000081500000}"/>
    <cellStyle name="Normal 3 22 31" xfId="5677" xr:uid="{00000000-0005-0000-0000-000082500000}"/>
    <cellStyle name="Normal 3 22 32" xfId="12042" xr:uid="{00000000-0005-0000-0000-000083500000}"/>
    <cellStyle name="Normal 3 22 33" xfId="7853" xr:uid="{00000000-0005-0000-0000-000084500000}"/>
    <cellStyle name="Normal 3 22 34" xfId="10743" xr:uid="{00000000-0005-0000-0000-000085500000}"/>
    <cellStyle name="Normal 3 22 35" xfId="7904" xr:uid="{00000000-0005-0000-0000-000086500000}"/>
    <cellStyle name="Normal 3 22 36" xfId="5526" xr:uid="{00000000-0005-0000-0000-000087500000}"/>
    <cellStyle name="Normal 3 22 37" xfId="7783" xr:uid="{00000000-0005-0000-0000-000088500000}"/>
    <cellStyle name="Normal 3 22 38" xfId="5711" xr:uid="{00000000-0005-0000-0000-000089500000}"/>
    <cellStyle name="Normal 3 22 39" xfId="3577" xr:uid="{00000000-0005-0000-0000-00008A500000}"/>
    <cellStyle name="Normal 3 22 4" xfId="26629" xr:uid="{00000000-0005-0000-0000-00008B500000}"/>
    <cellStyle name="Normal 3 22 40" xfId="4341" xr:uid="{00000000-0005-0000-0000-00008C500000}"/>
    <cellStyle name="Normal 3 22 41" xfId="3214" xr:uid="{00000000-0005-0000-0000-00008D500000}"/>
    <cellStyle name="Normal 3 22 42" xfId="5021" xr:uid="{00000000-0005-0000-0000-00008E500000}"/>
    <cellStyle name="Normal 3 22 43" xfId="9714" xr:uid="{00000000-0005-0000-0000-00008F500000}"/>
    <cellStyle name="Normal 3 22 5" xfId="26033" xr:uid="{00000000-0005-0000-0000-000090500000}"/>
    <cellStyle name="Normal 3 22 6" xfId="25437" xr:uid="{00000000-0005-0000-0000-000091500000}"/>
    <cellStyle name="Normal 3 22 7" xfId="24840" xr:uid="{00000000-0005-0000-0000-000092500000}"/>
    <cellStyle name="Normal 3 22 8" xfId="24243" xr:uid="{00000000-0005-0000-0000-000093500000}"/>
    <cellStyle name="Normal 3 22 9" xfId="23646" xr:uid="{00000000-0005-0000-0000-000094500000}"/>
    <cellStyle name="Normal 3 23" xfId="28422" xr:uid="{00000000-0005-0000-0000-000095500000}"/>
    <cellStyle name="Normal 3 23 10" xfId="23048" xr:uid="{00000000-0005-0000-0000-000096500000}"/>
    <cellStyle name="Normal 3 23 11" xfId="22451" xr:uid="{00000000-0005-0000-0000-000097500000}"/>
    <cellStyle name="Normal 3 23 12" xfId="21855" xr:uid="{00000000-0005-0000-0000-000098500000}"/>
    <cellStyle name="Normal 3 23 13" xfId="21258" xr:uid="{00000000-0005-0000-0000-000099500000}"/>
    <cellStyle name="Normal 3 23 14" xfId="20661" xr:uid="{00000000-0005-0000-0000-00009A500000}"/>
    <cellStyle name="Normal 3 23 15" xfId="20064" xr:uid="{00000000-0005-0000-0000-00009B500000}"/>
    <cellStyle name="Normal 3 23 16" xfId="19468" xr:uid="{00000000-0005-0000-0000-00009C500000}"/>
    <cellStyle name="Normal 3 23 17" xfId="18872" xr:uid="{00000000-0005-0000-0000-00009D500000}"/>
    <cellStyle name="Normal 3 23 18" xfId="18280" xr:uid="{00000000-0005-0000-0000-00009E500000}"/>
    <cellStyle name="Normal 3 23 19" xfId="17683" xr:uid="{00000000-0005-0000-0000-00009F500000}"/>
    <cellStyle name="Normal 3 23 2" xfId="27822" xr:uid="{00000000-0005-0000-0000-0000A0500000}"/>
    <cellStyle name="Normal 3 23 20" xfId="16736" xr:uid="{00000000-0005-0000-0000-0000A1500000}"/>
    <cellStyle name="Normal 3 23 21" xfId="15605" xr:uid="{00000000-0005-0000-0000-0000A2500000}"/>
    <cellStyle name="Normal 3 23 22" xfId="16271" xr:uid="{00000000-0005-0000-0000-0000A3500000}"/>
    <cellStyle name="Normal 3 23 23" xfId="17448" xr:uid="{00000000-0005-0000-0000-0000A4500000}"/>
    <cellStyle name="Normal 3 23 24" xfId="13310" xr:uid="{00000000-0005-0000-0000-0000A5500000}"/>
    <cellStyle name="Normal 3 23 25" xfId="15082" xr:uid="{00000000-0005-0000-0000-0000A6500000}"/>
    <cellStyle name="Normal 3 23 26" xfId="14644" xr:uid="{00000000-0005-0000-0000-0000A7500000}"/>
    <cellStyle name="Normal 3 23 27" xfId="17189" xr:uid="{00000000-0005-0000-0000-0000A8500000}"/>
    <cellStyle name="Normal 3 23 28" xfId="12292" xr:uid="{00000000-0005-0000-0000-0000A9500000}"/>
    <cellStyle name="Normal 3 23 29" xfId="6675" xr:uid="{00000000-0005-0000-0000-0000AA500000}"/>
    <cellStyle name="Normal 3 23 3" xfId="27225" xr:uid="{00000000-0005-0000-0000-0000AB500000}"/>
    <cellStyle name="Normal 3 23 30" xfId="6276" xr:uid="{00000000-0005-0000-0000-0000AC500000}"/>
    <cellStyle name="Normal 3 23 31" xfId="11729" xr:uid="{00000000-0005-0000-0000-0000AD500000}"/>
    <cellStyle name="Normal 3 23 32" xfId="9306" xr:uid="{00000000-0005-0000-0000-0000AE500000}"/>
    <cellStyle name="Normal 3 23 33" xfId="4876" xr:uid="{00000000-0005-0000-0000-0000AF500000}"/>
    <cellStyle name="Normal 3 23 34" xfId="8915" xr:uid="{00000000-0005-0000-0000-0000B0500000}"/>
    <cellStyle name="Normal 3 23 35" xfId="7709" xr:uid="{00000000-0005-0000-0000-0000B1500000}"/>
    <cellStyle name="Normal 3 23 36" xfId="9230" xr:uid="{00000000-0005-0000-0000-0000B2500000}"/>
    <cellStyle name="Normal 3 23 37" xfId="8896" xr:uid="{00000000-0005-0000-0000-0000B3500000}"/>
    <cellStyle name="Normal 3 23 38" xfId="9831" xr:uid="{00000000-0005-0000-0000-0000B4500000}"/>
    <cellStyle name="Normal 3 23 39" xfId="5085" xr:uid="{00000000-0005-0000-0000-0000B5500000}"/>
    <cellStyle name="Normal 3 23 4" xfId="26628" xr:uid="{00000000-0005-0000-0000-0000B6500000}"/>
    <cellStyle name="Normal 3 23 40" xfId="5457" xr:uid="{00000000-0005-0000-0000-0000B7500000}"/>
    <cellStyle name="Normal 3 23 41" xfId="5995" xr:uid="{00000000-0005-0000-0000-0000B8500000}"/>
    <cellStyle name="Normal 3 23 42" xfId="3554" xr:uid="{00000000-0005-0000-0000-0000B9500000}"/>
    <cellStyle name="Normal 3 23 43" xfId="8877" xr:uid="{00000000-0005-0000-0000-0000BA500000}"/>
    <cellStyle name="Normal 3 23 5" xfId="26032" xr:uid="{00000000-0005-0000-0000-0000BB500000}"/>
    <cellStyle name="Normal 3 23 6" xfId="25436" xr:uid="{00000000-0005-0000-0000-0000BC500000}"/>
    <cellStyle name="Normal 3 23 7" xfId="24839" xr:uid="{00000000-0005-0000-0000-0000BD500000}"/>
    <cellStyle name="Normal 3 23 8" xfId="24242" xr:uid="{00000000-0005-0000-0000-0000BE500000}"/>
    <cellStyle name="Normal 3 23 9" xfId="23645" xr:uid="{00000000-0005-0000-0000-0000BF500000}"/>
    <cellStyle name="Normal 3 24" xfId="28421" xr:uid="{00000000-0005-0000-0000-0000C0500000}"/>
    <cellStyle name="Normal 3 24 10" xfId="23047" xr:uid="{00000000-0005-0000-0000-0000C1500000}"/>
    <cellStyle name="Normal 3 24 11" xfId="22450" xr:uid="{00000000-0005-0000-0000-0000C2500000}"/>
    <cellStyle name="Normal 3 24 12" xfId="21854" xr:uid="{00000000-0005-0000-0000-0000C3500000}"/>
    <cellStyle name="Normal 3 24 13" xfId="21257" xr:uid="{00000000-0005-0000-0000-0000C4500000}"/>
    <cellStyle name="Normal 3 24 14" xfId="20660" xr:uid="{00000000-0005-0000-0000-0000C5500000}"/>
    <cellStyle name="Normal 3 24 15" xfId="20063" xr:uid="{00000000-0005-0000-0000-0000C6500000}"/>
    <cellStyle name="Normal 3 24 16" xfId="19467" xr:uid="{00000000-0005-0000-0000-0000C7500000}"/>
    <cellStyle name="Normal 3 24 17" xfId="18871" xr:uid="{00000000-0005-0000-0000-0000C8500000}"/>
    <cellStyle name="Normal 3 24 18" xfId="18279" xr:uid="{00000000-0005-0000-0000-0000C9500000}"/>
    <cellStyle name="Normal 3 24 19" xfId="17682" xr:uid="{00000000-0005-0000-0000-0000CA500000}"/>
    <cellStyle name="Normal 3 24 2" xfId="27821" xr:uid="{00000000-0005-0000-0000-0000CB500000}"/>
    <cellStyle name="Normal 3 24 20" xfId="16933" xr:uid="{00000000-0005-0000-0000-0000CC500000}"/>
    <cellStyle name="Normal 3 24 21" xfId="15992" xr:uid="{00000000-0005-0000-0000-0000CD500000}"/>
    <cellStyle name="Normal 3 24 22" xfId="15669" xr:uid="{00000000-0005-0000-0000-0000CE500000}"/>
    <cellStyle name="Normal 3 24 23" xfId="14788" xr:uid="{00000000-0005-0000-0000-0000CF500000}"/>
    <cellStyle name="Normal 3 24 24" xfId="15591" xr:uid="{00000000-0005-0000-0000-0000D0500000}"/>
    <cellStyle name="Normal 3 24 25" xfId="15831" xr:uid="{00000000-0005-0000-0000-0000D1500000}"/>
    <cellStyle name="Normal 3 24 26" xfId="16557" xr:uid="{00000000-0005-0000-0000-0000D2500000}"/>
    <cellStyle name="Normal 3 24 27" xfId="13128" xr:uid="{00000000-0005-0000-0000-0000D3500000}"/>
    <cellStyle name="Normal 3 24 28" xfId="12291" xr:uid="{00000000-0005-0000-0000-0000D4500000}"/>
    <cellStyle name="Normal 3 24 29" xfId="6981" xr:uid="{00000000-0005-0000-0000-0000D5500000}"/>
    <cellStyle name="Normal 3 24 3" xfId="27224" xr:uid="{00000000-0005-0000-0000-0000D6500000}"/>
    <cellStyle name="Normal 3 24 30" xfId="7213" xr:uid="{00000000-0005-0000-0000-0000D7500000}"/>
    <cellStyle name="Normal 3 24 31" xfId="9391" xr:uid="{00000000-0005-0000-0000-0000D8500000}"/>
    <cellStyle name="Normal 3 24 32" xfId="6338" xr:uid="{00000000-0005-0000-0000-0000D9500000}"/>
    <cellStyle name="Normal 3 24 33" xfId="7065" xr:uid="{00000000-0005-0000-0000-0000DA500000}"/>
    <cellStyle name="Normal 3 24 34" xfId="11252" xr:uid="{00000000-0005-0000-0000-0000DB500000}"/>
    <cellStyle name="Normal 3 24 35" xfId="8748" xr:uid="{00000000-0005-0000-0000-0000DC500000}"/>
    <cellStyle name="Normal 3 24 36" xfId="10825" xr:uid="{00000000-0005-0000-0000-0000DD500000}"/>
    <cellStyle name="Normal 3 24 37" xfId="9269" xr:uid="{00000000-0005-0000-0000-0000DE500000}"/>
    <cellStyle name="Normal 3 24 38" xfId="4124" xr:uid="{00000000-0005-0000-0000-0000DF500000}"/>
    <cellStyle name="Normal 3 24 39" xfId="9907" xr:uid="{00000000-0005-0000-0000-0000E0500000}"/>
    <cellStyle name="Normal 3 24 4" xfId="26627" xr:uid="{00000000-0005-0000-0000-0000E1500000}"/>
    <cellStyle name="Normal 3 24 40" xfId="10520" xr:uid="{00000000-0005-0000-0000-0000E2500000}"/>
    <cellStyle name="Normal 3 24 41" xfId="6404" xr:uid="{00000000-0005-0000-0000-0000E3500000}"/>
    <cellStyle name="Normal 3 24 42" xfId="11103" xr:uid="{00000000-0005-0000-0000-0000E4500000}"/>
    <cellStyle name="Normal 3 24 43" xfId="10383" xr:uid="{00000000-0005-0000-0000-0000E5500000}"/>
    <cellStyle name="Normal 3 24 5" xfId="26031" xr:uid="{00000000-0005-0000-0000-0000E6500000}"/>
    <cellStyle name="Normal 3 24 6" xfId="25435" xr:uid="{00000000-0005-0000-0000-0000E7500000}"/>
    <cellStyle name="Normal 3 24 7" xfId="24838" xr:uid="{00000000-0005-0000-0000-0000E8500000}"/>
    <cellStyle name="Normal 3 24 8" xfId="24241" xr:uid="{00000000-0005-0000-0000-0000E9500000}"/>
    <cellStyle name="Normal 3 24 9" xfId="23644" xr:uid="{00000000-0005-0000-0000-0000EA500000}"/>
    <cellStyle name="Normal 3 25" xfId="28420" xr:uid="{00000000-0005-0000-0000-0000EB500000}"/>
    <cellStyle name="Normal 3 25 10" xfId="23046" xr:uid="{00000000-0005-0000-0000-0000EC500000}"/>
    <cellStyle name="Normal 3 25 11" xfId="22449" xr:uid="{00000000-0005-0000-0000-0000ED500000}"/>
    <cellStyle name="Normal 3 25 12" xfId="21853" xr:uid="{00000000-0005-0000-0000-0000EE500000}"/>
    <cellStyle name="Normal 3 25 13" xfId="21256" xr:uid="{00000000-0005-0000-0000-0000EF500000}"/>
    <cellStyle name="Normal 3 25 14" xfId="20659" xr:uid="{00000000-0005-0000-0000-0000F0500000}"/>
    <cellStyle name="Normal 3 25 15" xfId="20062" xr:uid="{00000000-0005-0000-0000-0000F1500000}"/>
    <cellStyle name="Normal 3 25 16" xfId="19466" xr:uid="{00000000-0005-0000-0000-0000F2500000}"/>
    <cellStyle name="Normal 3 25 17" xfId="18870" xr:uid="{00000000-0005-0000-0000-0000F3500000}"/>
    <cellStyle name="Normal 3 25 18" xfId="18278" xr:uid="{00000000-0005-0000-0000-0000F4500000}"/>
    <cellStyle name="Normal 3 25 19" xfId="17681" xr:uid="{00000000-0005-0000-0000-0000F5500000}"/>
    <cellStyle name="Normal 3 25 2" xfId="27820" xr:uid="{00000000-0005-0000-0000-0000F6500000}"/>
    <cellStyle name="Normal 3 25 20" xfId="17140" xr:uid="{00000000-0005-0000-0000-0000F7500000}"/>
    <cellStyle name="Normal 3 25 21" xfId="16393" xr:uid="{00000000-0005-0000-0000-0000F8500000}"/>
    <cellStyle name="Normal 3 25 22" xfId="16073" xr:uid="{00000000-0005-0000-0000-0000F9500000}"/>
    <cellStyle name="Normal 3 25 23" xfId="15585" xr:uid="{00000000-0005-0000-0000-0000FA500000}"/>
    <cellStyle name="Normal 3 25 24" xfId="14436" xr:uid="{00000000-0005-0000-0000-0000FB500000}"/>
    <cellStyle name="Normal 3 25 25" xfId="13153" xr:uid="{00000000-0005-0000-0000-0000FC500000}"/>
    <cellStyle name="Normal 3 25 26" xfId="15012" xr:uid="{00000000-0005-0000-0000-0000FD500000}"/>
    <cellStyle name="Normal 3 25 27" xfId="13179" xr:uid="{00000000-0005-0000-0000-0000FE500000}"/>
    <cellStyle name="Normal 3 25 28" xfId="12290" xr:uid="{00000000-0005-0000-0000-0000FF500000}"/>
    <cellStyle name="Normal 3 25 29" xfId="7651" xr:uid="{00000000-0005-0000-0000-000000510000}"/>
    <cellStyle name="Normal 3 25 3" xfId="27223" xr:uid="{00000000-0005-0000-0000-000001510000}"/>
    <cellStyle name="Normal 3 25 30" xfId="8049" xr:uid="{00000000-0005-0000-0000-000002510000}"/>
    <cellStyle name="Normal 3 25 31" xfId="8476" xr:uid="{00000000-0005-0000-0000-000003510000}"/>
    <cellStyle name="Normal 3 25 32" xfId="6665" xr:uid="{00000000-0005-0000-0000-000004510000}"/>
    <cellStyle name="Normal 3 25 33" xfId="9618" xr:uid="{00000000-0005-0000-0000-000005510000}"/>
    <cellStyle name="Normal 3 25 34" xfId="7357" xr:uid="{00000000-0005-0000-0000-000006510000}"/>
    <cellStyle name="Normal 3 25 35" xfId="5164" xr:uid="{00000000-0005-0000-0000-000007510000}"/>
    <cellStyle name="Normal 3 25 36" xfId="7492" xr:uid="{00000000-0005-0000-0000-000008510000}"/>
    <cellStyle name="Normal 3 25 37" xfId="11859" xr:uid="{00000000-0005-0000-0000-000009510000}"/>
    <cellStyle name="Normal 3 25 38" xfId="3930" xr:uid="{00000000-0005-0000-0000-00000A510000}"/>
    <cellStyle name="Normal 3 25 39" xfId="10854" xr:uid="{00000000-0005-0000-0000-00000B510000}"/>
    <cellStyle name="Normal 3 25 4" xfId="26626" xr:uid="{00000000-0005-0000-0000-00000C510000}"/>
    <cellStyle name="Normal 3 25 40" xfId="7436" xr:uid="{00000000-0005-0000-0000-00000D510000}"/>
    <cellStyle name="Normal 3 25 41" xfId="6290" xr:uid="{00000000-0005-0000-0000-00000E510000}"/>
    <cellStyle name="Normal 3 25 42" xfId="8356" xr:uid="{00000000-0005-0000-0000-00000F510000}"/>
    <cellStyle name="Normal 3 25 43" xfId="3293" xr:uid="{00000000-0005-0000-0000-000010510000}"/>
    <cellStyle name="Normal 3 25 5" xfId="26030" xr:uid="{00000000-0005-0000-0000-000011510000}"/>
    <cellStyle name="Normal 3 25 6" xfId="25434" xr:uid="{00000000-0005-0000-0000-000012510000}"/>
    <cellStyle name="Normal 3 25 7" xfId="24837" xr:uid="{00000000-0005-0000-0000-000013510000}"/>
    <cellStyle name="Normal 3 25 8" xfId="24240" xr:uid="{00000000-0005-0000-0000-000014510000}"/>
    <cellStyle name="Normal 3 25 9" xfId="23643" xr:uid="{00000000-0005-0000-0000-000015510000}"/>
    <cellStyle name="Normal 3 26" xfId="28419" xr:uid="{00000000-0005-0000-0000-000016510000}"/>
    <cellStyle name="Normal 3 26 10" xfId="23045" xr:uid="{00000000-0005-0000-0000-000017510000}"/>
    <cellStyle name="Normal 3 26 11" xfId="22448" xr:uid="{00000000-0005-0000-0000-000018510000}"/>
    <cellStyle name="Normal 3 26 12" xfId="21852" xr:uid="{00000000-0005-0000-0000-000019510000}"/>
    <cellStyle name="Normal 3 26 13" xfId="21255" xr:uid="{00000000-0005-0000-0000-00001A510000}"/>
    <cellStyle name="Normal 3 26 14" xfId="20658" xr:uid="{00000000-0005-0000-0000-00001B510000}"/>
    <cellStyle name="Normal 3 26 15" xfId="20061" xr:uid="{00000000-0005-0000-0000-00001C510000}"/>
    <cellStyle name="Normal 3 26 16" xfId="19465" xr:uid="{00000000-0005-0000-0000-00001D510000}"/>
    <cellStyle name="Normal 3 26 17" xfId="18869" xr:uid="{00000000-0005-0000-0000-00001E510000}"/>
    <cellStyle name="Normal 3 26 18" xfId="18277" xr:uid="{00000000-0005-0000-0000-00001F510000}"/>
    <cellStyle name="Normal 3 26 19" xfId="17680" xr:uid="{00000000-0005-0000-0000-000020510000}"/>
    <cellStyle name="Normal 3 26 2" xfId="27819" xr:uid="{00000000-0005-0000-0000-000021510000}"/>
    <cellStyle name="Normal 3 26 20" xfId="17333" xr:uid="{00000000-0005-0000-0000-000022510000}"/>
    <cellStyle name="Normal 3 26 21" xfId="15972" xr:uid="{00000000-0005-0000-0000-000023510000}"/>
    <cellStyle name="Normal 3 26 22" xfId="16479" xr:uid="{00000000-0005-0000-0000-000024510000}"/>
    <cellStyle name="Normal 3 26 23" xfId="17086" xr:uid="{00000000-0005-0000-0000-000025510000}"/>
    <cellStyle name="Normal 3 26 24" xfId="14207" xr:uid="{00000000-0005-0000-0000-000026510000}"/>
    <cellStyle name="Normal 3 26 25" xfId="16288" xr:uid="{00000000-0005-0000-0000-000027510000}"/>
    <cellStyle name="Normal 3 26 26" xfId="12982" xr:uid="{00000000-0005-0000-0000-000028510000}"/>
    <cellStyle name="Normal 3 26 27" xfId="15959" xr:uid="{00000000-0005-0000-0000-000029510000}"/>
    <cellStyle name="Normal 3 26 28" xfId="12289" xr:uid="{00000000-0005-0000-0000-00002A510000}"/>
    <cellStyle name="Normal 3 26 29" xfId="11914" xr:uid="{00000000-0005-0000-0000-00002B510000}"/>
    <cellStyle name="Normal 3 26 3" xfId="27222" xr:uid="{00000000-0005-0000-0000-00002C510000}"/>
    <cellStyle name="Normal 3 26 30" xfId="6504" xr:uid="{00000000-0005-0000-0000-00002D510000}"/>
    <cellStyle name="Normal 3 26 31" xfId="9995" xr:uid="{00000000-0005-0000-0000-00002E510000}"/>
    <cellStyle name="Normal 3 26 32" xfId="7209" xr:uid="{00000000-0005-0000-0000-00002F510000}"/>
    <cellStyle name="Normal 3 26 33" xfId="6352" xr:uid="{00000000-0005-0000-0000-000030510000}"/>
    <cellStyle name="Normal 3 26 34" xfId="6344" xr:uid="{00000000-0005-0000-0000-000031510000}"/>
    <cellStyle name="Normal 3 26 35" xfId="10060" xr:uid="{00000000-0005-0000-0000-000032510000}"/>
    <cellStyle name="Normal 3 26 36" xfId="7745" xr:uid="{00000000-0005-0000-0000-000033510000}"/>
    <cellStyle name="Normal 3 26 37" xfId="4531" xr:uid="{00000000-0005-0000-0000-000034510000}"/>
    <cellStyle name="Normal 3 26 38" xfId="11384" xr:uid="{00000000-0005-0000-0000-000035510000}"/>
    <cellStyle name="Normal 3 26 39" xfId="4212" xr:uid="{00000000-0005-0000-0000-000036510000}"/>
    <cellStyle name="Normal 3 26 4" xfId="26625" xr:uid="{00000000-0005-0000-0000-000037510000}"/>
    <cellStyle name="Normal 3 26 40" xfId="6097" xr:uid="{00000000-0005-0000-0000-000038510000}"/>
    <cellStyle name="Normal 3 26 41" xfId="8753" xr:uid="{00000000-0005-0000-0000-000039510000}"/>
    <cellStyle name="Normal 3 26 42" xfId="11444" xr:uid="{00000000-0005-0000-0000-00003A510000}"/>
    <cellStyle name="Normal 3 26 43" xfId="4162" xr:uid="{00000000-0005-0000-0000-00003B510000}"/>
    <cellStyle name="Normal 3 26 5" xfId="26029" xr:uid="{00000000-0005-0000-0000-00003C510000}"/>
    <cellStyle name="Normal 3 26 6" xfId="25433" xr:uid="{00000000-0005-0000-0000-00003D510000}"/>
    <cellStyle name="Normal 3 26 7" xfId="24836" xr:uid="{00000000-0005-0000-0000-00003E510000}"/>
    <cellStyle name="Normal 3 26 8" xfId="24239" xr:uid="{00000000-0005-0000-0000-00003F510000}"/>
    <cellStyle name="Normal 3 26 9" xfId="23642" xr:uid="{00000000-0005-0000-0000-000040510000}"/>
    <cellStyle name="Normal 3 27" xfId="27837" xr:uid="{00000000-0005-0000-0000-000041510000}"/>
    <cellStyle name="Normal 3 28" xfId="27240" xr:uid="{00000000-0005-0000-0000-000042510000}"/>
    <cellStyle name="Normal 3 29" xfId="26643" xr:uid="{00000000-0005-0000-0000-000043510000}"/>
    <cellStyle name="Normal 3 3" xfId="28418" xr:uid="{00000000-0005-0000-0000-000044510000}"/>
    <cellStyle name="Normal 3 3 10" xfId="23044" xr:uid="{00000000-0005-0000-0000-000045510000}"/>
    <cellStyle name="Normal 3 3 11" xfId="22447" xr:uid="{00000000-0005-0000-0000-000046510000}"/>
    <cellStyle name="Normal 3 3 12" xfId="21851" xr:uid="{00000000-0005-0000-0000-000047510000}"/>
    <cellStyle name="Normal 3 3 13" xfId="21254" xr:uid="{00000000-0005-0000-0000-000048510000}"/>
    <cellStyle name="Normal 3 3 14" xfId="20657" xr:uid="{00000000-0005-0000-0000-000049510000}"/>
    <cellStyle name="Normal 3 3 15" xfId="20060" xr:uid="{00000000-0005-0000-0000-00004A510000}"/>
    <cellStyle name="Normal 3 3 16" xfId="19464" xr:uid="{00000000-0005-0000-0000-00004B510000}"/>
    <cellStyle name="Normal 3 3 17" xfId="18868" xr:uid="{00000000-0005-0000-0000-00004C510000}"/>
    <cellStyle name="Normal 3 3 18" xfId="18276" xr:uid="{00000000-0005-0000-0000-00004D510000}"/>
    <cellStyle name="Normal 3 3 19" xfId="17679" xr:uid="{00000000-0005-0000-0000-00004E510000}"/>
    <cellStyle name="Normal 3 3 2" xfId="27818" xr:uid="{00000000-0005-0000-0000-00004F510000}"/>
    <cellStyle name="Normal 3 3 20" xfId="14166" xr:uid="{00000000-0005-0000-0000-000050510000}"/>
    <cellStyle name="Normal 3 3 21" xfId="15573" xr:uid="{00000000-0005-0000-0000-000051510000}"/>
    <cellStyle name="Normal 3 3 22" xfId="17072" xr:uid="{00000000-0005-0000-0000-000052510000}"/>
    <cellStyle name="Normal 3 3 23" xfId="14834" xr:uid="{00000000-0005-0000-0000-000053510000}"/>
    <cellStyle name="Normal 3 3 24" xfId="17115" xr:uid="{00000000-0005-0000-0000-000054510000}"/>
    <cellStyle name="Normal 3 3 25" xfId="13055" xr:uid="{00000000-0005-0000-0000-000055510000}"/>
    <cellStyle name="Normal 3 3 26" xfId="13011" xr:uid="{00000000-0005-0000-0000-000056510000}"/>
    <cellStyle name="Normal 3 3 27" xfId="15106" xr:uid="{00000000-0005-0000-0000-000057510000}"/>
    <cellStyle name="Normal 3 3 28" xfId="12288" xr:uid="{00000000-0005-0000-0000-000058510000}"/>
    <cellStyle name="Normal 3 3 29" xfId="8094" xr:uid="{00000000-0005-0000-0000-000059510000}"/>
    <cellStyle name="Normal 3 3 3" xfId="27221" xr:uid="{00000000-0005-0000-0000-00005A510000}"/>
    <cellStyle name="Normal 3 3 30" xfId="7989" xr:uid="{00000000-0005-0000-0000-00005B510000}"/>
    <cellStyle name="Normal 3 3 31" xfId="7602" xr:uid="{00000000-0005-0000-0000-00005C510000}"/>
    <cellStyle name="Normal 3 3 32" xfId="11482" xr:uid="{00000000-0005-0000-0000-00005D510000}"/>
    <cellStyle name="Normal 3 3 33" xfId="7543" xr:uid="{00000000-0005-0000-0000-00005E510000}"/>
    <cellStyle name="Normal 3 3 34" xfId="8855" xr:uid="{00000000-0005-0000-0000-00005F510000}"/>
    <cellStyle name="Normal 3 3 35" xfId="5768" xr:uid="{00000000-0005-0000-0000-000060510000}"/>
    <cellStyle name="Normal 3 3 36" xfId="11648" xr:uid="{00000000-0005-0000-0000-000061510000}"/>
    <cellStyle name="Normal 3 3 37" xfId="4560" xr:uid="{00000000-0005-0000-0000-000062510000}"/>
    <cellStyle name="Normal 3 3 38" xfId="8911" xr:uid="{00000000-0005-0000-0000-000063510000}"/>
    <cellStyle name="Normal 3 3 39" xfId="8761" xr:uid="{00000000-0005-0000-0000-000064510000}"/>
    <cellStyle name="Normal 3 3 4" xfId="26624" xr:uid="{00000000-0005-0000-0000-000065510000}"/>
    <cellStyle name="Normal 3 3 40" xfId="5210" xr:uid="{00000000-0005-0000-0000-000066510000}"/>
    <cellStyle name="Normal 3 3 41" xfId="12121" xr:uid="{00000000-0005-0000-0000-000067510000}"/>
    <cellStyle name="Normal 3 3 42" xfId="3507" xr:uid="{00000000-0005-0000-0000-000068510000}"/>
    <cellStyle name="Normal 3 3 43" xfId="10869" xr:uid="{00000000-0005-0000-0000-000069510000}"/>
    <cellStyle name="Normal 3 3 44" xfId="2905" xr:uid="{00000000-0005-0000-0000-00006A510000}"/>
    <cellStyle name="Normal 3 3 45" xfId="2662" xr:uid="{00000000-0005-0000-0000-00006B510000}"/>
    <cellStyle name="Normal 3 3 46" xfId="2422" xr:uid="{00000000-0005-0000-0000-00006C510000}"/>
    <cellStyle name="Normal 3 3 47" xfId="2182" xr:uid="{00000000-0005-0000-0000-00006D510000}"/>
    <cellStyle name="Normal 3 3 48" xfId="1942" xr:uid="{00000000-0005-0000-0000-00006E510000}"/>
    <cellStyle name="Normal 3 3 49" xfId="1702" xr:uid="{00000000-0005-0000-0000-00006F510000}"/>
    <cellStyle name="Normal 3 3 5" xfId="26028" xr:uid="{00000000-0005-0000-0000-000070510000}"/>
    <cellStyle name="Normal 3 3 50" xfId="1463" xr:uid="{00000000-0005-0000-0000-000071510000}"/>
    <cellStyle name="Normal 3 3 51" xfId="1223" xr:uid="{00000000-0005-0000-0000-000072510000}"/>
    <cellStyle name="Normal 3 3 52" xfId="983" xr:uid="{00000000-0005-0000-0000-000073510000}"/>
    <cellStyle name="Normal 3 3 53" xfId="743" xr:uid="{00000000-0005-0000-0000-000074510000}"/>
    <cellStyle name="Normal 3 3 54" xfId="503" xr:uid="{00000000-0005-0000-0000-000075510000}"/>
    <cellStyle name="Normal 3 3 55" xfId="264" xr:uid="{00000000-0005-0000-0000-000076510000}"/>
    <cellStyle name="Normal 3 3 56" xfId="26" xr:uid="{00000000-0005-0000-0000-000077510000}"/>
    <cellStyle name="Normal 3 3 6" xfId="25432" xr:uid="{00000000-0005-0000-0000-000078510000}"/>
    <cellStyle name="Normal 3 3 7" xfId="24835" xr:uid="{00000000-0005-0000-0000-000079510000}"/>
    <cellStyle name="Normal 3 3 8" xfId="24238" xr:uid="{00000000-0005-0000-0000-00007A510000}"/>
    <cellStyle name="Normal 3 3 9" xfId="23641" xr:uid="{00000000-0005-0000-0000-00007B510000}"/>
    <cellStyle name="Normal 3 30" xfId="26047" xr:uid="{00000000-0005-0000-0000-00007C510000}"/>
    <cellStyle name="Normal 3 31" xfId="25451" xr:uid="{00000000-0005-0000-0000-00007D510000}"/>
    <cellStyle name="Normal 3 32" xfId="24854" xr:uid="{00000000-0005-0000-0000-00007E510000}"/>
    <cellStyle name="Normal 3 33" xfId="24257" xr:uid="{00000000-0005-0000-0000-00007F510000}"/>
    <cellStyle name="Normal 3 34" xfId="23660" xr:uid="{00000000-0005-0000-0000-000080510000}"/>
    <cellStyle name="Normal 3 35" xfId="23063" xr:uid="{00000000-0005-0000-0000-000081510000}"/>
    <cellStyle name="Normal 3 36" xfId="22466" xr:uid="{00000000-0005-0000-0000-000082510000}"/>
    <cellStyle name="Normal 3 37" xfId="21870" xr:uid="{00000000-0005-0000-0000-000083510000}"/>
    <cellStyle name="Normal 3 38" xfId="21273" xr:uid="{00000000-0005-0000-0000-000084510000}"/>
    <cellStyle name="Normal 3 39" xfId="20676" xr:uid="{00000000-0005-0000-0000-000085510000}"/>
    <cellStyle name="Normal 3 4" xfId="28417" xr:uid="{00000000-0005-0000-0000-000086510000}"/>
    <cellStyle name="Normal 3 4 10" xfId="23043" xr:uid="{00000000-0005-0000-0000-000087510000}"/>
    <cellStyle name="Normal 3 4 11" xfId="22446" xr:uid="{00000000-0005-0000-0000-000088510000}"/>
    <cellStyle name="Normal 3 4 12" xfId="21850" xr:uid="{00000000-0005-0000-0000-000089510000}"/>
    <cellStyle name="Normal 3 4 13" xfId="21253" xr:uid="{00000000-0005-0000-0000-00008A510000}"/>
    <cellStyle name="Normal 3 4 14" xfId="20656" xr:uid="{00000000-0005-0000-0000-00008B510000}"/>
    <cellStyle name="Normal 3 4 15" xfId="20059" xr:uid="{00000000-0005-0000-0000-00008C510000}"/>
    <cellStyle name="Normal 3 4 16" xfId="19463" xr:uid="{00000000-0005-0000-0000-00008D510000}"/>
    <cellStyle name="Normal 3 4 17" xfId="18867" xr:uid="{00000000-0005-0000-0000-00008E510000}"/>
    <cellStyle name="Normal 3 4 18" xfId="18275" xr:uid="{00000000-0005-0000-0000-00008F510000}"/>
    <cellStyle name="Normal 3 4 19" xfId="17678" xr:uid="{00000000-0005-0000-0000-000090510000}"/>
    <cellStyle name="Normal 3 4 2" xfId="27817" xr:uid="{00000000-0005-0000-0000-000091510000}"/>
    <cellStyle name="Normal 3 4 20" xfId="14355" xr:uid="{00000000-0005-0000-0000-000092510000}"/>
    <cellStyle name="Normal 3 4 21" xfId="13977" xr:uid="{00000000-0005-0000-0000-000093510000}"/>
    <cellStyle name="Normal 3 4 22" xfId="17296" xr:uid="{00000000-0005-0000-0000-000094510000}"/>
    <cellStyle name="Normal 3 4 23" xfId="14617" xr:uid="{00000000-0005-0000-0000-000095510000}"/>
    <cellStyle name="Normal 3 4 24" xfId="17395" xr:uid="{00000000-0005-0000-0000-000096510000}"/>
    <cellStyle name="Normal 3 4 25" xfId="13889" xr:uid="{00000000-0005-0000-0000-000097510000}"/>
    <cellStyle name="Normal 3 4 26" xfId="16880" xr:uid="{00000000-0005-0000-0000-000098510000}"/>
    <cellStyle name="Normal 3 4 27" xfId="12791" xr:uid="{00000000-0005-0000-0000-000099510000}"/>
    <cellStyle name="Normal 3 4 28" xfId="12287" xr:uid="{00000000-0005-0000-0000-00009A510000}"/>
    <cellStyle name="Normal 3 4 29" xfId="8302" xr:uid="{00000000-0005-0000-0000-00009B510000}"/>
    <cellStyle name="Normal 3 4 3" xfId="27220" xr:uid="{00000000-0005-0000-0000-00009C510000}"/>
    <cellStyle name="Normal 3 4 30" xfId="11969" xr:uid="{00000000-0005-0000-0000-00009D510000}"/>
    <cellStyle name="Normal 3 4 31" xfId="11308" xr:uid="{00000000-0005-0000-0000-00009E510000}"/>
    <cellStyle name="Normal 3 4 32" xfId="8742" xr:uid="{00000000-0005-0000-0000-00009F510000}"/>
    <cellStyle name="Normal 3 4 33" xfId="7013" xr:uid="{00000000-0005-0000-0000-0000A0510000}"/>
    <cellStyle name="Normal 3 4 34" xfId="4796" xr:uid="{00000000-0005-0000-0000-0000A1510000}"/>
    <cellStyle name="Normal 3 4 35" xfId="7751" xr:uid="{00000000-0005-0000-0000-0000A2510000}"/>
    <cellStyle name="Normal 3 4 36" xfId="4815" xr:uid="{00000000-0005-0000-0000-0000A3510000}"/>
    <cellStyle name="Normal 3 4 37" xfId="11433" xr:uid="{00000000-0005-0000-0000-0000A4510000}"/>
    <cellStyle name="Normal 3 4 38" xfId="5277" xr:uid="{00000000-0005-0000-0000-0000A5510000}"/>
    <cellStyle name="Normal 3 4 39" xfId="11606" xr:uid="{00000000-0005-0000-0000-0000A6510000}"/>
    <cellStyle name="Normal 3 4 4" xfId="26623" xr:uid="{00000000-0005-0000-0000-0000A7510000}"/>
    <cellStyle name="Normal 3 4 40" xfId="11166" xr:uid="{00000000-0005-0000-0000-0000A8510000}"/>
    <cellStyle name="Normal 3 4 41" xfId="6954" xr:uid="{00000000-0005-0000-0000-0000A9510000}"/>
    <cellStyle name="Normal 3 4 42" xfId="8040" xr:uid="{00000000-0005-0000-0000-0000AA510000}"/>
    <cellStyle name="Normal 3 4 43" xfId="10361" xr:uid="{00000000-0005-0000-0000-0000AB510000}"/>
    <cellStyle name="Normal 3 4 44" xfId="2904" xr:uid="{00000000-0005-0000-0000-0000AC510000}"/>
    <cellStyle name="Normal 3 4 45" xfId="2661" xr:uid="{00000000-0005-0000-0000-0000AD510000}"/>
    <cellStyle name="Normal 3 4 46" xfId="2421" xr:uid="{00000000-0005-0000-0000-0000AE510000}"/>
    <cellStyle name="Normal 3 4 47" xfId="2181" xr:uid="{00000000-0005-0000-0000-0000AF510000}"/>
    <cellStyle name="Normal 3 4 48" xfId="1941" xr:uid="{00000000-0005-0000-0000-0000B0510000}"/>
    <cellStyle name="Normal 3 4 49" xfId="1701" xr:uid="{00000000-0005-0000-0000-0000B1510000}"/>
    <cellStyle name="Normal 3 4 5" xfId="26027" xr:uid="{00000000-0005-0000-0000-0000B2510000}"/>
    <cellStyle name="Normal 3 4 50" xfId="1462" xr:uid="{00000000-0005-0000-0000-0000B3510000}"/>
    <cellStyle name="Normal 3 4 51" xfId="1222" xr:uid="{00000000-0005-0000-0000-0000B4510000}"/>
    <cellStyle name="Normal 3 4 52" xfId="982" xr:uid="{00000000-0005-0000-0000-0000B5510000}"/>
    <cellStyle name="Normal 3 4 53" xfId="742" xr:uid="{00000000-0005-0000-0000-0000B6510000}"/>
    <cellStyle name="Normal 3 4 54" xfId="502" xr:uid="{00000000-0005-0000-0000-0000B7510000}"/>
    <cellStyle name="Normal 3 4 55" xfId="263" xr:uid="{00000000-0005-0000-0000-0000B8510000}"/>
    <cellStyle name="Normal 3 4 56" xfId="25" xr:uid="{00000000-0005-0000-0000-0000B9510000}"/>
    <cellStyle name="Normal 3 4 6" xfId="25431" xr:uid="{00000000-0005-0000-0000-0000BA510000}"/>
    <cellStyle name="Normal 3 4 7" xfId="24834" xr:uid="{00000000-0005-0000-0000-0000BB510000}"/>
    <cellStyle name="Normal 3 4 8" xfId="24237" xr:uid="{00000000-0005-0000-0000-0000BC510000}"/>
    <cellStyle name="Normal 3 4 9" xfId="23640" xr:uid="{00000000-0005-0000-0000-0000BD510000}"/>
    <cellStyle name="Normal 3 40" xfId="20079" xr:uid="{00000000-0005-0000-0000-0000BE510000}"/>
    <cellStyle name="Normal 3 41" xfId="19483" xr:uid="{00000000-0005-0000-0000-0000BF510000}"/>
    <cellStyle name="Normal 3 42" xfId="18887" xr:uid="{00000000-0005-0000-0000-0000C0510000}"/>
    <cellStyle name="Normal 3 43" xfId="18295" xr:uid="{00000000-0005-0000-0000-0000C1510000}"/>
    <cellStyle name="Normal 3 44" xfId="17698" xr:uid="{00000000-0005-0000-0000-0000C2510000}"/>
    <cellStyle name="Normal 3 45" xfId="17139" xr:uid="{00000000-0005-0000-0000-0000C3510000}"/>
    <cellStyle name="Normal 3 46" xfId="16585" xr:uid="{00000000-0005-0000-0000-0000C4510000}"/>
    <cellStyle name="Normal 3 47" xfId="16860" xr:uid="{00000000-0005-0000-0000-0000C5510000}"/>
    <cellStyle name="Normal 3 48" xfId="14457" xr:uid="{00000000-0005-0000-0000-0000C6510000}"/>
    <cellStyle name="Normal 3 49" xfId="17002" xr:uid="{00000000-0005-0000-0000-0000C7510000}"/>
    <cellStyle name="Normal 3 5" xfId="28416" xr:uid="{00000000-0005-0000-0000-0000C8510000}"/>
    <cellStyle name="Normal 3 5 10" xfId="23042" xr:uid="{00000000-0005-0000-0000-0000C9510000}"/>
    <cellStyle name="Normal 3 5 11" xfId="22445" xr:uid="{00000000-0005-0000-0000-0000CA510000}"/>
    <cellStyle name="Normal 3 5 12" xfId="21849" xr:uid="{00000000-0005-0000-0000-0000CB510000}"/>
    <cellStyle name="Normal 3 5 13" xfId="21252" xr:uid="{00000000-0005-0000-0000-0000CC510000}"/>
    <cellStyle name="Normal 3 5 14" xfId="20655" xr:uid="{00000000-0005-0000-0000-0000CD510000}"/>
    <cellStyle name="Normal 3 5 15" xfId="20058" xr:uid="{00000000-0005-0000-0000-0000CE510000}"/>
    <cellStyle name="Normal 3 5 16" xfId="19462" xr:uid="{00000000-0005-0000-0000-0000CF510000}"/>
    <cellStyle name="Normal 3 5 17" xfId="18866" xr:uid="{00000000-0005-0000-0000-0000D0510000}"/>
    <cellStyle name="Normal 3 5 18" xfId="18274" xr:uid="{00000000-0005-0000-0000-0000D1510000}"/>
    <cellStyle name="Normal 3 5 19" xfId="17677" xr:uid="{00000000-0005-0000-0000-0000D2510000}"/>
    <cellStyle name="Normal 3 5 2" xfId="27816" xr:uid="{00000000-0005-0000-0000-0000D3510000}"/>
    <cellStyle name="Normal 3 5 20" xfId="14546" xr:uid="{00000000-0005-0000-0000-0000D4510000}"/>
    <cellStyle name="Normal 3 5 21" xfId="14920" xr:uid="{00000000-0005-0000-0000-0000D5510000}"/>
    <cellStyle name="Normal 3 5 22" xfId="15709" xr:uid="{00000000-0005-0000-0000-0000D6510000}"/>
    <cellStyle name="Normal 3 5 23" xfId="16803" xr:uid="{00000000-0005-0000-0000-0000D7510000}"/>
    <cellStyle name="Normal 3 5 24" xfId="14052" xr:uid="{00000000-0005-0000-0000-0000D8510000}"/>
    <cellStyle name="Normal 3 5 25" xfId="13630" xr:uid="{00000000-0005-0000-0000-0000D9510000}"/>
    <cellStyle name="Normal 3 5 26" xfId="13223" xr:uid="{00000000-0005-0000-0000-0000DA510000}"/>
    <cellStyle name="Normal 3 5 27" xfId="13227" xr:uid="{00000000-0005-0000-0000-0000DB510000}"/>
    <cellStyle name="Normal 3 5 28" xfId="12286" xr:uid="{00000000-0005-0000-0000-0000DC510000}"/>
    <cellStyle name="Normal 3 5 29" xfId="8517" xr:uid="{00000000-0005-0000-0000-0000DD510000}"/>
    <cellStyle name="Normal 3 5 3" xfId="27219" xr:uid="{00000000-0005-0000-0000-0000DE510000}"/>
    <cellStyle name="Normal 3 5 30" xfId="9486" xr:uid="{00000000-0005-0000-0000-0000DF510000}"/>
    <cellStyle name="Normal 3 5 31" xfId="9915" xr:uid="{00000000-0005-0000-0000-0000E0510000}"/>
    <cellStyle name="Normal 3 5 32" xfId="7098" xr:uid="{00000000-0005-0000-0000-0000E1510000}"/>
    <cellStyle name="Normal 3 5 33" xfId="8006" xr:uid="{00000000-0005-0000-0000-0000E2510000}"/>
    <cellStyle name="Normal 3 5 34" xfId="11525" xr:uid="{00000000-0005-0000-0000-0000E3510000}"/>
    <cellStyle name="Normal 3 5 35" xfId="10156" xr:uid="{00000000-0005-0000-0000-0000E4510000}"/>
    <cellStyle name="Normal 3 5 36" xfId="8983" xr:uid="{00000000-0005-0000-0000-0000E5510000}"/>
    <cellStyle name="Normal 3 5 37" xfId="4928" xr:uid="{00000000-0005-0000-0000-0000E6510000}"/>
    <cellStyle name="Normal 3 5 38" xfId="8706" xr:uid="{00000000-0005-0000-0000-0000E7510000}"/>
    <cellStyle name="Normal 3 5 39" xfId="4660" xr:uid="{00000000-0005-0000-0000-0000E8510000}"/>
    <cellStyle name="Normal 3 5 4" xfId="26622" xr:uid="{00000000-0005-0000-0000-0000E9510000}"/>
    <cellStyle name="Normal 3 5 40" xfId="8526" xr:uid="{00000000-0005-0000-0000-0000EA510000}"/>
    <cellStyle name="Normal 3 5 41" xfId="3985" xr:uid="{00000000-0005-0000-0000-0000EB510000}"/>
    <cellStyle name="Normal 3 5 42" xfId="9980" xr:uid="{00000000-0005-0000-0000-0000EC510000}"/>
    <cellStyle name="Normal 3 5 43" xfId="9554" xr:uid="{00000000-0005-0000-0000-0000ED510000}"/>
    <cellStyle name="Normal 3 5 44" xfId="2903" xr:uid="{00000000-0005-0000-0000-0000EE510000}"/>
    <cellStyle name="Normal 3 5 45" xfId="2660" xr:uid="{00000000-0005-0000-0000-0000EF510000}"/>
    <cellStyle name="Normal 3 5 46" xfId="2420" xr:uid="{00000000-0005-0000-0000-0000F0510000}"/>
    <cellStyle name="Normal 3 5 47" xfId="2180" xr:uid="{00000000-0005-0000-0000-0000F1510000}"/>
    <cellStyle name="Normal 3 5 48" xfId="1940" xr:uid="{00000000-0005-0000-0000-0000F2510000}"/>
    <cellStyle name="Normal 3 5 49" xfId="1700" xr:uid="{00000000-0005-0000-0000-0000F3510000}"/>
    <cellStyle name="Normal 3 5 5" xfId="26026" xr:uid="{00000000-0005-0000-0000-0000F4510000}"/>
    <cellStyle name="Normal 3 5 50" xfId="1461" xr:uid="{00000000-0005-0000-0000-0000F5510000}"/>
    <cellStyle name="Normal 3 5 51" xfId="1221" xr:uid="{00000000-0005-0000-0000-0000F6510000}"/>
    <cellStyle name="Normal 3 5 52" xfId="981" xr:uid="{00000000-0005-0000-0000-0000F7510000}"/>
    <cellStyle name="Normal 3 5 53" xfId="741" xr:uid="{00000000-0005-0000-0000-0000F8510000}"/>
    <cellStyle name="Normal 3 5 54" xfId="501" xr:uid="{00000000-0005-0000-0000-0000F9510000}"/>
    <cellStyle name="Normal 3 5 55" xfId="262" xr:uid="{00000000-0005-0000-0000-0000FA510000}"/>
    <cellStyle name="Normal 3 5 56" xfId="24" xr:uid="{00000000-0005-0000-0000-0000FB510000}"/>
    <cellStyle name="Normal 3 5 6" xfId="25430" xr:uid="{00000000-0005-0000-0000-0000FC510000}"/>
    <cellStyle name="Normal 3 5 7" xfId="24833" xr:uid="{00000000-0005-0000-0000-0000FD510000}"/>
    <cellStyle name="Normal 3 5 8" xfId="24236" xr:uid="{00000000-0005-0000-0000-0000FE510000}"/>
    <cellStyle name="Normal 3 5 9" xfId="23639" xr:uid="{00000000-0005-0000-0000-0000FF510000}"/>
    <cellStyle name="Normal 3 50" xfId="16564" xr:uid="{00000000-0005-0000-0000-000000520000}"/>
    <cellStyle name="Normal 3 51" xfId="15409" xr:uid="{00000000-0005-0000-0000-000001520000}"/>
    <cellStyle name="Normal 3 52" xfId="13145" xr:uid="{00000000-0005-0000-0000-000002520000}"/>
    <cellStyle name="Normal 3 53" xfId="12307" xr:uid="{00000000-0005-0000-0000-000003520000}"/>
    <cellStyle name="Normal 3 54" xfId="9658" xr:uid="{00000000-0005-0000-0000-000004520000}"/>
    <cellStyle name="Normal 3 55" xfId="6226" xr:uid="{00000000-0005-0000-0000-000005520000}"/>
    <cellStyle name="Normal 3 56" xfId="10729" xr:uid="{00000000-0005-0000-0000-000006520000}"/>
    <cellStyle name="Normal 3 57" xfId="5171" xr:uid="{00000000-0005-0000-0000-000007520000}"/>
    <cellStyle name="Normal 3 58" xfId="8166" xr:uid="{00000000-0005-0000-0000-000008520000}"/>
    <cellStyle name="Normal 3 59" xfId="5549" xr:uid="{00000000-0005-0000-0000-000009520000}"/>
    <cellStyle name="Normal 3 6" xfId="28415" xr:uid="{00000000-0005-0000-0000-00000A520000}"/>
    <cellStyle name="Normal 3 6 10" xfId="23041" xr:uid="{00000000-0005-0000-0000-00000B520000}"/>
    <cellStyle name="Normal 3 6 11" xfId="22444" xr:uid="{00000000-0005-0000-0000-00000C520000}"/>
    <cellStyle name="Normal 3 6 12" xfId="21848" xr:uid="{00000000-0005-0000-0000-00000D520000}"/>
    <cellStyle name="Normal 3 6 13" xfId="21251" xr:uid="{00000000-0005-0000-0000-00000E520000}"/>
    <cellStyle name="Normal 3 6 14" xfId="20654" xr:uid="{00000000-0005-0000-0000-00000F520000}"/>
    <cellStyle name="Normal 3 6 15" xfId="20057" xr:uid="{00000000-0005-0000-0000-000010520000}"/>
    <cellStyle name="Normal 3 6 16" xfId="19461" xr:uid="{00000000-0005-0000-0000-000011520000}"/>
    <cellStyle name="Normal 3 6 17" xfId="18865" xr:uid="{00000000-0005-0000-0000-000012520000}"/>
    <cellStyle name="Normal 3 6 18" xfId="18273" xr:uid="{00000000-0005-0000-0000-000013520000}"/>
    <cellStyle name="Normal 3 6 19" xfId="17676" xr:uid="{00000000-0005-0000-0000-000014520000}"/>
    <cellStyle name="Normal 3 6 2" xfId="27815" xr:uid="{00000000-0005-0000-0000-000015520000}"/>
    <cellStyle name="Normal 3 6 20" xfId="14743" xr:uid="{00000000-0005-0000-0000-000016520000}"/>
    <cellStyle name="Normal 3 6 21" xfId="14909" xr:uid="{00000000-0005-0000-0000-000017520000}"/>
    <cellStyle name="Normal 3 6 22" xfId="14061" xr:uid="{00000000-0005-0000-0000-000018520000}"/>
    <cellStyle name="Normal 3 6 23" xfId="16307" xr:uid="{00000000-0005-0000-0000-000019520000}"/>
    <cellStyle name="Normal 3 6 24" xfId="16976" xr:uid="{00000000-0005-0000-0000-00001A520000}"/>
    <cellStyle name="Normal 3 6 25" xfId="15046" xr:uid="{00000000-0005-0000-0000-00001B520000}"/>
    <cellStyle name="Normal 3 6 26" xfId="15892" xr:uid="{00000000-0005-0000-0000-00001C520000}"/>
    <cellStyle name="Normal 3 6 27" xfId="15473" xr:uid="{00000000-0005-0000-0000-00001D520000}"/>
    <cellStyle name="Normal 3 6 28" xfId="12285" xr:uid="{00000000-0005-0000-0000-00001E520000}"/>
    <cellStyle name="Normal 3 6 29" xfId="8733" xr:uid="{00000000-0005-0000-0000-00001F520000}"/>
    <cellStyle name="Normal 3 6 3" xfId="27218" xr:uid="{00000000-0005-0000-0000-000020520000}"/>
    <cellStyle name="Normal 3 6 30" xfId="9483" xr:uid="{00000000-0005-0000-0000-000021520000}"/>
    <cellStyle name="Normal 3 6 31" xfId="7733" xr:uid="{00000000-0005-0000-0000-000022520000}"/>
    <cellStyle name="Normal 3 6 32" xfId="6725" xr:uid="{00000000-0005-0000-0000-000023520000}"/>
    <cellStyle name="Normal 3 6 33" xfId="5828" xr:uid="{00000000-0005-0000-0000-000024520000}"/>
    <cellStyle name="Normal 3 6 34" xfId="11780" xr:uid="{00000000-0005-0000-0000-000025520000}"/>
    <cellStyle name="Normal 3 6 35" xfId="7683" xr:uid="{00000000-0005-0000-0000-000026520000}"/>
    <cellStyle name="Normal 3 6 36" xfId="8016" xr:uid="{00000000-0005-0000-0000-000027520000}"/>
    <cellStyle name="Normal 3 6 37" xfId="10839" xr:uid="{00000000-0005-0000-0000-000028520000}"/>
    <cellStyle name="Normal 3 6 38" xfId="10161" xr:uid="{00000000-0005-0000-0000-000029520000}"/>
    <cellStyle name="Normal 3 6 39" xfId="5717" xr:uid="{00000000-0005-0000-0000-00002A520000}"/>
    <cellStyle name="Normal 3 6 4" xfId="26621" xr:uid="{00000000-0005-0000-0000-00002B520000}"/>
    <cellStyle name="Normal 3 6 40" xfId="3395" xr:uid="{00000000-0005-0000-0000-00002C520000}"/>
    <cellStyle name="Normal 3 6 41" xfId="9962" xr:uid="{00000000-0005-0000-0000-00002D520000}"/>
    <cellStyle name="Normal 3 6 42" xfId="3149" xr:uid="{00000000-0005-0000-0000-00002E520000}"/>
    <cellStyle name="Normal 3 6 43" xfId="9840" xr:uid="{00000000-0005-0000-0000-00002F520000}"/>
    <cellStyle name="Normal 3 6 44" xfId="2902" xr:uid="{00000000-0005-0000-0000-000030520000}"/>
    <cellStyle name="Normal 3 6 45" xfId="2659" xr:uid="{00000000-0005-0000-0000-000031520000}"/>
    <cellStyle name="Normal 3 6 46" xfId="2419" xr:uid="{00000000-0005-0000-0000-000032520000}"/>
    <cellStyle name="Normal 3 6 47" xfId="2179" xr:uid="{00000000-0005-0000-0000-000033520000}"/>
    <cellStyle name="Normal 3 6 48" xfId="1939" xr:uid="{00000000-0005-0000-0000-000034520000}"/>
    <cellStyle name="Normal 3 6 49" xfId="1699" xr:uid="{00000000-0005-0000-0000-000035520000}"/>
    <cellStyle name="Normal 3 6 5" xfId="26025" xr:uid="{00000000-0005-0000-0000-000036520000}"/>
    <cellStyle name="Normal 3 6 50" xfId="1460" xr:uid="{00000000-0005-0000-0000-000037520000}"/>
    <cellStyle name="Normal 3 6 51" xfId="1220" xr:uid="{00000000-0005-0000-0000-000038520000}"/>
    <cellStyle name="Normal 3 6 52" xfId="980" xr:uid="{00000000-0005-0000-0000-000039520000}"/>
    <cellStyle name="Normal 3 6 53" xfId="740" xr:uid="{00000000-0005-0000-0000-00003A520000}"/>
    <cellStyle name="Normal 3 6 54" xfId="500" xr:uid="{00000000-0005-0000-0000-00003B520000}"/>
    <cellStyle name="Normal 3 6 55" xfId="261" xr:uid="{00000000-0005-0000-0000-00003C520000}"/>
    <cellStyle name="Normal 3 6 56" xfId="23" xr:uid="{00000000-0005-0000-0000-00003D520000}"/>
    <cellStyle name="Normal 3 6 6" xfId="25429" xr:uid="{00000000-0005-0000-0000-00003E520000}"/>
    <cellStyle name="Normal 3 6 7" xfId="24832" xr:uid="{00000000-0005-0000-0000-00003F520000}"/>
    <cellStyle name="Normal 3 6 8" xfId="24235" xr:uid="{00000000-0005-0000-0000-000040520000}"/>
    <cellStyle name="Normal 3 6 9" xfId="23638" xr:uid="{00000000-0005-0000-0000-000041520000}"/>
    <cellStyle name="Normal 3 60" xfId="7947" xr:uid="{00000000-0005-0000-0000-000042520000}"/>
    <cellStyle name="Normal 3 61" xfId="6505" xr:uid="{00000000-0005-0000-0000-000043520000}"/>
    <cellStyle name="Normal 3 62" xfId="10281" xr:uid="{00000000-0005-0000-0000-000044520000}"/>
    <cellStyle name="Normal 3 63" xfId="7850" xr:uid="{00000000-0005-0000-0000-000045520000}"/>
    <cellStyle name="Normal 3 64" xfId="10859" xr:uid="{00000000-0005-0000-0000-000046520000}"/>
    <cellStyle name="Normal 3 65" xfId="10930" xr:uid="{00000000-0005-0000-0000-000047520000}"/>
    <cellStyle name="Normal 3 66" xfId="8003" xr:uid="{00000000-0005-0000-0000-000048520000}"/>
    <cellStyle name="Normal 3 67" xfId="4225" xr:uid="{00000000-0005-0000-0000-000049520000}"/>
    <cellStyle name="Normal 3 68" xfId="5186" xr:uid="{00000000-0005-0000-0000-00004A520000}"/>
    <cellStyle name="Normal 3 69" xfId="28918" xr:uid="{00000000-0005-0000-0000-00004B520000}"/>
    <cellStyle name="Normal 3 7" xfId="28414" xr:uid="{00000000-0005-0000-0000-00004C520000}"/>
    <cellStyle name="Normal 3 7 10" xfId="23040" xr:uid="{00000000-0005-0000-0000-00004D520000}"/>
    <cellStyle name="Normal 3 7 11" xfId="22443" xr:uid="{00000000-0005-0000-0000-00004E520000}"/>
    <cellStyle name="Normal 3 7 12" xfId="21847" xr:uid="{00000000-0005-0000-0000-00004F520000}"/>
    <cellStyle name="Normal 3 7 13" xfId="21250" xr:uid="{00000000-0005-0000-0000-000050520000}"/>
    <cellStyle name="Normal 3 7 14" xfId="20653" xr:uid="{00000000-0005-0000-0000-000051520000}"/>
    <cellStyle name="Normal 3 7 15" xfId="20056" xr:uid="{00000000-0005-0000-0000-000052520000}"/>
    <cellStyle name="Normal 3 7 16" xfId="19460" xr:uid="{00000000-0005-0000-0000-000053520000}"/>
    <cellStyle name="Normal 3 7 17" xfId="18864" xr:uid="{00000000-0005-0000-0000-000054520000}"/>
    <cellStyle name="Normal 3 7 18" xfId="18272" xr:uid="{00000000-0005-0000-0000-000055520000}"/>
    <cellStyle name="Normal 3 7 19" xfId="17675" xr:uid="{00000000-0005-0000-0000-000056520000}"/>
    <cellStyle name="Normal 3 7 2" xfId="27814" xr:uid="{00000000-0005-0000-0000-000057520000}"/>
    <cellStyle name="Normal 3 7 20" xfId="14945" xr:uid="{00000000-0005-0000-0000-000058520000}"/>
    <cellStyle name="Normal 3 7 21" xfId="14899" xr:uid="{00000000-0005-0000-0000-000059520000}"/>
    <cellStyle name="Normal 3 7 22" xfId="15978" xr:uid="{00000000-0005-0000-0000-00005A520000}"/>
    <cellStyle name="Normal 3 7 23" xfId="15090" xr:uid="{00000000-0005-0000-0000-00005B520000}"/>
    <cellStyle name="Normal 3 7 24" xfId="15239" xr:uid="{00000000-0005-0000-0000-00005C520000}"/>
    <cellStyle name="Normal 3 7 25" xfId="15187" xr:uid="{00000000-0005-0000-0000-00005D520000}"/>
    <cellStyle name="Normal 3 7 26" xfId="13703" xr:uid="{00000000-0005-0000-0000-00005E520000}"/>
    <cellStyle name="Normal 3 7 27" xfId="12881" xr:uid="{00000000-0005-0000-0000-00005F520000}"/>
    <cellStyle name="Normal 3 7 28" xfId="12284" xr:uid="{00000000-0005-0000-0000-000060520000}"/>
    <cellStyle name="Normal 3 7 29" xfId="8971" xr:uid="{00000000-0005-0000-0000-000061520000}"/>
    <cellStyle name="Normal 3 7 3" xfId="27217" xr:uid="{00000000-0005-0000-0000-000062520000}"/>
    <cellStyle name="Normal 3 7 30" xfId="9920" xr:uid="{00000000-0005-0000-0000-000063520000}"/>
    <cellStyle name="Normal 3 7 31" xfId="6175" xr:uid="{00000000-0005-0000-0000-000064520000}"/>
    <cellStyle name="Normal 3 7 32" xfId="5723" xr:uid="{00000000-0005-0000-0000-000065520000}"/>
    <cellStyle name="Normal 3 7 33" xfId="7903" xr:uid="{00000000-0005-0000-0000-000066520000}"/>
    <cellStyle name="Normal 3 7 34" xfId="11720" xr:uid="{00000000-0005-0000-0000-000067520000}"/>
    <cellStyle name="Normal 3 7 35" xfId="8679" xr:uid="{00000000-0005-0000-0000-000068520000}"/>
    <cellStyle name="Normal 3 7 36" xfId="11771" xr:uid="{00000000-0005-0000-0000-000069520000}"/>
    <cellStyle name="Normal 3 7 37" xfId="11366" xr:uid="{00000000-0005-0000-0000-00006A520000}"/>
    <cellStyle name="Normal 3 7 38" xfId="7318" xr:uid="{00000000-0005-0000-0000-00006B520000}"/>
    <cellStyle name="Normal 3 7 39" xfId="11265" xr:uid="{00000000-0005-0000-0000-00006C520000}"/>
    <cellStyle name="Normal 3 7 4" xfId="26620" xr:uid="{00000000-0005-0000-0000-00006D520000}"/>
    <cellStyle name="Normal 3 7 40" xfId="3635" xr:uid="{00000000-0005-0000-0000-00006E520000}"/>
    <cellStyle name="Normal 3 7 41" xfId="7942" xr:uid="{00000000-0005-0000-0000-00006F520000}"/>
    <cellStyle name="Normal 3 7 42" xfId="3539" xr:uid="{00000000-0005-0000-0000-000070520000}"/>
    <cellStyle name="Normal 3 7 43" xfId="10290" xr:uid="{00000000-0005-0000-0000-000071520000}"/>
    <cellStyle name="Normal 3 7 44" xfId="2901" xr:uid="{00000000-0005-0000-0000-000072520000}"/>
    <cellStyle name="Normal 3 7 45" xfId="2658" xr:uid="{00000000-0005-0000-0000-000073520000}"/>
    <cellStyle name="Normal 3 7 46" xfId="2418" xr:uid="{00000000-0005-0000-0000-000074520000}"/>
    <cellStyle name="Normal 3 7 47" xfId="2178" xr:uid="{00000000-0005-0000-0000-000075520000}"/>
    <cellStyle name="Normal 3 7 48" xfId="1938" xr:uid="{00000000-0005-0000-0000-000076520000}"/>
    <cellStyle name="Normal 3 7 49" xfId="1698" xr:uid="{00000000-0005-0000-0000-000077520000}"/>
    <cellStyle name="Normal 3 7 5" xfId="26024" xr:uid="{00000000-0005-0000-0000-000078520000}"/>
    <cellStyle name="Normal 3 7 50" xfId="1459" xr:uid="{00000000-0005-0000-0000-000079520000}"/>
    <cellStyle name="Normal 3 7 51" xfId="1219" xr:uid="{00000000-0005-0000-0000-00007A520000}"/>
    <cellStyle name="Normal 3 7 52" xfId="979" xr:uid="{00000000-0005-0000-0000-00007B520000}"/>
    <cellStyle name="Normal 3 7 53" xfId="739" xr:uid="{00000000-0005-0000-0000-00007C520000}"/>
    <cellStyle name="Normal 3 7 54" xfId="499" xr:uid="{00000000-0005-0000-0000-00007D520000}"/>
    <cellStyle name="Normal 3 7 55" xfId="260" xr:uid="{00000000-0005-0000-0000-00007E520000}"/>
    <cellStyle name="Normal 3 7 56" xfId="22" xr:uid="{00000000-0005-0000-0000-00007F520000}"/>
    <cellStyle name="Normal 3 7 6" xfId="25428" xr:uid="{00000000-0005-0000-0000-000080520000}"/>
    <cellStyle name="Normal 3 7 7" xfId="24831" xr:uid="{00000000-0005-0000-0000-000081520000}"/>
    <cellStyle name="Normal 3 7 8" xfId="24234" xr:uid="{00000000-0005-0000-0000-000082520000}"/>
    <cellStyle name="Normal 3 7 9" xfId="23637" xr:uid="{00000000-0005-0000-0000-000083520000}"/>
    <cellStyle name="Normal 3 8" xfId="28413" xr:uid="{00000000-0005-0000-0000-000084520000}"/>
    <cellStyle name="Normal 3 8 10" xfId="23039" xr:uid="{00000000-0005-0000-0000-000085520000}"/>
    <cellStyle name="Normal 3 8 11" xfId="22442" xr:uid="{00000000-0005-0000-0000-000086520000}"/>
    <cellStyle name="Normal 3 8 12" xfId="21846" xr:uid="{00000000-0005-0000-0000-000087520000}"/>
    <cellStyle name="Normal 3 8 13" xfId="21249" xr:uid="{00000000-0005-0000-0000-000088520000}"/>
    <cellStyle name="Normal 3 8 14" xfId="20652" xr:uid="{00000000-0005-0000-0000-000089520000}"/>
    <cellStyle name="Normal 3 8 15" xfId="20055" xr:uid="{00000000-0005-0000-0000-00008A520000}"/>
    <cellStyle name="Normal 3 8 16" xfId="19459" xr:uid="{00000000-0005-0000-0000-00008B520000}"/>
    <cellStyle name="Normal 3 8 17" xfId="18863" xr:uid="{00000000-0005-0000-0000-00008C520000}"/>
    <cellStyle name="Normal 3 8 18" xfId="18271" xr:uid="{00000000-0005-0000-0000-00008D520000}"/>
    <cellStyle name="Normal 3 8 19" xfId="17674" xr:uid="{00000000-0005-0000-0000-00008E520000}"/>
    <cellStyle name="Normal 3 8 2" xfId="27813" xr:uid="{00000000-0005-0000-0000-00008F520000}"/>
    <cellStyle name="Normal 3 8 20" xfId="15152" xr:uid="{00000000-0005-0000-0000-000090520000}"/>
    <cellStyle name="Normal 3 8 21" xfId="14692" xr:uid="{00000000-0005-0000-0000-000091520000}"/>
    <cellStyle name="Normal 3 8 22" xfId="15601" xr:uid="{00000000-0005-0000-0000-000092520000}"/>
    <cellStyle name="Normal 3 8 23" xfId="16961" xr:uid="{00000000-0005-0000-0000-000093520000}"/>
    <cellStyle name="Normal 3 8 24" xfId="14848" xr:uid="{00000000-0005-0000-0000-000094520000}"/>
    <cellStyle name="Normal 3 8 25" xfId="13315" xr:uid="{00000000-0005-0000-0000-000095520000}"/>
    <cellStyle name="Normal 3 8 26" xfId="16556" xr:uid="{00000000-0005-0000-0000-000096520000}"/>
    <cellStyle name="Normal 3 8 27" xfId="17048" xr:uid="{00000000-0005-0000-0000-000097520000}"/>
    <cellStyle name="Normal 3 8 28" xfId="12283" xr:uid="{00000000-0005-0000-0000-000098520000}"/>
    <cellStyle name="Normal 3 8 29" xfId="9206" xr:uid="{00000000-0005-0000-0000-000099520000}"/>
    <cellStyle name="Normal 3 8 3" xfId="27216" xr:uid="{00000000-0005-0000-0000-00009A520000}"/>
    <cellStyle name="Normal 3 8 30" xfId="10150" xr:uid="{00000000-0005-0000-0000-00009B520000}"/>
    <cellStyle name="Normal 3 8 31" xfId="11836" xr:uid="{00000000-0005-0000-0000-00009C520000}"/>
    <cellStyle name="Normal 3 8 32" xfId="9812" xr:uid="{00000000-0005-0000-0000-00009D520000}"/>
    <cellStyle name="Normal 3 8 33" xfId="7496" xr:uid="{00000000-0005-0000-0000-00009E520000}"/>
    <cellStyle name="Normal 3 8 34" xfId="6994" xr:uid="{00000000-0005-0000-0000-00009F520000}"/>
    <cellStyle name="Normal 3 8 35" xfId="6158" xr:uid="{00000000-0005-0000-0000-0000A0520000}"/>
    <cellStyle name="Normal 3 8 36" xfId="10892" xr:uid="{00000000-0005-0000-0000-0000A1520000}"/>
    <cellStyle name="Normal 3 8 37" xfId="10945" xr:uid="{00000000-0005-0000-0000-0000A2520000}"/>
    <cellStyle name="Normal 3 8 38" xfId="4086" xr:uid="{00000000-0005-0000-0000-0000A3520000}"/>
    <cellStyle name="Normal 3 8 39" xfId="3392" xr:uid="{00000000-0005-0000-0000-0000A4520000}"/>
    <cellStyle name="Normal 3 8 4" xfId="26619" xr:uid="{00000000-0005-0000-0000-0000A5520000}"/>
    <cellStyle name="Normal 3 8 40" xfId="6614" xr:uid="{00000000-0005-0000-0000-0000A6520000}"/>
    <cellStyle name="Normal 3 8 41" xfId="3581" xr:uid="{00000000-0005-0000-0000-0000A7520000}"/>
    <cellStyle name="Normal 3 8 42" xfId="3450" xr:uid="{00000000-0005-0000-0000-0000A8520000}"/>
    <cellStyle name="Normal 3 8 43" xfId="5276" xr:uid="{00000000-0005-0000-0000-0000A9520000}"/>
    <cellStyle name="Normal 3 8 44" xfId="2900" xr:uid="{00000000-0005-0000-0000-0000AA520000}"/>
    <cellStyle name="Normal 3 8 45" xfId="2657" xr:uid="{00000000-0005-0000-0000-0000AB520000}"/>
    <cellStyle name="Normal 3 8 46" xfId="2417" xr:uid="{00000000-0005-0000-0000-0000AC520000}"/>
    <cellStyle name="Normal 3 8 47" xfId="2177" xr:uid="{00000000-0005-0000-0000-0000AD520000}"/>
    <cellStyle name="Normal 3 8 48" xfId="1937" xr:uid="{00000000-0005-0000-0000-0000AE520000}"/>
    <cellStyle name="Normal 3 8 49" xfId="1697" xr:uid="{00000000-0005-0000-0000-0000AF520000}"/>
    <cellStyle name="Normal 3 8 5" xfId="26023" xr:uid="{00000000-0005-0000-0000-0000B0520000}"/>
    <cellStyle name="Normal 3 8 50" xfId="1458" xr:uid="{00000000-0005-0000-0000-0000B1520000}"/>
    <cellStyle name="Normal 3 8 51" xfId="1218" xr:uid="{00000000-0005-0000-0000-0000B2520000}"/>
    <cellStyle name="Normal 3 8 52" xfId="978" xr:uid="{00000000-0005-0000-0000-0000B3520000}"/>
    <cellStyle name="Normal 3 8 53" xfId="738" xr:uid="{00000000-0005-0000-0000-0000B4520000}"/>
    <cellStyle name="Normal 3 8 54" xfId="498" xr:uid="{00000000-0005-0000-0000-0000B5520000}"/>
    <cellStyle name="Normal 3 8 55" xfId="259" xr:uid="{00000000-0005-0000-0000-0000B6520000}"/>
    <cellStyle name="Normal 3 8 56" xfId="21" xr:uid="{00000000-0005-0000-0000-0000B7520000}"/>
    <cellStyle name="Normal 3 8 6" xfId="25427" xr:uid="{00000000-0005-0000-0000-0000B8520000}"/>
    <cellStyle name="Normal 3 8 7" xfId="24830" xr:uid="{00000000-0005-0000-0000-0000B9520000}"/>
    <cellStyle name="Normal 3 8 8" xfId="24233" xr:uid="{00000000-0005-0000-0000-0000BA520000}"/>
    <cellStyle name="Normal 3 8 9" xfId="23636" xr:uid="{00000000-0005-0000-0000-0000BB520000}"/>
    <cellStyle name="Normal 3 9" xfId="28412" xr:uid="{00000000-0005-0000-0000-0000BC520000}"/>
    <cellStyle name="Normal 3 9 10" xfId="23038" xr:uid="{00000000-0005-0000-0000-0000BD520000}"/>
    <cellStyle name="Normal 3 9 11" xfId="22441" xr:uid="{00000000-0005-0000-0000-0000BE520000}"/>
    <cellStyle name="Normal 3 9 12" xfId="21845" xr:uid="{00000000-0005-0000-0000-0000BF520000}"/>
    <cellStyle name="Normal 3 9 13" xfId="21248" xr:uid="{00000000-0005-0000-0000-0000C0520000}"/>
    <cellStyle name="Normal 3 9 14" xfId="20651" xr:uid="{00000000-0005-0000-0000-0000C1520000}"/>
    <cellStyle name="Normal 3 9 15" xfId="20054" xr:uid="{00000000-0005-0000-0000-0000C2520000}"/>
    <cellStyle name="Normal 3 9 16" xfId="19458" xr:uid="{00000000-0005-0000-0000-0000C3520000}"/>
    <cellStyle name="Normal 3 9 17" xfId="18862" xr:uid="{00000000-0005-0000-0000-0000C4520000}"/>
    <cellStyle name="Normal 3 9 18" xfId="18270" xr:uid="{00000000-0005-0000-0000-0000C5520000}"/>
    <cellStyle name="Normal 3 9 19" xfId="17673" xr:uid="{00000000-0005-0000-0000-0000C6520000}"/>
    <cellStyle name="Normal 3 9 2" xfId="27812" xr:uid="{00000000-0005-0000-0000-0000C7520000}"/>
    <cellStyle name="Normal 3 9 20" xfId="15347" xr:uid="{00000000-0005-0000-0000-0000C8520000}"/>
    <cellStyle name="Normal 3 9 21" xfId="14679" xr:uid="{00000000-0005-0000-0000-0000C9520000}"/>
    <cellStyle name="Normal 3 9 22" xfId="17219" xr:uid="{00000000-0005-0000-0000-0000CA520000}"/>
    <cellStyle name="Normal 3 9 23" xfId="15099" xr:uid="{00000000-0005-0000-0000-0000CB520000}"/>
    <cellStyle name="Normal 3 9 24" xfId="16567" xr:uid="{00000000-0005-0000-0000-0000CC520000}"/>
    <cellStyle name="Normal 3 9 25" xfId="15577" xr:uid="{00000000-0005-0000-0000-0000CD520000}"/>
    <cellStyle name="Normal 3 9 26" xfId="13908" xr:uid="{00000000-0005-0000-0000-0000CE520000}"/>
    <cellStyle name="Normal 3 9 27" xfId="12757" xr:uid="{00000000-0005-0000-0000-0000CF520000}"/>
    <cellStyle name="Normal 3 9 28" xfId="12282" xr:uid="{00000000-0005-0000-0000-0000D0520000}"/>
    <cellStyle name="Normal 3 9 29" xfId="9439" xr:uid="{00000000-0005-0000-0000-0000D1520000}"/>
    <cellStyle name="Normal 3 9 3" xfId="27215" xr:uid="{00000000-0005-0000-0000-0000D2520000}"/>
    <cellStyle name="Normal 3 9 30" xfId="5865" xr:uid="{00000000-0005-0000-0000-0000D3520000}"/>
    <cellStyle name="Normal 3 9 31" xfId="8064" xr:uid="{00000000-0005-0000-0000-0000D4520000}"/>
    <cellStyle name="Normal 3 9 32" xfId="8070" xr:uid="{00000000-0005-0000-0000-0000D5520000}"/>
    <cellStyle name="Normal 3 9 33" xfId="8142" xr:uid="{00000000-0005-0000-0000-0000D6520000}"/>
    <cellStyle name="Normal 3 9 34" xfId="7488" xr:uid="{00000000-0005-0000-0000-0000D7520000}"/>
    <cellStyle name="Normal 3 9 35" xfId="10901" xr:uid="{00000000-0005-0000-0000-0000D8520000}"/>
    <cellStyle name="Normal 3 9 36" xfId="4500" xr:uid="{00000000-0005-0000-0000-0000D9520000}"/>
    <cellStyle name="Normal 3 9 37" xfId="10755" xr:uid="{00000000-0005-0000-0000-0000DA520000}"/>
    <cellStyle name="Normal 3 9 38" xfId="10318" xr:uid="{00000000-0005-0000-0000-0000DB520000}"/>
    <cellStyle name="Normal 3 9 39" xfId="3524" xr:uid="{00000000-0005-0000-0000-0000DC520000}"/>
    <cellStyle name="Normal 3 9 4" xfId="26618" xr:uid="{00000000-0005-0000-0000-0000DD520000}"/>
    <cellStyle name="Normal 3 9 40" xfId="10480" xr:uid="{00000000-0005-0000-0000-0000DE520000}"/>
    <cellStyle name="Normal 3 9 41" xfId="4744" xr:uid="{00000000-0005-0000-0000-0000DF520000}"/>
    <cellStyle name="Normal 3 9 42" xfId="3144" xr:uid="{00000000-0005-0000-0000-0000E0520000}"/>
    <cellStyle name="Normal 3 9 43" xfId="11750" xr:uid="{00000000-0005-0000-0000-0000E1520000}"/>
    <cellStyle name="Normal 3 9 44" xfId="2899" xr:uid="{00000000-0005-0000-0000-0000E2520000}"/>
    <cellStyle name="Normal 3 9 45" xfId="2656" xr:uid="{00000000-0005-0000-0000-0000E3520000}"/>
    <cellStyle name="Normal 3 9 46" xfId="2416" xr:uid="{00000000-0005-0000-0000-0000E4520000}"/>
    <cellStyle name="Normal 3 9 47" xfId="2176" xr:uid="{00000000-0005-0000-0000-0000E5520000}"/>
    <cellStyle name="Normal 3 9 48" xfId="1936" xr:uid="{00000000-0005-0000-0000-0000E6520000}"/>
    <cellStyle name="Normal 3 9 49" xfId="1696" xr:uid="{00000000-0005-0000-0000-0000E7520000}"/>
    <cellStyle name="Normal 3 9 5" xfId="26022" xr:uid="{00000000-0005-0000-0000-0000E8520000}"/>
    <cellStyle name="Normal 3 9 50" xfId="1457" xr:uid="{00000000-0005-0000-0000-0000E9520000}"/>
    <cellStyle name="Normal 3 9 51" xfId="1217" xr:uid="{00000000-0005-0000-0000-0000EA520000}"/>
    <cellStyle name="Normal 3 9 52" xfId="977" xr:uid="{00000000-0005-0000-0000-0000EB520000}"/>
    <cellStyle name="Normal 3 9 53" xfId="737" xr:uid="{00000000-0005-0000-0000-0000EC520000}"/>
    <cellStyle name="Normal 3 9 54" xfId="497" xr:uid="{00000000-0005-0000-0000-0000ED520000}"/>
    <cellStyle name="Normal 3 9 55" xfId="258" xr:uid="{00000000-0005-0000-0000-0000EE520000}"/>
    <cellStyle name="Normal 3 9 56" xfId="20" xr:uid="{00000000-0005-0000-0000-0000EF520000}"/>
    <cellStyle name="Normal 3 9 6" xfId="25426" xr:uid="{00000000-0005-0000-0000-0000F0520000}"/>
    <cellStyle name="Normal 3 9 7" xfId="24829" xr:uid="{00000000-0005-0000-0000-0000F1520000}"/>
    <cellStyle name="Normal 3 9 8" xfId="24232" xr:uid="{00000000-0005-0000-0000-0000F2520000}"/>
    <cellStyle name="Normal 3 9 9" xfId="23635" xr:uid="{00000000-0005-0000-0000-0000F3520000}"/>
    <cellStyle name="Normal 30" xfId="22878" xr:uid="{00000000-0005-0000-0000-0000F4520000}"/>
    <cellStyle name="Normal 31" xfId="8286" xr:uid="{00000000-0005-0000-0000-0000F5520000}"/>
    <cellStyle name="Normal 31 10" xfId="4012" xr:uid="{00000000-0005-0000-0000-0000F6520000}"/>
    <cellStyle name="Normal 31 11" xfId="9677" xr:uid="{00000000-0005-0000-0000-0000F7520000}"/>
    <cellStyle name="Normal 31 12" xfId="3812" xr:uid="{00000000-0005-0000-0000-0000F8520000}"/>
    <cellStyle name="Normal 31 13" xfId="10671" xr:uid="{00000000-0005-0000-0000-0000F9520000}"/>
    <cellStyle name="Normal 31 14" xfId="5372" xr:uid="{00000000-0005-0000-0000-0000FA520000}"/>
    <cellStyle name="Normal 31 15" xfId="6856" xr:uid="{00000000-0005-0000-0000-0000FB520000}"/>
    <cellStyle name="Normal 31 2" xfId="5539" xr:uid="{00000000-0005-0000-0000-0000FC520000}"/>
    <cellStyle name="Normal 31 3" xfId="5238" xr:uid="{00000000-0005-0000-0000-0000FD520000}"/>
    <cellStyle name="Normal 31 4" xfId="4965" xr:uid="{00000000-0005-0000-0000-0000FE520000}"/>
    <cellStyle name="Normal 31 5" xfId="4714" xr:uid="{00000000-0005-0000-0000-0000FF520000}"/>
    <cellStyle name="Normal 31 6" xfId="11065" xr:uid="{00000000-0005-0000-0000-000000530000}"/>
    <cellStyle name="Normal 31 7" xfId="9698" xr:uid="{00000000-0005-0000-0000-000001530000}"/>
    <cellStyle name="Normal 31 8" xfId="8183" xr:uid="{00000000-0005-0000-0000-000002530000}"/>
    <cellStyle name="Normal 31 9" xfId="6931" xr:uid="{00000000-0005-0000-0000-000003530000}"/>
    <cellStyle name="Normal 32" xfId="21685" xr:uid="{00000000-0005-0000-0000-000004530000}"/>
    <cellStyle name="Normal 33" xfId="21088" xr:uid="{00000000-0005-0000-0000-000005530000}"/>
    <cellStyle name="Normal 34" xfId="13952" xr:uid="{00000000-0005-0000-0000-000006530000}"/>
    <cellStyle name="Normal 34 2" xfId="13058" xr:uid="{00000000-0005-0000-0000-000007530000}"/>
    <cellStyle name="Normal 34 3" xfId="12900" xr:uid="{00000000-0005-0000-0000-000008530000}"/>
    <cellStyle name="Normal 34 4" xfId="12818" xr:uid="{00000000-0005-0000-0000-000009530000}"/>
    <cellStyle name="Normal 34 5" xfId="12750" xr:uid="{00000000-0005-0000-0000-00000A530000}"/>
    <cellStyle name="Normal 34 6" xfId="12724" xr:uid="{00000000-0005-0000-0000-00000B530000}"/>
    <cellStyle name="Normal 35" xfId="15254" xr:uid="{00000000-0005-0000-0000-00000C530000}"/>
    <cellStyle name="Normal 35 2" xfId="13150" xr:uid="{00000000-0005-0000-0000-00000D530000}"/>
    <cellStyle name="Normal 35 3" xfId="13007" xr:uid="{00000000-0005-0000-0000-00000E530000}"/>
    <cellStyle name="Normal 35 4" xfId="15852" xr:uid="{00000000-0005-0000-0000-00000F530000}"/>
    <cellStyle name="Normal 35 5" xfId="16034" xr:uid="{00000000-0005-0000-0000-000010530000}"/>
    <cellStyle name="Normal 35 6" xfId="17275" xr:uid="{00000000-0005-0000-0000-000011530000}"/>
    <cellStyle name="Normal 36" xfId="16032" xr:uid="{00000000-0005-0000-0000-000012530000}"/>
    <cellStyle name="Normal 36 2" xfId="17181" xr:uid="{00000000-0005-0000-0000-000013530000}"/>
    <cellStyle name="Normal 36 3" xfId="15243" xr:uid="{00000000-0005-0000-0000-000014530000}"/>
    <cellStyle name="Normal 36 4" xfId="15016" xr:uid="{00000000-0005-0000-0000-000015530000}"/>
    <cellStyle name="Normal 36 5" xfId="13618" xr:uid="{00000000-0005-0000-0000-000016530000}"/>
    <cellStyle name="Normal 37" xfId="16179" xr:uid="{00000000-0005-0000-0000-000017530000}"/>
    <cellStyle name="Normal 37 2" xfId="15610" xr:uid="{00000000-0005-0000-0000-000018530000}"/>
    <cellStyle name="Normal 37 3" xfId="14780" xr:uid="{00000000-0005-0000-0000-000019530000}"/>
    <cellStyle name="Normal 37 4" xfId="13897" xr:uid="{00000000-0005-0000-0000-00001A530000}"/>
    <cellStyle name="Normal 38" xfId="16896" xr:uid="{00000000-0005-0000-0000-00001B530000}"/>
    <cellStyle name="Normal 38 2" xfId="16372" xr:uid="{00000000-0005-0000-0000-00001C530000}"/>
    <cellStyle name="Normal 38 3" xfId="13067" xr:uid="{00000000-0005-0000-0000-00001D530000}"/>
    <cellStyle name="Normal 39" xfId="13475" xr:uid="{00000000-0005-0000-0000-00001E530000}"/>
    <cellStyle name="Normal 39 2" xfId="12723" xr:uid="{00000000-0005-0000-0000-00001F530000}"/>
    <cellStyle name="Normal 4" xfId="28411" xr:uid="{00000000-0005-0000-0000-000020530000}"/>
    <cellStyle name="Normal 4 10" xfId="28410" xr:uid="{00000000-0005-0000-0000-000021530000}"/>
    <cellStyle name="Normal 4 10 10" xfId="23036" xr:uid="{00000000-0005-0000-0000-000022530000}"/>
    <cellStyle name="Normal 4 10 11" xfId="22439" xr:uid="{00000000-0005-0000-0000-000023530000}"/>
    <cellStyle name="Normal 4 10 12" xfId="21843" xr:uid="{00000000-0005-0000-0000-000024530000}"/>
    <cellStyle name="Normal 4 10 13" xfId="21246" xr:uid="{00000000-0005-0000-0000-000025530000}"/>
    <cellStyle name="Normal 4 10 14" xfId="20649" xr:uid="{00000000-0005-0000-0000-000026530000}"/>
    <cellStyle name="Normal 4 10 15" xfId="20052" xr:uid="{00000000-0005-0000-0000-000027530000}"/>
    <cellStyle name="Normal 4 10 16" xfId="19456" xr:uid="{00000000-0005-0000-0000-000028530000}"/>
    <cellStyle name="Normal 4 10 17" xfId="18860" xr:uid="{00000000-0005-0000-0000-000029530000}"/>
    <cellStyle name="Normal 4 10 18" xfId="18268" xr:uid="{00000000-0005-0000-0000-00002A530000}"/>
    <cellStyle name="Normal 4 10 19" xfId="17671" xr:uid="{00000000-0005-0000-0000-00002B530000}"/>
    <cellStyle name="Normal 4 10 2" xfId="27810" xr:uid="{00000000-0005-0000-0000-00002C530000}"/>
    <cellStyle name="Normal 4 10 20" xfId="15744" xr:uid="{00000000-0005-0000-0000-00002D530000}"/>
    <cellStyle name="Normal 4 10 21" xfId="14269" xr:uid="{00000000-0005-0000-0000-00002E530000}"/>
    <cellStyle name="Normal 4 10 22" xfId="17014" xr:uid="{00000000-0005-0000-0000-00002F530000}"/>
    <cellStyle name="Normal 4 10 23" xfId="17255" xr:uid="{00000000-0005-0000-0000-000030530000}"/>
    <cellStyle name="Normal 4 10 24" xfId="16257" xr:uid="{00000000-0005-0000-0000-000031530000}"/>
    <cellStyle name="Normal 4 10 25" xfId="14405" xr:uid="{00000000-0005-0000-0000-000032530000}"/>
    <cellStyle name="Normal 4 10 26" xfId="13455" xr:uid="{00000000-0005-0000-0000-000033530000}"/>
    <cellStyle name="Normal 4 10 27" xfId="13068" xr:uid="{00000000-0005-0000-0000-000034530000}"/>
    <cellStyle name="Normal 4 10 28" xfId="12280" xr:uid="{00000000-0005-0000-0000-000035530000}"/>
    <cellStyle name="Normal 4 10 29" xfId="9890" xr:uid="{00000000-0005-0000-0000-000036530000}"/>
    <cellStyle name="Normal 4 10 3" xfId="27213" xr:uid="{00000000-0005-0000-0000-000037530000}"/>
    <cellStyle name="Normal 4 10 30" xfId="10757" xr:uid="{00000000-0005-0000-0000-000038530000}"/>
    <cellStyle name="Normal 4 10 31" xfId="11639" xr:uid="{00000000-0005-0000-0000-000039530000}"/>
    <cellStyle name="Normal 4 10 32" xfId="5402" xr:uid="{00000000-0005-0000-0000-00003A530000}"/>
    <cellStyle name="Normal 4 10 33" xfId="5331" xr:uid="{00000000-0005-0000-0000-00003B530000}"/>
    <cellStyle name="Normal 4 10 34" xfId="8824" xr:uid="{00000000-0005-0000-0000-00003C530000}"/>
    <cellStyle name="Normal 4 10 35" xfId="10864" xr:uid="{00000000-0005-0000-0000-00003D530000}"/>
    <cellStyle name="Normal 4 10 36" xfId="4209" xr:uid="{00000000-0005-0000-0000-00003E530000}"/>
    <cellStyle name="Normal 4 10 37" xfId="11156" xr:uid="{00000000-0005-0000-0000-00003F530000}"/>
    <cellStyle name="Normal 4 10 38" xfId="11076" xr:uid="{00000000-0005-0000-0000-000040530000}"/>
    <cellStyle name="Normal 4 10 39" xfId="9599" xr:uid="{00000000-0005-0000-0000-000041530000}"/>
    <cellStyle name="Normal 4 10 4" xfId="26616" xr:uid="{00000000-0005-0000-0000-000042530000}"/>
    <cellStyle name="Normal 4 10 40" xfId="4484" xr:uid="{00000000-0005-0000-0000-000043530000}"/>
    <cellStyle name="Normal 4 10 41" xfId="5249" xr:uid="{00000000-0005-0000-0000-000044530000}"/>
    <cellStyle name="Normal 4 10 42" xfId="3939" xr:uid="{00000000-0005-0000-0000-000045530000}"/>
    <cellStyle name="Normal 4 10 43" xfId="9304" xr:uid="{00000000-0005-0000-0000-000046530000}"/>
    <cellStyle name="Normal 4 10 44" xfId="2898" xr:uid="{00000000-0005-0000-0000-000047530000}"/>
    <cellStyle name="Normal 4 10 45" xfId="2655" xr:uid="{00000000-0005-0000-0000-000048530000}"/>
    <cellStyle name="Normal 4 10 46" xfId="2415" xr:uid="{00000000-0005-0000-0000-000049530000}"/>
    <cellStyle name="Normal 4 10 47" xfId="2175" xr:uid="{00000000-0005-0000-0000-00004A530000}"/>
    <cellStyle name="Normal 4 10 48" xfId="1935" xr:uid="{00000000-0005-0000-0000-00004B530000}"/>
    <cellStyle name="Normal 4 10 49" xfId="1695" xr:uid="{00000000-0005-0000-0000-00004C530000}"/>
    <cellStyle name="Normal 4 10 5" xfId="26020" xr:uid="{00000000-0005-0000-0000-00004D530000}"/>
    <cellStyle name="Normal 4 10 50" xfId="1456" xr:uid="{00000000-0005-0000-0000-00004E530000}"/>
    <cellStyle name="Normal 4 10 51" xfId="1216" xr:uid="{00000000-0005-0000-0000-00004F530000}"/>
    <cellStyle name="Normal 4 10 52" xfId="976" xr:uid="{00000000-0005-0000-0000-000050530000}"/>
    <cellStyle name="Normal 4 10 53" xfId="736" xr:uid="{00000000-0005-0000-0000-000051530000}"/>
    <cellStyle name="Normal 4 10 54" xfId="496" xr:uid="{00000000-0005-0000-0000-000052530000}"/>
    <cellStyle name="Normal 4 10 55" xfId="257" xr:uid="{00000000-0005-0000-0000-000053530000}"/>
    <cellStyle name="Normal 4 10 56" xfId="19" xr:uid="{00000000-0005-0000-0000-000054530000}"/>
    <cellStyle name="Normal 4 10 6" xfId="25424" xr:uid="{00000000-0005-0000-0000-000055530000}"/>
    <cellStyle name="Normal 4 10 7" xfId="24827" xr:uid="{00000000-0005-0000-0000-000056530000}"/>
    <cellStyle name="Normal 4 10 8" xfId="24230" xr:uid="{00000000-0005-0000-0000-000057530000}"/>
    <cellStyle name="Normal 4 10 9" xfId="23633" xr:uid="{00000000-0005-0000-0000-000058530000}"/>
    <cellStyle name="Normal 4 11" xfId="28409" xr:uid="{00000000-0005-0000-0000-000059530000}"/>
    <cellStyle name="Normal 4 11 10" xfId="23035" xr:uid="{00000000-0005-0000-0000-00005A530000}"/>
    <cellStyle name="Normal 4 11 11" xfId="22438" xr:uid="{00000000-0005-0000-0000-00005B530000}"/>
    <cellStyle name="Normal 4 11 12" xfId="21842" xr:uid="{00000000-0005-0000-0000-00005C530000}"/>
    <cellStyle name="Normal 4 11 13" xfId="21245" xr:uid="{00000000-0005-0000-0000-00005D530000}"/>
    <cellStyle name="Normal 4 11 14" xfId="20648" xr:uid="{00000000-0005-0000-0000-00005E530000}"/>
    <cellStyle name="Normal 4 11 15" xfId="20051" xr:uid="{00000000-0005-0000-0000-00005F530000}"/>
    <cellStyle name="Normal 4 11 16" xfId="19455" xr:uid="{00000000-0005-0000-0000-000060530000}"/>
    <cellStyle name="Normal 4 11 17" xfId="18859" xr:uid="{00000000-0005-0000-0000-000061530000}"/>
    <cellStyle name="Normal 4 11 18" xfId="18267" xr:uid="{00000000-0005-0000-0000-000062530000}"/>
    <cellStyle name="Normal 4 11 19" xfId="17670" xr:uid="{00000000-0005-0000-0000-000063530000}"/>
    <cellStyle name="Normal 4 11 2" xfId="27809" xr:uid="{00000000-0005-0000-0000-000064530000}"/>
    <cellStyle name="Normal 4 11 20" xfId="15945" xr:uid="{00000000-0005-0000-0000-000065530000}"/>
    <cellStyle name="Normal 4 11 21" xfId="17243" xr:uid="{00000000-0005-0000-0000-000066530000}"/>
    <cellStyle name="Normal 4 11 22" xfId="16412" xr:uid="{00000000-0005-0000-0000-000067530000}"/>
    <cellStyle name="Normal 4 11 23" xfId="13690" xr:uid="{00000000-0005-0000-0000-000068530000}"/>
    <cellStyle name="Normal 4 11 24" xfId="16268" xr:uid="{00000000-0005-0000-0000-000069530000}"/>
    <cellStyle name="Normal 4 11 25" xfId="16635" xr:uid="{00000000-0005-0000-0000-00006A530000}"/>
    <cellStyle name="Normal 4 11 26" xfId="15120" xr:uid="{00000000-0005-0000-0000-00006B530000}"/>
    <cellStyle name="Normal 4 11 27" xfId="12752" xr:uid="{00000000-0005-0000-0000-00006C530000}"/>
    <cellStyle name="Normal 4 11 28" xfId="12279" xr:uid="{00000000-0005-0000-0000-00006D530000}"/>
    <cellStyle name="Normal 4 11 29" xfId="10125" xr:uid="{00000000-0005-0000-0000-00006E530000}"/>
    <cellStyle name="Normal 4 11 3" xfId="27212" xr:uid="{00000000-0005-0000-0000-00006F530000}"/>
    <cellStyle name="Normal 4 11 30" xfId="9371" xr:uid="{00000000-0005-0000-0000-000070530000}"/>
    <cellStyle name="Normal 4 11 31" xfId="11408" xr:uid="{00000000-0005-0000-0000-000071530000}"/>
    <cellStyle name="Normal 4 11 32" xfId="9307" xr:uid="{00000000-0005-0000-0000-000072530000}"/>
    <cellStyle name="Normal 4 11 33" xfId="8220" xr:uid="{00000000-0005-0000-0000-000073530000}"/>
    <cellStyle name="Normal 4 11 34" xfId="7890" xr:uid="{00000000-0005-0000-0000-000074530000}"/>
    <cellStyle name="Normal 4 11 35" xfId="10517" xr:uid="{00000000-0005-0000-0000-000075530000}"/>
    <cellStyle name="Normal 4 11 36" xfId="5048" xr:uid="{00000000-0005-0000-0000-000076530000}"/>
    <cellStyle name="Normal 4 11 37" xfId="8330" xr:uid="{00000000-0005-0000-0000-000077530000}"/>
    <cellStyle name="Normal 4 11 38" xfId="4463" xr:uid="{00000000-0005-0000-0000-000078530000}"/>
    <cellStyle name="Normal 4 11 39" xfId="4331" xr:uid="{00000000-0005-0000-0000-000079530000}"/>
    <cellStyle name="Normal 4 11 4" xfId="26615" xr:uid="{00000000-0005-0000-0000-00007A530000}"/>
    <cellStyle name="Normal 4 11 40" xfId="11876" xr:uid="{00000000-0005-0000-0000-00007B530000}"/>
    <cellStyle name="Normal 4 11 41" xfId="11112" xr:uid="{00000000-0005-0000-0000-00007C530000}"/>
    <cellStyle name="Normal 4 11 42" xfId="3904" xr:uid="{00000000-0005-0000-0000-00007D530000}"/>
    <cellStyle name="Normal 4 11 43" xfId="7741" xr:uid="{00000000-0005-0000-0000-00007E530000}"/>
    <cellStyle name="Normal 4 11 44" xfId="2897" xr:uid="{00000000-0005-0000-0000-00007F530000}"/>
    <cellStyle name="Normal 4 11 45" xfId="2654" xr:uid="{00000000-0005-0000-0000-000080530000}"/>
    <cellStyle name="Normal 4 11 46" xfId="2414" xr:uid="{00000000-0005-0000-0000-000081530000}"/>
    <cellStyle name="Normal 4 11 47" xfId="2174" xr:uid="{00000000-0005-0000-0000-000082530000}"/>
    <cellStyle name="Normal 4 11 48" xfId="1934" xr:uid="{00000000-0005-0000-0000-000083530000}"/>
    <cellStyle name="Normal 4 11 49" xfId="1694" xr:uid="{00000000-0005-0000-0000-000084530000}"/>
    <cellStyle name="Normal 4 11 5" xfId="26019" xr:uid="{00000000-0005-0000-0000-000085530000}"/>
    <cellStyle name="Normal 4 11 50" xfId="1455" xr:uid="{00000000-0005-0000-0000-000086530000}"/>
    <cellStyle name="Normal 4 11 51" xfId="1215" xr:uid="{00000000-0005-0000-0000-000087530000}"/>
    <cellStyle name="Normal 4 11 52" xfId="975" xr:uid="{00000000-0005-0000-0000-000088530000}"/>
    <cellStyle name="Normal 4 11 53" xfId="735" xr:uid="{00000000-0005-0000-0000-000089530000}"/>
    <cellStyle name="Normal 4 11 54" xfId="495" xr:uid="{00000000-0005-0000-0000-00008A530000}"/>
    <cellStyle name="Normal 4 11 55" xfId="256" xr:uid="{00000000-0005-0000-0000-00008B530000}"/>
    <cellStyle name="Normal 4 11 56" xfId="18" xr:uid="{00000000-0005-0000-0000-00008C530000}"/>
    <cellStyle name="Normal 4 11 6" xfId="25423" xr:uid="{00000000-0005-0000-0000-00008D530000}"/>
    <cellStyle name="Normal 4 11 7" xfId="24826" xr:uid="{00000000-0005-0000-0000-00008E530000}"/>
    <cellStyle name="Normal 4 11 8" xfId="24229" xr:uid="{00000000-0005-0000-0000-00008F530000}"/>
    <cellStyle name="Normal 4 11 9" xfId="23632" xr:uid="{00000000-0005-0000-0000-000090530000}"/>
    <cellStyle name="Normal 4 12" xfId="28408" xr:uid="{00000000-0005-0000-0000-000091530000}"/>
    <cellStyle name="Normal 4 12 10" xfId="23034" xr:uid="{00000000-0005-0000-0000-000092530000}"/>
    <cellStyle name="Normal 4 12 11" xfId="22437" xr:uid="{00000000-0005-0000-0000-000093530000}"/>
    <cellStyle name="Normal 4 12 12" xfId="21841" xr:uid="{00000000-0005-0000-0000-000094530000}"/>
    <cellStyle name="Normal 4 12 13" xfId="21244" xr:uid="{00000000-0005-0000-0000-000095530000}"/>
    <cellStyle name="Normal 4 12 14" xfId="20647" xr:uid="{00000000-0005-0000-0000-000096530000}"/>
    <cellStyle name="Normal 4 12 15" xfId="20050" xr:uid="{00000000-0005-0000-0000-000097530000}"/>
    <cellStyle name="Normal 4 12 16" xfId="19454" xr:uid="{00000000-0005-0000-0000-000098530000}"/>
    <cellStyle name="Normal 4 12 17" xfId="18858" xr:uid="{00000000-0005-0000-0000-000099530000}"/>
    <cellStyle name="Normal 4 12 18" xfId="18266" xr:uid="{00000000-0005-0000-0000-00009A530000}"/>
    <cellStyle name="Normal 4 12 19" xfId="17669" xr:uid="{00000000-0005-0000-0000-00009B530000}"/>
    <cellStyle name="Normal 4 12 2" xfId="27808" xr:uid="{00000000-0005-0000-0000-00009C530000}"/>
    <cellStyle name="Normal 4 12 20" xfId="16153" xr:uid="{00000000-0005-0000-0000-00009D530000}"/>
    <cellStyle name="Normal 4 12 21" xfId="16440" xr:uid="{00000000-0005-0000-0000-00009E530000}"/>
    <cellStyle name="Normal 4 12 22" xfId="17223" xr:uid="{00000000-0005-0000-0000-00009F530000}"/>
    <cellStyle name="Normal 4 12 23" xfId="14240" xr:uid="{00000000-0005-0000-0000-0000A0530000}"/>
    <cellStyle name="Normal 4 12 24" xfId="16981" xr:uid="{00000000-0005-0000-0000-0000A1530000}"/>
    <cellStyle name="Normal 4 12 25" xfId="17280" xr:uid="{00000000-0005-0000-0000-0000A2530000}"/>
    <cellStyle name="Normal 4 12 26" xfId="12936" xr:uid="{00000000-0005-0000-0000-0000A3530000}"/>
    <cellStyle name="Normal 4 12 27" xfId="15039" xr:uid="{00000000-0005-0000-0000-0000A4530000}"/>
    <cellStyle name="Normal 4 12 28" xfId="12278" xr:uid="{00000000-0005-0000-0000-0000A5530000}"/>
    <cellStyle name="Normal 4 12 29" xfId="10352" xr:uid="{00000000-0005-0000-0000-0000A6530000}"/>
    <cellStyle name="Normal 4 12 3" xfId="27211" xr:uid="{00000000-0005-0000-0000-0000A7530000}"/>
    <cellStyle name="Normal 4 12 30" xfId="10284" xr:uid="{00000000-0005-0000-0000-0000A8530000}"/>
    <cellStyle name="Normal 4 12 31" xfId="11879" xr:uid="{00000000-0005-0000-0000-0000A9530000}"/>
    <cellStyle name="Normal 4 12 32" xfId="5142" xr:uid="{00000000-0005-0000-0000-0000AA530000}"/>
    <cellStyle name="Normal 4 12 33" xfId="10201" xr:uid="{00000000-0005-0000-0000-0000AB530000}"/>
    <cellStyle name="Normal 4 12 34" xfId="4623" xr:uid="{00000000-0005-0000-0000-0000AC530000}"/>
    <cellStyle name="Normal 4 12 35" xfId="11854" xr:uid="{00000000-0005-0000-0000-0000AD530000}"/>
    <cellStyle name="Normal 4 12 36" xfId="9603" xr:uid="{00000000-0005-0000-0000-0000AE530000}"/>
    <cellStyle name="Normal 4 12 37" xfId="10398" xr:uid="{00000000-0005-0000-0000-0000AF530000}"/>
    <cellStyle name="Normal 4 12 38" xfId="10142" xr:uid="{00000000-0005-0000-0000-0000B0530000}"/>
    <cellStyle name="Normal 4 12 39" xfId="3841" xr:uid="{00000000-0005-0000-0000-0000B1530000}"/>
    <cellStyle name="Normal 4 12 4" xfId="26614" xr:uid="{00000000-0005-0000-0000-0000B2530000}"/>
    <cellStyle name="Normal 4 12 40" xfId="10322" xr:uid="{00000000-0005-0000-0000-0000B3530000}"/>
    <cellStyle name="Normal 4 12 41" xfId="4648" xr:uid="{00000000-0005-0000-0000-0000B4530000}"/>
    <cellStyle name="Normal 4 12 42" xfId="7632" xr:uid="{00000000-0005-0000-0000-0000B5530000}"/>
    <cellStyle name="Normal 4 12 43" xfId="9940" xr:uid="{00000000-0005-0000-0000-0000B6530000}"/>
    <cellStyle name="Normal 4 12 5" xfId="26018" xr:uid="{00000000-0005-0000-0000-0000B7530000}"/>
    <cellStyle name="Normal 4 12 6" xfId="25422" xr:uid="{00000000-0005-0000-0000-0000B8530000}"/>
    <cellStyle name="Normal 4 12 7" xfId="24825" xr:uid="{00000000-0005-0000-0000-0000B9530000}"/>
    <cellStyle name="Normal 4 12 8" xfId="24228" xr:uid="{00000000-0005-0000-0000-0000BA530000}"/>
    <cellStyle name="Normal 4 12 9" xfId="23631" xr:uid="{00000000-0005-0000-0000-0000BB530000}"/>
    <cellStyle name="Normal 4 13" xfId="28407" xr:uid="{00000000-0005-0000-0000-0000BC530000}"/>
    <cellStyle name="Normal 4 13 10" xfId="23033" xr:uid="{00000000-0005-0000-0000-0000BD530000}"/>
    <cellStyle name="Normal 4 13 11" xfId="22436" xr:uid="{00000000-0005-0000-0000-0000BE530000}"/>
    <cellStyle name="Normal 4 13 12" xfId="21840" xr:uid="{00000000-0005-0000-0000-0000BF530000}"/>
    <cellStyle name="Normal 4 13 13" xfId="21243" xr:uid="{00000000-0005-0000-0000-0000C0530000}"/>
    <cellStyle name="Normal 4 13 14" xfId="20646" xr:uid="{00000000-0005-0000-0000-0000C1530000}"/>
    <cellStyle name="Normal 4 13 15" xfId="20049" xr:uid="{00000000-0005-0000-0000-0000C2530000}"/>
    <cellStyle name="Normal 4 13 16" xfId="19453" xr:uid="{00000000-0005-0000-0000-0000C3530000}"/>
    <cellStyle name="Normal 4 13 17" xfId="18857" xr:uid="{00000000-0005-0000-0000-0000C4530000}"/>
    <cellStyle name="Normal 4 13 18" xfId="18265" xr:uid="{00000000-0005-0000-0000-0000C5530000}"/>
    <cellStyle name="Normal 4 13 19" xfId="17668" xr:uid="{00000000-0005-0000-0000-0000C6530000}"/>
    <cellStyle name="Normal 4 13 2" xfId="27807" xr:uid="{00000000-0005-0000-0000-0000C7530000}"/>
    <cellStyle name="Normal 4 13 20" xfId="16354" xr:uid="{00000000-0005-0000-0000-0000C8530000}"/>
    <cellStyle name="Normal 4 13 21" xfId="16025" xr:uid="{00000000-0005-0000-0000-0000C9530000}"/>
    <cellStyle name="Normal 4 13 22" xfId="13571" xr:uid="{00000000-0005-0000-0000-0000CA530000}"/>
    <cellStyle name="Normal 4 13 23" xfId="13412" xr:uid="{00000000-0005-0000-0000-0000CB530000}"/>
    <cellStyle name="Normal 4 13 24" xfId="16099" xr:uid="{00000000-0005-0000-0000-0000CC530000}"/>
    <cellStyle name="Normal 4 13 25" xfId="15614" xr:uid="{00000000-0005-0000-0000-0000CD530000}"/>
    <cellStyle name="Normal 4 13 26" xfId="12793" xr:uid="{00000000-0005-0000-0000-0000CE530000}"/>
    <cellStyle name="Normal 4 13 27" xfId="13286" xr:uid="{00000000-0005-0000-0000-0000CF530000}"/>
    <cellStyle name="Normal 4 13 28" xfId="12277" xr:uid="{00000000-0005-0000-0000-0000D0530000}"/>
    <cellStyle name="Normal 4 13 29" xfId="10581" xr:uid="{00000000-0005-0000-0000-0000D1530000}"/>
    <cellStyle name="Normal 4 13 3" xfId="27210" xr:uid="{00000000-0005-0000-0000-0000D2530000}"/>
    <cellStyle name="Normal 4 13 30" xfId="8484" xr:uid="{00000000-0005-0000-0000-0000D3530000}"/>
    <cellStyle name="Normal 4 13 31" xfId="5961" xr:uid="{00000000-0005-0000-0000-0000D4530000}"/>
    <cellStyle name="Normal 4 13 32" xfId="5474" xr:uid="{00000000-0005-0000-0000-0000D5530000}"/>
    <cellStyle name="Normal 4 13 33" xfId="8871" xr:uid="{00000000-0005-0000-0000-0000D6530000}"/>
    <cellStyle name="Normal 4 13 34" xfId="5990" xr:uid="{00000000-0005-0000-0000-0000D7530000}"/>
    <cellStyle name="Normal 4 13 35" xfId="5699" xr:uid="{00000000-0005-0000-0000-0000D8530000}"/>
    <cellStyle name="Normal 4 13 36" xfId="10954" xr:uid="{00000000-0005-0000-0000-0000D9530000}"/>
    <cellStyle name="Normal 4 13 37" xfId="6815" xr:uid="{00000000-0005-0000-0000-0000DA530000}"/>
    <cellStyle name="Normal 4 13 38" xfId="9098" xr:uid="{00000000-0005-0000-0000-0000DB530000}"/>
    <cellStyle name="Normal 4 13 39" xfId="12113" xr:uid="{00000000-0005-0000-0000-0000DC530000}"/>
    <cellStyle name="Normal 4 13 4" xfId="26613" xr:uid="{00000000-0005-0000-0000-0000DD530000}"/>
    <cellStyle name="Normal 4 13 40" xfId="6309" xr:uid="{00000000-0005-0000-0000-0000DE530000}"/>
    <cellStyle name="Normal 4 13 41" xfId="4175" xr:uid="{00000000-0005-0000-0000-0000DF530000}"/>
    <cellStyle name="Normal 4 13 42" xfId="6319" xr:uid="{00000000-0005-0000-0000-0000E0530000}"/>
    <cellStyle name="Normal 4 13 43" xfId="9334" xr:uid="{00000000-0005-0000-0000-0000E1530000}"/>
    <cellStyle name="Normal 4 13 5" xfId="26017" xr:uid="{00000000-0005-0000-0000-0000E2530000}"/>
    <cellStyle name="Normal 4 13 6" xfId="25421" xr:uid="{00000000-0005-0000-0000-0000E3530000}"/>
    <cellStyle name="Normal 4 13 7" xfId="24824" xr:uid="{00000000-0005-0000-0000-0000E4530000}"/>
    <cellStyle name="Normal 4 13 8" xfId="24227" xr:uid="{00000000-0005-0000-0000-0000E5530000}"/>
    <cellStyle name="Normal 4 13 9" xfId="23630" xr:uid="{00000000-0005-0000-0000-0000E6530000}"/>
    <cellStyle name="Normal 4 14" xfId="28406" xr:uid="{00000000-0005-0000-0000-0000E7530000}"/>
    <cellStyle name="Normal 4 14 10" xfId="23032" xr:uid="{00000000-0005-0000-0000-0000E8530000}"/>
    <cellStyle name="Normal 4 14 11" xfId="22435" xr:uid="{00000000-0005-0000-0000-0000E9530000}"/>
    <cellStyle name="Normal 4 14 12" xfId="21839" xr:uid="{00000000-0005-0000-0000-0000EA530000}"/>
    <cellStyle name="Normal 4 14 13" xfId="21242" xr:uid="{00000000-0005-0000-0000-0000EB530000}"/>
    <cellStyle name="Normal 4 14 14" xfId="20645" xr:uid="{00000000-0005-0000-0000-0000EC530000}"/>
    <cellStyle name="Normal 4 14 15" xfId="20048" xr:uid="{00000000-0005-0000-0000-0000ED530000}"/>
    <cellStyle name="Normal 4 14 16" xfId="19452" xr:uid="{00000000-0005-0000-0000-0000EE530000}"/>
    <cellStyle name="Normal 4 14 17" xfId="18856" xr:uid="{00000000-0005-0000-0000-0000EF530000}"/>
    <cellStyle name="Normal 4 14 18" xfId="18264" xr:uid="{00000000-0005-0000-0000-0000F0530000}"/>
    <cellStyle name="Normal 4 14 19" xfId="17667" xr:uid="{00000000-0005-0000-0000-0000F1530000}"/>
    <cellStyle name="Normal 4 14 2" xfId="27806" xr:uid="{00000000-0005-0000-0000-0000F2530000}"/>
    <cellStyle name="Normal 4 14 20" xfId="16544" xr:uid="{00000000-0005-0000-0000-0000F3530000}"/>
    <cellStyle name="Normal 4 14 21" xfId="15619" xr:uid="{00000000-0005-0000-0000-0000F4530000}"/>
    <cellStyle name="Normal 4 14 22" xfId="15252" xr:uid="{00000000-0005-0000-0000-0000F5530000}"/>
    <cellStyle name="Normal 4 14 23" xfId="17151" xr:uid="{00000000-0005-0000-0000-0000F6530000}"/>
    <cellStyle name="Normal 4 14 24" xfId="17302" xr:uid="{00000000-0005-0000-0000-0000F7530000}"/>
    <cellStyle name="Normal 4 14 25" xfId="16035" xr:uid="{00000000-0005-0000-0000-0000F8530000}"/>
    <cellStyle name="Normal 4 14 26" xfId="12794" xr:uid="{00000000-0005-0000-0000-0000F9530000}"/>
    <cellStyle name="Normal 4 14 27" xfId="14496" xr:uid="{00000000-0005-0000-0000-0000FA530000}"/>
    <cellStyle name="Normal 4 14 28" xfId="12276" xr:uid="{00000000-0005-0000-0000-0000FB530000}"/>
    <cellStyle name="Normal 4 14 29" xfId="10796" xr:uid="{00000000-0005-0000-0000-0000FC530000}"/>
    <cellStyle name="Normal 4 14 3" xfId="27209" xr:uid="{00000000-0005-0000-0000-0000FD530000}"/>
    <cellStyle name="Normal 4 14 30" xfId="7527" xr:uid="{00000000-0005-0000-0000-0000FE530000}"/>
    <cellStyle name="Normal 4 14 31" xfId="9276" xr:uid="{00000000-0005-0000-0000-0000FF530000}"/>
    <cellStyle name="Normal 4 14 32" xfId="11495" xr:uid="{00000000-0005-0000-0000-000000540000}"/>
    <cellStyle name="Normal 4 14 33" xfId="5486" xr:uid="{00000000-0005-0000-0000-000001540000}"/>
    <cellStyle name="Normal 4 14 34" xfId="8948" xr:uid="{00000000-0005-0000-0000-000002540000}"/>
    <cellStyle name="Normal 4 14 35" xfId="11934" xr:uid="{00000000-0005-0000-0000-000003540000}"/>
    <cellStyle name="Normal 4 14 36" xfId="5587" xr:uid="{00000000-0005-0000-0000-000004540000}"/>
    <cellStyle name="Normal 4 14 37" xfId="11383" xr:uid="{00000000-0005-0000-0000-000005540000}"/>
    <cellStyle name="Normal 4 14 38" xfId="5430" xr:uid="{00000000-0005-0000-0000-000006540000}"/>
    <cellStyle name="Normal 4 14 39" xfId="7079" xr:uid="{00000000-0005-0000-0000-000007540000}"/>
    <cellStyle name="Normal 4 14 4" xfId="26612" xr:uid="{00000000-0005-0000-0000-000008540000}"/>
    <cellStyle name="Normal 4 14 40" xfId="10777" xr:uid="{00000000-0005-0000-0000-000009540000}"/>
    <cellStyle name="Normal 4 14 41" xfId="7564" xr:uid="{00000000-0005-0000-0000-00000A540000}"/>
    <cellStyle name="Normal 4 14 42" xfId="7149" xr:uid="{00000000-0005-0000-0000-00000B540000}"/>
    <cellStyle name="Normal 4 14 43" xfId="3822" xr:uid="{00000000-0005-0000-0000-00000C540000}"/>
    <cellStyle name="Normal 4 14 5" xfId="26016" xr:uid="{00000000-0005-0000-0000-00000D540000}"/>
    <cellStyle name="Normal 4 14 6" xfId="25420" xr:uid="{00000000-0005-0000-0000-00000E540000}"/>
    <cellStyle name="Normal 4 14 7" xfId="24823" xr:uid="{00000000-0005-0000-0000-00000F540000}"/>
    <cellStyle name="Normal 4 14 8" xfId="24226" xr:uid="{00000000-0005-0000-0000-000010540000}"/>
    <cellStyle name="Normal 4 14 9" xfId="23629" xr:uid="{00000000-0005-0000-0000-000011540000}"/>
    <cellStyle name="Normal 4 15" xfId="28405" xr:uid="{00000000-0005-0000-0000-000012540000}"/>
    <cellStyle name="Normal 4 15 10" xfId="23031" xr:uid="{00000000-0005-0000-0000-000013540000}"/>
    <cellStyle name="Normal 4 15 11" xfId="22434" xr:uid="{00000000-0005-0000-0000-000014540000}"/>
    <cellStyle name="Normal 4 15 12" xfId="21838" xr:uid="{00000000-0005-0000-0000-000015540000}"/>
    <cellStyle name="Normal 4 15 13" xfId="21241" xr:uid="{00000000-0005-0000-0000-000016540000}"/>
    <cellStyle name="Normal 4 15 14" xfId="20644" xr:uid="{00000000-0005-0000-0000-000017540000}"/>
    <cellStyle name="Normal 4 15 15" xfId="20047" xr:uid="{00000000-0005-0000-0000-000018540000}"/>
    <cellStyle name="Normal 4 15 16" xfId="19451" xr:uid="{00000000-0005-0000-0000-000019540000}"/>
    <cellStyle name="Normal 4 15 17" xfId="18855" xr:uid="{00000000-0005-0000-0000-00001A540000}"/>
    <cellStyle name="Normal 4 15 18" xfId="18263" xr:uid="{00000000-0005-0000-0000-00001B540000}"/>
    <cellStyle name="Normal 4 15 19" xfId="17666" xr:uid="{00000000-0005-0000-0000-00001C540000}"/>
    <cellStyle name="Normal 4 15 2" xfId="27805" xr:uid="{00000000-0005-0000-0000-00001D540000}"/>
    <cellStyle name="Normal 4 15 20" xfId="16738" xr:uid="{00000000-0005-0000-0000-00001E540000}"/>
    <cellStyle name="Normal 4 15 21" xfId="15217" xr:uid="{00000000-0005-0000-0000-00001F540000}"/>
    <cellStyle name="Normal 4 15 22" xfId="13670" xr:uid="{00000000-0005-0000-0000-000020540000}"/>
    <cellStyle name="Normal 4 15 23" xfId="17201" xr:uid="{00000000-0005-0000-0000-000021540000}"/>
    <cellStyle name="Normal 4 15 24" xfId="15661" xr:uid="{00000000-0005-0000-0000-000022540000}"/>
    <cellStyle name="Normal 4 15 25" xfId="13185" xr:uid="{00000000-0005-0000-0000-000023540000}"/>
    <cellStyle name="Normal 4 15 26" xfId="12800" xr:uid="{00000000-0005-0000-0000-000024540000}"/>
    <cellStyle name="Normal 4 15 27" xfId="15962" xr:uid="{00000000-0005-0000-0000-000025540000}"/>
    <cellStyle name="Normal 4 15 28" xfId="12275" xr:uid="{00000000-0005-0000-0000-000026540000}"/>
    <cellStyle name="Normal 4 15 29" xfId="11015" xr:uid="{00000000-0005-0000-0000-000027540000}"/>
    <cellStyle name="Normal 4 15 3" xfId="27208" xr:uid="{00000000-0005-0000-0000-000028540000}"/>
    <cellStyle name="Normal 4 15 30" xfId="7843" xr:uid="{00000000-0005-0000-0000-000029540000}"/>
    <cellStyle name="Normal 4 15 31" xfId="10403" xr:uid="{00000000-0005-0000-0000-00002A540000}"/>
    <cellStyle name="Normal 4 15 32" xfId="10146" xr:uid="{00000000-0005-0000-0000-00002B540000}"/>
    <cellStyle name="Normal 4 15 33" xfId="8219" xr:uid="{00000000-0005-0000-0000-00002C540000}"/>
    <cellStyle name="Normal 4 15 34" xfId="11193" xr:uid="{00000000-0005-0000-0000-00002D540000}"/>
    <cellStyle name="Normal 4 15 35" xfId="5523" xr:uid="{00000000-0005-0000-0000-00002E540000}"/>
    <cellStyle name="Normal 4 15 36" xfId="9324" xr:uid="{00000000-0005-0000-0000-00002F540000}"/>
    <cellStyle name="Normal 4 15 37" xfId="9552" xr:uid="{00000000-0005-0000-0000-000030540000}"/>
    <cellStyle name="Normal 4 15 38" xfId="5493" xr:uid="{00000000-0005-0000-0000-000031540000}"/>
    <cellStyle name="Normal 4 15 39" xfId="6606" xr:uid="{00000000-0005-0000-0000-000032540000}"/>
    <cellStyle name="Normal 4 15 4" xfId="26611" xr:uid="{00000000-0005-0000-0000-000033540000}"/>
    <cellStyle name="Normal 4 15 40" xfId="3430" xr:uid="{00000000-0005-0000-0000-000034540000}"/>
    <cellStyle name="Normal 4 15 41" xfId="3722" xr:uid="{00000000-0005-0000-0000-000035540000}"/>
    <cellStyle name="Normal 4 15 42" xfId="11289" xr:uid="{00000000-0005-0000-0000-000036540000}"/>
    <cellStyle name="Normal 4 15 43" xfId="9143" xr:uid="{00000000-0005-0000-0000-000037540000}"/>
    <cellStyle name="Normal 4 15 5" xfId="26015" xr:uid="{00000000-0005-0000-0000-000038540000}"/>
    <cellStyle name="Normal 4 15 6" xfId="25419" xr:uid="{00000000-0005-0000-0000-000039540000}"/>
    <cellStyle name="Normal 4 15 7" xfId="24822" xr:uid="{00000000-0005-0000-0000-00003A540000}"/>
    <cellStyle name="Normal 4 15 8" xfId="24225" xr:uid="{00000000-0005-0000-0000-00003B540000}"/>
    <cellStyle name="Normal 4 15 9" xfId="23628" xr:uid="{00000000-0005-0000-0000-00003C540000}"/>
    <cellStyle name="Normal 4 16" xfId="28404" xr:uid="{00000000-0005-0000-0000-00003D540000}"/>
    <cellStyle name="Normal 4 16 10" xfId="23030" xr:uid="{00000000-0005-0000-0000-00003E540000}"/>
    <cellStyle name="Normal 4 16 11" xfId="22433" xr:uid="{00000000-0005-0000-0000-00003F540000}"/>
    <cellStyle name="Normal 4 16 12" xfId="21837" xr:uid="{00000000-0005-0000-0000-000040540000}"/>
    <cellStyle name="Normal 4 16 13" xfId="21240" xr:uid="{00000000-0005-0000-0000-000041540000}"/>
    <cellStyle name="Normal 4 16 14" xfId="20643" xr:uid="{00000000-0005-0000-0000-000042540000}"/>
    <cellStyle name="Normal 4 16 15" xfId="20046" xr:uid="{00000000-0005-0000-0000-000043540000}"/>
    <cellStyle name="Normal 4 16 16" xfId="19450" xr:uid="{00000000-0005-0000-0000-000044540000}"/>
    <cellStyle name="Normal 4 16 17" xfId="18854" xr:uid="{00000000-0005-0000-0000-000045540000}"/>
    <cellStyle name="Normal 4 16 18" xfId="18262" xr:uid="{00000000-0005-0000-0000-000046540000}"/>
    <cellStyle name="Normal 4 16 19" xfId="17665" xr:uid="{00000000-0005-0000-0000-000047540000}"/>
    <cellStyle name="Normal 4 16 2" xfId="27804" xr:uid="{00000000-0005-0000-0000-000048540000}"/>
    <cellStyle name="Normal 4 16 20" xfId="16935" xr:uid="{00000000-0005-0000-0000-000049540000}"/>
    <cellStyle name="Normal 4 16 21" xfId="15597" xr:uid="{00000000-0005-0000-0000-00004A540000}"/>
    <cellStyle name="Normal 4 16 22" xfId="13809" xr:uid="{00000000-0005-0000-0000-00004B540000}"/>
    <cellStyle name="Normal 4 16 23" xfId="15414" xr:uid="{00000000-0005-0000-0000-00004C540000}"/>
    <cellStyle name="Normal 4 16 24" xfId="15168" xr:uid="{00000000-0005-0000-0000-00004D540000}"/>
    <cellStyle name="Normal 4 16 25" xfId="17001" xr:uid="{00000000-0005-0000-0000-00004E540000}"/>
    <cellStyle name="Normal 4 16 26" xfId="16977" xr:uid="{00000000-0005-0000-0000-00004F540000}"/>
    <cellStyle name="Normal 4 16 27" xfId="16964" xr:uid="{00000000-0005-0000-0000-000050540000}"/>
    <cellStyle name="Normal 4 16 28" xfId="12274" xr:uid="{00000000-0005-0000-0000-000051540000}"/>
    <cellStyle name="Normal 4 16 29" xfId="11243" xr:uid="{00000000-0005-0000-0000-000052540000}"/>
    <cellStyle name="Normal 4 16 3" xfId="27207" xr:uid="{00000000-0005-0000-0000-000053540000}"/>
    <cellStyle name="Normal 4 16 30" xfId="8673" xr:uid="{00000000-0005-0000-0000-000054540000}"/>
    <cellStyle name="Normal 4 16 31" xfId="7648" xr:uid="{00000000-0005-0000-0000-000055540000}"/>
    <cellStyle name="Normal 4 16 32" xfId="6190" xr:uid="{00000000-0005-0000-0000-000056540000}"/>
    <cellStyle name="Normal 4 16 33" xfId="10422" xr:uid="{00000000-0005-0000-0000-000057540000}"/>
    <cellStyle name="Normal 4 16 34" xfId="7089" xr:uid="{00000000-0005-0000-0000-000058540000}"/>
    <cellStyle name="Normal 4 16 35" xfId="8573" xr:uid="{00000000-0005-0000-0000-000059540000}"/>
    <cellStyle name="Normal 4 16 36" xfId="11961" xr:uid="{00000000-0005-0000-0000-00005A540000}"/>
    <cellStyle name="Normal 4 16 37" xfId="10055" xr:uid="{00000000-0005-0000-0000-00005B540000}"/>
    <cellStyle name="Normal 4 16 38" xfId="4816" xr:uid="{00000000-0005-0000-0000-00005C540000}"/>
    <cellStyle name="Normal 4 16 39" xfId="4747" xr:uid="{00000000-0005-0000-0000-00005D540000}"/>
    <cellStyle name="Normal 4 16 4" xfId="26610" xr:uid="{00000000-0005-0000-0000-00005E540000}"/>
    <cellStyle name="Normal 4 16 40" xfId="6823" xr:uid="{00000000-0005-0000-0000-00005F540000}"/>
    <cellStyle name="Normal 4 16 41" xfId="11187" xr:uid="{00000000-0005-0000-0000-000060540000}"/>
    <cellStyle name="Normal 4 16 42" xfId="4340" xr:uid="{00000000-0005-0000-0000-000061540000}"/>
    <cellStyle name="Normal 4 16 43" xfId="9343" xr:uid="{00000000-0005-0000-0000-000062540000}"/>
    <cellStyle name="Normal 4 16 5" xfId="26014" xr:uid="{00000000-0005-0000-0000-000063540000}"/>
    <cellStyle name="Normal 4 16 6" xfId="25418" xr:uid="{00000000-0005-0000-0000-000064540000}"/>
    <cellStyle name="Normal 4 16 7" xfId="24821" xr:uid="{00000000-0005-0000-0000-000065540000}"/>
    <cellStyle name="Normal 4 16 8" xfId="24224" xr:uid="{00000000-0005-0000-0000-000066540000}"/>
    <cellStyle name="Normal 4 16 9" xfId="23627" xr:uid="{00000000-0005-0000-0000-000067540000}"/>
    <cellStyle name="Normal 4 17" xfId="28403" xr:uid="{00000000-0005-0000-0000-000068540000}"/>
    <cellStyle name="Normal 4 17 10" xfId="23029" xr:uid="{00000000-0005-0000-0000-000069540000}"/>
    <cellStyle name="Normal 4 17 11" xfId="22432" xr:uid="{00000000-0005-0000-0000-00006A540000}"/>
    <cellStyle name="Normal 4 17 12" xfId="21836" xr:uid="{00000000-0005-0000-0000-00006B540000}"/>
    <cellStyle name="Normal 4 17 13" xfId="21239" xr:uid="{00000000-0005-0000-0000-00006C540000}"/>
    <cellStyle name="Normal 4 17 14" xfId="20642" xr:uid="{00000000-0005-0000-0000-00006D540000}"/>
    <cellStyle name="Normal 4 17 15" xfId="20045" xr:uid="{00000000-0005-0000-0000-00006E540000}"/>
    <cellStyle name="Normal 4 17 16" xfId="19449" xr:uid="{00000000-0005-0000-0000-00006F540000}"/>
    <cellStyle name="Normal 4 17 17" xfId="18853" xr:uid="{00000000-0005-0000-0000-000070540000}"/>
    <cellStyle name="Normal 4 17 18" xfId="18261" xr:uid="{00000000-0005-0000-0000-000071540000}"/>
    <cellStyle name="Normal 4 17 19" xfId="17664" xr:uid="{00000000-0005-0000-0000-000072540000}"/>
    <cellStyle name="Normal 4 17 2" xfId="27803" xr:uid="{00000000-0005-0000-0000-000073540000}"/>
    <cellStyle name="Normal 4 17 20" xfId="17142" xr:uid="{00000000-0005-0000-0000-000074540000}"/>
    <cellStyle name="Normal 4 17 21" xfId="15982" xr:uid="{00000000-0005-0000-0000-000075540000}"/>
    <cellStyle name="Normal 4 17 22" xfId="16677" xr:uid="{00000000-0005-0000-0000-000076540000}"/>
    <cellStyle name="Normal 4 17 23" xfId="16237" xr:uid="{00000000-0005-0000-0000-000077540000}"/>
    <cellStyle name="Normal 4 17 24" xfId="13188" xr:uid="{00000000-0005-0000-0000-000078540000}"/>
    <cellStyle name="Normal 4 17 25" xfId="16472" xr:uid="{00000000-0005-0000-0000-000079540000}"/>
    <cellStyle name="Normal 4 17 26" xfId="13218" xr:uid="{00000000-0005-0000-0000-00007A540000}"/>
    <cellStyle name="Normal 4 17 27" xfId="14849" xr:uid="{00000000-0005-0000-0000-00007B540000}"/>
    <cellStyle name="Normal 4 17 28" xfId="12273" xr:uid="{00000000-0005-0000-0000-00007C540000}"/>
    <cellStyle name="Normal 4 17 29" xfId="11476" xr:uid="{00000000-0005-0000-0000-00007D540000}"/>
    <cellStyle name="Normal 4 17 3" xfId="27206" xr:uid="{00000000-0005-0000-0000-00007E540000}"/>
    <cellStyle name="Normal 4 17 30" xfId="10365" xr:uid="{00000000-0005-0000-0000-00007F540000}"/>
    <cellStyle name="Normal 4 17 31" xfId="11584" xr:uid="{00000000-0005-0000-0000-000080540000}"/>
    <cellStyle name="Normal 4 17 32" xfId="8394" xr:uid="{00000000-0005-0000-0000-000081540000}"/>
    <cellStyle name="Normal 4 17 33" xfId="7345" xr:uid="{00000000-0005-0000-0000-000082540000}"/>
    <cellStyle name="Normal 4 17 34" xfId="11359" xr:uid="{00000000-0005-0000-0000-000083540000}"/>
    <cellStyle name="Normal 4 17 35" xfId="11097" xr:uid="{00000000-0005-0000-0000-000084540000}"/>
    <cellStyle name="Normal 4 17 36" xfId="5601" xr:uid="{00000000-0005-0000-0000-000085540000}"/>
    <cellStyle name="Normal 4 17 37" xfId="3734" xr:uid="{00000000-0005-0000-0000-000086540000}"/>
    <cellStyle name="Normal 4 17 38" xfId="9080" xr:uid="{00000000-0005-0000-0000-000087540000}"/>
    <cellStyle name="Normal 4 17 39" xfId="8127" xr:uid="{00000000-0005-0000-0000-000088540000}"/>
    <cellStyle name="Normal 4 17 4" xfId="26609" xr:uid="{00000000-0005-0000-0000-000089540000}"/>
    <cellStyle name="Normal 4 17 40" xfId="6372" xr:uid="{00000000-0005-0000-0000-00008A540000}"/>
    <cellStyle name="Normal 4 17 41" xfId="8408" xr:uid="{00000000-0005-0000-0000-00008B540000}"/>
    <cellStyle name="Normal 4 17 42" xfId="5064" xr:uid="{00000000-0005-0000-0000-00008C540000}"/>
    <cellStyle name="Normal 4 17 43" xfId="3105" xr:uid="{00000000-0005-0000-0000-00008D540000}"/>
    <cellStyle name="Normal 4 17 5" xfId="26013" xr:uid="{00000000-0005-0000-0000-00008E540000}"/>
    <cellStyle name="Normal 4 17 6" xfId="25417" xr:uid="{00000000-0005-0000-0000-00008F540000}"/>
    <cellStyle name="Normal 4 17 7" xfId="24820" xr:uid="{00000000-0005-0000-0000-000090540000}"/>
    <cellStyle name="Normal 4 17 8" xfId="24223" xr:uid="{00000000-0005-0000-0000-000091540000}"/>
    <cellStyle name="Normal 4 17 9" xfId="23626" xr:uid="{00000000-0005-0000-0000-000092540000}"/>
    <cellStyle name="Normal 4 18" xfId="28402" xr:uid="{00000000-0005-0000-0000-000093540000}"/>
    <cellStyle name="Normal 4 18 10" xfId="23028" xr:uid="{00000000-0005-0000-0000-000094540000}"/>
    <cellStyle name="Normal 4 18 11" xfId="22431" xr:uid="{00000000-0005-0000-0000-000095540000}"/>
    <cellStyle name="Normal 4 18 12" xfId="21835" xr:uid="{00000000-0005-0000-0000-000096540000}"/>
    <cellStyle name="Normal 4 18 13" xfId="21238" xr:uid="{00000000-0005-0000-0000-000097540000}"/>
    <cellStyle name="Normal 4 18 14" xfId="20641" xr:uid="{00000000-0005-0000-0000-000098540000}"/>
    <cellStyle name="Normal 4 18 15" xfId="20044" xr:uid="{00000000-0005-0000-0000-000099540000}"/>
    <cellStyle name="Normal 4 18 16" xfId="19448" xr:uid="{00000000-0005-0000-0000-00009A540000}"/>
    <cellStyle name="Normal 4 18 17" xfId="18852" xr:uid="{00000000-0005-0000-0000-00009B540000}"/>
    <cellStyle name="Normal 4 18 18" xfId="18260" xr:uid="{00000000-0005-0000-0000-00009C540000}"/>
    <cellStyle name="Normal 4 18 19" xfId="17663" xr:uid="{00000000-0005-0000-0000-00009D540000}"/>
    <cellStyle name="Normal 4 18 2" xfId="27802" xr:uid="{00000000-0005-0000-0000-00009E540000}"/>
    <cellStyle name="Normal 4 18 20" xfId="17335" xr:uid="{00000000-0005-0000-0000-00009F540000}"/>
    <cellStyle name="Normal 4 18 21" xfId="15583" xr:uid="{00000000-0005-0000-0000-0000A0540000}"/>
    <cellStyle name="Normal 4 18 22" xfId="16081" xr:uid="{00000000-0005-0000-0000-0000A1540000}"/>
    <cellStyle name="Normal 4 18 23" xfId="14399" xr:uid="{00000000-0005-0000-0000-0000A2540000}"/>
    <cellStyle name="Normal 4 18 24" xfId="13186" xr:uid="{00000000-0005-0000-0000-0000A3540000}"/>
    <cellStyle name="Normal 4 18 25" xfId="12933" xr:uid="{00000000-0005-0000-0000-0000A4540000}"/>
    <cellStyle name="Normal 4 18 26" xfId="14381" xr:uid="{00000000-0005-0000-0000-0000A5540000}"/>
    <cellStyle name="Normal 4 18 27" xfId="14471" xr:uid="{00000000-0005-0000-0000-0000A6540000}"/>
    <cellStyle name="Normal 4 18 28" xfId="12272" xr:uid="{00000000-0005-0000-0000-0000A7540000}"/>
    <cellStyle name="Normal 4 18 29" xfId="11700" xr:uid="{00000000-0005-0000-0000-0000A8540000}"/>
    <cellStyle name="Normal 4 18 3" xfId="27205" xr:uid="{00000000-0005-0000-0000-0000A9540000}"/>
    <cellStyle name="Normal 4 18 30" xfId="8657" xr:uid="{00000000-0005-0000-0000-0000AA540000}"/>
    <cellStyle name="Normal 4 18 31" xfId="10683" xr:uid="{00000000-0005-0000-0000-0000AB540000}"/>
    <cellStyle name="Normal 4 18 32" xfId="9970" xr:uid="{00000000-0005-0000-0000-0000AC540000}"/>
    <cellStyle name="Normal 4 18 33" xfId="7108" xr:uid="{00000000-0005-0000-0000-0000AD540000}"/>
    <cellStyle name="Normal 4 18 34" xfId="11140" xr:uid="{00000000-0005-0000-0000-0000AE540000}"/>
    <cellStyle name="Normal 4 18 35" xfId="7512" xr:uid="{00000000-0005-0000-0000-0000AF540000}"/>
    <cellStyle name="Normal 4 18 36" xfId="11160" xr:uid="{00000000-0005-0000-0000-0000B0540000}"/>
    <cellStyle name="Normal 4 18 37" xfId="6935" xr:uid="{00000000-0005-0000-0000-0000B1540000}"/>
    <cellStyle name="Normal 4 18 38" xfId="9983" xr:uid="{00000000-0005-0000-0000-0000B2540000}"/>
    <cellStyle name="Normal 4 18 39" xfId="6204" xr:uid="{00000000-0005-0000-0000-0000B3540000}"/>
    <cellStyle name="Normal 4 18 4" xfId="26608" xr:uid="{00000000-0005-0000-0000-0000B4540000}"/>
    <cellStyle name="Normal 4 18 40" xfId="3762" xr:uid="{00000000-0005-0000-0000-0000B5540000}"/>
    <cellStyle name="Normal 4 18 41" xfId="10138" xr:uid="{00000000-0005-0000-0000-0000B6540000}"/>
    <cellStyle name="Normal 4 18 42" xfId="7508" xr:uid="{00000000-0005-0000-0000-0000B7540000}"/>
    <cellStyle name="Normal 4 18 43" xfId="9134" xr:uid="{00000000-0005-0000-0000-0000B8540000}"/>
    <cellStyle name="Normal 4 18 5" xfId="26012" xr:uid="{00000000-0005-0000-0000-0000B9540000}"/>
    <cellStyle name="Normal 4 18 6" xfId="25416" xr:uid="{00000000-0005-0000-0000-0000BA540000}"/>
    <cellStyle name="Normal 4 18 7" xfId="24819" xr:uid="{00000000-0005-0000-0000-0000BB540000}"/>
    <cellStyle name="Normal 4 18 8" xfId="24222" xr:uid="{00000000-0005-0000-0000-0000BC540000}"/>
    <cellStyle name="Normal 4 18 9" xfId="23625" xr:uid="{00000000-0005-0000-0000-0000BD540000}"/>
    <cellStyle name="Normal 4 19" xfId="28401" xr:uid="{00000000-0005-0000-0000-0000BE540000}"/>
    <cellStyle name="Normal 4 19 10" xfId="23027" xr:uid="{00000000-0005-0000-0000-0000BF540000}"/>
    <cellStyle name="Normal 4 19 11" xfId="22430" xr:uid="{00000000-0005-0000-0000-0000C0540000}"/>
    <cellStyle name="Normal 4 19 12" xfId="21834" xr:uid="{00000000-0005-0000-0000-0000C1540000}"/>
    <cellStyle name="Normal 4 19 13" xfId="21237" xr:uid="{00000000-0005-0000-0000-0000C2540000}"/>
    <cellStyle name="Normal 4 19 14" xfId="20640" xr:uid="{00000000-0005-0000-0000-0000C3540000}"/>
    <cellStyle name="Normal 4 19 15" xfId="20043" xr:uid="{00000000-0005-0000-0000-0000C4540000}"/>
    <cellStyle name="Normal 4 19 16" xfId="19447" xr:uid="{00000000-0005-0000-0000-0000C5540000}"/>
    <cellStyle name="Normal 4 19 17" xfId="18851" xr:uid="{00000000-0005-0000-0000-0000C6540000}"/>
    <cellStyle name="Normal 4 19 18" xfId="18259" xr:uid="{00000000-0005-0000-0000-0000C7540000}"/>
    <cellStyle name="Normal 4 19 19" xfId="17662" xr:uid="{00000000-0005-0000-0000-0000C8540000}"/>
    <cellStyle name="Normal 4 19 2" xfId="27801" xr:uid="{00000000-0005-0000-0000-0000C9540000}"/>
    <cellStyle name="Normal 4 19 20" xfId="14168" xr:uid="{00000000-0005-0000-0000-0000CA540000}"/>
    <cellStyle name="Normal 4 19 21" xfId="15171" xr:uid="{00000000-0005-0000-0000-0000CB540000}"/>
    <cellStyle name="Normal 4 19 22" xfId="16478" xr:uid="{00000000-0005-0000-0000-0000CC540000}"/>
    <cellStyle name="Normal 4 19 23" xfId="13906" xr:uid="{00000000-0005-0000-0000-0000CD540000}"/>
    <cellStyle name="Normal 4 19 24" xfId="13297" xr:uid="{00000000-0005-0000-0000-0000CE540000}"/>
    <cellStyle name="Normal 4 19 25" xfId="14911" xr:uid="{00000000-0005-0000-0000-0000CF540000}"/>
    <cellStyle name="Normal 4 19 26" xfId="14284" xr:uid="{00000000-0005-0000-0000-0000D0540000}"/>
    <cellStyle name="Normal 4 19 27" xfId="12797" xr:uid="{00000000-0005-0000-0000-0000D1540000}"/>
    <cellStyle name="Normal 4 19 28" xfId="12271" xr:uid="{00000000-0005-0000-0000-0000D2540000}"/>
    <cellStyle name="Normal 4 19 29" xfId="6299" xr:uid="{00000000-0005-0000-0000-0000D3540000}"/>
    <cellStyle name="Normal 4 19 3" xfId="27204" xr:uid="{00000000-0005-0000-0000-0000D4540000}"/>
    <cellStyle name="Normal 4 19 30" xfId="8649" xr:uid="{00000000-0005-0000-0000-0000D5540000}"/>
    <cellStyle name="Normal 4 19 31" xfId="9331" xr:uid="{00000000-0005-0000-0000-0000D6540000}"/>
    <cellStyle name="Normal 4 19 32" xfId="7045" xr:uid="{00000000-0005-0000-0000-0000D7540000}"/>
    <cellStyle name="Normal 4 19 33" xfId="6487" xr:uid="{00000000-0005-0000-0000-0000D8540000}"/>
    <cellStyle name="Normal 4 19 34" xfId="6006" xr:uid="{00000000-0005-0000-0000-0000D9540000}"/>
    <cellStyle name="Normal 4 19 35" xfId="5324" xr:uid="{00000000-0005-0000-0000-0000DA540000}"/>
    <cellStyle name="Normal 4 19 36" xfId="7131" xr:uid="{00000000-0005-0000-0000-0000DB540000}"/>
    <cellStyle name="Normal 4 19 37" xfId="6219" xr:uid="{00000000-0005-0000-0000-0000DC540000}"/>
    <cellStyle name="Normal 4 19 38" xfId="3932" xr:uid="{00000000-0005-0000-0000-0000DD540000}"/>
    <cellStyle name="Normal 4 19 39" xfId="11296" xr:uid="{00000000-0005-0000-0000-0000DE540000}"/>
    <cellStyle name="Normal 4 19 4" xfId="26607" xr:uid="{00000000-0005-0000-0000-0000DF540000}"/>
    <cellStyle name="Normal 4 19 40" xfId="5597" xr:uid="{00000000-0005-0000-0000-0000E0540000}"/>
    <cellStyle name="Normal 4 19 41" xfId="3479" xr:uid="{00000000-0005-0000-0000-0000E1540000}"/>
    <cellStyle name="Normal 4 19 42" xfId="6076" xr:uid="{00000000-0005-0000-0000-0000E2540000}"/>
    <cellStyle name="Normal 4 19 43" xfId="3623" xr:uid="{00000000-0005-0000-0000-0000E3540000}"/>
    <cellStyle name="Normal 4 19 5" xfId="26011" xr:uid="{00000000-0005-0000-0000-0000E4540000}"/>
    <cellStyle name="Normal 4 19 6" xfId="25415" xr:uid="{00000000-0005-0000-0000-0000E5540000}"/>
    <cellStyle name="Normal 4 19 7" xfId="24818" xr:uid="{00000000-0005-0000-0000-0000E6540000}"/>
    <cellStyle name="Normal 4 19 8" xfId="24221" xr:uid="{00000000-0005-0000-0000-0000E7540000}"/>
    <cellStyle name="Normal 4 19 9" xfId="23624" xr:uid="{00000000-0005-0000-0000-0000E8540000}"/>
    <cellStyle name="Normal 4 2" xfId="28400" xr:uid="{00000000-0005-0000-0000-0000E9540000}"/>
    <cellStyle name="Normal 4 2 10" xfId="23026" xr:uid="{00000000-0005-0000-0000-0000EA540000}"/>
    <cellStyle name="Normal 4 2 11" xfId="22429" xr:uid="{00000000-0005-0000-0000-0000EB540000}"/>
    <cellStyle name="Normal 4 2 12" xfId="21833" xr:uid="{00000000-0005-0000-0000-0000EC540000}"/>
    <cellStyle name="Normal 4 2 13" xfId="21236" xr:uid="{00000000-0005-0000-0000-0000ED540000}"/>
    <cellStyle name="Normal 4 2 14" xfId="20639" xr:uid="{00000000-0005-0000-0000-0000EE540000}"/>
    <cellStyle name="Normal 4 2 15" xfId="20042" xr:uid="{00000000-0005-0000-0000-0000EF540000}"/>
    <cellStyle name="Normal 4 2 16" xfId="19446" xr:uid="{00000000-0005-0000-0000-0000F0540000}"/>
    <cellStyle name="Normal 4 2 17" xfId="18850" xr:uid="{00000000-0005-0000-0000-0000F1540000}"/>
    <cellStyle name="Normal 4 2 18" xfId="18258" xr:uid="{00000000-0005-0000-0000-0000F2540000}"/>
    <cellStyle name="Normal 4 2 19" xfId="17661" xr:uid="{00000000-0005-0000-0000-0000F3540000}"/>
    <cellStyle name="Normal 4 2 2" xfId="27800" xr:uid="{00000000-0005-0000-0000-0000F4540000}"/>
    <cellStyle name="Normal 4 2 20" xfId="14357" xr:uid="{00000000-0005-0000-0000-0000F5540000}"/>
    <cellStyle name="Normal 4 2 21" xfId="13979" xr:uid="{00000000-0005-0000-0000-0000F6540000}"/>
    <cellStyle name="Normal 4 2 22" xfId="16688" xr:uid="{00000000-0005-0000-0000-0000F7540000}"/>
    <cellStyle name="Normal 4 2 23" xfId="14384" xr:uid="{00000000-0005-0000-0000-0000F8540000}"/>
    <cellStyle name="Normal 4 2 24" xfId="16699" xr:uid="{00000000-0005-0000-0000-0000F9540000}"/>
    <cellStyle name="Normal 4 2 25" xfId="15063" xr:uid="{00000000-0005-0000-0000-0000FA540000}"/>
    <cellStyle name="Normal 4 2 26" xfId="13280" xr:uid="{00000000-0005-0000-0000-0000FB540000}"/>
    <cellStyle name="Normal 4 2 27" xfId="17172" xr:uid="{00000000-0005-0000-0000-0000FC540000}"/>
    <cellStyle name="Normal 4 2 28" xfId="12270" xr:uid="{00000000-0005-0000-0000-0000FD540000}"/>
    <cellStyle name="Normal 4 2 29" xfId="6490" xr:uid="{00000000-0005-0000-0000-0000FE540000}"/>
    <cellStyle name="Normal 4 2 3" xfId="27203" xr:uid="{00000000-0005-0000-0000-0000FF540000}"/>
    <cellStyle name="Normal 4 2 30" xfId="7946" xr:uid="{00000000-0005-0000-0000-000000550000}"/>
    <cellStyle name="Normal 4 2 31" xfId="11621" xr:uid="{00000000-0005-0000-0000-000001550000}"/>
    <cellStyle name="Normal 4 2 32" xfId="9841" xr:uid="{00000000-0005-0000-0000-000002550000}"/>
    <cellStyle name="Normal 4 2 33" xfId="7267" xr:uid="{00000000-0005-0000-0000-000003550000}"/>
    <cellStyle name="Normal 4 2 34" xfId="6736" xr:uid="{00000000-0005-0000-0000-000004550000}"/>
    <cellStyle name="Normal 4 2 35" xfId="10210" xr:uid="{00000000-0005-0000-0000-000005550000}"/>
    <cellStyle name="Normal 4 2 36" xfId="8031" xr:uid="{00000000-0005-0000-0000-000006550000}"/>
    <cellStyle name="Normal 4 2 37" xfId="3941" xr:uid="{00000000-0005-0000-0000-000007550000}"/>
    <cellStyle name="Normal 4 2 38" xfId="4857" xr:uid="{00000000-0005-0000-0000-000008550000}"/>
    <cellStyle name="Normal 4 2 39" xfId="7737" xr:uid="{00000000-0005-0000-0000-000009550000}"/>
    <cellStyle name="Normal 4 2 4" xfId="26606" xr:uid="{00000000-0005-0000-0000-00000A550000}"/>
    <cellStyle name="Normal 4 2 40" xfId="3279" xr:uid="{00000000-0005-0000-0000-00000B550000}"/>
    <cellStyle name="Normal 4 2 41" xfId="10758" xr:uid="{00000000-0005-0000-0000-00000C550000}"/>
    <cellStyle name="Normal 4 2 42" xfId="8792" xr:uid="{00000000-0005-0000-0000-00000D550000}"/>
    <cellStyle name="Normal 4 2 43" xfId="3101" xr:uid="{00000000-0005-0000-0000-00000E550000}"/>
    <cellStyle name="Normal 4 2 44" xfId="2896" xr:uid="{00000000-0005-0000-0000-00000F550000}"/>
    <cellStyle name="Normal 4 2 45" xfId="2653" xr:uid="{00000000-0005-0000-0000-000010550000}"/>
    <cellStyle name="Normal 4 2 46" xfId="2413" xr:uid="{00000000-0005-0000-0000-000011550000}"/>
    <cellStyle name="Normal 4 2 47" xfId="2173" xr:uid="{00000000-0005-0000-0000-000012550000}"/>
    <cellStyle name="Normal 4 2 48" xfId="1933" xr:uid="{00000000-0005-0000-0000-000013550000}"/>
    <cellStyle name="Normal 4 2 49" xfId="1693" xr:uid="{00000000-0005-0000-0000-000014550000}"/>
    <cellStyle name="Normal 4 2 5" xfId="26010" xr:uid="{00000000-0005-0000-0000-000015550000}"/>
    <cellStyle name="Normal 4 2 50" xfId="1454" xr:uid="{00000000-0005-0000-0000-000016550000}"/>
    <cellStyle name="Normal 4 2 51" xfId="1214" xr:uid="{00000000-0005-0000-0000-000017550000}"/>
    <cellStyle name="Normal 4 2 52" xfId="974" xr:uid="{00000000-0005-0000-0000-000018550000}"/>
    <cellStyle name="Normal 4 2 53" xfId="734" xr:uid="{00000000-0005-0000-0000-000019550000}"/>
    <cellStyle name="Normal 4 2 54" xfId="494" xr:uid="{00000000-0005-0000-0000-00001A550000}"/>
    <cellStyle name="Normal 4 2 55" xfId="255" xr:uid="{00000000-0005-0000-0000-00001B550000}"/>
    <cellStyle name="Normal 4 2 56" xfId="17" xr:uid="{00000000-0005-0000-0000-00001C550000}"/>
    <cellStyle name="Normal 4 2 57" xfId="28923" xr:uid="{00000000-0005-0000-0000-00001D550000}"/>
    <cellStyle name="Normal 4 2 6" xfId="25414" xr:uid="{00000000-0005-0000-0000-00001E550000}"/>
    <cellStyle name="Normal 4 2 7" xfId="24817" xr:uid="{00000000-0005-0000-0000-00001F550000}"/>
    <cellStyle name="Normal 4 2 8" xfId="24220" xr:uid="{00000000-0005-0000-0000-000020550000}"/>
    <cellStyle name="Normal 4 2 9" xfId="23623" xr:uid="{00000000-0005-0000-0000-000021550000}"/>
    <cellStyle name="Normal 4 20" xfId="28399" xr:uid="{00000000-0005-0000-0000-000022550000}"/>
    <cellStyle name="Normal 4 20 10" xfId="23025" xr:uid="{00000000-0005-0000-0000-000023550000}"/>
    <cellStyle name="Normal 4 20 11" xfId="22428" xr:uid="{00000000-0005-0000-0000-000024550000}"/>
    <cellStyle name="Normal 4 20 12" xfId="21832" xr:uid="{00000000-0005-0000-0000-000025550000}"/>
    <cellStyle name="Normal 4 20 13" xfId="21235" xr:uid="{00000000-0005-0000-0000-000026550000}"/>
    <cellStyle name="Normal 4 20 14" xfId="20638" xr:uid="{00000000-0005-0000-0000-000027550000}"/>
    <cellStyle name="Normal 4 20 15" xfId="20041" xr:uid="{00000000-0005-0000-0000-000028550000}"/>
    <cellStyle name="Normal 4 20 16" xfId="19445" xr:uid="{00000000-0005-0000-0000-000029550000}"/>
    <cellStyle name="Normal 4 20 17" xfId="18849" xr:uid="{00000000-0005-0000-0000-00002A550000}"/>
    <cellStyle name="Normal 4 20 18" xfId="18257" xr:uid="{00000000-0005-0000-0000-00002B550000}"/>
    <cellStyle name="Normal 4 20 19" xfId="17660" xr:uid="{00000000-0005-0000-0000-00002C550000}"/>
    <cellStyle name="Normal 4 20 2" xfId="27799" xr:uid="{00000000-0005-0000-0000-00002D550000}"/>
    <cellStyle name="Normal 4 20 20" xfId="14548" xr:uid="{00000000-0005-0000-0000-00002E550000}"/>
    <cellStyle name="Normal 4 20 21" xfId="14521" xr:uid="{00000000-0005-0000-0000-00002F550000}"/>
    <cellStyle name="Normal 4 20 22" xfId="17289" xr:uid="{00000000-0005-0000-0000-000030550000}"/>
    <cellStyle name="Normal 4 20 23" xfId="15808" xr:uid="{00000000-0005-0000-0000-000031550000}"/>
    <cellStyle name="Normal 4 20 24" xfId="16456" xr:uid="{00000000-0005-0000-0000-000032550000}"/>
    <cellStyle name="Normal 4 20 25" xfId="16822" xr:uid="{00000000-0005-0000-0000-000033550000}"/>
    <cellStyle name="Normal 4 20 26" xfId="17227" xr:uid="{00000000-0005-0000-0000-000034550000}"/>
    <cellStyle name="Normal 4 20 27" xfId="14053" xr:uid="{00000000-0005-0000-0000-000035550000}"/>
    <cellStyle name="Normal 4 20 28" xfId="12269" xr:uid="{00000000-0005-0000-0000-000036550000}"/>
    <cellStyle name="Normal 4 20 29" xfId="6343" xr:uid="{00000000-0005-0000-0000-000037550000}"/>
    <cellStyle name="Normal 4 20 3" xfId="27202" xr:uid="{00000000-0005-0000-0000-000038550000}"/>
    <cellStyle name="Normal 4 20 30" xfId="10696" xr:uid="{00000000-0005-0000-0000-000039550000}"/>
    <cellStyle name="Normal 4 20 31" xfId="9974" xr:uid="{00000000-0005-0000-0000-00003A550000}"/>
    <cellStyle name="Normal 4 20 32" xfId="10881" xr:uid="{00000000-0005-0000-0000-00003B550000}"/>
    <cellStyle name="Normal 4 20 33" xfId="6658" xr:uid="{00000000-0005-0000-0000-00003C550000}"/>
    <cellStyle name="Normal 4 20 34" xfId="11099" xr:uid="{00000000-0005-0000-0000-00003D550000}"/>
    <cellStyle name="Normal 4 20 35" xfId="5456" xr:uid="{00000000-0005-0000-0000-00003E550000}"/>
    <cellStyle name="Normal 4 20 36" xfId="6463" xr:uid="{00000000-0005-0000-0000-00003F550000}"/>
    <cellStyle name="Normal 4 20 37" xfId="10488" xr:uid="{00000000-0005-0000-0000-000040550000}"/>
    <cellStyle name="Normal 4 20 38" xfId="3806" xr:uid="{00000000-0005-0000-0000-000041550000}"/>
    <cellStyle name="Normal 4 20 39" xfId="8148" xr:uid="{00000000-0005-0000-0000-000042550000}"/>
    <cellStyle name="Normal 4 20 4" xfId="26605" xr:uid="{00000000-0005-0000-0000-000043550000}"/>
    <cellStyle name="Normal 4 20 40" xfId="5608" xr:uid="{00000000-0005-0000-0000-000044550000}"/>
    <cellStyle name="Normal 4 20 41" xfId="4149" xr:uid="{00000000-0005-0000-0000-000045550000}"/>
    <cellStyle name="Normal 4 20 42" xfId="8441" xr:uid="{00000000-0005-0000-0000-000046550000}"/>
    <cellStyle name="Normal 4 20 43" xfId="3104" xr:uid="{00000000-0005-0000-0000-000047550000}"/>
    <cellStyle name="Normal 4 20 5" xfId="26009" xr:uid="{00000000-0005-0000-0000-000048550000}"/>
    <cellStyle name="Normal 4 20 6" xfId="25413" xr:uid="{00000000-0005-0000-0000-000049550000}"/>
    <cellStyle name="Normal 4 20 7" xfId="24816" xr:uid="{00000000-0005-0000-0000-00004A550000}"/>
    <cellStyle name="Normal 4 20 8" xfId="24219" xr:uid="{00000000-0005-0000-0000-00004B550000}"/>
    <cellStyle name="Normal 4 20 9" xfId="23622" xr:uid="{00000000-0005-0000-0000-00004C550000}"/>
    <cellStyle name="Normal 4 21" xfId="28398" xr:uid="{00000000-0005-0000-0000-00004D550000}"/>
    <cellStyle name="Normal 4 21 10" xfId="23024" xr:uid="{00000000-0005-0000-0000-00004E550000}"/>
    <cellStyle name="Normal 4 21 11" xfId="22427" xr:uid="{00000000-0005-0000-0000-00004F550000}"/>
    <cellStyle name="Normal 4 21 12" xfId="21831" xr:uid="{00000000-0005-0000-0000-000050550000}"/>
    <cellStyle name="Normal 4 21 13" xfId="21234" xr:uid="{00000000-0005-0000-0000-000051550000}"/>
    <cellStyle name="Normal 4 21 14" xfId="20637" xr:uid="{00000000-0005-0000-0000-000052550000}"/>
    <cellStyle name="Normal 4 21 15" xfId="20040" xr:uid="{00000000-0005-0000-0000-000053550000}"/>
    <cellStyle name="Normal 4 21 16" xfId="19444" xr:uid="{00000000-0005-0000-0000-000054550000}"/>
    <cellStyle name="Normal 4 21 17" xfId="18848" xr:uid="{00000000-0005-0000-0000-000055550000}"/>
    <cellStyle name="Normal 4 21 18" xfId="18256" xr:uid="{00000000-0005-0000-0000-000056550000}"/>
    <cellStyle name="Normal 4 21 19" xfId="17659" xr:uid="{00000000-0005-0000-0000-000057550000}"/>
    <cellStyle name="Normal 4 21 2" xfId="27798" xr:uid="{00000000-0005-0000-0000-000058550000}"/>
    <cellStyle name="Normal 4 21 20" xfId="14744" xr:uid="{00000000-0005-0000-0000-000059550000}"/>
    <cellStyle name="Normal 4 21 21" xfId="14513" xr:uid="{00000000-0005-0000-0000-00005A550000}"/>
    <cellStyle name="Normal 4 21 22" xfId="15689" xr:uid="{00000000-0005-0000-0000-00005B550000}"/>
    <cellStyle name="Normal 4 21 23" xfId="13566" xr:uid="{00000000-0005-0000-0000-00005C550000}"/>
    <cellStyle name="Normal 4 21 24" xfId="13374" xr:uid="{00000000-0005-0000-0000-00005D550000}"/>
    <cellStyle name="Normal 4 21 25" xfId="13202" xr:uid="{00000000-0005-0000-0000-00005E550000}"/>
    <cellStyle name="Normal 4 21 26" xfId="14885" xr:uid="{00000000-0005-0000-0000-00005F550000}"/>
    <cellStyle name="Normal 4 21 27" xfId="14683" xr:uid="{00000000-0005-0000-0000-000060550000}"/>
    <cellStyle name="Normal 4 21 28" xfId="12268" xr:uid="{00000000-0005-0000-0000-000061550000}"/>
    <cellStyle name="Normal 4 21 29" xfId="6642" xr:uid="{00000000-0005-0000-0000-000062550000}"/>
    <cellStyle name="Normal 4 21 3" xfId="27201" xr:uid="{00000000-0005-0000-0000-000063550000}"/>
    <cellStyle name="Normal 4 21 30" xfId="6538" xr:uid="{00000000-0005-0000-0000-000064550000}"/>
    <cellStyle name="Normal 4 21 31" xfId="9170" xr:uid="{00000000-0005-0000-0000-000065550000}"/>
    <cellStyle name="Normal 4 21 32" xfId="7211" xr:uid="{00000000-0005-0000-0000-000066550000}"/>
    <cellStyle name="Normal 4 21 33" xfId="6012" xr:uid="{00000000-0005-0000-0000-000067550000}"/>
    <cellStyle name="Normal 4 21 34" xfId="8403" xr:uid="{00000000-0005-0000-0000-000068550000}"/>
    <cellStyle name="Normal 4 21 35" xfId="5877" xr:uid="{00000000-0005-0000-0000-000069550000}"/>
    <cellStyle name="Normal 4 21 36" xfId="8634" xr:uid="{00000000-0005-0000-0000-00006A550000}"/>
    <cellStyle name="Normal 4 21 37" xfId="8140" xr:uid="{00000000-0005-0000-0000-00006B550000}"/>
    <cellStyle name="Normal 4 21 38" xfId="7166" xr:uid="{00000000-0005-0000-0000-00006C550000}"/>
    <cellStyle name="Normal 4 21 39" xfId="4137" xr:uid="{00000000-0005-0000-0000-00006D550000}"/>
    <cellStyle name="Normal 4 21 4" xfId="26604" xr:uid="{00000000-0005-0000-0000-00006E550000}"/>
    <cellStyle name="Normal 4 21 40" xfId="9419" xr:uid="{00000000-0005-0000-0000-00006F550000}"/>
    <cellStyle name="Normal 4 21 41" xfId="9783" xr:uid="{00000000-0005-0000-0000-000070550000}"/>
    <cellStyle name="Normal 4 21 42" xfId="5993" xr:uid="{00000000-0005-0000-0000-000071550000}"/>
    <cellStyle name="Normal 4 21 43" xfId="9367" xr:uid="{00000000-0005-0000-0000-000072550000}"/>
    <cellStyle name="Normal 4 21 5" xfId="26008" xr:uid="{00000000-0005-0000-0000-000073550000}"/>
    <cellStyle name="Normal 4 21 6" xfId="25412" xr:uid="{00000000-0005-0000-0000-000074550000}"/>
    <cellStyle name="Normal 4 21 7" xfId="24815" xr:uid="{00000000-0005-0000-0000-000075550000}"/>
    <cellStyle name="Normal 4 21 8" xfId="24218" xr:uid="{00000000-0005-0000-0000-000076550000}"/>
    <cellStyle name="Normal 4 21 9" xfId="23621" xr:uid="{00000000-0005-0000-0000-000077550000}"/>
    <cellStyle name="Normal 4 22" xfId="28397" xr:uid="{00000000-0005-0000-0000-000078550000}"/>
    <cellStyle name="Normal 4 22 10" xfId="23023" xr:uid="{00000000-0005-0000-0000-000079550000}"/>
    <cellStyle name="Normal 4 22 11" xfId="22426" xr:uid="{00000000-0005-0000-0000-00007A550000}"/>
    <cellStyle name="Normal 4 22 12" xfId="21830" xr:uid="{00000000-0005-0000-0000-00007B550000}"/>
    <cellStyle name="Normal 4 22 13" xfId="21233" xr:uid="{00000000-0005-0000-0000-00007C550000}"/>
    <cellStyle name="Normal 4 22 14" xfId="20636" xr:uid="{00000000-0005-0000-0000-00007D550000}"/>
    <cellStyle name="Normal 4 22 15" xfId="20039" xr:uid="{00000000-0005-0000-0000-00007E550000}"/>
    <cellStyle name="Normal 4 22 16" xfId="19443" xr:uid="{00000000-0005-0000-0000-00007F550000}"/>
    <cellStyle name="Normal 4 22 17" xfId="18847" xr:uid="{00000000-0005-0000-0000-000080550000}"/>
    <cellStyle name="Normal 4 22 18" xfId="18255" xr:uid="{00000000-0005-0000-0000-000081550000}"/>
    <cellStyle name="Normal 4 22 19" xfId="17658" xr:uid="{00000000-0005-0000-0000-000082550000}"/>
    <cellStyle name="Normal 4 22 2" xfId="27797" xr:uid="{00000000-0005-0000-0000-000083550000}"/>
    <cellStyle name="Normal 4 22 20" xfId="14947" xr:uid="{00000000-0005-0000-0000-000084550000}"/>
    <cellStyle name="Normal 4 22 21" xfId="14507" xr:uid="{00000000-0005-0000-0000-000085550000}"/>
    <cellStyle name="Normal 4 22 22" xfId="17506" xr:uid="{00000000-0005-0000-0000-000086550000}"/>
    <cellStyle name="Normal 4 22 23" xfId="14243" xr:uid="{00000000-0005-0000-0000-000087550000}"/>
    <cellStyle name="Normal 4 22 24" xfId="15567" xr:uid="{00000000-0005-0000-0000-000088550000}"/>
    <cellStyle name="Normal 4 22 25" xfId="16125" xr:uid="{00000000-0005-0000-0000-000089550000}"/>
    <cellStyle name="Normal 4 22 26" xfId="13327" xr:uid="{00000000-0005-0000-0000-00008A550000}"/>
    <cellStyle name="Normal 4 22 27" xfId="17347" xr:uid="{00000000-0005-0000-0000-00008B550000}"/>
    <cellStyle name="Normal 4 22 28" xfId="12267" xr:uid="{00000000-0005-0000-0000-00008C550000}"/>
    <cellStyle name="Normal 4 22 29" xfId="7327" xr:uid="{00000000-0005-0000-0000-00008D550000}"/>
    <cellStyle name="Normal 4 22 3" xfId="27200" xr:uid="{00000000-0005-0000-0000-00008E550000}"/>
    <cellStyle name="Normal 4 22 30" xfId="11358" xr:uid="{00000000-0005-0000-0000-00008F550000}"/>
    <cellStyle name="Normal 4 22 31" xfId="11645" xr:uid="{00000000-0005-0000-0000-000090550000}"/>
    <cellStyle name="Normal 4 22 32" xfId="8754" xr:uid="{00000000-0005-0000-0000-000091550000}"/>
    <cellStyle name="Normal 4 22 33" xfId="10319" xr:uid="{00000000-0005-0000-0000-000092550000}"/>
    <cellStyle name="Normal 4 22 34" xfId="6019" xr:uid="{00000000-0005-0000-0000-000093550000}"/>
    <cellStyle name="Normal 4 22 35" xfId="10466" xr:uid="{00000000-0005-0000-0000-000094550000}"/>
    <cellStyle name="Normal 4 22 36" xfId="10613" xr:uid="{00000000-0005-0000-0000-000095550000}"/>
    <cellStyle name="Normal 4 22 37" xfId="7214" xr:uid="{00000000-0005-0000-0000-000096550000}"/>
    <cellStyle name="Normal 4 22 38" xfId="4104" xr:uid="{00000000-0005-0000-0000-000097550000}"/>
    <cellStyle name="Normal 4 22 39" xfId="9836" xr:uid="{00000000-0005-0000-0000-000098550000}"/>
    <cellStyle name="Normal 4 22 4" xfId="26603" xr:uid="{00000000-0005-0000-0000-000099550000}"/>
    <cellStyle name="Normal 4 22 40" xfId="6179" xr:uid="{00000000-0005-0000-0000-00009A550000}"/>
    <cellStyle name="Normal 4 22 41" xfId="3896" xr:uid="{00000000-0005-0000-0000-00009B550000}"/>
    <cellStyle name="Normal 4 22 42" xfId="9972" xr:uid="{00000000-0005-0000-0000-00009C550000}"/>
    <cellStyle name="Normal 4 22 43" xfId="8358" xr:uid="{00000000-0005-0000-0000-00009D550000}"/>
    <cellStyle name="Normal 4 22 5" xfId="26007" xr:uid="{00000000-0005-0000-0000-00009E550000}"/>
    <cellStyle name="Normal 4 22 6" xfId="25411" xr:uid="{00000000-0005-0000-0000-00009F550000}"/>
    <cellStyle name="Normal 4 22 7" xfId="24814" xr:uid="{00000000-0005-0000-0000-0000A0550000}"/>
    <cellStyle name="Normal 4 22 8" xfId="24217" xr:uid="{00000000-0005-0000-0000-0000A1550000}"/>
    <cellStyle name="Normal 4 22 9" xfId="23620" xr:uid="{00000000-0005-0000-0000-0000A2550000}"/>
    <cellStyle name="Normal 4 23" xfId="28396" xr:uid="{00000000-0005-0000-0000-0000A3550000}"/>
    <cellStyle name="Normal 4 23 10" xfId="23022" xr:uid="{00000000-0005-0000-0000-0000A4550000}"/>
    <cellStyle name="Normal 4 23 11" xfId="22425" xr:uid="{00000000-0005-0000-0000-0000A5550000}"/>
    <cellStyle name="Normal 4 23 12" xfId="21829" xr:uid="{00000000-0005-0000-0000-0000A6550000}"/>
    <cellStyle name="Normal 4 23 13" xfId="21232" xr:uid="{00000000-0005-0000-0000-0000A7550000}"/>
    <cellStyle name="Normal 4 23 14" xfId="20635" xr:uid="{00000000-0005-0000-0000-0000A8550000}"/>
    <cellStyle name="Normal 4 23 15" xfId="20038" xr:uid="{00000000-0005-0000-0000-0000A9550000}"/>
    <cellStyle name="Normal 4 23 16" xfId="19442" xr:uid="{00000000-0005-0000-0000-0000AA550000}"/>
    <cellStyle name="Normal 4 23 17" xfId="18846" xr:uid="{00000000-0005-0000-0000-0000AB550000}"/>
    <cellStyle name="Normal 4 23 18" xfId="18254" xr:uid="{00000000-0005-0000-0000-0000AC550000}"/>
    <cellStyle name="Normal 4 23 19" xfId="17657" xr:uid="{00000000-0005-0000-0000-0000AD550000}"/>
    <cellStyle name="Normal 4 23 2" xfId="27796" xr:uid="{00000000-0005-0000-0000-0000AE550000}"/>
    <cellStyle name="Normal 4 23 20" xfId="15154" xr:uid="{00000000-0005-0000-0000-0000AF550000}"/>
    <cellStyle name="Normal 4 23 21" xfId="14301" xr:uid="{00000000-0005-0000-0000-0000B0550000}"/>
    <cellStyle name="Normal 4 23 22" xfId="15165" xr:uid="{00000000-0005-0000-0000-0000B1550000}"/>
    <cellStyle name="Normal 4 23 23" xfId="16103" xr:uid="{00000000-0005-0000-0000-0000B2550000}"/>
    <cellStyle name="Normal 4 23 24" xfId="15527" xr:uid="{00000000-0005-0000-0000-0000B3550000}"/>
    <cellStyle name="Normal 4 23 25" xfId="13831" xr:uid="{00000000-0005-0000-0000-0000B4550000}"/>
    <cellStyle name="Normal 4 23 26" xfId="15799" xr:uid="{00000000-0005-0000-0000-0000B5550000}"/>
    <cellStyle name="Normal 4 23 27" xfId="14491" xr:uid="{00000000-0005-0000-0000-0000B6550000}"/>
    <cellStyle name="Normal 4 23 28" xfId="12266" xr:uid="{00000000-0005-0000-0000-0000B7550000}"/>
    <cellStyle name="Normal 4 23 29" xfId="6624" xr:uid="{00000000-0005-0000-0000-0000B8550000}"/>
    <cellStyle name="Normal 4 23 3" xfId="27199" xr:uid="{00000000-0005-0000-0000-0000B9550000}"/>
    <cellStyle name="Normal 4 23 30" xfId="11577" xr:uid="{00000000-0005-0000-0000-0000BA550000}"/>
    <cellStyle name="Normal 4 23 31" xfId="5528" xr:uid="{00000000-0005-0000-0000-0000BB550000}"/>
    <cellStyle name="Normal 4 23 32" xfId="6894" xr:uid="{00000000-0005-0000-0000-0000BC550000}"/>
    <cellStyle name="Normal 4 23 33" xfId="5255" xr:uid="{00000000-0005-0000-0000-0000BD550000}"/>
    <cellStyle name="Normal 4 23 34" xfId="6095" xr:uid="{00000000-0005-0000-0000-0000BE550000}"/>
    <cellStyle name="Normal 4 23 35" xfId="6421" xr:uid="{00000000-0005-0000-0000-0000BF550000}"/>
    <cellStyle name="Normal 4 23 36" xfId="10647" xr:uid="{00000000-0005-0000-0000-0000C0550000}"/>
    <cellStyle name="Normal 4 23 37" xfId="3892" xr:uid="{00000000-0005-0000-0000-0000C1550000}"/>
    <cellStyle name="Normal 4 23 38" xfId="5770" xr:uid="{00000000-0005-0000-0000-0000C2550000}"/>
    <cellStyle name="Normal 4 23 39" xfId="4837" xr:uid="{00000000-0005-0000-0000-0000C3550000}"/>
    <cellStyle name="Normal 4 23 4" xfId="26602" xr:uid="{00000000-0005-0000-0000-0000C4550000}"/>
    <cellStyle name="Normal 4 23 40" xfId="4498" xr:uid="{00000000-0005-0000-0000-0000C5550000}"/>
    <cellStyle name="Normal 4 23 41" xfId="5561" xr:uid="{00000000-0005-0000-0000-0000C6550000}"/>
    <cellStyle name="Normal 4 23 42" xfId="4446" xr:uid="{00000000-0005-0000-0000-0000C7550000}"/>
    <cellStyle name="Normal 4 23 43" xfId="5761" xr:uid="{00000000-0005-0000-0000-0000C8550000}"/>
    <cellStyle name="Normal 4 23 5" xfId="26006" xr:uid="{00000000-0005-0000-0000-0000C9550000}"/>
    <cellStyle name="Normal 4 23 6" xfId="25410" xr:uid="{00000000-0005-0000-0000-0000CA550000}"/>
    <cellStyle name="Normal 4 23 7" xfId="24813" xr:uid="{00000000-0005-0000-0000-0000CB550000}"/>
    <cellStyle name="Normal 4 23 8" xfId="24216" xr:uid="{00000000-0005-0000-0000-0000CC550000}"/>
    <cellStyle name="Normal 4 23 9" xfId="23619" xr:uid="{00000000-0005-0000-0000-0000CD550000}"/>
    <cellStyle name="Normal 4 24" xfId="28395" xr:uid="{00000000-0005-0000-0000-0000CE550000}"/>
    <cellStyle name="Normal 4 24 10" xfId="23021" xr:uid="{00000000-0005-0000-0000-0000CF550000}"/>
    <cellStyle name="Normal 4 24 11" xfId="22424" xr:uid="{00000000-0005-0000-0000-0000D0550000}"/>
    <cellStyle name="Normal 4 24 12" xfId="21828" xr:uid="{00000000-0005-0000-0000-0000D1550000}"/>
    <cellStyle name="Normal 4 24 13" xfId="21231" xr:uid="{00000000-0005-0000-0000-0000D2550000}"/>
    <cellStyle name="Normal 4 24 14" xfId="20634" xr:uid="{00000000-0005-0000-0000-0000D3550000}"/>
    <cellStyle name="Normal 4 24 15" xfId="20037" xr:uid="{00000000-0005-0000-0000-0000D4550000}"/>
    <cellStyle name="Normal 4 24 16" xfId="19441" xr:uid="{00000000-0005-0000-0000-0000D5550000}"/>
    <cellStyle name="Normal 4 24 17" xfId="18845" xr:uid="{00000000-0005-0000-0000-0000D6550000}"/>
    <cellStyle name="Normal 4 24 18" xfId="18253" xr:uid="{00000000-0005-0000-0000-0000D7550000}"/>
    <cellStyle name="Normal 4 24 19" xfId="17656" xr:uid="{00000000-0005-0000-0000-0000D8550000}"/>
    <cellStyle name="Normal 4 24 2" xfId="27795" xr:uid="{00000000-0005-0000-0000-0000D9550000}"/>
    <cellStyle name="Normal 4 24 20" xfId="15349" xr:uid="{00000000-0005-0000-0000-0000DA550000}"/>
    <cellStyle name="Normal 4 24 21" xfId="14292" xr:uid="{00000000-0005-0000-0000-0000DB550000}"/>
    <cellStyle name="Normal 4 24 22" xfId="15594" xr:uid="{00000000-0005-0000-0000-0000DC550000}"/>
    <cellStyle name="Normal 4 24 23" xfId="14277" xr:uid="{00000000-0005-0000-0000-0000DD550000}"/>
    <cellStyle name="Normal 4 24 24" xfId="15780" xr:uid="{00000000-0005-0000-0000-0000DE550000}"/>
    <cellStyle name="Normal 4 24 25" xfId="15486" xr:uid="{00000000-0005-0000-0000-0000DF550000}"/>
    <cellStyle name="Normal 4 24 26" xfId="13076" xr:uid="{00000000-0005-0000-0000-0000E0550000}"/>
    <cellStyle name="Normal 4 24 27" xfId="13277" xr:uid="{00000000-0005-0000-0000-0000E1550000}"/>
    <cellStyle name="Normal 4 24 28" xfId="12265" xr:uid="{00000000-0005-0000-0000-0000E2550000}"/>
    <cellStyle name="Normal 4 24 29" xfId="7141" xr:uid="{00000000-0005-0000-0000-0000E3550000}"/>
    <cellStyle name="Normal 4 24 3" xfId="27198" xr:uid="{00000000-0005-0000-0000-0000E4550000}"/>
    <cellStyle name="Normal 4 24 30" xfId="11792" xr:uid="{00000000-0005-0000-0000-0000E5550000}"/>
    <cellStyle name="Normal 4 24 31" xfId="5678" xr:uid="{00000000-0005-0000-0000-0000E6550000}"/>
    <cellStyle name="Normal 4 24 32" xfId="5603" xr:uid="{00000000-0005-0000-0000-0000E7550000}"/>
    <cellStyle name="Normal 4 24 33" xfId="7189" xr:uid="{00000000-0005-0000-0000-0000E8550000}"/>
    <cellStyle name="Normal 4 24 34" xfId="9045" xr:uid="{00000000-0005-0000-0000-0000E9550000}"/>
    <cellStyle name="Normal 4 24 35" xfId="4370" xr:uid="{00000000-0005-0000-0000-0000EA550000}"/>
    <cellStyle name="Normal 4 24 36" xfId="8072" xr:uid="{00000000-0005-0000-0000-0000EB550000}"/>
    <cellStyle name="Normal 4 24 37" xfId="7051" xr:uid="{00000000-0005-0000-0000-0000EC550000}"/>
    <cellStyle name="Normal 4 24 38" xfId="7335" xr:uid="{00000000-0005-0000-0000-0000ED550000}"/>
    <cellStyle name="Normal 4 24 39" xfId="3540" xr:uid="{00000000-0005-0000-0000-0000EE550000}"/>
    <cellStyle name="Normal 4 24 4" xfId="26601" xr:uid="{00000000-0005-0000-0000-0000EF550000}"/>
    <cellStyle name="Normal 4 24 40" xfId="5081" xr:uid="{00000000-0005-0000-0000-0000F0550000}"/>
    <cellStyle name="Normal 4 24 41" xfId="11326" xr:uid="{00000000-0005-0000-0000-0000F1550000}"/>
    <cellStyle name="Normal 4 24 42" xfId="3178" xr:uid="{00000000-0005-0000-0000-0000F2550000}"/>
    <cellStyle name="Normal 4 24 43" xfId="3779" xr:uid="{00000000-0005-0000-0000-0000F3550000}"/>
    <cellStyle name="Normal 4 24 5" xfId="26005" xr:uid="{00000000-0005-0000-0000-0000F4550000}"/>
    <cellStyle name="Normal 4 24 6" xfId="25409" xr:uid="{00000000-0005-0000-0000-0000F5550000}"/>
    <cellStyle name="Normal 4 24 7" xfId="24812" xr:uid="{00000000-0005-0000-0000-0000F6550000}"/>
    <cellStyle name="Normal 4 24 8" xfId="24215" xr:uid="{00000000-0005-0000-0000-0000F7550000}"/>
    <cellStyle name="Normal 4 24 9" xfId="23618" xr:uid="{00000000-0005-0000-0000-0000F8550000}"/>
    <cellStyle name="Normal 4 25" xfId="28394" xr:uid="{00000000-0005-0000-0000-0000F9550000}"/>
    <cellStyle name="Normal 4 25 10" xfId="23020" xr:uid="{00000000-0005-0000-0000-0000FA550000}"/>
    <cellStyle name="Normal 4 25 11" xfId="22423" xr:uid="{00000000-0005-0000-0000-0000FB550000}"/>
    <cellStyle name="Normal 4 25 12" xfId="21827" xr:uid="{00000000-0005-0000-0000-0000FC550000}"/>
    <cellStyle name="Normal 4 25 13" xfId="21230" xr:uid="{00000000-0005-0000-0000-0000FD550000}"/>
    <cellStyle name="Normal 4 25 14" xfId="20633" xr:uid="{00000000-0005-0000-0000-0000FE550000}"/>
    <cellStyle name="Normal 4 25 15" xfId="20036" xr:uid="{00000000-0005-0000-0000-0000FF550000}"/>
    <cellStyle name="Normal 4 25 16" xfId="19440" xr:uid="{00000000-0005-0000-0000-000000560000}"/>
    <cellStyle name="Normal 4 25 17" xfId="18844" xr:uid="{00000000-0005-0000-0000-000001560000}"/>
    <cellStyle name="Normal 4 25 18" xfId="18252" xr:uid="{00000000-0005-0000-0000-000002560000}"/>
    <cellStyle name="Normal 4 25 19" xfId="17655" xr:uid="{00000000-0005-0000-0000-000003560000}"/>
    <cellStyle name="Normal 4 25 2" xfId="27794" xr:uid="{00000000-0005-0000-0000-000004560000}"/>
    <cellStyle name="Normal 4 25 20" xfId="15556" xr:uid="{00000000-0005-0000-0000-000005560000}"/>
    <cellStyle name="Normal 4 25 21" xfId="17265" xr:uid="{00000000-0005-0000-0000-000006560000}"/>
    <cellStyle name="Normal 4 25 22" xfId="16007" xr:uid="{00000000-0005-0000-0000-000007560000}"/>
    <cellStyle name="Normal 4 25 23" xfId="15519" xr:uid="{00000000-0005-0000-0000-000008560000}"/>
    <cellStyle name="Normal 4 25 24" xfId="13687" xr:uid="{00000000-0005-0000-0000-000009560000}"/>
    <cellStyle name="Normal 4 25 25" xfId="15850" xr:uid="{00000000-0005-0000-0000-00000A560000}"/>
    <cellStyle name="Normal 4 25 26" xfId="14320" xr:uid="{00000000-0005-0000-0000-00000B560000}"/>
    <cellStyle name="Normal 4 25 27" xfId="13560" xr:uid="{00000000-0005-0000-0000-00000C560000}"/>
    <cellStyle name="Normal 4 25 28" xfId="12264" xr:uid="{00000000-0005-0000-0000-00000D560000}"/>
    <cellStyle name="Normal 4 25 29" xfId="7579" xr:uid="{00000000-0005-0000-0000-00000E560000}"/>
    <cellStyle name="Normal 4 25 3" xfId="27197" xr:uid="{00000000-0005-0000-0000-00000F560000}"/>
    <cellStyle name="Normal 4 25 30" xfId="6584" xr:uid="{00000000-0005-0000-0000-000010560000}"/>
    <cellStyle name="Normal 4 25 31" xfId="6102" xr:uid="{00000000-0005-0000-0000-000011560000}"/>
    <cellStyle name="Normal 4 25 32" xfId="10212" xr:uid="{00000000-0005-0000-0000-000012560000}"/>
    <cellStyle name="Normal 4 25 33" xfId="9292" xr:uid="{00000000-0005-0000-0000-000013560000}"/>
    <cellStyle name="Normal 4 25 34" xfId="7161" xr:uid="{00000000-0005-0000-0000-000014560000}"/>
    <cellStyle name="Normal 4 25 35" xfId="4608" xr:uid="{00000000-0005-0000-0000-000015560000}"/>
    <cellStyle name="Normal 4 25 36" xfId="5013" xr:uid="{00000000-0005-0000-0000-000016560000}"/>
    <cellStyle name="Normal 4 25 37" xfId="9223" xr:uid="{00000000-0005-0000-0000-000017560000}"/>
    <cellStyle name="Normal 4 25 38" xfId="8020" xr:uid="{00000000-0005-0000-0000-000018560000}"/>
    <cellStyle name="Normal 4 25 39" xfId="11110" xr:uid="{00000000-0005-0000-0000-000019560000}"/>
    <cellStyle name="Normal 4 25 4" xfId="26600" xr:uid="{00000000-0005-0000-0000-00001A560000}"/>
    <cellStyle name="Normal 4 25 40" xfId="11622" xr:uid="{00000000-0005-0000-0000-00001B560000}"/>
    <cellStyle name="Normal 4 25 41" xfId="3860" xr:uid="{00000000-0005-0000-0000-00001C560000}"/>
    <cellStyle name="Normal 4 25 42" xfId="7963" xr:uid="{00000000-0005-0000-0000-00001D560000}"/>
    <cellStyle name="Normal 4 25 43" xfId="7663" xr:uid="{00000000-0005-0000-0000-00001E560000}"/>
    <cellStyle name="Normal 4 25 5" xfId="26004" xr:uid="{00000000-0005-0000-0000-00001F560000}"/>
    <cellStyle name="Normal 4 25 6" xfId="25408" xr:uid="{00000000-0005-0000-0000-000020560000}"/>
    <cellStyle name="Normal 4 25 7" xfId="24811" xr:uid="{00000000-0005-0000-0000-000021560000}"/>
    <cellStyle name="Normal 4 25 8" xfId="24214" xr:uid="{00000000-0005-0000-0000-000022560000}"/>
    <cellStyle name="Normal 4 25 9" xfId="23617" xr:uid="{00000000-0005-0000-0000-000023560000}"/>
    <cellStyle name="Normal 4 26" xfId="28393" xr:uid="{00000000-0005-0000-0000-000024560000}"/>
    <cellStyle name="Normal 4 26 10" xfId="23019" xr:uid="{00000000-0005-0000-0000-000025560000}"/>
    <cellStyle name="Normal 4 26 11" xfId="22422" xr:uid="{00000000-0005-0000-0000-000026560000}"/>
    <cellStyle name="Normal 4 26 12" xfId="21826" xr:uid="{00000000-0005-0000-0000-000027560000}"/>
    <cellStyle name="Normal 4 26 13" xfId="21229" xr:uid="{00000000-0005-0000-0000-000028560000}"/>
    <cellStyle name="Normal 4 26 14" xfId="20632" xr:uid="{00000000-0005-0000-0000-000029560000}"/>
    <cellStyle name="Normal 4 26 15" xfId="20035" xr:uid="{00000000-0005-0000-0000-00002A560000}"/>
    <cellStyle name="Normal 4 26 16" xfId="19439" xr:uid="{00000000-0005-0000-0000-00002B560000}"/>
    <cellStyle name="Normal 4 26 17" xfId="18843" xr:uid="{00000000-0005-0000-0000-00002C560000}"/>
    <cellStyle name="Normal 4 26 18" xfId="18251" xr:uid="{00000000-0005-0000-0000-00002D560000}"/>
    <cellStyle name="Normal 4 26 19" xfId="17654" xr:uid="{00000000-0005-0000-0000-00002E560000}"/>
    <cellStyle name="Normal 4 26 2" xfId="27793" xr:uid="{00000000-0005-0000-0000-00002F560000}"/>
    <cellStyle name="Normal 4 26 20" xfId="15746" xr:uid="{00000000-0005-0000-0000-000030560000}"/>
    <cellStyle name="Normal 4 26 21" xfId="17253" xr:uid="{00000000-0005-0000-0000-000031560000}"/>
    <cellStyle name="Normal 4 26 22" xfId="17022" xr:uid="{00000000-0005-0000-0000-000032560000}"/>
    <cellStyle name="Normal 4 26 23" xfId="14696" xr:uid="{00000000-0005-0000-0000-000033560000}"/>
    <cellStyle name="Normal 4 26 24" xfId="14022" xr:uid="{00000000-0005-0000-0000-000034560000}"/>
    <cellStyle name="Normal 4 26 25" xfId="13860" xr:uid="{00000000-0005-0000-0000-000035560000}"/>
    <cellStyle name="Normal 4 26 26" xfId="13235" xr:uid="{00000000-0005-0000-0000-000036560000}"/>
    <cellStyle name="Normal 4 26 27" xfId="13175" xr:uid="{00000000-0005-0000-0000-000037560000}"/>
    <cellStyle name="Normal 4 26 28" xfId="12263" xr:uid="{00000000-0005-0000-0000-000038560000}"/>
    <cellStyle name="Normal 4 26 29" xfId="11915" xr:uid="{00000000-0005-0000-0000-000039560000}"/>
    <cellStyle name="Normal 4 26 3" xfId="27196" xr:uid="{00000000-0005-0000-0000-00003A560000}"/>
    <cellStyle name="Normal 4 26 30" xfId="7584" xr:uid="{00000000-0005-0000-0000-00003B560000}"/>
    <cellStyle name="Normal 4 26 31" xfId="8933" xr:uid="{00000000-0005-0000-0000-00003C560000}"/>
    <cellStyle name="Normal 4 26 32" xfId="10195" xr:uid="{00000000-0005-0000-0000-00003D560000}"/>
    <cellStyle name="Normal 4 26 33" xfId="7537" xr:uid="{00000000-0005-0000-0000-00003E560000}"/>
    <cellStyle name="Normal 4 26 34" xfId="11313" xr:uid="{00000000-0005-0000-0000-00003F560000}"/>
    <cellStyle name="Normal 4 26 35" xfId="9520" xr:uid="{00000000-0005-0000-0000-000040560000}"/>
    <cellStyle name="Normal 4 26 36" xfId="5890" xr:uid="{00000000-0005-0000-0000-000041560000}"/>
    <cellStyle name="Normal 4 26 37" xfId="10093" xr:uid="{00000000-0005-0000-0000-000042560000}"/>
    <cellStyle name="Normal 4 26 38" xfId="10099" xr:uid="{00000000-0005-0000-0000-000043560000}"/>
    <cellStyle name="Normal 4 26 39" xfId="8369" xr:uid="{00000000-0005-0000-0000-000044560000}"/>
    <cellStyle name="Normal 4 26 4" xfId="26599" xr:uid="{00000000-0005-0000-0000-000045560000}"/>
    <cellStyle name="Normal 4 26 40" xfId="9965" xr:uid="{00000000-0005-0000-0000-000046560000}"/>
    <cellStyle name="Normal 4 26 41" xfId="9283" xr:uid="{00000000-0005-0000-0000-000047560000}"/>
    <cellStyle name="Normal 4 26 42" xfId="6883" xr:uid="{00000000-0005-0000-0000-000048560000}"/>
    <cellStyle name="Normal 4 26 43" xfId="3141" xr:uid="{00000000-0005-0000-0000-000049560000}"/>
    <cellStyle name="Normal 4 26 5" xfId="26003" xr:uid="{00000000-0005-0000-0000-00004A560000}"/>
    <cellStyle name="Normal 4 26 6" xfId="25407" xr:uid="{00000000-0005-0000-0000-00004B560000}"/>
    <cellStyle name="Normal 4 26 7" xfId="24810" xr:uid="{00000000-0005-0000-0000-00004C560000}"/>
    <cellStyle name="Normal 4 26 8" xfId="24213" xr:uid="{00000000-0005-0000-0000-00004D560000}"/>
    <cellStyle name="Normal 4 26 9" xfId="23616" xr:uid="{00000000-0005-0000-0000-00004E560000}"/>
    <cellStyle name="Normal 4 27" xfId="27811" xr:uid="{00000000-0005-0000-0000-00004F560000}"/>
    <cellStyle name="Normal 4 28" xfId="27214" xr:uid="{00000000-0005-0000-0000-000050560000}"/>
    <cellStyle name="Normal 4 29" xfId="26617" xr:uid="{00000000-0005-0000-0000-000051560000}"/>
    <cellStyle name="Normal 4 3" xfId="28392" xr:uid="{00000000-0005-0000-0000-000052560000}"/>
    <cellStyle name="Normal 4 3 10" xfId="23018" xr:uid="{00000000-0005-0000-0000-000053560000}"/>
    <cellStyle name="Normal 4 3 11" xfId="22421" xr:uid="{00000000-0005-0000-0000-000054560000}"/>
    <cellStyle name="Normal 4 3 12" xfId="21825" xr:uid="{00000000-0005-0000-0000-000055560000}"/>
    <cellStyle name="Normal 4 3 13" xfId="21228" xr:uid="{00000000-0005-0000-0000-000056560000}"/>
    <cellStyle name="Normal 4 3 14" xfId="20631" xr:uid="{00000000-0005-0000-0000-000057560000}"/>
    <cellStyle name="Normal 4 3 15" xfId="20034" xr:uid="{00000000-0005-0000-0000-000058560000}"/>
    <cellStyle name="Normal 4 3 16" xfId="19438" xr:uid="{00000000-0005-0000-0000-000059560000}"/>
    <cellStyle name="Normal 4 3 17" xfId="18842" xr:uid="{00000000-0005-0000-0000-00005A560000}"/>
    <cellStyle name="Normal 4 3 18" xfId="18250" xr:uid="{00000000-0005-0000-0000-00005B560000}"/>
    <cellStyle name="Normal 4 3 19" xfId="17653" xr:uid="{00000000-0005-0000-0000-00005C560000}"/>
    <cellStyle name="Normal 4 3 2" xfId="27792" xr:uid="{00000000-0005-0000-0000-00005D560000}"/>
    <cellStyle name="Normal 4 3 20" xfId="15946" xr:uid="{00000000-0005-0000-0000-00005E560000}"/>
    <cellStyle name="Normal 4 3 21" xfId="16839" xr:uid="{00000000-0005-0000-0000-00005F560000}"/>
    <cellStyle name="Normal 4 3 22" xfId="14656" xr:uid="{00000000-0005-0000-0000-000060560000}"/>
    <cellStyle name="Normal 4 3 23" xfId="13852" xr:uid="{00000000-0005-0000-0000-000061560000}"/>
    <cellStyle name="Normal 4 3 24" xfId="14519" xr:uid="{00000000-0005-0000-0000-000062560000}"/>
    <cellStyle name="Normal 4 3 25" xfId="14077" xr:uid="{00000000-0005-0000-0000-000063560000}"/>
    <cellStyle name="Normal 4 3 26" xfId="13078" xr:uid="{00000000-0005-0000-0000-000064560000}"/>
    <cellStyle name="Normal 4 3 27" xfId="16232" xr:uid="{00000000-0005-0000-0000-000065560000}"/>
    <cellStyle name="Normal 4 3 28" xfId="12262" xr:uid="{00000000-0005-0000-0000-000066560000}"/>
    <cellStyle name="Normal 4 3 29" xfId="8095" xr:uid="{00000000-0005-0000-0000-000067560000}"/>
    <cellStyle name="Normal 4 3 3" xfId="27195" xr:uid="{00000000-0005-0000-0000-000068560000}"/>
    <cellStyle name="Normal 4 3 30" xfId="7303" xr:uid="{00000000-0005-0000-0000-000069560000}"/>
    <cellStyle name="Normal 4 3 31" xfId="10942" xr:uid="{00000000-0005-0000-0000-00006A560000}"/>
    <cellStyle name="Normal 4 3 32" xfId="10490" xr:uid="{00000000-0005-0000-0000-00006B560000}"/>
    <cellStyle name="Normal 4 3 33" xfId="4841" xr:uid="{00000000-0005-0000-0000-00006C560000}"/>
    <cellStyle name="Normal 4 3 34" xfId="10705" xr:uid="{00000000-0005-0000-0000-00006D560000}"/>
    <cellStyle name="Normal 4 3 35" xfId="4376" xr:uid="{00000000-0005-0000-0000-00006E560000}"/>
    <cellStyle name="Normal 4 3 36" xfId="9005" xr:uid="{00000000-0005-0000-0000-00006F560000}"/>
    <cellStyle name="Normal 4 3 37" xfId="8123" xr:uid="{00000000-0005-0000-0000-000070560000}"/>
    <cellStyle name="Normal 4 3 38" xfId="10670" xr:uid="{00000000-0005-0000-0000-000071560000}"/>
    <cellStyle name="Normal 4 3 39" xfId="7255" xr:uid="{00000000-0005-0000-0000-000072560000}"/>
    <cellStyle name="Normal 4 3 4" xfId="26598" xr:uid="{00000000-0005-0000-0000-000073560000}"/>
    <cellStyle name="Normal 4 3 40" xfId="11105" xr:uid="{00000000-0005-0000-0000-000074560000}"/>
    <cellStyle name="Normal 4 3 41" xfId="5450" xr:uid="{00000000-0005-0000-0000-000075560000}"/>
    <cellStyle name="Normal 4 3 42" xfId="4291" xr:uid="{00000000-0005-0000-0000-000076560000}"/>
    <cellStyle name="Normal 4 3 43" xfId="9016" xr:uid="{00000000-0005-0000-0000-000077560000}"/>
    <cellStyle name="Normal 4 3 44" xfId="2895" xr:uid="{00000000-0005-0000-0000-000078560000}"/>
    <cellStyle name="Normal 4 3 45" xfId="2652" xr:uid="{00000000-0005-0000-0000-000079560000}"/>
    <cellStyle name="Normal 4 3 46" xfId="2412" xr:uid="{00000000-0005-0000-0000-00007A560000}"/>
    <cellStyle name="Normal 4 3 47" xfId="2172" xr:uid="{00000000-0005-0000-0000-00007B560000}"/>
    <cellStyle name="Normal 4 3 48" xfId="1932" xr:uid="{00000000-0005-0000-0000-00007C560000}"/>
    <cellStyle name="Normal 4 3 49" xfId="1692" xr:uid="{00000000-0005-0000-0000-00007D560000}"/>
    <cellStyle name="Normal 4 3 5" xfId="26002" xr:uid="{00000000-0005-0000-0000-00007E560000}"/>
    <cellStyle name="Normal 4 3 50" xfId="1453" xr:uid="{00000000-0005-0000-0000-00007F560000}"/>
    <cellStyle name="Normal 4 3 51" xfId="1213" xr:uid="{00000000-0005-0000-0000-000080560000}"/>
    <cellStyle name="Normal 4 3 52" xfId="973" xr:uid="{00000000-0005-0000-0000-000081560000}"/>
    <cellStyle name="Normal 4 3 53" xfId="733" xr:uid="{00000000-0005-0000-0000-000082560000}"/>
    <cellStyle name="Normal 4 3 54" xfId="493" xr:uid="{00000000-0005-0000-0000-000083560000}"/>
    <cellStyle name="Normal 4 3 55" xfId="254" xr:uid="{00000000-0005-0000-0000-000084560000}"/>
    <cellStyle name="Normal 4 3 56" xfId="16" xr:uid="{00000000-0005-0000-0000-000085560000}"/>
    <cellStyle name="Normal 4 3 6" xfId="25406" xr:uid="{00000000-0005-0000-0000-000086560000}"/>
    <cellStyle name="Normal 4 3 7" xfId="24809" xr:uid="{00000000-0005-0000-0000-000087560000}"/>
    <cellStyle name="Normal 4 3 8" xfId="24212" xr:uid="{00000000-0005-0000-0000-000088560000}"/>
    <cellStyle name="Normal 4 3 9" xfId="23615" xr:uid="{00000000-0005-0000-0000-000089560000}"/>
    <cellStyle name="Normal 4 30" xfId="26021" xr:uid="{00000000-0005-0000-0000-00008A560000}"/>
    <cellStyle name="Normal 4 31" xfId="25425" xr:uid="{00000000-0005-0000-0000-00008B560000}"/>
    <cellStyle name="Normal 4 32" xfId="24828" xr:uid="{00000000-0005-0000-0000-00008C560000}"/>
    <cellStyle name="Normal 4 33" xfId="24231" xr:uid="{00000000-0005-0000-0000-00008D560000}"/>
    <cellStyle name="Normal 4 34" xfId="23634" xr:uid="{00000000-0005-0000-0000-00008E560000}"/>
    <cellStyle name="Normal 4 35" xfId="23037" xr:uid="{00000000-0005-0000-0000-00008F560000}"/>
    <cellStyle name="Normal 4 36" xfId="22440" xr:uid="{00000000-0005-0000-0000-000090560000}"/>
    <cellStyle name="Normal 4 37" xfId="21844" xr:uid="{00000000-0005-0000-0000-000091560000}"/>
    <cellStyle name="Normal 4 38" xfId="21247" xr:uid="{00000000-0005-0000-0000-000092560000}"/>
    <cellStyle name="Normal 4 39" xfId="20650" xr:uid="{00000000-0005-0000-0000-000093560000}"/>
    <cellStyle name="Normal 4 4" xfId="28391" xr:uid="{00000000-0005-0000-0000-000094560000}"/>
    <cellStyle name="Normal 4 4 10" xfId="23017" xr:uid="{00000000-0005-0000-0000-000095560000}"/>
    <cellStyle name="Normal 4 4 11" xfId="22420" xr:uid="{00000000-0005-0000-0000-000096560000}"/>
    <cellStyle name="Normal 4 4 12" xfId="21824" xr:uid="{00000000-0005-0000-0000-000097560000}"/>
    <cellStyle name="Normal 4 4 13" xfId="21227" xr:uid="{00000000-0005-0000-0000-000098560000}"/>
    <cellStyle name="Normal 4 4 14" xfId="20630" xr:uid="{00000000-0005-0000-0000-000099560000}"/>
    <cellStyle name="Normal 4 4 15" xfId="20033" xr:uid="{00000000-0005-0000-0000-00009A560000}"/>
    <cellStyle name="Normal 4 4 16" xfId="19437" xr:uid="{00000000-0005-0000-0000-00009B560000}"/>
    <cellStyle name="Normal 4 4 17" xfId="18841" xr:uid="{00000000-0005-0000-0000-00009C560000}"/>
    <cellStyle name="Normal 4 4 18" xfId="18249" xr:uid="{00000000-0005-0000-0000-00009D560000}"/>
    <cellStyle name="Normal 4 4 19" xfId="17652" xr:uid="{00000000-0005-0000-0000-00009E560000}"/>
    <cellStyle name="Normal 4 4 2" xfId="27791" xr:uid="{00000000-0005-0000-0000-00009F560000}"/>
    <cellStyle name="Normal 4 4 20" xfId="16154" xr:uid="{00000000-0005-0000-0000-0000A0560000}"/>
    <cellStyle name="Normal 4 4 21" xfId="16240" xr:uid="{00000000-0005-0000-0000-0000A1560000}"/>
    <cellStyle name="Normal 4 4 22" xfId="17423" xr:uid="{00000000-0005-0000-0000-0000A2560000}"/>
    <cellStyle name="Normal 4 4 23" xfId="15270" xr:uid="{00000000-0005-0000-0000-0000A3560000}"/>
    <cellStyle name="Normal 4 4 24" xfId="13835" xr:uid="{00000000-0005-0000-0000-0000A4560000}"/>
    <cellStyle name="Normal 4 4 25" xfId="15398" xr:uid="{00000000-0005-0000-0000-0000A5560000}"/>
    <cellStyle name="Normal 4 4 26" xfId="16076" xr:uid="{00000000-0005-0000-0000-0000A6560000}"/>
    <cellStyle name="Normal 4 4 27" xfId="13359" xr:uid="{00000000-0005-0000-0000-0000A7560000}"/>
    <cellStyle name="Normal 4 4 28" xfId="12261" xr:uid="{00000000-0005-0000-0000-0000A8560000}"/>
    <cellStyle name="Normal 4 4 29" xfId="8303" xr:uid="{00000000-0005-0000-0000-0000A9560000}"/>
    <cellStyle name="Normal 4 4 3" xfId="27194" xr:uid="{00000000-0005-0000-0000-0000AA560000}"/>
    <cellStyle name="Normal 4 4 30" xfId="6581" xr:uid="{00000000-0005-0000-0000-0000AB560000}"/>
    <cellStyle name="Normal 4 4 31" xfId="9613" xr:uid="{00000000-0005-0000-0000-0000AC560000}"/>
    <cellStyle name="Normal 4 4 32" xfId="11274" xr:uid="{00000000-0005-0000-0000-0000AD560000}"/>
    <cellStyle name="Normal 4 4 33" xfId="8936" xr:uid="{00000000-0005-0000-0000-0000AE560000}"/>
    <cellStyle name="Normal 4 4 34" xfId="9397" xr:uid="{00000000-0005-0000-0000-0000AF560000}"/>
    <cellStyle name="Normal 4 4 35" xfId="11128" xr:uid="{00000000-0005-0000-0000-0000B0560000}"/>
    <cellStyle name="Normal 4 4 36" xfId="11679" xr:uid="{00000000-0005-0000-0000-0000B1560000}"/>
    <cellStyle name="Normal 4 4 37" xfId="9591" xr:uid="{00000000-0005-0000-0000-0000B2560000}"/>
    <cellStyle name="Normal 4 4 38" xfId="10589" xr:uid="{00000000-0005-0000-0000-0000B3560000}"/>
    <cellStyle name="Normal 4 4 39" xfId="11109" xr:uid="{00000000-0005-0000-0000-0000B4560000}"/>
    <cellStyle name="Normal 4 4 4" xfId="26597" xr:uid="{00000000-0005-0000-0000-0000B5560000}"/>
    <cellStyle name="Normal 4 4 40" xfId="3721" xr:uid="{00000000-0005-0000-0000-0000B6560000}"/>
    <cellStyle name="Normal 4 4 41" xfId="9950" xr:uid="{00000000-0005-0000-0000-0000B7560000}"/>
    <cellStyle name="Normal 4 4 42" xfId="4609" xr:uid="{00000000-0005-0000-0000-0000B8560000}"/>
    <cellStyle name="Normal 4 4 43" xfId="4559" xr:uid="{00000000-0005-0000-0000-0000B9560000}"/>
    <cellStyle name="Normal 4 4 44" xfId="2894" xr:uid="{00000000-0005-0000-0000-0000BA560000}"/>
    <cellStyle name="Normal 4 4 45" xfId="2651" xr:uid="{00000000-0005-0000-0000-0000BB560000}"/>
    <cellStyle name="Normal 4 4 46" xfId="2411" xr:uid="{00000000-0005-0000-0000-0000BC560000}"/>
    <cellStyle name="Normal 4 4 47" xfId="2171" xr:uid="{00000000-0005-0000-0000-0000BD560000}"/>
    <cellStyle name="Normal 4 4 48" xfId="1931" xr:uid="{00000000-0005-0000-0000-0000BE560000}"/>
    <cellStyle name="Normal 4 4 49" xfId="1691" xr:uid="{00000000-0005-0000-0000-0000BF560000}"/>
    <cellStyle name="Normal 4 4 5" xfId="26001" xr:uid="{00000000-0005-0000-0000-0000C0560000}"/>
    <cellStyle name="Normal 4 4 50" xfId="1452" xr:uid="{00000000-0005-0000-0000-0000C1560000}"/>
    <cellStyle name="Normal 4 4 51" xfId="1212" xr:uid="{00000000-0005-0000-0000-0000C2560000}"/>
    <cellStyle name="Normal 4 4 52" xfId="972" xr:uid="{00000000-0005-0000-0000-0000C3560000}"/>
    <cellStyle name="Normal 4 4 53" xfId="732" xr:uid="{00000000-0005-0000-0000-0000C4560000}"/>
    <cellStyle name="Normal 4 4 54" xfId="492" xr:uid="{00000000-0005-0000-0000-0000C5560000}"/>
    <cellStyle name="Normal 4 4 55" xfId="253" xr:uid="{00000000-0005-0000-0000-0000C6560000}"/>
    <cellStyle name="Normal 4 4 56" xfId="15" xr:uid="{00000000-0005-0000-0000-0000C7560000}"/>
    <cellStyle name="Normal 4 4 6" xfId="25405" xr:uid="{00000000-0005-0000-0000-0000C8560000}"/>
    <cellStyle name="Normal 4 4 7" xfId="24808" xr:uid="{00000000-0005-0000-0000-0000C9560000}"/>
    <cellStyle name="Normal 4 4 8" xfId="24211" xr:uid="{00000000-0005-0000-0000-0000CA560000}"/>
    <cellStyle name="Normal 4 4 9" xfId="23614" xr:uid="{00000000-0005-0000-0000-0000CB560000}"/>
    <cellStyle name="Normal 4 40" xfId="20053" xr:uid="{00000000-0005-0000-0000-0000CC560000}"/>
    <cellStyle name="Normal 4 41" xfId="19457" xr:uid="{00000000-0005-0000-0000-0000CD560000}"/>
    <cellStyle name="Normal 4 42" xfId="18861" xr:uid="{00000000-0005-0000-0000-0000CE560000}"/>
    <cellStyle name="Normal 4 43" xfId="18269" xr:uid="{00000000-0005-0000-0000-0000CF560000}"/>
    <cellStyle name="Normal 4 44" xfId="17672" xr:uid="{00000000-0005-0000-0000-0000D0560000}"/>
    <cellStyle name="Normal 4 45" xfId="15554" xr:uid="{00000000-0005-0000-0000-0000D1560000}"/>
    <cellStyle name="Normal 4 46" xfId="14281" xr:uid="{00000000-0005-0000-0000-0000D2560000}"/>
    <cellStyle name="Normal 4 47" xfId="14255" xr:uid="{00000000-0005-0000-0000-0000D3560000}"/>
    <cellStyle name="Normal 4 48" xfId="16231" xr:uid="{00000000-0005-0000-0000-0000D4560000}"/>
    <cellStyle name="Normal 4 49" xfId="14252" xr:uid="{00000000-0005-0000-0000-0000D5560000}"/>
    <cellStyle name="Normal 4 5" xfId="28390" xr:uid="{00000000-0005-0000-0000-0000D6560000}"/>
    <cellStyle name="Normal 4 5 10" xfId="23016" xr:uid="{00000000-0005-0000-0000-0000D7560000}"/>
    <cellStyle name="Normal 4 5 11" xfId="22419" xr:uid="{00000000-0005-0000-0000-0000D8560000}"/>
    <cellStyle name="Normal 4 5 12" xfId="21823" xr:uid="{00000000-0005-0000-0000-0000D9560000}"/>
    <cellStyle name="Normal 4 5 13" xfId="21226" xr:uid="{00000000-0005-0000-0000-0000DA560000}"/>
    <cellStyle name="Normal 4 5 14" xfId="20629" xr:uid="{00000000-0005-0000-0000-0000DB560000}"/>
    <cellStyle name="Normal 4 5 15" xfId="20032" xr:uid="{00000000-0005-0000-0000-0000DC560000}"/>
    <cellStyle name="Normal 4 5 16" xfId="19436" xr:uid="{00000000-0005-0000-0000-0000DD560000}"/>
    <cellStyle name="Normal 4 5 17" xfId="18840" xr:uid="{00000000-0005-0000-0000-0000DE560000}"/>
    <cellStyle name="Normal 4 5 18" xfId="18248" xr:uid="{00000000-0005-0000-0000-0000DF560000}"/>
    <cellStyle name="Normal 4 5 19" xfId="17651" xr:uid="{00000000-0005-0000-0000-0000E0560000}"/>
    <cellStyle name="Normal 4 5 2" xfId="27790" xr:uid="{00000000-0005-0000-0000-0000E1560000}"/>
    <cellStyle name="Normal 4 5 20" xfId="16355" xr:uid="{00000000-0005-0000-0000-0000E2560000}"/>
    <cellStyle name="Normal 4 5 21" xfId="15818" xr:uid="{00000000-0005-0000-0000-0000E3560000}"/>
    <cellStyle name="Normal 4 5 22" xfId="16804" xr:uid="{00000000-0005-0000-0000-0000E4560000}"/>
    <cellStyle name="Normal 4 5 23" xfId="16451" xr:uid="{00000000-0005-0000-0000-0000E5560000}"/>
    <cellStyle name="Normal 4 5 24" xfId="17285" xr:uid="{00000000-0005-0000-0000-0000E6560000}"/>
    <cellStyle name="Normal 4 5 25" xfId="15566" xr:uid="{00000000-0005-0000-0000-0000E7560000}"/>
    <cellStyle name="Normal 4 5 26" xfId="13262" xr:uid="{00000000-0005-0000-0000-0000E8560000}"/>
    <cellStyle name="Normal 4 5 27" xfId="12947" xr:uid="{00000000-0005-0000-0000-0000E9560000}"/>
    <cellStyle name="Normal 4 5 28" xfId="12260" xr:uid="{00000000-0005-0000-0000-0000EA560000}"/>
    <cellStyle name="Normal 4 5 29" xfId="8518" xr:uid="{00000000-0005-0000-0000-0000EB560000}"/>
    <cellStyle name="Normal 4 5 3" xfId="27193" xr:uid="{00000000-0005-0000-0000-0000EC560000}"/>
    <cellStyle name="Normal 4 5 30" xfId="7026" xr:uid="{00000000-0005-0000-0000-0000ED560000}"/>
    <cellStyle name="Normal 4 5 31" xfId="7772" xr:uid="{00000000-0005-0000-0000-0000EE560000}"/>
    <cellStyle name="Normal 4 5 32" xfId="8407" xr:uid="{00000000-0005-0000-0000-0000EF560000}"/>
    <cellStyle name="Normal 4 5 33" xfId="9710" xr:uid="{00000000-0005-0000-0000-0000F0560000}"/>
    <cellStyle name="Normal 4 5 34" xfId="8986" xr:uid="{00000000-0005-0000-0000-0000F1560000}"/>
    <cellStyle name="Normal 4 5 35" xfId="6671" xr:uid="{00000000-0005-0000-0000-0000F2560000}"/>
    <cellStyle name="Normal 4 5 36" xfId="4964" xr:uid="{00000000-0005-0000-0000-0000F3560000}"/>
    <cellStyle name="Normal 4 5 37" xfId="5133" xr:uid="{00000000-0005-0000-0000-0000F4560000}"/>
    <cellStyle name="Normal 4 5 38" xfId="3541" xr:uid="{00000000-0005-0000-0000-0000F5560000}"/>
    <cellStyle name="Normal 4 5 39" xfId="5384" xr:uid="{00000000-0005-0000-0000-0000F6560000}"/>
    <cellStyle name="Normal 4 5 4" xfId="26596" xr:uid="{00000000-0005-0000-0000-0000F7560000}"/>
    <cellStyle name="Normal 4 5 40" xfId="3652" xr:uid="{00000000-0005-0000-0000-0000F8560000}"/>
    <cellStyle name="Normal 4 5 41" xfId="4978" xr:uid="{00000000-0005-0000-0000-0000F9560000}"/>
    <cellStyle name="Normal 4 5 42" xfId="9350" xr:uid="{00000000-0005-0000-0000-0000FA560000}"/>
    <cellStyle name="Normal 4 5 43" xfId="3433" xr:uid="{00000000-0005-0000-0000-0000FB560000}"/>
    <cellStyle name="Normal 4 5 44" xfId="2893" xr:uid="{00000000-0005-0000-0000-0000FC560000}"/>
    <cellStyle name="Normal 4 5 45" xfId="2650" xr:uid="{00000000-0005-0000-0000-0000FD560000}"/>
    <cellStyle name="Normal 4 5 46" xfId="2410" xr:uid="{00000000-0005-0000-0000-0000FE560000}"/>
    <cellStyle name="Normal 4 5 47" xfId="2170" xr:uid="{00000000-0005-0000-0000-0000FF560000}"/>
    <cellStyle name="Normal 4 5 48" xfId="1930" xr:uid="{00000000-0005-0000-0000-000000570000}"/>
    <cellStyle name="Normal 4 5 49" xfId="1690" xr:uid="{00000000-0005-0000-0000-000001570000}"/>
    <cellStyle name="Normal 4 5 5" xfId="26000" xr:uid="{00000000-0005-0000-0000-000002570000}"/>
    <cellStyle name="Normal 4 5 50" xfId="1451" xr:uid="{00000000-0005-0000-0000-000003570000}"/>
    <cellStyle name="Normal 4 5 51" xfId="1211" xr:uid="{00000000-0005-0000-0000-000004570000}"/>
    <cellStyle name="Normal 4 5 52" xfId="971" xr:uid="{00000000-0005-0000-0000-000005570000}"/>
    <cellStyle name="Normal 4 5 53" xfId="731" xr:uid="{00000000-0005-0000-0000-000006570000}"/>
    <cellStyle name="Normal 4 5 54" xfId="491" xr:uid="{00000000-0005-0000-0000-000007570000}"/>
    <cellStyle name="Normal 4 5 55" xfId="252" xr:uid="{00000000-0005-0000-0000-000008570000}"/>
    <cellStyle name="Normal 4 5 56" xfId="14" xr:uid="{00000000-0005-0000-0000-000009570000}"/>
    <cellStyle name="Normal 4 5 6" xfId="25404" xr:uid="{00000000-0005-0000-0000-00000A570000}"/>
    <cellStyle name="Normal 4 5 7" xfId="24807" xr:uid="{00000000-0005-0000-0000-00000B570000}"/>
    <cellStyle name="Normal 4 5 8" xfId="24210" xr:uid="{00000000-0005-0000-0000-00000C570000}"/>
    <cellStyle name="Normal 4 5 9" xfId="23613" xr:uid="{00000000-0005-0000-0000-00000D570000}"/>
    <cellStyle name="Normal 4 50" xfId="13228" xr:uid="{00000000-0005-0000-0000-00000E570000}"/>
    <cellStyle name="Normal 4 51" xfId="14378" xr:uid="{00000000-0005-0000-0000-00000F570000}"/>
    <cellStyle name="Normal 4 52" xfId="13316" xr:uid="{00000000-0005-0000-0000-000010570000}"/>
    <cellStyle name="Normal 4 53" xfId="12281" xr:uid="{00000000-0005-0000-0000-000011570000}"/>
    <cellStyle name="Normal 4 54" xfId="9659" xr:uid="{00000000-0005-0000-0000-000012570000}"/>
    <cellStyle name="Normal 4 55" xfId="8680" xr:uid="{00000000-0005-0000-0000-000013570000}"/>
    <cellStyle name="Normal 4 56" xfId="9819" xr:uid="{00000000-0005-0000-0000-000014570000}"/>
    <cellStyle name="Normal 4 57" xfId="9551" xr:uid="{00000000-0005-0000-0000-000015570000}"/>
    <cellStyle name="Normal 4 58" xfId="6855" xr:uid="{00000000-0005-0000-0000-000016570000}"/>
    <cellStyle name="Normal 4 59" xfId="4612" xr:uid="{00000000-0005-0000-0000-000017570000}"/>
    <cellStyle name="Normal 4 6" xfId="28389" xr:uid="{00000000-0005-0000-0000-000018570000}"/>
    <cellStyle name="Normal 4 6 10" xfId="23015" xr:uid="{00000000-0005-0000-0000-000019570000}"/>
    <cellStyle name="Normal 4 6 11" xfId="22418" xr:uid="{00000000-0005-0000-0000-00001A570000}"/>
    <cellStyle name="Normal 4 6 12" xfId="21822" xr:uid="{00000000-0005-0000-0000-00001B570000}"/>
    <cellStyle name="Normal 4 6 13" xfId="21225" xr:uid="{00000000-0005-0000-0000-00001C570000}"/>
    <cellStyle name="Normal 4 6 14" xfId="20628" xr:uid="{00000000-0005-0000-0000-00001D570000}"/>
    <cellStyle name="Normal 4 6 15" xfId="20031" xr:uid="{00000000-0005-0000-0000-00001E570000}"/>
    <cellStyle name="Normal 4 6 16" xfId="19435" xr:uid="{00000000-0005-0000-0000-00001F570000}"/>
    <cellStyle name="Normal 4 6 17" xfId="18839" xr:uid="{00000000-0005-0000-0000-000020570000}"/>
    <cellStyle name="Normal 4 6 18" xfId="18247" xr:uid="{00000000-0005-0000-0000-000021570000}"/>
    <cellStyle name="Normal 4 6 19" xfId="17650" xr:uid="{00000000-0005-0000-0000-000022570000}"/>
    <cellStyle name="Normal 4 6 2" xfId="27789" xr:uid="{00000000-0005-0000-0000-000023570000}"/>
    <cellStyle name="Normal 4 6 20" xfId="16545" xr:uid="{00000000-0005-0000-0000-000024570000}"/>
    <cellStyle name="Normal 4 6 21" xfId="15415" xr:uid="{00000000-0005-0000-0000-000025570000}"/>
    <cellStyle name="Normal 4 6 22" xfId="14246" xr:uid="{00000000-0005-0000-0000-000026570000}"/>
    <cellStyle name="Normal 4 6 23" xfId="16614" xr:uid="{00000000-0005-0000-0000-000027570000}"/>
    <cellStyle name="Normal 4 6 24" xfId="15435" xr:uid="{00000000-0005-0000-0000-000028570000}"/>
    <cellStyle name="Normal 4 6 25" xfId="13095" xr:uid="{00000000-0005-0000-0000-000029570000}"/>
    <cellStyle name="Normal 4 6 26" xfId="14807" xr:uid="{00000000-0005-0000-0000-00002A570000}"/>
    <cellStyle name="Normal 4 6 27" xfId="13233" xr:uid="{00000000-0005-0000-0000-00002B570000}"/>
    <cellStyle name="Normal 4 6 28" xfId="12259" xr:uid="{00000000-0005-0000-0000-00002C570000}"/>
    <cellStyle name="Normal 4 6 29" xfId="8734" xr:uid="{00000000-0005-0000-0000-00002D570000}"/>
    <cellStyle name="Normal 4 6 3" xfId="27192" xr:uid="{00000000-0005-0000-0000-00002E570000}"/>
    <cellStyle name="Normal 4 6 30" xfId="9257" xr:uid="{00000000-0005-0000-0000-00002F570000}"/>
    <cellStyle name="Normal 4 6 31" xfId="9258" xr:uid="{00000000-0005-0000-0000-000030570000}"/>
    <cellStyle name="Normal 4 6 32" xfId="9241" xr:uid="{00000000-0005-0000-0000-000031570000}"/>
    <cellStyle name="Normal 4 6 33" xfId="6322" xr:uid="{00000000-0005-0000-0000-000032570000}"/>
    <cellStyle name="Normal 4 6 34" xfId="7638" xr:uid="{00000000-0005-0000-0000-000033570000}"/>
    <cellStyle name="Normal 4 6 35" xfId="10955" xr:uid="{00000000-0005-0000-0000-000034570000}"/>
    <cellStyle name="Normal 4 6 36" xfId="9844" xr:uid="{00000000-0005-0000-0000-000035570000}"/>
    <cellStyle name="Normal 4 6 37" xfId="8076" xr:uid="{00000000-0005-0000-0000-000036570000}"/>
    <cellStyle name="Normal 4 6 38" xfId="3546" xr:uid="{00000000-0005-0000-0000-000037570000}"/>
    <cellStyle name="Normal 4 6 39" xfId="7352" xr:uid="{00000000-0005-0000-0000-000038570000}"/>
    <cellStyle name="Normal 4 6 4" xfId="26595" xr:uid="{00000000-0005-0000-0000-000039570000}"/>
    <cellStyle name="Normal 4 6 40" xfId="4328" xr:uid="{00000000-0005-0000-0000-00003A570000}"/>
    <cellStyle name="Normal 4 6 41" xfId="3179" xr:uid="{00000000-0005-0000-0000-00003B570000}"/>
    <cellStyle name="Normal 4 6 42" xfId="8586" xr:uid="{00000000-0005-0000-0000-00003C570000}"/>
    <cellStyle name="Normal 4 6 43" xfId="10962" xr:uid="{00000000-0005-0000-0000-00003D570000}"/>
    <cellStyle name="Normal 4 6 44" xfId="2892" xr:uid="{00000000-0005-0000-0000-00003E570000}"/>
    <cellStyle name="Normal 4 6 45" xfId="2649" xr:uid="{00000000-0005-0000-0000-00003F570000}"/>
    <cellStyle name="Normal 4 6 46" xfId="2409" xr:uid="{00000000-0005-0000-0000-000040570000}"/>
    <cellStyle name="Normal 4 6 47" xfId="2169" xr:uid="{00000000-0005-0000-0000-000041570000}"/>
    <cellStyle name="Normal 4 6 48" xfId="1929" xr:uid="{00000000-0005-0000-0000-000042570000}"/>
    <cellStyle name="Normal 4 6 49" xfId="1689" xr:uid="{00000000-0005-0000-0000-000043570000}"/>
    <cellStyle name="Normal 4 6 5" xfId="25999" xr:uid="{00000000-0005-0000-0000-000044570000}"/>
    <cellStyle name="Normal 4 6 50" xfId="1450" xr:uid="{00000000-0005-0000-0000-000045570000}"/>
    <cellStyle name="Normal 4 6 51" xfId="1210" xr:uid="{00000000-0005-0000-0000-000046570000}"/>
    <cellStyle name="Normal 4 6 52" xfId="970" xr:uid="{00000000-0005-0000-0000-000047570000}"/>
    <cellStyle name="Normal 4 6 53" xfId="730" xr:uid="{00000000-0005-0000-0000-000048570000}"/>
    <cellStyle name="Normal 4 6 54" xfId="490" xr:uid="{00000000-0005-0000-0000-000049570000}"/>
    <cellStyle name="Normal 4 6 55" xfId="251" xr:uid="{00000000-0005-0000-0000-00004A570000}"/>
    <cellStyle name="Normal 4 6 56" xfId="13" xr:uid="{00000000-0005-0000-0000-00004B570000}"/>
    <cellStyle name="Normal 4 6 6" xfId="25403" xr:uid="{00000000-0005-0000-0000-00004C570000}"/>
    <cellStyle name="Normal 4 6 7" xfId="24806" xr:uid="{00000000-0005-0000-0000-00004D570000}"/>
    <cellStyle name="Normal 4 6 8" xfId="24209" xr:uid="{00000000-0005-0000-0000-00004E570000}"/>
    <cellStyle name="Normal 4 6 9" xfId="23612" xr:uid="{00000000-0005-0000-0000-00004F570000}"/>
    <cellStyle name="Normal 4 60" xfId="4466" xr:uid="{00000000-0005-0000-0000-000050570000}"/>
    <cellStyle name="Normal 4 61" xfId="10518" xr:uid="{00000000-0005-0000-0000-000051570000}"/>
    <cellStyle name="Normal 4 62" xfId="4250" xr:uid="{00000000-0005-0000-0000-000052570000}"/>
    <cellStyle name="Normal 4 63" xfId="6653" xr:uid="{00000000-0005-0000-0000-000053570000}"/>
    <cellStyle name="Normal 4 64" xfId="7261" xr:uid="{00000000-0005-0000-0000-000054570000}"/>
    <cellStyle name="Normal 4 65" xfId="3799" xr:uid="{00000000-0005-0000-0000-000055570000}"/>
    <cellStyle name="Normal 4 66" xfId="7929" xr:uid="{00000000-0005-0000-0000-000056570000}"/>
    <cellStyle name="Normal 4 67" xfId="3148" xr:uid="{00000000-0005-0000-0000-000057570000}"/>
    <cellStyle name="Normal 4 68" xfId="11421" xr:uid="{00000000-0005-0000-0000-000058570000}"/>
    <cellStyle name="Normal 4 69" xfId="28920" xr:uid="{00000000-0005-0000-0000-000059570000}"/>
    <cellStyle name="Normal 4 7" xfId="28388" xr:uid="{00000000-0005-0000-0000-00005A570000}"/>
    <cellStyle name="Normal 4 7 10" xfId="23014" xr:uid="{00000000-0005-0000-0000-00005B570000}"/>
    <cellStyle name="Normal 4 7 11" xfId="22417" xr:uid="{00000000-0005-0000-0000-00005C570000}"/>
    <cellStyle name="Normal 4 7 12" xfId="21821" xr:uid="{00000000-0005-0000-0000-00005D570000}"/>
    <cellStyle name="Normal 4 7 13" xfId="21224" xr:uid="{00000000-0005-0000-0000-00005E570000}"/>
    <cellStyle name="Normal 4 7 14" xfId="20627" xr:uid="{00000000-0005-0000-0000-00005F570000}"/>
    <cellStyle name="Normal 4 7 15" xfId="20030" xr:uid="{00000000-0005-0000-0000-000060570000}"/>
    <cellStyle name="Normal 4 7 16" xfId="19434" xr:uid="{00000000-0005-0000-0000-000061570000}"/>
    <cellStyle name="Normal 4 7 17" xfId="18838" xr:uid="{00000000-0005-0000-0000-000062570000}"/>
    <cellStyle name="Normal 4 7 18" xfId="18246" xr:uid="{00000000-0005-0000-0000-000063570000}"/>
    <cellStyle name="Normal 4 7 19" xfId="17649" xr:uid="{00000000-0005-0000-0000-000064570000}"/>
    <cellStyle name="Normal 4 7 2" xfId="27788" xr:uid="{00000000-0005-0000-0000-000065570000}"/>
    <cellStyle name="Normal 4 7 20" xfId="16739" xr:uid="{00000000-0005-0000-0000-000066570000}"/>
    <cellStyle name="Normal 4 7 21" xfId="15007" xr:uid="{00000000-0005-0000-0000-000067570000}"/>
    <cellStyle name="Normal 4 7 22" xfId="13563" xr:uid="{00000000-0005-0000-0000-000068570000}"/>
    <cellStyle name="Normal 4 7 23" xfId="13406" xr:uid="{00000000-0005-0000-0000-000069570000}"/>
    <cellStyle name="Normal 4 7 24" xfId="14685" xr:uid="{00000000-0005-0000-0000-00006A570000}"/>
    <cellStyle name="Normal 4 7 25" xfId="14634" xr:uid="{00000000-0005-0000-0000-00006B570000}"/>
    <cellStyle name="Normal 4 7 26" xfId="13304" xr:uid="{00000000-0005-0000-0000-00006C570000}"/>
    <cellStyle name="Normal 4 7 27" xfId="12730" xr:uid="{00000000-0005-0000-0000-00006D570000}"/>
    <cellStyle name="Normal 4 7 28" xfId="12258" xr:uid="{00000000-0005-0000-0000-00006E570000}"/>
    <cellStyle name="Normal 4 7 29" xfId="8972" xr:uid="{00000000-0005-0000-0000-00006F570000}"/>
    <cellStyle name="Normal 4 7 3" xfId="27191" xr:uid="{00000000-0005-0000-0000-000070570000}"/>
    <cellStyle name="Normal 4 7 30" xfId="9246" xr:uid="{00000000-0005-0000-0000-000071570000}"/>
    <cellStyle name="Normal 4 7 31" xfId="11715" xr:uid="{00000000-0005-0000-0000-000072570000}"/>
    <cellStyle name="Normal 4 7 32" xfId="6018" xr:uid="{00000000-0005-0000-0000-000073570000}"/>
    <cellStyle name="Normal 4 7 33" xfId="10992" xr:uid="{00000000-0005-0000-0000-000074570000}"/>
    <cellStyle name="Normal 4 7 34" xfId="5482" xr:uid="{00000000-0005-0000-0000-000075570000}"/>
    <cellStyle name="Normal 4 7 35" xfId="11941" xr:uid="{00000000-0005-0000-0000-000076570000}"/>
    <cellStyle name="Normal 4 7 36" xfId="8899" xr:uid="{00000000-0005-0000-0000-000077570000}"/>
    <cellStyle name="Normal 4 7 37" xfId="4683" xr:uid="{00000000-0005-0000-0000-000078570000}"/>
    <cellStyle name="Normal 4 7 38" xfId="8354" xr:uid="{00000000-0005-0000-0000-000079570000}"/>
    <cellStyle name="Normal 4 7 39" xfId="3552" xr:uid="{00000000-0005-0000-0000-00007A570000}"/>
    <cellStyle name="Normal 4 7 4" xfId="26594" xr:uid="{00000000-0005-0000-0000-00007B570000}"/>
    <cellStyle name="Normal 4 7 40" xfId="10221" xr:uid="{00000000-0005-0000-0000-00007C570000}"/>
    <cellStyle name="Normal 4 7 41" xfId="7675" xr:uid="{00000000-0005-0000-0000-00007D570000}"/>
    <cellStyle name="Normal 4 7 42" xfId="7099" xr:uid="{00000000-0005-0000-0000-00007E570000}"/>
    <cellStyle name="Normal 4 7 43" xfId="4186" xr:uid="{00000000-0005-0000-0000-00007F570000}"/>
    <cellStyle name="Normal 4 7 44" xfId="2891" xr:uid="{00000000-0005-0000-0000-000080570000}"/>
    <cellStyle name="Normal 4 7 45" xfId="2648" xr:uid="{00000000-0005-0000-0000-000081570000}"/>
    <cellStyle name="Normal 4 7 46" xfId="2408" xr:uid="{00000000-0005-0000-0000-000082570000}"/>
    <cellStyle name="Normal 4 7 47" xfId="2168" xr:uid="{00000000-0005-0000-0000-000083570000}"/>
    <cellStyle name="Normal 4 7 48" xfId="1928" xr:uid="{00000000-0005-0000-0000-000084570000}"/>
    <cellStyle name="Normal 4 7 49" xfId="1688" xr:uid="{00000000-0005-0000-0000-000085570000}"/>
    <cellStyle name="Normal 4 7 5" xfId="25998" xr:uid="{00000000-0005-0000-0000-000086570000}"/>
    <cellStyle name="Normal 4 7 50" xfId="1449" xr:uid="{00000000-0005-0000-0000-000087570000}"/>
    <cellStyle name="Normal 4 7 51" xfId="1209" xr:uid="{00000000-0005-0000-0000-000088570000}"/>
    <cellStyle name="Normal 4 7 52" xfId="969" xr:uid="{00000000-0005-0000-0000-000089570000}"/>
    <cellStyle name="Normal 4 7 53" xfId="729" xr:uid="{00000000-0005-0000-0000-00008A570000}"/>
    <cellStyle name="Normal 4 7 54" xfId="489" xr:uid="{00000000-0005-0000-0000-00008B570000}"/>
    <cellStyle name="Normal 4 7 55" xfId="250" xr:uid="{00000000-0005-0000-0000-00008C570000}"/>
    <cellStyle name="Normal 4 7 56" xfId="12" xr:uid="{00000000-0005-0000-0000-00008D570000}"/>
    <cellStyle name="Normal 4 7 6" xfId="25402" xr:uid="{00000000-0005-0000-0000-00008E570000}"/>
    <cellStyle name="Normal 4 7 7" xfId="24805" xr:uid="{00000000-0005-0000-0000-00008F570000}"/>
    <cellStyle name="Normal 4 7 8" xfId="24208" xr:uid="{00000000-0005-0000-0000-000090570000}"/>
    <cellStyle name="Normal 4 7 9" xfId="23611" xr:uid="{00000000-0005-0000-0000-000091570000}"/>
    <cellStyle name="Normal 4 8" xfId="28387" xr:uid="{00000000-0005-0000-0000-000092570000}"/>
    <cellStyle name="Normal 4 8 10" xfId="23013" xr:uid="{00000000-0005-0000-0000-000093570000}"/>
    <cellStyle name="Normal 4 8 11" xfId="22416" xr:uid="{00000000-0005-0000-0000-000094570000}"/>
    <cellStyle name="Normal 4 8 12" xfId="21820" xr:uid="{00000000-0005-0000-0000-000095570000}"/>
    <cellStyle name="Normal 4 8 13" xfId="21223" xr:uid="{00000000-0005-0000-0000-000096570000}"/>
    <cellStyle name="Normal 4 8 14" xfId="20626" xr:uid="{00000000-0005-0000-0000-000097570000}"/>
    <cellStyle name="Normal 4 8 15" xfId="20029" xr:uid="{00000000-0005-0000-0000-000098570000}"/>
    <cellStyle name="Normal 4 8 16" xfId="19433" xr:uid="{00000000-0005-0000-0000-000099570000}"/>
    <cellStyle name="Normal 4 8 17" xfId="18837" xr:uid="{00000000-0005-0000-0000-00009A570000}"/>
    <cellStyle name="Normal 4 8 18" xfId="18245" xr:uid="{00000000-0005-0000-0000-00009B570000}"/>
    <cellStyle name="Normal 4 8 19" xfId="17648" xr:uid="{00000000-0005-0000-0000-00009C570000}"/>
    <cellStyle name="Normal 4 8 2" xfId="27787" xr:uid="{00000000-0005-0000-0000-00009D570000}"/>
    <cellStyle name="Normal 4 8 20" xfId="16936" xr:uid="{00000000-0005-0000-0000-00009E570000}"/>
    <cellStyle name="Normal 4 8 21" xfId="15392" xr:uid="{00000000-0005-0000-0000-00009F570000}"/>
    <cellStyle name="Normal 4 8 22" xfId="15654" xr:uid="{00000000-0005-0000-0000-0000A0570000}"/>
    <cellStyle name="Normal 4 8 23" xfId="16746" xr:uid="{00000000-0005-0000-0000-0000A1570000}"/>
    <cellStyle name="Normal 4 8 24" xfId="13448" xr:uid="{00000000-0005-0000-0000-0000A2570000}"/>
    <cellStyle name="Normal 4 8 25" xfId="15410" xr:uid="{00000000-0005-0000-0000-0000A3570000}"/>
    <cellStyle name="Normal 4 8 26" xfId="14677" xr:uid="{00000000-0005-0000-0000-0000A4570000}"/>
    <cellStyle name="Normal 4 8 27" xfId="12736" xr:uid="{00000000-0005-0000-0000-0000A5570000}"/>
    <cellStyle name="Normal 4 8 28" xfId="12257" xr:uid="{00000000-0005-0000-0000-0000A6570000}"/>
    <cellStyle name="Normal 4 8 29" xfId="9207" xr:uid="{00000000-0005-0000-0000-0000A7570000}"/>
    <cellStyle name="Normal 4 8 3" xfId="27190" xr:uid="{00000000-0005-0000-0000-0000A8570000}"/>
    <cellStyle name="Normal 4 8 30" xfId="9691" xr:uid="{00000000-0005-0000-0000-0000A9570000}"/>
    <cellStyle name="Normal 4 8 31" xfId="7893" xr:uid="{00000000-0005-0000-0000-0000AA570000}"/>
    <cellStyle name="Normal 4 8 32" xfId="10401" xr:uid="{00000000-0005-0000-0000-0000AB570000}"/>
    <cellStyle name="Normal 4 8 33" xfId="5259" xr:uid="{00000000-0005-0000-0000-0000AC570000}"/>
    <cellStyle name="Normal 4 8 34" xfId="8788" xr:uid="{00000000-0005-0000-0000-0000AD570000}"/>
    <cellStyle name="Normal 4 8 35" xfId="8104" xr:uid="{00000000-0005-0000-0000-0000AE570000}"/>
    <cellStyle name="Normal 4 8 36" xfId="10927" xr:uid="{00000000-0005-0000-0000-0000AF570000}"/>
    <cellStyle name="Normal 4 8 37" xfId="11886" xr:uid="{00000000-0005-0000-0000-0000B0570000}"/>
    <cellStyle name="Normal 4 8 38" xfId="4377" xr:uid="{00000000-0005-0000-0000-0000B1570000}"/>
    <cellStyle name="Normal 4 8 39" xfId="4919" xr:uid="{00000000-0005-0000-0000-0000B2570000}"/>
    <cellStyle name="Normal 4 8 4" xfId="26593" xr:uid="{00000000-0005-0000-0000-0000B3570000}"/>
    <cellStyle name="Normal 4 8 40" xfId="5919" xr:uid="{00000000-0005-0000-0000-0000B4570000}"/>
    <cellStyle name="Normal 4 8 41" xfId="3188" xr:uid="{00000000-0005-0000-0000-0000B5570000}"/>
    <cellStyle name="Normal 4 8 42" xfId="9251" xr:uid="{00000000-0005-0000-0000-0000B6570000}"/>
    <cellStyle name="Normal 4 8 43" xfId="10996" xr:uid="{00000000-0005-0000-0000-0000B7570000}"/>
    <cellStyle name="Normal 4 8 44" xfId="2890" xr:uid="{00000000-0005-0000-0000-0000B8570000}"/>
    <cellStyle name="Normal 4 8 45" xfId="2647" xr:uid="{00000000-0005-0000-0000-0000B9570000}"/>
    <cellStyle name="Normal 4 8 46" xfId="2407" xr:uid="{00000000-0005-0000-0000-0000BA570000}"/>
    <cellStyle name="Normal 4 8 47" xfId="2167" xr:uid="{00000000-0005-0000-0000-0000BB570000}"/>
    <cellStyle name="Normal 4 8 48" xfId="1927" xr:uid="{00000000-0005-0000-0000-0000BC570000}"/>
    <cellStyle name="Normal 4 8 49" xfId="1687" xr:uid="{00000000-0005-0000-0000-0000BD570000}"/>
    <cellStyle name="Normal 4 8 5" xfId="25997" xr:uid="{00000000-0005-0000-0000-0000BE570000}"/>
    <cellStyle name="Normal 4 8 50" xfId="1448" xr:uid="{00000000-0005-0000-0000-0000BF570000}"/>
    <cellStyle name="Normal 4 8 51" xfId="1208" xr:uid="{00000000-0005-0000-0000-0000C0570000}"/>
    <cellStyle name="Normal 4 8 52" xfId="968" xr:uid="{00000000-0005-0000-0000-0000C1570000}"/>
    <cellStyle name="Normal 4 8 53" xfId="728" xr:uid="{00000000-0005-0000-0000-0000C2570000}"/>
    <cellStyle name="Normal 4 8 54" xfId="488" xr:uid="{00000000-0005-0000-0000-0000C3570000}"/>
    <cellStyle name="Normal 4 8 55" xfId="249" xr:uid="{00000000-0005-0000-0000-0000C4570000}"/>
    <cellStyle name="Normal 4 8 56" xfId="11" xr:uid="{00000000-0005-0000-0000-0000C5570000}"/>
    <cellStyle name="Normal 4 8 6" xfId="25401" xr:uid="{00000000-0005-0000-0000-0000C6570000}"/>
    <cellStyle name="Normal 4 8 7" xfId="24804" xr:uid="{00000000-0005-0000-0000-0000C7570000}"/>
    <cellStyle name="Normal 4 8 8" xfId="24207" xr:uid="{00000000-0005-0000-0000-0000C8570000}"/>
    <cellStyle name="Normal 4 8 9" xfId="23610" xr:uid="{00000000-0005-0000-0000-0000C9570000}"/>
    <cellStyle name="Normal 4 9" xfId="28386" xr:uid="{00000000-0005-0000-0000-0000CA570000}"/>
    <cellStyle name="Normal 4 9 10" xfId="23012" xr:uid="{00000000-0005-0000-0000-0000CB570000}"/>
    <cellStyle name="Normal 4 9 11" xfId="22415" xr:uid="{00000000-0005-0000-0000-0000CC570000}"/>
    <cellStyle name="Normal 4 9 12" xfId="21819" xr:uid="{00000000-0005-0000-0000-0000CD570000}"/>
    <cellStyle name="Normal 4 9 13" xfId="21222" xr:uid="{00000000-0005-0000-0000-0000CE570000}"/>
    <cellStyle name="Normal 4 9 14" xfId="20625" xr:uid="{00000000-0005-0000-0000-0000CF570000}"/>
    <cellStyle name="Normal 4 9 15" xfId="20028" xr:uid="{00000000-0005-0000-0000-0000D0570000}"/>
    <cellStyle name="Normal 4 9 16" xfId="19432" xr:uid="{00000000-0005-0000-0000-0000D1570000}"/>
    <cellStyle name="Normal 4 9 17" xfId="18836" xr:uid="{00000000-0005-0000-0000-0000D2570000}"/>
    <cellStyle name="Normal 4 9 18" xfId="18244" xr:uid="{00000000-0005-0000-0000-0000D3570000}"/>
    <cellStyle name="Normal 4 9 19" xfId="17647" xr:uid="{00000000-0005-0000-0000-0000D4570000}"/>
    <cellStyle name="Normal 4 9 2" xfId="27786" xr:uid="{00000000-0005-0000-0000-0000D5570000}"/>
    <cellStyle name="Normal 4 9 20" xfId="17143" xr:uid="{00000000-0005-0000-0000-0000D6570000}"/>
    <cellStyle name="Normal 4 9 21" xfId="15781" xr:uid="{00000000-0005-0000-0000-0000D7570000}"/>
    <cellStyle name="Normal 4 9 22" xfId="13671" xr:uid="{00000000-0005-0000-0000-0000D8570000}"/>
    <cellStyle name="Normal 4 9 23" xfId="16789" xr:uid="{00000000-0005-0000-0000-0000D9570000}"/>
    <cellStyle name="Normal 4 9 24" xfId="15018" xr:uid="{00000000-0005-0000-0000-0000DA570000}"/>
    <cellStyle name="Normal 4 9 25" xfId="15436" xr:uid="{00000000-0005-0000-0000-0000DB570000}"/>
    <cellStyle name="Normal 4 9 26" xfId="14402" xr:uid="{00000000-0005-0000-0000-0000DC570000}"/>
    <cellStyle name="Normal 4 9 27" xfId="12737" xr:uid="{00000000-0005-0000-0000-0000DD570000}"/>
    <cellStyle name="Normal 4 9 28" xfId="12256" xr:uid="{00000000-0005-0000-0000-0000DE570000}"/>
    <cellStyle name="Normal 4 9 29" xfId="9440" xr:uid="{00000000-0005-0000-0000-0000DF570000}"/>
    <cellStyle name="Normal 4 9 3" xfId="27189" xr:uid="{00000000-0005-0000-0000-0000E0570000}"/>
    <cellStyle name="Normal 4 9 30" xfId="9914" xr:uid="{00000000-0005-0000-0000-0000E1570000}"/>
    <cellStyle name="Normal 4 9 31" xfId="6417" xr:uid="{00000000-0005-0000-0000-0000E2570000}"/>
    <cellStyle name="Normal 4 9 32" xfId="6098" xr:uid="{00000000-0005-0000-0000-0000E3570000}"/>
    <cellStyle name="Normal 4 9 33" xfId="9244" xr:uid="{00000000-0005-0000-0000-0000E4570000}"/>
    <cellStyle name="Normal 4 9 34" xfId="8858" xr:uid="{00000000-0005-0000-0000-0000E5570000}"/>
    <cellStyle name="Normal 4 9 35" xfId="10292" xr:uid="{00000000-0005-0000-0000-0000E6570000}"/>
    <cellStyle name="Normal 4 9 36" xfId="7562" xr:uid="{00000000-0005-0000-0000-0000E7570000}"/>
    <cellStyle name="Normal 4 9 37" xfId="4433" xr:uid="{00000000-0005-0000-0000-0000E8570000}"/>
    <cellStyle name="Normal 4 9 38" xfId="9035" xr:uid="{00000000-0005-0000-0000-0000E9570000}"/>
    <cellStyle name="Normal 4 9 39" xfId="4444" xr:uid="{00000000-0005-0000-0000-0000EA570000}"/>
    <cellStyle name="Normal 4 9 4" xfId="26592" xr:uid="{00000000-0005-0000-0000-0000EB570000}"/>
    <cellStyle name="Normal 4 9 40" xfId="7411" xr:uid="{00000000-0005-0000-0000-0000EC570000}"/>
    <cellStyle name="Normal 4 9 41" xfId="8559" xr:uid="{00000000-0005-0000-0000-0000ED570000}"/>
    <cellStyle name="Normal 4 9 42" xfId="3309" xr:uid="{00000000-0005-0000-0000-0000EE570000}"/>
    <cellStyle name="Normal 4 9 43" xfId="8805" xr:uid="{00000000-0005-0000-0000-0000EF570000}"/>
    <cellStyle name="Normal 4 9 44" xfId="2889" xr:uid="{00000000-0005-0000-0000-0000F0570000}"/>
    <cellStyle name="Normal 4 9 45" xfId="2646" xr:uid="{00000000-0005-0000-0000-0000F1570000}"/>
    <cellStyle name="Normal 4 9 46" xfId="2406" xr:uid="{00000000-0005-0000-0000-0000F2570000}"/>
    <cellStyle name="Normal 4 9 47" xfId="2166" xr:uid="{00000000-0005-0000-0000-0000F3570000}"/>
    <cellStyle name="Normal 4 9 48" xfId="1926" xr:uid="{00000000-0005-0000-0000-0000F4570000}"/>
    <cellStyle name="Normal 4 9 49" xfId="1686" xr:uid="{00000000-0005-0000-0000-0000F5570000}"/>
    <cellStyle name="Normal 4 9 5" xfId="25996" xr:uid="{00000000-0005-0000-0000-0000F6570000}"/>
    <cellStyle name="Normal 4 9 50" xfId="1447" xr:uid="{00000000-0005-0000-0000-0000F7570000}"/>
    <cellStyle name="Normal 4 9 51" xfId="1207" xr:uid="{00000000-0005-0000-0000-0000F8570000}"/>
    <cellStyle name="Normal 4 9 52" xfId="967" xr:uid="{00000000-0005-0000-0000-0000F9570000}"/>
    <cellStyle name="Normal 4 9 53" xfId="727" xr:uid="{00000000-0005-0000-0000-0000FA570000}"/>
    <cellStyle name="Normal 4 9 54" xfId="487" xr:uid="{00000000-0005-0000-0000-0000FB570000}"/>
    <cellStyle name="Normal 4 9 55" xfId="248" xr:uid="{00000000-0005-0000-0000-0000FC570000}"/>
    <cellStyle name="Normal 4 9 56" xfId="10" xr:uid="{00000000-0005-0000-0000-0000FD570000}"/>
    <cellStyle name="Normal 4 9 6" xfId="25400" xr:uid="{00000000-0005-0000-0000-0000FE570000}"/>
    <cellStyle name="Normal 4 9 7" xfId="24803" xr:uid="{00000000-0005-0000-0000-0000FF570000}"/>
    <cellStyle name="Normal 4 9 8" xfId="24206" xr:uid="{00000000-0005-0000-0000-000000580000}"/>
    <cellStyle name="Normal 4 9 9" xfId="23609" xr:uid="{00000000-0005-0000-0000-000001580000}"/>
    <cellStyle name="Normal 40" xfId="17037" xr:uid="{00000000-0005-0000-0000-000002580000}"/>
    <cellStyle name="Normal 41" xfId="7550" xr:uid="{00000000-0005-0000-0000-000003580000}"/>
    <cellStyle name="Normal 41 10" xfId="4478" xr:uid="{00000000-0005-0000-0000-000004580000}"/>
    <cellStyle name="Normal 41 11" xfId="6471" xr:uid="{00000000-0005-0000-0000-000005580000}"/>
    <cellStyle name="Normal 41 12" xfId="9003" xr:uid="{00000000-0005-0000-0000-000006580000}"/>
    <cellStyle name="Normal 41 13" xfId="11089" xr:uid="{00000000-0005-0000-0000-000007580000}"/>
    <cellStyle name="Normal 41 14" xfId="5781" xr:uid="{00000000-0005-0000-0000-000008580000}"/>
    <cellStyle name="Normal 41 2" xfId="5182" xr:uid="{00000000-0005-0000-0000-000009580000}"/>
    <cellStyle name="Normal 41 3" xfId="4905" xr:uid="{00000000-0005-0000-0000-00000A580000}"/>
    <cellStyle name="Normal 41 4" xfId="4650" xr:uid="{00000000-0005-0000-0000-00000B580000}"/>
    <cellStyle name="Normal 41 5" xfId="4401" xr:uid="{00000000-0005-0000-0000-00000C580000}"/>
    <cellStyle name="Normal 41 6" xfId="4426" xr:uid="{00000000-0005-0000-0000-00000D580000}"/>
    <cellStyle name="Normal 41 7" xfId="4010" xr:uid="{00000000-0005-0000-0000-00000E580000}"/>
    <cellStyle name="Normal 41 8" xfId="11337" xr:uid="{00000000-0005-0000-0000-00000F580000}"/>
    <cellStyle name="Normal 41 9" xfId="3647" xr:uid="{00000000-0005-0000-0000-000010580000}"/>
    <cellStyle name="Normal 42" xfId="7490" xr:uid="{00000000-0005-0000-0000-000011580000}"/>
    <cellStyle name="Normal 42 10" xfId="9008" xr:uid="{00000000-0005-0000-0000-000012580000}"/>
    <cellStyle name="Normal 42 11" xfId="8587" xr:uid="{00000000-0005-0000-0000-000013580000}"/>
    <cellStyle name="Normal 42 12" xfId="7747" xr:uid="{00000000-0005-0000-0000-000014580000}"/>
    <cellStyle name="Normal 42 13" xfId="10166" xr:uid="{00000000-0005-0000-0000-000015580000}"/>
    <cellStyle name="Normal 42 2" xfId="4898" xr:uid="{00000000-0005-0000-0000-000016580000}"/>
    <cellStyle name="Normal 42 3" xfId="4640" xr:uid="{00000000-0005-0000-0000-000017580000}"/>
    <cellStyle name="Normal 42 4" xfId="4392" xr:uid="{00000000-0005-0000-0000-000018580000}"/>
    <cellStyle name="Normal 42 5" xfId="4202" xr:uid="{00000000-0005-0000-0000-000019580000}"/>
    <cellStyle name="Normal 42 6" xfId="4003" xr:uid="{00000000-0005-0000-0000-00001A580000}"/>
    <cellStyle name="Normal 42 7" xfId="7480" xr:uid="{00000000-0005-0000-0000-00001B580000}"/>
    <cellStyle name="Normal 42 8" xfId="8987" xr:uid="{00000000-0005-0000-0000-00001C580000}"/>
    <cellStyle name="Normal 42 9" xfId="5047" xr:uid="{00000000-0005-0000-0000-00001D580000}"/>
    <cellStyle name="Normal 43" xfId="11070" xr:uid="{00000000-0005-0000-0000-00001E580000}"/>
    <cellStyle name="Normal 43 10" xfId="10642" xr:uid="{00000000-0005-0000-0000-00001F580000}"/>
    <cellStyle name="Normal 43 11" xfId="3569" xr:uid="{00000000-0005-0000-0000-000020580000}"/>
    <cellStyle name="Normal 43 12" xfId="6508" xr:uid="{00000000-0005-0000-0000-000021580000}"/>
    <cellStyle name="Normal 43 2" xfId="11125" xr:uid="{00000000-0005-0000-0000-000022580000}"/>
    <cellStyle name="Normal 43 3" xfId="7040" xr:uid="{00000000-0005-0000-0000-000023580000}"/>
    <cellStyle name="Normal 43 4" xfId="4373" xr:uid="{00000000-0005-0000-0000-000024580000}"/>
    <cellStyle name="Normal 43 5" xfId="10920" xr:uid="{00000000-0005-0000-0000-000025580000}"/>
    <cellStyle name="Normal 43 6" xfId="9311" xr:uid="{00000000-0005-0000-0000-000026580000}"/>
    <cellStyle name="Normal 43 7" xfId="6034" xr:uid="{00000000-0005-0000-0000-000027580000}"/>
    <cellStyle name="Normal 43 8" xfId="11847" xr:uid="{00000000-0005-0000-0000-000028580000}"/>
    <cellStyle name="Normal 43 9" xfId="6277" xr:uid="{00000000-0005-0000-0000-000029580000}"/>
    <cellStyle name="Normal 44" xfId="7003" xr:uid="{00000000-0005-0000-0000-00002A580000}"/>
    <cellStyle name="Normal 44 10" xfId="11203" xr:uid="{00000000-0005-0000-0000-00002B580000}"/>
    <cellStyle name="Normal 44 11" xfId="8256" xr:uid="{00000000-0005-0000-0000-00002C580000}"/>
    <cellStyle name="Normal 44 2" xfId="4345" xr:uid="{00000000-0005-0000-0000-00002D580000}"/>
    <cellStyle name="Normal 44 3" xfId="5173" xr:uid="{00000000-0005-0000-0000-00002E580000}"/>
    <cellStyle name="Normal 44 4" xfId="3953" xr:uid="{00000000-0005-0000-0000-00002F580000}"/>
    <cellStyle name="Normal 44 5" xfId="8610" xr:uid="{00000000-0005-0000-0000-000030580000}"/>
    <cellStyle name="Normal 44 6" xfId="10673" xr:uid="{00000000-0005-0000-0000-000031580000}"/>
    <cellStyle name="Normal 44 7" xfId="4806" xr:uid="{00000000-0005-0000-0000-000032580000}"/>
    <cellStyle name="Normal 44 8" xfId="10981" xr:uid="{00000000-0005-0000-0000-000033580000}"/>
    <cellStyle name="Normal 44 9" xfId="3229" xr:uid="{00000000-0005-0000-0000-000034580000}"/>
    <cellStyle name="Normal 45" xfId="3078" xr:uid="{00000000-0005-0000-0000-000035580000}"/>
    <cellStyle name="Normal 45 2" xfId="28899" xr:uid="{00000000-0005-0000-0000-000036580000}"/>
    <cellStyle name="Normal 46" xfId="9740" xr:uid="{00000000-0005-0000-0000-000037580000}"/>
    <cellStyle name="Normal 46 2" xfId="6785" xr:uid="{00000000-0005-0000-0000-000038580000}"/>
    <cellStyle name="Normal 46 3" xfId="4000" xr:uid="{00000000-0005-0000-0000-000039580000}"/>
    <cellStyle name="Normal 46 4" xfId="7851" xr:uid="{00000000-0005-0000-0000-00003A580000}"/>
    <cellStyle name="Normal 46 5" xfId="9609" xr:uid="{00000000-0005-0000-0000-00003B580000}"/>
    <cellStyle name="Normal 46 6" xfId="3639" xr:uid="{00000000-0005-0000-0000-00003C580000}"/>
    <cellStyle name="Normal 46 7" xfId="3323" xr:uid="{00000000-0005-0000-0000-00003D580000}"/>
    <cellStyle name="Normal 46 8" xfId="3206" xr:uid="{00000000-0005-0000-0000-00003E580000}"/>
    <cellStyle name="Normal 46 9" xfId="9078" xr:uid="{00000000-0005-0000-0000-00003F580000}"/>
    <cellStyle name="Normal 47" xfId="8430" xr:uid="{00000000-0005-0000-0000-000040580000}"/>
    <cellStyle name="Normal 47 2" xfId="11420" xr:uid="{00000000-0005-0000-0000-000041580000}"/>
    <cellStyle name="Normal 47 3" xfId="10315" xr:uid="{00000000-0005-0000-0000-000042580000}"/>
    <cellStyle name="Normal 47 4" xfId="3522" xr:uid="{00000000-0005-0000-0000-000043580000}"/>
    <cellStyle name="Normal 47 5" xfId="3940" xr:uid="{00000000-0005-0000-0000-000044580000}"/>
    <cellStyle name="Normal 47 6" xfId="7050" xr:uid="{00000000-0005-0000-0000-000045580000}"/>
    <cellStyle name="Normal 47 7" xfId="4982" xr:uid="{00000000-0005-0000-0000-000046580000}"/>
    <cellStyle name="Normal 47 8" xfId="3606" xr:uid="{00000000-0005-0000-0000-000047580000}"/>
    <cellStyle name="Normal 48" xfId="9862" xr:uid="{00000000-0005-0000-0000-000048580000}"/>
    <cellStyle name="Normal 48 2" xfId="5925" xr:uid="{00000000-0005-0000-0000-000049580000}"/>
    <cellStyle name="Normal 48 3" xfId="5156" xr:uid="{00000000-0005-0000-0000-00004A580000}"/>
    <cellStyle name="Normal 48 4" xfId="3580" xr:uid="{00000000-0005-0000-0000-00004B580000}"/>
    <cellStyle name="Normal 48 5" xfId="3957" xr:uid="{00000000-0005-0000-0000-00004C580000}"/>
    <cellStyle name="Normal 48 6" xfId="5003" xr:uid="{00000000-0005-0000-0000-00004D580000}"/>
    <cellStyle name="Normal 48 7" xfId="6212" xr:uid="{00000000-0005-0000-0000-00004E580000}"/>
    <cellStyle name="Normal 49" xfId="5037" xr:uid="{00000000-0005-0000-0000-00004F580000}"/>
    <cellStyle name="Normal 49 2" xfId="3341" xr:uid="{00000000-0005-0000-0000-000050580000}"/>
    <cellStyle name="Normal 49 3" xfId="3252" xr:uid="{00000000-0005-0000-0000-000051580000}"/>
    <cellStyle name="Normal 49 4" xfId="3175" xr:uid="{00000000-0005-0000-0000-000052580000}"/>
    <cellStyle name="Normal 49 5" xfId="3231" xr:uid="{00000000-0005-0000-0000-000053580000}"/>
    <cellStyle name="Normal 49 6" xfId="11055" xr:uid="{00000000-0005-0000-0000-000054580000}"/>
    <cellStyle name="Normal 5" xfId="28385" xr:uid="{00000000-0005-0000-0000-000055580000}"/>
    <cellStyle name="Normal 5 10" xfId="28384" xr:uid="{00000000-0005-0000-0000-000056580000}"/>
    <cellStyle name="Normal 5 10 10" xfId="23010" xr:uid="{00000000-0005-0000-0000-000057580000}"/>
    <cellStyle name="Normal 5 10 11" xfId="22413" xr:uid="{00000000-0005-0000-0000-000058580000}"/>
    <cellStyle name="Normal 5 10 12" xfId="21817" xr:uid="{00000000-0005-0000-0000-000059580000}"/>
    <cellStyle name="Normal 5 10 13" xfId="21220" xr:uid="{00000000-0005-0000-0000-00005A580000}"/>
    <cellStyle name="Normal 5 10 14" xfId="20623" xr:uid="{00000000-0005-0000-0000-00005B580000}"/>
    <cellStyle name="Normal 5 10 15" xfId="20026" xr:uid="{00000000-0005-0000-0000-00005C580000}"/>
    <cellStyle name="Normal 5 10 16" xfId="19430" xr:uid="{00000000-0005-0000-0000-00005D580000}"/>
    <cellStyle name="Normal 5 10 17" xfId="18834" xr:uid="{00000000-0005-0000-0000-00005E580000}"/>
    <cellStyle name="Normal 5 10 18" xfId="18242" xr:uid="{00000000-0005-0000-0000-00005F580000}"/>
    <cellStyle name="Normal 5 10 19" xfId="17645" xr:uid="{00000000-0005-0000-0000-000060580000}"/>
    <cellStyle name="Normal 5 10 2" xfId="27784" xr:uid="{00000000-0005-0000-0000-000061580000}"/>
    <cellStyle name="Normal 5 10 20" xfId="14169" xr:uid="{00000000-0005-0000-0000-000062580000}"/>
    <cellStyle name="Normal 5 10 21" xfId="14964" xr:uid="{00000000-0005-0000-0000-000063580000}"/>
    <cellStyle name="Normal 5 10 22" xfId="16686" xr:uid="{00000000-0005-0000-0000-000064580000}"/>
    <cellStyle name="Normal 5 10 23" xfId="16649" xr:uid="{00000000-0005-0000-0000-000065580000}"/>
    <cellStyle name="Normal 5 10 24" xfId="16656" xr:uid="{00000000-0005-0000-0000-000066580000}"/>
    <cellStyle name="Normal 5 10 25" xfId="17053" xr:uid="{00000000-0005-0000-0000-000067580000}"/>
    <cellStyle name="Normal 5 10 26" xfId="12779" xr:uid="{00000000-0005-0000-0000-000068580000}"/>
    <cellStyle name="Normal 5 10 27" xfId="16509" xr:uid="{00000000-0005-0000-0000-000069580000}"/>
    <cellStyle name="Normal 5 10 28" xfId="12254" xr:uid="{00000000-0005-0000-0000-00006A580000}"/>
    <cellStyle name="Normal 5 10 29" xfId="9891" xr:uid="{00000000-0005-0000-0000-00006B580000}"/>
    <cellStyle name="Normal 5 10 3" xfId="27187" xr:uid="{00000000-0005-0000-0000-00006C580000}"/>
    <cellStyle name="Normal 5 10 30" xfId="6084" xr:uid="{00000000-0005-0000-0000-00006D580000}"/>
    <cellStyle name="Normal 5 10 31" xfId="6940" xr:uid="{00000000-0005-0000-0000-00006E580000}"/>
    <cellStyle name="Normal 5 10 32" xfId="8382" xr:uid="{00000000-0005-0000-0000-00006F580000}"/>
    <cellStyle name="Normal 5 10 33" xfId="5594" xr:uid="{00000000-0005-0000-0000-000070580000}"/>
    <cellStyle name="Normal 5 10 34" xfId="7506" xr:uid="{00000000-0005-0000-0000-000071580000}"/>
    <cellStyle name="Normal 5 10 35" xfId="7657" xr:uid="{00000000-0005-0000-0000-000072580000}"/>
    <cellStyle name="Normal 5 10 36" xfId="5958" xr:uid="{00000000-0005-0000-0000-000073580000}"/>
    <cellStyle name="Normal 5 10 37" xfId="10554" xr:uid="{00000000-0005-0000-0000-000074580000}"/>
    <cellStyle name="Normal 5 10 38" xfId="10521" xr:uid="{00000000-0005-0000-0000-000075580000}"/>
    <cellStyle name="Normal 5 10 39" xfId="8783" xr:uid="{00000000-0005-0000-0000-000076580000}"/>
    <cellStyle name="Normal 5 10 4" xfId="26590" xr:uid="{00000000-0005-0000-0000-000077580000}"/>
    <cellStyle name="Normal 5 10 40" xfId="3508" xr:uid="{00000000-0005-0000-0000-000078580000}"/>
    <cellStyle name="Normal 5 10 41" xfId="9791" xr:uid="{00000000-0005-0000-0000-000079580000}"/>
    <cellStyle name="Normal 5 10 42" xfId="9448" xr:uid="{00000000-0005-0000-0000-00007A580000}"/>
    <cellStyle name="Normal 5 10 43" xfId="5202" xr:uid="{00000000-0005-0000-0000-00007B580000}"/>
    <cellStyle name="Normal 5 10 44" xfId="2888" xr:uid="{00000000-0005-0000-0000-00007C580000}"/>
    <cellStyle name="Normal 5 10 45" xfId="2645" xr:uid="{00000000-0005-0000-0000-00007D580000}"/>
    <cellStyle name="Normal 5 10 46" xfId="2405" xr:uid="{00000000-0005-0000-0000-00007E580000}"/>
    <cellStyle name="Normal 5 10 47" xfId="2165" xr:uid="{00000000-0005-0000-0000-00007F580000}"/>
    <cellStyle name="Normal 5 10 48" xfId="1925" xr:uid="{00000000-0005-0000-0000-000080580000}"/>
    <cellStyle name="Normal 5 10 49" xfId="1685" xr:uid="{00000000-0005-0000-0000-000081580000}"/>
    <cellStyle name="Normal 5 10 5" xfId="25994" xr:uid="{00000000-0005-0000-0000-000082580000}"/>
    <cellStyle name="Normal 5 10 50" xfId="1446" xr:uid="{00000000-0005-0000-0000-000083580000}"/>
    <cellStyle name="Normal 5 10 51" xfId="1206" xr:uid="{00000000-0005-0000-0000-000084580000}"/>
    <cellStyle name="Normal 5 10 52" xfId="966" xr:uid="{00000000-0005-0000-0000-000085580000}"/>
    <cellStyle name="Normal 5 10 53" xfId="726" xr:uid="{00000000-0005-0000-0000-000086580000}"/>
    <cellStyle name="Normal 5 10 54" xfId="486" xr:uid="{00000000-0005-0000-0000-000087580000}"/>
    <cellStyle name="Normal 5 10 55" xfId="247" xr:uid="{00000000-0005-0000-0000-000088580000}"/>
    <cellStyle name="Normal 5 10 56" xfId="9" xr:uid="{00000000-0005-0000-0000-000089580000}"/>
    <cellStyle name="Normal 5 10 6" xfId="25398" xr:uid="{00000000-0005-0000-0000-00008A580000}"/>
    <cellStyle name="Normal 5 10 7" xfId="24801" xr:uid="{00000000-0005-0000-0000-00008B580000}"/>
    <cellStyle name="Normal 5 10 8" xfId="24204" xr:uid="{00000000-0005-0000-0000-00008C580000}"/>
    <cellStyle name="Normal 5 10 9" xfId="23607" xr:uid="{00000000-0005-0000-0000-00008D580000}"/>
    <cellStyle name="Normal 5 11" xfId="28383" xr:uid="{00000000-0005-0000-0000-00008E580000}"/>
    <cellStyle name="Normal 5 11 10" xfId="23009" xr:uid="{00000000-0005-0000-0000-00008F580000}"/>
    <cellStyle name="Normal 5 11 11" xfId="22412" xr:uid="{00000000-0005-0000-0000-000090580000}"/>
    <cellStyle name="Normal 5 11 12" xfId="21816" xr:uid="{00000000-0005-0000-0000-000091580000}"/>
    <cellStyle name="Normal 5 11 13" xfId="21219" xr:uid="{00000000-0005-0000-0000-000092580000}"/>
    <cellStyle name="Normal 5 11 14" xfId="20622" xr:uid="{00000000-0005-0000-0000-000093580000}"/>
    <cellStyle name="Normal 5 11 15" xfId="20025" xr:uid="{00000000-0005-0000-0000-000094580000}"/>
    <cellStyle name="Normal 5 11 16" xfId="19429" xr:uid="{00000000-0005-0000-0000-000095580000}"/>
    <cellStyle name="Normal 5 11 17" xfId="18833" xr:uid="{00000000-0005-0000-0000-000096580000}"/>
    <cellStyle name="Normal 5 11 18" xfId="18241" xr:uid="{00000000-0005-0000-0000-000097580000}"/>
    <cellStyle name="Normal 5 11 19" xfId="17644" xr:uid="{00000000-0005-0000-0000-000098580000}"/>
    <cellStyle name="Normal 5 11 2" xfId="27783" xr:uid="{00000000-0005-0000-0000-000099580000}"/>
    <cellStyle name="Normal 5 11 20" xfId="14358" xr:uid="{00000000-0005-0000-0000-00009A580000}"/>
    <cellStyle name="Normal 5 11 21" xfId="13980" xr:uid="{00000000-0005-0000-0000-00009B580000}"/>
    <cellStyle name="Normal 5 11 22" xfId="16095" xr:uid="{00000000-0005-0000-0000-00009C580000}"/>
    <cellStyle name="Normal 5 11 23" xfId="16962" xr:uid="{00000000-0005-0000-0000-00009D580000}"/>
    <cellStyle name="Normal 5 11 24" xfId="16164" xr:uid="{00000000-0005-0000-0000-00009E580000}"/>
    <cellStyle name="Normal 5 11 25" xfId="13180" xr:uid="{00000000-0005-0000-0000-00009F580000}"/>
    <cellStyle name="Normal 5 11 26" xfId="17366" xr:uid="{00000000-0005-0000-0000-0000A0580000}"/>
    <cellStyle name="Normal 5 11 27" xfId="13029" xr:uid="{00000000-0005-0000-0000-0000A1580000}"/>
    <cellStyle name="Normal 5 11 28" xfId="12253" xr:uid="{00000000-0005-0000-0000-0000A2580000}"/>
    <cellStyle name="Normal 5 11 29" xfId="10126" xr:uid="{00000000-0005-0000-0000-0000A3580000}"/>
    <cellStyle name="Normal 5 11 3" xfId="27186" xr:uid="{00000000-0005-0000-0000-0000A4580000}"/>
    <cellStyle name="Normal 5 11 30" xfId="6249" xr:uid="{00000000-0005-0000-0000-0000A5580000}"/>
    <cellStyle name="Normal 5 11 31" xfId="8527" xr:uid="{00000000-0005-0000-0000-0000A6580000}"/>
    <cellStyle name="Normal 5 11 32" xfId="11746" xr:uid="{00000000-0005-0000-0000-0000A7580000}"/>
    <cellStyle name="Normal 5 11 33" xfId="11960" xr:uid="{00000000-0005-0000-0000-0000A8580000}"/>
    <cellStyle name="Normal 5 11 34" xfId="8469" xr:uid="{00000000-0005-0000-0000-0000A9580000}"/>
    <cellStyle name="Normal 5 11 35" xfId="5018" xr:uid="{00000000-0005-0000-0000-0000AA580000}"/>
    <cellStyle name="Normal 5 11 36" xfId="6007" xr:uid="{00000000-0005-0000-0000-0000AB580000}"/>
    <cellStyle name="Normal 5 11 37" xfId="11309" xr:uid="{00000000-0005-0000-0000-0000AC580000}"/>
    <cellStyle name="Normal 5 11 38" xfId="9581" xr:uid="{00000000-0005-0000-0000-0000AD580000}"/>
    <cellStyle name="Normal 5 11 39" xfId="7835" xr:uid="{00000000-0005-0000-0000-0000AE580000}"/>
    <cellStyle name="Normal 5 11 4" xfId="26589" xr:uid="{00000000-0005-0000-0000-0000AF580000}"/>
    <cellStyle name="Normal 5 11 40" xfId="9218" xr:uid="{00000000-0005-0000-0000-0000B0580000}"/>
    <cellStyle name="Normal 5 11 41" xfId="4310" xr:uid="{00000000-0005-0000-0000-0000B1580000}"/>
    <cellStyle name="Normal 5 11 42" xfId="9805" xr:uid="{00000000-0005-0000-0000-0000B2580000}"/>
    <cellStyle name="Normal 5 11 43" xfId="3153" xr:uid="{00000000-0005-0000-0000-0000B3580000}"/>
    <cellStyle name="Normal 5 11 44" xfId="2887" xr:uid="{00000000-0005-0000-0000-0000B4580000}"/>
    <cellStyle name="Normal 5 11 45" xfId="2644" xr:uid="{00000000-0005-0000-0000-0000B5580000}"/>
    <cellStyle name="Normal 5 11 46" xfId="2404" xr:uid="{00000000-0005-0000-0000-0000B6580000}"/>
    <cellStyle name="Normal 5 11 47" xfId="2164" xr:uid="{00000000-0005-0000-0000-0000B7580000}"/>
    <cellStyle name="Normal 5 11 48" xfId="1924" xr:uid="{00000000-0005-0000-0000-0000B8580000}"/>
    <cellStyle name="Normal 5 11 49" xfId="1684" xr:uid="{00000000-0005-0000-0000-0000B9580000}"/>
    <cellStyle name="Normal 5 11 5" xfId="25993" xr:uid="{00000000-0005-0000-0000-0000BA580000}"/>
    <cellStyle name="Normal 5 11 50" xfId="1445" xr:uid="{00000000-0005-0000-0000-0000BB580000}"/>
    <cellStyle name="Normal 5 11 51" xfId="1205" xr:uid="{00000000-0005-0000-0000-0000BC580000}"/>
    <cellStyle name="Normal 5 11 52" xfId="965" xr:uid="{00000000-0005-0000-0000-0000BD580000}"/>
    <cellStyle name="Normal 5 11 53" xfId="725" xr:uid="{00000000-0005-0000-0000-0000BE580000}"/>
    <cellStyle name="Normal 5 11 54" xfId="485" xr:uid="{00000000-0005-0000-0000-0000BF580000}"/>
    <cellStyle name="Normal 5 11 55" xfId="246" xr:uid="{00000000-0005-0000-0000-0000C0580000}"/>
    <cellStyle name="Normal 5 11 56" xfId="8" xr:uid="{00000000-0005-0000-0000-0000C1580000}"/>
    <cellStyle name="Normal 5 11 6" xfId="25397" xr:uid="{00000000-0005-0000-0000-0000C2580000}"/>
    <cellStyle name="Normal 5 11 7" xfId="24800" xr:uid="{00000000-0005-0000-0000-0000C3580000}"/>
    <cellStyle name="Normal 5 11 8" xfId="24203" xr:uid="{00000000-0005-0000-0000-0000C4580000}"/>
    <cellStyle name="Normal 5 11 9" xfId="23606" xr:uid="{00000000-0005-0000-0000-0000C5580000}"/>
    <cellStyle name="Normal 5 12" xfId="28382" xr:uid="{00000000-0005-0000-0000-0000C6580000}"/>
    <cellStyle name="Normal 5 12 10" xfId="23008" xr:uid="{00000000-0005-0000-0000-0000C7580000}"/>
    <cellStyle name="Normal 5 12 11" xfId="22411" xr:uid="{00000000-0005-0000-0000-0000C8580000}"/>
    <cellStyle name="Normal 5 12 12" xfId="21815" xr:uid="{00000000-0005-0000-0000-0000C9580000}"/>
    <cellStyle name="Normal 5 12 13" xfId="21218" xr:uid="{00000000-0005-0000-0000-0000CA580000}"/>
    <cellStyle name="Normal 5 12 14" xfId="20621" xr:uid="{00000000-0005-0000-0000-0000CB580000}"/>
    <cellStyle name="Normal 5 12 15" xfId="20024" xr:uid="{00000000-0005-0000-0000-0000CC580000}"/>
    <cellStyle name="Normal 5 12 16" xfId="19428" xr:uid="{00000000-0005-0000-0000-0000CD580000}"/>
    <cellStyle name="Normal 5 12 17" xfId="18832" xr:uid="{00000000-0005-0000-0000-0000CE580000}"/>
    <cellStyle name="Normal 5 12 18" xfId="18240" xr:uid="{00000000-0005-0000-0000-0000CF580000}"/>
    <cellStyle name="Normal 5 12 19" xfId="17643" xr:uid="{00000000-0005-0000-0000-0000D0580000}"/>
    <cellStyle name="Normal 5 12 2" xfId="27782" xr:uid="{00000000-0005-0000-0000-0000D1580000}"/>
    <cellStyle name="Normal 5 12 20" xfId="14549" xr:uid="{00000000-0005-0000-0000-0000D2580000}"/>
    <cellStyle name="Normal 5 12 21" xfId="14330" xr:uid="{00000000-0005-0000-0000-0000D3580000}"/>
    <cellStyle name="Normal 5 12 22" xfId="16490" xr:uid="{00000000-0005-0000-0000-0000D4580000}"/>
    <cellStyle name="Normal 5 12 23" xfId="13766" xr:uid="{00000000-0005-0000-0000-0000D5580000}"/>
    <cellStyle name="Normal 5 12 24" xfId="13192" xr:uid="{00000000-0005-0000-0000-0000D6580000}"/>
    <cellStyle name="Normal 5 12 25" xfId="15998" xr:uid="{00000000-0005-0000-0000-0000D7580000}"/>
    <cellStyle name="Normal 5 12 26" xfId="13263" xr:uid="{00000000-0005-0000-0000-0000D8580000}"/>
    <cellStyle name="Normal 5 12 27" xfId="14370" xr:uid="{00000000-0005-0000-0000-0000D9580000}"/>
    <cellStyle name="Normal 5 12 28" xfId="12252" xr:uid="{00000000-0005-0000-0000-0000DA580000}"/>
    <cellStyle name="Normal 5 12 29" xfId="10353" xr:uid="{00000000-0005-0000-0000-0000DB580000}"/>
    <cellStyle name="Normal 5 12 3" xfId="27185" xr:uid="{00000000-0005-0000-0000-0000DC580000}"/>
    <cellStyle name="Normal 5 12 30" xfId="6120" xr:uid="{00000000-0005-0000-0000-0000DD580000}"/>
    <cellStyle name="Normal 5 12 31" xfId="6364" xr:uid="{00000000-0005-0000-0000-0000DE580000}"/>
    <cellStyle name="Normal 5 12 32" xfId="8310" xr:uid="{00000000-0005-0000-0000-0000DF580000}"/>
    <cellStyle name="Normal 5 12 33" xfId="11670" xr:uid="{00000000-0005-0000-0000-0000E0580000}"/>
    <cellStyle name="Normal 5 12 34" xfId="10489" xr:uid="{00000000-0005-0000-0000-0000E1580000}"/>
    <cellStyle name="Normal 5 12 35" xfId="7595" xr:uid="{00000000-0005-0000-0000-0000E2580000}"/>
    <cellStyle name="Normal 5 12 36" xfId="7606" xr:uid="{00000000-0005-0000-0000-0000E3580000}"/>
    <cellStyle name="Normal 5 12 37" xfId="4080" xr:uid="{00000000-0005-0000-0000-0000E4580000}"/>
    <cellStyle name="Normal 5 12 38" xfId="3718" xr:uid="{00000000-0005-0000-0000-0000E5580000}"/>
    <cellStyle name="Normal 5 12 39" xfId="3755" xr:uid="{00000000-0005-0000-0000-0000E6580000}"/>
    <cellStyle name="Normal 5 12 4" xfId="26588" xr:uid="{00000000-0005-0000-0000-0000E7580000}"/>
    <cellStyle name="Normal 5 12 40" xfId="5708" xr:uid="{00000000-0005-0000-0000-0000E8580000}"/>
    <cellStyle name="Normal 5 12 41" xfId="3566" xr:uid="{00000000-0005-0000-0000-0000E9580000}"/>
    <cellStyle name="Normal 5 12 42" xfId="3464" xr:uid="{00000000-0005-0000-0000-0000EA580000}"/>
    <cellStyle name="Normal 5 12 43" xfId="6562" xr:uid="{00000000-0005-0000-0000-0000EB580000}"/>
    <cellStyle name="Normal 5 12 5" xfId="25992" xr:uid="{00000000-0005-0000-0000-0000EC580000}"/>
    <cellStyle name="Normal 5 12 6" xfId="25396" xr:uid="{00000000-0005-0000-0000-0000ED580000}"/>
    <cellStyle name="Normal 5 12 7" xfId="24799" xr:uid="{00000000-0005-0000-0000-0000EE580000}"/>
    <cellStyle name="Normal 5 12 8" xfId="24202" xr:uid="{00000000-0005-0000-0000-0000EF580000}"/>
    <cellStyle name="Normal 5 12 9" xfId="23605" xr:uid="{00000000-0005-0000-0000-0000F0580000}"/>
    <cellStyle name="Normal 5 13" xfId="28381" xr:uid="{00000000-0005-0000-0000-0000F1580000}"/>
    <cellStyle name="Normal 5 13 10" xfId="23007" xr:uid="{00000000-0005-0000-0000-0000F2580000}"/>
    <cellStyle name="Normal 5 13 11" xfId="22410" xr:uid="{00000000-0005-0000-0000-0000F3580000}"/>
    <cellStyle name="Normal 5 13 12" xfId="21814" xr:uid="{00000000-0005-0000-0000-0000F4580000}"/>
    <cellStyle name="Normal 5 13 13" xfId="21217" xr:uid="{00000000-0005-0000-0000-0000F5580000}"/>
    <cellStyle name="Normal 5 13 14" xfId="20620" xr:uid="{00000000-0005-0000-0000-0000F6580000}"/>
    <cellStyle name="Normal 5 13 15" xfId="20023" xr:uid="{00000000-0005-0000-0000-0000F7580000}"/>
    <cellStyle name="Normal 5 13 16" xfId="19427" xr:uid="{00000000-0005-0000-0000-0000F8580000}"/>
    <cellStyle name="Normal 5 13 17" xfId="18831" xr:uid="{00000000-0005-0000-0000-0000F9580000}"/>
    <cellStyle name="Normal 5 13 18" xfId="18239" xr:uid="{00000000-0005-0000-0000-0000FA580000}"/>
    <cellStyle name="Normal 5 13 19" xfId="17642" xr:uid="{00000000-0005-0000-0000-0000FB580000}"/>
    <cellStyle name="Normal 5 13 2" xfId="27781" xr:uid="{00000000-0005-0000-0000-0000FC580000}"/>
    <cellStyle name="Normal 5 13 20" xfId="14745" xr:uid="{00000000-0005-0000-0000-0000FD580000}"/>
    <cellStyle name="Normal 5 13 21" xfId="14326" xr:uid="{00000000-0005-0000-0000-0000FE580000}"/>
    <cellStyle name="Normal 5 13 22" xfId="16500" xr:uid="{00000000-0005-0000-0000-0000FF580000}"/>
    <cellStyle name="Normal 5 13 23" xfId="14021" xr:uid="{00000000-0005-0000-0000-000000590000}"/>
    <cellStyle name="Normal 5 13 24" xfId="13222" xr:uid="{00000000-0005-0000-0000-000001590000}"/>
    <cellStyle name="Normal 5 13 25" xfId="15859" xr:uid="{00000000-0005-0000-0000-000002590000}"/>
    <cellStyle name="Normal 5 13 26" xfId="12839" xr:uid="{00000000-0005-0000-0000-000003590000}"/>
    <cellStyle name="Normal 5 13 27" xfId="17469" xr:uid="{00000000-0005-0000-0000-000004590000}"/>
    <cellStyle name="Normal 5 13 28" xfId="12251" xr:uid="{00000000-0005-0000-0000-000005590000}"/>
    <cellStyle name="Normal 5 13 29" xfId="10582" xr:uid="{00000000-0005-0000-0000-000006590000}"/>
    <cellStyle name="Normal 5 13 3" xfId="27184" xr:uid="{00000000-0005-0000-0000-000007590000}"/>
    <cellStyle name="Normal 5 13 30" xfId="10993" xr:uid="{00000000-0005-0000-0000-000008590000}"/>
    <cellStyle name="Normal 5 13 31" xfId="11217" xr:uid="{00000000-0005-0000-0000-000009590000}"/>
    <cellStyle name="Normal 5 13 32" xfId="5204" xr:uid="{00000000-0005-0000-0000-00000A590000}"/>
    <cellStyle name="Normal 5 13 33" xfId="10155" xr:uid="{00000000-0005-0000-0000-00000B590000}"/>
    <cellStyle name="Normal 5 13 34" xfId="9795" xr:uid="{00000000-0005-0000-0000-00000C590000}"/>
    <cellStyle name="Normal 5 13 35" xfId="4865" xr:uid="{00000000-0005-0000-0000-00000D590000}"/>
    <cellStyle name="Normal 5 13 36" xfId="5026" xr:uid="{00000000-0005-0000-0000-00000E590000}"/>
    <cellStyle name="Normal 5 13 37" xfId="9313" xr:uid="{00000000-0005-0000-0000-00000F590000}"/>
    <cellStyle name="Normal 5 13 38" xfId="10005" xr:uid="{00000000-0005-0000-0000-000010590000}"/>
    <cellStyle name="Normal 5 13 39" xfId="7296" xr:uid="{00000000-0005-0000-0000-000011590000}"/>
    <cellStyle name="Normal 5 13 4" xfId="26587" xr:uid="{00000000-0005-0000-0000-000012590000}"/>
    <cellStyle name="Normal 5 13 40" xfId="9177" xr:uid="{00000000-0005-0000-0000-000013590000}"/>
    <cellStyle name="Normal 5 13 41" xfId="5152" xr:uid="{00000000-0005-0000-0000-000014590000}"/>
    <cellStyle name="Normal 5 13 42" xfId="7710" xr:uid="{00000000-0005-0000-0000-000015590000}"/>
    <cellStyle name="Normal 5 13 43" xfId="7110" xr:uid="{00000000-0005-0000-0000-000016590000}"/>
    <cellStyle name="Normal 5 13 5" xfId="25991" xr:uid="{00000000-0005-0000-0000-000017590000}"/>
    <cellStyle name="Normal 5 13 6" xfId="25395" xr:uid="{00000000-0005-0000-0000-000018590000}"/>
    <cellStyle name="Normal 5 13 7" xfId="24798" xr:uid="{00000000-0005-0000-0000-000019590000}"/>
    <cellStyle name="Normal 5 13 8" xfId="24201" xr:uid="{00000000-0005-0000-0000-00001A590000}"/>
    <cellStyle name="Normal 5 13 9" xfId="23604" xr:uid="{00000000-0005-0000-0000-00001B590000}"/>
    <cellStyle name="Normal 5 14" xfId="28380" xr:uid="{00000000-0005-0000-0000-00001C590000}"/>
    <cellStyle name="Normal 5 14 10" xfId="23006" xr:uid="{00000000-0005-0000-0000-00001D590000}"/>
    <cellStyle name="Normal 5 14 11" xfId="22409" xr:uid="{00000000-0005-0000-0000-00001E590000}"/>
    <cellStyle name="Normal 5 14 12" xfId="21813" xr:uid="{00000000-0005-0000-0000-00001F590000}"/>
    <cellStyle name="Normal 5 14 13" xfId="21216" xr:uid="{00000000-0005-0000-0000-000020590000}"/>
    <cellStyle name="Normal 5 14 14" xfId="20619" xr:uid="{00000000-0005-0000-0000-000021590000}"/>
    <cellStyle name="Normal 5 14 15" xfId="20022" xr:uid="{00000000-0005-0000-0000-000022590000}"/>
    <cellStyle name="Normal 5 14 16" xfId="19426" xr:uid="{00000000-0005-0000-0000-000023590000}"/>
    <cellStyle name="Normal 5 14 17" xfId="18830" xr:uid="{00000000-0005-0000-0000-000024590000}"/>
    <cellStyle name="Normal 5 14 18" xfId="18238" xr:uid="{00000000-0005-0000-0000-000025590000}"/>
    <cellStyle name="Normal 5 14 19" xfId="17641" xr:uid="{00000000-0005-0000-0000-000026590000}"/>
    <cellStyle name="Normal 5 14 2" xfId="27780" xr:uid="{00000000-0005-0000-0000-000027590000}"/>
    <cellStyle name="Normal 5 14 20" xfId="14948" xr:uid="{00000000-0005-0000-0000-000028590000}"/>
    <cellStyle name="Normal 5 14 21" xfId="14313" xr:uid="{00000000-0005-0000-0000-000029590000}"/>
    <cellStyle name="Normal 5 14 22" xfId="17095" xr:uid="{00000000-0005-0000-0000-00002A590000}"/>
    <cellStyle name="Normal 5 14 23" xfId="15011" xr:uid="{00000000-0005-0000-0000-00002B590000}"/>
    <cellStyle name="Normal 5 14 24" xfId="13198" xr:uid="{00000000-0005-0000-0000-00002C590000}"/>
    <cellStyle name="Normal 5 14 25" xfId="17453" xr:uid="{00000000-0005-0000-0000-00002D590000}"/>
    <cellStyle name="Normal 5 14 26" xfId="16841" xr:uid="{00000000-0005-0000-0000-00002E590000}"/>
    <cellStyle name="Normal 5 14 27" xfId="13704" xr:uid="{00000000-0005-0000-0000-00002F590000}"/>
    <cellStyle name="Normal 5 14 28" xfId="12250" xr:uid="{00000000-0005-0000-0000-000030590000}"/>
    <cellStyle name="Normal 5 14 29" xfId="10797" xr:uid="{00000000-0005-0000-0000-000031590000}"/>
    <cellStyle name="Normal 5 14 3" xfId="27183" xr:uid="{00000000-0005-0000-0000-000032590000}"/>
    <cellStyle name="Normal 5 14 30" xfId="9162" xr:uid="{00000000-0005-0000-0000-000033590000}"/>
    <cellStyle name="Normal 5 14 31" xfId="8446" xr:uid="{00000000-0005-0000-0000-000034590000}"/>
    <cellStyle name="Normal 5 14 32" xfId="11084" xr:uid="{00000000-0005-0000-0000-000035590000}"/>
    <cellStyle name="Normal 5 14 33" xfId="11436" xr:uid="{00000000-0005-0000-0000-000036590000}"/>
    <cellStyle name="Normal 5 14 34" xfId="9535" xr:uid="{00000000-0005-0000-0000-000037590000}"/>
    <cellStyle name="Normal 5 14 35" xfId="7148" xr:uid="{00000000-0005-0000-0000-000038590000}"/>
    <cellStyle name="Normal 5 14 36" xfId="11450" xr:uid="{00000000-0005-0000-0000-000039590000}"/>
    <cellStyle name="Normal 5 14 37" xfId="5002" xr:uid="{00000000-0005-0000-0000-00003A590000}"/>
    <cellStyle name="Normal 5 14 38" xfId="11382" xr:uid="{00000000-0005-0000-0000-00003B590000}"/>
    <cellStyle name="Normal 5 14 39" xfId="6583" xr:uid="{00000000-0005-0000-0000-00003C590000}"/>
    <cellStyle name="Normal 5 14 4" xfId="26586" xr:uid="{00000000-0005-0000-0000-00003D590000}"/>
    <cellStyle name="Normal 5 14 40" xfId="4941" xr:uid="{00000000-0005-0000-0000-00003E590000}"/>
    <cellStyle name="Normal 5 14 41" xfId="6234" xr:uid="{00000000-0005-0000-0000-00003F590000}"/>
    <cellStyle name="Normal 5 14 42" xfId="10257" xr:uid="{00000000-0005-0000-0000-000040590000}"/>
    <cellStyle name="Normal 5 14 43" xfId="3916" xr:uid="{00000000-0005-0000-0000-000041590000}"/>
    <cellStyle name="Normal 5 14 5" xfId="25990" xr:uid="{00000000-0005-0000-0000-000042590000}"/>
    <cellStyle name="Normal 5 14 6" xfId="25394" xr:uid="{00000000-0005-0000-0000-000043590000}"/>
    <cellStyle name="Normal 5 14 7" xfId="24797" xr:uid="{00000000-0005-0000-0000-000044590000}"/>
    <cellStyle name="Normal 5 14 8" xfId="24200" xr:uid="{00000000-0005-0000-0000-000045590000}"/>
    <cellStyle name="Normal 5 14 9" xfId="23603" xr:uid="{00000000-0005-0000-0000-000046590000}"/>
    <cellStyle name="Normal 5 15" xfId="28379" xr:uid="{00000000-0005-0000-0000-000047590000}"/>
    <cellStyle name="Normal 5 15 10" xfId="23005" xr:uid="{00000000-0005-0000-0000-000048590000}"/>
    <cellStyle name="Normal 5 15 11" xfId="22408" xr:uid="{00000000-0005-0000-0000-000049590000}"/>
    <cellStyle name="Normal 5 15 12" xfId="21812" xr:uid="{00000000-0005-0000-0000-00004A590000}"/>
    <cellStyle name="Normal 5 15 13" xfId="21215" xr:uid="{00000000-0005-0000-0000-00004B590000}"/>
    <cellStyle name="Normal 5 15 14" xfId="20618" xr:uid="{00000000-0005-0000-0000-00004C590000}"/>
    <cellStyle name="Normal 5 15 15" xfId="20021" xr:uid="{00000000-0005-0000-0000-00004D590000}"/>
    <cellStyle name="Normal 5 15 16" xfId="19425" xr:uid="{00000000-0005-0000-0000-00004E590000}"/>
    <cellStyle name="Normal 5 15 17" xfId="18829" xr:uid="{00000000-0005-0000-0000-00004F590000}"/>
    <cellStyle name="Normal 5 15 18" xfId="18237" xr:uid="{00000000-0005-0000-0000-000050590000}"/>
    <cellStyle name="Normal 5 15 19" xfId="17640" xr:uid="{00000000-0005-0000-0000-000051590000}"/>
    <cellStyle name="Normal 5 15 2" xfId="27779" xr:uid="{00000000-0005-0000-0000-000052590000}"/>
    <cellStyle name="Normal 5 15 20" xfId="15155" xr:uid="{00000000-0005-0000-0000-000053590000}"/>
    <cellStyle name="Normal 5 15 21" xfId="17484" xr:uid="{00000000-0005-0000-0000-000054590000}"/>
    <cellStyle name="Normal 5 15 22" xfId="14078" xr:uid="{00000000-0005-0000-0000-000055590000}"/>
    <cellStyle name="Normal 5 15 23" xfId="15884" xr:uid="{00000000-0005-0000-0000-000056590000}"/>
    <cellStyle name="Normal 5 15 24" xfId="13765" xr:uid="{00000000-0005-0000-0000-000057590000}"/>
    <cellStyle name="Normal 5 15 25" xfId="16515" xr:uid="{00000000-0005-0000-0000-000058590000}"/>
    <cellStyle name="Normal 5 15 26" xfId="15618" xr:uid="{00000000-0005-0000-0000-000059590000}"/>
    <cellStyle name="Normal 5 15 27" xfId="13152" xr:uid="{00000000-0005-0000-0000-00005A590000}"/>
    <cellStyle name="Normal 5 15 28" xfId="12249" xr:uid="{00000000-0005-0000-0000-00005B590000}"/>
    <cellStyle name="Normal 5 15 29" xfId="11016" xr:uid="{00000000-0005-0000-0000-00005C590000}"/>
    <cellStyle name="Normal 5 15 3" xfId="27182" xr:uid="{00000000-0005-0000-0000-00005D590000}"/>
    <cellStyle name="Normal 5 15 30" xfId="8950" xr:uid="{00000000-0005-0000-0000-00005E590000}"/>
    <cellStyle name="Normal 5 15 31" xfId="9469" xr:uid="{00000000-0005-0000-0000-00005F590000}"/>
    <cellStyle name="Normal 5 15 32" xfId="5207" xr:uid="{00000000-0005-0000-0000-000060590000}"/>
    <cellStyle name="Normal 5 15 33" xfId="10815" xr:uid="{00000000-0005-0000-0000-000061590000}"/>
    <cellStyle name="Normal 5 15 34" xfId="7616" xr:uid="{00000000-0005-0000-0000-000062590000}"/>
    <cellStyle name="Normal 5 15 35" xfId="8984" xr:uid="{00000000-0005-0000-0000-000063590000}"/>
    <cellStyle name="Normal 5 15 36" xfId="4953" xr:uid="{00000000-0005-0000-0000-000064590000}"/>
    <cellStyle name="Normal 5 15 37" xfId="10513" xr:uid="{00000000-0005-0000-0000-000065590000}"/>
    <cellStyle name="Normal 5 15 38" xfId="8370" xr:uid="{00000000-0005-0000-0000-000066590000}"/>
    <cellStyle name="Normal 5 15 39" xfId="11880" xr:uid="{00000000-0005-0000-0000-000067590000}"/>
    <cellStyle name="Normal 5 15 4" xfId="26585" xr:uid="{00000000-0005-0000-0000-000068590000}"/>
    <cellStyle name="Normal 5 15 40" xfId="5712" xr:uid="{00000000-0005-0000-0000-000069590000}"/>
    <cellStyle name="Normal 5 15 41" xfId="11599" xr:uid="{00000000-0005-0000-0000-00006A590000}"/>
    <cellStyle name="Normal 5 15 42" xfId="3313" xr:uid="{00000000-0005-0000-0000-00006B590000}"/>
    <cellStyle name="Normal 5 15 43" xfId="4216" xr:uid="{00000000-0005-0000-0000-00006C590000}"/>
    <cellStyle name="Normal 5 15 5" xfId="25989" xr:uid="{00000000-0005-0000-0000-00006D590000}"/>
    <cellStyle name="Normal 5 15 6" xfId="25393" xr:uid="{00000000-0005-0000-0000-00006E590000}"/>
    <cellStyle name="Normal 5 15 7" xfId="24796" xr:uid="{00000000-0005-0000-0000-00006F590000}"/>
    <cellStyle name="Normal 5 15 8" xfId="24199" xr:uid="{00000000-0005-0000-0000-000070590000}"/>
    <cellStyle name="Normal 5 15 9" xfId="23602" xr:uid="{00000000-0005-0000-0000-000071590000}"/>
    <cellStyle name="Normal 5 16" xfId="28378" xr:uid="{00000000-0005-0000-0000-000072590000}"/>
    <cellStyle name="Normal 5 16 10" xfId="23004" xr:uid="{00000000-0005-0000-0000-000073590000}"/>
    <cellStyle name="Normal 5 16 11" xfId="22407" xr:uid="{00000000-0005-0000-0000-000074590000}"/>
    <cellStyle name="Normal 5 16 12" xfId="21811" xr:uid="{00000000-0005-0000-0000-000075590000}"/>
    <cellStyle name="Normal 5 16 13" xfId="21214" xr:uid="{00000000-0005-0000-0000-000076590000}"/>
    <cellStyle name="Normal 5 16 14" xfId="20617" xr:uid="{00000000-0005-0000-0000-000077590000}"/>
    <cellStyle name="Normal 5 16 15" xfId="20020" xr:uid="{00000000-0005-0000-0000-000078590000}"/>
    <cellStyle name="Normal 5 16 16" xfId="19424" xr:uid="{00000000-0005-0000-0000-000079590000}"/>
    <cellStyle name="Normal 5 16 17" xfId="18828" xr:uid="{00000000-0005-0000-0000-00007A590000}"/>
    <cellStyle name="Normal 5 16 18" xfId="18236" xr:uid="{00000000-0005-0000-0000-00007B590000}"/>
    <cellStyle name="Normal 5 16 19" xfId="17639" xr:uid="{00000000-0005-0000-0000-00007C590000}"/>
    <cellStyle name="Normal 5 16 2" xfId="27778" xr:uid="{00000000-0005-0000-0000-00007D590000}"/>
    <cellStyle name="Normal 5 16 20" xfId="15350" xr:uid="{00000000-0005-0000-0000-00007E590000}"/>
    <cellStyle name="Normal 5 16 21" xfId="17471" xr:uid="{00000000-0005-0000-0000-00007F590000}"/>
    <cellStyle name="Normal 5 16 22" xfId="14068" xr:uid="{00000000-0005-0000-0000-000080590000}"/>
    <cellStyle name="Normal 5 16 23" xfId="16615" xr:uid="{00000000-0005-0000-0000-000081590000}"/>
    <cellStyle name="Normal 5 16 24" xfId="17165" xr:uid="{00000000-0005-0000-0000-000082590000}"/>
    <cellStyle name="Normal 5 16 25" xfId="13452" xr:uid="{00000000-0005-0000-0000-000083590000}"/>
    <cellStyle name="Normal 5 16 26" xfId="14882" xr:uid="{00000000-0005-0000-0000-000084590000}"/>
    <cellStyle name="Normal 5 16 27" xfId="14272" xr:uid="{00000000-0005-0000-0000-000085590000}"/>
    <cellStyle name="Normal 5 16 28" xfId="12248" xr:uid="{00000000-0005-0000-0000-000086590000}"/>
    <cellStyle name="Normal 5 16 29" xfId="11244" xr:uid="{00000000-0005-0000-0000-000087590000}"/>
    <cellStyle name="Normal 5 16 3" xfId="27181" xr:uid="{00000000-0005-0000-0000-000088590000}"/>
    <cellStyle name="Normal 5 16 30" xfId="12101" xr:uid="{00000000-0005-0000-0000-000089590000}"/>
    <cellStyle name="Normal 5 16 31" xfId="10084" xr:uid="{00000000-0005-0000-0000-00008A590000}"/>
    <cellStyle name="Normal 5 16 32" xfId="11614" xr:uid="{00000000-0005-0000-0000-00008B590000}"/>
    <cellStyle name="Normal 5 16 33" xfId="5451" xr:uid="{00000000-0005-0000-0000-00008C590000}"/>
    <cellStyle name="Normal 5 16 34" xfId="6594" xr:uid="{00000000-0005-0000-0000-00008D590000}"/>
    <cellStyle name="Normal 5 16 35" xfId="11759" xr:uid="{00000000-0005-0000-0000-00008E590000}"/>
    <cellStyle name="Normal 5 16 36" xfId="4375" xr:uid="{00000000-0005-0000-0000-00008F590000}"/>
    <cellStyle name="Normal 5 16 37" xfId="8591" xr:uid="{00000000-0005-0000-0000-000090590000}"/>
    <cellStyle name="Normal 5 16 38" xfId="9837" xr:uid="{00000000-0005-0000-0000-000091590000}"/>
    <cellStyle name="Normal 5 16 39" xfId="3713" xr:uid="{00000000-0005-0000-0000-000092590000}"/>
    <cellStyle name="Normal 5 16 4" xfId="26584" xr:uid="{00000000-0005-0000-0000-000093590000}"/>
    <cellStyle name="Normal 5 16 40" xfId="10706" xr:uid="{00000000-0005-0000-0000-000094590000}"/>
    <cellStyle name="Normal 5 16 41" xfId="3352" xr:uid="{00000000-0005-0000-0000-000095590000}"/>
    <cellStyle name="Normal 5 16 42" xfId="3143" xr:uid="{00000000-0005-0000-0000-000096590000}"/>
    <cellStyle name="Normal 5 16 43" xfId="7221" xr:uid="{00000000-0005-0000-0000-000097590000}"/>
    <cellStyle name="Normal 5 16 5" xfId="25988" xr:uid="{00000000-0005-0000-0000-000098590000}"/>
    <cellStyle name="Normal 5 16 6" xfId="25392" xr:uid="{00000000-0005-0000-0000-000099590000}"/>
    <cellStyle name="Normal 5 16 7" xfId="24795" xr:uid="{00000000-0005-0000-0000-00009A590000}"/>
    <cellStyle name="Normal 5 16 8" xfId="24198" xr:uid="{00000000-0005-0000-0000-00009B590000}"/>
    <cellStyle name="Normal 5 16 9" xfId="23601" xr:uid="{00000000-0005-0000-0000-00009C590000}"/>
    <cellStyle name="Normal 5 17" xfId="28377" xr:uid="{00000000-0005-0000-0000-00009D590000}"/>
    <cellStyle name="Normal 5 17 10" xfId="23003" xr:uid="{00000000-0005-0000-0000-00009E590000}"/>
    <cellStyle name="Normal 5 17 11" xfId="22406" xr:uid="{00000000-0005-0000-0000-00009F590000}"/>
    <cellStyle name="Normal 5 17 12" xfId="21810" xr:uid="{00000000-0005-0000-0000-0000A0590000}"/>
    <cellStyle name="Normal 5 17 13" xfId="21213" xr:uid="{00000000-0005-0000-0000-0000A1590000}"/>
    <cellStyle name="Normal 5 17 14" xfId="20616" xr:uid="{00000000-0005-0000-0000-0000A2590000}"/>
    <cellStyle name="Normal 5 17 15" xfId="20019" xr:uid="{00000000-0005-0000-0000-0000A3590000}"/>
    <cellStyle name="Normal 5 17 16" xfId="19423" xr:uid="{00000000-0005-0000-0000-0000A4590000}"/>
    <cellStyle name="Normal 5 17 17" xfId="18827" xr:uid="{00000000-0005-0000-0000-0000A5590000}"/>
    <cellStyle name="Normal 5 17 18" xfId="18235" xr:uid="{00000000-0005-0000-0000-0000A6590000}"/>
    <cellStyle name="Normal 5 17 19" xfId="17638" xr:uid="{00000000-0005-0000-0000-0000A7590000}"/>
    <cellStyle name="Normal 5 17 2" xfId="27777" xr:uid="{00000000-0005-0000-0000-0000A8590000}"/>
    <cellStyle name="Normal 5 17 20" xfId="15557" xr:uid="{00000000-0005-0000-0000-0000A9590000}"/>
    <cellStyle name="Normal 5 17 21" xfId="17059" xr:uid="{00000000-0005-0000-0000-0000AA590000}"/>
    <cellStyle name="Normal 5 17 22" xfId="17171" xr:uid="{00000000-0005-0000-0000-0000AB590000}"/>
    <cellStyle name="Normal 5 17 23" xfId="13873" xr:uid="{00000000-0005-0000-0000-0000AC590000}"/>
    <cellStyle name="Normal 5 17 24" xfId="13582" xr:uid="{00000000-0005-0000-0000-0000AD590000}"/>
    <cellStyle name="Normal 5 17 25" xfId="14575" xr:uid="{00000000-0005-0000-0000-0000AE590000}"/>
    <cellStyle name="Normal 5 17 26" xfId="12984" xr:uid="{00000000-0005-0000-0000-0000AF590000}"/>
    <cellStyle name="Normal 5 17 27" xfId="14278" xr:uid="{00000000-0005-0000-0000-0000B0590000}"/>
    <cellStyle name="Normal 5 17 28" xfId="12247" xr:uid="{00000000-0005-0000-0000-0000B1590000}"/>
    <cellStyle name="Normal 5 17 29" xfId="11477" xr:uid="{00000000-0005-0000-0000-0000B2590000}"/>
    <cellStyle name="Normal 5 17 3" xfId="27180" xr:uid="{00000000-0005-0000-0000-0000B3590000}"/>
    <cellStyle name="Normal 5 17 30" xfId="6474" xr:uid="{00000000-0005-0000-0000-0000B4590000}"/>
    <cellStyle name="Normal 5 17 31" xfId="9499" xr:uid="{00000000-0005-0000-0000-0000B5590000}"/>
    <cellStyle name="Normal 5 17 32" xfId="7618" xr:uid="{00000000-0005-0000-0000-0000B6590000}"/>
    <cellStyle name="Normal 5 17 33" xfId="5786" xr:uid="{00000000-0005-0000-0000-0000B7590000}"/>
    <cellStyle name="Normal 5 17 34" xfId="4566" xr:uid="{00000000-0005-0000-0000-0000B8590000}"/>
    <cellStyle name="Normal 5 17 35" xfId="7446" xr:uid="{00000000-0005-0000-0000-0000B9590000}"/>
    <cellStyle name="Normal 5 17 36" xfId="7906" xr:uid="{00000000-0005-0000-0000-0000BA590000}"/>
    <cellStyle name="Normal 5 17 37" xfId="9349" xr:uid="{00000000-0005-0000-0000-0000BB590000}"/>
    <cellStyle name="Normal 5 17 38" xfId="10965" xr:uid="{00000000-0005-0000-0000-0000BC590000}"/>
    <cellStyle name="Normal 5 17 39" xfId="10200" xr:uid="{00000000-0005-0000-0000-0000BD590000}"/>
    <cellStyle name="Normal 5 17 4" xfId="26583" xr:uid="{00000000-0005-0000-0000-0000BE590000}"/>
    <cellStyle name="Normal 5 17 40" xfId="8211" xr:uid="{00000000-0005-0000-0000-0000BF590000}"/>
    <cellStyle name="Normal 5 17 41" xfId="3339" xr:uid="{00000000-0005-0000-0000-0000C0590000}"/>
    <cellStyle name="Normal 5 17 42" xfId="5511" xr:uid="{00000000-0005-0000-0000-0000C1590000}"/>
    <cellStyle name="Normal 5 17 43" xfId="3372" xr:uid="{00000000-0005-0000-0000-0000C2590000}"/>
    <cellStyle name="Normal 5 17 5" xfId="25987" xr:uid="{00000000-0005-0000-0000-0000C3590000}"/>
    <cellStyle name="Normal 5 17 6" xfId="25391" xr:uid="{00000000-0005-0000-0000-0000C4590000}"/>
    <cellStyle name="Normal 5 17 7" xfId="24794" xr:uid="{00000000-0005-0000-0000-0000C5590000}"/>
    <cellStyle name="Normal 5 17 8" xfId="24197" xr:uid="{00000000-0005-0000-0000-0000C6590000}"/>
    <cellStyle name="Normal 5 17 9" xfId="23600" xr:uid="{00000000-0005-0000-0000-0000C7590000}"/>
    <cellStyle name="Normal 5 18" xfId="28376" xr:uid="{00000000-0005-0000-0000-0000C8590000}"/>
    <cellStyle name="Normal 5 18 10" xfId="23002" xr:uid="{00000000-0005-0000-0000-0000C9590000}"/>
    <cellStyle name="Normal 5 18 11" xfId="22405" xr:uid="{00000000-0005-0000-0000-0000CA590000}"/>
    <cellStyle name="Normal 5 18 12" xfId="21809" xr:uid="{00000000-0005-0000-0000-0000CB590000}"/>
    <cellStyle name="Normal 5 18 13" xfId="21212" xr:uid="{00000000-0005-0000-0000-0000CC590000}"/>
    <cellStyle name="Normal 5 18 14" xfId="20615" xr:uid="{00000000-0005-0000-0000-0000CD590000}"/>
    <cellStyle name="Normal 5 18 15" xfId="20018" xr:uid="{00000000-0005-0000-0000-0000CE590000}"/>
    <cellStyle name="Normal 5 18 16" xfId="19422" xr:uid="{00000000-0005-0000-0000-0000CF590000}"/>
    <cellStyle name="Normal 5 18 17" xfId="18826" xr:uid="{00000000-0005-0000-0000-0000D0590000}"/>
    <cellStyle name="Normal 5 18 18" xfId="18234" xr:uid="{00000000-0005-0000-0000-0000D1590000}"/>
    <cellStyle name="Normal 5 18 19" xfId="17637" xr:uid="{00000000-0005-0000-0000-0000D2590000}"/>
    <cellStyle name="Normal 5 18 2" xfId="27776" xr:uid="{00000000-0005-0000-0000-0000D3590000}"/>
    <cellStyle name="Normal 5 18 20" xfId="15747" xr:uid="{00000000-0005-0000-0000-0000D4590000}"/>
    <cellStyle name="Normal 5 18 21" xfId="17050" xr:uid="{00000000-0005-0000-0000-0000D5590000}"/>
    <cellStyle name="Normal 5 18 22" xfId="15214" xr:uid="{00000000-0005-0000-0000-0000D6590000}"/>
    <cellStyle name="Normal 5 18 23" xfId="16834" xr:uid="{00000000-0005-0000-0000-0000D7590000}"/>
    <cellStyle name="Normal 5 18 24" xfId="13633" xr:uid="{00000000-0005-0000-0000-0000D8590000}"/>
    <cellStyle name="Normal 5 18 25" xfId="13699" xr:uid="{00000000-0005-0000-0000-0000D9590000}"/>
    <cellStyle name="Normal 5 18 26" xfId="17504" xr:uid="{00000000-0005-0000-0000-0000DA590000}"/>
    <cellStyle name="Normal 5 18 27" xfId="13604" xr:uid="{00000000-0005-0000-0000-0000DB590000}"/>
    <cellStyle name="Normal 5 18 28" xfId="12246" xr:uid="{00000000-0005-0000-0000-0000DC590000}"/>
    <cellStyle name="Normal 5 18 29" xfId="11701" xr:uid="{00000000-0005-0000-0000-0000DD590000}"/>
    <cellStyle name="Normal 5 18 3" xfId="27179" xr:uid="{00000000-0005-0000-0000-0000DE590000}"/>
    <cellStyle name="Normal 5 18 30" xfId="10140" xr:uid="{00000000-0005-0000-0000-0000DF590000}"/>
    <cellStyle name="Normal 5 18 31" xfId="7403" xr:uid="{00000000-0005-0000-0000-0000E0590000}"/>
    <cellStyle name="Normal 5 18 32" xfId="9481" xr:uid="{00000000-0005-0000-0000-0000E1590000}"/>
    <cellStyle name="Normal 5 18 33" xfId="8702" xr:uid="{00000000-0005-0000-0000-0000E2590000}"/>
    <cellStyle name="Normal 5 18 34" xfId="11209" xr:uid="{00000000-0005-0000-0000-0000E3590000}"/>
    <cellStyle name="Normal 5 18 35" xfId="8195" xr:uid="{00000000-0005-0000-0000-0000E4590000}"/>
    <cellStyle name="Normal 5 18 36" xfId="9340" xr:uid="{00000000-0005-0000-0000-0000E5590000}"/>
    <cellStyle name="Normal 5 18 37" xfId="12072" xr:uid="{00000000-0005-0000-0000-0000E6590000}"/>
    <cellStyle name="Normal 5 18 38" xfId="7959" xr:uid="{00000000-0005-0000-0000-0000E7590000}"/>
    <cellStyle name="Normal 5 18 39" xfId="3406" xr:uid="{00000000-0005-0000-0000-0000E8590000}"/>
    <cellStyle name="Normal 5 18 4" xfId="26582" xr:uid="{00000000-0005-0000-0000-0000E9590000}"/>
    <cellStyle name="Normal 5 18 40" xfId="4027" xr:uid="{00000000-0005-0000-0000-0000EA590000}"/>
    <cellStyle name="Normal 5 18 41" xfId="6199" xr:uid="{00000000-0005-0000-0000-0000EB590000}"/>
    <cellStyle name="Normal 5 18 42" xfId="3119" xr:uid="{00000000-0005-0000-0000-0000EC590000}"/>
    <cellStyle name="Normal 5 18 43" xfId="5737" xr:uid="{00000000-0005-0000-0000-0000ED590000}"/>
    <cellStyle name="Normal 5 18 5" xfId="25986" xr:uid="{00000000-0005-0000-0000-0000EE590000}"/>
    <cellStyle name="Normal 5 18 6" xfId="25390" xr:uid="{00000000-0005-0000-0000-0000EF590000}"/>
    <cellStyle name="Normal 5 18 7" xfId="24793" xr:uid="{00000000-0005-0000-0000-0000F0590000}"/>
    <cellStyle name="Normal 5 18 8" xfId="24196" xr:uid="{00000000-0005-0000-0000-0000F1590000}"/>
    <cellStyle name="Normal 5 18 9" xfId="23599" xr:uid="{00000000-0005-0000-0000-0000F2590000}"/>
    <cellStyle name="Normal 5 19" xfId="28375" xr:uid="{00000000-0005-0000-0000-0000F3590000}"/>
    <cellStyle name="Normal 5 19 10" xfId="23001" xr:uid="{00000000-0005-0000-0000-0000F4590000}"/>
    <cellStyle name="Normal 5 19 11" xfId="22404" xr:uid="{00000000-0005-0000-0000-0000F5590000}"/>
    <cellStyle name="Normal 5 19 12" xfId="21808" xr:uid="{00000000-0005-0000-0000-0000F6590000}"/>
    <cellStyle name="Normal 5 19 13" xfId="21211" xr:uid="{00000000-0005-0000-0000-0000F7590000}"/>
    <cellStyle name="Normal 5 19 14" xfId="20614" xr:uid="{00000000-0005-0000-0000-0000F8590000}"/>
    <cellStyle name="Normal 5 19 15" xfId="20017" xr:uid="{00000000-0005-0000-0000-0000F9590000}"/>
    <cellStyle name="Normal 5 19 16" xfId="19421" xr:uid="{00000000-0005-0000-0000-0000FA590000}"/>
    <cellStyle name="Normal 5 19 17" xfId="18825" xr:uid="{00000000-0005-0000-0000-0000FB590000}"/>
    <cellStyle name="Normal 5 19 18" xfId="18233" xr:uid="{00000000-0005-0000-0000-0000FC590000}"/>
    <cellStyle name="Normal 5 19 19" xfId="17636" xr:uid="{00000000-0005-0000-0000-0000FD590000}"/>
    <cellStyle name="Normal 5 19 2" xfId="27775" xr:uid="{00000000-0005-0000-0000-0000FE590000}"/>
    <cellStyle name="Normal 5 19 20" xfId="15947" xr:uid="{00000000-0005-0000-0000-0000FF590000}"/>
    <cellStyle name="Normal 5 19 21" xfId="16650" xr:uid="{00000000-0005-0000-0000-0000005A0000}"/>
    <cellStyle name="Normal 5 19 22" xfId="14629" xr:uid="{00000000-0005-0000-0000-0000015A0000}"/>
    <cellStyle name="Normal 5 19 23" xfId="16377" xr:uid="{00000000-0005-0000-0000-0000025A0000}"/>
    <cellStyle name="Normal 5 19 24" xfId="15014" xr:uid="{00000000-0005-0000-0000-0000035A0000}"/>
    <cellStyle name="Normal 5 19 25" xfId="13692" xr:uid="{00000000-0005-0000-0000-0000045A0000}"/>
    <cellStyle name="Normal 5 19 26" xfId="13441" xr:uid="{00000000-0005-0000-0000-0000055A0000}"/>
    <cellStyle name="Normal 5 19 27" xfId="13375" xr:uid="{00000000-0005-0000-0000-0000065A0000}"/>
    <cellStyle name="Normal 5 19 28" xfId="12245" xr:uid="{00000000-0005-0000-0000-0000075A0000}"/>
    <cellStyle name="Normal 5 19 29" xfId="7012" xr:uid="{00000000-0005-0000-0000-0000085A0000}"/>
    <cellStyle name="Normal 5 19 3" xfId="27178" xr:uid="{00000000-0005-0000-0000-0000095A0000}"/>
    <cellStyle name="Normal 5 19 30" xfId="8443" xr:uid="{00000000-0005-0000-0000-00000A5A0000}"/>
    <cellStyle name="Normal 5 19 31" xfId="11363" xr:uid="{00000000-0005-0000-0000-00000B5A0000}"/>
    <cellStyle name="Normal 5 19 32" xfId="9996" xr:uid="{00000000-0005-0000-0000-00000C5A0000}"/>
    <cellStyle name="Normal 5 19 33" xfId="6449" xr:uid="{00000000-0005-0000-0000-00000D5A0000}"/>
    <cellStyle name="Normal 5 19 34" xfId="8191" xr:uid="{00000000-0005-0000-0000-00000E5A0000}"/>
    <cellStyle name="Normal 5 19 35" xfId="4577" xr:uid="{00000000-0005-0000-0000-00000F5A0000}"/>
    <cellStyle name="Normal 5 19 36" xfId="11674" xr:uid="{00000000-0005-0000-0000-0000105A0000}"/>
    <cellStyle name="Normal 5 19 37" xfId="10717" xr:uid="{00000000-0005-0000-0000-0000115A0000}"/>
    <cellStyle name="Normal 5 19 38" xfId="5754" xr:uid="{00000000-0005-0000-0000-0000125A0000}"/>
    <cellStyle name="Normal 5 19 39" xfId="3412" xr:uid="{00000000-0005-0000-0000-0000135A0000}"/>
    <cellStyle name="Normal 5 19 4" xfId="26581" xr:uid="{00000000-0005-0000-0000-0000145A0000}"/>
    <cellStyle name="Normal 5 19 40" xfId="5816" xr:uid="{00000000-0005-0000-0000-0000155A0000}"/>
    <cellStyle name="Normal 5 19 41" xfId="8873" xr:uid="{00000000-0005-0000-0000-0000165A0000}"/>
    <cellStyle name="Normal 5 19 42" xfId="6143" xr:uid="{00000000-0005-0000-0000-0000175A0000}"/>
    <cellStyle name="Normal 5 19 43" xfId="3600" xr:uid="{00000000-0005-0000-0000-0000185A0000}"/>
    <cellStyle name="Normal 5 19 5" xfId="25985" xr:uid="{00000000-0005-0000-0000-0000195A0000}"/>
    <cellStyle name="Normal 5 19 6" xfId="25389" xr:uid="{00000000-0005-0000-0000-00001A5A0000}"/>
    <cellStyle name="Normal 5 19 7" xfId="24792" xr:uid="{00000000-0005-0000-0000-00001B5A0000}"/>
    <cellStyle name="Normal 5 19 8" xfId="24195" xr:uid="{00000000-0005-0000-0000-00001C5A0000}"/>
    <cellStyle name="Normal 5 19 9" xfId="23598" xr:uid="{00000000-0005-0000-0000-00001D5A0000}"/>
    <cellStyle name="Normal 5 2" xfId="28374" xr:uid="{00000000-0005-0000-0000-00001E5A0000}"/>
    <cellStyle name="Normal 5 2 10" xfId="23000" xr:uid="{00000000-0005-0000-0000-00001F5A0000}"/>
    <cellStyle name="Normal 5 2 11" xfId="22403" xr:uid="{00000000-0005-0000-0000-0000205A0000}"/>
    <cellStyle name="Normal 5 2 12" xfId="21807" xr:uid="{00000000-0005-0000-0000-0000215A0000}"/>
    <cellStyle name="Normal 5 2 13" xfId="21210" xr:uid="{00000000-0005-0000-0000-0000225A0000}"/>
    <cellStyle name="Normal 5 2 14" xfId="20613" xr:uid="{00000000-0005-0000-0000-0000235A0000}"/>
    <cellStyle name="Normal 5 2 15" xfId="20016" xr:uid="{00000000-0005-0000-0000-0000245A0000}"/>
    <cellStyle name="Normal 5 2 16" xfId="19420" xr:uid="{00000000-0005-0000-0000-0000255A0000}"/>
    <cellStyle name="Normal 5 2 17" xfId="18824" xr:uid="{00000000-0005-0000-0000-0000265A0000}"/>
    <cellStyle name="Normal 5 2 18" xfId="18232" xr:uid="{00000000-0005-0000-0000-0000275A0000}"/>
    <cellStyle name="Normal 5 2 19" xfId="17635" xr:uid="{00000000-0005-0000-0000-0000285A0000}"/>
    <cellStyle name="Normal 5 2 2" xfId="27774" xr:uid="{00000000-0005-0000-0000-0000295A0000}"/>
    <cellStyle name="Normal 5 2 20" xfId="16155" xr:uid="{00000000-0005-0000-0000-00002A5A0000}"/>
    <cellStyle name="Normal 5 2 21" xfId="16041" xr:uid="{00000000-0005-0000-0000-00002B5A0000}"/>
    <cellStyle name="Normal 5 2 22" xfId="14254" xr:uid="{00000000-0005-0000-0000-00002C5A0000}"/>
    <cellStyle name="Normal 5 2 23" xfId="14493" xr:uid="{00000000-0005-0000-0000-00002D5A0000}"/>
    <cellStyle name="Normal 5 2 24" xfId="13916" xr:uid="{00000000-0005-0000-0000-00002E5A0000}"/>
    <cellStyle name="Normal 5 2 25" xfId="15045" xr:uid="{00000000-0005-0000-0000-00002F5A0000}"/>
    <cellStyle name="Normal 5 2 26" xfId="13478" xr:uid="{00000000-0005-0000-0000-0000305A0000}"/>
    <cellStyle name="Normal 5 2 27" xfId="13087" xr:uid="{00000000-0005-0000-0000-0000315A0000}"/>
    <cellStyle name="Normal 5 2 28" xfId="12244" xr:uid="{00000000-0005-0000-0000-0000325A0000}"/>
    <cellStyle name="Normal 5 2 29" xfId="6436" xr:uid="{00000000-0005-0000-0000-0000335A0000}"/>
    <cellStyle name="Normal 5 2 3" xfId="27177" xr:uid="{00000000-0005-0000-0000-0000345A0000}"/>
    <cellStyle name="Normal 5 2 30" xfId="8436" xr:uid="{00000000-0005-0000-0000-0000355A0000}"/>
    <cellStyle name="Normal 5 2 31" xfId="10467" xr:uid="{00000000-0005-0000-0000-0000365A0000}"/>
    <cellStyle name="Normal 5 2 32" xfId="9985" xr:uid="{00000000-0005-0000-0000-0000375A0000}"/>
    <cellStyle name="Normal 5 2 33" xfId="6996" xr:uid="{00000000-0005-0000-0000-0000385A0000}"/>
    <cellStyle name="Normal 5 2 34" xfId="10998" xr:uid="{00000000-0005-0000-0000-0000395A0000}"/>
    <cellStyle name="Normal 5 2 35" xfId="10427" xr:uid="{00000000-0005-0000-0000-00003A5A0000}"/>
    <cellStyle name="Normal 5 2 36" xfId="11426" xr:uid="{00000000-0005-0000-0000-00003B5A0000}"/>
    <cellStyle name="Normal 5 2 37" xfId="12055" xr:uid="{00000000-0005-0000-0000-00003C5A0000}"/>
    <cellStyle name="Normal 5 2 38" xfId="10484" xr:uid="{00000000-0005-0000-0000-00003D5A0000}"/>
    <cellStyle name="Normal 5 2 39" xfId="3827" xr:uid="{00000000-0005-0000-0000-00003E5A0000}"/>
    <cellStyle name="Normal 5 2 4" xfId="26580" xr:uid="{00000000-0005-0000-0000-00003F5A0000}"/>
    <cellStyle name="Normal 5 2 40" xfId="4364" xr:uid="{00000000-0005-0000-0000-0000405A0000}"/>
    <cellStyle name="Normal 5 2 41" xfId="4063" xr:uid="{00000000-0005-0000-0000-0000415A0000}"/>
    <cellStyle name="Normal 5 2 42" xfId="3126" xr:uid="{00000000-0005-0000-0000-0000425A0000}"/>
    <cellStyle name="Normal 5 2 43" xfId="4084" xr:uid="{00000000-0005-0000-0000-0000435A0000}"/>
    <cellStyle name="Normal 5 2 44" xfId="2886" xr:uid="{00000000-0005-0000-0000-0000445A0000}"/>
    <cellStyle name="Normal 5 2 45" xfId="2643" xr:uid="{00000000-0005-0000-0000-0000455A0000}"/>
    <cellStyle name="Normal 5 2 46" xfId="2403" xr:uid="{00000000-0005-0000-0000-0000465A0000}"/>
    <cellStyle name="Normal 5 2 47" xfId="2163" xr:uid="{00000000-0005-0000-0000-0000475A0000}"/>
    <cellStyle name="Normal 5 2 48" xfId="1923" xr:uid="{00000000-0005-0000-0000-0000485A0000}"/>
    <cellStyle name="Normal 5 2 49" xfId="1683" xr:uid="{00000000-0005-0000-0000-0000495A0000}"/>
    <cellStyle name="Normal 5 2 5" xfId="25984" xr:uid="{00000000-0005-0000-0000-00004A5A0000}"/>
    <cellStyle name="Normal 5 2 50" xfId="1444" xr:uid="{00000000-0005-0000-0000-00004B5A0000}"/>
    <cellStyle name="Normal 5 2 51" xfId="1204" xr:uid="{00000000-0005-0000-0000-00004C5A0000}"/>
    <cellStyle name="Normal 5 2 52" xfId="964" xr:uid="{00000000-0005-0000-0000-00004D5A0000}"/>
    <cellStyle name="Normal 5 2 53" xfId="724" xr:uid="{00000000-0005-0000-0000-00004E5A0000}"/>
    <cellStyle name="Normal 5 2 54" xfId="484" xr:uid="{00000000-0005-0000-0000-00004F5A0000}"/>
    <cellStyle name="Normal 5 2 55" xfId="245" xr:uid="{00000000-0005-0000-0000-0000505A0000}"/>
    <cellStyle name="Normal 5 2 56" xfId="7" xr:uid="{00000000-0005-0000-0000-0000515A0000}"/>
    <cellStyle name="Normal 5 2 6" xfId="25388" xr:uid="{00000000-0005-0000-0000-0000525A0000}"/>
    <cellStyle name="Normal 5 2 7" xfId="24791" xr:uid="{00000000-0005-0000-0000-0000535A0000}"/>
    <cellStyle name="Normal 5 2 8" xfId="24194" xr:uid="{00000000-0005-0000-0000-0000545A0000}"/>
    <cellStyle name="Normal 5 2 9" xfId="23597" xr:uid="{00000000-0005-0000-0000-0000555A0000}"/>
    <cellStyle name="Normal 5 20" xfId="28373" xr:uid="{00000000-0005-0000-0000-0000565A0000}"/>
    <cellStyle name="Normal 5 20 10" xfId="22999" xr:uid="{00000000-0005-0000-0000-0000575A0000}"/>
    <cellStyle name="Normal 5 20 11" xfId="22402" xr:uid="{00000000-0005-0000-0000-0000585A0000}"/>
    <cellStyle name="Normal 5 20 12" xfId="21806" xr:uid="{00000000-0005-0000-0000-0000595A0000}"/>
    <cellStyle name="Normal 5 20 13" xfId="21209" xr:uid="{00000000-0005-0000-0000-00005A5A0000}"/>
    <cellStyle name="Normal 5 20 14" xfId="20612" xr:uid="{00000000-0005-0000-0000-00005B5A0000}"/>
    <cellStyle name="Normal 5 20 15" xfId="20015" xr:uid="{00000000-0005-0000-0000-00005C5A0000}"/>
    <cellStyle name="Normal 5 20 16" xfId="19419" xr:uid="{00000000-0005-0000-0000-00005D5A0000}"/>
    <cellStyle name="Normal 5 20 17" xfId="18823" xr:uid="{00000000-0005-0000-0000-00005E5A0000}"/>
    <cellStyle name="Normal 5 20 18" xfId="18231" xr:uid="{00000000-0005-0000-0000-00005F5A0000}"/>
    <cellStyle name="Normal 5 20 19" xfId="17634" xr:uid="{00000000-0005-0000-0000-0000605A0000}"/>
    <cellStyle name="Normal 5 20 2" xfId="27773" xr:uid="{00000000-0005-0000-0000-0000615A0000}"/>
    <cellStyle name="Normal 5 20 20" xfId="16356" xr:uid="{00000000-0005-0000-0000-0000625A0000}"/>
    <cellStyle name="Normal 5 20 21" xfId="15628" xr:uid="{00000000-0005-0000-0000-0000635A0000}"/>
    <cellStyle name="Normal 5 20 22" xfId="14665" xr:uid="{00000000-0005-0000-0000-0000645A0000}"/>
    <cellStyle name="Normal 5 20 23" xfId="13706" xr:uid="{00000000-0005-0000-0000-0000655A0000}"/>
    <cellStyle name="Normal 5 20 24" xfId="17431" xr:uid="{00000000-0005-0000-0000-0000665A0000}"/>
    <cellStyle name="Normal 5 20 25" xfId="15621" xr:uid="{00000000-0005-0000-0000-0000675A0000}"/>
    <cellStyle name="Normal 5 20 26" xfId="12887" xr:uid="{00000000-0005-0000-0000-0000685A0000}"/>
    <cellStyle name="Normal 5 20 27" xfId="13123" xr:uid="{00000000-0005-0000-0000-0000695A0000}"/>
    <cellStyle name="Normal 5 20 28" xfId="12243" xr:uid="{00000000-0005-0000-0000-00006A5A0000}"/>
    <cellStyle name="Normal 5 20 29" xfId="6805" xr:uid="{00000000-0005-0000-0000-00006B5A0000}"/>
    <cellStyle name="Normal 5 20 3" xfId="27176" xr:uid="{00000000-0005-0000-0000-00006C5A0000}"/>
    <cellStyle name="Normal 5 20 30" xfId="6590" xr:uid="{00000000-0005-0000-0000-00006D5A0000}"/>
    <cellStyle name="Normal 5 20 31" xfId="8872" xr:uid="{00000000-0005-0000-0000-00006E5A0000}"/>
    <cellStyle name="Normal 5 20 32" xfId="7029" xr:uid="{00000000-0005-0000-0000-00006F5A0000}"/>
    <cellStyle name="Normal 5 20 33" xfId="10376" xr:uid="{00000000-0005-0000-0000-0000705A0000}"/>
    <cellStyle name="Normal 5 20 34" xfId="6904" xr:uid="{00000000-0005-0000-0000-0000715A0000}"/>
    <cellStyle name="Normal 5 20 35" xfId="7804" xr:uid="{00000000-0005-0000-0000-0000725A0000}"/>
    <cellStyle name="Normal 5 20 36" xfId="6710" xr:uid="{00000000-0005-0000-0000-0000735A0000}"/>
    <cellStyle name="Normal 5 20 37" xfId="4607" xr:uid="{00000000-0005-0000-0000-0000745A0000}"/>
    <cellStyle name="Normal 5 20 38" xfId="3774" xr:uid="{00000000-0005-0000-0000-0000755A0000}"/>
    <cellStyle name="Normal 5 20 39" xfId="9364" xr:uid="{00000000-0005-0000-0000-0000765A0000}"/>
    <cellStyle name="Normal 5 20 4" xfId="26579" xr:uid="{00000000-0005-0000-0000-0000775A0000}"/>
    <cellStyle name="Normal 5 20 40" xfId="3447" xr:uid="{00000000-0005-0000-0000-0000785A0000}"/>
    <cellStyle name="Normal 5 20 41" xfId="11375" xr:uid="{00000000-0005-0000-0000-0000795A0000}"/>
    <cellStyle name="Normal 5 20 42" xfId="4620" xr:uid="{00000000-0005-0000-0000-00007A5A0000}"/>
    <cellStyle name="Normal 5 20 43" xfId="4354" xr:uid="{00000000-0005-0000-0000-00007B5A0000}"/>
    <cellStyle name="Normal 5 20 5" xfId="25983" xr:uid="{00000000-0005-0000-0000-00007C5A0000}"/>
    <cellStyle name="Normal 5 20 6" xfId="25387" xr:uid="{00000000-0005-0000-0000-00007D5A0000}"/>
    <cellStyle name="Normal 5 20 7" xfId="24790" xr:uid="{00000000-0005-0000-0000-00007E5A0000}"/>
    <cellStyle name="Normal 5 20 8" xfId="24193" xr:uid="{00000000-0005-0000-0000-00007F5A0000}"/>
    <cellStyle name="Normal 5 20 9" xfId="23596" xr:uid="{00000000-0005-0000-0000-0000805A0000}"/>
    <cellStyle name="Normal 5 21" xfId="28372" xr:uid="{00000000-0005-0000-0000-0000815A0000}"/>
    <cellStyle name="Normal 5 21 10" xfId="22998" xr:uid="{00000000-0005-0000-0000-0000825A0000}"/>
    <cellStyle name="Normal 5 21 11" xfId="22401" xr:uid="{00000000-0005-0000-0000-0000835A0000}"/>
    <cellStyle name="Normal 5 21 12" xfId="21805" xr:uid="{00000000-0005-0000-0000-0000845A0000}"/>
    <cellStyle name="Normal 5 21 13" xfId="21208" xr:uid="{00000000-0005-0000-0000-0000855A0000}"/>
    <cellStyle name="Normal 5 21 14" xfId="20611" xr:uid="{00000000-0005-0000-0000-0000865A0000}"/>
    <cellStyle name="Normal 5 21 15" xfId="20014" xr:uid="{00000000-0005-0000-0000-0000875A0000}"/>
    <cellStyle name="Normal 5 21 16" xfId="19418" xr:uid="{00000000-0005-0000-0000-0000885A0000}"/>
    <cellStyle name="Normal 5 21 17" xfId="18822" xr:uid="{00000000-0005-0000-0000-0000895A0000}"/>
    <cellStyle name="Normal 5 21 18" xfId="18230" xr:uid="{00000000-0005-0000-0000-00008A5A0000}"/>
    <cellStyle name="Normal 5 21 19" xfId="17633" xr:uid="{00000000-0005-0000-0000-00008B5A0000}"/>
    <cellStyle name="Normal 5 21 2" xfId="27772" xr:uid="{00000000-0005-0000-0000-00008C5A0000}"/>
    <cellStyle name="Normal 5 21 20" xfId="16546" xr:uid="{00000000-0005-0000-0000-00008D5A0000}"/>
    <cellStyle name="Normal 5 21 21" xfId="15224" xr:uid="{00000000-0005-0000-0000-00008E5A0000}"/>
    <cellStyle name="Normal 5 21 22" xfId="14645" xr:uid="{00000000-0005-0000-0000-00008F5A0000}"/>
    <cellStyle name="Normal 5 21 23" xfId="16852" xr:uid="{00000000-0005-0000-0000-0000905A0000}"/>
    <cellStyle name="Normal 5 21 24" xfId="13752" xr:uid="{00000000-0005-0000-0000-0000915A0000}"/>
    <cellStyle name="Normal 5 21 25" xfId="13114" xr:uid="{00000000-0005-0000-0000-0000925A0000}"/>
    <cellStyle name="Normal 5 21 26" xfId="14008" xr:uid="{00000000-0005-0000-0000-0000935A0000}"/>
    <cellStyle name="Normal 5 21 27" xfId="13853" xr:uid="{00000000-0005-0000-0000-0000945A0000}"/>
    <cellStyle name="Normal 5 21 28" xfId="12242" xr:uid="{00000000-0005-0000-0000-0000955A0000}"/>
    <cellStyle name="Normal 5 21 29" xfId="7458" xr:uid="{00000000-0005-0000-0000-0000965A0000}"/>
    <cellStyle name="Normal 5 21 3" xfId="27175" xr:uid="{00000000-0005-0000-0000-0000975A0000}"/>
    <cellStyle name="Normal 5 21 30" xfId="10479" xr:uid="{00000000-0005-0000-0000-0000985A0000}"/>
    <cellStyle name="Normal 5 21 31" xfId="11629" xr:uid="{00000000-0005-0000-0000-0000995A0000}"/>
    <cellStyle name="Normal 5 21 32" xfId="7691" xr:uid="{00000000-0005-0000-0000-00009A5A0000}"/>
    <cellStyle name="Normal 5 21 33" xfId="7157" xr:uid="{00000000-0005-0000-0000-00009B5A0000}"/>
    <cellStyle name="Normal 5 21 34" xfId="6184" xr:uid="{00000000-0005-0000-0000-00009C5A0000}"/>
    <cellStyle name="Normal 5 21 35" xfId="9673" xr:uid="{00000000-0005-0000-0000-00009D5A0000}"/>
    <cellStyle name="Normal 5 21 36" xfId="7536" xr:uid="{00000000-0005-0000-0000-00009E5A0000}"/>
    <cellStyle name="Normal 5 21 37" xfId="6780" xr:uid="{00000000-0005-0000-0000-00009F5A0000}"/>
    <cellStyle name="Normal 5 21 38" xfId="10697" xr:uid="{00000000-0005-0000-0000-0000A05A0000}"/>
    <cellStyle name="Normal 5 21 39" xfId="8342" xr:uid="{00000000-0005-0000-0000-0000A15A0000}"/>
    <cellStyle name="Normal 5 21 4" xfId="26578" xr:uid="{00000000-0005-0000-0000-0000A25A0000}"/>
    <cellStyle name="Normal 5 21 40" xfId="6493" xr:uid="{00000000-0005-0000-0000-0000A35A0000}"/>
    <cellStyle name="Normal 5 21 41" xfId="8954" xr:uid="{00000000-0005-0000-0000-0000A45A0000}"/>
    <cellStyle name="Normal 5 21 42" xfId="11083" xr:uid="{00000000-0005-0000-0000-0000A55A0000}"/>
    <cellStyle name="Normal 5 21 43" xfId="9270" xr:uid="{00000000-0005-0000-0000-0000A65A0000}"/>
    <cellStyle name="Normal 5 21 5" xfId="25982" xr:uid="{00000000-0005-0000-0000-0000A75A0000}"/>
    <cellStyle name="Normal 5 21 6" xfId="25386" xr:uid="{00000000-0005-0000-0000-0000A85A0000}"/>
    <cellStyle name="Normal 5 21 7" xfId="24789" xr:uid="{00000000-0005-0000-0000-0000A95A0000}"/>
    <cellStyle name="Normal 5 21 8" xfId="24192" xr:uid="{00000000-0005-0000-0000-0000AA5A0000}"/>
    <cellStyle name="Normal 5 21 9" xfId="23595" xr:uid="{00000000-0005-0000-0000-0000AB5A0000}"/>
    <cellStyle name="Normal 5 22" xfId="28371" xr:uid="{00000000-0005-0000-0000-0000AC5A0000}"/>
    <cellStyle name="Normal 5 22 10" xfId="22997" xr:uid="{00000000-0005-0000-0000-0000AD5A0000}"/>
    <cellStyle name="Normal 5 22 11" xfId="22400" xr:uid="{00000000-0005-0000-0000-0000AE5A0000}"/>
    <cellStyle name="Normal 5 22 12" xfId="21804" xr:uid="{00000000-0005-0000-0000-0000AF5A0000}"/>
    <cellStyle name="Normal 5 22 13" xfId="21207" xr:uid="{00000000-0005-0000-0000-0000B05A0000}"/>
    <cellStyle name="Normal 5 22 14" xfId="20610" xr:uid="{00000000-0005-0000-0000-0000B15A0000}"/>
    <cellStyle name="Normal 5 22 15" xfId="20013" xr:uid="{00000000-0005-0000-0000-0000B25A0000}"/>
    <cellStyle name="Normal 5 22 16" xfId="19417" xr:uid="{00000000-0005-0000-0000-0000B35A0000}"/>
    <cellStyle name="Normal 5 22 17" xfId="18821" xr:uid="{00000000-0005-0000-0000-0000B45A0000}"/>
    <cellStyle name="Normal 5 22 18" xfId="18229" xr:uid="{00000000-0005-0000-0000-0000B55A0000}"/>
    <cellStyle name="Normal 5 22 19" xfId="17632" xr:uid="{00000000-0005-0000-0000-0000B65A0000}"/>
    <cellStyle name="Normal 5 22 2" xfId="27771" xr:uid="{00000000-0005-0000-0000-0000B75A0000}"/>
    <cellStyle name="Normal 5 22 20" xfId="16740" xr:uid="{00000000-0005-0000-0000-0000B85A0000}"/>
    <cellStyle name="Normal 5 22 21" xfId="14805" xr:uid="{00000000-0005-0000-0000-0000B95A0000}"/>
    <cellStyle name="Normal 5 22 22" xfId="17221" xr:uid="{00000000-0005-0000-0000-0000BA5A0000}"/>
    <cellStyle name="Normal 5 22 23" xfId="13537" xr:uid="{00000000-0005-0000-0000-0000BB5A0000}"/>
    <cellStyle name="Normal 5 22 24" xfId="16225" xr:uid="{00000000-0005-0000-0000-0000BC5A0000}"/>
    <cellStyle name="Normal 5 22 25" xfId="16105" xr:uid="{00000000-0005-0000-0000-0000BD5A0000}"/>
    <cellStyle name="Normal 5 22 26" xfId="16847" xr:uid="{00000000-0005-0000-0000-0000BE5A0000}"/>
    <cellStyle name="Normal 5 22 27" xfId="16084" xr:uid="{00000000-0005-0000-0000-0000BF5A0000}"/>
    <cellStyle name="Normal 5 22 28" xfId="12241" xr:uid="{00000000-0005-0000-0000-0000C05A0000}"/>
    <cellStyle name="Normal 5 22 29" xfId="7473" xr:uid="{00000000-0005-0000-0000-0000C15A0000}"/>
    <cellStyle name="Normal 5 22 3" xfId="27174" xr:uid="{00000000-0005-0000-0000-0000C25A0000}"/>
    <cellStyle name="Normal 5 22 30" xfId="10242" xr:uid="{00000000-0005-0000-0000-0000C35A0000}"/>
    <cellStyle name="Normal 5 22 31" xfId="9533" xr:uid="{00000000-0005-0000-0000-0000C45A0000}"/>
    <cellStyle name="Normal 5 22 32" xfId="8388" xr:uid="{00000000-0005-0000-0000-0000C55A0000}"/>
    <cellStyle name="Normal 5 22 33" xfId="10451" xr:uid="{00000000-0005-0000-0000-0000C65A0000}"/>
    <cellStyle name="Normal 5 22 34" xfId="10204" xr:uid="{00000000-0005-0000-0000-0000C75A0000}"/>
    <cellStyle name="Normal 5 22 35" xfId="4610" xr:uid="{00000000-0005-0000-0000-0000C85A0000}"/>
    <cellStyle name="Normal 5 22 36" xfId="10507" xr:uid="{00000000-0005-0000-0000-0000C95A0000}"/>
    <cellStyle name="Normal 5 22 37" xfId="8955" xr:uid="{00000000-0005-0000-0000-0000CA5A0000}"/>
    <cellStyle name="Normal 5 22 38" xfId="4976" xr:uid="{00000000-0005-0000-0000-0000CB5A0000}"/>
    <cellStyle name="Normal 5 22 39" xfId="10083" xr:uid="{00000000-0005-0000-0000-0000CC5A0000}"/>
    <cellStyle name="Normal 5 22 4" xfId="26577" xr:uid="{00000000-0005-0000-0000-0000CD5A0000}"/>
    <cellStyle name="Normal 5 22 40" xfId="5497" xr:uid="{00000000-0005-0000-0000-0000CE5A0000}"/>
    <cellStyle name="Normal 5 22 41" xfId="7228" xr:uid="{00000000-0005-0000-0000-0000CF5A0000}"/>
    <cellStyle name="Normal 5 22 42" xfId="4871" xr:uid="{00000000-0005-0000-0000-0000D05A0000}"/>
    <cellStyle name="Normal 5 22 43" xfId="8714" xr:uid="{00000000-0005-0000-0000-0000D15A0000}"/>
    <cellStyle name="Normal 5 22 5" xfId="25981" xr:uid="{00000000-0005-0000-0000-0000D25A0000}"/>
    <cellStyle name="Normal 5 22 6" xfId="25385" xr:uid="{00000000-0005-0000-0000-0000D35A0000}"/>
    <cellStyle name="Normal 5 22 7" xfId="24788" xr:uid="{00000000-0005-0000-0000-0000D45A0000}"/>
    <cellStyle name="Normal 5 22 8" xfId="24191" xr:uid="{00000000-0005-0000-0000-0000D55A0000}"/>
    <cellStyle name="Normal 5 22 9" xfId="23594" xr:uid="{00000000-0005-0000-0000-0000D65A0000}"/>
    <cellStyle name="Normal 5 23" xfId="28370" xr:uid="{00000000-0005-0000-0000-0000D75A0000}"/>
    <cellStyle name="Normal 5 23 10" xfId="22996" xr:uid="{00000000-0005-0000-0000-0000D85A0000}"/>
    <cellStyle name="Normal 5 23 11" xfId="22399" xr:uid="{00000000-0005-0000-0000-0000D95A0000}"/>
    <cellStyle name="Normal 5 23 12" xfId="21803" xr:uid="{00000000-0005-0000-0000-0000DA5A0000}"/>
    <cellStyle name="Normal 5 23 13" xfId="21206" xr:uid="{00000000-0005-0000-0000-0000DB5A0000}"/>
    <cellStyle name="Normal 5 23 14" xfId="20609" xr:uid="{00000000-0005-0000-0000-0000DC5A0000}"/>
    <cellStyle name="Normal 5 23 15" xfId="20012" xr:uid="{00000000-0005-0000-0000-0000DD5A0000}"/>
    <cellStyle name="Normal 5 23 16" xfId="19416" xr:uid="{00000000-0005-0000-0000-0000DE5A0000}"/>
    <cellStyle name="Normal 5 23 17" xfId="18820" xr:uid="{00000000-0005-0000-0000-0000DF5A0000}"/>
    <cellStyle name="Normal 5 23 18" xfId="18228" xr:uid="{00000000-0005-0000-0000-0000E05A0000}"/>
    <cellStyle name="Normal 5 23 19" xfId="17631" xr:uid="{00000000-0005-0000-0000-0000E15A0000}"/>
    <cellStyle name="Normal 5 23 2" xfId="27770" xr:uid="{00000000-0005-0000-0000-0000E25A0000}"/>
    <cellStyle name="Normal 5 23 20" xfId="16937" xr:uid="{00000000-0005-0000-0000-0000E35A0000}"/>
    <cellStyle name="Normal 5 23 21" xfId="15210" xr:uid="{00000000-0005-0000-0000-0000E45A0000}"/>
    <cellStyle name="Normal 5 23 22" xfId="15445" xr:uid="{00000000-0005-0000-0000-0000E55A0000}"/>
    <cellStyle name="Normal 5 23 23" xfId="16771" xr:uid="{00000000-0005-0000-0000-0000E65A0000}"/>
    <cellStyle name="Normal 5 23 24" xfId="15485" xr:uid="{00000000-0005-0000-0000-0000E75A0000}"/>
    <cellStyle name="Normal 5 23 25" xfId="13819" xr:uid="{00000000-0005-0000-0000-0000E85A0000}"/>
    <cellStyle name="Normal 5 23 26" xfId="16442" xr:uid="{00000000-0005-0000-0000-0000E95A0000}"/>
    <cellStyle name="Normal 5 23 27" xfId="15465" xr:uid="{00000000-0005-0000-0000-0000EA5A0000}"/>
    <cellStyle name="Normal 5 23 28" xfId="12240" xr:uid="{00000000-0005-0000-0000-0000EB5A0000}"/>
    <cellStyle name="Normal 5 23 29" xfId="6741" xr:uid="{00000000-0005-0000-0000-0000EC5A0000}"/>
    <cellStyle name="Normal 5 23 3" xfId="27173" xr:uid="{00000000-0005-0000-0000-0000ED5A0000}"/>
    <cellStyle name="Normal 5 23 30" xfId="11126" xr:uid="{00000000-0005-0000-0000-0000EE5A0000}"/>
    <cellStyle name="Normal 5 23 31" xfId="9839" xr:uid="{00000000-0005-0000-0000-0000EF5A0000}"/>
    <cellStyle name="Normal 5 23 32" xfId="11643" xr:uid="{00000000-0005-0000-0000-0000F05A0000}"/>
    <cellStyle name="Normal 5 23 33" xfId="9564" xr:uid="{00000000-0005-0000-0000-0000F15A0000}"/>
    <cellStyle name="Normal 5 23 34" xfId="6134" xr:uid="{00000000-0005-0000-0000-0000F25A0000}"/>
    <cellStyle name="Normal 5 23 35" xfId="10056" xr:uid="{00000000-0005-0000-0000-0000F35A0000}"/>
    <cellStyle name="Normal 5 23 36" xfId="6245" xr:uid="{00000000-0005-0000-0000-0000F45A0000}"/>
    <cellStyle name="Normal 5 23 37" xfId="11762" xr:uid="{00000000-0005-0000-0000-0000F55A0000}"/>
    <cellStyle name="Normal 5 23 38" xfId="7486" xr:uid="{00000000-0005-0000-0000-0000F65A0000}"/>
    <cellStyle name="Normal 5 23 39" xfId="10250" xr:uid="{00000000-0005-0000-0000-0000F75A0000}"/>
    <cellStyle name="Normal 5 23 4" xfId="26576" xr:uid="{00000000-0005-0000-0000-0000F85A0000}"/>
    <cellStyle name="Normal 5 23 40" xfId="8661" xr:uid="{00000000-0005-0000-0000-0000F95A0000}"/>
    <cellStyle name="Normal 5 23 41" xfId="3727" xr:uid="{00000000-0005-0000-0000-0000FA5A0000}"/>
    <cellStyle name="Normal 5 23 42" xfId="11454" xr:uid="{00000000-0005-0000-0000-0000FB5A0000}"/>
    <cellStyle name="Normal 5 23 43" xfId="3720" xr:uid="{00000000-0005-0000-0000-0000FC5A0000}"/>
    <cellStyle name="Normal 5 23 5" xfId="25980" xr:uid="{00000000-0005-0000-0000-0000FD5A0000}"/>
    <cellStyle name="Normal 5 23 6" xfId="25384" xr:uid="{00000000-0005-0000-0000-0000FE5A0000}"/>
    <cellStyle name="Normal 5 23 7" xfId="24787" xr:uid="{00000000-0005-0000-0000-0000FF5A0000}"/>
    <cellStyle name="Normal 5 23 8" xfId="24190" xr:uid="{00000000-0005-0000-0000-0000005B0000}"/>
    <cellStyle name="Normal 5 23 9" xfId="23593" xr:uid="{00000000-0005-0000-0000-0000015B0000}"/>
    <cellStyle name="Normal 5 24" xfId="28369" xr:uid="{00000000-0005-0000-0000-0000025B0000}"/>
    <cellStyle name="Normal 5 24 10" xfId="22995" xr:uid="{00000000-0005-0000-0000-0000035B0000}"/>
    <cellStyle name="Normal 5 24 11" xfId="22398" xr:uid="{00000000-0005-0000-0000-0000045B0000}"/>
    <cellStyle name="Normal 5 24 12" xfId="21802" xr:uid="{00000000-0005-0000-0000-0000055B0000}"/>
    <cellStyle name="Normal 5 24 13" xfId="21205" xr:uid="{00000000-0005-0000-0000-0000065B0000}"/>
    <cellStyle name="Normal 5 24 14" xfId="20608" xr:uid="{00000000-0005-0000-0000-0000075B0000}"/>
    <cellStyle name="Normal 5 24 15" xfId="20011" xr:uid="{00000000-0005-0000-0000-0000085B0000}"/>
    <cellStyle name="Normal 5 24 16" xfId="19415" xr:uid="{00000000-0005-0000-0000-0000095B0000}"/>
    <cellStyle name="Normal 5 24 17" xfId="18819" xr:uid="{00000000-0005-0000-0000-00000A5B0000}"/>
    <cellStyle name="Normal 5 24 18" xfId="18227" xr:uid="{00000000-0005-0000-0000-00000B5B0000}"/>
    <cellStyle name="Normal 5 24 19" xfId="17630" xr:uid="{00000000-0005-0000-0000-00000C5B0000}"/>
    <cellStyle name="Normal 5 24 2" xfId="27769" xr:uid="{00000000-0005-0000-0000-00000D5B0000}"/>
    <cellStyle name="Normal 5 24 20" xfId="17144" xr:uid="{00000000-0005-0000-0000-00000E5B0000}"/>
    <cellStyle name="Normal 5 24 21" xfId="15589" xr:uid="{00000000-0005-0000-0000-00000F5B0000}"/>
    <cellStyle name="Normal 5 24 22" xfId="13548" xr:uid="{00000000-0005-0000-0000-0000105B0000}"/>
    <cellStyle name="Normal 5 24 23" xfId="13398" xr:uid="{00000000-0005-0000-0000-0000115B0000}"/>
    <cellStyle name="Normal 5 24 24" xfId="13911" xr:uid="{00000000-0005-0000-0000-0000125B0000}"/>
    <cellStyle name="Normal 5 24 25" xfId="14208" xr:uid="{00000000-0005-0000-0000-0000135B0000}"/>
    <cellStyle name="Normal 5 24 26" xfId="17468" xr:uid="{00000000-0005-0000-0000-0000145B0000}"/>
    <cellStyle name="Normal 5 24 27" xfId="15454" xr:uid="{00000000-0005-0000-0000-0000155B0000}"/>
    <cellStyle name="Normal 5 24 28" xfId="12239" xr:uid="{00000000-0005-0000-0000-0000165B0000}"/>
    <cellStyle name="Normal 5 24 29" xfId="7871" xr:uid="{00000000-0005-0000-0000-0000175B0000}"/>
    <cellStyle name="Normal 5 24 3" xfId="27172" xr:uid="{00000000-0005-0000-0000-0000185B0000}"/>
    <cellStyle name="Normal 5 24 30" xfId="11345" xr:uid="{00000000-0005-0000-0000-0000195B0000}"/>
    <cellStyle name="Normal 5 24 31" xfId="9874" xr:uid="{00000000-0005-0000-0000-00001A5B0000}"/>
    <cellStyle name="Normal 5 24 32" xfId="9827" xr:uid="{00000000-0005-0000-0000-00001B5B0000}"/>
    <cellStyle name="Normal 5 24 33" xfId="8449" xr:uid="{00000000-0005-0000-0000-00001C5B0000}"/>
    <cellStyle name="Normal 5 24 34" xfId="10542" xr:uid="{00000000-0005-0000-0000-00001D5B0000}"/>
    <cellStyle name="Normal 5 24 35" xfId="6556" xr:uid="{00000000-0005-0000-0000-00001E5B0000}"/>
    <cellStyle name="Normal 5 24 36" xfId="6937" xr:uid="{00000000-0005-0000-0000-00001F5B0000}"/>
    <cellStyle name="Normal 5 24 37" xfId="3737" xr:uid="{00000000-0005-0000-0000-0000205B0000}"/>
    <cellStyle name="Normal 5 24 38" xfId="8401" xr:uid="{00000000-0005-0000-0000-0000215B0000}"/>
    <cellStyle name="Normal 5 24 39" xfId="4496" xr:uid="{00000000-0005-0000-0000-0000225B0000}"/>
    <cellStyle name="Normal 5 24 4" xfId="26575" xr:uid="{00000000-0005-0000-0000-0000235B0000}"/>
    <cellStyle name="Normal 5 24 40" xfId="7440" xr:uid="{00000000-0005-0000-0000-0000245B0000}"/>
    <cellStyle name="Normal 5 24 41" xfId="3528" xr:uid="{00000000-0005-0000-0000-0000255B0000}"/>
    <cellStyle name="Normal 5 24 42" xfId="4821" xr:uid="{00000000-0005-0000-0000-0000265B0000}"/>
    <cellStyle name="Normal 5 24 43" xfId="3201" xr:uid="{00000000-0005-0000-0000-0000275B0000}"/>
    <cellStyle name="Normal 5 24 5" xfId="25979" xr:uid="{00000000-0005-0000-0000-0000285B0000}"/>
    <cellStyle name="Normal 5 24 6" xfId="25383" xr:uid="{00000000-0005-0000-0000-0000295B0000}"/>
    <cellStyle name="Normal 5 24 7" xfId="24786" xr:uid="{00000000-0005-0000-0000-00002A5B0000}"/>
    <cellStyle name="Normal 5 24 8" xfId="24189" xr:uid="{00000000-0005-0000-0000-00002B5B0000}"/>
    <cellStyle name="Normal 5 24 9" xfId="23592" xr:uid="{00000000-0005-0000-0000-00002C5B0000}"/>
    <cellStyle name="Normal 5 25" xfId="28368" xr:uid="{00000000-0005-0000-0000-00002D5B0000}"/>
    <cellStyle name="Normal 5 25 10" xfId="22994" xr:uid="{00000000-0005-0000-0000-00002E5B0000}"/>
    <cellStyle name="Normal 5 25 11" xfId="22397" xr:uid="{00000000-0005-0000-0000-00002F5B0000}"/>
    <cellStyle name="Normal 5 25 12" xfId="21801" xr:uid="{00000000-0005-0000-0000-0000305B0000}"/>
    <cellStyle name="Normal 5 25 13" xfId="21204" xr:uid="{00000000-0005-0000-0000-0000315B0000}"/>
    <cellStyle name="Normal 5 25 14" xfId="20607" xr:uid="{00000000-0005-0000-0000-0000325B0000}"/>
    <cellStyle name="Normal 5 25 15" xfId="20010" xr:uid="{00000000-0005-0000-0000-0000335B0000}"/>
    <cellStyle name="Normal 5 25 16" xfId="19414" xr:uid="{00000000-0005-0000-0000-0000345B0000}"/>
    <cellStyle name="Normal 5 25 17" xfId="18818" xr:uid="{00000000-0005-0000-0000-0000355B0000}"/>
    <cellStyle name="Normal 5 25 18" xfId="18226" xr:uid="{00000000-0005-0000-0000-0000365B0000}"/>
    <cellStyle name="Normal 5 25 19" xfId="17629" xr:uid="{00000000-0005-0000-0000-0000375B0000}"/>
    <cellStyle name="Normal 5 25 2" xfId="27768" xr:uid="{00000000-0005-0000-0000-0000385B0000}"/>
    <cellStyle name="Normal 5 25 20" xfId="17337" xr:uid="{00000000-0005-0000-0000-0000395B0000}"/>
    <cellStyle name="Normal 5 25 21" xfId="15185" xr:uid="{00000000-0005-0000-0000-00003A5B0000}"/>
    <cellStyle name="Normal 5 25 22" xfId="15664" xr:uid="{00000000-0005-0000-0000-00003B5B0000}"/>
    <cellStyle name="Normal 5 25 23" xfId="13824" xr:uid="{00000000-0005-0000-0000-00003C5B0000}"/>
    <cellStyle name="Normal 5 25 24" xfId="16024" xr:uid="{00000000-0005-0000-0000-00003D5B0000}"/>
    <cellStyle name="Normal 5 25 25" xfId="14492" xr:uid="{00000000-0005-0000-0000-00003E5B0000}"/>
    <cellStyle name="Normal 5 25 26" xfId="14510" xr:uid="{00000000-0005-0000-0000-00003F5B0000}"/>
    <cellStyle name="Normal 5 25 27" xfId="14702" xr:uid="{00000000-0005-0000-0000-0000405B0000}"/>
    <cellStyle name="Normal 5 25 28" xfId="12238" xr:uid="{00000000-0005-0000-0000-0000415B0000}"/>
    <cellStyle name="Normal 5 25 29" xfId="7502" xr:uid="{00000000-0005-0000-0000-0000425B0000}"/>
    <cellStyle name="Normal 5 25 3" xfId="27171" xr:uid="{00000000-0005-0000-0000-0000435B0000}"/>
    <cellStyle name="Normal 5 25 30" xfId="11570" xr:uid="{00000000-0005-0000-0000-0000445B0000}"/>
    <cellStyle name="Normal 5 25 31" xfId="5647" xr:uid="{00000000-0005-0000-0000-0000455B0000}"/>
    <cellStyle name="Normal 5 25 32" xfId="9233" xr:uid="{00000000-0005-0000-0000-0000465B0000}"/>
    <cellStyle name="Normal 5 25 33" xfId="6297" xr:uid="{00000000-0005-0000-0000-0000475B0000}"/>
    <cellStyle name="Normal 5 25 34" xfId="8790" xr:uid="{00000000-0005-0000-0000-0000485B0000}"/>
    <cellStyle name="Normal 5 25 35" xfId="10088" xr:uid="{00000000-0005-0000-0000-0000495B0000}"/>
    <cellStyle name="Normal 5 25 36" xfId="11222" xr:uid="{00000000-0005-0000-0000-00004A5B0000}"/>
    <cellStyle name="Normal 5 25 37" xfId="3768" xr:uid="{00000000-0005-0000-0000-00004B5B0000}"/>
    <cellStyle name="Normal 5 25 38" xfId="7370" xr:uid="{00000000-0005-0000-0000-00004C5B0000}"/>
    <cellStyle name="Normal 5 25 39" xfId="4768" xr:uid="{00000000-0005-0000-0000-00004D5B0000}"/>
    <cellStyle name="Normal 5 25 4" xfId="26574" xr:uid="{00000000-0005-0000-0000-00004E5B0000}"/>
    <cellStyle name="Normal 5 25 40" xfId="6272" xr:uid="{00000000-0005-0000-0000-00004F5B0000}"/>
    <cellStyle name="Normal 5 25 41" xfId="7342" xr:uid="{00000000-0005-0000-0000-0000505B0000}"/>
    <cellStyle name="Normal 5 25 42" xfId="5740" xr:uid="{00000000-0005-0000-0000-0000515B0000}"/>
    <cellStyle name="Normal 5 25 43" xfId="3651" xr:uid="{00000000-0005-0000-0000-0000525B0000}"/>
    <cellStyle name="Normal 5 25 5" xfId="25978" xr:uid="{00000000-0005-0000-0000-0000535B0000}"/>
    <cellStyle name="Normal 5 25 6" xfId="25382" xr:uid="{00000000-0005-0000-0000-0000545B0000}"/>
    <cellStyle name="Normal 5 25 7" xfId="24785" xr:uid="{00000000-0005-0000-0000-0000555B0000}"/>
    <cellStyle name="Normal 5 25 8" xfId="24188" xr:uid="{00000000-0005-0000-0000-0000565B0000}"/>
    <cellStyle name="Normal 5 25 9" xfId="23591" xr:uid="{00000000-0005-0000-0000-0000575B0000}"/>
    <cellStyle name="Normal 5 26" xfId="28367" xr:uid="{00000000-0005-0000-0000-0000585B0000}"/>
    <cellStyle name="Normal 5 26 10" xfId="22993" xr:uid="{00000000-0005-0000-0000-0000595B0000}"/>
    <cellStyle name="Normal 5 26 11" xfId="22396" xr:uid="{00000000-0005-0000-0000-00005A5B0000}"/>
    <cellStyle name="Normal 5 26 12" xfId="21800" xr:uid="{00000000-0005-0000-0000-00005B5B0000}"/>
    <cellStyle name="Normal 5 26 13" xfId="21203" xr:uid="{00000000-0005-0000-0000-00005C5B0000}"/>
    <cellStyle name="Normal 5 26 14" xfId="20606" xr:uid="{00000000-0005-0000-0000-00005D5B0000}"/>
    <cellStyle name="Normal 5 26 15" xfId="20009" xr:uid="{00000000-0005-0000-0000-00005E5B0000}"/>
    <cellStyle name="Normal 5 26 16" xfId="19413" xr:uid="{00000000-0005-0000-0000-00005F5B0000}"/>
    <cellStyle name="Normal 5 26 17" xfId="18817" xr:uid="{00000000-0005-0000-0000-0000605B0000}"/>
    <cellStyle name="Normal 5 26 18" xfId="18225" xr:uid="{00000000-0005-0000-0000-0000615B0000}"/>
    <cellStyle name="Normal 5 26 19" xfId="17628" xr:uid="{00000000-0005-0000-0000-0000625B0000}"/>
    <cellStyle name="Normal 5 26 2" xfId="27767" xr:uid="{00000000-0005-0000-0000-0000635B0000}"/>
    <cellStyle name="Normal 5 26 20" xfId="14170" xr:uid="{00000000-0005-0000-0000-0000645B0000}"/>
    <cellStyle name="Normal 5 26 21" xfId="14760" xr:uid="{00000000-0005-0000-0000-0000655B0000}"/>
    <cellStyle name="Normal 5 26 22" xfId="13672" xr:uid="{00000000-0005-0000-0000-0000665B0000}"/>
    <cellStyle name="Normal 5 26 23" xfId="13934" xr:uid="{00000000-0005-0000-0000-0000675B0000}"/>
    <cellStyle name="Normal 5 26 24" xfId="14182" xr:uid="{00000000-0005-0000-0000-0000685B0000}"/>
    <cellStyle name="Normal 5 26 25" xfId="13083" xr:uid="{00000000-0005-0000-0000-0000695B0000}"/>
    <cellStyle name="Normal 5 26 26" xfId="14612" xr:uid="{00000000-0005-0000-0000-00006A5B0000}"/>
    <cellStyle name="Normal 5 26 27" xfId="13163" xr:uid="{00000000-0005-0000-0000-00006B5B0000}"/>
    <cellStyle name="Normal 5 26 28" xfId="12237" xr:uid="{00000000-0005-0000-0000-00006C5B0000}"/>
    <cellStyle name="Normal 5 26 29" xfId="11916" xr:uid="{00000000-0005-0000-0000-00006D5B0000}"/>
    <cellStyle name="Normal 5 26 3" xfId="27170" xr:uid="{00000000-0005-0000-0000-00006E5B0000}"/>
    <cellStyle name="Normal 5 26 30" xfId="6423" xr:uid="{00000000-0005-0000-0000-00006F5B0000}"/>
    <cellStyle name="Normal 5 26 31" xfId="5679" xr:uid="{00000000-0005-0000-0000-0000705B0000}"/>
    <cellStyle name="Normal 5 26 32" xfId="11529" xr:uid="{00000000-0005-0000-0000-0000715B0000}"/>
    <cellStyle name="Normal 5 26 33" xfId="6086" xr:uid="{00000000-0005-0000-0000-0000725B0000}"/>
    <cellStyle name="Normal 5 26 34" xfId="6058" xr:uid="{00000000-0005-0000-0000-0000735B0000}"/>
    <cellStyle name="Normal 5 26 35" xfId="10100" xr:uid="{00000000-0005-0000-0000-0000745B0000}"/>
    <cellStyle name="Normal 5 26 36" xfId="8539" xr:uid="{00000000-0005-0000-0000-0000755B0000}"/>
    <cellStyle name="Normal 5 26 37" xfId="6647" xr:uid="{00000000-0005-0000-0000-0000765B0000}"/>
    <cellStyle name="Normal 5 26 38" xfId="4507" xr:uid="{00000000-0005-0000-0000-0000775B0000}"/>
    <cellStyle name="Normal 5 26 39" xfId="11362" xr:uid="{00000000-0005-0000-0000-0000785B0000}"/>
    <cellStyle name="Normal 5 26 4" xfId="26573" xr:uid="{00000000-0005-0000-0000-0000795B0000}"/>
    <cellStyle name="Normal 5 26 40" xfId="6947" xr:uid="{00000000-0005-0000-0000-00007A5B0000}"/>
    <cellStyle name="Normal 5 26 41" xfId="3636" xr:uid="{00000000-0005-0000-0000-00007B5B0000}"/>
    <cellStyle name="Normal 5 26 42" xfId="7126" xr:uid="{00000000-0005-0000-0000-00007C5B0000}"/>
    <cellStyle name="Normal 5 26 43" xfId="5642" xr:uid="{00000000-0005-0000-0000-00007D5B0000}"/>
    <cellStyle name="Normal 5 26 5" xfId="25977" xr:uid="{00000000-0005-0000-0000-00007E5B0000}"/>
    <cellStyle name="Normal 5 26 6" xfId="25381" xr:uid="{00000000-0005-0000-0000-00007F5B0000}"/>
    <cellStyle name="Normal 5 26 7" xfId="24784" xr:uid="{00000000-0005-0000-0000-0000805B0000}"/>
    <cellStyle name="Normal 5 26 8" xfId="24187" xr:uid="{00000000-0005-0000-0000-0000815B0000}"/>
    <cellStyle name="Normal 5 26 9" xfId="23590" xr:uid="{00000000-0005-0000-0000-0000825B0000}"/>
    <cellStyle name="Normal 5 27" xfId="27785" xr:uid="{00000000-0005-0000-0000-0000835B0000}"/>
    <cellStyle name="Normal 5 28" xfId="27188" xr:uid="{00000000-0005-0000-0000-0000845B0000}"/>
    <cellStyle name="Normal 5 29" xfId="26591" xr:uid="{00000000-0005-0000-0000-0000855B0000}"/>
    <cellStyle name="Normal 5 3" xfId="28366" xr:uid="{00000000-0005-0000-0000-0000865B0000}"/>
    <cellStyle name="Normal 5 3 10" xfId="22992" xr:uid="{00000000-0005-0000-0000-0000875B0000}"/>
    <cellStyle name="Normal 5 3 11" xfId="22395" xr:uid="{00000000-0005-0000-0000-0000885B0000}"/>
    <cellStyle name="Normal 5 3 12" xfId="21799" xr:uid="{00000000-0005-0000-0000-0000895B0000}"/>
    <cellStyle name="Normal 5 3 13" xfId="21202" xr:uid="{00000000-0005-0000-0000-00008A5B0000}"/>
    <cellStyle name="Normal 5 3 14" xfId="20605" xr:uid="{00000000-0005-0000-0000-00008B5B0000}"/>
    <cellStyle name="Normal 5 3 15" xfId="20008" xr:uid="{00000000-0005-0000-0000-00008C5B0000}"/>
    <cellStyle name="Normal 5 3 16" xfId="19412" xr:uid="{00000000-0005-0000-0000-00008D5B0000}"/>
    <cellStyle name="Normal 5 3 17" xfId="18816" xr:uid="{00000000-0005-0000-0000-00008E5B0000}"/>
    <cellStyle name="Normal 5 3 18" xfId="18224" xr:uid="{00000000-0005-0000-0000-00008F5B0000}"/>
    <cellStyle name="Normal 5 3 19" xfId="17627" xr:uid="{00000000-0005-0000-0000-0000905B0000}"/>
    <cellStyle name="Normal 5 3 2" xfId="27766" xr:uid="{00000000-0005-0000-0000-0000915B0000}"/>
    <cellStyle name="Normal 5 3 20" xfId="14359" xr:uid="{00000000-0005-0000-0000-0000925B0000}"/>
    <cellStyle name="Normal 5 3 21" xfId="13981" xr:uid="{00000000-0005-0000-0000-0000935B0000}"/>
    <cellStyle name="Normal 5 3 22" xfId="13811" xr:uid="{00000000-0005-0000-0000-0000945B0000}"/>
    <cellStyle name="Normal 5 3 23" xfId="16429" xr:uid="{00000000-0005-0000-0000-0000955B0000}"/>
    <cellStyle name="Normal 5 3 24" xfId="14577" xr:uid="{00000000-0005-0000-0000-0000965B0000}"/>
    <cellStyle name="Normal 5 3 25" xfId="16901" xr:uid="{00000000-0005-0000-0000-0000975B0000}"/>
    <cellStyle name="Normal 5 3 26" xfId="15230" xr:uid="{00000000-0005-0000-0000-0000985B0000}"/>
    <cellStyle name="Normal 5 3 27" xfId="15969" xr:uid="{00000000-0005-0000-0000-0000995B0000}"/>
    <cellStyle name="Normal 5 3 28" xfId="12236" xr:uid="{00000000-0005-0000-0000-00009A5B0000}"/>
    <cellStyle name="Normal 5 3 29" xfId="8096" xr:uid="{00000000-0005-0000-0000-00009B5B0000}"/>
    <cellStyle name="Normal 5 3 3" xfId="27169" xr:uid="{00000000-0005-0000-0000-00009C5B0000}"/>
    <cellStyle name="Normal 5 3 30" xfId="7764" xr:uid="{00000000-0005-0000-0000-00009D5B0000}"/>
    <cellStyle name="Normal 5 3 31" xfId="7330" xr:uid="{00000000-0005-0000-0000-00009E5B0000}"/>
    <cellStyle name="Normal 5 3 32" xfId="11842" xr:uid="{00000000-0005-0000-0000-00009F5B0000}"/>
    <cellStyle name="Normal 5 3 33" xfId="12027" xr:uid="{00000000-0005-0000-0000-0000A05B0000}"/>
    <cellStyle name="Normal 5 3 34" xfId="5343" xr:uid="{00000000-0005-0000-0000-0000A15B0000}"/>
    <cellStyle name="Normal 5 3 35" xfId="10924" xr:uid="{00000000-0005-0000-0000-0000A25B0000}"/>
    <cellStyle name="Normal 5 3 36" xfId="4580" xr:uid="{00000000-0005-0000-0000-0000A35B0000}"/>
    <cellStyle name="Normal 5 3 37" xfId="4503" xr:uid="{00000000-0005-0000-0000-0000A45B0000}"/>
    <cellStyle name="Normal 5 3 38" xfId="7877" xr:uid="{00000000-0005-0000-0000-0000A55B0000}"/>
    <cellStyle name="Normal 5 3 39" xfId="6631" xr:uid="{00000000-0005-0000-0000-0000A65B0000}"/>
    <cellStyle name="Normal 5 3 4" xfId="26572" xr:uid="{00000000-0005-0000-0000-0000A75B0000}"/>
    <cellStyle name="Normal 5 3 40" xfId="11113" xr:uid="{00000000-0005-0000-0000-0000A85B0000}"/>
    <cellStyle name="Normal 5 3 41" xfId="9130" xr:uid="{00000000-0005-0000-0000-0000A95B0000}"/>
    <cellStyle name="Normal 5 3 42" xfId="7118" xr:uid="{00000000-0005-0000-0000-0000AA5B0000}"/>
    <cellStyle name="Normal 5 3 43" xfId="3882" xr:uid="{00000000-0005-0000-0000-0000AB5B0000}"/>
    <cellStyle name="Normal 5 3 44" xfId="2885" xr:uid="{00000000-0005-0000-0000-0000AC5B0000}"/>
    <cellStyle name="Normal 5 3 45" xfId="2642" xr:uid="{00000000-0005-0000-0000-0000AD5B0000}"/>
    <cellStyle name="Normal 5 3 46" xfId="2402" xr:uid="{00000000-0005-0000-0000-0000AE5B0000}"/>
    <cellStyle name="Normal 5 3 47" xfId="2162" xr:uid="{00000000-0005-0000-0000-0000AF5B0000}"/>
    <cellStyle name="Normal 5 3 48" xfId="1922" xr:uid="{00000000-0005-0000-0000-0000B05B0000}"/>
    <cellStyle name="Normal 5 3 49" xfId="1682" xr:uid="{00000000-0005-0000-0000-0000B15B0000}"/>
    <cellStyle name="Normal 5 3 5" xfId="25976" xr:uid="{00000000-0005-0000-0000-0000B25B0000}"/>
    <cellStyle name="Normal 5 3 50" xfId="1443" xr:uid="{00000000-0005-0000-0000-0000B35B0000}"/>
    <cellStyle name="Normal 5 3 51" xfId="1203" xr:uid="{00000000-0005-0000-0000-0000B45B0000}"/>
    <cellStyle name="Normal 5 3 52" xfId="963" xr:uid="{00000000-0005-0000-0000-0000B55B0000}"/>
    <cellStyle name="Normal 5 3 53" xfId="723" xr:uid="{00000000-0005-0000-0000-0000B65B0000}"/>
    <cellStyle name="Normal 5 3 54" xfId="483" xr:uid="{00000000-0005-0000-0000-0000B75B0000}"/>
    <cellStyle name="Normal 5 3 55" xfId="244" xr:uid="{00000000-0005-0000-0000-0000B85B0000}"/>
    <cellStyle name="Normal 5 3 56" xfId="6" xr:uid="{00000000-0005-0000-0000-0000B95B0000}"/>
    <cellStyle name="Normal 5 3 6" xfId="25380" xr:uid="{00000000-0005-0000-0000-0000BA5B0000}"/>
    <cellStyle name="Normal 5 3 7" xfId="24783" xr:uid="{00000000-0005-0000-0000-0000BB5B0000}"/>
    <cellStyle name="Normal 5 3 8" xfId="24186" xr:uid="{00000000-0005-0000-0000-0000BC5B0000}"/>
    <cellStyle name="Normal 5 3 9" xfId="23589" xr:uid="{00000000-0005-0000-0000-0000BD5B0000}"/>
    <cellStyle name="Normal 5 30" xfId="25995" xr:uid="{00000000-0005-0000-0000-0000BE5B0000}"/>
    <cellStyle name="Normal 5 31" xfId="25399" xr:uid="{00000000-0005-0000-0000-0000BF5B0000}"/>
    <cellStyle name="Normal 5 32" xfId="24802" xr:uid="{00000000-0005-0000-0000-0000C05B0000}"/>
    <cellStyle name="Normal 5 33" xfId="24205" xr:uid="{00000000-0005-0000-0000-0000C15B0000}"/>
    <cellStyle name="Normal 5 34" xfId="23608" xr:uid="{00000000-0005-0000-0000-0000C25B0000}"/>
    <cellStyle name="Normal 5 35" xfId="23011" xr:uid="{00000000-0005-0000-0000-0000C35B0000}"/>
    <cellStyle name="Normal 5 36" xfId="22414" xr:uid="{00000000-0005-0000-0000-0000C45B0000}"/>
    <cellStyle name="Normal 5 37" xfId="21818" xr:uid="{00000000-0005-0000-0000-0000C55B0000}"/>
    <cellStyle name="Normal 5 38" xfId="21221" xr:uid="{00000000-0005-0000-0000-0000C65B0000}"/>
    <cellStyle name="Normal 5 39" xfId="20624" xr:uid="{00000000-0005-0000-0000-0000C75B0000}"/>
    <cellStyle name="Normal 5 4" xfId="28365" xr:uid="{00000000-0005-0000-0000-0000C85B0000}"/>
    <cellStyle name="Normal 5 4 10" xfId="22991" xr:uid="{00000000-0005-0000-0000-0000C95B0000}"/>
    <cellStyle name="Normal 5 4 11" xfId="22394" xr:uid="{00000000-0005-0000-0000-0000CA5B0000}"/>
    <cellStyle name="Normal 5 4 12" xfId="21798" xr:uid="{00000000-0005-0000-0000-0000CB5B0000}"/>
    <cellStyle name="Normal 5 4 13" xfId="21201" xr:uid="{00000000-0005-0000-0000-0000CC5B0000}"/>
    <cellStyle name="Normal 5 4 14" xfId="20604" xr:uid="{00000000-0005-0000-0000-0000CD5B0000}"/>
    <cellStyle name="Normal 5 4 15" xfId="20007" xr:uid="{00000000-0005-0000-0000-0000CE5B0000}"/>
    <cellStyle name="Normal 5 4 16" xfId="19411" xr:uid="{00000000-0005-0000-0000-0000CF5B0000}"/>
    <cellStyle name="Normal 5 4 17" xfId="18815" xr:uid="{00000000-0005-0000-0000-0000D05B0000}"/>
    <cellStyle name="Normal 5 4 18" xfId="18223" xr:uid="{00000000-0005-0000-0000-0000D15B0000}"/>
    <cellStyle name="Normal 5 4 19" xfId="17626" xr:uid="{00000000-0005-0000-0000-0000D25B0000}"/>
    <cellStyle name="Normal 5 4 2" xfId="27765" xr:uid="{00000000-0005-0000-0000-0000D35B0000}"/>
    <cellStyle name="Normal 5 4 20" xfId="14550" xr:uid="{00000000-0005-0000-0000-0000D45B0000}"/>
    <cellStyle name="Normal 5 4 21" xfId="17511" xr:uid="{00000000-0005-0000-0000-0000D55B0000}"/>
    <cellStyle name="Normal 5 4 22" xfId="16889" xr:uid="{00000000-0005-0000-0000-0000D65B0000}"/>
    <cellStyle name="Normal 5 4 23" xfId="15423" xr:uid="{00000000-0005-0000-0000-0000D75B0000}"/>
    <cellStyle name="Normal 5 4 24" xfId="13779" xr:uid="{00000000-0005-0000-0000-0000D85B0000}"/>
    <cellStyle name="Normal 5 4 25" xfId="16426" xr:uid="{00000000-0005-0000-0000-0000D95B0000}"/>
    <cellStyle name="Normal 5 4 26" xfId="14051" xr:uid="{00000000-0005-0000-0000-0000DA5B0000}"/>
    <cellStyle name="Normal 5 4 27" xfId="16108" xr:uid="{00000000-0005-0000-0000-0000DB5B0000}"/>
    <cellStyle name="Normal 5 4 28" xfId="12235" xr:uid="{00000000-0005-0000-0000-0000DC5B0000}"/>
    <cellStyle name="Normal 5 4 29" xfId="8304" xr:uid="{00000000-0005-0000-0000-0000DD5B0000}"/>
    <cellStyle name="Normal 5 4 3" xfId="27168" xr:uid="{00000000-0005-0000-0000-0000DE5B0000}"/>
    <cellStyle name="Normal 5 4 30" xfId="7615" xr:uid="{00000000-0005-0000-0000-0000DF5B0000}"/>
    <cellStyle name="Normal 5 4 31" xfId="9041" xr:uid="{00000000-0005-0000-0000-0000E05B0000}"/>
    <cellStyle name="Normal 5 4 32" xfId="6957" xr:uid="{00000000-0005-0000-0000-0000E15B0000}"/>
    <cellStyle name="Normal 5 4 33" xfId="5616" xr:uid="{00000000-0005-0000-0000-0000E25B0000}"/>
    <cellStyle name="Normal 5 4 34" xfId="7464" xr:uid="{00000000-0005-0000-0000-0000E35B0000}"/>
    <cellStyle name="Normal 5 4 35" xfId="4217" xr:uid="{00000000-0005-0000-0000-0000E45B0000}"/>
    <cellStyle name="Normal 5 4 36" xfId="4092" xr:uid="{00000000-0005-0000-0000-0000E55B0000}"/>
    <cellStyle name="Normal 5 4 37" xfId="3974" xr:uid="{00000000-0005-0000-0000-0000E65B0000}"/>
    <cellStyle name="Normal 5 4 38" xfId="4125" xr:uid="{00000000-0005-0000-0000-0000E75B0000}"/>
    <cellStyle name="Normal 5 4 39" xfId="4647" xr:uid="{00000000-0005-0000-0000-0000E85B0000}"/>
    <cellStyle name="Normal 5 4 4" xfId="26571" xr:uid="{00000000-0005-0000-0000-0000E95B0000}"/>
    <cellStyle name="Normal 5 4 40" xfId="6742" xr:uid="{00000000-0005-0000-0000-0000EA5B0000}"/>
    <cellStyle name="Normal 5 4 41" xfId="11623" xr:uid="{00000000-0005-0000-0000-0000EB5B0000}"/>
    <cellStyle name="Normal 5 4 42" xfId="3831" xr:uid="{00000000-0005-0000-0000-0000EC5B0000}"/>
    <cellStyle name="Normal 5 4 43" xfId="3100" xr:uid="{00000000-0005-0000-0000-0000ED5B0000}"/>
    <cellStyle name="Normal 5 4 44" xfId="2884" xr:uid="{00000000-0005-0000-0000-0000EE5B0000}"/>
    <cellStyle name="Normal 5 4 45" xfId="2641" xr:uid="{00000000-0005-0000-0000-0000EF5B0000}"/>
    <cellStyle name="Normal 5 4 46" xfId="2401" xr:uid="{00000000-0005-0000-0000-0000F05B0000}"/>
    <cellStyle name="Normal 5 4 47" xfId="2161" xr:uid="{00000000-0005-0000-0000-0000F15B0000}"/>
    <cellStyle name="Normal 5 4 48" xfId="1921" xr:uid="{00000000-0005-0000-0000-0000F25B0000}"/>
    <cellStyle name="Normal 5 4 49" xfId="1681" xr:uid="{00000000-0005-0000-0000-0000F35B0000}"/>
    <cellStyle name="Normal 5 4 5" xfId="25975" xr:uid="{00000000-0005-0000-0000-0000F45B0000}"/>
    <cellStyle name="Normal 5 4 50" xfId="1442" xr:uid="{00000000-0005-0000-0000-0000F55B0000}"/>
    <cellStyle name="Normal 5 4 51" xfId="1202" xr:uid="{00000000-0005-0000-0000-0000F65B0000}"/>
    <cellStyle name="Normal 5 4 52" xfId="962" xr:uid="{00000000-0005-0000-0000-0000F75B0000}"/>
    <cellStyle name="Normal 5 4 53" xfId="722" xr:uid="{00000000-0005-0000-0000-0000F85B0000}"/>
    <cellStyle name="Normal 5 4 54" xfId="482" xr:uid="{00000000-0005-0000-0000-0000F95B0000}"/>
    <cellStyle name="Normal 5 4 55" xfId="243" xr:uid="{00000000-0005-0000-0000-0000FA5B0000}"/>
    <cellStyle name="Normal 5 4 56" xfId="5" xr:uid="{00000000-0005-0000-0000-0000FB5B0000}"/>
    <cellStyle name="Normal 5 4 6" xfId="25379" xr:uid="{00000000-0005-0000-0000-0000FC5B0000}"/>
    <cellStyle name="Normal 5 4 7" xfId="24782" xr:uid="{00000000-0005-0000-0000-0000FD5B0000}"/>
    <cellStyle name="Normal 5 4 8" xfId="24185" xr:uid="{00000000-0005-0000-0000-0000FE5B0000}"/>
    <cellStyle name="Normal 5 4 9" xfId="23588" xr:uid="{00000000-0005-0000-0000-0000FF5B0000}"/>
    <cellStyle name="Normal 5 40" xfId="20027" xr:uid="{00000000-0005-0000-0000-0000005C0000}"/>
    <cellStyle name="Normal 5 41" xfId="19431" xr:uid="{00000000-0005-0000-0000-0000015C0000}"/>
    <cellStyle name="Normal 5 42" xfId="18835" xr:uid="{00000000-0005-0000-0000-0000025C0000}"/>
    <cellStyle name="Normal 5 43" xfId="18243" xr:uid="{00000000-0005-0000-0000-0000035C0000}"/>
    <cellStyle name="Normal 5 44" xfId="17646" xr:uid="{00000000-0005-0000-0000-0000045C0000}"/>
    <cellStyle name="Normal 5 45" xfId="17336" xr:uid="{00000000-0005-0000-0000-0000055C0000}"/>
    <cellStyle name="Normal 5 46" xfId="15375" xr:uid="{00000000-0005-0000-0000-0000065C0000}"/>
    <cellStyle name="Normal 5 47" xfId="13810" xr:uid="{00000000-0005-0000-0000-0000075C0000}"/>
    <cellStyle name="Normal 5 48" xfId="15795" xr:uid="{00000000-0005-0000-0000-0000085C0000}"/>
    <cellStyle name="Normal 5 49" xfId="15643" xr:uid="{00000000-0005-0000-0000-0000095C0000}"/>
    <cellStyle name="Normal 5 5" xfId="28364" xr:uid="{00000000-0005-0000-0000-00000A5C0000}"/>
    <cellStyle name="Normal 5 5 10" xfId="22990" xr:uid="{00000000-0005-0000-0000-00000B5C0000}"/>
    <cellStyle name="Normal 5 5 11" xfId="22393" xr:uid="{00000000-0005-0000-0000-00000C5C0000}"/>
    <cellStyle name="Normal 5 5 12" xfId="21797" xr:uid="{00000000-0005-0000-0000-00000D5C0000}"/>
    <cellStyle name="Normal 5 5 13" xfId="21200" xr:uid="{00000000-0005-0000-0000-00000E5C0000}"/>
    <cellStyle name="Normal 5 5 14" xfId="20603" xr:uid="{00000000-0005-0000-0000-00000F5C0000}"/>
    <cellStyle name="Normal 5 5 15" xfId="20006" xr:uid="{00000000-0005-0000-0000-0000105C0000}"/>
    <cellStyle name="Normal 5 5 16" xfId="19410" xr:uid="{00000000-0005-0000-0000-0000115C0000}"/>
    <cellStyle name="Normal 5 5 17" xfId="18814" xr:uid="{00000000-0005-0000-0000-0000125C0000}"/>
    <cellStyle name="Normal 5 5 18" xfId="18222" xr:uid="{00000000-0005-0000-0000-0000135C0000}"/>
    <cellStyle name="Normal 5 5 19" xfId="17625" xr:uid="{00000000-0005-0000-0000-0000145C0000}"/>
    <cellStyle name="Normal 5 5 2" xfId="27764" xr:uid="{00000000-0005-0000-0000-0000155C0000}"/>
    <cellStyle name="Normal 5 5 20" xfId="14746" xr:uid="{00000000-0005-0000-0000-0000165C0000}"/>
    <cellStyle name="Normal 5 5 21" xfId="17499" xr:uid="{00000000-0005-0000-0000-0000175C0000}"/>
    <cellStyle name="Normal 5 5 22" xfId="16104" xr:uid="{00000000-0005-0000-0000-0000185C0000}"/>
    <cellStyle name="Normal 5 5 23" xfId="16165" xr:uid="{00000000-0005-0000-0000-0000195C0000}"/>
    <cellStyle name="Normal 5 5 24" xfId="13764" xr:uid="{00000000-0005-0000-0000-00001A5C0000}"/>
    <cellStyle name="Normal 5 5 25" xfId="15121" xr:uid="{00000000-0005-0000-0000-00001B5C0000}"/>
    <cellStyle name="Normal 5 5 26" xfId="14108" xr:uid="{00000000-0005-0000-0000-00001C5C0000}"/>
    <cellStyle name="Normal 5 5 27" xfId="13728" xr:uid="{00000000-0005-0000-0000-00001D5C0000}"/>
    <cellStyle name="Normal 5 5 28" xfId="12234" xr:uid="{00000000-0005-0000-0000-00001E5C0000}"/>
    <cellStyle name="Normal 5 5 29" xfId="8519" xr:uid="{00000000-0005-0000-0000-00001F5C0000}"/>
    <cellStyle name="Normal 5 5 3" xfId="27167" xr:uid="{00000000-0005-0000-0000-0000205C0000}"/>
    <cellStyle name="Normal 5 5 30" xfId="7367" xr:uid="{00000000-0005-0000-0000-0000215C0000}"/>
    <cellStyle name="Normal 5 5 31" xfId="9666" xr:uid="{00000000-0005-0000-0000-0000225C0000}"/>
    <cellStyle name="Normal 5 5 32" xfId="6802" xr:uid="{00000000-0005-0000-0000-0000235C0000}"/>
    <cellStyle name="Normal 5 5 33" xfId="4930" xr:uid="{00000000-0005-0000-0000-0000245C0000}"/>
    <cellStyle name="Normal 5 5 34" xfId="11388" xr:uid="{00000000-0005-0000-0000-0000255C0000}"/>
    <cellStyle name="Normal 5 5 35" xfId="10491" xr:uid="{00000000-0005-0000-0000-0000265C0000}"/>
    <cellStyle name="Normal 5 5 36" xfId="5375" xr:uid="{00000000-0005-0000-0000-0000275C0000}"/>
    <cellStyle name="Normal 5 5 37" xfId="4335" xr:uid="{00000000-0005-0000-0000-0000285C0000}"/>
    <cellStyle name="Normal 5 5 38" xfId="4709" xr:uid="{00000000-0005-0000-0000-0000295C0000}"/>
    <cellStyle name="Normal 5 5 39" xfId="6694" xr:uid="{00000000-0005-0000-0000-00002A5C0000}"/>
    <cellStyle name="Normal 5 5 4" xfId="26570" xr:uid="{00000000-0005-0000-0000-00002B5C0000}"/>
    <cellStyle name="Normal 5 5 40" xfId="3377" xr:uid="{00000000-0005-0000-0000-00002C5C0000}"/>
    <cellStyle name="Normal 5 5 41" xfId="7439" xr:uid="{00000000-0005-0000-0000-00002D5C0000}"/>
    <cellStyle name="Normal 5 5 42" xfId="3272" xr:uid="{00000000-0005-0000-0000-00002E5C0000}"/>
    <cellStyle name="Normal 5 5 43" xfId="4972" xr:uid="{00000000-0005-0000-0000-00002F5C0000}"/>
    <cellStyle name="Normal 5 5 44" xfId="2883" xr:uid="{00000000-0005-0000-0000-0000305C0000}"/>
    <cellStyle name="Normal 5 5 45" xfId="2640" xr:uid="{00000000-0005-0000-0000-0000315C0000}"/>
    <cellStyle name="Normal 5 5 46" xfId="2400" xr:uid="{00000000-0005-0000-0000-0000325C0000}"/>
    <cellStyle name="Normal 5 5 47" xfId="2160" xr:uid="{00000000-0005-0000-0000-0000335C0000}"/>
    <cellStyle name="Normal 5 5 48" xfId="1920" xr:uid="{00000000-0005-0000-0000-0000345C0000}"/>
    <cellStyle name="Normal 5 5 49" xfId="1680" xr:uid="{00000000-0005-0000-0000-0000355C0000}"/>
    <cellStyle name="Normal 5 5 5" xfId="25974" xr:uid="{00000000-0005-0000-0000-0000365C0000}"/>
    <cellStyle name="Normal 5 5 50" xfId="1441" xr:uid="{00000000-0005-0000-0000-0000375C0000}"/>
    <cellStyle name="Normal 5 5 51" xfId="1201" xr:uid="{00000000-0005-0000-0000-0000385C0000}"/>
    <cellStyle name="Normal 5 5 52" xfId="961" xr:uid="{00000000-0005-0000-0000-0000395C0000}"/>
    <cellStyle name="Normal 5 5 53" xfId="721" xr:uid="{00000000-0005-0000-0000-00003A5C0000}"/>
    <cellStyle name="Normal 5 5 54" xfId="481" xr:uid="{00000000-0005-0000-0000-00003B5C0000}"/>
    <cellStyle name="Normal 5 5 55" xfId="242" xr:uid="{00000000-0005-0000-0000-00003C5C0000}"/>
    <cellStyle name="Normal 5 5 56" xfId="4" xr:uid="{00000000-0005-0000-0000-00003D5C0000}"/>
    <cellStyle name="Normal 5 5 6" xfId="25378" xr:uid="{00000000-0005-0000-0000-00003E5C0000}"/>
    <cellStyle name="Normal 5 5 7" xfId="24781" xr:uid="{00000000-0005-0000-0000-00003F5C0000}"/>
    <cellStyle name="Normal 5 5 8" xfId="24184" xr:uid="{00000000-0005-0000-0000-0000405C0000}"/>
    <cellStyle name="Normal 5 5 9" xfId="23587" xr:uid="{00000000-0005-0000-0000-0000415C0000}"/>
    <cellStyle name="Normal 5 50" xfId="16892" xr:uid="{00000000-0005-0000-0000-0000425C0000}"/>
    <cellStyle name="Normal 5 51" xfId="12940" xr:uid="{00000000-0005-0000-0000-0000435C0000}"/>
    <cellStyle name="Normal 5 52" xfId="12740" xr:uid="{00000000-0005-0000-0000-0000445C0000}"/>
    <cellStyle name="Normal 5 53" xfId="12255" xr:uid="{00000000-0005-0000-0000-0000455C0000}"/>
    <cellStyle name="Normal 5 54" xfId="9660" xr:uid="{00000000-0005-0000-0000-0000465C0000}"/>
    <cellStyle name="Normal 5 55" xfId="5866" xr:uid="{00000000-0005-0000-0000-0000475C0000}"/>
    <cellStyle name="Normal 5 56" xfId="11626" xr:uid="{00000000-0005-0000-0000-0000485C0000}"/>
    <cellStyle name="Normal 5 57" xfId="5634" xr:uid="{00000000-0005-0000-0000-0000495C0000}"/>
    <cellStyle name="Normal 5 58" xfId="7582" xr:uid="{00000000-0005-0000-0000-00004A5C0000}"/>
    <cellStyle name="Normal 5 59" xfId="4907" xr:uid="{00000000-0005-0000-0000-00004B5C0000}"/>
    <cellStyle name="Normal 5 6" xfId="28363" xr:uid="{00000000-0005-0000-0000-00004C5C0000}"/>
    <cellStyle name="Normal 5 6 10" xfId="22989" xr:uid="{00000000-0005-0000-0000-00004D5C0000}"/>
    <cellStyle name="Normal 5 6 11" xfId="22392" xr:uid="{00000000-0005-0000-0000-00004E5C0000}"/>
    <cellStyle name="Normal 5 6 12" xfId="21796" xr:uid="{00000000-0005-0000-0000-00004F5C0000}"/>
    <cellStyle name="Normal 5 6 13" xfId="21199" xr:uid="{00000000-0005-0000-0000-0000505C0000}"/>
    <cellStyle name="Normal 5 6 14" xfId="20602" xr:uid="{00000000-0005-0000-0000-0000515C0000}"/>
    <cellStyle name="Normal 5 6 15" xfId="20005" xr:uid="{00000000-0005-0000-0000-0000525C0000}"/>
    <cellStyle name="Normal 5 6 16" xfId="19409" xr:uid="{00000000-0005-0000-0000-0000535C0000}"/>
    <cellStyle name="Normal 5 6 17" xfId="18813" xr:uid="{00000000-0005-0000-0000-0000545C0000}"/>
    <cellStyle name="Normal 5 6 18" xfId="18221" xr:uid="{00000000-0005-0000-0000-0000555C0000}"/>
    <cellStyle name="Normal 5 6 19" xfId="17624" xr:uid="{00000000-0005-0000-0000-0000565C0000}"/>
    <cellStyle name="Normal 5 6 2" xfId="27763" xr:uid="{00000000-0005-0000-0000-0000575C0000}"/>
    <cellStyle name="Normal 5 6 20" xfId="14949" xr:uid="{00000000-0005-0000-0000-0000585C0000}"/>
    <cellStyle name="Normal 5 6 21" xfId="17493" xr:uid="{00000000-0005-0000-0000-0000595C0000}"/>
    <cellStyle name="Normal 5 6 22" xfId="16498" xr:uid="{00000000-0005-0000-0000-00005A5C0000}"/>
    <cellStyle name="Normal 5 6 23" xfId="14718" xr:uid="{00000000-0005-0000-0000-00005B5C0000}"/>
    <cellStyle name="Normal 5 6 24" xfId="15503" xr:uid="{00000000-0005-0000-0000-00005C5C0000}"/>
    <cellStyle name="Normal 5 6 25" xfId="13424" xr:uid="{00000000-0005-0000-0000-00005D5C0000}"/>
    <cellStyle name="Normal 5 6 26" xfId="12964" xr:uid="{00000000-0005-0000-0000-00005E5C0000}"/>
    <cellStyle name="Normal 5 6 27" xfId="12727" xr:uid="{00000000-0005-0000-0000-00005F5C0000}"/>
    <cellStyle name="Normal 5 6 28" xfId="12233" xr:uid="{00000000-0005-0000-0000-0000605C0000}"/>
    <cellStyle name="Normal 5 6 29" xfId="8735" xr:uid="{00000000-0005-0000-0000-0000615C0000}"/>
    <cellStyle name="Normal 5 6 3" xfId="27166" xr:uid="{00000000-0005-0000-0000-0000625C0000}"/>
    <cellStyle name="Normal 5 6 30" xfId="7087" xr:uid="{00000000-0005-0000-0000-0000635C0000}"/>
    <cellStyle name="Normal 5 6 31" xfId="8231" xr:uid="{00000000-0005-0000-0000-0000645C0000}"/>
    <cellStyle name="Normal 5 6 32" xfId="6271" xr:uid="{00000000-0005-0000-0000-0000655C0000}"/>
    <cellStyle name="Normal 5 6 33" xfId="11491" xr:uid="{00000000-0005-0000-0000-0000665C0000}"/>
    <cellStyle name="Normal 5 6 34" xfId="8626" xr:uid="{00000000-0005-0000-0000-0000675C0000}"/>
    <cellStyle name="Normal 5 6 35" xfId="6810" xr:uid="{00000000-0005-0000-0000-0000685C0000}"/>
    <cellStyle name="Normal 5 6 36" xfId="4727" xr:uid="{00000000-0005-0000-0000-0000695C0000}"/>
    <cellStyle name="Normal 5 6 37" xfId="6972" xr:uid="{00000000-0005-0000-0000-00006A5C0000}"/>
    <cellStyle name="Normal 5 6 38" xfId="5909" xr:uid="{00000000-0005-0000-0000-00006B5C0000}"/>
    <cellStyle name="Normal 5 6 39" xfId="10006" xr:uid="{00000000-0005-0000-0000-00006C5C0000}"/>
    <cellStyle name="Normal 5 6 4" xfId="26569" xr:uid="{00000000-0005-0000-0000-00006D5C0000}"/>
    <cellStyle name="Normal 5 6 40" xfId="9607" xr:uid="{00000000-0005-0000-0000-00006E5C0000}"/>
    <cellStyle name="Normal 5 6 41" xfId="5034" xr:uid="{00000000-0005-0000-0000-00006F5C0000}"/>
    <cellStyle name="Normal 5 6 42" xfId="11393" xr:uid="{00000000-0005-0000-0000-0000705C0000}"/>
    <cellStyle name="Normal 5 6 43" xfId="3083" xr:uid="{00000000-0005-0000-0000-0000715C0000}"/>
    <cellStyle name="Normal 5 6 44" xfId="2882" xr:uid="{00000000-0005-0000-0000-0000725C0000}"/>
    <cellStyle name="Normal 5 6 45" xfId="2639" xr:uid="{00000000-0005-0000-0000-0000735C0000}"/>
    <cellStyle name="Normal 5 6 46" xfId="2399" xr:uid="{00000000-0005-0000-0000-0000745C0000}"/>
    <cellStyle name="Normal 5 6 47" xfId="2159" xr:uid="{00000000-0005-0000-0000-0000755C0000}"/>
    <cellStyle name="Normal 5 6 48" xfId="1919" xr:uid="{00000000-0005-0000-0000-0000765C0000}"/>
    <cellStyle name="Normal 5 6 49" xfId="1679" xr:uid="{00000000-0005-0000-0000-0000775C0000}"/>
    <cellStyle name="Normal 5 6 5" xfId="25973" xr:uid="{00000000-0005-0000-0000-0000785C0000}"/>
    <cellStyle name="Normal 5 6 50" xfId="1440" xr:uid="{00000000-0005-0000-0000-0000795C0000}"/>
    <cellStyle name="Normal 5 6 51" xfId="1200" xr:uid="{00000000-0005-0000-0000-00007A5C0000}"/>
    <cellStyle name="Normal 5 6 52" xfId="960" xr:uid="{00000000-0005-0000-0000-00007B5C0000}"/>
    <cellStyle name="Normal 5 6 53" xfId="720" xr:uid="{00000000-0005-0000-0000-00007C5C0000}"/>
    <cellStyle name="Normal 5 6 54" xfId="480" xr:uid="{00000000-0005-0000-0000-00007D5C0000}"/>
    <cellStyle name="Normal 5 6 55" xfId="241" xr:uid="{00000000-0005-0000-0000-00007E5C0000}"/>
    <cellStyle name="Normal 5 6 56" xfId="3" xr:uid="{00000000-0005-0000-0000-00007F5C0000}"/>
    <cellStyle name="Normal 5 6 6" xfId="25377" xr:uid="{00000000-0005-0000-0000-0000805C0000}"/>
    <cellStyle name="Normal 5 6 7" xfId="24780" xr:uid="{00000000-0005-0000-0000-0000815C0000}"/>
    <cellStyle name="Normal 5 6 8" xfId="24183" xr:uid="{00000000-0005-0000-0000-0000825C0000}"/>
    <cellStyle name="Normal 5 6 9" xfId="23586" xr:uid="{00000000-0005-0000-0000-0000835C0000}"/>
    <cellStyle name="Normal 5 60" xfId="11671" xr:uid="{00000000-0005-0000-0000-0000845C0000}"/>
    <cellStyle name="Normal 5 61" xfId="5264" xr:uid="{00000000-0005-0000-0000-0000855C0000}"/>
    <cellStyle name="Normal 5 62" xfId="10909" xr:uid="{00000000-0005-0000-0000-0000865C0000}"/>
    <cellStyle name="Normal 5 63" xfId="10153" xr:uid="{00000000-0005-0000-0000-0000875C0000}"/>
    <cellStyle name="Normal 5 64" xfId="3726" xr:uid="{00000000-0005-0000-0000-0000885C0000}"/>
    <cellStyle name="Normal 5 65" xfId="9601" xr:uid="{00000000-0005-0000-0000-0000895C0000}"/>
    <cellStyle name="Normal 5 66" xfId="3649" xr:uid="{00000000-0005-0000-0000-00008A5C0000}"/>
    <cellStyle name="Normal 5 67" xfId="4403" xr:uid="{00000000-0005-0000-0000-00008B5C0000}"/>
    <cellStyle name="Normal 5 68" xfId="9113" xr:uid="{00000000-0005-0000-0000-00008C5C0000}"/>
    <cellStyle name="Normal 5 7" xfId="28362" xr:uid="{00000000-0005-0000-0000-00008D5C0000}"/>
    <cellStyle name="Normal 5 7 10" xfId="22988" xr:uid="{00000000-0005-0000-0000-00008E5C0000}"/>
    <cellStyle name="Normal 5 7 11" xfId="22391" xr:uid="{00000000-0005-0000-0000-00008F5C0000}"/>
    <cellStyle name="Normal 5 7 12" xfId="21795" xr:uid="{00000000-0005-0000-0000-0000905C0000}"/>
    <cellStyle name="Normal 5 7 13" xfId="21198" xr:uid="{00000000-0005-0000-0000-0000915C0000}"/>
    <cellStyle name="Normal 5 7 14" xfId="20601" xr:uid="{00000000-0005-0000-0000-0000925C0000}"/>
    <cellStyle name="Normal 5 7 15" xfId="20004" xr:uid="{00000000-0005-0000-0000-0000935C0000}"/>
    <cellStyle name="Normal 5 7 16" xfId="19408" xr:uid="{00000000-0005-0000-0000-0000945C0000}"/>
    <cellStyle name="Normal 5 7 17" xfId="18812" xr:uid="{00000000-0005-0000-0000-0000955C0000}"/>
    <cellStyle name="Normal 5 7 18" xfId="18220" xr:uid="{00000000-0005-0000-0000-0000965C0000}"/>
    <cellStyle name="Normal 5 7 19" xfId="17623" xr:uid="{00000000-0005-0000-0000-0000975C0000}"/>
    <cellStyle name="Normal 5 7 2" xfId="27762" xr:uid="{00000000-0005-0000-0000-0000985C0000}"/>
    <cellStyle name="Normal 5 7 20" xfId="15156" xr:uid="{00000000-0005-0000-0000-0000995C0000}"/>
    <cellStyle name="Normal 5 7 21" xfId="17286" xr:uid="{00000000-0005-0000-0000-00009A5C0000}"/>
    <cellStyle name="Normal 5 7 22" xfId="16508" xr:uid="{00000000-0005-0000-0000-00009B5C0000}"/>
    <cellStyle name="Normal 5 7 23" xfId="16501" xr:uid="{00000000-0005-0000-0000-00009C5C0000}"/>
    <cellStyle name="Normal 5 7 24" xfId="15015" xr:uid="{00000000-0005-0000-0000-00009D5C0000}"/>
    <cellStyle name="Normal 5 7 25" xfId="16846" xr:uid="{00000000-0005-0000-0000-00009E5C0000}"/>
    <cellStyle name="Normal 5 7 26" xfId="12893" xr:uid="{00000000-0005-0000-0000-00009F5C0000}"/>
    <cellStyle name="Normal 5 7 27" xfId="13328" xr:uid="{00000000-0005-0000-0000-0000A05C0000}"/>
    <cellStyle name="Normal 5 7 28" xfId="12232" xr:uid="{00000000-0005-0000-0000-0000A15C0000}"/>
    <cellStyle name="Normal 5 7 29" xfId="8973" xr:uid="{00000000-0005-0000-0000-0000A25C0000}"/>
    <cellStyle name="Normal 5 7 3" xfId="27165" xr:uid="{00000000-0005-0000-0000-0000A35C0000}"/>
    <cellStyle name="Normal 5 7 30" xfId="9024" xr:uid="{00000000-0005-0000-0000-0000A45C0000}"/>
    <cellStyle name="Normal 5 7 31" xfId="12047" xr:uid="{00000000-0005-0000-0000-0000A55C0000}"/>
    <cellStyle name="Normal 5 7 32" xfId="10937" xr:uid="{00000000-0005-0000-0000-0000A65C0000}"/>
    <cellStyle name="Normal 5 7 33" xfId="4933" xr:uid="{00000000-0005-0000-0000-0000A75C0000}"/>
    <cellStyle name="Normal 5 7 34" xfId="6115" xr:uid="{00000000-0005-0000-0000-0000A85C0000}"/>
    <cellStyle name="Normal 5 7 35" xfId="4476" xr:uid="{00000000-0005-0000-0000-0000A95C0000}"/>
    <cellStyle name="Normal 5 7 36" xfId="9704" xr:uid="{00000000-0005-0000-0000-0000AA5C0000}"/>
    <cellStyle name="Normal 5 7 37" xfId="3983" xr:uid="{00000000-0005-0000-0000-0000AB5C0000}"/>
    <cellStyle name="Normal 5 7 38" xfId="8903" xr:uid="{00000000-0005-0000-0000-0000AC5C0000}"/>
    <cellStyle name="Normal 5 7 39" xfId="11583" xr:uid="{00000000-0005-0000-0000-0000AD5C0000}"/>
    <cellStyle name="Normal 5 7 4" xfId="26568" xr:uid="{00000000-0005-0000-0000-0000AE5C0000}"/>
    <cellStyle name="Normal 5 7 40" xfId="3289" xr:uid="{00000000-0005-0000-0000-0000AF5C0000}"/>
    <cellStyle name="Normal 5 7 41" xfId="4562" xr:uid="{00000000-0005-0000-0000-0000B05C0000}"/>
    <cellStyle name="Normal 5 7 42" xfId="9145" xr:uid="{00000000-0005-0000-0000-0000B15C0000}"/>
    <cellStyle name="Normal 5 7 43" xfId="4606" xr:uid="{00000000-0005-0000-0000-0000B25C0000}"/>
    <cellStyle name="Normal 5 7 44" xfId="2881" xr:uid="{00000000-0005-0000-0000-0000B35C0000}"/>
    <cellStyle name="Normal 5 7 45" xfId="2638" xr:uid="{00000000-0005-0000-0000-0000B45C0000}"/>
    <cellStyle name="Normal 5 7 46" xfId="2398" xr:uid="{00000000-0005-0000-0000-0000B55C0000}"/>
    <cellStyle name="Normal 5 7 47" xfId="2158" xr:uid="{00000000-0005-0000-0000-0000B65C0000}"/>
    <cellStyle name="Normal 5 7 48" xfId="1918" xr:uid="{00000000-0005-0000-0000-0000B75C0000}"/>
    <cellStyle name="Normal 5 7 49" xfId="1678" xr:uid="{00000000-0005-0000-0000-0000B85C0000}"/>
    <cellStyle name="Normal 5 7 5" xfId="25972" xr:uid="{00000000-0005-0000-0000-0000B95C0000}"/>
    <cellStyle name="Normal 5 7 50" xfId="1439" xr:uid="{00000000-0005-0000-0000-0000BA5C0000}"/>
    <cellStyle name="Normal 5 7 51" xfId="1199" xr:uid="{00000000-0005-0000-0000-0000BB5C0000}"/>
    <cellStyle name="Normal 5 7 52" xfId="959" xr:uid="{00000000-0005-0000-0000-0000BC5C0000}"/>
    <cellStyle name="Normal 5 7 53" xfId="719" xr:uid="{00000000-0005-0000-0000-0000BD5C0000}"/>
    <cellStyle name="Normal 5 7 54" xfId="479" xr:uid="{00000000-0005-0000-0000-0000BE5C0000}"/>
    <cellStyle name="Normal 5 7 55" xfId="240" xr:uid="{00000000-0005-0000-0000-0000BF5C0000}"/>
    <cellStyle name="Normal 5 7 56" xfId="2" xr:uid="{00000000-0005-0000-0000-0000C05C0000}"/>
    <cellStyle name="Normal 5 7 6" xfId="25376" xr:uid="{00000000-0005-0000-0000-0000C15C0000}"/>
    <cellStyle name="Normal 5 7 7" xfId="24779" xr:uid="{00000000-0005-0000-0000-0000C25C0000}"/>
    <cellStyle name="Normal 5 7 8" xfId="24182" xr:uid="{00000000-0005-0000-0000-0000C35C0000}"/>
    <cellStyle name="Normal 5 7 9" xfId="23585" xr:uid="{00000000-0005-0000-0000-0000C45C0000}"/>
    <cellStyle name="Normal 5 8" xfId="28361" xr:uid="{00000000-0005-0000-0000-0000C55C0000}"/>
    <cellStyle name="Normal 5 8 10" xfId="22987" xr:uid="{00000000-0005-0000-0000-0000C65C0000}"/>
    <cellStyle name="Normal 5 8 11" xfId="22390" xr:uid="{00000000-0005-0000-0000-0000C75C0000}"/>
    <cellStyle name="Normal 5 8 12" xfId="21794" xr:uid="{00000000-0005-0000-0000-0000C85C0000}"/>
    <cellStyle name="Normal 5 8 13" xfId="21197" xr:uid="{00000000-0005-0000-0000-0000C95C0000}"/>
    <cellStyle name="Normal 5 8 14" xfId="20600" xr:uid="{00000000-0005-0000-0000-0000CA5C0000}"/>
    <cellStyle name="Normal 5 8 15" xfId="20003" xr:uid="{00000000-0005-0000-0000-0000CB5C0000}"/>
    <cellStyle name="Normal 5 8 16" xfId="19407" xr:uid="{00000000-0005-0000-0000-0000CC5C0000}"/>
    <cellStyle name="Normal 5 8 17" xfId="18811" xr:uid="{00000000-0005-0000-0000-0000CD5C0000}"/>
    <cellStyle name="Normal 5 8 18" xfId="18219" xr:uid="{00000000-0005-0000-0000-0000CE5C0000}"/>
    <cellStyle name="Normal 5 8 19" xfId="17622" xr:uid="{00000000-0005-0000-0000-0000CF5C0000}"/>
    <cellStyle name="Normal 5 8 2" xfId="27761" xr:uid="{00000000-0005-0000-0000-0000D05C0000}"/>
    <cellStyle name="Normal 5 8 20" xfId="15351" xr:uid="{00000000-0005-0000-0000-0000D15C0000}"/>
    <cellStyle name="Normal 5 8 21" xfId="17276" xr:uid="{00000000-0005-0000-0000-0000D25C0000}"/>
    <cellStyle name="Normal 5 8 22" xfId="17107" xr:uid="{00000000-0005-0000-0000-0000D35C0000}"/>
    <cellStyle name="Normal 5 8 23" xfId="16507" xr:uid="{00000000-0005-0000-0000-0000D45C0000}"/>
    <cellStyle name="Normal 5 8 24" xfId="13069" xr:uid="{00000000-0005-0000-0000-0000D55C0000}"/>
    <cellStyle name="Normal 5 8 25" xfId="16474" xr:uid="{00000000-0005-0000-0000-0000D65C0000}"/>
    <cellStyle name="Normal 5 8 26" xfId="12785" xr:uid="{00000000-0005-0000-0000-0000D75C0000}"/>
    <cellStyle name="Normal 5 8 27" xfId="13383" xr:uid="{00000000-0005-0000-0000-0000D85C0000}"/>
    <cellStyle name="Normal 5 8 28" xfId="12231" xr:uid="{00000000-0005-0000-0000-0000D95C0000}"/>
    <cellStyle name="Normal 5 8 29" xfId="9208" xr:uid="{00000000-0005-0000-0000-0000DA5C0000}"/>
    <cellStyle name="Normal 5 8 3" xfId="27164" xr:uid="{00000000-0005-0000-0000-0000DB5C0000}"/>
    <cellStyle name="Normal 5 8 30" xfId="9017" xr:uid="{00000000-0005-0000-0000-0000DC5C0000}"/>
    <cellStyle name="Normal 5 8 31" xfId="9456" xr:uid="{00000000-0005-0000-0000-0000DD5C0000}"/>
    <cellStyle name="Normal 5 8 32" xfId="7414" xr:uid="{00000000-0005-0000-0000-0000DE5C0000}"/>
    <cellStyle name="Normal 5 8 33" xfId="6475" xr:uid="{00000000-0005-0000-0000-0000DF5C0000}"/>
    <cellStyle name="Normal 5 8 34" xfId="8893" xr:uid="{00000000-0005-0000-0000-0000E05C0000}"/>
    <cellStyle name="Normal 5 8 35" xfId="8876" xr:uid="{00000000-0005-0000-0000-0000E15C0000}"/>
    <cellStyle name="Normal 5 8 36" xfId="5407" xr:uid="{00000000-0005-0000-0000-0000E25C0000}"/>
    <cellStyle name="Normal 5 8 37" xfId="4277" xr:uid="{00000000-0005-0000-0000-0000E35C0000}"/>
    <cellStyle name="Normal 5 8 38" xfId="4079" xr:uid="{00000000-0005-0000-0000-0000E45C0000}"/>
    <cellStyle name="Normal 5 8 39" xfId="3703" xr:uid="{00000000-0005-0000-0000-0000E55C0000}"/>
    <cellStyle name="Normal 5 8 4" xfId="26567" xr:uid="{00000000-0005-0000-0000-0000E65C0000}"/>
    <cellStyle name="Normal 5 8 40" xfId="3296" xr:uid="{00000000-0005-0000-0000-0000E75C0000}"/>
    <cellStyle name="Normal 5 8 41" xfId="3609" xr:uid="{00000000-0005-0000-0000-0000E85C0000}"/>
    <cellStyle name="Normal 5 8 42" xfId="9110" xr:uid="{00000000-0005-0000-0000-0000E95C0000}"/>
    <cellStyle name="Normal 5 8 43" xfId="3088" xr:uid="{00000000-0005-0000-0000-0000EA5C0000}"/>
    <cellStyle name="Normal 5 8 44" xfId="2880" xr:uid="{00000000-0005-0000-0000-0000EB5C0000}"/>
    <cellStyle name="Normal 5 8 45" xfId="2637" xr:uid="{00000000-0005-0000-0000-0000EC5C0000}"/>
    <cellStyle name="Normal 5 8 46" xfId="2397" xr:uid="{00000000-0005-0000-0000-0000ED5C0000}"/>
    <cellStyle name="Normal 5 8 47" xfId="2157" xr:uid="{00000000-0005-0000-0000-0000EE5C0000}"/>
    <cellStyle name="Normal 5 8 48" xfId="1917" xr:uid="{00000000-0005-0000-0000-0000EF5C0000}"/>
    <cellStyle name="Normal 5 8 49" xfId="1677" xr:uid="{00000000-0005-0000-0000-0000F05C0000}"/>
    <cellStyle name="Normal 5 8 5" xfId="25971" xr:uid="{00000000-0005-0000-0000-0000F15C0000}"/>
    <cellStyle name="Normal 5 8 50" xfId="1438" xr:uid="{00000000-0005-0000-0000-0000F25C0000}"/>
    <cellStyle name="Normal 5 8 51" xfId="1198" xr:uid="{00000000-0005-0000-0000-0000F35C0000}"/>
    <cellStyle name="Normal 5 8 52" xfId="958" xr:uid="{00000000-0005-0000-0000-0000F45C0000}"/>
    <cellStyle name="Normal 5 8 53" xfId="718" xr:uid="{00000000-0005-0000-0000-0000F55C0000}"/>
    <cellStyle name="Normal 5 8 54" xfId="478" xr:uid="{00000000-0005-0000-0000-0000F65C0000}"/>
    <cellStyle name="Normal 5 8 55" xfId="239" xr:uid="{00000000-0005-0000-0000-0000F75C0000}"/>
    <cellStyle name="Normal 5 8 56" xfId="1" xr:uid="{00000000-0005-0000-0000-0000F85C0000}"/>
    <cellStyle name="Normal 5 8 6" xfId="25375" xr:uid="{00000000-0005-0000-0000-0000F95C0000}"/>
    <cellStyle name="Normal 5 8 7" xfId="24778" xr:uid="{00000000-0005-0000-0000-0000FA5C0000}"/>
    <cellStyle name="Normal 5 8 8" xfId="24181" xr:uid="{00000000-0005-0000-0000-0000FB5C0000}"/>
    <cellStyle name="Normal 5 8 9" xfId="23584" xr:uid="{00000000-0005-0000-0000-0000FC5C0000}"/>
    <cellStyle name="Normal 5 9" xfId="28360" xr:uid="{00000000-0005-0000-0000-0000FD5C0000}"/>
    <cellStyle name="Normal 5 9 10" xfId="22986" xr:uid="{00000000-0005-0000-0000-0000FE5C0000}"/>
    <cellStyle name="Normal 5 9 11" xfId="22389" xr:uid="{00000000-0005-0000-0000-0000FF5C0000}"/>
    <cellStyle name="Normal 5 9 12" xfId="21793" xr:uid="{00000000-0005-0000-0000-0000005D0000}"/>
    <cellStyle name="Normal 5 9 13" xfId="21196" xr:uid="{00000000-0005-0000-0000-0000015D0000}"/>
    <cellStyle name="Normal 5 9 14" xfId="20599" xr:uid="{00000000-0005-0000-0000-0000025D0000}"/>
    <cellStyle name="Normal 5 9 15" xfId="20002" xr:uid="{00000000-0005-0000-0000-0000035D0000}"/>
    <cellStyle name="Normal 5 9 16" xfId="19406" xr:uid="{00000000-0005-0000-0000-0000045D0000}"/>
    <cellStyle name="Normal 5 9 17" xfId="18810" xr:uid="{00000000-0005-0000-0000-0000055D0000}"/>
    <cellStyle name="Normal 5 9 18" xfId="18218" xr:uid="{00000000-0005-0000-0000-0000065D0000}"/>
    <cellStyle name="Normal 5 9 19" xfId="17621" xr:uid="{00000000-0005-0000-0000-0000075D0000}"/>
    <cellStyle name="Normal 5 9 2" xfId="27760" xr:uid="{00000000-0005-0000-0000-0000085D0000}"/>
    <cellStyle name="Normal 5 9 20" xfId="15558" xr:uid="{00000000-0005-0000-0000-0000095D0000}"/>
    <cellStyle name="Normal 5 9 21" xfId="16856" xr:uid="{00000000-0005-0000-0000-00000A5D0000}"/>
    <cellStyle name="Normal 5 9 22" xfId="14557" xr:uid="{00000000-0005-0000-0000-00000B5D0000}"/>
    <cellStyle name="Normal 5 9 23" xfId="14190" xr:uid="{00000000-0005-0000-0000-00000C5D0000}"/>
    <cellStyle name="Normal 5 9 24" xfId="13224" xr:uid="{00000000-0005-0000-0000-00000D5D0000}"/>
    <cellStyle name="Normal 5 9 25" xfId="13004" xr:uid="{00000000-0005-0000-0000-00000E5D0000}"/>
    <cellStyle name="Normal 5 9 26" xfId="13385" xr:uid="{00000000-0005-0000-0000-00000F5D0000}"/>
    <cellStyle name="Normal 5 9 27" xfId="12767" xr:uid="{00000000-0005-0000-0000-0000105D0000}"/>
    <cellStyle name="Normal 5 9 28" xfId="12230" xr:uid="{00000000-0005-0000-0000-0000115D0000}"/>
    <cellStyle name="Normal 5 9 29" xfId="9441" xr:uid="{00000000-0005-0000-0000-0000125D0000}"/>
    <cellStyle name="Normal 5 9 3" xfId="27163" xr:uid="{00000000-0005-0000-0000-0000135D0000}"/>
    <cellStyle name="Normal 5 9 30" xfId="9476" xr:uid="{00000000-0005-0000-0000-0000145D0000}"/>
    <cellStyle name="Normal 5 9 31" xfId="8906" xr:uid="{00000000-0005-0000-0000-0000155D0000}"/>
    <cellStyle name="Normal 5 9 32" xfId="11378" xr:uid="{00000000-0005-0000-0000-0000165D0000}"/>
    <cellStyle name="Normal 5 9 33" xfId="8167" xr:uid="{00000000-0005-0000-0000-0000175D0000}"/>
    <cellStyle name="Normal 5 9 34" xfId="10262" xr:uid="{00000000-0005-0000-0000-0000185D0000}"/>
    <cellStyle name="Normal 5 9 35" xfId="4320" xr:uid="{00000000-0005-0000-0000-0000195D0000}"/>
    <cellStyle name="Normal 5 9 36" xfId="10806" xr:uid="{00000000-0005-0000-0000-00001A5D0000}"/>
    <cellStyle name="Normal 5 9 37" xfId="10438" xr:uid="{00000000-0005-0000-0000-00001B5D0000}"/>
    <cellStyle name="Normal 5 9 38" xfId="10364" xr:uid="{00000000-0005-0000-0000-00001C5D0000}"/>
    <cellStyle name="Normal 5 9 39" xfId="4926" xr:uid="{00000000-0005-0000-0000-00001D5D0000}"/>
    <cellStyle name="Normal 5 9 4" xfId="26566" xr:uid="{00000000-0005-0000-0000-00001E5D0000}"/>
    <cellStyle name="Normal 5 9 40" xfId="11120" xr:uid="{00000000-0005-0000-0000-00001F5D0000}"/>
    <cellStyle name="Normal 5 9 41" xfId="7701" xr:uid="{00000000-0005-0000-0000-0000205D0000}"/>
    <cellStyle name="Normal 5 9 42" xfId="10139" xr:uid="{00000000-0005-0000-0000-0000215D0000}"/>
    <cellStyle name="Normal 5 9 43" xfId="7878" xr:uid="{00000000-0005-0000-0000-0000225D0000}"/>
    <cellStyle name="Normal 5 9 44" xfId="2879" xr:uid="{00000000-0005-0000-0000-0000235D0000}"/>
    <cellStyle name="Normal 5 9 45" xfId="2636" xr:uid="{00000000-0005-0000-0000-0000245D0000}"/>
    <cellStyle name="Normal 5 9 46" xfId="2396" xr:uid="{00000000-0005-0000-0000-0000255D0000}"/>
    <cellStyle name="Normal 5 9 47" xfId="2156" xr:uid="{00000000-0005-0000-0000-0000265D0000}"/>
    <cellStyle name="Normal 5 9 48" xfId="1916" xr:uid="{00000000-0005-0000-0000-0000275D0000}"/>
    <cellStyle name="Normal 5 9 49" xfId="1676" xr:uid="{00000000-0005-0000-0000-0000285D0000}"/>
    <cellStyle name="Normal 5 9 5" xfId="25970" xr:uid="{00000000-0005-0000-0000-0000295D0000}"/>
    <cellStyle name="Normal 5 9 50" xfId="1437" xr:uid="{00000000-0005-0000-0000-00002A5D0000}"/>
    <cellStyle name="Normal 5 9 51" xfId="1197" xr:uid="{00000000-0005-0000-0000-00002B5D0000}"/>
    <cellStyle name="Normal 5 9 52" xfId="957" xr:uid="{00000000-0005-0000-0000-00002C5D0000}"/>
    <cellStyle name="Normal 5 9 53" xfId="717" xr:uid="{00000000-0005-0000-0000-00002D5D0000}"/>
    <cellStyle name="Normal 5 9 54" xfId="477" xr:uid="{00000000-0005-0000-0000-00002E5D0000}"/>
    <cellStyle name="Normal 5 9 55" xfId="238" xr:uid="{00000000-0005-0000-0000-00002F5D0000}"/>
    <cellStyle name="Normal 5 9 56" xfId="28854" xr:uid="{00000000-0005-0000-0000-0000305D0000}"/>
    <cellStyle name="Normal 5 9 6" xfId="25374" xr:uid="{00000000-0005-0000-0000-0000315D0000}"/>
    <cellStyle name="Normal 5 9 7" xfId="24777" xr:uid="{00000000-0005-0000-0000-0000325D0000}"/>
    <cellStyle name="Normal 5 9 8" xfId="24180" xr:uid="{00000000-0005-0000-0000-0000335D0000}"/>
    <cellStyle name="Normal 5 9 9" xfId="23583" xr:uid="{00000000-0005-0000-0000-0000345D0000}"/>
    <cellStyle name="Normal 50" xfId="4022" xr:uid="{00000000-0005-0000-0000-0000355D0000}"/>
    <cellStyle name="Normal 50 2" xfId="3197" xr:uid="{00000000-0005-0000-0000-0000365D0000}"/>
    <cellStyle name="Normal 50 3" xfId="3135" xr:uid="{00000000-0005-0000-0000-0000375D0000}"/>
    <cellStyle name="Normal 50 4" xfId="3095" xr:uid="{00000000-0005-0000-0000-0000385D0000}"/>
    <cellStyle name="Normal 50 5" xfId="3079" xr:uid="{00000000-0005-0000-0000-0000395D0000}"/>
    <cellStyle name="Normal 51" xfId="2835" xr:uid="{00000000-0005-0000-0000-00003A5D0000}"/>
    <cellStyle name="Normal 51 2" xfId="3158" xr:uid="{00000000-0005-0000-0000-00003B5D0000}"/>
    <cellStyle name="Normal 51 3" xfId="3110" xr:uid="{00000000-0005-0000-0000-00003C5D0000}"/>
    <cellStyle name="Normal 52" xfId="8106" xr:uid="{00000000-0005-0000-0000-00003D5D0000}"/>
    <cellStyle name="Normal 52 2" xfId="6547" xr:uid="{00000000-0005-0000-0000-00003E5D0000}"/>
    <cellStyle name="Normal 52 3" xfId="8789" xr:uid="{00000000-0005-0000-0000-00003F5D0000}"/>
    <cellStyle name="Normal 53" xfId="4527" xr:uid="{00000000-0005-0000-0000-0000405D0000}"/>
    <cellStyle name="Normal 53 2" xfId="3080" xr:uid="{00000000-0005-0000-0000-0000415D0000}"/>
    <cellStyle name="Normal 54" xfId="3391" xr:uid="{00000000-0005-0000-0000-0000425D0000}"/>
    <cellStyle name="Normal 55" xfId="2592" xr:uid="{00000000-0005-0000-0000-0000435D0000}"/>
    <cellStyle name="Normal 56" xfId="2539" xr:uid="{00000000-0005-0000-0000-0000445D0000}"/>
    <cellStyle name="Normal 57" xfId="2112" xr:uid="{00000000-0005-0000-0000-0000455D0000}"/>
    <cellStyle name="Normal 58" xfId="1872" xr:uid="{00000000-0005-0000-0000-0000465D0000}"/>
    <cellStyle name="Normal 59" xfId="28926" xr:uid="{00000000-0005-0000-0000-0000475D0000}"/>
    <cellStyle name="Normal 59 2" xfId="28929" xr:uid="{00000000-0005-0000-0000-0000485D0000}"/>
    <cellStyle name="Normal 6" xfId="28359" xr:uid="{00000000-0005-0000-0000-0000495D0000}"/>
    <cellStyle name="Normal 6 10" xfId="28358" xr:uid="{00000000-0005-0000-0000-00004A5D0000}"/>
    <cellStyle name="Normal 6 10 10" xfId="22984" xr:uid="{00000000-0005-0000-0000-00004B5D0000}"/>
    <cellStyle name="Normal 6 10 11" xfId="22387" xr:uid="{00000000-0005-0000-0000-00004C5D0000}"/>
    <cellStyle name="Normal 6 10 12" xfId="21791" xr:uid="{00000000-0005-0000-0000-00004D5D0000}"/>
    <cellStyle name="Normal 6 10 13" xfId="21194" xr:uid="{00000000-0005-0000-0000-00004E5D0000}"/>
    <cellStyle name="Normal 6 10 14" xfId="20597" xr:uid="{00000000-0005-0000-0000-00004F5D0000}"/>
    <cellStyle name="Normal 6 10 15" xfId="20000" xr:uid="{00000000-0005-0000-0000-0000505D0000}"/>
    <cellStyle name="Normal 6 10 16" xfId="19404" xr:uid="{00000000-0005-0000-0000-0000515D0000}"/>
    <cellStyle name="Normal 6 10 17" xfId="18808" xr:uid="{00000000-0005-0000-0000-0000525D0000}"/>
    <cellStyle name="Normal 6 10 18" xfId="18216" xr:uid="{00000000-0005-0000-0000-0000535D0000}"/>
    <cellStyle name="Normal 6 10 19" xfId="17619" xr:uid="{00000000-0005-0000-0000-0000545D0000}"/>
    <cellStyle name="Normal 6 10 2" xfId="27758" xr:uid="{00000000-0005-0000-0000-0000555D0000}"/>
    <cellStyle name="Normal 6 10 20" xfId="15948" xr:uid="{00000000-0005-0000-0000-0000565D0000}"/>
    <cellStyle name="Normal 6 10 21" xfId="16452" xr:uid="{00000000-0005-0000-0000-0000575D0000}"/>
    <cellStyle name="Normal 6 10 22" xfId="15976" xr:uid="{00000000-0005-0000-0000-0000585D0000}"/>
    <cellStyle name="Normal 6 10 23" xfId="13735" xr:uid="{00000000-0005-0000-0000-0000595D0000}"/>
    <cellStyle name="Normal 6 10 24" xfId="14082" xr:uid="{00000000-0005-0000-0000-00005A5D0000}"/>
    <cellStyle name="Normal 6 10 25" xfId="14823" xr:uid="{00000000-0005-0000-0000-00005B5D0000}"/>
    <cellStyle name="Normal 6 10 26" xfId="17218" xr:uid="{00000000-0005-0000-0000-00005C5D0000}"/>
    <cellStyle name="Normal 6 10 27" xfId="13453" xr:uid="{00000000-0005-0000-0000-00005D5D0000}"/>
    <cellStyle name="Normal 6 10 28" xfId="12228" xr:uid="{00000000-0005-0000-0000-00005E5D0000}"/>
    <cellStyle name="Normal 6 10 29" xfId="9892" xr:uid="{00000000-0005-0000-0000-00005F5D0000}"/>
    <cellStyle name="Normal 6 10 3" xfId="27161" xr:uid="{00000000-0005-0000-0000-0000605D0000}"/>
    <cellStyle name="Normal 6 10 30" xfId="5867" xr:uid="{00000000-0005-0000-0000-0000615D0000}"/>
    <cellStyle name="Normal 6 10 31" xfId="6110" xr:uid="{00000000-0005-0000-0000-0000625D0000}"/>
    <cellStyle name="Normal 6 10 32" xfId="7742" xr:uid="{00000000-0005-0000-0000-0000635D0000}"/>
    <cellStyle name="Normal 6 10 33" xfId="7445" xr:uid="{00000000-0005-0000-0000-0000645D0000}"/>
    <cellStyle name="Normal 6 10 34" xfId="11048" xr:uid="{00000000-0005-0000-0000-0000655D0000}"/>
    <cellStyle name="Normal 6 10 35" xfId="4894" xr:uid="{00000000-0005-0000-0000-0000665D0000}"/>
    <cellStyle name="Normal 6 10 36" xfId="10852" xr:uid="{00000000-0005-0000-0000-0000675D0000}"/>
    <cellStyle name="Normal 6 10 37" xfId="7223" xr:uid="{00000000-0005-0000-0000-0000685D0000}"/>
    <cellStyle name="Normal 6 10 38" xfId="7425" xr:uid="{00000000-0005-0000-0000-0000695D0000}"/>
    <cellStyle name="Normal 6 10 39" xfId="3733" xr:uid="{00000000-0005-0000-0000-00006A5D0000}"/>
    <cellStyle name="Normal 6 10 4" xfId="26564" xr:uid="{00000000-0005-0000-0000-00006B5D0000}"/>
    <cellStyle name="Normal 6 10 40" xfId="4016" xr:uid="{00000000-0005-0000-0000-00006C5D0000}"/>
    <cellStyle name="Normal 6 10 41" xfId="10027" xr:uid="{00000000-0005-0000-0000-00006D5D0000}"/>
    <cellStyle name="Normal 6 10 42" xfId="3520" xr:uid="{00000000-0005-0000-0000-00006E5D0000}"/>
    <cellStyle name="Normal 6 10 43" xfId="10726" xr:uid="{00000000-0005-0000-0000-00006F5D0000}"/>
    <cellStyle name="Normal 6 10 44" xfId="2878" xr:uid="{00000000-0005-0000-0000-0000705D0000}"/>
    <cellStyle name="Normal 6 10 45" xfId="2635" xr:uid="{00000000-0005-0000-0000-0000715D0000}"/>
    <cellStyle name="Normal 6 10 46" xfId="2395" xr:uid="{00000000-0005-0000-0000-0000725D0000}"/>
    <cellStyle name="Normal 6 10 47" xfId="2155" xr:uid="{00000000-0005-0000-0000-0000735D0000}"/>
    <cellStyle name="Normal 6 10 48" xfId="1915" xr:uid="{00000000-0005-0000-0000-0000745D0000}"/>
    <cellStyle name="Normal 6 10 49" xfId="1675" xr:uid="{00000000-0005-0000-0000-0000755D0000}"/>
    <cellStyle name="Normal 6 10 5" xfId="25968" xr:uid="{00000000-0005-0000-0000-0000765D0000}"/>
    <cellStyle name="Normal 6 10 50" xfId="1436" xr:uid="{00000000-0005-0000-0000-0000775D0000}"/>
    <cellStyle name="Normal 6 10 51" xfId="1196" xr:uid="{00000000-0005-0000-0000-0000785D0000}"/>
    <cellStyle name="Normal 6 10 52" xfId="956" xr:uid="{00000000-0005-0000-0000-0000795D0000}"/>
    <cellStyle name="Normal 6 10 53" xfId="716" xr:uid="{00000000-0005-0000-0000-00007A5D0000}"/>
    <cellStyle name="Normal 6 10 54" xfId="476" xr:uid="{00000000-0005-0000-0000-00007B5D0000}"/>
    <cellStyle name="Normal 6 10 55" xfId="237" xr:uid="{00000000-0005-0000-0000-00007C5D0000}"/>
    <cellStyle name="Normal 6 10 56" xfId="28855" xr:uid="{00000000-0005-0000-0000-00007D5D0000}"/>
    <cellStyle name="Normal 6 10 6" xfId="25372" xr:uid="{00000000-0005-0000-0000-00007E5D0000}"/>
    <cellStyle name="Normal 6 10 7" xfId="24775" xr:uid="{00000000-0005-0000-0000-00007F5D0000}"/>
    <cellStyle name="Normal 6 10 8" xfId="24178" xr:uid="{00000000-0005-0000-0000-0000805D0000}"/>
    <cellStyle name="Normal 6 10 9" xfId="23581" xr:uid="{00000000-0005-0000-0000-0000815D0000}"/>
    <cellStyle name="Normal 6 11" xfId="28357" xr:uid="{00000000-0005-0000-0000-0000825D0000}"/>
    <cellStyle name="Normal 6 11 10" xfId="22983" xr:uid="{00000000-0005-0000-0000-0000835D0000}"/>
    <cellStyle name="Normal 6 11 11" xfId="22386" xr:uid="{00000000-0005-0000-0000-0000845D0000}"/>
    <cellStyle name="Normal 6 11 12" xfId="21790" xr:uid="{00000000-0005-0000-0000-0000855D0000}"/>
    <cellStyle name="Normal 6 11 13" xfId="21193" xr:uid="{00000000-0005-0000-0000-0000865D0000}"/>
    <cellStyle name="Normal 6 11 14" xfId="20596" xr:uid="{00000000-0005-0000-0000-0000875D0000}"/>
    <cellStyle name="Normal 6 11 15" xfId="19999" xr:uid="{00000000-0005-0000-0000-0000885D0000}"/>
    <cellStyle name="Normal 6 11 16" xfId="19403" xr:uid="{00000000-0005-0000-0000-0000895D0000}"/>
    <cellStyle name="Normal 6 11 17" xfId="18807" xr:uid="{00000000-0005-0000-0000-00008A5D0000}"/>
    <cellStyle name="Normal 6 11 18" xfId="18215" xr:uid="{00000000-0005-0000-0000-00008B5D0000}"/>
    <cellStyle name="Normal 6 11 19" xfId="17618" xr:uid="{00000000-0005-0000-0000-00008C5D0000}"/>
    <cellStyle name="Normal 6 11 2" xfId="27757" xr:uid="{00000000-0005-0000-0000-00008D5D0000}"/>
    <cellStyle name="Normal 6 11 20" xfId="16156" xr:uid="{00000000-0005-0000-0000-00008E5D0000}"/>
    <cellStyle name="Normal 6 11 21" xfId="15825" xr:uid="{00000000-0005-0000-0000-00008F5D0000}"/>
    <cellStyle name="Normal 6 11 22" xfId="16017" xr:uid="{00000000-0005-0000-0000-0000905D0000}"/>
    <cellStyle name="Normal 6 11 23" xfId="15205" xr:uid="{00000000-0005-0000-0000-0000915D0000}"/>
    <cellStyle name="Normal 6 11 24" xfId="14778" xr:uid="{00000000-0005-0000-0000-0000925D0000}"/>
    <cellStyle name="Normal 6 11 25" xfId="16747" xr:uid="{00000000-0005-0000-0000-0000935D0000}"/>
    <cellStyle name="Normal 6 11 26" xfId="16369" xr:uid="{00000000-0005-0000-0000-0000945D0000}"/>
    <cellStyle name="Normal 6 11 27" xfId="17392" xr:uid="{00000000-0005-0000-0000-0000955D0000}"/>
    <cellStyle name="Normal 6 11 28" xfId="12227" xr:uid="{00000000-0005-0000-0000-0000965D0000}"/>
    <cellStyle name="Normal 6 11 29" xfId="10127" xr:uid="{00000000-0005-0000-0000-0000975D0000}"/>
    <cellStyle name="Normal 6 11 3" xfId="27160" xr:uid="{00000000-0005-0000-0000-0000985D0000}"/>
    <cellStyle name="Normal 6 11 30" xfId="11884" xr:uid="{00000000-0005-0000-0000-0000995D0000}"/>
    <cellStyle name="Normal 6 11 31" xfId="7237" xr:uid="{00000000-0005-0000-0000-00009A5D0000}"/>
    <cellStyle name="Normal 6 11 32" xfId="7879" xr:uid="{00000000-0005-0000-0000-00009B5D0000}"/>
    <cellStyle name="Normal 6 11 33" xfId="10289" xr:uid="{00000000-0005-0000-0000-00009C5D0000}"/>
    <cellStyle name="Normal 6 11 34" xfId="5139" xr:uid="{00000000-0005-0000-0000-00009D5D0000}"/>
    <cellStyle name="Normal 6 11 35" xfId="7575" xr:uid="{00000000-0005-0000-0000-00009E5D0000}"/>
    <cellStyle name="Normal 6 11 36" xfId="6746" xr:uid="{00000000-0005-0000-0000-00009F5D0000}"/>
    <cellStyle name="Normal 6 11 37" xfId="5229" xr:uid="{00000000-0005-0000-0000-0000A05D0000}"/>
    <cellStyle name="Normal 6 11 38" xfId="6395" xr:uid="{00000000-0005-0000-0000-0000A15D0000}"/>
    <cellStyle name="Normal 6 11 39" xfId="9739" xr:uid="{00000000-0005-0000-0000-0000A25D0000}"/>
    <cellStyle name="Normal 6 11 4" xfId="26563" xr:uid="{00000000-0005-0000-0000-0000A35D0000}"/>
    <cellStyle name="Normal 6 11 40" xfId="10477" xr:uid="{00000000-0005-0000-0000-0000A45D0000}"/>
    <cellStyle name="Normal 6 11 41" xfId="11372" xr:uid="{00000000-0005-0000-0000-0000A55D0000}"/>
    <cellStyle name="Normal 6 11 42" xfId="5340" xr:uid="{00000000-0005-0000-0000-0000A65D0000}"/>
    <cellStyle name="Normal 6 11 43" xfId="11945" xr:uid="{00000000-0005-0000-0000-0000A75D0000}"/>
    <cellStyle name="Normal 6 11 44" xfId="2877" xr:uid="{00000000-0005-0000-0000-0000A85D0000}"/>
    <cellStyle name="Normal 6 11 45" xfId="2634" xr:uid="{00000000-0005-0000-0000-0000A95D0000}"/>
    <cellStyle name="Normal 6 11 46" xfId="2394" xr:uid="{00000000-0005-0000-0000-0000AA5D0000}"/>
    <cellStyle name="Normal 6 11 47" xfId="2154" xr:uid="{00000000-0005-0000-0000-0000AB5D0000}"/>
    <cellStyle name="Normal 6 11 48" xfId="1914" xr:uid="{00000000-0005-0000-0000-0000AC5D0000}"/>
    <cellStyle name="Normal 6 11 49" xfId="1674" xr:uid="{00000000-0005-0000-0000-0000AD5D0000}"/>
    <cellStyle name="Normal 6 11 5" xfId="25967" xr:uid="{00000000-0005-0000-0000-0000AE5D0000}"/>
    <cellStyle name="Normal 6 11 50" xfId="1435" xr:uid="{00000000-0005-0000-0000-0000AF5D0000}"/>
    <cellStyle name="Normal 6 11 51" xfId="1195" xr:uid="{00000000-0005-0000-0000-0000B05D0000}"/>
    <cellStyle name="Normal 6 11 52" xfId="955" xr:uid="{00000000-0005-0000-0000-0000B15D0000}"/>
    <cellStyle name="Normal 6 11 53" xfId="715" xr:uid="{00000000-0005-0000-0000-0000B25D0000}"/>
    <cellStyle name="Normal 6 11 54" xfId="475" xr:uid="{00000000-0005-0000-0000-0000B35D0000}"/>
    <cellStyle name="Normal 6 11 55" xfId="236" xr:uid="{00000000-0005-0000-0000-0000B45D0000}"/>
    <cellStyle name="Normal 6 11 56" xfId="28856" xr:uid="{00000000-0005-0000-0000-0000B55D0000}"/>
    <cellStyle name="Normal 6 11 6" xfId="25371" xr:uid="{00000000-0005-0000-0000-0000B65D0000}"/>
    <cellStyle name="Normal 6 11 7" xfId="24774" xr:uid="{00000000-0005-0000-0000-0000B75D0000}"/>
    <cellStyle name="Normal 6 11 8" xfId="24177" xr:uid="{00000000-0005-0000-0000-0000B85D0000}"/>
    <cellStyle name="Normal 6 11 9" xfId="23580" xr:uid="{00000000-0005-0000-0000-0000B95D0000}"/>
    <cellStyle name="Normal 6 12" xfId="28356" xr:uid="{00000000-0005-0000-0000-0000BA5D0000}"/>
    <cellStyle name="Normal 6 12 10" xfId="22982" xr:uid="{00000000-0005-0000-0000-0000BB5D0000}"/>
    <cellStyle name="Normal 6 12 11" xfId="22385" xr:uid="{00000000-0005-0000-0000-0000BC5D0000}"/>
    <cellStyle name="Normal 6 12 12" xfId="21789" xr:uid="{00000000-0005-0000-0000-0000BD5D0000}"/>
    <cellStyle name="Normal 6 12 13" xfId="21192" xr:uid="{00000000-0005-0000-0000-0000BE5D0000}"/>
    <cellStyle name="Normal 6 12 14" xfId="20595" xr:uid="{00000000-0005-0000-0000-0000BF5D0000}"/>
    <cellStyle name="Normal 6 12 15" xfId="19998" xr:uid="{00000000-0005-0000-0000-0000C05D0000}"/>
    <cellStyle name="Normal 6 12 16" xfId="19402" xr:uid="{00000000-0005-0000-0000-0000C15D0000}"/>
    <cellStyle name="Normal 6 12 17" xfId="18806" xr:uid="{00000000-0005-0000-0000-0000C25D0000}"/>
    <cellStyle name="Normal 6 12 18" xfId="18214" xr:uid="{00000000-0005-0000-0000-0000C35D0000}"/>
    <cellStyle name="Normal 6 12 19" xfId="17617" xr:uid="{00000000-0005-0000-0000-0000C45D0000}"/>
    <cellStyle name="Normal 6 12 2" xfId="27756" xr:uid="{00000000-0005-0000-0000-0000C55D0000}"/>
    <cellStyle name="Normal 6 12 20" xfId="16357" xr:uid="{00000000-0005-0000-0000-0000C65D0000}"/>
    <cellStyle name="Normal 6 12 21" xfId="15425" xr:uid="{00000000-0005-0000-0000-0000C75D0000}"/>
    <cellStyle name="Normal 6 12 22" xfId="17434" xr:uid="{00000000-0005-0000-0000-0000C85D0000}"/>
    <cellStyle name="Normal 6 12 23" xfId="13863" xr:uid="{00000000-0005-0000-0000-0000C95D0000}"/>
    <cellStyle name="Normal 6 12 24" xfId="15576" xr:uid="{00000000-0005-0000-0000-0000CA5D0000}"/>
    <cellStyle name="Normal 6 12 25" xfId="15844" xr:uid="{00000000-0005-0000-0000-0000CB5D0000}"/>
    <cellStyle name="Normal 6 12 26" xfId="13084" xr:uid="{00000000-0005-0000-0000-0000CC5D0000}"/>
    <cellStyle name="Normal 6 12 27" xfId="16612" xr:uid="{00000000-0005-0000-0000-0000CD5D0000}"/>
    <cellStyle name="Normal 6 12 28" xfId="12226" xr:uid="{00000000-0005-0000-0000-0000CE5D0000}"/>
    <cellStyle name="Normal 6 12 29" xfId="10354" xr:uid="{00000000-0005-0000-0000-0000CF5D0000}"/>
    <cellStyle name="Normal 6 12 3" xfId="27159" xr:uid="{00000000-0005-0000-0000-0000D05D0000}"/>
    <cellStyle name="Normal 6 12 30" xfId="6200" xr:uid="{00000000-0005-0000-0000-0000D15D0000}"/>
    <cellStyle name="Normal 6 12 31" xfId="10107" xr:uid="{00000000-0005-0000-0000-0000D25D0000}"/>
    <cellStyle name="Normal 6 12 32" xfId="10768" xr:uid="{00000000-0005-0000-0000-0000D35D0000}"/>
    <cellStyle name="Normal 6 12 33" xfId="7728" xr:uid="{00000000-0005-0000-0000-0000D45D0000}"/>
    <cellStyle name="Normal 6 12 34" xfId="9073" xr:uid="{00000000-0005-0000-0000-0000D55D0000}"/>
    <cellStyle name="Normal 6 12 35" xfId="4549" xr:uid="{00000000-0005-0000-0000-0000D65D0000}"/>
    <cellStyle name="Normal 6 12 36" xfId="11972" xr:uid="{00000000-0005-0000-0000-0000D75D0000}"/>
    <cellStyle name="Normal 6 12 37" xfId="10629" xr:uid="{00000000-0005-0000-0000-0000D85D0000}"/>
    <cellStyle name="Normal 6 12 38" xfId="9386" xr:uid="{00000000-0005-0000-0000-0000D95D0000}"/>
    <cellStyle name="Normal 6 12 39" xfId="3596" xr:uid="{00000000-0005-0000-0000-0000DA5D0000}"/>
    <cellStyle name="Normal 6 12 4" xfId="26562" xr:uid="{00000000-0005-0000-0000-0000DB5D0000}"/>
    <cellStyle name="Normal 6 12 40" xfId="6038" xr:uid="{00000000-0005-0000-0000-0000DC5D0000}"/>
    <cellStyle name="Normal 6 12 41" xfId="11169" xr:uid="{00000000-0005-0000-0000-0000DD5D0000}"/>
    <cellStyle name="Normal 6 12 42" xfId="8835" xr:uid="{00000000-0005-0000-0000-0000DE5D0000}"/>
    <cellStyle name="Normal 6 12 43" xfId="9711" xr:uid="{00000000-0005-0000-0000-0000DF5D0000}"/>
    <cellStyle name="Normal 6 12 5" xfId="25966" xr:uid="{00000000-0005-0000-0000-0000E05D0000}"/>
    <cellStyle name="Normal 6 12 6" xfId="25370" xr:uid="{00000000-0005-0000-0000-0000E15D0000}"/>
    <cellStyle name="Normal 6 12 7" xfId="24773" xr:uid="{00000000-0005-0000-0000-0000E25D0000}"/>
    <cellStyle name="Normal 6 12 8" xfId="24176" xr:uid="{00000000-0005-0000-0000-0000E35D0000}"/>
    <cellStyle name="Normal 6 12 9" xfId="23579" xr:uid="{00000000-0005-0000-0000-0000E45D0000}"/>
    <cellStyle name="Normal 6 13" xfId="28355" xr:uid="{00000000-0005-0000-0000-0000E55D0000}"/>
    <cellStyle name="Normal 6 13 10" xfId="22981" xr:uid="{00000000-0005-0000-0000-0000E65D0000}"/>
    <cellStyle name="Normal 6 13 11" xfId="22384" xr:uid="{00000000-0005-0000-0000-0000E75D0000}"/>
    <cellStyle name="Normal 6 13 12" xfId="21788" xr:uid="{00000000-0005-0000-0000-0000E85D0000}"/>
    <cellStyle name="Normal 6 13 13" xfId="21191" xr:uid="{00000000-0005-0000-0000-0000E95D0000}"/>
    <cellStyle name="Normal 6 13 14" xfId="20594" xr:uid="{00000000-0005-0000-0000-0000EA5D0000}"/>
    <cellStyle name="Normal 6 13 15" xfId="19997" xr:uid="{00000000-0005-0000-0000-0000EB5D0000}"/>
    <cellStyle name="Normal 6 13 16" xfId="19401" xr:uid="{00000000-0005-0000-0000-0000EC5D0000}"/>
    <cellStyle name="Normal 6 13 17" xfId="18805" xr:uid="{00000000-0005-0000-0000-0000ED5D0000}"/>
    <cellStyle name="Normal 6 13 18" xfId="18213" xr:uid="{00000000-0005-0000-0000-0000EE5D0000}"/>
    <cellStyle name="Normal 6 13 19" xfId="17616" xr:uid="{00000000-0005-0000-0000-0000EF5D0000}"/>
    <cellStyle name="Normal 6 13 2" xfId="27755" xr:uid="{00000000-0005-0000-0000-0000F05D0000}"/>
    <cellStyle name="Normal 6 13 20" xfId="16547" xr:uid="{00000000-0005-0000-0000-0000F15D0000}"/>
    <cellStyle name="Normal 6 13 21" xfId="15021" xr:uid="{00000000-0005-0000-0000-0000F25D0000}"/>
    <cellStyle name="Normal 6 13 22" xfId="14664" xr:uid="{00000000-0005-0000-0000-0000F35D0000}"/>
    <cellStyle name="Normal 6 13 23" xfId="17509" xr:uid="{00000000-0005-0000-0000-0000F45D0000}"/>
    <cellStyle name="Normal 6 13 24" xfId="15208" xr:uid="{00000000-0005-0000-0000-0000F55D0000}"/>
    <cellStyle name="Normal 6 13 25" xfId="15991" xr:uid="{00000000-0005-0000-0000-0000F65D0000}"/>
    <cellStyle name="Normal 6 13 26" xfId="14880" xr:uid="{00000000-0005-0000-0000-0000F75D0000}"/>
    <cellStyle name="Normal 6 13 27" xfId="15378" xr:uid="{00000000-0005-0000-0000-0000F85D0000}"/>
    <cellStyle name="Normal 6 13 28" xfId="12225" xr:uid="{00000000-0005-0000-0000-0000F95D0000}"/>
    <cellStyle name="Normal 6 13 29" xfId="10583" xr:uid="{00000000-0005-0000-0000-0000FA5D0000}"/>
    <cellStyle name="Normal 6 13 3" xfId="27158" xr:uid="{00000000-0005-0000-0000-0000FB5D0000}"/>
    <cellStyle name="Normal 6 13 30" xfId="12114" xr:uid="{00000000-0005-0000-0000-0000FC5D0000}"/>
    <cellStyle name="Normal 6 13 31" xfId="11655" xr:uid="{00000000-0005-0000-0000-0000FD5D0000}"/>
    <cellStyle name="Normal 6 13 32" xfId="9063" xr:uid="{00000000-0005-0000-0000-0000FE5D0000}"/>
    <cellStyle name="Normal 6 13 33" xfId="9741" xr:uid="{00000000-0005-0000-0000-0000FF5D0000}"/>
    <cellStyle name="Normal 6 13 34" xfId="9315" xr:uid="{00000000-0005-0000-0000-0000005E0000}"/>
    <cellStyle name="Normal 6 13 35" xfId="11856" xr:uid="{00000000-0005-0000-0000-0000015E0000}"/>
    <cellStyle name="Normal 6 13 36" xfId="11091" xr:uid="{00000000-0005-0000-0000-0000025E0000}"/>
    <cellStyle name="Normal 6 13 37" xfId="8069" xr:uid="{00000000-0005-0000-0000-0000035E0000}"/>
    <cellStyle name="Normal 6 13 38" xfId="3568" xr:uid="{00000000-0005-0000-0000-0000045E0000}"/>
    <cellStyle name="Normal 6 13 39" xfId="4746" xr:uid="{00000000-0005-0000-0000-0000055E0000}"/>
    <cellStyle name="Normal 6 13 4" xfId="26561" xr:uid="{00000000-0005-0000-0000-0000065E0000}"/>
    <cellStyle name="Normal 6 13 40" xfId="7287" xr:uid="{00000000-0005-0000-0000-0000075E0000}"/>
    <cellStyle name="Normal 6 13 41" xfId="3670" xr:uid="{00000000-0005-0000-0000-0000085E0000}"/>
    <cellStyle name="Normal 6 13 42" xfId="4441" xr:uid="{00000000-0005-0000-0000-0000095E0000}"/>
    <cellStyle name="Normal 6 13 43" xfId="9872" xr:uid="{00000000-0005-0000-0000-00000A5E0000}"/>
    <cellStyle name="Normal 6 13 5" xfId="25965" xr:uid="{00000000-0005-0000-0000-00000B5E0000}"/>
    <cellStyle name="Normal 6 13 6" xfId="25369" xr:uid="{00000000-0005-0000-0000-00000C5E0000}"/>
    <cellStyle name="Normal 6 13 7" xfId="24772" xr:uid="{00000000-0005-0000-0000-00000D5E0000}"/>
    <cellStyle name="Normal 6 13 8" xfId="24175" xr:uid="{00000000-0005-0000-0000-00000E5E0000}"/>
    <cellStyle name="Normal 6 13 9" xfId="23578" xr:uid="{00000000-0005-0000-0000-00000F5E0000}"/>
    <cellStyle name="Normal 6 14" xfId="28354" xr:uid="{00000000-0005-0000-0000-0000105E0000}"/>
    <cellStyle name="Normal 6 14 10" xfId="22980" xr:uid="{00000000-0005-0000-0000-0000115E0000}"/>
    <cellStyle name="Normal 6 14 11" xfId="22383" xr:uid="{00000000-0005-0000-0000-0000125E0000}"/>
    <cellStyle name="Normal 6 14 12" xfId="21787" xr:uid="{00000000-0005-0000-0000-0000135E0000}"/>
    <cellStyle name="Normal 6 14 13" xfId="21190" xr:uid="{00000000-0005-0000-0000-0000145E0000}"/>
    <cellStyle name="Normal 6 14 14" xfId="20593" xr:uid="{00000000-0005-0000-0000-0000155E0000}"/>
    <cellStyle name="Normal 6 14 15" xfId="19996" xr:uid="{00000000-0005-0000-0000-0000165E0000}"/>
    <cellStyle name="Normal 6 14 16" xfId="19400" xr:uid="{00000000-0005-0000-0000-0000175E0000}"/>
    <cellStyle name="Normal 6 14 17" xfId="18804" xr:uid="{00000000-0005-0000-0000-0000185E0000}"/>
    <cellStyle name="Normal 6 14 18" xfId="18212" xr:uid="{00000000-0005-0000-0000-0000195E0000}"/>
    <cellStyle name="Normal 6 14 19" xfId="17615" xr:uid="{00000000-0005-0000-0000-00001A5E0000}"/>
    <cellStyle name="Normal 6 14 2" xfId="27754" xr:uid="{00000000-0005-0000-0000-00001B5E0000}"/>
    <cellStyle name="Normal 6 14 20" xfId="16741" xr:uid="{00000000-0005-0000-0000-00001C5E0000}"/>
    <cellStyle name="Normal 6 14 21" xfId="14608" xr:uid="{00000000-0005-0000-0000-00001D5E0000}"/>
    <cellStyle name="Normal 6 14 22" xfId="15292" xr:uid="{00000000-0005-0000-0000-00001E5E0000}"/>
    <cellStyle name="Normal 6 14 23" xfId="13581" xr:uid="{00000000-0005-0000-0000-00001F5E0000}"/>
    <cellStyle name="Normal 6 14 24" xfId="14653" xr:uid="{00000000-0005-0000-0000-0000205E0000}"/>
    <cellStyle name="Normal 6 14 25" xfId="14071" xr:uid="{00000000-0005-0000-0000-0000215E0000}"/>
    <cellStyle name="Normal 6 14 26" xfId="12925" xr:uid="{00000000-0005-0000-0000-0000225E0000}"/>
    <cellStyle name="Normal 6 14 27" xfId="13125" xr:uid="{00000000-0005-0000-0000-0000235E0000}"/>
    <cellStyle name="Normal 6 14 28" xfId="12224" xr:uid="{00000000-0005-0000-0000-0000245E0000}"/>
    <cellStyle name="Normal 6 14 29" xfId="10798" xr:uid="{00000000-0005-0000-0000-0000255E0000}"/>
    <cellStyle name="Normal 6 14 3" xfId="27157" xr:uid="{00000000-0005-0000-0000-0000265E0000}"/>
    <cellStyle name="Normal 6 14 30" xfId="11430" xr:uid="{00000000-0005-0000-0000-0000275E0000}"/>
    <cellStyle name="Normal 6 14 31" xfId="8488" xr:uid="{00000000-0005-0000-0000-0000285E0000}"/>
    <cellStyle name="Normal 6 14 32" xfId="8414" xr:uid="{00000000-0005-0000-0000-0000295E0000}"/>
    <cellStyle name="Normal 6 14 33" xfId="11811" xr:uid="{00000000-0005-0000-0000-00002A5E0000}"/>
    <cellStyle name="Normal 6 14 34" xfId="10266" xr:uid="{00000000-0005-0000-0000-00002B5E0000}"/>
    <cellStyle name="Normal 6 14 35" xfId="9042" xr:uid="{00000000-0005-0000-0000-00002C5E0000}"/>
    <cellStyle name="Normal 6 14 36" xfId="5023" xr:uid="{00000000-0005-0000-0000-00002D5E0000}"/>
    <cellStyle name="Normal 6 14 37" xfId="7239" xr:uid="{00000000-0005-0000-0000-00002E5E0000}"/>
    <cellStyle name="Normal 6 14 38" xfId="3559" xr:uid="{00000000-0005-0000-0000-00002F5E0000}"/>
    <cellStyle name="Normal 6 14 39" xfId="3603" xr:uid="{00000000-0005-0000-0000-0000305E0000}"/>
    <cellStyle name="Normal 6 14 4" xfId="26560" xr:uid="{00000000-0005-0000-0000-0000315E0000}"/>
    <cellStyle name="Normal 6 14 40" xfId="6209" xr:uid="{00000000-0005-0000-0000-0000325E0000}"/>
    <cellStyle name="Normal 6 14 41" xfId="9319" xr:uid="{00000000-0005-0000-0000-0000335E0000}"/>
    <cellStyle name="Normal 6 14 42" xfId="10313" xr:uid="{00000000-0005-0000-0000-0000345E0000}"/>
    <cellStyle name="Normal 6 14 43" xfId="4546" xr:uid="{00000000-0005-0000-0000-0000355E0000}"/>
    <cellStyle name="Normal 6 14 5" xfId="25964" xr:uid="{00000000-0005-0000-0000-0000365E0000}"/>
    <cellStyle name="Normal 6 14 6" xfId="25368" xr:uid="{00000000-0005-0000-0000-0000375E0000}"/>
    <cellStyle name="Normal 6 14 7" xfId="24771" xr:uid="{00000000-0005-0000-0000-0000385E0000}"/>
    <cellStyle name="Normal 6 14 8" xfId="24174" xr:uid="{00000000-0005-0000-0000-0000395E0000}"/>
    <cellStyle name="Normal 6 14 9" xfId="23577" xr:uid="{00000000-0005-0000-0000-00003A5E0000}"/>
    <cellStyle name="Normal 6 15" xfId="28353" xr:uid="{00000000-0005-0000-0000-00003B5E0000}"/>
    <cellStyle name="Normal 6 15 10" xfId="22979" xr:uid="{00000000-0005-0000-0000-00003C5E0000}"/>
    <cellStyle name="Normal 6 15 11" xfId="22382" xr:uid="{00000000-0005-0000-0000-00003D5E0000}"/>
    <cellStyle name="Normal 6 15 12" xfId="21786" xr:uid="{00000000-0005-0000-0000-00003E5E0000}"/>
    <cellStyle name="Normal 6 15 13" xfId="21189" xr:uid="{00000000-0005-0000-0000-00003F5E0000}"/>
    <cellStyle name="Normal 6 15 14" xfId="20592" xr:uid="{00000000-0005-0000-0000-0000405E0000}"/>
    <cellStyle name="Normal 6 15 15" xfId="19995" xr:uid="{00000000-0005-0000-0000-0000415E0000}"/>
    <cellStyle name="Normal 6 15 16" xfId="19399" xr:uid="{00000000-0005-0000-0000-0000425E0000}"/>
    <cellStyle name="Normal 6 15 17" xfId="18803" xr:uid="{00000000-0005-0000-0000-0000435E0000}"/>
    <cellStyle name="Normal 6 15 18" xfId="18211" xr:uid="{00000000-0005-0000-0000-0000445E0000}"/>
    <cellStyle name="Normal 6 15 19" xfId="17614" xr:uid="{00000000-0005-0000-0000-0000455E0000}"/>
    <cellStyle name="Normal 6 15 2" xfId="27753" xr:uid="{00000000-0005-0000-0000-0000465E0000}"/>
    <cellStyle name="Normal 6 15 20" xfId="16938" xr:uid="{00000000-0005-0000-0000-0000475E0000}"/>
    <cellStyle name="Normal 6 15 21" xfId="14993" xr:uid="{00000000-0005-0000-0000-0000485E0000}"/>
    <cellStyle name="Normal 6 15 22" xfId="15066" xr:uid="{00000000-0005-0000-0000-0000495E0000}"/>
    <cellStyle name="Normal 6 15 23" xfId="13700" xr:uid="{00000000-0005-0000-0000-00004A5E0000}"/>
    <cellStyle name="Normal 6 15 24" xfId="14221" xr:uid="{00000000-0005-0000-0000-00004B5E0000}"/>
    <cellStyle name="Normal 6 15 25" xfId="15183" xr:uid="{00000000-0005-0000-0000-00004C5E0000}"/>
    <cellStyle name="Normal 6 15 26" xfId="14697" xr:uid="{00000000-0005-0000-0000-00004D5E0000}"/>
    <cellStyle name="Normal 6 15 27" xfId="17490" xr:uid="{00000000-0005-0000-0000-00004E5E0000}"/>
    <cellStyle name="Normal 6 15 28" xfId="12223" xr:uid="{00000000-0005-0000-0000-00004F5E0000}"/>
    <cellStyle name="Normal 6 15 29" xfId="11017" xr:uid="{00000000-0005-0000-0000-0000505E0000}"/>
    <cellStyle name="Normal 6 15 3" xfId="27156" xr:uid="{00000000-0005-0000-0000-0000515E0000}"/>
    <cellStyle name="Normal 6 15 30" xfId="12090" xr:uid="{00000000-0005-0000-0000-0000525E0000}"/>
    <cellStyle name="Normal 6 15 31" xfId="6552" xr:uid="{00000000-0005-0000-0000-0000535E0000}"/>
    <cellStyle name="Normal 6 15 32" xfId="9059" xr:uid="{00000000-0005-0000-0000-0000545E0000}"/>
    <cellStyle name="Normal 6 15 33" xfId="10414" xr:uid="{00000000-0005-0000-0000-0000555E0000}"/>
    <cellStyle name="Normal 6 15 34" xfId="10216" xr:uid="{00000000-0005-0000-0000-0000565E0000}"/>
    <cellStyle name="Normal 6 15 35" xfId="5170" xr:uid="{00000000-0005-0000-0000-0000575E0000}"/>
    <cellStyle name="Normal 6 15 36" xfId="5302" xr:uid="{00000000-0005-0000-0000-0000585E0000}"/>
    <cellStyle name="Normal 6 15 37" xfId="10306" xr:uid="{00000000-0005-0000-0000-0000595E0000}"/>
    <cellStyle name="Normal 6 15 38" xfId="3594" xr:uid="{00000000-0005-0000-0000-00005A5E0000}"/>
    <cellStyle name="Normal 6 15 39" xfId="4114" xr:uid="{00000000-0005-0000-0000-00005B5E0000}"/>
    <cellStyle name="Normal 6 15 4" xfId="26559" xr:uid="{00000000-0005-0000-0000-00005C5E0000}"/>
    <cellStyle name="Normal 6 15 40" xfId="6808" xr:uid="{00000000-0005-0000-0000-00005D5E0000}"/>
    <cellStyle name="Normal 6 15 41" xfId="8126" xr:uid="{00000000-0005-0000-0000-00005E5E0000}"/>
    <cellStyle name="Normal 6 15 42" xfId="4093" xr:uid="{00000000-0005-0000-0000-00005F5E0000}"/>
    <cellStyle name="Normal 6 15 43" xfId="4543" xr:uid="{00000000-0005-0000-0000-0000605E0000}"/>
    <cellStyle name="Normal 6 15 5" xfId="25963" xr:uid="{00000000-0005-0000-0000-0000615E0000}"/>
    <cellStyle name="Normal 6 15 6" xfId="25367" xr:uid="{00000000-0005-0000-0000-0000625E0000}"/>
    <cellStyle name="Normal 6 15 7" xfId="24770" xr:uid="{00000000-0005-0000-0000-0000635E0000}"/>
    <cellStyle name="Normal 6 15 8" xfId="24173" xr:uid="{00000000-0005-0000-0000-0000645E0000}"/>
    <cellStyle name="Normal 6 15 9" xfId="23576" xr:uid="{00000000-0005-0000-0000-0000655E0000}"/>
    <cellStyle name="Normal 6 16" xfId="28352" xr:uid="{00000000-0005-0000-0000-0000665E0000}"/>
    <cellStyle name="Normal 6 16 10" xfId="22978" xr:uid="{00000000-0005-0000-0000-0000675E0000}"/>
    <cellStyle name="Normal 6 16 11" xfId="22381" xr:uid="{00000000-0005-0000-0000-0000685E0000}"/>
    <cellStyle name="Normal 6 16 12" xfId="21785" xr:uid="{00000000-0005-0000-0000-0000695E0000}"/>
    <cellStyle name="Normal 6 16 13" xfId="21188" xr:uid="{00000000-0005-0000-0000-00006A5E0000}"/>
    <cellStyle name="Normal 6 16 14" xfId="20591" xr:uid="{00000000-0005-0000-0000-00006B5E0000}"/>
    <cellStyle name="Normal 6 16 15" xfId="19994" xr:uid="{00000000-0005-0000-0000-00006C5E0000}"/>
    <cellStyle name="Normal 6 16 16" xfId="19398" xr:uid="{00000000-0005-0000-0000-00006D5E0000}"/>
    <cellStyle name="Normal 6 16 17" xfId="18802" xr:uid="{00000000-0005-0000-0000-00006E5E0000}"/>
    <cellStyle name="Normal 6 16 18" xfId="18210" xr:uid="{00000000-0005-0000-0000-00006F5E0000}"/>
    <cellStyle name="Normal 6 16 19" xfId="17613" xr:uid="{00000000-0005-0000-0000-0000705E0000}"/>
    <cellStyle name="Normal 6 16 2" xfId="27752" xr:uid="{00000000-0005-0000-0000-0000715E0000}"/>
    <cellStyle name="Normal 6 16 20" xfId="17145" xr:uid="{00000000-0005-0000-0000-0000725E0000}"/>
    <cellStyle name="Normal 6 16 21" xfId="15381" xr:uid="{00000000-0005-0000-0000-0000735E0000}"/>
    <cellStyle name="Normal 6 16 22" xfId="17439" xr:uid="{00000000-0005-0000-0000-0000745E0000}"/>
    <cellStyle name="Normal 6 16 23" xfId="17387" xr:uid="{00000000-0005-0000-0000-0000755E0000}"/>
    <cellStyle name="Normal 6 16 24" xfId="15676" xr:uid="{00000000-0005-0000-0000-0000765E0000}"/>
    <cellStyle name="Normal 6 16 25" xfId="16854" xr:uid="{00000000-0005-0000-0000-0000775E0000}"/>
    <cellStyle name="Normal 6 16 26" xfId="15240" xr:uid="{00000000-0005-0000-0000-0000785E0000}"/>
    <cellStyle name="Normal 6 16 27" xfId="16875" xr:uid="{00000000-0005-0000-0000-0000795E0000}"/>
    <cellStyle name="Normal 6 16 28" xfId="12222" xr:uid="{00000000-0005-0000-0000-00007A5E0000}"/>
    <cellStyle name="Normal 6 16 29" xfId="11245" xr:uid="{00000000-0005-0000-0000-00007B5E0000}"/>
    <cellStyle name="Normal 6 16 3" xfId="27155" xr:uid="{00000000-0005-0000-0000-00007C5E0000}"/>
    <cellStyle name="Normal 6 16 30" xfId="12115" xr:uid="{00000000-0005-0000-0000-00007D5E0000}"/>
    <cellStyle name="Normal 6 16 31" xfId="6077" xr:uid="{00000000-0005-0000-0000-00007E5E0000}"/>
    <cellStyle name="Normal 6 16 32" xfId="5401" xr:uid="{00000000-0005-0000-0000-00007F5E0000}"/>
    <cellStyle name="Normal 6 16 33" xfId="5192" xr:uid="{00000000-0005-0000-0000-0000805E0000}"/>
    <cellStyle name="Normal 6 16 34" xfId="10249" xr:uid="{00000000-0005-0000-0000-0000815E0000}"/>
    <cellStyle name="Normal 6 16 35" xfId="11323" xr:uid="{00000000-0005-0000-0000-0000825E0000}"/>
    <cellStyle name="Normal 6 16 36" xfId="11758" xr:uid="{00000000-0005-0000-0000-0000835E0000}"/>
    <cellStyle name="Normal 6 16 37" xfId="6265" xr:uid="{00000000-0005-0000-0000-0000845E0000}"/>
    <cellStyle name="Normal 6 16 38" xfId="9217" xr:uid="{00000000-0005-0000-0000-0000855E0000}"/>
    <cellStyle name="Normal 6 16 39" xfId="9921" xr:uid="{00000000-0005-0000-0000-0000865E0000}"/>
    <cellStyle name="Normal 6 16 4" xfId="26558" xr:uid="{00000000-0005-0000-0000-0000875E0000}"/>
    <cellStyle name="Normal 6 16 40" xfId="6960" xr:uid="{00000000-0005-0000-0000-0000885E0000}"/>
    <cellStyle name="Normal 6 16 41" xfId="7457" xr:uid="{00000000-0005-0000-0000-0000895E0000}"/>
    <cellStyle name="Normal 6 16 42" xfId="4990" xr:uid="{00000000-0005-0000-0000-00008A5E0000}"/>
    <cellStyle name="Normal 6 16 43" xfId="4674" xr:uid="{00000000-0005-0000-0000-00008B5E0000}"/>
    <cellStyle name="Normal 6 16 5" xfId="25962" xr:uid="{00000000-0005-0000-0000-00008C5E0000}"/>
    <cellStyle name="Normal 6 16 6" xfId="25366" xr:uid="{00000000-0005-0000-0000-00008D5E0000}"/>
    <cellStyle name="Normal 6 16 7" xfId="24769" xr:uid="{00000000-0005-0000-0000-00008E5E0000}"/>
    <cellStyle name="Normal 6 16 8" xfId="24172" xr:uid="{00000000-0005-0000-0000-00008F5E0000}"/>
    <cellStyle name="Normal 6 16 9" xfId="23575" xr:uid="{00000000-0005-0000-0000-0000905E0000}"/>
    <cellStyle name="Normal 6 17" xfId="28351" xr:uid="{00000000-0005-0000-0000-0000915E0000}"/>
    <cellStyle name="Normal 6 17 10" xfId="22977" xr:uid="{00000000-0005-0000-0000-0000925E0000}"/>
    <cellStyle name="Normal 6 17 11" xfId="22380" xr:uid="{00000000-0005-0000-0000-0000935E0000}"/>
    <cellStyle name="Normal 6 17 12" xfId="21784" xr:uid="{00000000-0005-0000-0000-0000945E0000}"/>
    <cellStyle name="Normal 6 17 13" xfId="21187" xr:uid="{00000000-0005-0000-0000-0000955E0000}"/>
    <cellStyle name="Normal 6 17 14" xfId="20590" xr:uid="{00000000-0005-0000-0000-0000965E0000}"/>
    <cellStyle name="Normal 6 17 15" xfId="19993" xr:uid="{00000000-0005-0000-0000-0000975E0000}"/>
    <cellStyle name="Normal 6 17 16" xfId="19397" xr:uid="{00000000-0005-0000-0000-0000985E0000}"/>
    <cellStyle name="Normal 6 17 17" xfId="18801" xr:uid="{00000000-0005-0000-0000-0000995E0000}"/>
    <cellStyle name="Normal 6 17 18" xfId="18209" xr:uid="{00000000-0005-0000-0000-00009A5E0000}"/>
    <cellStyle name="Normal 6 17 19" xfId="17612" xr:uid="{00000000-0005-0000-0000-00009B5E0000}"/>
    <cellStyle name="Normal 6 17 2" xfId="27751" xr:uid="{00000000-0005-0000-0000-00009C5E0000}"/>
    <cellStyle name="Normal 6 17 20" xfId="17338" xr:uid="{00000000-0005-0000-0000-00009D5E0000}"/>
    <cellStyle name="Normal 6 17 21" xfId="14969" xr:uid="{00000000-0005-0000-0000-00009E5E0000}"/>
    <cellStyle name="Normal 6 17 22" xfId="16863" xr:uid="{00000000-0005-0000-0000-00009F5E0000}"/>
    <cellStyle name="Normal 6 17 23" xfId="14703" xr:uid="{00000000-0005-0000-0000-0000A05E0000}"/>
    <cellStyle name="Normal 6 17 24" xfId="17193" xr:uid="{00000000-0005-0000-0000-0000A15E0000}"/>
    <cellStyle name="Normal 6 17 25" xfId="16836" xr:uid="{00000000-0005-0000-0000-0000A25E0000}"/>
    <cellStyle name="Normal 6 17 26" xfId="14309" xr:uid="{00000000-0005-0000-0000-0000A35E0000}"/>
    <cellStyle name="Normal 6 17 27" xfId="15838" xr:uid="{00000000-0005-0000-0000-0000A45E0000}"/>
    <cellStyle name="Normal 6 17 28" xfId="12221" xr:uid="{00000000-0005-0000-0000-0000A55E0000}"/>
    <cellStyle name="Normal 6 17 29" xfId="11478" xr:uid="{00000000-0005-0000-0000-0000A65E0000}"/>
    <cellStyle name="Normal 6 17 3" xfId="27154" xr:uid="{00000000-0005-0000-0000-0000A75E0000}"/>
    <cellStyle name="Normal 6 17 30" xfId="9834" xr:uid="{00000000-0005-0000-0000-0000A85E0000}"/>
    <cellStyle name="Normal 6 17 31" xfId="6906" xr:uid="{00000000-0005-0000-0000-0000A95E0000}"/>
    <cellStyle name="Normal 6 17 32" xfId="7597" xr:uid="{00000000-0005-0000-0000-0000AA5E0000}"/>
    <cellStyle name="Normal 6 17 33" xfId="8466" xr:uid="{00000000-0005-0000-0000-0000AB5E0000}"/>
    <cellStyle name="Normal 6 17 34" xfId="8226" xr:uid="{00000000-0005-0000-0000-0000AC5E0000}"/>
    <cellStyle name="Normal 6 17 35" xfId="9416" xr:uid="{00000000-0005-0000-0000-0000AD5E0000}"/>
    <cellStyle name="Normal 6 17 36" xfId="10329" xr:uid="{00000000-0005-0000-0000-0000AE5E0000}"/>
    <cellStyle name="Normal 6 17 37" xfId="7920" xr:uid="{00000000-0005-0000-0000-0000AF5E0000}"/>
    <cellStyle name="Normal 6 17 38" xfId="5494" xr:uid="{00000000-0005-0000-0000-0000B05E0000}"/>
    <cellStyle name="Normal 6 17 39" xfId="3878" xr:uid="{00000000-0005-0000-0000-0000B15E0000}"/>
    <cellStyle name="Normal 6 17 4" xfId="26557" xr:uid="{00000000-0005-0000-0000-0000B25E0000}"/>
    <cellStyle name="Normal 6 17 40" xfId="3999" xr:uid="{00000000-0005-0000-0000-0000B35E0000}"/>
    <cellStyle name="Normal 6 17 41" xfId="3190" xr:uid="{00000000-0005-0000-0000-0000B45E0000}"/>
    <cellStyle name="Normal 6 17 42" xfId="9358" xr:uid="{00000000-0005-0000-0000-0000B55E0000}"/>
    <cellStyle name="Normal 6 17 43" xfId="8022" xr:uid="{00000000-0005-0000-0000-0000B65E0000}"/>
    <cellStyle name="Normal 6 17 5" xfId="25961" xr:uid="{00000000-0005-0000-0000-0000B75E0000}"/>
    <cellStyle name="Normal 6 17 6" xfId="25365" xr:uid="{00000000-0005-0000-0000-0000B85E0000}"/>
    <cellStyle name="Normal 6 17 7" xfId="24768" xr:uid="{00000000-0005-0000-0000-0000B95E0000}"/>
    <cellStyle name="Normal 6 17 8" xfId="24171" xr:uid="{00000000-0005-0000-0000-0000BA5E0000}"/>
    <cellStyle name="Normal 6 17 9" xfId="23574" xr:uid="{00000000-0005-0000-0000-0000BB5E0000}"/>
    <cellStyle name="Normal 6 18" xfId="28350" xr:uid="{00000000-0005-0000-0000-0000BC5E0000}"/>
    <cellStyle name="Normal 6 18 10" xfId="22976" xr:uid="{00000000-0005-0000-0000-0000BD5E0000}"/>
    <cellStyle name="Normal 6 18 11" xfId="22379" xr:uid="{00000000-0005-0000-0000-0000BE5E0000}"/>
    <cellStyle name="Normal 6 18 12" xfId="21783" xr:uid="{00000000-0005-0000-0000-0000BF5E0000}"/>
    <cellStyle name="Normal 6 18 13" xfId="21186" xr:uid="{00000000-0005-0000-0000-0000C05E0000}"/>
    <cellStyle name="Normal 6 18 14" xfId="20589" xr:uid="{00000000-0005-0000-0000-0000C15E0000}"/>
    <cellStyle name="Normal 6 18 15" xfId="19992" xr:uid="{00000000-0005-0000-0000-0000C25E0000}"/>
    <cellStyle name="Normal 6 18 16" xfId="19396" xr:uid="{00000000-0005-0000-0000-0000C35E0000}"/>
    <cellStyle name="Normal 6 18 17" xfId="18800" xr:uid="{00000000-0005-0000-0000-0000C45E0000}"/>
    <cellStyle name="Normal 6 18 18" xfId="18208" xr:uid="{00000000-0005-0000-0000-0000C55E0000}"/>
    <cellStyle name="Normal 6 18 19" xfId="17611" xr:uid="{00000000-0005-0000-0000-0000C65E0000}"/>
    <cellStyle name="Normal 6 18 2" xfId="27750" xr:uid="{00000000-0005-0000-0000-0000C75E0000}"/>
    <cellStyle name="Normal 6 18 20" xfId="14171" xr:uid="{00000000-0005-0000-0000-0000C85E0000}"/>
    <cellStyle name="Normal 6 18 21" xfId="14564" xr:uid="{00000000-0005-0000-0000-0000C95E0000}"/>
    <cellStyle name="Normal 6 18 22" xfId="13532" xr:uid="{00000000-0005-0000-0000-0000CA5E0000}"/>
    <cellStyle name="Normal 6 18 23" xfId="13381" xr:uid="{00000000-0005-0000-0000-0000CB5E0000}"/>
    <cellStyle name="Normal 6 18 24" xfId="13409" xr:uid="{00000000-0005-0000-0000-0000CC5E0000}"/>
    <cellStyle name="Normal 6 18 25" xfId="13086" xr:uid="{00000000-0005-0000-0000-0000CD5E0000}"/>
    <cellStyle name="Normal 6 18 26" xfId="12879" xr:uid="{00000000-0005-0000-0000-0000CE5E0000}"/>
    <cellStyle name="Normal 6 18 27" xfId="16170" xr:uid="{00000000-0005-0000-0000-0000CF5E0000}"/>
    <cellStyle name="Normal 6 18 28" xfId="12220" xr:uid="{00000000-0005-0000-0000-0000D05E0000}"/>
    <cellStyle name="Normal 6 18 29" xfId="11702" xr:uid="{00000000-0005-0000-0000-0000D15E0000}"/>
    <cellStyle name="Normal 6 18 3" xfId="27153" xr:uid="{00000000-0005-0000-0000-0000D25E0000}"/>
    <cellStyle name="Normal 6 18 30" xfId="7836" xr:uid="{00000000-0005-0000-0000-0000D35E0000}"/>
    <cellStyle name="Normal 6 18 31" xfId="11212" xr:uid="{00000000-0005-0000-0000-0000D45E0000}"/>
    <cellStyle name="Normal 6 18 32" xfId="5434" xr:uid="{00000000-0005-0000-0000-0000D55E0000}"/>
    <cellStyle name="Normal 6 18 33" xfId="7015" xr:uid="{00000000-0005-0000-0000-0000D65E0000}"/>
    <cellStyle name="Normal 6 18 34" xfId="4551" xr:uid="{00000000-0005-0000-0000-0000D75E0000}"/>
    <cellStyle name="Normal 6 18 35" xfId="5984" xr:uid="{00000000-0005-0000-0000-0000D85E0000}"/>
    <cellStyle name="Normal 6 18 36" xfId="11395" xr:uid="{00000000-0005-0000-0000-0000D95E0000}"/>
    <cellStyle name="Normal 6 18 37" xfId="6279" xr:uid="{00000000-0005-0000-0000-0000DA5E0000}"/>
    <cellStyle name="Normal 6 18 38" xfId="3909" xr:uid="{00000000-0005-0000-0000-0000DB5E0000}"/>
    <cellStyle name="Normal 6 18 39" xfId="10618" xr:uid="{00000000-0005-0000-0000-0000DC5E0000}"/>
    <cellStyle name="Normal 6 18 4" xfId="26556" xr:uid="{00000000-0005-0000-0000-0000DD5E0000}"/>
    <cellStyle name="Normal 6 18 40" xfId="7708" xr:uid="{00000000-0005-0000-0000-0000DE5E0000}"/>
    <cellStyle name="Normal 6 18 41" xfId="6116" xr:uid="{00000000-0005-0000-0000-0000DF5E0000}"/>
    <cellStyle name="Normal 6 18 42" xfId="11199" xr:uid="{00000000-0005-0000-0000-0000E05E0000}"/>
    <cellStyle name="Normal 6 18 43" xfId="9579" xr:uid="{00000000-0005-0000-0000-0000E15E0000}"/>
    <cellStyle name="Normal 6 18 5" xfId="25960" xr:uid="{00000000-0005-0000-0000-0000E25E0000}"/>
    <cellStyle name="Normal 6 18 6" xfId="25364" xr:uid="{00000000-0005-0000-0000-0000E35E0000}"/>
    <cellStyle name="Normal 6 18 7" xfId="24767" xr:uid="{00000000-0005-0000-0000-0000E45E0000}"/>
    <cellStyle name="Normal 6 18 8" xfId="24170" xr:uid="{00000000-0005-0000-0000-0000E55E0000}"/>
    <cellStyle name="Normal 6 18 9" xfId="23573" xr:uid="{00000000-0005-0000-0000-0000E65E0000}"/>
    <cellStyle name="Normal 6 19" xfId="28349" xr:uid="{00000000-0005-0000-0000-0000E75E0000}"/>
    <cellStyle name="Normal 6 19 10" xfId="22975" xr:uid="{00000000-0005-0000-0000-0000E85E0000}"/>
    <cellStyle name="Normal 6 19 11" xfId="22378" xr:uid="{00000000-0005-0000-0000-0000E95E0000}"/>
    <cellStyle name="Normal 6 19 12" xfId="21782" xr:uid="{00000000-0005-0000-0000-0000EA5E0000}"/>
    <cellStyle name="Normal 6 19 13" xfId="21185" xr:uid="{00000000-0005-0000-0000-0000EB5E0000}"/>
    <cellStyle name="Normal 6 19 14" xfId="20588" xr:uid="{00000000-0005-0000-0000-0000EC5E0000}"/>
    <cellStyle name="Normal 6 19 15" xfId="19991" xr:uid="{00000000-0005-0000-0000-0000ED5E0000}"/>
    <cellStyle name="Normal 6 19 16" xfId="19395" xr:uid="{00000000-0005-0000-0000-0000EE5E0000}"/>
    <cellStyle name="Normal 6 19 17" xfId="18799" xr:uid="{00000000-0005-0000-0000-0000EF5E0000}"/>
    <cellStyle name="Normal 6 19 18" xfId="18207" xr:uid="{00000000-0005-0000-0000-0000F05E0000}"/>
    <cellStyle name="Normal 6 19 19" xfId="17610" xr:uid="{00000000-0005-0000-0000-0000F15E0000}"/>
    <cellStyle name="Normal 6 19 2" xfId="27749" xr:uid="{00000000-0005-0000-0000-0000F25E0000}"/>
    <cellStyle name="Normal 6 19 20" xfId="14360" xr:uid="{00000000-0005-0000-0000-0000F35E0000}"/>
    <cellStyle name="Normal 6 19 21" xfId="13982" xr:uid="{00000000-0005-0000-0000-0000F45E0000}"/>
    <cellStyle name="Normal 6 19 22" xfId="16091" xr:uid="{00000000-0005-0000-0000-0000F55E0000}"/>
    <cellStyle name="Normal 6 19 23" xfId="16692" xr:uid="{00000000-0005-0000-0000-0000F65E0000}"/>
    <cellStyle name="Normal 6 19 24" xfId="14383" xr:uid="{00000000-0005-0000-0000-0000F75E0000}"/>
    <cellStyle name="Normal 6 19 25" xfId="15653" xr:uid="{00000000-0005-0000-0000-0000F85E0000}"/>
    <cellStyle name="Normal 6 19 26" xfId="15495" xr:uid="{00000000-0005-0000-0000-0000F95E0000}"/>
    <cellStyle name="Normal 6 19 27" xfId="15683" xr:uid="{00000000-0005-0000-0000-0000FA5E0000}"/>
    <cellStyle name="Normal 6 19 28" xfId="12219" xr:uid="{00000000-0005-0000-0000-0000FB5E0000}"/>
    <cellStyle name="Normal 6 19 29" xfId="6637" xr:uid="{00000000-0005-0000-0000-0000FC5E0000}"/>
    <cellStyle name="Normal 6 19 3" xfId="27152" xr:uid="{00000000-0005-0000-0000-0000FD5E0000}"/>
    <cellStyle name="Normal 6 19 30" xfId="9904" xr:uid="{00000000-0005-0000-0000-0000FE5E0000}"/>
    <cellStyle name="Normal 6 19 31" xfId="8583" xr:uid="{00000000-0005-0000-0000-0000FF5E0000}"/>
    <cellStyle name="Normal 6 19 32" xfId="8938" xr:uid="{00000000-0005-0000-0000-0000005F0000}"/>
    <cellStyle name="Normal 6 19 33" xfId="6274" xr:uid="{00000000-0005-0000-0000-0000015F0000}"/>
    <cellStyle name="Normal 6 19 34" xfId="12116" xr:uid="{00000000-0005-0000-0000-0000025F0000}"/>
    <cellStyle name="Normal 6 19 35" xfId="11036" xr:uid="{00000000-0005-0000-0000-0000035F0000}"/>
    <cellStyle name="Normal 6 19 36" xfId="10174" xr:uid="{00000000-0005-0000-0000-0000045F0000}"/>
    <cellStyle name="Normal 6 19 37" xfId="10236" xr:uid="{00000000-0005-0000-0000-0000055F0000}"/>
    <cellStyle name="Normal 6 19 38" xfId="3741" xr:uid="{00000000-0005-0000-0000-0000065F0000}"/>
    <cellStyle name="Normal 6 19 39" xfId="3631" xr:uid="{00000000-0005-0000-0000-0000075F0000}"/>
    <cellStyle name="Normal 6 19 4" xfId="26555" xr:uid="{00000000-0005-0000-0000-0000085F0000}"/>
    <cellStyle name="Normal 6 19 40" xfId="7831" xr:uid="{00000000-0005-0000-0000-0000095F0000}"/>
    <cellStyle name="Normal 6 19 41" xfId="7797" xr:uid="{00000000-0005-0000-0000-00000A5F0000}"/>
    <cellStyle name="Normal 6 19 42" xfId="3396" xr:uid="{00000000-0005-0000-0000-00000B5F0000}"/>
    <cellStyle name="Normal 6 19 43" xfId="6837" xr:uid="{00000000-0005-0000-0000-00000C5F0000}"/>
    <cellStyle name="Normal 6 19 5" xfId="25959" xr:uid="{00000000-0005-0000-0000-00000D5F0000}"/>
    <cellStyle name="Normal 6 19 6" xfId="25363" xr:uid="{00000000-0005-0000-0000-00000E5F0000}"/>
    <cellStyle name="Normal 6 19 7" xfId="24766" xr:uid="{00000000-0005-0000-0000-00000F5F0000}"/>
    <cellStyle name="Normal 6 19 8" xfId="24169" xr:uid="{00000000-0005-0000-0000-0000105F0000}"/>
    <cellStyle name="Normal 6 19 9" xfId="23572" xr:uid="{00000000-0005-0000-0000-0000115F0000}"/>
    <cellStyle name="Normal 6 2" xfId="28348" xr:uid="{00000000-0005-0000-0000-0000125F0000}"/>
    <cellStyle name="Normal 6 2 10" xfId="22974" xr:uid="{00000000-0005-0000-0000-0000135F0000}"/>
    <cellStyle name="Normal 6 2 11" xfId="22377" xr:uid="{00000000-0005-0000-0000-0000145F0000}"/>
    <cellStyle name="Normal 6 2 12" xfId="21781" xr:uid="{00000000-0005-0000-0000-0000155F0000}"/>
    <cellStyle name="Normal 6 2 13" xfId="21184" xr:uid="{00000000-0005-0000-0000-0000165F0000}"/>
    <cellStyle name="Normal 6 2 14" xfId="20587" xr:uid="{00000000-0005-0000-0000-0000175F0000}"/>
    <cellStyle name="Normal 6 2 15" xfId="19990" xr:uid="{00000000-0005-0000-0000-0000185F0000}"/>
    <cellStyle name="Normal 6 2 16" xfId="19394" xr:uid="{00000000-0005-0000-0000-0000195F0000}"/>
    <cellStyle name="Normal 6 2 17" xfId="18798" xr:uid="{00000000-0005-0000-0000-00001A5F0000}"/>
    <cellStyle name="Normal 6 2 18" xfId="18206" xr:uid="{00000000-0005-0000-0000-00001B5F0000}"/>
    <cellStyle name="Normal 6 2 19" xfId="17609" xr:uid="{00000000-0005-0000-0000-00001C5F0000}"/>
    <cellStyle name="Normal 6 2 2" xfId="27748" xr:uid="{00000000-0005-0000-0000-00001D5F0000}"/>
    <cellStyle name="Normal 6 2 20" xfId="14551" xr:uid="{00000000-0005-0000-0000-00001E5F0000}"/>
    <cellStyle name="Normal 6 2 21" xfId="17308" xr:uid="{00000000-0005-0000-0000-00001F5F0000}"/>
    <cellStyle name="Normal 6 2 22" xfId="13674" xr:uid="{00000000-0005-0000-0000-0000205F0000}"/>
    <cellStyle name="Normal 6 2 23" xfId="14233" xr:uid="{00000000-0005-0000-0000-0000215F0000}"/>
    <cellStyle name="Normal 6 2 24" xfId="14391" xr:uid="{00000000-0005-0000-0000-0000225F0000}"/>
    <cellStyle name="Normal 6 2 25" xfId="16563" xr:uid="{00000000-0005-0000-0000-0000235F0000}"/>
    <cellStyle name="Normal 6 2 26" xfId="14962" xr:uid="{00000000-0005-0000-0000-0000245F0000}"/>
    <cellStyle name="Normal 6 2 27" xfId="15820" xr:uid="{00000000-0005-0000-0000-0000255F0000}"/>
    <cellStyle name="Normal 6 2 28" xfId="12218" xr:uid="{00000000-0005-0000-0000-0000265F0000}"/>
    <cellStyle name="Normal 6 2 29" xfId="6331" xr:uid="{00000000-0005-0000-0000-0000275F0000}"/>
    <cellStyle name="Normal 6 2 3" xfId="27151" xr:uid="{00000000-0005-0000-0000-0000285F0000}"/>
    <cellStyle name="Normal 6 2 30" xfId="8239" xr:uid="{00000000-0005-0000-0000-0000295F0000}"/>
    <cellStyle name="Normal 6 2 31" xfId="9981" xr:uid="{00000000-0005-0000-0000-00002A5F0000}"/>
    <cellStyle name="Normal 6 2 32" xfId="6157" xr:uid="{00000000-0005-0000-0000-00002B5F0000}"/>
    <cellStyle name="Normal 6 2 33" xfId="5610" xr:uid="{00000000-0005-0000-0000-00002C5F0000}"/>
    <cellStyle name="Normal 6 2 34" xfId="4680" xr:uid="{00000000-0005-0000-0000-00002D5F0000}"/>
    <cellStyle name="Normal 6 2 35" xfId="4696" xr:uid="{00000000-0005-0000-0000-00002E5F0000}"/>
    <cellStyle name="Normal 6 2 36" xfId="7696" xr:uid="{00000000-0005-0000-0000-00002F5F0000}"/>
    <cellStyle name="Normal 6 2 37" xfId="6523" xr:uid="{00000000-0005-0000-0000-0000305F0000}"/>
    <cellStyle name="Normal 6 2 38" xfId="11618" xr:uid="{00000000-0005-0000-0000-0000315F0000}"/>
    <cellStyle name="Normal 6 2 39" xfId="6261" xr:uid="{00000000-0005-0000-0000-0000325F0000}"/>
    <cellStyle name="Normal 6 2 4" xfId="26554" xr:uid="{00000000-0005-0000-0000-0000335F0000}"/>
    <cellStyle name="Normal 6 2 40" xfId="3589" xr:uid="{00000000-0005-0000-0000-0000345F0000}"/>
    <cellStyle name="Normal 6 2 41" xfId="3205" xr:uid="{00000000-0005-0000-0000-0000355F0000}"/>
    <cellStyle name="Normal 6 2 42" xfId="3186" xr:uid="{00000000-0005-0000-0000-0000365F0000}"/>
    <cellStyle name="Normal 6 2 43" xfId="6840" xr:uid="{00000000-0005-0000-0000-0000375F0000}"/>
    <cellStyle name="Normal 6 2 44" xfId="2876" xr:uid="{00000000-0005-0000-0000-0000385F0000}"/>
    <cellStyle name="Normal 6 2 45" xfId="2633" xr:uid="{00000000-0005-0000-0000-0000395F0000}"/>
    <cellStyle name="Normal 6 2 46" xfId="2393" xr:uid="{00000000-0005-0000-0000-00003A5F0000}"/>
    <cellStyle name="Normal 6 2 47" xfId="2153" xr:uid="{00000000-0005-0000-0000-00003B5F0000}"/>
    <cellStyle name="Normal 6 2 48" xfId="1913" xr:uid="{00000000-0005-0000-0000-00003C5F0000}"/>
    <cellStyle name="Normal 6 2 49" xfId="1673" xr:uid="{00000000-0005-0000-0000-00003D5F0000}"/>
    <cellStyle name="Normal 6 2 5" xfId="25958" xr:uid="{00000000-0005-0000-0000-00003E5F0000}"/>
    <cellStyle name="Normal 6 2 50" xfId="1434" xr:uid="{00000000-0005-0000-0000-00003F5F0000}"/>
    <cellStyle name="Normal 6 2 51" xfId="1194" xr:uid="{00000000-0005-0000-0000-0000405F0000}"/>
    <cellStyle name="Normal 6 2 52" xfId="954" xr:uid="{00000000-0005-0000-0000-0000415F0000}"/>
    <cellStyle name="Normal 6 2 53" xfId="714" xr:uid="{00000000-0005-0000-0000-0000425F0000}"/>
    <cellStyle name="Normal 6 2 54" xfId="474" xr:uid="{00000000-0005-0000-0000-0000435F0000}"/>
    <cellStyle name="Normal 6 2 55" xfId="235" xr:uid="{00000000-0005-0000-0000-0000445F0000}"/>
    <cellStyle name="Normal 6 2 56" xfId="28857" xr:uid="{00000000-0005-0000-0000-0000455F0000}"/>
    <cellStyle name="Normal 6 2 6" xfId="25362" xr:uid="{00000000-0005-0000-0000-0000465F0000}"/>
    <cellStyle name="Normal 6 2 7" xfId="24765" xr:uid="{00000000-0005-0000-0000-0000475F0000}"/>
    <cellStyle name="Normal 6 2 8" xfId="24168" xr:uid="{00000000-0005-0000-0000-0000485F0000}"/>
    <cellStyle name="Normal 6 2 9" xfId="23571" xr:uid="{00000000-0005-0000-0000-0000495F0000}"/>
    <cellStyle name="Normal 6 20" xfId="28347" xr:uid="{00000000-0005-0000-0000-00004A5F0000}"/>
    <cellStyle name="Normal 6 20 10" xfId="22973" xr:uid="{00000000-0005-0000-0000-00004B5F0000}"/>
    <cellStyle name="Normal 6 20 11" xfId="22376" xr:uid="{00000000-0005-0000-0000-00004C5F0000}"/>
    <cellStyle name="Normal 6 20 12" xfId="21780" xr:uid="{00000000-0005-0000-0000-00004D5F0000}"/>
    <cellStyle name="Normal 6 20 13" xfId="21183" xr:uid="{00000000-0005-0000-0000-00004E5F0000}"/>
    <cellStyle name="Normal 6 20 14" xfId="20586" xr:uid="{00000000-0005-0000-0000-00004F5F0000}"/>
    <cellStyle name="Normal 6 20 15" xfId="19989" xr:uid="{00000000-0005-0000-0000-0000505F0000}"/>
    <cellStyle name="Normal 6 20 16" xfId="19393" xr:uid="{00000000-0005-0000-0000-0000515F0000}"/>
    <cellStyle name="Normal 6 20 17" xfId="18797" xr:uid="{00000000-0005-0000-0000-0000525F0000}"/>
    <cellStyle name="Normal 6 20 18" xfId="18205" xr:uid="{00000000-0005-0000-0000-0000535F0000}"/>
    <cellStyle name="Normal 6 20 19" xfId="17608" xr:uid="{00000000-0005-0000-0000-0000545F0000}"/>
    <cellStyle name="Normal 6 20 2" xfId="27747" xr:uid="{00000000-0005-0000-0000-0000555F0000}"/>
    <cellStyle name="Normal 6 20 20" xfId="14747" xr:uid="{00000000-0005-0000-0000-0000565F0000}"/>
    <cellStyle name="Normal 6 20 21" xfId="17300" xr:uid="{00000000-0005-0000-0000-0000575F0000}"/>
    <cellStyle name="Normal 6 20 22" xfId="13813" xr:uid="{00000000-0005-0000-0000-0000585F0000}"/>
    <cellStyle name="Normal 6 20 23" xfId="15615" xr:uid="{00000000-0005-0000-0000-0000595F0000}"/>
    <cellStyle name="Normal 6 20 24" xfId="16819" xr:uid="{00000000-0005-0000-0000-00005A5F0000}"/>
    <cellStyle name="Normal 6 20 25" xfId="17083" xr:uid="{00000000-0005-0000-0000-00005B5F0000}"/>
    <cellStyle name="Normal 6 20 26" xfId="14365" xr:uid="{00000000-0005-0000-0000-00005C5F0000}"/>
    <cellStyle name="Normal 6 20 27" xfId="17462" xr:uid="{00000000-0005-0000-0000-00005D5F0000}"/>
    <cellStyle name="Normal 6 20 28" xfId="12217" xr:uid="{00000000-0005-0000-0000-00005E5F0000}"/>
    <cellStyle name="Normal 6 20 29" xfId="6442" xr:uid="{00000000-0005-0000-0000-00005F5F0000}"/>
    <cellStyle name="Normal 6 20 3" xfId="27150" xr:uid="{00000000-0005-0000-0000-0000605F0000}"/>
    <cellStyle name="Normal 6 20 30" xfId="8230" xr:uid="{00000000-0005-0000-0000-0000615F0000}"/>
    <cellStyle name="Normal 6 20 31" xfId="10918" xr:uid="{00000000-0005-0000-0000-0000625F0000}"/>
    <cellStyle name="Normal 6 20 32" xfId="10898" xr:uid="{00000000-0005-0000-0000-0000635F0000}"/>
    <cellStyle name="Normal 6 20 33" xfId="9566" xr:uid="{00000000-0005-0000-0000-0000645F0000}"/>
    <cellStyle name="Normal 6 20 34" xfId="9596" xr:uid="{00000000-0005-0000-0000-0000655F0000}"/>
    <cellStyle name="Normal 6 20 35" xfId="5094" xr:uid="{00000000-0005-0000-0000-0000665F0000}"/>
    <cellStyle name="Normal 6 20 36" xfId="4467" xr:uid="{00000000-0005-0000-0000-0000675F0000}"/>
    <cellStyle name="Normal 6 20 37" xfId="4961" xr:uid="{00000000-0005-0000-0000-0000685F0000}"/>
    <cellStyle name="Normal 6 20 38" xfId="8770" xr:uid="{00000000-0005-0000-0000-0000695F0000}"/>
    <cellStyle name="Normal 6 20 39" xfId="6194" xr:uid="{00000000-0005-0000-0000-00006A5F0000}"/>
    <cellStyle name="Normal 6 20 4" xfId="26553" xr:uid="{00000000-0005-0000-0000-00006B5F0000}"/>
    <cellStyle name="Normal 6 20 40" xfId="11885" xr:uid="{00000000-0005-0000-0000-00006C5F0000}"/>
    <cellStyle name="Normal 6 20 41" xfId="3212" xr:uid="{00000000-0005-0000-0000-00006D5F0000}"/>
    <cellStyle name="Normal 6 20 42" xfId="4474" xr:uid="{00000000-0005-0000-0000-00006E5F0000}"/>
    <cellStyle name="Normal 6 20 43" xfId="3185" xr:uid="{00000000-0005-0000-0000-00006F5F0000}"/>
    <cellStyle name="Normal 6 20 5" xfId="25957" xr:uid="{00000000-0005-0000-0000-0000705F0000}"/>
    <cellStyle name="Normal 6 20 6" xfId="25361" xr:uid="{00000000-0005-0000-0000-0000715F0000}"/>
    <cellStyle name="Normal 6 20 7" xfId="24764" xr:uid="{00000000-0005-0000-0000-0000725F0000}"/>
    <cellStyle name="Normal 6 20 8" xfId="24167" xr:uid="{00000000-0005-0000-0000-0000735F0000}"/>
    <cellStyle name="Normal 6 20 9" xfId="23570" xr:uid="{00000000-0005-0000-0000-0000745F0000}"/>
    <cellStyle name="Normal 6 21" xfId="28346" xr:uid="{00000000-0005-0000-0000-0000755F0000}"/>
    <cellStyle name="Normal 6 21 10" xfId="22972" xr:uid="{00000000-0005-0000-0000-0000765F0000}"/>
    <cellStyle name="Normal 6 21 11" xfId="22375" xr:uid="{00000000-0005-0000-0000-0000775F0000}"/>
    <cellStyle name="Normal 6 21 12" xfId="21779" xr:uid="{00000000-0005-0000-0000-0000785F0000}"/>
    <cellStyle name="Normal 6 21 13" xfId="21182" xr:uid="{00000000-0005-0000-0000-0000795F0000}"/>
    <cellStyle name="Normal 6 21 14" xfId="20585" xr:uid="{00000000-0005-0000-0000-00007A5F0000}"/>
    <cellStyle name="Normal 6 21 15" xfId="19988" xr:uid="{00000000-0005-0000-0000-00007B5F0000}"/>
    <cellStyle name="Normal 6 21 16" xfId="19392" xr:uid="{00000000-0005-0000-0000-00007C5F0000}"/>
    <cellStyle name="Normal 6 21 17" xfId="18796" xr:uid="{00000000-0005-0000-0000-00007D5F0000}"/>
    <cellStyle name="Normal 6 21 18" xfId="18204" xr:uid="{00000000-0005-0000-0000-00007E5F0000}"/>
    <cellStyle name="Normal 6 21 19" xfId="17607" xr:uid="{00000000-0005-0000-0000-00007F5F0000}"/>
    <cellStyle name="Normal 6 21 2" xfId="27746" xr:uid="{00000000-0005-0000-0000-0000805F0000}"/>
    <cellStyle name="Normal 6 21 20" xfId="14950" xr:uid="{00000000-0005-0000-0000-0000815F0000}"/>
    <cellStyle name="Normal 6 21 21" xfId="17293" xr:uid="{00000000-0005-0000-0000-0000825F0000}"/>
    <cellStyle name="Normal 6 21 22" xfId="14123" xr:uid="{00000000-0005-0000-0000-0000835F0000}"/>
    <cellStyle name="Normal 6 21 23" xfId="14789" xr:uid="{00000000-0005-0000-0000-0000845F0000}"/>
    <cellStyle name="Normal 6 21 24" xfId="15623" xr:uid="{00000000-0005-0000-0000-0000855F0000}"/>
    <cellStyle name="Normal 6 21 25" xfId="13784" xr:uid="{00000000-0005-0000-0000-0000865F0000}"/>
    <cellStyle name="Normal 6 21 26" xfId="13589" xr:uid="{00000000-0005-0000-0000-0000875F0000}"/>
    <cellStyle name="Normal 6 21 27" xfId="13254" xr:uid="{00000000-0005-0000-0000-0000885F0000}"/>
    <cellStyle name="Normal 6 21 28" xfId="12216" xr:uid="{00000000-0005-0000-0000-0000895F0000}"/>
    <cellStyle name="Normal 6 21 29" xfId="6536" xr:uid="{00000000-0005-0000-0000-00008A5F0000}"/>
    <cellStyle name="Normal 6 21 3" xfId="27149" xr:uid="{00000000-0005-0000-0000-00008B5F0000}"/>
    <cellStyle name="Normal 6 21 30" xfId="6543" xr:uid="{00000000-0005-0000-0000-00008C5F0000}"/>
    <cellStyle name="Normal 6 21 31" xfId="10018" xr:uid="{00000000-0005-0000-0000-00008D5F0000}"/>
    <cellStyle name="Normal 6 21 32" xfId="10190" xr:uid="{00000000-0005-0000-0000-00008E5F0000}"/>
    <cellStyle name="Normal 6 21 33" xfId="6572" xr:uid="{00000000-0005-0000-0000-00008F5F0000}"/>
    <cellStyle name="Normal 6 21 34" xfId="4687" xr:uid="{00000000-0005-0000-0000-0000905F0000}"/>
    <cellStyle name="Normal 6 21 35" xfId="8362" xr:uid="{00000000-0005-0000-0000-0000915F0000}"/>
    <cellStyle name="Normal 6 21 36" xfId="6724" xr:uid="{00000000-0005-0000-0000-0000925F0000}"/>
    <cellStyle name="Normal 6 21 37" xfId="8221" xr:uid="{00000000-0005-0000-0000-0000935F0000}"/>
    <cellStyle name="Normal 6 21 38" xfId="5563" xr:uid="{00000000-0005-0000-0000-0000945F0000}"/>
    <cellStyle name="Normal 6 21 39" xfId="7782" xr:uid="{00000000-0005-0000-0000-0000955F0000}"/>
    <cellStyle name="Normal 6 21 4" xfId="26552" xr:uid="{00000000-0005-0000-0000-0000965F0000}"/>
    <cellStyle name="Normal 6 21 40" xfId="3583" xr:uid="{00000000-0005-0000-0000-0000975F0000}"/>
    <cellStyle name="Normal 6 21 41" xfId="4718" xr:uid="{00000000-0005-0000-0000-0000985F0000}"/>
    <cellStyle name="Normal 6 21 42" xfId="8328" xr:uid="{00000000-0005-0000-0000-0000995F0000}"/>
    <cellStyle name="Normal 6 21 43" xfId="4588" xr:uid="{00000000-0005-0000-0000-00009A5F0000}"/>
    <cellStyle name="Normal 6 21 5" xfId="25956" xr:uid="{00000000-0005-0000-0000-00009B5F0000}"/>
    <cellStyle name="Normal 6 21 6" xfId="25360" xr:uid="{00000000-0005-0000-0000-00009C5F0000}"/>
    <cellStyle name="Normal 6 21 7" xfId="24763" xr:uid="{00000000-0005-0000-0000-00009D5F0000}"/>
    <cellStyle name="Normal 6 21 8" xfId="24166" xr:uid="{00000000-0005-0000-0000-00009E5F0000}"/>
    <cellStyle name="Normal 6 21 9" xfId="23569" xr:uid="{00000000-0005-0000-0000-00009F5F0000}"/>
    <cellStyle name="Normal 6 22" xfId="28345" xr:uid="{00000000-0005-0000-0000-0000A05F0000}"/>
    <cellStyle name="Normal 6 22 10" xfId="22971" xr:uid="{00000000-0005-0000-0000-0000A15F0000}"/>
    <cellStyle name="Normal 6 22 11" xfId="22374" xr:uid="{00000000-0005-0000-0000-0000A25F0000}"/>
    <cellStyle name="Normal 6 22 12" xfId="21778" xr:uid="{00000000-0005-0000-0000-0000A35F0000}"/>
    <cellStyle name="Normal 6 22 13" xfId="21181" xr:uid="{00000000-0005-0000-0000-0000A45F0000}"/>
    <cellStyle name="Normal 6 22 14" xfId="20584" xr:uid="{00000000-0005-0000-0000-0000A55F0000}"/>
    <cellStyle name="Normal 6 22 15" xfId="19987" xr:uid="{00000000-0005-0000-0000-0000A65F0000}"/>
    <cellStyle name="Normal 6 22 16" xfId="19391" xr:uid="{00000000-0005-0000-0000-0000A75F0000}"/>
    <cellStyle name="Normal 6 22 17" xfId="18795" xr:uid="{00000000-0005-0000-0000-0000A85F0000}"/>
    <cellStyle name="Normal 6 22 18" xfId="18203" xr:uid="{00000000-0005-0000-0000-0000A95F0000}"/>
    <cellStyle name="Normal 6 22 19" xfId="17606" xr:uid="{00000000-0005-0000-0000-0000AA5F0000}"/>
    <cellStyle name="Normal 6 22 2" xfId="27745" xr:uid="{00000000-0005-0000-0000-0000AB5F0000}"/>
    <cellStyle name="Normal 6 22 20" xfId="15157" xr:uid="{00000000-0005-0000-0000-0000AC5F0000}"/>
    <cellStyle name="Normal 6 22 21" xfId="17078" xr:uid="{00000000-0005-0000-0000-0000AD5F0000}"/>
    <cellStyle name="Normal 6 22 22" xfId="14115" xr:uid="{00000000-0005-0000-0000-0000AE5F0000}"/>
    <cellStyle name="Normal 6 22 23" xfId="14106" xr:uid="{00000000-0005-0000-0000-0000AF5F0000}"/>
    <cellStyle name="Normal 6 22 24" xfId="16514" xr:uid="{00000000-0005-0000-0000-0000B05F0000}"/>
    <cellStyle name="Normal 6 22 25" xfId="16516" xr:uid="{00000000-0005-0000-0000-0000B15F0000}"/>
    <cellStyle name="Normal 6 22 26" xfId="16111" xr:uid="{00000000-0005-0000-0000-0000B25F0000}"/>
    <cellStyle name="Normal 6 22 27" xfId="17087" xr:uid="{00000000-0005-0000-0000-0000B35F0000}"/>
    <cellStyle name="Normal 6 22 28" xfId="12215" xr:uid="{00000000-0005-0000-0000-0000B45F0000}"/>
    <cellStyle name="Normal 6 22 29" xfId="6545" xr:uid="{00000000-0005-0000-0000-0000B55F0000}"/>
    <cellStyle name="Normal 6 22 3" xfId="27148" xr:uid="{00000000-0005-0000-0000-0000B65F0000}"/>
    <cellStyle name="Normal 6 22 30" xfId="10254" xr:uid="{00000000-0005-0000-0000-0000B75F0000}"/>
    <cellStyle name="Normal 6 22 31" xfId="8425" xr:uid="{00000000-0005-0000-0000-0000B85F0000}"/>
    <cellStyle name="Normal 6 22 32" xfId="7722" xr:uid="{00000000-0005-0000-0000-0000B95F0000}"/>
    <cellStyle name="Normal 6 22 33" xfId="10953" xr:uid="{00000000-0005-0000-0000-0000BA5F0000}"/>
    <cellStyle name="Normal 6 22 34" xfId="4789" xr:uid="{00000000-0005-0000-0000-0000BB5F0000}"/>
    <cellStyle name="Normal 6 22 35" xfId="10740" xr:uid="{00000000-0005-0000-0000-0000BC5F0000}"/>
    <cellStyle name="Normal 6 22 36" xfId="5312" xr:uid="{00000000-0005-0000-0000-0000BD5F0000}"/>
    <cellStyle name="Normal 6 22 37" xfId="6880" xr:uid="{00000000-0005-0000-0000-0000BE5F0000}"/>
    <cellStyle name="Normal 6 22 38" xfId="5006" xr:uid="{00000000-0005-0000-0000-0000BF5F0000}"/>
    <cellStyle name="Normal 6 22 39" xfId="9733" xr:uid="{00000000-0005-0000-0000-0000C05F0000}"/>
    <cellStyle name="Normal 6 22 4" xfId="26551" xr:uid="{00000000-0005-0000-0000-0000C15F0000}"/>
    <cellStyle name="Normal 6 22 40" xfId="3728" xr:uid="{00000000-0005-0000-0000-0000C25F0000}"/>
    <cellStyle name="Normal 6 22 41" xfId="3466" xr:uid="{00000000-0005-0000-0000-0000C35F0000}"/>
    <cellStyle name="Normal 6 22 42" xfId="7774" xr:uid="{00000000-0005-0000-0000-0000C45F0000}"/>
    <cellStyle name="Normal 6 22 43" xfId="3418" xr:uid="{00000000-0005-0000-0000-0000C55F0000}"/>
    <cellStyle name="Normal 6 22 5" xfId="25955" xr:uid="{00000000-0005-0000-0000-0000C65F0000}"/>
    <cellStyle name="Normal 6 22 6" xfId="25359" xr:uid="{00000000-0005-0000-0000-0000C75F0000}"/>
    <cellStyle name="Normal 6 22 7" xfId="24762" xr:uid="{00000000-0005-0000-0000-0000C85F0000}"/>
    <cellStyle name="Normal 6 22 8" xfId="24165" xr:uid="{00000000-0005-0000-0000-0000C95F0000}"/>
    <cellStyle name="Normal 6 22 9" xfId="23568" xr:uid="{00000000-0005-0000-0000-0000CA5F0000}"/>
    <cellStyle name="Normal 6 23" xfId="28344" xr:uid="{00000000-0005-0000-0000-0000CB5F0000}"/>
    <cellStyle name="Normal 6 23 10" xfId="22970" xr:uid="{00000000-0005-0000-0000-0000CC5F0000}"/>
    <cellStyle name="Normal 6 23 11" xfId="22373" xr:uid="{00000000-0005-0000-0000-0000CD5F0000}"/>
    <cellStyle name="Normal 6 23 12" xfId="21777" xr:uid="{00000000-0005-0000-0000-0000CE5F0000}"/>
    <cellStyle name="Normal 6 23 13" xfId="21180" xr:uid="{00000000-0005-0000-0000-0000CF5F0000}"/>
    <cellStyle name="Normal 6 23 14" xfId="20583" xr:uid="{00000000-0005-0000-0000-0000D05F0000}"/>
    <cellStyle name="Normal 6 23 15" xfId="19986" xr:uid="{00000000-0005-0000-0000-0000D15F0000}"/>
    <cellStyle name="Normal 6 23 16" xfId="19390" xr:uid="{00000000-0005-0000-0000-0000D25F0000}"/>
    <cellStyle name="Normal 6 23 17" xfId="18794" xr:uid="{00000000-0005-0000-0000-0000D35F0000}"/>
    <cellStyle name="Normal 6 23 18" xfId="18202" xr:uid="{00000000-0005-0000-0000-0000D45F0000}"/>
    <cellStyle name="Normal 6 23 19" xfId="17605" xr:uid="{00000000-0005-0000-0000-0000D55F0000}"/>
    <cellStyle name="Normal 6 23 2" xfId="27744" xr:uid="{00000000-0005-0000-0000-0000D65F0000}"/>
    <cellStyle name="Normal 6 23 20" xfId="15352" xr:uid="{00000000-0005-0000-0000-0000D75F0000}"/>
    <cellStyle name="Normal 6 23 21" xfId="17068" xr:uid="{00000000-0005-0000-0000-0000D85F0000}"/>
    <cellStyle name="Normal 6 23 22" xfId="14104" xr:uid="{00000000-0005-0000-0000-0000D95F0000}"/>
    <cellStyle name="Normal 6 23 23" xfId="14310" xr:uid="{00000000-0005-0000-0000-0000DA5F0000}"/>
    <cellStyle name="Normal 6 23 24" xfId="16578" xr:uid="{00000000-0005-0000-0000-0000DB5F0000}"/>
    <cellStyle name="Normal 6 23 25" xfId="13901" xr:uid="{00000000-0005-0000-0000-0000DC5F0000}"/>
    <cellStyle name="Normal 6 23 26" xfId="13456" xr:uid="{00000000-0005-0000-0000-0000DD5F0000}"/>
    <cellStyle name="Normal 6 23 27" xfId="15257" xr:uid="{00000000-0005-0000-0000-0000DE5F0000}"/>
    <cellStyle name="Normal 6 23 28" xfId="12214" xr:uid="{00000000-0005-0000-0000-0000DF5F0000}"/>
    <cellStyle name="Normal 6 23 29" xfId="6611" xr:uid="{00000000-0005-0000-0000-0000E05F0000}"/>
    <cellStyle name="Normal 6 23 3" xfId="27147" xr:uid="{00000000-0005-0000-0000-0000E15F0000}"/>
    <cellStyle name="Normal 6 23 30" xfId="10012" xr:uid="{00000000-0005-0000-0000-0000E25F0000}"/>
    <cellStyle name="Normal 6 23 31" xfId="6912" xr:uid="{00000000-0005-0000-0000-0000E35F0000}"/>
    <cellStyle name="Normal 6 23 32" xfId="7757" xr:uid="{00000000-0005-0000-0000-0000E45F0000}"/>
    <cellStyle name="Normal 6 23 33" xfId="8870" xr:uid="{00000000-0005-0000-0000-0000E55F0000}"/>
    <cellStyle name="Normal 6 23 34" xfId="4777" xr:uid="{00000000-0005-0000-0000-0000E65F0000}"/>
    <cellStyle name="Normal 6 23 35" xfId="7649" xr:uid="{00000000-0005-0000-0000-0000E75F0000}"/>
    <cellStyle name="Normal 6 23 36" xfId="6136" xr:uid="{00000000-0005-0000-0000-0000E85F0000}"/>
    <cellStyle name="Normal 6 23 37" xfId="4795" xr:uid="{00000000-0005-0000-0000-0000E95F0000}"/>
    <cellStyle name="Normal 6 23 38" xfId="6205" xr:uid="{00000000-0005-0000-0000-0000EA5F0000}"/>
    <cellStyle name="Normal 6 23 39" xfId="7601" xr:uid="{00000000-0005-0000-0000-0000EB5F0000}"/>
    <cellStyle name="Normal 6 23 4" xfId="26550" xr:uid="{00000000-0005-0000-0000-0000EC5F0000}"/>
    <cellStyle name="Normal 6 23 40" xfId="11951" xr:uid="{00000000-0005-0000-0000-0000ED5F0000}"/>
    <cellStyle name="Normal 6 23 41" xfId="9991" xr:uid="{00000000-0005-0000-0000-0000EE5F0000}"/>
    <cellStyle name="Normal 6 23 42" xfId="7106" xr:uid="{00000000-0005-0000-0000-0000EF5F0000}"/>
    <cellStyle name="Normal 6 23 43" xfId="10227" xr:uid="{00000000-0005-0000-0000-0000F05F0000}"/>
    <cellStyle name="Normal 6 23 5" xfId="25954" xr:uid="{00000000-0005-0000-0000-0000F15F0000}"/>
    <cellStyle name="Normal 6 23 6" xfId="25358" xr:uid="{00000000-0005-0000-0000-0000F25F0000}"/>
    <cellStyle name="Normal 6 23 7" xfId="24761" xr:uid="{00000000-0005-0000-0000-0000F35F0000}"/>
    <cellStyle name="Normal 6 23 8" xfId="24164" xr:uid="{00000000-0005-0000-0000-0000F45F0000}"/>
    <cellStyle name="Normal 6 23 9" xfId="23567" xr:uid="{00000000-0005-0000-0000-0000F55F0000}"/>
    <cellStyle name="Normal 6 24" xfId="28343" xr:uid="{00000000-0005-0000-0000-0000F65F0000}"/>
    <cellStyle name="Normal 6 24 10" xfId="22969" xr:uid="{00000000-0005-0000-0000-0000F75F0000}"/>
    <cellStyle name="Normal 6 24 11" xfId="22372" xr:uid="{00000000-0005-0000-0000-0000F85F0000}"/>
    <cellStyle name="Normal 6 24 12" xfId="21776" xr:uid="{00000000-0005-0000-0000-0000F95F0000}"/>
    <cellStyle name="Normal 6 24 13" xfId="21179" xr:uid="{00000000-0005-0000-0000-0000FA5F0000}"/>
    <cellStyle name="Normal 6 24 14" xfId="20582" xr:uid="{00000000-0005-0000-0000-0000FB5F0000}"/>
    <cellStyle name="Normal 6 24 15" xfId="19985" xr:uid="{00000000-0005-0000-0000-0000FC5F0000}"/>
    <cellStyle name="Normal 6 24 16" xfId="19389" xr:uid="{00000000-0005-0000-0000-0000FD5F0000}"/>
    <cellStyle name="Normal 6 24 17" xfId="18793" xr:uid="{00000000-0005-0000-0000-0000FE5F0000}"/>
    <cellStyle name="Normal 6 24 18" xfId="18201" xr:uid="{00000000-0005-0000-0000-0000FF5F0000}"/>
    <cellStyle name="Normal 6 24 19" xfId="17604" xr:uid="{00000000-0005-0000-0000-000000600000}"/>
    <cellStyle name="Normal 6 24 2" xfId="27743" xr:uid="{00000000-0005-0000-0000-000001600000}"/>
    <cellStyle name="Normal 6 24 20" xfId="15559" xr:uid="{00000000-0005-0000-0000-000002600000}"/>
    <cellStyle name="Normal 6 24 21" xfId="16668" xr:uid="{00000000-0005-0000-0000-000003600000}"/>
    <cellStyle name="Normal 6 24 22" xfId="17153" xr:uid="{00000000-0005-0000-0000-000004600000}"/>
    <cellStyle name="Normal 6 24 23" xfId="15452" xr:uid="{00000000-0005-0000-0000-000005600000}"/>
    <cellStyle name="Normal 6 24 24" xfId="15673" xr:uid="{00000000-0005-0000-0000-000006600000}"/>
    <cellStyle name="Normal 6 24 25" xfId="13320" xr:uid="{00000000-0005-0000-0000-000007600000}"/>
    <cellStyle name="Normal 6 24 26" xfId="13746" xr:uid="{00000000-0005-0000-0000-000008600000}"/>
    <cellStyle name="Normal 6 24 27" xfId="16223" xr:uid="{00000000-0005-0000-0000-000009600000}"/>
    <cellStyle name="Normal 6 24 28" xfId="12213" xr:uid="{00000000-0005-0000-0000-00000A600000}"/>
    <cellStyle name="Normal 6 24 29" xfId="8013" xr:uid="{00000000-0005-0000-0000-00000B600000}"/>
    <cellStyle name="Normal 6 24 3" xfId="27146" xr:uid="{00000000-0005-0000-0000-00000C600000}"/>
    <cellStyle name="Normal 6 24 30" xfId="10904" xr:uid="{00000000-0005-0000-0000-00000D600000}"/>
    <cellStyle name="Normal 6 24 31" xfId="11122" xr:uid="{00000000-0005-0000-0000-00000E600000}"/>
    <cellStyle name="Normal 6 24 32" xfId="7566" xr:uid="{00000000-0005-0000-0000-00000F600000}"/>
    <cellStyle name="Normal 6 24 33" xfId="6003" xr:uid="{00000000-0005-0000-0000-000010600000}"/>
    <cellStyle name="Normal 6 24 34" xfId="10157" xr:uid="{00000000-0005-0000-0000-000011600000}"/>
    <cellStyle name="Normal 6 24 35" xfId="7965" xr:uid="{00000000-0005-0000-0000-000012600000}"/>
    <cellStyle name="Normal 6 24 36" xfId="9668" xr:uid="{00000000-0005-0000-0000-000013600000}"/>
    <cellStyle name="Normal 6 24 37" xfId="7935" xr:uid="{00000000-0005-0000-0000-000014600000}"/>
    <cellStyle name="Normal 6 24 38" xfId="5649" xr:uid="{00000000-0005-0000-0000-000015600000}"/>
    <cellStyle name="Normal 6 24 39" xfId="9341" xr:uid="{00000000-0005-0000-0000-000016600000}"/>
    <cellStyle name="Normal 6 24 4" xfId="26549" xr:uid="{00000000-0005-0000-0000-000017600000}"/>
    <cellStyle name="Normal 6 24 40" xfId="3426" xr:uid="{00000000-0005-0000-0000-000018600000}"/>
    <cellStyle name="Normal 6 24 41" xfId="8537" xr:uid="{00000000-0005-0000-0000-000019600000}"/>
    <cellStyle name="Normal 6 24 42" xfId="8284" xr:uid="{00000000-0005-0000-0000-00001A600000}"/>
    <cellStyle name="Normal 6 24 43" xfId="3855" xr:uid="{00000000-0005-0000-0000-00001B600000}"/>
    <cellStyle name="Normal 6 24 5" xfId="25953" xr:uid="{00000000-0005-0000-0000-00001C600000}"/>
    <cellStyle name="Normal 6 24 6" xfId="25357" xr:uid="{00000000-0005-0000-0000-00001D600000}"/>
    <cellStyle name="Normal 6 24 7" xfId="24760" xr:uid="{00000000-0005-0000-0000-00001E600000}"/>
    <cellStyle name="Normal 6 24 8" xfId="24163" xr:uid="{00000000-0005-0000-0000-00001F600000}"/>
    <cellStyle name="Normal 6 24 9" xfId="23566" xr:uid="{00000000-0005-0000-0000-000020600000}"/>
    <cellStyle name="Normal 6 25" xfId="28342" xr:uid="{00000000-0005-0000-0000-000021600000}"/>
    <cellStyle name="Normal 6 25 10" xfId="22968" xr:uid="{00000000-0005-0000-0000-000022600000}"/>
    <cellStyle name="Normal 6 25 11" xfId="22371" xr:uid="{00000000-0005-0000-0000-000023600000}"/>
    <cellStyle name="Normal 6 25 12" xfId="21775" xr:uid="{00000000-0005-0000-0000-000024600000}"/>
    <cellStyle name="Normal 6 25 13" xfId="21178" xr:uid="{00000000-0005-0000-0000-000025600000}"/>
    <cellStyle name="Normal 6 25 14" xfId="20581" xr:uid="{00000000-0005-0000-0000-000026600000}"/>
    <cellStyle name="Normal 6 25 15" xfId="19984" xr:uid="{00000000-0005-0000-0000-000027600000}"/>
    <cellStyle name="Normal 6 25 16" xfId="19388" xr:uid="{00000000-0005-0000-0000-000028600000}"/>
    <cellStyle name="Normal 6 25 17" xfId="18792" xr:uid="{00000000-0005-0000-0000-000029600000}"/>
    <cellStyle name="Normal 6 25 18" xfId="18200" xr:uid="{00000000-0005-0000-0000-00002A600000}"/>
    <cellStyle name="Normal 6 25 19" xfId="17603" xr:uid="{00000000-0005-0000-0000-00002B600000}"/>
    <cellStyle name="Normal 6 25 2" xfId="27742" xr:uid="{00000000-0005-0000-0000-00002C600000}"/>
    <cellStyle name="Normal 6 25 20" xfId="15749" xr:uid="{00000000-0005-0000-0000-00002D600000}"/>
    <cellStyle name="Normal 6 25 21" xfId="16660" xr:uid="{00000000-0005-0000-0000-00002E600000}"/>
    <cellStyle name="Normal 6 25 22" xfId="14366" xr:uid="{00000000-0005-0000-0000-00002F600000}"/>
    <cellStyle name="Normal 6 25 23" xfId="13890" xr:uid="{00000000-0005-0000-0000-000030600000}"/>
    <cellStyle name="Normal 6 25 24" xfId="14102" xr:uid="{00000000-0005-0000-0000-000031600000}"/>
    <cellStyle name="Normal 6 25 25" xfId="15074" xr:uid="{00000000-0005-0000-0000-000032600000}"/>
    <cellStyle name="Normal 6 25 26" xfId="14478" xr:uid="{00000000-0005-0000-0000-000033600000}"/>
    <cellStyle name="Normal 6 25 27" xfId="15476" xr:uid="{00000000-0005-0000-0000-000034600000}"/>
    <cellStyle name="Normal 6 25 28" xfId="12212" xr:uid="{00000000-0005-0000-0000-000035600000}"/>
    <cellStyle name="Normal 6 25 29" xfId="8007" xr:uid="{00000000-0005-0000-0000-000036600000}"/>
    <cellStyle name="Normal 6 25 3" xfId="27145" xr:uid="{00000000-0005-0000-0000-000037600000}"/>
    <cellStyle name="Normal 6 25 30" xfId="11118" xr:uid="{00000000-0005-0000-0000-000038600000}"/>
    <cellStyle name="Normal 6 25 31" xfId="6524" xr:uid="{00000000-0005-0000-0000-000039600000}"/>
    <cellStyle name="Normal 6 25 32" xfId="9780" xr:uid="{00000000-0005-0000-0000-00003A600000}"/>
    <cellStyle name="Normal 6 25 33" xfId="11325" xr:uid="{00000000-0005-0000-0000-00003B600000}"/>
    <cellStyle name="Normal 6 25 34" xfId="5728" xr:uid="{00000000-0005-0000-0000-00003C600000}"/>
    <cellStyle name="Normal 6 25 35" xfId="7882" xr:uid="{00000000-0005-0000-0000-00003D600000}"/>
    <cellStyle name="Normal 6 25 36" xfId="10286" xr:uid="{00000000-0005-0000-0000-00003E600000}"/>
    <cellStyle name="Normal 6 25 37" xfId="7368" xr:uid="{00000000-0005-0000-0000-00003F600000}"/>
    <cellStyle name="Normal 6 25 38" xfId="6218" xr:uid="{00000000-0005-0000-0000-000040600000}"/>
    <cellStyle name="Normal 6 25 39" xfId="10382" xr:uid="{00000000-0005-0000-0000-000041600000}"/>
    <cellStyle name="Normal 6 25 4" xfId="26548" xr:uid="{00000000-0005-0000-0000-000042600000}"/>
    <cellStyle name="Normal 6 25 40" xfId="10505" xr:uid="{00000000-0005-0000-0000-000043600000}"/>
    <cellStyle name="Normal 6 25 41" xfId="5237" xr:uid="{00000000-0005-0000-0000-000044600000}"/>
    <cellStyle name="Normal 6 25 42" xfId="8440" xr:uid="{00000000-0005-0000-0000-000045600000}"/>
    <cellStyle name="Normal 6 25 43" xfId="3719" xr:uid="{00000000-0005-0000-0000-000046600000}"/>
    <cellStyle name="Normal 6 25 5" xfId="25952" xr:uid="{00000000-0005-0000-0000-000047600000}"/>
    <cellStyle name="Normal 6 25 6" xfId="25356" xr:uid="{00000000-0005-0000-0000-000048600000}"/>
    <cellStyle name="Normal 6 25 7" xfId="24759" xr:uid="{00000000-0005-0000-0000-000049600000}"/>
    <cellStyle name="Normal 6 25 8" xfId="24162" xr:uid="{00000000-0005-0000-0000-00004A600000}"/>
    <cellStyle name="Normal 6 25 9" xfId="23565" xr:uid="{00000000-0005-0000-0000-00004B600000}"/>
    <cellStyle name="Normal 6 26" xfId="28341" xr:uid="{00000000-0005-0000-0000-00004C600000}"/>
    <cellStyle name="Normal 6 26 10" xfId="22967" xr:uid="{00000000-0005-0000-0000-00004D600000}"/>
    <cellStyle name="Normal 6 26 11" xfId="22370" xr:uid="{00000000-0005-0000-0000-00004E600000}"/>
    <cellStyle name="Normal 6 26 12" xfId="21774" xr:uid="{00000000-0005-0000-0000-00004F600000}"/>
    <cellStyle name="Normal 6 26 13" xfId="21177" xr:uid="{00000000-0005-0000-0000-000050600000}"/>
    <cellStyle name="Normal 6 26 14" xfId="20580" xr:uid="{00000000-0005-0000-0000-000051600000}"/>
    <cellStyle name="Normal 6 26 15" xfId="19983" xr:uid="{00000000-0005-0000-0000-000052600000}"/>
    <cellStyle name="Normal 6 26 16" xfId="19387" xr:uid="{00000000-0005-0000-0000-000053600000}"/>
    <cellStyle name="Normal 6 26 17" xfId="18791" xr:uid="{00000000-0005-0000-0000-000054600000}"/>
    <cellStyle name="Normal 6 26 18" xfId="18199" xr:uid="{00000000-0005-0000-0000-000055600000}"/>
    <cellStyle name="Normal 6 26 19" xfId="17602" xr:uid="{00000000-0005-0000-0000-000056600000}"/>
    <cellStyle name="Normal 6 26 2" xfId="27741" xr:uid="{00000000-0005-0000-0000-000057600000}"/>
    <cellStyle name="Normal 6 26 20" xfId="15949" xr:uid="{00000000-0005-0000-0000-000058600000}"/>
    <cellStyle name="Normal 6 26 21" xfId="16246" xr:uid="{00000000-0005-0000-0000-000059600000}"/>
    <cellStyle name="Normal 6 26 22" xfId="15377" xr:uid="{00000000-0005-0000-0000-00005A600000}"/>
    <cellStyle name="Normal 6 26 23" xfId="14200" xr:uid="{00000000-0005-0000-0000-00005B600000}"/>
    <cellStyle name="Normal 6 26 24" xfId="14648" xr:uid="{00000000-0005-0000-0000-00005C600000}"/>
    <cellStyle name="Normal 6 26 25" xfId="17166" xr:uid="{00000000-0005-0000-0000-00005D600000}"/>
    <cellStyle name="Normal 6 26 26" xfId="15102" xr:uid="{00000000-0005-0000-0000-00005E600000}"/>
    <cellStyle name="Normal 6 26 27" xfId="17422" xr:uid="{00000000-0005-0000-0000-00005F600000}"/>
    <cellStyle name="Normal 6 26 28" xfId="12211" xr:uid="{00000000-0005-0000-0000-000060600000}"/>
    <cellStyle name="Normal 6 26 29" xfId="11917" xr:uid="{00000000-0005-0000-0000-000061600000}"/>
    <cellStyle name="Normal 6 26 3" xfId="27144" xr:uid="{00000000-0005-0000-0000-000062600000}"/>
    <cellStyle name="Normal 6 26 30" xfId="11334" xr:uid="{00000000-0005-0000-0000-000063600000}"/>
    <cellStyle name="Normal 6 26 31" xfId="6229" xr:uid="{00000000-0005-0000-0000-000064600000}"/>
    <cellStyle name="Normal 6 26 32" xfId="8077" xr:uid="{00000000-0005-0000-0000-000065600000}"/>
    <cellStyle name="Normal 6 26 33" xfId="9277" xr:uid="{00000000-0005-0000-0000-000066600000}"/>
    <cellStyle name="Normal 6 26 34" xfId="9175" xr:uid="{00000000-0005-0000-0000-000067600000}"/>
    <cellStyle name="Normal 6 26 35" xfId="5952" xr:uid="{00000000-0005-0000-0000-000068600000}"/>
    <cellStyle name="Normal 6 26 36" xfId="11798" xr:uid="{00000000-0005-0000-0000-000069600000}"/>
    <cellStyle name="Normal 6 26 37" xfId="7055" xr:uid="{00000000-0005-0000-0000-00006A600000}"/>
    <cellStyle name="Normal 6 26 38" xfId="3766" xr:uid="{00000000-0005-0000-0000-00006B600000}"/>
    <cellStyle name="Normal 6 26 39" xfId="4231" xr:uid="{00000000-0005-0000-0000-00006C600000}"/>
    <cellStyle name="Normal 6 26 4" xfId="26547" xr:uid="{00000000-0005-0000-0000-00006D600000}"/>
    <cellStyle name="Normal 6 26 40" xfId="9068" xr:uid="{00000000-0005-0000-0000-00006E600000}"/>
    <cellStyle name="Normal 6 26 41" xfId="4443" xr:uid="{00000000-0005-0000-0000-00006F600000}"/>
    <cellStyle name="Normal 6 26 42" xfId="8988" xr:uid="{00000000-0005-0000-0000-000070600000}"/>
    <cellStyle name="Normal 6 26 43" xfId="3742" xr:uid="{00000000-0005-0000-0000-000071600000}"/>
    <cellStyle name="Normal 6 26 5" xfId="25951" xr:uid="{00000000-0005-0000-0000-000072600000}"/>
    <cellStyle name="Normal 6 26 6" xfId="25355" xr:uid="{00000000-0005-0000-0000-000073600000}"/>
    <cellStyle name="Normal 6 26 7" xfId="24758" xr:uid="{00000000-0005-0000-0000-000074600000}"/>
    <cellStyle name="Normal 6 26 8" xfId="24161" xr:uid="{00000000-0005-0000-0000-000075600000}"/>
    <cellStyle name="Normal 6 26 9" xfId="23564" xr:uid="{00000000-0005-0000-0000-000076600000}"/>
    <cellStyle name="Normal 6 27" xfId="27759" xr:uid="{00000000-0005-0000-0000-000077600000}"/>
    <cellStyle name="Normal 6 28" xfId="27162" xr:uid="{00000000-0005-0000-0000-000078600000}"/>
    <cellStyle name="Normal 6 29" xfId="26565" xr:uid="{00000000-0005-0000-0000-000079600000}"/>
    <cellStyle name="Normal 6 3" xfId="28340" xr:uid="{00000000-0005-0000-0000-00007A600000}"/>
    <cellStyle name="Normal 6 3 10" xfId="22966" xr:uid="{00000000-0005-0000-0000-00007B600000}"/>
    <cellStyle name="Normal 6 3 11" xfId="22369" xr:uid="{00000000-0005-0000-0000-00007C600000}"/>
    <cellStyle name="Normal 6 3 12" xfId="21773" xr:uid="{00000000-0005-0000-0000-00007D600000}"/>
    <cellStyle name="Normal 6 3 13" xfId="21176" xr:uid="{00000000-0005-0000-0000-00007E600000}"/>
    <cellStyle name="Normal 6 3 14" xfId="20579" xr:uid="{00000000-0005-0000-0000-00007F600000}"/>
    <cellStyle name="Normal 6 3 15" xfId="19982" xr:uid="{00000000-0005-0000-0000-000080600000}"/>
    <cellStyle name="Normal 6 3 16" xfId="19386" xr:uid="{00000000-0005-0000-0000-000081600000}"/>
    <cellStyle name="Normal 6 3 17" xfId="18790" xr:uid="{00000000-0005-0000-0000-000082600000}"/>
    <cellStyle name="Normal 6 3 18" xfId="18198" xr:uid="{00000000-0005-0000-0000-000083600000}"/>
    <cellStyle name="Normal 6 3 19" xfId="17601" xr:uid="{00000000-0005-0000-0000-000084600000}"/>
    <cellStyle name="Normal 6 3 2" xfId="27740" xr:uid="{00000000-0005-0000-0000-000085600000}"/>
    <cellStyle name="Normal 6 3 20" xfId="16157" xr:uid="{00000000-0005-0000-0000-000086600000}"/>
    <cellStyle name="Normal 6 3 21" xfId="15636" xr:uid="{00000000-0005-0000-0000-000087600000}"/>
    <cellStyle name="Normal 6 3 22" xfId="15587" xr:uid="{00000000-0005-0000-0000-000088600000}"/>
    <cellStyle name="Normal 6 3 23" xfId="16795" xr:uid="{00000000-0005-0000-0000-000089600000}"/>
    <cellStyle name="Normal 6 3 24" xfId="13155" xr:uid="{00000000-0005-0000-0000-00008A600000}"/>
    <cellStyle name="Normal 6 3 25" xfId="16163" xr:uid="{00000000-0005-0000-0000-00008B600000}"/>
    <cellStyle name="Normal 6 3 26" xfId="16599" xr:uid="{00000000-0005-0000-0000-00008C600000}"/>
    <cellStyle name="Normal 6 3 27" xfId="15857" xr:uid="{00000000-0005-0000-0000-00008D600000}"/>
    <cellStyle name="Normal 6 3 28" xfId="12210" xr:uid="{00000000-0005-0000-0000-00008E600000}"/>
    <cellStyle name="Normal 6 3 29" xfId="8097" xr:uid="{00000000-0005-0000-0000-00008F600000}"/>
    <cellStyle name="Normal 6 3 3" xfId="27143" xr:uid="{00000000-0005-0000-0000-000090600000}"/>
    <cellStyle name="Normal 6 3 30" xfId="11784" xr:uid="{00000000-0005-0000-0000-000091600000}"/>
    <cellStyle name="Normal 6 3 31" xfId="5641" xr:uid="{00000000-0005-0000-0000-000092600000}"/>
    <cellStyle name="Normal 6 3 32" xfId="10035" xr:uid="{00000000-0005-0000-0000-000093600000}"/>
    <cellStyle name="Normal 6 3 33" xfId="6244" xr:uid="{00000000-0005-0000-0000-000094600000}"/>
    <cellStyle name="Normal 6 3 34" xfId="8458" xr:uid="{00000000-0005-0000-0000-000095600000}"/>
    <cellStyle name="Normal 6 3 35" xfId="10556" xr:uid="{00000000-0005-0000-0000-000096600000}"/>
    <cellStyle name="Normal 6 3 36" xfId="11846" xr:uid="{00000000-0005-0000-0000-000097600000}"/>
    <cellStyle name="Normal 6 3 37" xfId="5322" xr:uid="{00000000-0005-0000-0000-000098600000}"/>
    <cellStyle name="Normal 6 3 38" xfId="4461" xr:uid="{00000000-0005-0000-0000-000099600000}"/>
    <cellStyle name="Normal 6 3 39" xfId="3427" xr:uid="{00000000-0005-0000-0000-00009A600000}"/>
    <cellStyle name="Normal 6 3 4" xfId="26546" xr:uid="{00000000-0005-0000-0000-00009B600000}"/>
    <cellStyle name="Normal 6 3 40" xfId="4132" xr:uid="{00000000-0005-0000-0000-00009C600000}"/>
    <cellStyle name="Normal 6 3 41" xfId="4432" xr:uid="{00000000-0005-0000-0000-00009D600000}"/>
    <cellStyle name="Normal 6 3 42" xfId="5495" xr:uid="{00000000-0005-0000-0000-00009E600000}"/>
    <cellStyle name="Normal 6 3 43" xfId="10592" xr:uid="{00000000-0005-0000-0000-00009F600000}"/>
    <cellStyle name="Normal 6 3 44" xfId="2875" xr:uid="{00000000-0005-0000-0000-0000A0600000}"/>
    <cellStyle name="Normal 6 3 45" xfId="2632" xr:uid="{00000000-0005-0000-0000-0000A1600000}"/>
    <cellStyle name="Normal 6 3 46" xfId="2392" xr:uid="{00000000-0005-0000-0000-0000A2600000}"/>
    <cellStyle name="Normal 6 3 47" xfId="2152" xr:uid="{00000000-0005-0000-0000-0000A3600000}"/>
    <cellStyle name="Normal 6 3 48" xfId="1912" xr:uid="{00000000-0005-0000-0000-0000A4600000}"/>
    <cellStyle name="Normal 6 3 49" xfId="1672" xr:uid="{00000000-0005-0000-0000-0000A5600000}"/>
    <cellStyle name="Normal 6 3 5" xfId="25950" xr:uid="{00000000-0005-0000-0000-0000A6600000}"/>
    <cellStyle name="Normal 6 3 50" xfId="1433" xr:uid="{00000000-0005-0000-0000-0000A7600000}"/>
    <cellStyle name="Normal 6 3 51" xfId="1193" xr:uid="{00000000-0005-0000-0000-0000A8600000}"/>
    <cellStyle name="Normal 6 3 52" xfId="953" xr:uid="{00000000-0005-0000-0000-0000A9600000}"/>
    <cellStyle name="Normal 6 3 53" xfId="713" xr:uid="{00000000-0005-0000-0000-0000AA600000}"/>
    <cellStyle name="Normal 6 3 54" xfId="473" xr:uid="{00000000-0005-0000-0000-0000AB600000}"/>
    <cellStyle name="Normal 6 3 55" xfId="234" xr:uid="{00000000-0005-0000-0000-0000AC600000}"/>
    <cellStyle name="Normal 6 3 56" xfId="28858" xr:uid="{00000000-0005-0000-0000-0000AD600000}"/>
    <cellStyle name="Normal 6 3 6" xfId="25354" xr:uid="{00000000-0005-0000-0000-0000AE600000}"/>
    <cellStyle name="Normal 6 3 7" xfId="24757" xr:uid="{00000000-0005-0000-0000-0000AF600000}"/>
    <cellStyle name="Normal 6 3 8" xfId="24160" xr:uid="{00000000-0005-0000-0000-0000B0600000}"/>
    <cellStyle name="Normal 6 3 9" xfId="23563" xr:uid="{00000000-0005-0000-0000-0000B1600000}"/>
    <cellStyle name="Normal 6 30" xfId="25969" xr:uid="{00000000-0005-0000-0000-0000B2600000}"/>
    <cellStyle name="Normal 6 31" xfId="25373" xr:uid="{00000000-0005-0000-0000-0000B3600000}"/>
    <cellStyle name="Normal 6 32" xfId="24776" xr:uid="{00000000-0005-0000-0000-0000B4600000}"/>
    <cellStyle name="Normal 6 33" xfId="24179" xr:uid="{00000000-0005-0000-0000-0000B5600000}"/>
    <cellStyle name="Normal 6 34" xfId="23582" xr:uid="{00000000-0005-0000-0000-0000B6600000}"/>
    <cellStyle name="Normal 6 35" xfId="22985" xr:uid="{00000000-0005-0000-0000-0000B7600000}"/>
    <cellStyle name="Normal 6 36" xfId="22388" xr:uid="{00000000-0005-0000-0000-0000B8600000}"/>
    <cellStyle name="Normal 6 37" xfId="21792" xr:uid="{00000000-0005-0000-0000-0000B9600000}"/>
    <cellStyle name="Normal 6 38" xfId="21195" xr:uid="{00000000-0005-0000-0000-0000BA600000}"/>
    <cellStyle name="Normal 6 39" xfId="20598" xr:uid="{00000000-0005-0000-0000-0000BB600000}"/>
    <cellStyle name="Normal 6 4" xfId="28339" xr:uid="{00000000-0005-0000-0000-0000BC600000}"/>
    <cellStyle name="Normal 6 4 10" xfId="22965" xr:uid="{00000000-0005-0000-0000-0000BD600000}"/>
    <cellStyle name="Normal 6 4 11" xfId="22368" xr:uid="{00000000-0005-0000-0000-0000BE600000}"/>
    <cellStyle name="Normal 6 4 12" xfId="21772" xr:uid="{00000000-0005-0000-0000-0000BF600000}"/>
    <cellStyle name="Normal 6 4 13" xfId="21175" xr:uid="{00000000-0005-0000-0000-0000C0600000}"/>
    <cellStyle name="Normal 6 4 14" xfId="20578" xr:uid="{00000000-0005-0000-0000-0000C1600000}"/>
    <cellStyle name="Normal 6 4 15" xfId="19981" xr:uid="{00000000-0005-0000-0000-0000C2600000}"/>
    <cellStyle name="Normal 6 4 16" xfId="19385" xr:uid="{00000000-0005-0000-0000-0000C3600000}"/>
    <cellStyle name="Normal 6 4 17" xfId="18789" xr:uid="{00000000-0005-0000-0000-0000C4600000}"/>
    <cellStyle name="Normal 6 4 18" xfId="18197" xr:uid="{00000000-0005-0000-0000-0000C5600000}"/>
    <cellStyle name="Normal 6 4 19" xfId="17600" xr:uid="{00000000-0005-0000-0000-0000C6600000}"/>
    <cellStyle name="Normal 6 4 2" xfId="27739" xr:uid="{00000000-0005-0000-0000-0000C7600000}"/>
    <cellStyle name="Normal 6 4 20" xfId="16358" xr:uid="{00000000-0005-0000-0000-0000C8600000}"/>
    <cellStyle name="Normal 6 4 21" xfId="15237" xr:uid="{00000000-0005-0000-0000-0000C9600000}"/>
    <cellStyle name="Normal 6 4 22" xfId="15213" xr:uid="{00000000-0005-0000-0000-0000CA600000}"/>
    <cellStyle name="Normal 6 4 23" xfId="13521" xr:uid="{00000000-0005-0000-0000-0000CB600000}"/>
    <cellStyle name="Normal 6 4 24" xfId="13256" xr:uid="{00000000-0005-0000-0000-0000CC600000}"/>
    <cellStyle name="Normal 6 4 25" xfId="15395" xr:uid="{00000000-0005-0000-0000-0000CD600000}"/>
    <cellStyle name="Normal 6 4 26" xfId="13743" xr:uid="{00000000-0005-0000-0000-0000CE600000}"/>
    <cellStyle name="Normal 6 4 27" xfId="12733" xr:uid="{00000000-0005-0000-0000-0000CF600000}"/>
    <cellStyle name="Normal 6 4 28" xfId="12209" xr:uid="{00000000-0005-0000-0000-0000D0600000}"/>
    <cellStyle name="Normal 6 4 29" xfId="8305" xr:uid="{00000000-0005-0000-0000-0000D1600000}"/>
    <cellStyle name="Normal 6 4 3" xfId="27142" xr:uid="{00000000-0005-0000-0000-0000D2600000}"/>
    <cellStyle name="Normal 6 4 30" xfId="7197" xr:uid="{00000000-0005-0000-0000-0000D3600000}"/>
    <cellStyle name="Normal 6 4 31" xfId="5680" xr:uid="{00000000-0005-0000-0000-0000D4600000}"/>
    <cellStyle name="Normal 6 4 32" xfId="5997" xr:uid="{00000000-0005-0000-0000-0000D5600000}"/>
    <cellStyle name="Normal 6 4 33" xfId="12048" xr:uid="{00000000-0005-0000-0000-0000D6600000}"/>
    <cellStyle name="Normal 6 4 34" xfId="9374" xr:uid="{00000000-0005-0000-0000-0000D7600000}"/>
    <cellStyle name="Normal 6 4 35" xfId="7182" xr:uid="{00000000-0005-0000-0000-0000D8600000}"/>
    <cellStyle name="Normal 6 4 36" xfId="11853" xr:uid="{00000000-0005-0000-0000-0000D9600000}"/>
    <cellStyle name="Normal 6 4 37" xfId="10967" xr:uid="{00000000-0005-0000-0000-0000DA600000}"/>
    <cellStyle name="Normal 6 4 38" xfId="11219" xr:uid="{00000000-0005-0000-0000-0000DB600000}"/>
    <cellStyle name="Normal 6 4 39" xfId="3420" xr:uid="{00000000-0005-0000-0000-0000DC600000}"/>
    <cellStyle name="Normal 6 4 4" xfId="26545" xr:uid="{00000000-0005-0000-0000-0000DD600000}"/>
    <cellStyle name="Normal 6 4 40" xfId="7750" xr:uid="{00000000-0005-0000-0000-0000DE600000}"/>
    <cellStyle name="Normal 6 4 41" xfId="6104" xr:uid="{00000000-0005-0000-0000-0000DF600000}"/>
    <cellStyle name="Normal 6 4 42" xfId="3169" xr:uid="{00000000-0005-0000-0000-0000E0600000}"/>
    <cellStyle name="Normal 6 4 43" xfId="4011" xr:uid="{00000000-0005-0000-0000-0000E1600000}"/>
    <cellStyle name="Normal 6 4 44" xfId="2874" xr:uid="{00000000-0005-0000-0000-0000E2600000}"/>
    <cellStyle name="Normal 6 4 45" xfId="2631" xr:uid="{00000000-0005-0000-0000-0000E3600000}"/>
    <cellStyle name="Normal 6 4 46" xfId="2391" xr:uid="{00000000-0005-0000-0000-0000E4600000}"/>
    <cellStyle name="Normal 6 4 47" xfId="2151" xr:uid="{00000000-0005-0000-0000-0000E5600000}"/>
    <cellStyle name="Normal 6 4 48" xfId="1911" xr:uid="{00000000-0005-0000-0000-0000E6600000}"/>
    <cellStyle name="Normal 6 4 49" xfId="1671" xr:uid="{00000000-0005-0000-0000-0000E7600000}"/>
    <cellStyle name="Normal 6 4 5" xfId="25949" xr:uid="{00000000-0005-0000-0000-0000E8600000}"/>
    <cellStyle name="Normal 6 4 50" xfId="1432" xr:uid="{00000000-0005-0000-0000-0000E9600000}"/>
    <cellStyle name="Normal 6 4 51" xfId="1192" xr:uid="{00000000-0005-0000-0000-0000EA600000}"/>
    <cellStyle name="Normal 6 4 52" xfId="952" xr:uid="{00000000-0005-0000-0000-0000EB600000}"/>
    <cellStyle name="Normal 6 4 53" xfId="712" xr:uid="{00000000-0005-0000-0000-0000EC600000}"/>
    <cellStyle name="Normal 6 4 54" xfId="472" xr:uid="{00000000-0005-0000-0000-0000ED600000}"/>
    <cellStyle name="Normal 6 4 55" xfId="233" xr:uid="{00000000-0005-0000-0000-0000EE600000}"/>
    <cellStyle name="Normal 6 4 56" xfId="28859" xr:uid="{00000000-0005-0000-0000-0000EF600000}"/>
    <cellStyle name="Normal 6 4 6" xfId="25353" xr:uid="{00000000-0005-0000-0000-0000F0600000}"/>
    <cellStyle name="Normal 6 4 7" xfId="24756" xr:uid="{00000000-0005-0000-0000-0000F1600000}"/>
    <cellStyle name="Normal 6 4 8" xfId="24159" xr:uid="{00000000-0005-0000-0000-0000F2600000}"/>
    <cellStyle name="Normal 6 4 9" xfId="23562" xr:uid="{00000000-0005-0000-0000-0000F3600000}"/>
    <cellStyle name="Normal 6 40" xfId="20001" xr:uid="{00000000-0005-0000-0000-0000F4600000}"/>
    <cellStyle name="Normal 6 41" xfId="19405" xr:uid="{00000000-0005-0000-0000-0000F5600000}"/>
    <cellStyle name="Normal 6 42" xfId="18809" xr:uid="{00000000-0005-0000-0000-0000F6600000}"/>
    <cellStyle name="Normal 6 43" xfId="18217" xr:uid="{00000000-0005-0000-0000-0000F7600000}"/>
    <cellStyle name="Normal 6 44" xfId="17620" xr:uid="{00000000-0005-0000-0000-0000F8600000}"/>
    <cellStyle name="Normal 6 45" xfId="15748" xr:uid="{00000000-0005-0000-0000-0000F9600000}"/>
    <cellStyle name="Normal 6 46" xfId="16850" xr:uid="{00000000-0005-0000-0000-0000FA600000}"/>
    <cellStyle name="Normal 6 47" xfId="14752" xr:uid="{00000000-0005-0000-0000-0000FB600000}"/>
    <cellStyle name="Normal 6 48" xfId="14406" xr:uid="{00000000-0005-0000-0000-0000FC600000}"/>
    <cellStyle name="Normal 6 49" xfId="13176" xr:uid="{00000000-0005-0000-0000-0000FD600000}"/>
    <cellStyle name="Normal 6 5" xfId="28338" xr:uid="{00000000-0005-0000-0000-0000FE600000}"/>
    <cellStyle name="Normal 6 5 10" xfId="22964" xr:uid="{00000000-0005-0000-0000-0000FF600000}"/>
    <cellStyle name="Normal 6 5 11" xfId="22367" xr:uid="{00000000-0005-0000-0000-000000610000}"/>
    <cellStyle name="Normal 6 5 12" xfId="21771" xr:uid="{00000000-0005-0000-0000-000001610000}"/>
    <cellStyle name="Normal 6 5 13" xfId="21174" xr:uid="{00000000-0005-0000-0000-000002610000}"/>
    <cellStyle name="Normal 6 5 14" xfId="20577" xr:uid="{00000000-0005-0000-0000-000003610000}"/>
    <cellStyle name="Normal 6 5 15" xfId="19980" xr:uid="{00000000-0005-0000-0000-000004610000}"/>
    <cellStyle name="Normal 6 5 16" xfId="19384" xr:uid="{00000000-0005-0000-0000-000005610000}"/>
    <cellStyle name="Normal 6 5 17" xfId="18788" xr:uid="{00000000-0005-0000-0000-000006610000}"/>
    <cellStyle name="Normal 6 5 18" xfId="18196" xr:uid="{00000000-0005-0000-0000-000007610000}"/>
    <cellStyle name="Normal 6 5 19" xfId="17599" xr:uid="{00000000-0005-0000-0000-000008610000}"/>
    <cellStyle name="Normal 6 5 2" xfId="27738" xr:uid="{00000000-0005-0000-0000-000009610000}"/>
    <cellStyle name="Normal 6 5 20" xfId="16548" xr:uid="{00000000-0005-0000-0000-00000A610000}"/>
    <cellStyle name="Normal 6 5 21" xfId="14817" xr:uid="{00000000-0005-0000-0000-00000B610000}"/>
    <cellStyle name="Normal 6 5 22" xfId="16438" xr:uid="{00000000-0005-0000-0000-00000C610000}"/>
    <cellStyle name="Normal 6 5 23" xfId="16385" xr:uid="{00000000-0005-0000-0000-00000D610000}"/>
    <cellStyle name="Normal 6 5 24" xfId="13159" xr:uid="{00000000-0005-0000-0000-00000E610000}"/>
    <cellStyle name="Normal 6 5 25" xfId="12989" xr:uid="{00000000-0005-0000-0000-00000F610000}"/>
    <cellStyle name="Normal 6 5 26" xfId="12781" xr:uid="{00000000-0005-0000-0000-000010610000}"/>
    <cellStyle name="Normal 6 5 27" xfId="17250" xr:uid="{00000000-0005-0000-0000-000011610000}"/>
    <cellStyle name="Normal 6 5 28" xfId="12208" xr:uid="{00000000-0005-0000-0000-000012610000}"/>
    <cellStyle name="Normal 6 5 29" xfId="8520" xr:uid="{00000000-0005-0000-0000-000013610000}"/>
    <cellStyle name="Normal 6 5 3" xfId="27141" xr:uid="{00000000-0005-0000-0000-000014610000}"/>
    <cellStyle name="Normal 6 5 30" xfId="6398" xr:uid="{00000000-0005-0000-0000-000015610000}"/>
    <cellStyle name="Normal 6 5 31" xfId="6740" xr:uid="{00000000-0005-0000-0000-000016610000}"/>
    <cellStyle name="Normal 6 5 32" xfId="10217" xr:uid="{00000000-0005-0000-0000-000017610000}"/>
    <cellStyle name="Normal 6 5 33" xfId="5821" xr:uid="{00000000-0005-0000-0000-000018610000}"/>
    <cellStyle name="Normal 6 5 34" xfId="11161" xr:uid="{00000000-0005-0000-0000-000019610000}"/>
    <cellStyle name="Normal 6 5 35" xfId="8864" xr:uid="{00000000-0005-0000-0000-00001A610000}"/>
    <cellStyle name="Normal 6 5 36" xfId="9575" xr:uid="{00000000-0005-0000-0000-00001B610000}"/>
    <cellStyle name="Normal 6 5 37" xfId="10843" xr:uid="{00000000-0005-0000-0000-00001C610000}"/>
    <cellStyle name="Normal 6 5 38" xfId="11282" xr:uid="{00000000-0005-0000-0000-00001D610000}"/>
    <cellStyle name="Normal 6 5 39" xfId="3460" xr:uid="{00000000-0005-0000-0000-00001E610000}"/>
    <cellStyle name="Normal 6 5 4" xfId="26544" xr:uid="{00000000-0005-0000-0000-00001F610000}"/>
    <cellStyle name="Normal 6 5 40" xfId="11348" xr:uid="{00000000-0005-0000-0000-000020610000}"/>
    <cellStyle name="Normal 6 5 41" xfId="5948" xr:uid="{00000000-0005-0000-0000-000021610000}"/>
    <cellStyle name="Normal 6 5 42" xfId="8765" xr:uid="{00000000-0005-0000-0000-000022610000}"/>
    <cellStyle name="Normal 6 5 43" xfId="3495" xr:uid="{00000000-0005-0000-0000-000023610000}"/>
    <cellStyle name="Normal 6 5 44" xfId="2873" xr:uid="{00000000-0005-0000-0000-000024610000}"/>
    <cellStyle name="Normal 6 5 45" xfId="2630" xr:uid="{00000000-0005-0000-0000-000025610000}"/>
    <cellStyle name="Normal 6 5 46" xfId="2390" xr:uid="{00000000-0005-0000-0000-000026610000}"/>
    <cellStyle name="Normal 6 5 47" xfId="2150" xr:uid="{00000000-0005-0000-0000-000027610000}"/>
    <cellStyle name="Normal 6 5 48" xfId="1910" xr:uid="{00000000-0005-0000-0000-000028610000}"/>
    <cellStyle name="Normal 6 5 49" xfId="1670" xr:uid="{00000000-0005-0000-0000-000029610000}"/>
    <cellStyle name="Normal 6 5 5" xfId="25948" xr:uid="{00000000-0005-0000-0000-00002A610000}"/>
    <cellStyle name="Normal 6 5 50" xfId="1431" xr:uid="{00000000-0005-0000-0000-00002B610000}"/>
    <cellStyle name="Normal 6 5 51" xfId="1191" xr:uid="{00000000-0005-0000-0000-00002C610000}"/>
    <cellStyle name="Normal 6 5 52" xfId="951" xr:uid="{00000000-0005-0000-0000-00002D610000}"/>
    <cellStyle name="Normal 6 5 53" xfId="711" xr:uid="{00000000-0005-0000-0000-00002E610000}"/>
    <cellStyle name="Normal 6 5 54" xfId="471" xr:uid="{00000000-0005-0000-0000-00002F610000}"/>
    <cellStyle name="Normal 6 5 55" xfId="232" xr:uid="{00000000-0005-0000-0000-000030610000}"/>
    <cellStyle name="Normal 6 5 56" xfId="28860" xr:uid="{00000000-0005-0000-0000-000031610000}"/>
    <cellStyle name="Normal 6 5 6" xfId="25352" xr:uid="{00000000-0005-0000-0000-000032610000}"/>
    <cellStyle name="Normal 6 5 7" xfId="24755" xr:uid="{00000000-0005-0000-0000-000033610000}"/>
    <cellStyle name="Normal 6 5 8" xfId="24158" xr:uid="{00000000-0005-0000-0000-000034610000}"/>
    <cellStyle name="Normal 6 5 9" xfId="23561" xr:uid="{00000000-0005-0000-0000-000035610000}"/>
    <cellStyle name="Normal 6 50" xfId="16607" xr:uid="{00000000-0005-0000-0000-000036610000}"/>
    <cellStyle name="Normal 6 51" xfId="17043" xr:uid="{00000000-0005-0000-0000-000037610000}"/>
    <cellStyle name="Normal 6 52" xfId="12853" xr:uid="{00000000-0005-0000-0000-000038610000}"/>
    <cellStyle name="Normal 6 53" xfId="12229" xr:uid="{00000000-0005-0000-0000-000039610000}"/>
    <cellStyle name="Normal 6 54" xfId="9661" xr:uid="{00000000-0005-0000-0000-00003A610000}"/>
    <cellStyle name="Normal 6 55" xfId="9683" xr:uid="{00000000-0005-0000-0000-00003B610000}"/>
    <cellStyle name="Normal 6 56" xfId="11194" xr:uid="{00000000-0005-0000-0000-00003C610000}"/>
    <cellStyle name="Normal 6 57" xfId="6480" xr:uid="{00000000-0005-0000-0000-00003D610000}"/>
    <cellStyle name="Normal 6 58" xfId="11723" xr:uid="{00000000-0005-0000-0000-00003E610000}"/>
    <cellStyle name="Normal 6 59" xfId="10184" xr:uid="{00000000-0005-0000-0000-00003F610000}"/>
    <cellStyle name="Normal 6 6" xfId="28337" xr:uid="{00000000-0005-0000-0000-000040610000}"/>
    <cellStyle name="Normal 6 6 10" xfId="22963" xr:uid="{00000000-0005-0000-0000-000041610000}"/>
    <cellStyle name="Normal 6 6 11" xfId="22366" xr:uid="{00000000-0005-0000-0000-000042610000}"/>
    <cellStyle name="Normal 6 6 12" xfId="21770" xr:uid="{00000000-0005-0000-0000-000043610000}"/>
    <cellStyle name="Normal 6 6 13" xfId="21173" xr:uid="{00000000-0005-0000-0000-000044610000}"/>
    <cellStyle name="Normal 6 6 14" xfId="20576" xr:uid="{00000000-0005-0000-0000-000045610000}"/>
    <cellStyle name="Normal 6 6 15" xfId="19979" xr:uid="{00000000-0005-0000-0000-000046610000}"/>
    <cellStyle name="Normal 6 6 16" xfId="19383" xr:uid="{00000000-0005-0000-0000-000047610000}"/>
    <cellStyle name="Normal 6 6 17" xfId="18787" xr:uid="{00000000-0005-0000-0000-000048610000}"/>
    <cellStyle name="Normal 6 6 18" xfId="18195" xr:uid="{00000000-0005-0000-0000-000049610000}"/>
    <cellStyle name="Normal 6 6 19" xfId="17598" xr:uid="{00000000-0005-0000-0000-00004A610000}"/>
    <cellStyle name="Normal 6 6 2" xfId="27737" xr:uid="{00000000-0005-0000-0000-00004B610000}"/>
    <cellStyle name="Normal 6 6 20" xfId="16742" xr:uid="{00000000-0005-0000-0000-00004C610000}"/>
    <cellStyle name="Normal 6 6 21" xfId="14415" xr:uid="{00000000-0005-0000-0000-00004D610000}"/>
    <cellStyle name="Normal 6 6 22" xfId="14459" xr:uid="{00000000-0005-0000-0000-00004E610000}"/>
    <cellStyle name="Normal 6 6 23" xfId="13719" xr:uid="{00000000-0005-0000-0000-00004F610000}"/>
    <cellStyle name="Normal 6 6 24" xfId="15412" xr:uid="{00000000-0005-0000-0000-000050610000}"/>
    <cellStyle name="Normal 6 6 25" xfId="12905" xr:uid="{00000000-0005-0000-0000-000051610000}"/>
    <cellStyle name="Normal 6 6 26" xfId="17412" xr:uid="{00000000-0005-0000-0000-000052610000}"/>
    <cellStyle name="Normal 6 6 27" xfId="14710" xr:uid="{00000000-0005-0000-0000-000053610000}"/>
    <cellStyle name="Normal 6 6 28" xfId="12207" xr:uid="{00000000-0005-0000-0000-000054610000}"/>
    <cellStyle name="Normal 6 6 29" xfId="8736" xr:uid="{00000000-0005-0000-0000-000055610000}"/>
    <cellStyle name="Normal 6 6 3" xfId="27140" xr:uid="{00000000-0005-0000-0000-000056610000}"/>
    <cellStyle name="Normal 6 6 30" xfId="6916" xr:uid="{00000000-0005-0000-0000-000057610000}"/>
    <cellStyle name="Normal 6 6 31" xfId="11990" xr:uid="{00000000-0005-0000-0000-000058610000}"/>
    <cellStyle name="Normal 6 6 32" xfId="9558" xr:uid="{00000000-0005-0000-0000-000059610000}"/>
    <cellStyle name="Normal 6 6 33" xfId="10506" xr:uid="{00000000-0005-0000-0000-00005A610000}"/>
    <cellStyle name="Normal 6 6 34" xfId="10243" xr:uid="{00000000-0005-0000-0000-00005B610000}"/>
    <cellStyle name="Normal 6 6 35" xfId="6357" xr:uid="{00000000-0005-0000-0000-00005C610000}"/>
    <cellStyle name="Normal 6 6 36" xfId="4883" xr:uid="{00000000-0005-0000-0000-00005D610000}"/>
    <cellStyle name="Normal 6 6 37" xfId="9806" xr:uid="{00000000-0005-0000-0000-00005E610000}"/>
    <cellStyle name="Normal 6 6 38" xfId="11167" xr:uid="{00000000-0005-0000-0000-00005F610000}"/>
    <cellStyle name="Normal 6 6 39" xfId="3919" xr:uid="{00000000-0005-0000-0000-000060610000}"/>
    <cellStyle name="Normal 6 6 4" xfId="26543" xr:uid="{00000000-0005-0000-0000-000061610000}"/>
    <cellStyle name="Normal 6 6 40" xfId="3473" xr:uid="{00000000-0005-0000-0000-000062610000}"/>
    <cellStyle name="Normal 6 6 41" xfId="6518" xr:uid="{00000000-0005-0000-0000-000063610000}"/>
    <cellStyle name="Normal 6 6 42" xfId="3127" xr:uid="{00000000-0005-0000-0000-000064610000}"/>
    <cellStyle name="Normal 6 6 43" xfId="3170" xr:uid="{00000000-0005-0000-0000-000065610000}"/>
    <cellStyle name="Normal 6 6 44" xfId="2872" xr:uid="{00000000-0005-0000-0000-000066610000}"/>
    <cellStyle name="Normal 6 6 45" xfId="2629" xr:uid="{00000000-0005-0000-0000-000067610000}"/>
    <cellStyle name="Normal 6 6 46" xfId="2389" xr:uid="{00000000-0005-0000-0000-000068610000}"/>
    <cellStyle name="Normal 6 6 47" xfId="2149" xr:uid="{00000000-0005-0000-0000-000069610000}"/>
    <cellStyle name="Normal 6 6 48" xfId="1909" xr:uid="{00000000-0005-0000-0000-00006A610000}"/>
    <cellStyle name="Normal 6 6 49" xfId="1669" xr:uid="{00000000-0005-0000-0000-00006B610000}"/>
    <cellStyle name="Normal 6 6 5" xfId="25947" xr:uid="{00000000-0005-0000-0000-00006C610000}"/>
    <cellStyle name="Normal 6 6 50" xfId="1430" xr:uid="{00000000-0005-0000-0000-00006D610000}"/>
    <cellStyle name="Normal 6 6 51" xfId="1190" xr:uid="{00000000-0005-0000-0000-00006E610000}"/>
    <cellStyle name="Normal 6 6 52" xfId="950" xr:uid="{00000000-0005-0000-0000-00006F610000}"/>
    <cellStyle name="Normal 6 6 53" xfId="710" xr:uid="{00000000-0005-0000-0000-000070610000}"/>
    <cellStyle name="Normal 6 6 54" xfId="470" xr:uid="{00000000-0005-0000-0000-000071610000}"/>
    <cellStyle name="Normal 6 6 55" xfId="231" xr:uid="{00000000-0005-0000-0000-000072610000}"/>
    <cellStyle name="Normal 6 6 56" xfId="28861" xr:uid="{00000000-0005-0000-0000-000073610000}"/>
    <cellStyle name="Normal 6 6 6" xfId="25351" xr:uid="{00000000-0005-0000-0000-000074610000}"/>
    <cellStyle name="Normal 6 6 7" xfId="24754" xr:uid="{00000000-0005-0000-0000-000075610000}"/>
    <cellStyle name="Normal 6 6 8" xfId="24157" xr:uid="{00000000-0005-0000-0000-000076610000}"/>
    <cellStyle name="Normal 6 6 9" xfId="23560" xr:uid="{00000000-0005-0000-0000-000077610000}"/>
    <cellStyle name="Normal 6 60" xfId="8397" xr:uid="{00000000-0005-0000-0000-000078610000}"/>
    <cellStyle name="Normal 6 61" xfId="6554" xr:uid="{00000000-0005-0000-0000-000079610000}"/>
    <cellStyle name="Normal 6 62" xfId="5138" xr:uid="{00000000-0005-0000-0000-00007A610000}"/>
    <cellStyle name="Normal 6 63" xfId="11038" xr:uid="{00000000-0005-0000-0000-00007B610000}"/>
    <cellStyle name="Normal 6 64" xfId="7022" xr:uid="{00000000-0005-0000-0000-00007C610000}"/>
    <cellStyle name="Normal 6 65" xfId="8114" xr:uid="{00000000-0005-0000-0000-00007D610000}"/>
    <cellStyle name="Normal 6 66" xfId="3982" xr:uid="{00000000-0005-0000-0000-00007E610000}"/>
    <cellStyle name="Normal 6 67" xfId="3431" xr:uid="{00000000-0005-0000-0000-00007F610000}"/>
    <cellStyle name="Normal 6 68" xfId="3139" xr:uid="{00000000-0005-0000-0000-000080610000}"/>
    <cellStyle name="Normal 6 69" xfId="28922" xr:uid="{00000000-0005-0000-0000-000081610000}"/>
    <cellStyle name="Normal 6 7" xfId="28336" xr:uid="{00000000-0005-0000-0000-000082610000}"/>
    <cellStyle name="Normal 6 7 10" xfId="22962" xr:uid="{00000000-0005-0000-0000-000083610000}"/>
    <cellStyle name="Normal 6 7 11" xfId="22365" xr:uid="{00000000-0005-0000-0000-000084610000}"/>
    <cellStyle name="Normal 6 7 12" xfId="21769" xr:uid="{00000000-0005-0000-0000-000085610000}"/>
    <cellStyle name="Normal 6 7 13" xfId="21172" xr:uid="{00000000-0005-0000-0000-000086610000}"/>
    <cellStyle name="Normal 6 7 14" xfId="20575" xr:uid="{00000000-0005-0000-0000-000087610000}"/>
    <cellStyle name="Normal 6 7 15" xfId="19978" xr:uid="{00000000-0005-0000-0000-000088610000}"/>
    <cellStyle name="Normal 6 7 16" xfId="19382" xr:uid="{00000000-0005-0000-0000-000089610000}"/>
    <cellStyle name="Normal 6 7 17" xfId="18786" xr:uid="{00000000-0005-0000-0000-00008A610000}"/>
    <cellStyle name="Normal 6 7 18" xfId="18194" xr:uid="{00000000-0005-0000-0000-00008B610000}"/>
    <cellStyle name="Normal 6 7 19" xfId="17597" xr:uid="{00000000-0005-0000-0000-00008C610000}"/>
    <cellStyle name="Normal 6 7 2" xfId="27736" xr:uid="{00000000-0005-0000-0000-00008D610000}"/>
    <cellStyle name="Normal 6 7 20" xfId="16939" xr:uid="{00000000-0005-0000-0000-00008E610000}"/>
    <cellStyle name="Normal 6 7 21" xfId="14796" xr:uid="{00000000-0005-0000-0000-00008F610000}"/>
    <cellStyle name="Normal 6 7 22" xfId="15677" xr:uid="{00000000-0005-0000-0000-000090610000}"/>
    <cellStyle name="Normal 6 7 23" xfId="15509" xr:uid="{00000000-0005-0000-0000-000091610000}"/>
    <cellStyle name="Normal 6 7 24" xfId="17217" xr:uid="{00000000-0005-0000-0000-000092610000}"/>
    <cellStyle name="Normal 6 7 25" xfId="17432" xr:uid="{00000000-0005-0000-0000-000093610000}"/>
    <cellStyle name="Normal 6 7 26" xfId="12978" xr:uid="{00000000-0005-0000-0000-000094610000}"/>
    <cellStyle name="Normal 6 7 27" xfId="14839" xr:uid="{00000000-0005-0000-0000-000095610000}"/>
    <cellStyle name="Normal 6 7 28" xfId="12206" xr:uid="{00000000-0005-0000-0000-000096610000}"/>
    <cellStyle name="Normal 6 7 29" xfId="8974" xr:uid="{00000000-0005-0000-0000-000097610000}"/>
    <cellStyle name="Normal 6 7 3" xfId="27139" xr:uid="{00000000-0005-0000-0000-000098610000}"/>
    <cellStyle name="Normal 6 7 30" xfId="6764" xr:uid="{00000000-0005-0000-0000-000099610000}"/>
    <cellStyle name="Normal 6 7 31" xfId="9337" xr:uid="{00000000-0005-0000-0000-00009A610000}"/>
    <cellStyle name="Normal 6 7 32" xfId="8553" xr:uid="{00000000-0005-0000-0000-00009B610000}"/>
    <cellStyle name="Normal 6 7 33" xfId="5116" xr:uid="{00000000-0005-0000-0000-00009C610000}"/>
    <cellStyle name="Normal 6 7 34" xfId="11515" xr:uid="{00000000-0005-0000-0000-00009D610000}"/>
    <cellStyle name="Normal 6 7 35" xfId="11068" xr:uid="{00000000-0005-0000-0000-00009E610000}"/>
    <cellStyle name="Normal 6 7 36" xfId="4882" xr:uid="{00000000-0005-0000-0000-00009F610000}"/>
    <cellStyle name="Normal 6 7 37" xfId="9012" xr:uid="{00000000-0005-0000-0000-0000A0610000}"/>
    <cellStyle name="Normal 6 7 38" xfId="4679" xr:uid="{00000000-0005-0000-0000-0000A1610000}"/>
    <cellStyle name="Normal 6 7 39" xfId="6628" xr:uid="{00000000-0005-0000-0000-0000A2610000}"/>
    <cellStyle name="Normal 6 7 4" xfId="26542" xr:uid="{00000000-0005-0000-0000-0000A3610000}"/>
    <cellStyle name="Normal 6 7 40" xfId="9302" xr:uid="{00000000-0005-0000-0000-0000A4610000}"/>
    <cellStyle name="Normal 6 7 41" xfId="4057" xr:uid="{00000000-0005-0000-0000-0000A5610000}"/>
    <cellStyle name="Normal 6 7 42" xfId="8605" xr:uid="{00000000-0005-0000-0000-0000A6610000}"/>
    <cellStyle name="Normal 6 7 43" xfId="8804" xr:uid="{00000000-0005-0000-0000-0000A7610000}"/>
    <cellStyle name="Normal 6 7 44" xfId="2871" xr:uid="{00000000-0005-0000-0000-0000A8610000}"/>
    <cellStyle name="Normal 6 7 45" xfId="2628" xr:uid="{00000000-0005-0000-0000-0000A9610000}"/>
    <cellStyle name="Normal 6 7 46" xfId="2388" xr:uid="{00000000-0005-0000-0000-0000AA610000}"/>
    <cellStyle name="Normal 6 7 47" xfId="2148" xr:uid="{00000000-0005-0000-0000-0000AB610000}"/>
    <cellStyle name="Normal 6 7 48" xfId="1908" xr:uid="{00000000-0005-0000-0000-0000AC610000}"/>
    <cellStyle name="Normal 6 7 49" xfId="1668" xr:uid="{00000000-0005-0000-0000-0000AD610000}"/>
    <cellStyle name="Normal 6 7 5" xfId="25946" xr:uid="{00000000-0005-0000-0000-0000AE610000}"/>
    <cellStyle name="Normal 6 7 50" xfId="1429" xr:uid="{00000000-0005-0000-0000-0000AF610000}"/>
    <cellStyle name="Normal 6 7 51" xfId="1189" xr:uid="{00000000-0005-0000-0000-0000B0610000}"/>
    <cellStyle name="Normal 6 7 52" xfId="949" xr:uid="{00000000-0005-0000-0000-0000B1610000}"/>
    <cellStyle name="Normal 6 7 53" xfId="709" xr:uid="{00000000-0005-0000-0000-0000B2610000}"/>
    <cellStyle name="Normal 6 7 54" xfId="469" xr:uid="{00000000-0005-0000-0000-0000B3610000}"/>
    <cellStyle name="Normal 6 7 55" xfId="230" xr:uid="{00000000-0005-0000-0000-0000B4610000}"/>
    <cellStyle name="Normal 6 7 56" xfId="28862" xr:uid="{00000000-0005-0000-0000-0000B5610000}"/>
    <cellStyle name="Normal 6 7 6" xfId="25350" xr:uid="{00000000-0005-0000-0000-0000B6610000}"/>
    <cellStyle name="Normal 6 7 7" xfId="24753" xr:uid="{00000000-0005-0000-0000-0000B7610000}"/>
    <cellStyle name="Normal 6 7 8" xfId="24156" xr:uid="{00000000-0005-0000-0000-0000B8610000}"/>
    <cellStyle name="Normal 6 7 9" xfId="23559" xr:uid="{00000000-0005-0000-0000-0000B9610000}"/>
    <cellStyle name="Normal 6 8" xfId="28335" xr:uid="{00000000-0005-0000-0000-0000BA610000}"/>
    <cellStyle name="Normal 6 8 10" xfId="22961" xr:uid="{00000000-0005-0000-0000-0000BB610000}"/>
    <cellStyle name="Normal 6 8 11" xfId="22364" xr:uid="{00000000-0005-0000-0000-0000BC610000}"/>
    <cellStyle name="Normal 6 8 12" xfId="21768" xr:uid="{00000000-0005-0000-0000-0000BD610000}"/>
    <cellStyle name="Normal 6 8 13" xfId="21171" xr:uid="{00000000-0005-0000-0000-0000BE610000}"/>
    <cellStyle name="Normal 6 8 14" xfId="20574" xr:uid="{00000000-0005-0000-0000-0000BF610000}"/>
    <cellStyle name="Normal 6 8 15" xfId="19977" xr:uid="{00000000-0005-0000-0000-0000C0610000}"/>
    <cellStyle name="Normal 6 8 16" xfId="19381" xr:uid="{00000000-0005-0000-0000-0000C1610000}"/>
    <cellStyle name="Normal 6 8 17" xfId="18785" xr:uid="{00000000-0005-0000-0000-0000C2610000}"/>
    <cellStyle name="Normal 6 8 18" xfId="18193" xr:uid="{00000000-0005-0000-0000-0000C3610000}"/>
    <cellStyle name="Normal 6 8 19" xfId="17596" xr:uid="{00000000-0005-0000-0000-0000C4610000}"/>
    <cellStyle name="Normal 6 8 2" xfId="27735" xr:uid="{00000000-0005-0000-0000-0000C5610000}"/>
    <cellStyle name="Normal 6 8 20" xfId="17146" xr:uid="{00000000-0005-0000-0000-0000C6610000}"/>
    <cellStyle name="Normal 6 8 21" xfId="15198" xr:uid="{00000000-0005-0000-0000-0000C7610000}"/>
    <cellStyle name="Normal 6 8 22" xfId="15299" xr:uid="{00000000-0005-0000-0000-0000C8610000}"/>
    <cellStyle name="Normal 6 8 23" xfId="15581" xr:uid="{00000000-0005-0000-0000-0000C9610000}"/>
    <cellStyle name="Normal 6 8 24" xfId="16473" xr:uid="{00000000-0005-0000-0000-0000CA610000}"/>
    <cellStyle name="Normal 6 8 25" xfId="16266" xr:uid="{00000000-0005-0000-0000-0000CB610000}"/>
    <cellStyle name="Normal 6 8 26" xfId="15202" xr:uid="{00000000-0005-0000-0000-0000CC610000}"/>
    <cellStyle name="Normal 6 8 27" xfId="13043" xr:uid="{00000000-0005-0000-0000-0000CD610000}"/>
    <cellStyle name="Normal 6 8 28" xfId="12205" xr:uid="{00000000-0005-0000-0000-0000CE610000}"/>
    <cellStyle name="Normal 6 8 29" xfId="9209" xr:uid="{00000000-0005-0000-0000-0000CF610000}"/>
    <cellStyle name="Normal 6 8 3" xfId="27138" xr:uid="{00000000-0005-0000-0000-0000D0610000}"/>
    <cellStyle name="Normal 6 8 30" xfId="8782" xr:uid="{00000000-0005-0000-0000-0000D1610000}"/>
    <cellStyle name="Normal 6 8 31" xfId="10482" xr:uid="{00000000-0005-0000-0000-0000D2610000}"/>
    <cellStyle name="Normal 6 8 32" xfId="8762" xr:uid="{00000000-0005-0000-0000-0000D3610000}"/>
    <cellStyle name="Normal 6 8 33" xfId="4913" xr:uid="{00000000-0005-0000-0000-0000D4610000}"/>
    <cellStyle name="Normal 6 8 34" xfId="8913" xr:uid="{00000000-0005-0000-0000-0000D5610000}"/>
    <cellStyle name="Normal 6 8 35" xfId="9815" xr:uid="{00000000-0005-0000-0000-0000D6610000}"/>
    <cellStyle name="Normal 6 8 36" xfId="4274" xr:uid="{00000000-0005-0000-0000-0000D7610000}"/>
    <cellStyle name="Normal 6 8 37" xfId="7339" xr:uid="{00000000-0005-0000-0000-0000D8610000}"/>
    <cellStyle name="Normal 6 8 38" xfId="8339" xr:uid="{00000000-0005-0000-0000-0000D9610000}"/>
    <cellStyle name="Normal 6 8 39" xfId="8255" xr:uid="{00000000-0005-0000-0000-0000DA610000}"/>
    <cellStyle name="Normal 6 8 4" xfId="26541" xr:uid="{00000000-0005-0000-0000-0000DB610000}"/>
    <cellStyle name="Normal 6 8 40" xfId="9586" xr:uid="{00000000-0005-0000-0000-0000DC610000}"/>
    <cellStyle name="Normal 6 8 41" xfId="5411" xr:uid="{00000000-0005-0000-0000-0000DD610000}"/>
    <cellStyle name="Normal 6 8 42" xfId="11260" xr:uid="{00000000-0005-0000-0000-0000DE610000}"/>
    <cellStyle name="Normal 6 8 43" xfId="8652" xr:uid="{00000000-0005-0000-0000-0000DF610000}"/>
    <cellStyle name="Normal 6 8 44" xfId="2870" xr:uid="{00000000-0005-0000-0000-0000E0610000}"/>
    <cellStyle name="Normal 6 8 45" xfId="2627" xr:uid="{00000000-0005-0000-0000-0000E1610000}"/>
    <cellStyle name="Normal 6 8 46" xfId="2387" xr:uid="{00000000-0005-0000-0000-0000E2610000}"/>
    <cellStyle name="Normal 6 8 47" xfId="2147" xr:uid="{00000000-0005-0000-0000-0000E3610000}"/>
    <cellStyle name="Normal 6 8 48" xfId="1907" xr:uid="{00000000-0005-0000-0000-0000E4610000}"/>
    <cellStyle name="Normal 6 8 49" xfId="1667" xr:uid="{00000000-0005-0000-0000-0000E5610000}"/>
    <cellStyle name="Normal 6 8 5" xfId="25945" xr:uid="{00000000-0005-0000-0000-0000E6610000}"/>
    <cellStyle name="Normal 6 8 50" xfId="1428" xr:uid="{00000000-0005-0000-0000-0000E7610000}"/>
    <cellStyle name="Normal 6 8 51" xfId="1188" xr:uid="{00000000-0005-0000-0000-0000E8610000}"/>
    <cellStyle name="Normal 6 8 52" xfId="948" xr:uid="{00000000-0005-0000-0000-0000E9610000}"/>
    <cellStyle name="Normal 6 8 53" xfId="708" xr:uid="{00000000-0005-0000-0000-0000EA610000}"/>
    <cellStyle name="Normal 6 8 54" xfId="468" xr:uid="{00000000-0005-0000-0000-0000EB610000}"/>
    <cellStyle name="Normal 6 8 55" xfId="229" xr:uid="{00000000-0005-0000-0000-0000EC610000}"/>
    <cellStyle name="Normal 6 8 56" xfId="28863" xr:uid="{00000000-0005-0000-0000-0000ED610000}"/>
    <cellStyle name="Normal 6 8 6" xfId="25349" xr:uid="{00000000-0005-0000-0000-0000EE610000}"/>
    <cellStyle name="Normal 6 8 7" xfId="24752" xr:uid="{00000000-0005-0000-0000-0000EF610000}"/>
    <cellStyle name="Normal 6 8 8" xfId="24155" xr:uid="{00000000-0005-0000-0000-0000F0610000}"/>
    <cellStyle name="Normal 6 8 9" xfId="23558" xr:uid="{00000000-0005-0000-0000-0000F1610000}"/>
    <cellStyle name="Normal 6 9" xfId="28334" xr:uid="{00000000-0005-0000-0000-0000F2610000}"/>
    <cellStyle name="Normal 6 9 10" xfId="22960" xr:uid="{00000000-0005-0000-0000-0000F3610000}"/>
    <cellStyle name="Normal 6 9 11" xfId="22363" xr:uid="{00000000-0005-0000-0000-0000F4610000}"/>
    <cellStyle name="Normal 6 9 12" xfId="21767" xr:uid="{00000000-0005-0000-0000-0000F5610000}"/>
    <cellStyle name="Normal 6 9 13" xfId="21170" xr:uid="{00000000-0005-0000-0000-0000F6610000}"/>
    <cellStyle name="Normal 6 9 14" xfId="20573" xr:uid="{00000000-0005-0000-0000-0000F7610000}"/>
    <cellStyle name="Normal 6 9 15" xfId="19976" xr:uid="{00000000-0005-0000-0000-0000F8610000}"/>
    <cellStyle name="Normal 6 9 16" xfId="19380" xr:uid="{00000000-0005-0000-0000-0000F9610000}"/>
    <cellStyle name="Normal 6 9 17" xfId="18784" xr:uid="{00000000-0005-0000-0000-0000FA610000}"/>
    <cellStyle name="Normal 6 9 18" xfId="18192" xr:uid="{00000000-0005-0000-0000-0000FB610000}"/>
    <cellStyle name="Normal 6 9 19" xfId="17595" xr:uid="{00000000-0005-0000-0000-0000FC610000}"/>
    <cellStyle name="Normal 6 9 2" xfId="27734" xr:uid="{00000000-0005-0000-0000-0000FD610000}"/>
    <cellStyle name="Normal 6 9 20" xfId="17339" xr:uid="{00000000-0005-0000-0000-0000FE610000}"/>
    <cellStyle name="Normal 6 9 21" xfId="14773" xr:uid="{00000000-0005-0000-0000-0000FF610000}"/>
    <cellStyle name="Normal 6 9 22" xfId="15475" xr:uid="{00000000-0005-0000-0000-000000620000}"/>
    <cellStyle name="Normal 6 9 23" xfId="15817" xr:uid="{00000000-0005-0000-0000-000001620000}"/>
    <cellStyle name="Normal 6 9 24" xfId="14250" xr:uid="{00000000-0005-0000-0000-000002620000}"/>
    <cellStyle name="Normal 6 9 25" xfId="13714" xr:uid="{00000000-0005-0000-0000-000003620000}"/>
    <cellStyle name="Normal 6 9 26" xfId="17163" xr:uid="{00000000-0005-0000-0000-000004620000}"/>
    <cellStyle name="Normal 6 9 27" xfId="13119" xr:uid="{00000000-0005-0000-0000-000005620000}"/>
    <cellStyle name="Normal 6 9 28" xfId="12204" xr:uid="{00000000-0005-0000-0000-000006620000}"/>
    <cellStyle name="Normal 6 9 29" xfId="9442" xr:uid="{00000000-0005-0000-0000-000007620000}"/>
    <cellStyle name="Normal 6 9 3" xfId="27137" xr:uid="{00000000-0005-0000-0000-000008620000}"/>
    <cellStyle name="Normal 6 9 30" xfId="8773" xr:uid="{00000000-0005-0000-0000-000009620000}"/>
    <cellStyle name="Normal 6 9 31" xfId="10373" xr:uid="{00000000-0005-0000-0000-00000A620000}"/>
    <cellStyle name="Normal 6 9 32" xfId="5759" xr:uid="{00000000-0005-0000-0000-00000B620000}"/>
    <cellStyle name="Normal 6 9 33" xfId="9107" xr:uid="{00000000-0005-0000-0000-00000C620000}"/>
    <cellStyle name="Normal 6 9 34" xfId="8406" xr:uid="{00000000-0005-0000-0000-00000D620000}"/>
    <cellStyle name="Normal 6 9 35" xfId="12050" xr:uid="{00000000-0005-0000-0000-00000E620000}"/>
    <cellStyle name="Normal 6 9 36" xfId="8836" xr:uid="{00000000-0005-0000-0000-00000F620000}"/>
    <cellStyle name="Normal 6 9 37" xfId="7075" xr:uid="{00000000-0005-0000-0000-000010620000}"/>
    <cellStyle name="Normal 6 9 38" xfId="5223" xr:uid="{00000000-0005-0000-0000-000011620000}"/>
    <cellStyle name="Normal 6 9 39" xfId="6141" xr:uid="{00000000-0005-0000-0000-000012620000}"/>
    <cellStyle name="Normal 6 9 4" xfId="26540" xr:uid="{00000000-0005-0000-0000-000013620000}"/>
    <cellStyle name="Normal 6 9 40" xfId="6928" xr:uid="{00000000-0005-0000-0000-000014620000}"/>
    <cellStyle name="Normal 6 9 41" xfId="9755" xr:uid="{00000000-0005-0000-0000-000015620000}"/>
    <cellStyle name="Normal 6 9 42" xfId="3140" xr:uid="{00000000-0005-0000-0000-000016620000}"/>
    <cellStyle name="Normal 6 9 43" xfId="7284" xr:uid="{00000000-0005-0000-0000-000017620000}"/>
    <cellStyle name="Normal 6 9 44" xfId="2869" xr:uid="{00000000-0005-0000-0000-000018620000}"/>
    <cellStyle name="Normal 6 9 45" xfId="2626" xr:uid="{00000000-0005-0000-0000-000019620000}"/>
    <cellStyle name="Normal 6 9 46" xfId="2386" xr:uid="{00000000-0005-0000-0000-00001A620000}"/>
    <cellStyle name="Normal 6 9 47" xfId="2146" xr:uid="{00000000-0005-0000-0000-00001B620000}"/>
    <cellStyle name="Normal 6 9 48" xfId="1906" xr:uid="{00000000-0005-0000-0000-00001C620000}"/>
    <cellStyle name="Normal 6 9 49" xfId="1666" xr:uid="{00000000-0005-0000-0000-00001D620000}"/>
    <cellStyle name="Normal 6 9 5" xfId="25944" xr:uid="{00000000-0005-0000-0000-00001E620000}"/>
    <cellStyle name="Normal 6 9 50" xfId="1427" xr:uid="{00000000-0005-0000-0000-00001F620000}"/>
    <cellStyle name="Normal 6 9 51" xfId="1187" xr:uid="{00000000-0005-0000-0000-000020620000}"/>
    <cellStyle name="Normal 6 9 52" xfId="947" xr:uid="{00000000-0005-0000-0000-000021620000}"/>
    <cellStyle name="Normal 6 9 53" xfId="707" xr:uid="{00000000-0005-0000-0000-000022620000}"/>
    <cellStyle name="Normal 6 9 54" xfId="467" xr:uid="{00000000-0005-0000-0000-000023620000}"/>
    <cellStyle name="Normal 6 9 55" xfId="228" xr:uid="{00000000-0005-0000-0000-000024620000}"/>
    <cellStyle name="Normal 6 9 56" xfId="28864" xr:uid="{00000000-0005-0000-0000-000025620000}"/>
    <cellStyle name="Normal 6 9 6" xfId="25348" xr:uid="{00000000-0005-0000-0000-000026620000}"/>
    <cellStyle name="Normal 6 9 7" xfId="24751" xr:uid="{00000000-0005-0000-0000-000027620000}"/>
    <cellStyle name="Normal 6 9 8" xfId="24154" xr:uid="{00000000-0005-0000-0000-000028620000}"/>
    <cellStyle name="Normal 6 9 9" xfId="23557" xr:uid="{00000000-0005-0000-0000-000029620000}"/>
    <cellStyle name="Normal 60" xfId="1392" xr:uid="{00000000-0005-0000-0000-00002A620000}"/>
    <cellStyle name="Normal 61" xfId="1153" xr:uid="{00000000-0005-0000-0000-00002B620000}"/>
    <cellStyle name="Normal 62" xfId="913" xr:uid="{00000000-0005-0000-0000-00002C620000}"/>
    <cellStyle name="Normal 63" xfId="673" xr:uid="{00000000-0005-0000-0000-00002D620000}"/>
    <cellStyle name="Normal 64" xfId="433" xr:uid="{00000000-0005-0000-0000-00002E620000}"/>
    <cellStyle name="Normal 65" xfId="194" xr:uid="{00000000-0005-0000-0000-00002F620000}"/>
    <cellStyle name="Normal 66" xfId="28932" xr:uid="{00000000-0005-0000-0000-000030620000}"/>
    <cellStyle name="Normal 67" xfId="28931" xr:uid="{00000000-0005-0000-0000-000031620000}"/>
    <cellStyle name="Normal 67 2" xfId="28935" xr:uid="{00000000-0005-0000-0000-000032620000}"/>
    <cellStyle name="Normal 68" xfId="28933" xr:uid="{00000000-0005-0000-0000-000033620000}"/>
    <cellStyle name="Normal 68 2" xfId="28936" xr:uid="{00000000-0005-0000-0000-000034620000}"/>
    <cellStyle name="Normal 7" xfId="28333" xr:uid="{00000000-0005-0000-0000-000035620000}"/>
    <cellStyle name="Normal 7 10" xfId="28332" xr:uid="{00000000-0005-0000-0000-000036620000}"/>
    <cellStyle name="Normal 7 10 10" xfId="22958" xr:uid="{00000000-0005-0000-0000-000037620000}"/>
    <cellStyle name="Normal 7 10 11" xfId="22361" xr:uid="{00000000-0005-0000-0000-000038620000}"/>
    <cellStyle name="Normal 7 10 12" xfId="21765" xr:uid="{00000000-0005-0000-0000-000039620000}"/>
    <cellStyle name="Normal 7 10 13" xfId="21168" xr:uid="{00000000-0005-0000-0000-00003A620000}"/>
    <cellStyle name="Normal 7 10 14" xfId="20571" xr:uid="{00000000-0005-0000-0000-00003B620000}"/>
    <cellStyle name="Normal 7 10 15" xfId="19974" xr:uid="{00000000-0005-0000-0000-00003C620000}"/>
    <cellStyle name="Normal 7 10 16" xfId="19378" xr:uid="{00000000-0005-0000-0000-00003D620000}"/>
    <cellStyle name="Normal 7 10 17" xfId="18782" xr:uid="{00000000-0005-0000-0000-00003E620000}"/>
    <cellStyle name="Normal 7 10 18" xfId="18190" xr:uid="{00000000-0005-0000-0000-00003F620000}"/>
    <cellStyle name="Normal 7 10 19" xfId="17593" xr:uid="{00000000-0005-0000-0000-000040620000}"/>
    <cellStyle name="Normal 7 10 2" xfId="27732" xr:uid="{00000000-0005-0000-0000-000041620000}"/>
    <cellStyle name="Normal 7 10 20" xfId="14361" xr:uid="{00000000-0005-0000-0000-000042620000}"/>
    <cellStyle name="Normal 7 10 21" xfId="13983" xr:uid="{00000000-0005-0000-0000-000043620000}"/>
    <cellStyle name="Normal 7 10 22" xfId="15679" xr:uid="{00000000-0005-0000-0000-000044620000}"/>
    <cellStyle name="Normal 7 10 23" xfId="14515" xr:uid="{00000000-0005-0000-0000-000045620000}"/>
    <cellStyle name="Normal 7 10 24" xfId="14583" xr:uid="{00000000-0005-0000-0000-000046620000}"/>
    <cellStyle name="Normal 7 10 25" xfId="17017" xr:uid="{00000000-0005-0000-0000-000047620000}"/>
    <cellStyle name="Normal 7 10 26" xfId="15837" xr:uid="{00000000-0005-0000-0000-000048620000}"/>
    <cellStyle name="Normal 7 10 27" xfId="12924" xr:uid="{00000000-0005-0000-0000-000049620000}"/>
    <cellStyle name="Normal 7 10 28" xfId="12202" xr:uid="{00000000-0005-0000-0000-00004A620000}"/>
    <cellStyle name="Normal 7 10 29" xfId="9893" xr:uid="{00000000-0005-0000-0000-00004B620000}"/>
    <cellStyle name="Normal 7 10 3" xfId="27135" xr:uid="{00000000-0005-0000-0000-00004C620000}"/>
    <cellStyle name="Normal 7 10 30" xfId="9464" xr:uid="{00000000-0005-0000-0000-00004D620000}"/>
    <cellStyle name="Normal 7 10 31" xfId="9536" xr:uid="{00000000-0005-0000-0000-00004E620000}"/>
    <cellStyle name="Normal 7 10 32" xfId="10230" xr:uid="{00000000-0005-0000-0000-00004F620000}"/>
    <cellStyle name="Normal 7 10 33" xfId="9408" xr:uid="{00000000-0005-0000-0000-000050620000}"/>
    <cellStyle name="Normal 7 10 34" xfId="8423" xr:uid="{00000000-0005-0000-0000-000051620000}"/>
    <cellStyle name="Normal 7 10 35" xfId="4303" xr:uid="{00000000-0005-0000-0000-000052620000}"/>
    <cellStyle name="Normal 7 10 36" xfId="4174" xr:uid="{00000000-0005-0000-0000-000053620000}"/>
    <cellStyle name="Normal 7 10 37" xfId="10620" xr:uid="{00000000-0005-0000-0000-000054620000}"/>
    <cellStyle name="Normal 7 10 38" xfId="10410" xr:uid="{00000000-0005-0000-0000-000055620000}"/>
    <cellStyle name="Normal 7 10 39" xfId="5744" xr:uid="{00000000-0005-0000-0000-000056620000}"/>
    <cellStyle name="Normal 7 10 4" xfId="26538" xr:uid="{00000000-0005-0000-0000-000057620000}"/>
    <cellStyle name="Normal 7 10 40" xfId="4069" xr:uid="{00000000-0005-0000-0000-000058620000}"/>
    <cellStyle name="Normal 7 10 41" xfId="3288" xr:uid="{00000000-0005-0000-0000-000059620000}"/>
    <cellStyle name="Normal 7 10 42" xfId="3858" xr:uid="{00000000-0005-0000-0000-00005A620000}"/>
    <cellStyle name="Normal 7 10 43" xfId="4138" xr:uid="{00000000-0005-0000-0000-00005B620000}"/>
    <cellStyle name="Normal 7 10 44" xfId="2867" xr:uid="{00000000-0005-0000-0000-00005C620000}"/>
    <cellStyle name="Normal 7 10 45" xfId="2624" xr:uid="{00000000-0005-0000-0000-00005D620000}"/>
    <cellStyle name="Normal 7 10 46" xfId="2384" xr:uid="{00000000-0005-0000-0000-00005E620000}"/>
    <cellStyle name="Normal 7 10 47" xfId="2144" xr:uid="{00000000-0005-0000-0000-00005F620000}"/>
    <cellStyle name="Normal 7 10 48" xfId="1904" xr:uid="{00000000-0005-0000-0000-000060620000}"/>
    <cellStyle name="Normal 7 10 49" xfId="1664" xr:uid="{00000000-0005-0000-0000-000061620000}"/>
    <cellStyle name="Normal 7 10 5" xfId="25942" xr:uid="{00000000-0005-0000-0000-000062620000}"/>
    <cellStyle name="Normal 7 10 50" xfId="1425" xr:uid="{00000000-0005-0000-0000-000063620000}"/>
    <cellStyle name="Normal 7 10 51" xfId="1185" xr:uid="{00000000-0005-0000-0000-000064620000}"/>
    <cellStyle name="Normal 7 10 52" xfId="945" xr:uid="{00000000-0005-0000-0000-000065620000}"/>
    <cellStyle name="Normal 7 10 53" xfId="705" xr:uid="{00000000-0005-0000-0000-000066620000}"/>
    <cellStyle name="Normal 7 10 54" xfId="465" xr:uid="{00000000-0005-0000-0000-000067620000}"/>
    <cellStyle name="Normal 7 10 55" xfId="226" xr:uid="{00000000-0005-0000-0000-000068620000}"/>
    <cellStyle name="Normal 7 10 56" xfId="28866" xr:uid="{00000000-0005-0000-0000-000069620000}"/>
    <cellStyle name="Normal 7 10 6" xfId="25346" xr:uid="{00000000-0005-0000-0000-00006A620000}"/>
    <cellStyle name="Normal 7 10 7" xfId="24749" xr:uid="{00000000-0005-0000-0000-00006B620000}"/>
    <cellStyle name="Normal 7 10 8" xfId="24152" xr:uid="{00000000-0005-0000-0000-00006C620000}"/>
    <cellStyle name="Normal 7 10 9" xfId="23555" xr:uid="{00000000-0005-0000-0000-00006D620000}"/>
    <cellStyle name="Normal 7 11" xfId="28331" xr:uid="{00000000-0005-0000-0000-00006E620000}"/>
    <cellStyle name="Normal 7 11 10" xfId="22957" xr:uid="{00000000-0005-0000-0000-00006F620000}"/>
    <cellStyle name="Normal 7 11 11" xfId="22360" xr:uid="{00000000-0005-0000-0000-000070620000}"/>
    <cellStyle name="Normal 7 11 12" xfId="21764" xr:uid="{00000000-0005-0000-0000-000071620000}"/>
    <cellStyle name="Normal 7 11 13" xfId="21167" xr:uid="{00000000-0005-0000-0000-000072620000}"/>
    <cellStyle name="Normal 7 11 14" xfId="20570" xr:uid="{00000000-0005-0000-0000-000073620000}"/>
    <cellStyle name="Normal 7 11 15" xfId="19973" xr:uid="{00000000-0005-0000-0000-000074620000}"/>
    <cellStyle name="Normal 7 11 16" xfId="19377" xr:uid="{00000000-0005-0000-0000-000075620000}"/>
    <cellStyle name="Normal 7 11 17" xfId="18781" xr:uid="{00000000-0005-0000-0000-000076620000}"/>
    <cellStyle name="Normal 7 11 18" xfId="18189" xr:uid="{00000000-0005-0000-0000-000077620000}"/>
    <cellStyle name="Normal 7 11 19" xfId="17592" xr:uid="{00000000-0005-0000-0000-000078620000}"/>
    <cellStyle name="Normal 7 11 2" xfId="27731" xr:uid="{00000000-0005-0000-0000-000079620000}"/>
    <cellStyle name="Normal 7 11 20" xfId="14552" xr:uid="{00000000-0005-0000-0000-00007A620000}"/>
    <cellStyle name="Normal 7 11 21" xfId="17114" xr:uid="{00000000-0005-0000-0000-00007B620000}"/>
    <cellStyle name="Normal 7 11 22" xfId="13524" xr:uid="{00000000-0005-0000-0000-00007C620000}"/>
    <cellStyle name="Normal 7 11 23" xfId="13372" xr:uid="{00000000-0005-0000-0000-00007D620000}"/>
    <cellStyle name="Normal 7 11 24" xfId="14667" xr:uid="{00000000-0005-0000-0000-00007E620000}"/>
    <cellStyle name="Normal 7 11 25" xfId="13428" xr:uid="{00000000-0005-0000-0000-00007F620000}"/>
    <cellStyle name="Normal 7 11 26" xfId="15609" xr:uid="{00000000-0005-0000-0000-000080620000}"/>
    <cellStyle name="Normal 7 11 27" xfId="16443" xr:uid="{00000000-0005-0000-0000-000081620000}"/>
    <cellStyle name="Normal 7 11 28" xfId="12201" xr:uid="{00000000-0005-0000-0000-000082620000}"/>
    <cellStyle name="Normal 7 11 29" xfId="10128" xr:uid="{00000000-0005-0000-0000-000083620000}"/>
    <cellStyle name="Normal 7 11 3" xfId="27134" xr:uid="{00000000-0005-0000-0000-000084620000}"/>
    <cellStyle name="Normal 7 11 30" xfId="5868" xr:uid="{00000000-0005-0000-0000-000085620000}"/>
    <cellStyle name="Normal 7 11 31" xfId="10167" xr:uid="{00000000-0005-0000-0000-000086620000}"/>
    <cellStyle name="Normal 7 11 32" xfId="9939" xr:uid="{00000000-0005-0000-0000-000087620000}"/>
    <cellStyle name="Normal 7 11 33" xfId="11536" xr:uid="{00000000-0005-0000-0000-000088620000}"/>
    <cellStyle name="Normal 7 11 34" xfId="4848" xr:uid="{00000000-0005-0000-0000-000089620000}"/>
    <cellStyle name="Normal 7 11 35" xfId="12070" xr:uid="{00000000-0005-0000-0000-00008A620000}"/>
    <cellStyle name="Normal 7 11 36" xfId="5910" xr:uid="{00000000-0005-0000-0000-00008B620000}"/>
    <cellStyle name="Normal 7 11 37" xfId="6485" xr:uid="{00000000-0005-0000-0000-00008C620000}"/>
    <cellStyle name="Normal 7 11 38" xfId="4035" xr:uid="{00000000-0005-0000-0000-00008D620000}"/>
    <cellStyle name="Normal 7 11 39" xfId="4241" xr:uid="{00000000-0005-0000-0000-00008E620000}"/>
    <cellStyle name="Normal 7 11 4" xfId="26537" xr:uid="{00000000-0005-0000-0000-00008F620000}"/>
    <cellStyle name="Normal 7 11 40" xfId="4167" xr:uid="{00000000-0005-0000-0000-000090620000}"/>
    <cellStyle name="Normal 7 11 41" xfId="4336" xr:uid="{00000000-0005-0000-0000-000091620000}"/>
    <cellStyle name="Normal 7 11 42" xfId="9737" xr:uid="{00000000-0005-0000-0000-000092620000}"/>
    <cellStyle name="Normal 7 11 43" xfId="3388" xr:uid="{00000000-0005-0000-0000-000093620000}"/>
    <cellStyle name="Normal 7 11 44" xfId="2866" xr:uid="{00000000-0005-0000-0000-000094620000}"/>
    <cellStyle name="Normal 7 11 45" xfId="2623" xr:uid="{00000000-0005-0000-0000-000095620000}"/>
    <cellStyle name="Normal 7 11 46" xfId="2383" xr:uid="{00000000-0005-0000-0000-000096620000}"/>
    <cellStyle name="Normal 7 11 47" xfId="2143" xr:uid="{00000000-0005-0000-0000-000097620000}"/>
    <cellStyle name="Normal 7 11 48" xfId="1903" xr:uid="{00000000-0005-0000-0000-000098620000}"/>
    <cellStyle name="Normal 7 11 49" xfId="1663" xr:uid="{00000000-0005-0000-0000-000099620000}"/>
    <cellStyle name="Normal 7 11 5" xfId="25941" xr:uid="{00000000-0005-0000-0000-00009A620000}"/>
    <cellStyle name="Normal 7 11 50" xfId="1424" xr:uid="{00000000-0005-0000-0000-00009B620000}"/>
    <cellStyle name="Normal 7 11 51" xfId="1184" xr:uid="{00000000-0005-0000-0000-00009C620000}"/>
    <cellStyle name="Normal 7 11 52" xfId="944" xr:uid="{00000000-0005-0000-0000-00009D620000}"/>
    <cellStyle name="Normal 7 11 53" xfId="704" xr:uid="{00000000-0005-0000-0000-00009E620000}"/>
    <cellStyle name="Normal 7 11 54" xfId="464" xr:uid="{00000000-0005-0000-0000-00009F620000}"/>
    <cellStyle name="Normal 7 11 55" xfId="225" xr:uid="{00000000-0005-0000-0000-0000A0620000}"/>
    <cellStyle name="Normal 7 11 56" xfId="28867" xr:uid="{00000000-0005-0000-0000-0000A1620000}"/>
    <cellStyle name="Normal 7 11 6" xfId="25345" xr:uid="{00000000-0005-0000-0000-0000A2620000}"/>
    <cellStyle name="Normal 7 11 7" xfId="24748" xr:uid="{00000000-0005-0000-0000-0000A3620000}"/>
    <cellStyle name="Normal 7 11 8" xfId="24151" xr:uid="{00000000-0005-0000-0000-0000A4620000}"/>
    <cellStyle name="Normal 7 11 9" xfId="23554" xr:uid="{00000000-0005-0000-0000-0000A5620000}"/>
    <cellStyle name="Normal 7 12" xfId="28330" xr:uid="{00000000-0005-0000-0000-0000A6620000}"/>
    <cellStyle name="Normal 7 12 10" xfId="22956" xr:uid="{00000000-0005-0000-0000-0000A7620000}"/>
    <cellStyle name="Normal 7 12 11" xfId="22359" xr:uid="{00000000-0005-0000-0000-0000A8620000}"/>
    <cellStyle name="Normal 7 12 12" xfId="21763" xr:uid="{00000000-0005-0000-0000-0000A9620000}"/>
    <cellStyle name="Normal 7 12 13" xfId="21166" xr:uid="{00000000-0005-0000-0000-0000AA620000}"/>
    <cellStyle name="Normal 7 12 14" xfId="20569" xr:uid="{00000000-0005-0000-0000-0000AB620000}"/>
    <cellStyle name="Normal 7 12 15" xfId="19972" xr:uid="{00000000-0005-0000-0000-0000AC620000}"/>
    <cellStyle name="Normal 7 12 16" xfId="19376" xr:uid="{00000000-0005-0000-0000-0000AD620000}"/>
    <cellStyle name="Normal 7 12 17" xfId="18780" xr:uid="{00000000-0005-0000-0000-0000AE620000}"/>
    <cellStyle name="Normal 7 12 18" xfId="18188" xr:uid="{00000000-0005-0000-0000-0000AF620000}"/>
    <cellStyle name="Normal 7 12 19" xfId="17591" xr:uid="{00000000-0005-0000-0000-0000B0620000}"/>
    <cellStyle name="Normal 7 12 2" xfId="27730" xr:uid="{00000000-0005-0000-0000-0000B1620000}"/>
    <cellStyle name="Normal 7 12 20" xfId="14748" xr:uid="{00000000-0005-0000-0000-0000B2620000}"/>
    <cellStyle name="Normal 7 12 21" xfId="17101" xr:uid="{00000000-0005-0000-0000-0000B3620000}"/>
    <cellStyle name="Normal 7 12 22" xfId="16303" xr:uid="{00000000-0005-0000-0000-0000B4620000}"/>
    <cellStyle name="Normal 7 12 23" xfId="13609" xr:uid="{00000000-0005-0000-0000-0000B5620000}"/>
    <cellStyle name="Normal 7 12 24" xfId="16848" xr:uid="{00000000-0005-0000-0000-0000B6620000}"/>
    <cellStyle name="Normal 7 12 25" xfId="15421" xr:uid="{00000000-0005-0000-0000-0000B7620000}"/>
    <cellStyle name="Normal 7 12 26" xfId="14819" xr:uid="{00000000-0005-0000-0000-0000B8620000}"/>
    <cellStyle name="Normal 7 12 27" xfId="15622" xr:uid="{00000000-0005-0000-0000-0000B9620000}"/>
    <cellStyle name="Normal 7 12 28" xfId="12200" xr:uid="{00000000-0005-0000-0000-0000BA620000}"/>
    <cellStyle name="Normal 7 12 29" xfId="10355" xr:uid="{00000000-0005-0000-0000-0000BB620000}"/>
    <cellStyle name="Normal 7 12 3" xfId="27133" xr:uid="{00000000-0005-0000-0000-0000BC620000}"/>
    <cellStyle name="Normal 7 12 30" xfId="8036" xr:uid="{00000000-0005-0000-0000-0000BD620000}"/>
    <cellStyle name="Normal 7 12 31" xfId="5879" xr:uid="{00000000-0005-0000-0000-0000BE620000}"/>
    <cellStyle name="Normal 7 12 32" xfId="5743" xr:uid="{00000000-0005-0000-0000-0000BF620000}"/>
    <cellStyle name="Normal 7 12 33" xfId="8474" xr:uid="{00000000-0005-0000-0000-0000C0620000}"/>
    <cellStyle name="Normal 7 12 34" xfId="5505" xr:uid="{00000000-0005-0000-0000-0000C1620000}"/>
    <cellStyle name="Normal 7 12 35" xfId="4439" xr:uid="{00000000-0005-0000-0000-0000C2620000}"/>
    <cellStyle name="Normal 7 12 36" xfId="5188" xr:uid="{00000000-0005-0000-0000-0000C3620000}"/>
    <cellStyle name="Normal 7 12 37" xfId="8000" xr:uid="{00000000-0005-0000-0000-0000C4620000}"/>
    <cellStyle name="Normal 7 12 38" xfId="6312" xr:uid="{00000000-0005-0000-0000-0000C5620000}"/>
    <cellStyle name="Normal 7 12 39" xfId="8849" xr:uid="{00000000-0005-0000-0000-0000C6620000}"/>
    <cellStyle name="Normal 7 12 4" xfId="26536" xr:uid="{00000000-0005-0000-0000-0000C7620000}"/>
    <cellStyle name="Normal 7 12 40" xfId="4163" xr:uid="{00000000-0005-0000-0000-0000C8620000}"/>
    <cellStyle name="Normal 7 12 41" xfId="10908" xr:uid="{00000000-0005-0000-0000-0000C9620000}"/>
    <cellStyle name="Normal 7 12 42" xfId="8926" xr:uid="{00000000-0005-0000-0000-0000CA620000}"/>
    <cellStyle name="Normal 7 12 43" xfId="4134" xr:uid="{00000000-0005-0000-0000-0000CB620000}"/>
    <cellStyle name="Normal 7 12 5" xfId="25940" xr:uid="{00000000-0005-0000-0000-0000CC620000}"/>
    <cellStyle name="Normal 7 12 6" xfId="25344" xr:uid="{00000000-0005-0000-0000-0000CD620000}"/>
    <cellStyle name="Normal 7 12 7" xfId="24747" xr:uid="{00000000-0005-0000-0000-0000CE620000}"/>
    <cellStyle name="Normal 7 12 8" xfId="24150" xr:uid="{00000000-0005-0000-0000-0000CF620000}"/>
    <cellStyle name="Normal 7 12 9" xfId="23553" xr:uid="{00000000-0005-0000-0000-0000D0620000}"/>
    <cellStyle name="Normal 7 13" xfId="28329" xr:uid="{00000000-0005-0000-0000-0000D1620000}"/>
    <cellStyle name="Normal 7 13 10" xfId="22955" xr:uid="{00000000-0005-0000-0000-0000D2620000}"/>
    <cellStyle name="Normal 7 13 11" xfId="22358" xr:uid="{00000000-0005-0000-0000-0000D3620000}"/>
    <cellStyle name="Normal 7 13 12" xfId="21762" xr:uid="{00000000-0005-0000-0000-0000D4620000}"/>
    <cellStyle name="Normal 7 13 13" xfId="21165" xr:uid="{00000000-0005-0000-0000-0000D5620000}"/>
    <cellStyle name="Normal 7 13 14" xfId="20568" xr:uid="{00000000-0005-0000-0000-0000D6620000}"/>
    <cellStyle name="Normal 7 13 15" xfId="19971" xr:uid="{00000000-0005-0000-0000-0000D7620000}"/>
    <cellStyle name="Normal 7 13 16" xfId="19375" xr:uid="{00000000-0005-0000-0000-0000D8620000}"/>
    <cellStyle name="Normal 7 13 17" xfId="18779" xr:uid="{00000000-0005-0000-0000-0000D9620000}"/>
    <cellStyle name="Normal 7 13 18" xfId="18187" xr:uid="{00000000-0005-0000-0000-0000DA620000}"/>
    <cellStyle name="Normal 7 13 19" xfId="17590" xr:uid="{00000000-0005-0000-0000-0000DB620000}"/>
    <cellStyle name="Normal 7 13 2" xfId="27729" xr:uid="{00000000-0005-0000-0000-0000DC620000}"/>
    <cellStyle name="Normal 7 13 20" xfId="14951" xr:uid="{00000000-0005-0000-0000-0000DD620000}"/>
    <cellStyle name="Normal 7 13 21" xfId="17089" xr:uid="{00000000-0005-0000-0000-0000DE620000}"/>
    <cellStyle name="Normal 7 13 22" xfId="13675" xr:uid="{00000000-0005-0000-0000-0000DF620000}"/>
    <cellStyle name="Normal 7 13 23" xfId="13647" xr:uid="{00000000-0005-0000-0000-0000E0620000}"/>
    <cellStyle name="Normal 7 13 24" xfId="16259" xr:uid="{00000000-0005-0000-0000-0000E1620000}"/>
    <cellStyle name="Normal 7 13 25" xfId="16813" xr:uid="{00000000-0005-0000-0000-0000E2620000}"/>
    <cellStyle name="Normal 7 13 26" xfId="12929" xr:uid="{00000000-0005-0000-0000-0000E3620000}"/>
    <cellStyle name="Normal 7 13 27" xfId="15235" xr:uid="{00000000-0005-0000-0000-0000E4620000}"/>
    <cellStyle name="Normal 7 13 28" xfId="12199" xr:uid="{00000000-0005-0000-0000-0000E5620000}"/>
    <cellStyle name="Normal 7 13 29" xfId="10584" xr:uid="{00000000-0005-0000-0000-0000E6620000}"/>
    <cellStyle name="Normal 7 13 3" xfId="27132" xr:uid="{00000000-0005-0000-0000-0000E7620000}"/>
    <cellStyle name="Normal 7 13 30" xfId="6113" xr:uid="{00000000-0005-0000-0000-0000E8620000}"/>
    <cellStyle name="Normal 7 13 31" xfId="11857" xr:uid="{00000000-0005-0000-0000-0000E9620000}"/>
    <cellStyle name="Normal 7 13 32" xfId="8074" xr:uid="{00000000-0005-0000-0000-0000EA620000}"/>
    <cellStyle name="Normal 7 13 33" xfId="9157" xr:uid="{00000000-0005-0000-0000-0000EB620000}"/>
    <cellStyle name="Normal 7 13 34" xfId="5953" xr:uid="{00000000-0005-0000-0000-0000EC620000}"/>
    <cellStyle name="Normal 7 13 35" xfId="4719" xr:uid="{00000000-0005-0000-0000-0000ED620000}"/>
    <cellStyle name="Normal 7 13 36" xfId="4429" xr:uid="{00000000-0005-0000-0000-0000EE620000}"/>
    <cellStyle name="Normal 7 13 37" xfId="6478" xr:uid="{00000000-0005-0000-0000-0000EF620000}"/>
    <cellStyle name="Normal 7 13 38" xfId="3911" xr:uid="{00000000-0005-0000-0000-0000F0620000}"/>
    <cellStyle name="Normal 7 13 39" xfId="4248" xr:uid="{00000000-0005-0000-0000-0000F1620000}"/>
    <cellStyle name="Normal 7 13 4" xfId="26535" xr:uid="{00000000-0005-0000-0000-0000F2620000}"/>
    <cellStyle name="Normal 7 13 40" xfId="3847" xr:uid="{00000000-0005-0000-0000-0000F3620000}"/>
    <cellStyle name="Normal 7 13 41" xfId="4506" xr:uid="{00000000-0005-0000-0000-0000F4620000}"/>
    <cellStyle name="Normal 7 13 42" xfId="6588" xr:uid="{00000000-0005-0000-0000-0000F5620000}"/>
    <cellStyle name="Normal 7 13 43" xfId="9496" xr:uid="{00000000-0005-0000-0000-0000F6620000}"/>
    <cellStyle name="Normal 7 13 5" xfId="25939" xr:uid="{00000000-0005-0000-0000-0000F7620000}"/>
    <cellStyle name="Normal 7 13 6" xfId="25343" xr:uid="{00000000-0005-0000-0000-0000F8620000}"/>
    <cellStyle name="Normal 7 13 7" xfId="24746" xr:uid="{00000000-0005-0000-0000-0000F9620000}"/>
    <cellStyle name="Normal 7 13 8" xfId="24149" xr:uid="{00000000-0005-0000-0000-0000FA620000}"/>
    <cellStyle name="Normal 7 13 9" xfId="23552" xr:uid="{00000000-0005-0000-0000-0000FB620000}"/>
    <cellStyle name="Normal 7 14" xfId="28328" xr:uid="{00000000-0005-0000-0000-0000FC620000}"/>
    <cellStyle name="Normal 7 14 10" xfId="22954" xr:uid="{00000000-0005-0000-0000-0000FD620000}"/>
    <cellStyle name="Normal 7 14 11" xfId="22357" xr:uid="{00000000-0005-0000-0000-0000FE620000}"/>
    <cellStyle name="Normal 7 14 12" xfId="21761" xr:uid="{00000000-0005-0000-0000-0000FF620000}"/>
    <cellStyle name="Normal 7 14 13" xfId="21164" xr:uid="{00000000-0005-0000-0000-000000630000}"/>
    <cellStyle name="Normal 7 14 14" xfId="20567" xr:uid="{00000000-0005-0000-0000-000001630000}"/>
    <cellStyle name="Normal 7 14 15" xfId="19970" xr:uid="{00000000-0005-0000-0000-000002630000}"/>
    <cellStyle name="Normal 7 14 16" xfId="19374" xr:uid="{00000000-0005-0000-0000-000003630000}"/>
    <cellStyle name="Normal 7 14 17" xfId="18778" xr:uid="{00000000-0005-0000-0000-000004630000}"/>
    <cellStyle name="Normal 7 14 18" xfId="18186" xr:uid="{00000000-0005-0000-0000-000005630000}"/>
    <cellStyle name="Normal 7 14 19" xfId="17589" xr:uid="{00000000-0005-0000-0000-000006630000}"/>
    <cellStyle name="Normal 7 14 2" xfId="27728" xr:uid="{00000000-0005-0000-0000-000007630000}"/>
    <cellStyle name="Normal 7 14 20" xfId="15158" xr:uid="{00000000-0005-0000-0000-000008630000}"/>
    <cellStyle name="Normal 7 14 21" xfId="16881" xr:uid="{00000000-0005-0000-0000-000009630000}"/>
    <cellStyle name="Normal 7 14 22" xfId="13814" xr:uid="{00000000-0005-0000-0000-00000A630000}"/>
    <cellStyle name="Normal 7 14 23" xfId="15389" xr:uid="{00000000-0005-0000-0000-00000B630000}"/>
    <cellStyle name="Normal 7 14 24" xfId="13608" xr:uid="{00000000-0005-0000-0000-00000C630000}"/>
    <cellStyle name="Normal 7 14 25" xfId="13205" xr:uid="{00000000-0005-0000-0000-00000D630000}"/>
    <cellStyle name="Normal 7 14 26" xfId="12997" xr:uid="{00000000-0005-0000-0000-00000E630000}"/>
    <cellStyle name="Normal 7 14 27" xfId="13249" xr:uid="{00000000-0005-0000-0000-00000F630000}"/>
    <cellStyle name="Normal 7 14 28" xfId="12198" xr:uid="{00000000-0005-0000-0000-000010630000}"/>
    <cellStyle name="Normal 7 14 29" xfId="10799" xr:uid="{00000000-0005-0000-0000-000011630000}"/>
    <cellStyle name="Normal 7 14 3" xfId="27131" xr:uid="{00000000-0005-0000-0000-000012630000}"/>
    <cellStyle name="Normal 7 14 30" xfId="6207" xr:uid="{00000000-0005-0000-0000-000013630000}"/>
    <cellStyle name="Normal 7 14 31" xfId="10070" xr:uid="{00000000-0005-0000-0000-000014630000}"/>
    <cellStyle name="Normal 7 14 32" xfId="7682" xr:uid="{00000000-0005-0000-0000-000015630000}"/>
    <cellStyle name="Normal 7 14 33" xfId="6779" xr:uid="{00000000-0005-0000-0000-000016630000}"/>
    <cellStyle name="Normal 7 14 34" xfId="7594" xr:uid="{00000000-0005-0000-0000-000017630000}"/>
    <cellStyle name="Normal 7 14 35" xfId="4445" xr:uid="{00000000-0005-0000-0000-000018630000}"/>
    <cellStyle name="Normal 7 14 36" xfId="11610" xr:uid="{00000000-0005-0000-0000-000019630000}"/>
    <cellStyle name="Normal 7 14 37" xfId="3929" xr:uid="{00000000-0005-0000-0000-00001A630000}"/>
    <cellStyle name="Normal 7 14 38" xfId="4565" xr:uid="{00000000-0005-0000-0000-00001B630000}"/>
    <cellStyle name="Normal 7 14 39" xfId="8946" xr:uid="{00000000-0005-0000-0000-00001C630000}"/>
    <cellStyle name="Normal 7 14 4" xfId="26534" xr:uid="{00000000-0005-0000-0000-00001D630000}"/>
    <cellStyle name="Normal 7 14 40" xfId="3884" xr:uid="{00000000-0005-0000-0000-00001E630000}"/>
    <cellStyle name="Normal 7 14 41" xfId="4758" xr:uid="{00000000-0005-0000-0000-00001F630000}"/>
    <cellStyle name="Normal 7 14 42" xfId="3191" xr:uid="{00000000-0005-0000-0000-000020630000}"/>
    <cellStyle name="Normal 7 14 43" xfId="4847" xr:uid="{00000000-0005-0000-0000-000021630000}"/>
    <cellStyle name="Normal 7 14 5" xfId="25938" xr:uid="{00000000-0005-0000-0000-000022630000}"/>
    <cellStyle name="Normal 7 14 6" xfId="25342" xr:uid="{00000000-0005-0000-0000-000023630000}"/>
    <cellStyle name="Normal 7 14 7" xfId="24745" xr:uid="{00000000-0005-0000-0000-000024630000}"/>
    <cellStyle name="Normal 7 14 8" xfId="24148" xr:uid="{00000000-0005-0000-0000-000025630000}"/>
    <cellStyle name="Normal 7 14 9" xfId="23551" xr:uid="{00000000-0005-0000-0000-000026630000}"/>
    <cellStyle name="Normal 7 15" xfId="28327" xr:uid="{00000000-0005-0000-0000-000027630000}"/>
    <cellStyle name="Normal 7 15 10" xfId="22953" xr:uid="{00000000-0005-0000-0000-000028630000}"/>
    <cellStyle name="Normal 7 15 11" xfId="22356" xr:uid="{00000000-0005-0000-0000-000029630000}"/>
    <cellStyle name="Normal 7 15 12" xfId="21760" xr:uid="{00000000-0005-0000-0000-00002A630000}"/>
    <cellStyle name="Normal 7 15 13" xfId="21163" xr:uid="{00000000-0005-0000-0000-00002B630000}"/>
    <cellStyle name="Normal 7 15 14" xfId="20566" xr:uid="{00000000-0005-0000-0000-00002C630000}"/>
    <cellStyle name="Normal 7 15 15" xfId="19969" xr:uid="{00000000-0005-0000-0000-00002D630000}"/>
    <cellStyle name="Normal 7 15 16" xfId="19373" xr:uid="{00000000-0005-0000-0000-00002E630000}"/>
    <cellStyle name="Normal 7 15 17" xfId="18777" xr:uid="{00000000-0005-0000-0000-00002F630000}"/>
    <cellStyle name="Normal 7 15 18" xfId="18185" xr:uid="{00000000-0005-0000-0000-000030630000}"/>
    <cellStyle name="Normal 7 15 19" xfId="17588" xr:uid="{00000000-0005-0000-0000-000031630000}"/>
    <cellStyle name="Normal 7 15 2" xfId="27727" xr:uid="{00000000-0005-0000-0000-000032630000}"/>
    <cellStyle name="Normal 7 15 20" xfId="15353" xr:uid="{00000000-0005-0000-0000-000033630000}"/>
    <cellStyle name="Normal 7 15 21" xfId="16871" xr:uid="{00000000-0005-0000-0000-000034630000}"/>
    <cellStyle name="Normal 7 15 22" xfId="16362" xr:uid="{00000000-0005-0000-0000-000035630000}"/>
    <cellStyle name="Normal 7 15 23" xfId="15177" xr:uid="{00000000-0005-0000-0000-000036630000}"/>
    <cellStyle name="Normal 7 15 24" xfId="17306" xr:uid="{00000000-0005-0000-0000-000037630000}"/>
    <cellStyle name="Normal 7 15 25" xfId="13386" xr:uid="{00000000-0005-0000-0000-000038630000}"/>
    <cellStyle name="Normal 7 15 26" xfId="13990" xr:uid="{00000000-0005-0000-0000-000039630000}"/>
    <cellStyle name="Normal 7 15 27" xfId="16291" xr:uid="{00000000-0005-0000-0000-00003A630000}"/>
    <cellStyle name="Normal 7 15 28" xfId="12197" xr:uid="{00000000-0005-0000-0000-00003B630000}"/>
    <cellStyle name="Normal 7 15 29" xfId="11018" xr:uid="{00000000-0005-0000-0000-00003C630000}"/>
    <cellStyle name="Normal 7 15 3" xfId="27130" xr:uid="{00000000-0005-0000-0000-00003D630000}"/>
    <cellStyle name="Normal 7 15 30" xfId="7639" xr:uid="{00000000-0005-0000-0000-00003E630000}"/>
    <cellStyle name="Normal 7 15 31" xfId="11422" xr:uid="{00000000-0005-0000-0000-00003F630000}"/>
    <cellStyle name="Normal 7 15 32" xfId="6841" xr:uid="{00000000-0005-0000-0000-000040630000}"/>
    <cellStyle name="Normal 7 15 33" xfId="11392" xr:uid="{00000000-0005-0000-0000-000041630000}"/>
    <cellStyle name="Normal 7 15 34" xfId="9072" xr:uid="{00000000-0005-0000-0000-000042630000}"/>
    <cellStyle name="Normal 7 15 35" xfId="5031" xr:uid="{00000000-0005-0000-0000-000043630000}"/>
    <cellStyle name="Normal 7 15 36" xfId="4325" xr:uid="{00000000-0005-0000-0000-000044630000}"/>
    <cellStyle name="Normal 7 15 37" xfId="9550" xr:uid="{00000000-0005-0000-0000-000045630000}"/>
    <cellStyle name="Normal 7 15 38" xfId="5124" xr:uid="{00000000-0005-0000-0000-000046630000}"/>
    <cellStyle name="Normal 7 15 39" xfId="10485" xr:uid="{00000000-0005-0000-0000-000047630000}"/>
    <cellStyle name="Normal 7 15 4" xfId="26533" xr:uid="{00000000-0005-0000-0000-000048630000}"/>
    <cellStyle name="Normal 7 15 40" xfId="3307" xr:uid="{00000000-0005-0000-0000-000049630000}"/>
    <cellStyle name="Normal 7 15 41" xfId="5825" xr:uid="{00000000-0005-0000-0000-00004A630000}"/>
    <cellStyle name="Normal 7 15 42" xfId="3448" xr:uid="{00000000-0005-0000-0000-00004B630000}"/>
    <cellStyle name="Normal 7 15 43" xfId="3237" xr:uid="{00000000-0005-0000-0000-00004C630000}"/>
    <cellStyle name="Normal 7 15 5" xfId="25937" xr:uid="{00000000-0005-0000-0000-00004D630000}"/>
    <cellStyle name="Normal 7 15 6" xfId="25341" xr:uid="{00000000-0005-0000-0000-00004E630000}"/>
    <cellStyle name="Normal 7 15 7" xfId="24744" xr:uid="{00000000-0005-0000-0000-00004F630000}"/>
    <cellStyle name="Normal 7 15 8" xfId="24147" xr:uid="{00000000-0005-0000-0000-000050630000}"/>
    <cellStyle name="Normal 7 15 9" xfId="23550" xr:uid="{00000000-0005-0000-0000-000051630000}"/>
    <cellStyle name="Normal 7 16" xfId="28326" xr:uid="{00000000-0005-0000-0000-000052630000}"/>
    <cellStyle name="Normal 7 16 10" xfId="22952" xr:uid="{00000000-0005-0000-0000-000053630000}"/>
    <cellStyle name="Normal 7 16 11" xfId="22355" xr:uid="{00000000-0005-0000-0000-000054630000}"/>
    <cellStyle name="Normal 7 16 12" xfId="21759" xr:uid="{00000000-0005-0000-0000-000055630000}"/>
    <cellStyle name="Normal 7 16 13" xfId="21162" xr:uid="{00000000-0005-0000-0000-000056630000}"/>
    <cellStyle name="Normal 7 16 14" xfId="20565" xr:uid="{00000000-0005-0000-0000-000057630000}"/>
    <cellStyle name="Normal 7 16 15" xfId="19968" xr:uid="{00000000-0005-0000-0000-000058630000}"/>
    <cellStyle name="Normal 7 16 16" xfId="19372" xr:uid="{00000000-0005-0000-0000-000059630000}"/>
    <cellStyle name="Normal 7 16 17" xfId="18776" xr:uid="{00000000-0005-0000-0000-00005A630000}"/>
    <cellStyle name="Normal 7 16 18" xfId="18184" xr:uid="{00000000-0005-0000-0000-00005B630000}"/>
    <cellStyle name="Normal 7 16 19" xfId="17587" xr:uid="{00000000-0005-0000-0000-00005C630000}"/>
    <cellStyle name="Normal 7 16 2" xfId="27726" xr:uid="{00000000-0005-0000-0000-00005D630000}"/>
    <cellStyle name="Normal 7 16 20" xfId="15560" xr:uid="{00000000-0005-0000-0000-00005E630000}"/>
    <cellStyle name="Normal 7 16 21" xfId="16470" xr:uid="{00000000-0005-0000-0000-00005F630000}"/>
    <cellStyle name="Normal 7 16 22" xfId="16553" xr:uid="{00000000-0005-0000-0000-000060630000}"/>
    <cellStyle name="Normal 7 16 23" xfId="15162" xr:uid="{00000000-0005-0000-0000-000061630000}"/>
    <cellStyle name="Normal 7 16 24" xfId="14181" xr:uid="{00000000-0005-0000-0000-000062630000}"/>
    <cellStyle name="Normal 7 16 25" xfId="15091" xr:uid="{00000000-0005-0000-0000-000063630000}"/>
    <cellStyle name="Normal 7 16 26" xfId="16191" xr:uid="{00000000-0005-0000-0000-000064630000}"/>
    <cellStyle name="Normal 7 16 27" xfId="14479" xr:uid="{00000000-0005-0000-0000-000065630000}"/>
    <cellStyle name="Normal 7 16 28" xfId="12196" xr:uid="{00000000-0005-0000-0000-000066630000}"/>
    <cellStyle name="Normal 7 16 29" xfId="11246" xr:uid="{00000000-0005-0000-0000-000067630000}"/>
    <cellStyle name="Normal 7 16 3" xfId="27129" xr:uid="{00000000-0005-0000-0000-000068630000}"/>
    <cellStyle name="Normal 7 16 30" xfId="7689" xr:uid="{00000000-0005-0000-0000-000069630000}"/>
    <cellStyle name="Normal 7 16 31" xfId="11873" xr:uid="{00000000-0005-0000-0000-00006A630000}"/>
    <cellStyle name="Normal 7 16 32" xfId="10193" xr:uid="{00000000-0005-0000-0000-00006B630000}"/>
    <cellStyle name="Normal 7 16 33" xfId="6318" xr:uid="{00000000-0005-0000-0000-00006C630000}"/>
    <cellStyle name="Normal 7 16 34" xfId="8057" xr:uid="{00000000-0005-0000-0000-00006D630000}"/>
    <cellStyle name="Normal 7 16 35" xfId="4877" xr:uid="{00000000-0005-0000-0000-00006E630000}"/>
    <cellStyle name="Normal 7 16 36" xfId="8259" xr:uid="{00000000-0005-0000-0000-00006F630000}"/>
    <cellStyle name="Normal 7 16 37" xfId="8224" xr:uid="{00000000-0005-0000-0000-000070630000}"/>
    <cellStyle name="Normal 7 16 38" xfId="10457" xr:uid="{00000000-0005-0000-0000-000071630000}"/>
    <cellStyle name="Normal 7 16 39" xfId="3732" xr:uid="{00000000-0005-0000-0000-000072630000}"/>
    <cellStyle name="Normal 7 16 4" xfId="26532" xr:uid="{00000000-0005-0000-0000-000073630000}"/>
    <cellStyle name="Normal 7 16 40" xfId="8143" xr:uid="{00000000-0005-0000-0000-000074630000}"/>
    <cellStyle name="Normal 7 16 41" xfId="11376" xr:uid="{00000000-0005-0000-0000-000075630000}"/>
    <cellStyle name="Normal 7 16 42" xfId="5308" xr:uid="{00000000-0005-0000-0000-000076630000}"/>
    <cellStyle name="Normal 7 16 43" xfId="11955" xr:uid="{00000000-0005-0000-0000-000077630000}"/>
    <cellStyle name="Normal 7 16 5" xfId="25936" xr:uid="{00000000-0005-0000-0000-000078630000}"/>
    <cellStyle name="Normal 7 16 6" xfId="25340" xr:uid="{00000000-0005-0000-0000-000079630000}"/>
    <cellStyle name="Normal 7 16 7" xfId="24743" xr:uid="{00000000-0005-0000-0000-00007A630000}"/>
    <cellStyle name="Normal 7 16 8" xfId="24146" xr:uid="{00000000-0005-0000-0000-00007B630000}"/>
    <cellStyle name="Normal 7 16 9" xfId="23549" xr:uid="{00000000-0005-0000-0000-00007C630000}"/>
    <cellStyle name="Normal 7 17" xfId="28325" xr:uid="{00000000-0005-0000-0000-00007D630000}"/>
    <cellStyle name="Normal 7 17 10" xfId="22951" xr:uid="{00000000-0005-0000-0000-00007E630000}"/>
    <cellStyle name="Normal 7 17 11" xfId="22354" xr:uid="{00000000-0005-0000-0000-00007F630000}"/>
    <cellStyle name="Normal 7 17 12" xfId="21758" xr:uid="{00000000-0005-0000-0000-000080630000}"/>
    <cellStyle name="Normal 7 17 13" xfId="21161" xr:uid="{00000000-0005-0000-0000-000081630000}"/>
    <cellStyle name="Normal 7 17 14" xfId="20564" xr:uid="{00000000-0005-0000-0000-000082630000}"/>
    <cellStyle name="Normal 7 17 15" xfId="19967" xr:uid="{00000000-0005-0000-0000-000083630000}"/>
    <cellStyle name="Normal 7 17 16" xfId="19371" xr:uid="{00000000-0005-0000-0000-000084630000}"/>
    <cellStyle name="Normal 7 17 17" xfId="18775" xr:uid="{00000000-0005-0000-0000-000085630000}"/>
    <cellStyle name="Normal 7 17 18" xfId="18183" xr:uid="{00000000-0005-0000-0000-000086630000}"/>
    <cellStyle name="Normal 7 17 19" xfId="17586" xr:uid="{00000000-0005-0000-0000-000087630000}"/>
    <cellStyle name="Normal 7 17 2" xfId="27725" xr:uid="{00000000-0005-0000-0000-000088630000}"/>
    <cellStyle name="Normal 7 17 20" xfId="15750" xr:uid="{00000000-0005-0000-0000-000089630000}"/>
    <cellStyle name="Normal 7 17 21" xfId="16461" xr:uid="{00000000-0005-0000-0000-00008A630000}"/>
    <cellStyle name="Normal 7 17 22" xfId="16945" xr:uid="{00000000-0005-0000-0000-00008B630000}"/>
    <cellStyle name="Normal 7 17 23" xfId="17470" xr:uid="{00000000-0005-0000-0000-00008C630000}"/>
    <cellStyle name="Normal 7 17 24" xfId="15442" xr:uid="{00000000-0005-0000-0000-00008D630000}"/>
    <cellStyle name="Normal 7 17 25" xfId="16965" xr:uid="{00000000-0005-0000-0000-00008E630000}"/>
    <cellStyle name="Normal 7 17 26" xfId="15768" xr:uid="{00000000-0005-0000-0000-00008F630000}"/>
    <cellStyle name="Normal 7 17 27" xfId="14662" xr:uid="{00000000-0005-0000-0000-000090630000}"/>
    <cellStyle name="Normal 7 17 28" xfId="12195" xr:uid="{00000000-0005-0000-0000-000091630000}"/>
    <cellStyle name="Normal 7 17 29" xfId="11479" xr:uid="{00000000-0005-0000-0000-000092630000}"/>
    <cellStyle name="Normal 7 17 3" xfId="27128" xr:uid="{00000000-0005-0000-0000-000093630000}"/>
    <cellStyle name="Normal 7 17 30" xfId="10775" xr:uid="{00000000-0005-0000-0000-000094630000}"/>
    <cellStyle name="Normal 7 17 31" xfId="8683" xr:uid="{00000000-0005-0000-0000-000095630000}"/>
    <cellStyle name="Normal 7 17 32" xfId="7515" xr:uid="{00000000-0005-0000-0000-000096630000}"/>
    <cellStyle name="Normal 7 17 33" xfId="6803" xr:uid="{00000000-0005-0000-0000-000097630000}"/>
    <cellStyle name="Normal 7 17 34" xfId="7621" xr:uid="{00000000-0005-0000-0000-000098630000}"/>
    <cellStyle name="Normal 7 17 35" xfId="7880" xr:uid="{00000000-0005-0000-0000-000099630000}"/>
    <cellStyle name="Normal 7 17 36" xfId="6371" xr:uid="{00000000-0005-0000-0000-00009A630000}"/>
    <cellStyle name="Normal 7 17 37" xfId="7760" xr:uid="{00000000-0005-0000-0000-00009B630000}"/>
    <cellStyle name="Normal 7 17 38" xfId="4116" xr:uid="{00000000-0005-0000-0000-00009C630000}"/>
    <cellStyle name="Normal 7 17 39" xfId="4592" xr:uid="{00000000-0005-0000-0000-00009D630000}"/>
    <cellStyle name="Normal 7 17 4" xfId="26531" xr:uid="{00000000-0005-0000-0000-00009E630000}"/>
    <cellStyle name="Normal 7 17 40" xfId="3316" xr:uid="{00000000-0005-0000-0000-00009F630000}"/>
    <cellStyle name="Normal 7 17 41" xfId="4509" xr:uid="{00000000-0005-0000-0000-0000A0630000}"/>
    <cellStyle name="Normal 7 17 42" xfId="4826" xr:uid="{00000000-0005-0000-0000-0000A1630000}"/>
    <cellStyle name="Normal 7 17 43" xfId="3308" xr:uid="{00000000-0005-0000-0000-0000A2630000}"/>
    <cellStyle name="Normal 7 17 5" xfId="25935" xr:uid="{00000000-0005-0000-0000-0000A3630000}"/>
    <cellStyle name="Normal 7 17 6" xfId="25339" xr:uid="{00000000-0005-0000-0000-0000A4630000}"/>
    <cellStyle name="Normal 7 17 7" xfId="24742" xr:uid="{00000000-0005-0000-0000-0000A5630000}"/>
    <cellStyle name="Normal 7 17 8" xfId="24145" xr:uid="{00000000-0005-0000-0000-0000A6630000}"/>
    <cellStyle name="Normal 7 17 9" xfId="23548" xr:uid="{00000000-0005-0000-0000-0000A7630000}"/>
    <cellStyle name="Normal 7 18" xfId="28324" xr:uid="{00000000-0005-0000-0000-0000A8630000}"/>
    <cellStyle name="Normal 7 18 10" xfId="22950" xr:uid="{00000000-0005-0000-0000-0000A9630000}"/>
    <cellStyle name="Normal 7 18 11" xfId="22353" xr:uid="{00000000-0005-0000-0000-0000AA630000}"/>
    <cellStyle name="Normal 7 18 12" xfId="21757" xr:uid="{00000000-0005-0000-0000-0000AB630000}"/>
    <cellStyle name="Normal 7 18 13" xfId="21160" xr:uid="{00000000-0005-0000-0000-0000AC630000}"/>
    <cellStyle name="Normal 7 18 14" xfId="20563" xr:uid="{00000000-0005-0000-0000-0000AD630000}"/>
    <cellStyle name="Normal 7 18 15" xfId="19966" xr:uid="{00000000-0005-0000-0000-0000AE630000}"/>
    <cellStyle name="Normal 7 18 16" xfId="19370" xr:uid="{00000000-0005-0000-0000-0000AF630000}"/>
    <cellStyle name="Normal 7 18 17" xfId="18774" xr:uid="{00000000-0005-0000-0000-0000B0630000}"/>
    <cellStyle name="Normal 7 18 18" xfId="18182" xr:uid="{00000000-0005-0000-0000-0000B1630000}"/>
    <cellStyle name="Normal 7 18 19" xfId="17585" xr:uid="{00000000-0005-0000-0000-0000B2630000}"/>
    <cellStyle name="Normal 7 18 2" xfId="27724" xr:uid="{00000000-0005-0000-0000-0000B3630000}"/>
    <cellStyle name="Normal 7 18 20" xfId="14178" xr:uid="{00000000-0005-0000-0000-0000B4630000}"/>
    <cellStyle name="Normal 7 18 21" xfId="16051" xr:uid="{00000000-0005-0000-0000-0000B5630000}"/>
    <cellStyle name="Normal 7 18 22" xfId="14189" xr:uid="{00000000-0005-0000-0000-0000B6630000}"/>
    <cellStyle name="Normal 7 18 23" xfId="14238" xr:uid="{00000000-0005-0000-0000-0000B7630000}"/>
    <cellStyle name="Normal 7 18 24" xfId="13841" xr:uid="{00000000-0005-0000-0000-0000B8630000}"/>
    <cellStyle name="Normal 7 18 25" xfId="16569" xr:uid="{00000000-0005-0000-0000-0000B9630000}"/>
    <cellStyle name="Normal 7 18 26" xfId="14226" xr:uid="{00000000-0005-0000-0000-0000BA630000}"/>
    <cellStyle name="Normal 7 18 27" xfId="16475" xr:uid="{00000000-0005-0000-0000-0000BB630000}"/>
    <cellStyle name="Normal 7 18 28" xfId="12194" xr:uid="{00000000-0005-0000-0000-0000BC630000}"/>
    <cellStyle name="Normal 7 18 29" xfId="11703" xr:uid="{00000000-0005-0000-0000-0000BD630000}"/>
    <cellStyle name="Normal 7 18 3" xfId="27127" xr:uid="{00000000-0005-0000-0000-0000BE630000}"/>
    <cellStyle name="Normal 7 18 30" xfId="9595" xr:uid="{00000000-0005-0000-0000-0000BF630000}"/>
    <cellStyle name="Normal 7 18 31" xfId="5968" xr:uid="{00000000-0005-0000-0000-0000C0630000}"/>
    <cellStyle name="Normal 7 18 32" xfId="10753" xr:uid="{00000000-0005-0000-0000-0000C1630000}"/>
    <cellStyle name="Normal 7 18 33" xfId="7291" xr:uid="{00000000-0005-0000-0000-0000C2630000}"/>
    <cellStyle name="Normal 7 18 34" xfId="8619" xr:uid="{00000000-0005-0000-0000-0000C3630000}"/>
    <cellStyle name="Normal 7 18 35" xfId="9678" xr:uid="{00000000-0005-0000-0000-0000C4630000}"/>
    <cellStyle name="Normal 7 18 36" xfId="5698" xr:uid="{00000000-0005-0000-0000-0000C5630000}"/>
    <cellStyle name="Normal 7 18 37" xfId="10258" xr:uid="{00000000-0005-0000-0000-0000C6630000}"/>
    <cellStyle name="Normal 7 18 38" xfId="10772" xr:uid="{00000000-0005-0000-0000-0000C7630000}"/>
    <cellStyle name="Normal 7 18 39" xfId="11062" xr:uid="{00000000-0005-0000-0000-0000C8630000}"/>
    <cellStyle name="Normal 7 18 4" xfId="26530" xr:uid="{00000000-0005-0000-0000-0000C9630000}"/>
    <cellStyle name="Normal 7 18 40" xfId="3304" xr:uid="{00000000-0005-0000-0000-0000CA630000}"/>
    <cellStyle name="Normal 7 18 41" xfId="11455" xr:uid="{00000000-0005-0000-0000-0000CB630000}"/>
    <cellStyle name="Normal 7 18 42" xfId="3225" xr:uid="{00000000-0005-0000-0000-0000CC630000}"/>
    <cellStyle name="Normal 7 18 43" xfId="11775" xr:uid="{00000000-0005-0000-0000-0000CD630000}"/>
    <cellStyle name="Normal 7 18 5" xfId="25934" xr:uid="{00000000-0005-0000-0000-0000CE630000}"/>
    <cellStyle name="Normal 7 18 6" xfId="25338" xr:uid="{00000000-0005-0000-0000-0000CF630000}"/>
    <cellStyle name="Normal 7 18 7" xfId="24741" xr:uid="{00000000-0005-0000-0000-0000D0630000}"/>
    <cellStyle name="Normal 7 18 8" xfId="24144" xr:uid="{00000000-0005-0000-0000-0000D1630000}"/>
    <cellStyle name="Normal 7 18 9" xfId="23547" xr:uid="{00000000-0005-0000-0000-0000D2630000}"/>
    <cellStyle name="Normal 7 19" xfId="28323" xr:uid="{00000000-0005-0000-0000-0000D3630000}"/>
    <cellStyle name="Normal 7 19 10" xfId="22949" xr:uid="{00000000-0005-0000-0000-0000D4630000}"/>
    <cellStyle name="Normal 7 19 11" xfId="22352" xr:uid="{00000000-0005-0000-0000-0000D5630000}"/>
    <cellStyle name="Normal 7 19 12" xfId="21756" xr:uid="{00000000-0005-0000-0000-0000D6630000}"/>
    <cellStyle name="Normal 7 19 13" xfId="21159" xr:uid="{00000000-0005-0000-0000-0000D7630000}"/>
    <cellStyle name="Normal 7 19 14" xfId="20562" xr:uid="{00000000-0005-0000-0000-0000D8630000}"/>
    <cellStyle name="Normal 7 19 15" xfId="19965" xr:uid="{00000000-0005-0000-0000-0000D9630000}"/>
    <cellStyle name="Normal 7 19 16" xfId="19369" xr:uid="{00000000-0005-0000-0000-0000DA630000}"/>
    <cellStyle name="Normal 7 19 17" xfId="18773" xr:uid="{00000000-0005-0000-0000-0000DB630000}"/>
    <cellStyle name="Normal 7 19 18" xfId="18181" xr:uid="{00000000-0005-0000-0000-0000DC630000}"/>
    <cellStyle name="Normal 7 19 19" xfId="17584" xr:uid="{00000000-0005-0000-0000-0000DD630000}"/>
    <cellStyle name="Normal 7 19 2" xfId="27723" xr:uid="{00000000-0005-0000-0000-0000DE630000}"/>
    <cellStyle name="Normal 7 19 20" xfId="14369" xr:uid="{00000000-0005-0000-0000-0000DF630000}"/>
    <cellStyle name="Normal 7 19 21" xfId="13989" xr:uid="{00000000-0005-0000-0000-0000E0630000}"/>
    <cellStyle name="Normal 7 19 22" xfId="14765" xr:uid="{00000000-0005-0000-0000-0000E1630000}"/>
    <cellStyle name="Normal 7 19 23" xfId="13755" xr:uid="{00000000-0005-0000-0000-0000E2630000}"/>
    <cellStyle name="Normal 7 19 24" xfId="16895" xr:uid="{00000000-0005-0000-0000-0000E3630000}"/>
    <cellStyle name="Normal 7 19 25" xfId="16646" xr:uid="{00000000-0005-0000-0000-0000E4630000}"/>
    <cellStyle name="Normal 7 19 26" xfId="15054" xr:uid="{00000000-0005-0000-0000-0000E5630000}"/>
    <cellStyle name="Normal 7 19 27" xfId="14775" xr:uid="{00000000-0005-0000-0000-0000E6630000}"/>
    <cellStyle name="Normal 7 19 28" xfId="12193" xr:uid="{00000000-0005-0000-0000-0000E7630000}"/>
    <cellStyle name="Normal 7 19 29" xfId="6397" xr:uid="{00000000-0005-0000-0000-0000E8630000}"/>
    <cellStyle name="Normal 7 19 3" xfId="27126" xr:uid="{00000000-0005-0000-0000-0000E9630000}"/>
    <cellStyle name="Normal 7 19 30" xfId="11413" xr:uid="{00000000-0005-0000-0000-0000EA630000}"/>
    <cellStyle name="Normal 7 19 31" xfId="6813" xr:uid="{00000000-0005-0000-0000-0000EB630000}"/>
    <cellStyle name="Normal 7 19 32" xfId="5108" xr:uid="{00000000-0005-0000-0000-0000EC630000}"/>
    <cellStyle name="Normal 7 19 33" xfId="6367" xr:uid="{00000000-0005-0000-0000-0000ED630000}"/>
    <cellStyle name="Normal 7 19 34" xfId="4824" xr:uid="{00000000-0005-0000-0000-0000EE630000}"/>
    <cellStyle name="Normal 7 19 35" xfId="9318" xr:uid="{00000000-0005-0000-0000-0000EF630000}"/>
    <cellStyle name="Normal 7 19 36" xfId="7258" xr:uid="{00000000-0005-0000-0000-0000F0630000}"/>
    <cellStyle name="Normal 7 19 37" xfId="4510" xr:uid="{00000000-0005-0000-0000-0000F1630000}"/>
    <cellStyle name="Normal 7 19 38" xfId="11173" xr:uid="{00000000-0005-0000-0000-0000F2630000}"/>
    <cellStyle name="Normal 7 19 39" xfId="10503" xr:uid="{00000000-0005-0000-0000-0000F3630000}"/>
    <cellStyle name="Normal 7 19 4" xfId="26529" xr:uid="{00000000-0005-0000-0000-0000F4630000}"/>
    <cellStyle name="Normal 7 19 40" xfId="3340" xr:uid="{00000000-0005-0000-0000-0000F5630000}"/>
    <cellStyle name="Normal 7 19 41" xfId="4427" xr:uid="{00000000-0005-0000-0000-0000F6630000}"/>
    <cellStyle name="Normal 7 19 42" xfId="4900" xr:uid="{00000000-0005-0000-0000-0000F7630000}"/>
    <cellStyle name="Normal 7 19 43" xfId="3089" xr:uid="{00000000-0005-0000-0000-0000F8630000}"/>
    <cellStyle name="Normal 7 19 5" xfId="25933" xr:uid="{00000000-0005-0000-0000-0000F9630000}"/>
    <cellStyle name="Normal 7 19 6" xfId="25337" xr:uid="{00000000-0005-0000-0000-0000FA630000}"/>
    <cellStyle name="Normal 7 19 7" xfId="24740" xr:uid="{00000000-0005-0000-0000-0000FB630000}"/>
    <cellStyle name="Normal 7 19 8" xfId="24143" xr:uid="{00000000-0005-0000-0000-0000FC630000}"/>
    <cellStyle name="Normal 7 19 9" xfId="23546" xr:uid="{00000000-0005-0000-0000-0000FD630000}"/>
    <cellStyle name="Normal 7 2" xfId="28322" xr:uid="{00000000-0005-0000-0000-0000FE630000}"/>
    <cellStyle name="Normal 7 2 10" xfId="22948" xr:uid="{00000000-0005-0000-0000-0000FF630000}"/>
    <cellStyle name="Normal 7 2 11" xfId="22351" xr:uid="{00000000-0005-0000-0000-000000640000}"/>
    <cellStyle name="Normal 7 2 12" xfId="21755" xr:uid="{00000000-0005-0000-0000-000001640000}"/>
    <cellStyle name="Normal 7 2 13" xfId="21158" xr:uid="{00000000-0005-0000-0000-000002640000}"/>
    <cellStyle name="Normal 7 2 14" xfId="20561" xr:uid="{00000000-0005-0000-0000-000003640000}"/>
    <cellStyle name="Normal 7 2 15" xfId="19964" xr:uid="{00000000-0005-0000-0000-000004640000}"/>
    <cellStyle name="Normal 7 2 16" xfId="19368" xr:uid="{00000000-0005-0000-0000-000005640000}"/>
    <cellStyle name="Normal 7 2 17" xfId="18772" xr:uid="{00000000-0005-0000-0000-000006640000}"/>
    <cellStyle name="Normal 7 2 18" xfId="18180" xr:uid="{00000000-0005-0000-0000-000007640000}"/>
    <cellStyle name="Normal 7 2 19" xfId="17583" xr:uid="{00000000-0005-0000-0000-000008640000}"/>
    <cellStyle name="Normal 7 2 2" xfId="27722" xr:uid="{00000000-0005-0000-0000-000009640000}"/>
    <cellStyle name="Normal 7 2 20" xfId="14560" xr:uid="{00000000-0005-0000-0000-00000A640000}"/>
    <cellStyle name="Normal 7 2 21" xfId="16326" xr:uid="{00000000-0005-0000-0000-00000B640000}"/>
    <cellStyle name="Normal 7 2 22" xfId="15593" xr:uid="{00000000-0005-0000-0000-00000C640000}"/>
    <cellStyle name="Normal 7 2 23" xfId="14206" xr:uid="{00000000-0005-0000-0000-00000D640000}"/>
    <cellStyle name="Normal 7 2 24" xfId="14020" xr:uid="{00000000-0005-0000-0000-00000E640000}"/>
    <cellStyle name="Normal 7 2 25" xfId="15232" xr:uid="{00000000-0005-0000-0000-00000F640000}"/>
    <cellStyle name="Normal 7 2 26" xfId="13696" xr:uid="{00000000-0005-0000-0000-000010640000}"/>
    <cellStyle name="Normal 7 2 27" xfId="13246" xr:uid="{00000000-0005-0000-0000-000011640000}"/>
    <cellStyle name="Normal 7 2 28" xfId="12192" xr:uid="{00000000-0005-0000-0000-000012640000}"/>
    <cellStyle name="Normal 7 2 29" xfId="6326" xr:uid="{00000000-0005-0000-0000-000013640000}"/>
    <cellStyle name="Normal 7 2 3" xfId="27125" xr:uid="{00000000-0005-0000-0000-000014640000}"/>
    <cellStyle name="Normal 7 2 30" xfId="9672" xr:uid="{00000000-0005-0000-0000-000015640000}"/>
    <cellStyle name="Normal 7 2 31" xfId="6114" xr:uid="{00000000-0005-0000-0000-000016640000}"/>
    <cellStyle name="Normal 7 2 32" xfId="8153" xr:uid="{00000000-0005-0000-0000-000017640000}"/>
    <cellStyle name="Normal 7 2 33" xfId="9099" xr:uid="{00000000-0005-0000-0000-000018640000}"/>
    <cellStyle name="Normal 7 2 34" xfId="10245" xr:uid="{00000000-0005-0000-0000-000019640000}"/>
    <cellStyle name="Normal 7 2 35" xfId="12014" xr:uid="{00000000-0005-0000-0000-00001A640000}"/>
    <cellStyle name="Normal 7 2 36" xfId="4333" xr:uid="{00000000-0005-0000-0000-00001B640000}"/>
    <cellStyle name="Normal 7 2 37" xfId="8384" xr:uid="{00000000-0005-0000-0000-00001C640000}"/>
    <cellStyle name="Normal 7 2 38" xfId="11752" xr:uid="{00000000-0005-0000-0000-00001D640000}"/>
    <cellStyle name="Normal 7 2 39" xfId="3698" xr:uid="{00000000-0005-0000-0000-00001E640000}"/>
    <cellStyle name="Normal 7 2 4" xfId="26528" xr:uid="{00000000-0005-0000-0000-00001F640000}"/>
    <cellStyle name="Normal 7 2 40" xfId="10087" xr:uid="{00000000-0005-0000-0000-000020640000}"/>
    <cellStyle name="Normal 7 2 41" xfId="6488" xr:uid="{00000000-0005-0000-0000-000021640000}"/>
    <cellStyle name="Normal 7 2 42" xfId="6728" xr:uid="{00000000-0005-0000-0000-000022640000}"/>
    <cellStyle name="Normal 7 2 43" xfId="3949" xr:uid="{00000000-0005-0000-0000-000023640000}"/>
    <cellStyle name="Normal 7 2 44" xfId="2865" xr:uid="{00000000-0005-0000-0000-000024640000}"/>
    <cellStyle name="Normal 7 2 45" xfId="2622" xr:uid="{00000000-0005-0000-0000-000025640000}"/>
    <cellStyle name="Normal 7 2 46" xfId="2382" xr:uid="{00000000-0005-0000-0000-000026640000}"/>
    <cellStyle name="Normal 7 2 47" xfId="2142" xr:uid="{00000000-0005-0000-0000-000027640000}"/>
    <cellStyle name="Normal 7 2 48" xfId="1902" xr:uid="{00000000-0005-0000-0000-000028640000}"/>
    <cellStyle name="Normal 7 2 49" xfId="1662" xr:uid="{00000000-0005-0000-0000-000029640000}"/>
    <cellStyle name="Normal 7 2 5" xfId="25932" xr:uid="{00000000-0005-0000-0000-00002A640000}"/>
    <cellStyle name="Normal 7 2 50" xfId="1423" xr:uid="{00000000-0005-0000-0000-00002B640000}"/>
    <cellStyle name="Normal 7 2 51" xfId="1183" xr:uid="{00000000-0005-0000-0000-00002C640000}"/>
    <cellStyle name="Normal 7 2 52" xfId="943" xr:uid="{00000000-0005-0000-0000-00002D640000}"/>
    <cellStyle name="Normal 7 2 53" xfId="703" xr:uid="{00000000-0005-0000-0000-00002E640000}"/>
    <cellStyle name="Normal 7 2 54" xfId="463" xr:uid="{00000000-0005-0000-0000-00002F640000}"/>
    <cellStyle name="Normal 7 2 55" xfId="224" xr:uid="{00000000-0005-0000-0000-000030640000}"/>
    <cellStyle name="Normal 7 2 56" xfId="28868" xr:uid="{00000000-0005-0000-0000-000031640000}"/>
    <cellStyle name="Normal 7 2 6" xfId="25336" xr:uid="{00000000-0005-0000-0000-000032640000}"/>
    <cellStyle name="Normal 7 2 7" xfId="24739" xr:uid="{00000000-0005-0000-0000-000033640000}"/>
    <cellStyle name="Normal 7 2 8" xfId="24142" xr:uid="{00000000-0005-0000-0000-000034640000}"/>
    <cellStyle name="Normal 7 2 9" xfId="23545" xr:uid="{00000000-0005-0000-0000-000035640000}"/>
    <cellStyle name="Normal 7 20" xfId="28321" xr:uid="{00000000-0005-0000-0000-000036640000}"/>
    <cellStyle name="Normal 7 20 10" xfId="22947" xr:uid="{00000000-0005-0000-0000-000037640000}"/>
    <cellStyle name="Normal 7 20 11" xfId="22350" xr:uid="{00000000-0005-0000-0000-000038640000}"/>
    <cellStyle name="Normal 7 20 12" xfId="21754" xr:uid="{00000000-0005-0000-0000-000039640000}"/>
    <cellStyle name="Normal 7 20 13" xfId="21157" xr:uid="{00000000-0005-0000-0000-00003A640000}"/>
    <cellStyle name="Normal 7 20 14" xfId="20560" xr:uid="{00000000-0005-0000-0000-00003B640000}"/>
    <cellStyle name="Normal 7 20 15" xfId="19963" xr:uid="{00000000-0005-0000-0000-00003C640000}"/>
    <cellStyle name="Normal 7 20 16" xfId="19367" xr:uid="{00000000-0005-0000-0000-00003D640000}"/>
    <cellStyle name="Normal 7 20 17" xfId="18771" xr:uid="{00000000-0005-0000-0000-00003E640000}"/>
    <cellStyle name="Normal 7 20 18" xfId="18179" xr:uid="{00000000-0005-0000-0000-00003F640000}"/>
    <cellStyle name="Normal 7 20 19" xfId="17582" xr:uid="{00000000-0005-0000-0000-000040640000}"/>
    <cellStyle name="Normal 7 20 2" xfId="27721" xr:uid="{00000000-0005-0000-0000-000041640000}"/>
    <cellStyle name="Normal 7 20 20" xfId="14755" xr:uid="{00000000-0005-0000-0000-000042640000}"/>
    <cellStyle name="Normal 7 20 21" xfId="16315" xr:uid="{00000000-0005-0000-0000-000043640000}"/>
    <cellStyle name="Normal 7 20 22" xfId="15784" xr:uid="{00000000-0005-0000-0000-000044640000}"/>
    <cellStyle name="Normal 7 20 23" xfId="16764" xr:uid="{00000000-0005-0000-0000-000045640000}"/>
    <cellStyle name="Normal 7 20 24" xfId="13388" xr:uid="{00000000-0005-0000-0000-000046640000}"/>
    <cellStyle name="Normal 7 20 25" xfId="13252" xr:uid="{00000000-0005-0000-0000-000047640000}"/>
    <cellStyle name="Normal 7 20 26" xfId="16425" xr:uid="{00000000-0005-0000-0000-000048640000}"/>
    <cellStyle name="Normal 7 20 27" xfId="16817" xr:uid="{00000000-0005-0000-0000-000049640000}"/>
    <cellStyle name="Normal 7 20 28" xfId="12191" xr:uid="{00000000-0005-0000-0000-00004A640000}"/>
    <cellStyle name="Normal 7 20 29" xfId="7677" xr:uid="{00000000-0005-0000-0000-00004B640000}"/>
    <cellStyle name="Normal 7 20 3" xfId="27124" xr:uid="{00000000-0005-0000-0000-00004C640000}"/>
    <cellStyle name="Normal 7 20 30" xfId="12076" xr:uid="{00000000-0005-0000-0000-00004D640000}"/>
    <cellStyle name="Normal 7 20 31" xfId="8103" xr:uid="{00000000-0005-0000-0000-00004E640000}"/>
    <cellStyle name="Normal 7 20 32" xfId="5419" xr:uid="{00000000-0005-0000-0000-00004F640000}"/>
    <cellStyle name="Normal 7 20 33" xfId="10181" xr:uid="{00000000-0005-0000-0000-000050640000}"/>
    <cellStyle name="Normal 7 20 34" xfId="5519" xr:uid="{00000000-0005-0000-0000-000051640000}"/>
    <cellStyle name="Normal 7 20 35" xfId="4729" xr:uid="{00000000-0005-0000-0000-000052640000}"/>
    <cellStyle name="Normal 7 20 36" xfId="9402" xr:uid="{00000000-0005-0000-0000-000053640000}"/>
    <cellStyle name="Normal 7 20 37" xfId="6589" xr:uid="{00000000-0005-0000-0000-000054640000}"/>
    <cellStyle name="Normal 7 20 38" xfId="6881" xr:uid="{00000000-0005-0000-0000-000055640000}"/>
    <cellStyle name="Normal 7 20 39" xfId="9057" xr:uid="{00000000-0005-0000-0000-000056640000}"/>
    <cellStyle name="Normal 7 20 4" xfId="26527" xr:uid="{00000000-0005-0000-0000-000057640000}"/>
    <cellStyle name="Normal 7 20 40" xfId="10415" xr:uid="{00000000-0005-0000-0000-000058640000}"/>
    <cellStyle name="Normal 7 20 41" xfId="8192" xr:uid="{00000000-0005-0000-0000-000059640000}"/>
    <cellStyle name="Normal 7 20 42" xfId="9074" xr:uid="{00000000-0005-0000-0000-00005A640000}"/>
    <cellStyle name="Normal 7 20 43" xfId="3833" xr:uid="{00000000-0005-0000-0000-00005B640000}"/>
    <cellStyle name="Normal 7 20 5" xfId="25931" xr:uid="{00000000-0005-0000-0000-00005C640000}"/>
    <cellStyle name="Normal 7 20 6" xfId="25335" xr:uid="{00000000-0005-0000-0000-00005D640000}"/>
    <cellStyle name="Normal 7 20 7" xfId="24738" xr:uid="{00000000-0005-0000-0000-00005E640000}"/>
    <cellStyle name="Normal 7 20 8" xfId="24141" xr:uid="{00000000-0005-0000-0000-00005F640000}"/>
    <cellStyle name="Normal 7 20 9" xfId="23544" xr:uid="{00000000-0005-0000-0000-000060640000}"/>
    <cellStyle name="Normal 7 21" xfId="28320" xr:uid="{00000000-0005-0000-0000-000061640000}"/>
    <cellStyle name="Normal 7 21 10" xfId="22946" xr:uid="{00000000-0005-0000-0000-000062640000}"/>
    <cellStyle name="Normal 7 21 11" xfId="22349" xr:uid="{00000000-0005-0000-0000-000063640000}"/>
    <cellStyle name="Normal 7 21 12" xfId="21753" xr:uid="{00000000-0005-0000-0000-000064640000}"/>
    <cellStyle name="Normal 7 21 13" xfId="21156" xr:uid="{00000000-0005-0000-0000-000065640000}"/>
    <cellStyle name="Normal 7 21 14" xfId="20559" xr:uid="{00000000-0005-0000-0000-000066640000}"/>
    <cellStyle name="Normal 7 21 15" xfId="19962" xr:uid="{00000000-0005-0000-0000-000067640000}"/>
    <cellStyle name="Normal 7 21 16" xfId="19366" xr:uid="{00000000-0005-0000-0000-000068640000}"/>
    <cellStyle name="Normal 7 21 17" xfId="18770" xr:uid="{00000000-0005-0000-0000-000069640000}"/>
    <cellStyle name="Normal 7 21 18" xfId="18178" xr:uid="{00000000-0005-0000-0000-00006A640000}"/>
    <cellStyle name="Normal 7 21 19" xfId="17581" xr:uid="{00000000-0005-0000-0000-00006B640000}"/>
    <cellStyle name="Normal 7 21 2" xfId="27720" xr:uid="{00000000-0005-0000-0000-00006C640000}"/>
    <cellStyle name="Normal 7 21 20" xfId="15950" xr:uid="{00000000-0005-0000-0000-00006D640000}"/>
    <cellStyle name="Normal 7 21 21" xfId="16304" xr:uid="{00000000-0005-0000-0000-00006E640000}"/>
    <cellStyle name="Normal 7 21 22" xfId="15612" xr:uid="{00000000-0005-0000-0000-00006F640000}"/>
    <cellStyle name="Normal 7 21 23" xfId="15049" xr:uid="{00000000-0005-0000-0000-000070640000}"/>
    <cellStyle name="Normal 7 21 24" xfId="17477" xr:uid="{00000000-0005-0000-0000-000071640000}"/>
    <cellStyle name="Normal 7 21 25" xfId="14695" xr:uid="{00000000-0005-0000-0000-000072640000}"/>
    <cellStyle name="Normal 7 21 26" xfId="13215" xr:uid="{00000000-0005-0000-0000-000073640000}"/>
    <cellStyle name="Normal 7 21 27" xfId="14230" xr:uid="{00000000-0005-0000-0000-000074640000}"/>
    <cellStyle name="Normal 7 21 28" xfId="12190" xr:uid="{00000000-0005-0000-0000-000075640000}"/>
    <cellStyle name="Normal 7 21 29" xfId="6414" xr:uid="{00000000-0005-0000-0000-000076640000}"/>
    <cellStyle name="Normal 7 21 3" xfId="27123" xr:uid="{00000000-0005-0000-0000-000077640000}"/>
    <cellStyle name="Normal 7 21 30" xfId="12068" xr:uid="{00000000-0005-0000-0000-000078640000}"/>
    <cellStyle name="Normal 7 21 31" xfId="6655" xr:uid="{00000000-0005-0000-0000-000079640000}"/>
    <cellStyle name="Normal 7 21 32" xfId="11255" xr:uid="{00000000-0005-0000-0000-00007A640000}"/>
    <cellStyle name="Normal 7 21 33" xfId="11743" xr:uid="{00000000-0005-0000-0000-00007B640000}"/>
    <cellStyle name="Normal 7 21 34" xfId="10767" xr:uid="{00000000-0005-0000-0000-00007C640000}"/>
    <cellStyle name="Normal 7 21 35" xfId="4764" xr:uid="{00000000-0005-0000-0000-00007D640000}"/>
    <cellStyle name="Normal 7 21 36" xfId="10870" xr:uid="{00000000-0005-0000-0000-00007E640000}"/>
    <cellStyle name="Normal 7 21 37" xfId="9973" xr:uid="{00000000-0005-0000-0000-00007F640000}"/>
    <cellStyle name="Normal 7 21 38" xfId="12026" xr:uid="{00000000-0005-0000-0000-000080640000}"/>
    <cellStyle name="Normal 7 21 39" xfId="4135" xr:uid="{00000000-0005-0000-0000-000081640000}"/>
    <cellStyle name="Normal 7 21 4" xfId="26526" xr:uid="{00000000-0005-0000-0000-000082640000}"/>
    <cellStyle name="Normal 7 21 40" xfId="6379" xr:uid="{00000000-0005-0000-0000-000083640000}"/>
    <cellStyle name="Normal 7 21 41" xfId="7565" xr:uid="{00000000-0005-0000-0000-000084640000}"/>
    <cellStyle name="Normal 7 21 42" xfId="11809" xr:uid="{00000000-0005-0000-0000-000085640000}"/>
    <cellStyle name="Normal 7 21 43" xfId="3099" xr:uid="{00000000-0005-0000-0000-000086640000}"/>
    <cellStyle name="Normal 7 21 5" xfId="25930" xr:uid="{00000000-0005-0000-0000-000087640000}"/>
    <cellStyle name="Normal 7 21 6" xfId="25334" xr:uid="{00000000-0005-0000-0000-000088640000}"/>
    <cellStyle name="Normal 7 21 7" xfId="24737" xr:uid="{00000000-0005-0000-0000-000089640000}"/>
    <cellStyle name="Normal 7 21 8" xfId="24140" xr:uid="{00000000-0005-0000-0000-00008A640000}"/>
    <cellStyle name="Normal 7 21 9" xfId="23543" xr:uid="{00000000-0005-0000-0000-00008B640000}"/>
    <cellStyle name="Normal 7 22" xfId="28319" xr:uid="{00000000-0005-0000-0000-00008C640000}"/>
    <cellStyle name="Normal 7 22 10" xfId="22945" xr:uid="{00000000-0005-0000-0000-00008D640000}"/>
    <cellStyle name="Normal 7 22 11" xfId="22348" xr:uid="{00000000-0005-0000-0000-00008E640000}"/>
    <cellStyle name="Normal 7 22 12" xfId="21752" xr:uid="{00000000-0005-0000-0000-00008F640000}"/>
    <cellStyle name="Normal 7 22 13" xfId="21155" xr:uid="{00000000-0005-0000-0000-000090640000}"/>
    <cellStyle name="Normal 7 22 14" xfId="20558" xr:uid="{00000000-0005-0000-0000-000091640000}"/>
    <cellStyle name="Normal 7 22 15" xfId="19961" xr:uid="{00000000-0005-0000-0000-000092640000}"/>
    <cellStyle name="Normal 7 22 16" xfId="19365" xr:uid="{00000000-0005-0000-0000-000093640000}"/>
    <cellStyle name="Normal 7 22 17" xfId="18769" xr:uid="{00000000-0005-0000-0000-000094640000}"/>
    <cellStyle name="Normal 7 22 18" xfId="18177" xr:uid="{00000000-0005-0000-0000-000095640000}"/>
    <cellStyle name="Normal 7 22 19" xfId="17580" xr:uid="{00000000-0005-0000-0000-000096640000}"/>
    <cellStyle name="Normal 7 22 2" xfId="27719" xr:uid="{00000000-0005-0000-0000-000097640000}"/>
    <cellStyle name="Normal 7 22 20" xfId="16158" xr:uid="{00000000-0005-0000-0000-000098640000}"/>
    <cellStyle name="Normal 7 22 21" xfId="15437" xr:uid="{00000000-0005-0000-0000-000099640000}"/>
    <cellStyle name="Normal 7 22 22" xfId="17033" xr:uid="{00000000-0005-0000-0000-00009A640000}"/>
    <cellStyle name="Normal 7 22 23" xfId="14570" xr:uid="{00000000-0005-0000-0000-00009B640000}"/>
    <cellStyle name="Normal 7 22 24" xfId="13142" xr:uid="{00000000-0005-0000-0000-00009C640000}"/>
    <cellStyle name="Normal 7 22 25" xfId="16004" xr:uid="{00000000-0005-0000-0000-00009D640000}"/>
    <cellStyle name="Normal 7 22 26" xfId="14516" xr:uid="{00000000-0005-0000-0000-00009E640000}"/>
    <cellStyle name="Normal 7 22 27" xfId="16254" xr:uid="{00000000-0005-0000-0000-00009F640000}"/>
    <cellStyle name="Normal 7 22 28" xfId="12189" xr:uid="{00000000-0005-0000-0000-0000A0640000}"/>
    <cellStyle name="Normal 7 22 29" xfId="7916" xr:uid="{00000000-0005-0000-0000-0000A1640000}"/>
    <cellStyle name="Normal 7 22 3" xfId="27122" xr:uid="{00000000-0005-0000-0000-0000A2640000}"/>
    <cellStyle name="Normal 7 22 30" xfId="6332" xr:uid="{00000000-0005-0000-0000-0000A3640000}"/>
    <cellStyle name="Normal 7 22 31" xfId="10487" xr:uid="{00000000-0005-0000-0000-0000A4640000}"/>
    <cellStyle name="Normal 7 22 32" xfId="6182" xr:uid="{00000000-0005-0000-0000-0000A5640000}"/>
    <cellStyle name="Normal 7 22 33" xfId="11051" xr:uid="{00000000-0005-0000-0000-0000A6640000}"/>
    <cellStyle name="Normal 7 22 34" xfId="4751" xr:uid="{00000000-0005-0000-0000-0000A7640000}"/>
    <cellStyle name="Normal 7 22 35" xfId="6938" xr:uid="{00000000-0005-0000-0000-0000A8640000}"/>
    <cellStyle name="Normal 7 22 36" xfId="5444" xr:uid="{00000000-0005-0000-0000-0000A9640000}"/>
    <cellStyle name="Normal 7 22 37" xfId="5337" xr:uid="{00000000-0005-0000-0000-0000AA640000}"/>
    <cellStyle name="Normal 7 22 38" xfId="9941" xr:uid="{00000000-0005-0000-0000-0000AB640000}"/>
    <cellStyle name="Normal 7 22 39" xfId="7120" xr:uid="{00000000-0005-0000-0000-0000AC640000}"/>
    <cellStyle name="Normal 7 22 4" xfId="26525" xr:uid="{00000000-0005-0000-0000-0000AD640000}"/>
    <cellStyle name="Normal 7 22 40" xfId="3846" xr:uid="{00000000-0005-0000-0000-0000AE640000}"/>
    <cellStyle name="Normal 7 22 41" xfId="3900" xr:uid="{00000000-0005-0000-0000-0000AF640000}"/>
    <cellStyle name="Normal 7 22 42" xfId="4185" xr:uid="{00000000-0005-0000-0000-0000B0640000}"/>
    <cellStyle name="Normal 7 22 43" xfId="3102" xr:uid="{00000000-0005-0000-0000-0000B1640000}"/>
    <cellStyle name="Normal 7 22 5" xfId="25929" xr:uid="{00000000-0005-0000-0000-0000B2640000}"/>
    <cellStyle name="Normal 7 22 6" xfId="25333" xr:uid="{00000000-0005-0000-0000-0000B3640000}"/>
    <cellStyle name="Normal 7 22 7" xfId="24736" xr:uid="{00000000-0005-0000-0000-0000B4640000}"/>
    <cellStyle name="Normal 7 22 8" xfId="24139" xr:uid="{00000000-0005-0000-0000-0000B5640000}"/>
    <cellStyle name="Normal 7 22 9" xfId="23542" xr:uid="{00000000-0005-0000-0000-0000B6640000}"/>
    <cellStyle name="Normal 7 23" xfId="28318" xr:uid="{00000000-0005-0000-0000-0000B7640000}"/>
    <cellStyle name="Normal 7 23 10" xfId="22944" xr:uid="{00000000-0005-0000-0000-0000B8640000}"/>
    <cellStyle name="Normal 7 23 11" xfId="22347" xr:uid="{00000000-0005-0000-0000-0000B9640000}"/>
    <cellStyle name="Normal 7 23 12" xfId="21751" xr:uid="{00000000-0005-0000-0000-0000BA640000}"/>
    <cellStyle name="Normal 7 23 13" xfId="21154" xr:uid="{00000000-0005-0000-0000-0000BB640000}"/>
    <cellStyle name="Normal 7 23 14" xfId="20557" xr:uid="{00000000-0005-0000-0000-0000BC640000}"/>
    <cellStyle name="Normal 7 23 15" xfId="19960" xr:uid="{00000000-0005-0000-0000-0000BD640000}"/>
    <cellStyle name="Normal 7 23 16" xfId="19364" xr:uid="{00000000-0005-0000-0000-0000BE640000}"/>
    <cellStyle name="Normal 7 23 17" xfId="18768" xr:uid="{00000000-0005-0000-0000-0000BF640000}"/>
    <cellStyle name="Normal 7 23 18" xfId="18176" xr:uid="{00000000-0005-0000-0000-0000C0640000}"/>
    <cellStyle name="Normal 7 23 19" xfId="17579" xr:uid="{00000000-0005-0000-0000-0000C1640000}"/>
    <cellStyle name="Normal 7 23 2" xfId="27718" xr:uid="{00000000-0005-0000-0000-0000C2640000}"/>
    <cellStyle name="Normal 7 23 20" xfId="16359" xr:uid="{00000000-0005-0000-0000-0000C3640000}"/>
    <cellStyle name="Normal 7 23 21" xfId="15029" xr:uid="{00000000-0005-0000-0000-0000C4640000}"/>
    <cellStyle name="Normal 7 23 22" xfId="14468" xr:uid="{00000000-0005-0000-0000-0000C5640000}"/>
    <cellStyle name="Normal 7 23 23" xfId="15312" xr:uid="{00000000-0005-0000-0000-0000C6640000}"/>
    <cellStyle name="Normal 7 23 24" xfId="13257" xr:uid="{00000000-0005-0000-0000-0000C7640000}"/>
    <cellStyle name="Normal 7 23 25" xfId="14256" xr:uid="{00000000-0005-0000-0000-0000C8640000}"/>
    <cellStyle name="Normal 7 23 26" xfId="14374" xr:uid="{00000000-0005-0000-0000-0000C9640000}"/>
    <cellStyle name="Normal 7 23 27" xfId="14263" xr:uid="{00000000-0005-0000-0000-0000CA640000}"/>
    <cellStyle name="Normal 7 23 28" xfId="12188" xr:uid="{00000000-0005-0000-0000-0000CB640000}"/>
    <cellStyle name="Normal 7 23 29" xfId="7487" xr:uid="{00000000-0005-0000-0000-0000CC640000}"/>
    <cellStyle name="Normal 7 23 3" xfId="27121" xr:uid="{00000000-0005-0000-0000-0000CD640000}"/>
    <cellStyle name="Normal 7 23 30" xfId="10019" xr:uid="{00000000-0005-0000-0000-0000CE640000}"/>
    <cellStyle name="Normal 7 23 31" xfId="9574" xr:uid="{00000000-0005-0000-0000-0000CF640000}"/>
    <cellStyle name="Normal 7 23 32" xfId="5836" xr:uid="{00000000-0005-0000-0000-0000D0640000}"/>
    <cellStyle name="Normal 7 23 33" xfId="11675" xr:uid="{00000000-0005-0000-0000-0000D1640000}"/>
    <cellStyle name="Normal 7 23 34" xfId="4663" xr:uid="{00000000-0005-0000-0000-0000D2640000}"/>
    <cellStyle name="Normal 7 23 35" xfId="9018" xr:uid="{00000000-0005-0000-0000-0000D3640000}"/>
    <cellStyle name="Normal 7 23 36" xfId="5972" xr:uid="{00000000-0005-0000-0000-0000D4640000}"/>
    <cellStyle name="Normal 7 23 37" xfId="11818" xr:uid="{00000000-0005-0000-0000-0000D5640000}"/>
    <cellStyle name="Normal 7 23 38" xfId="6362" xr:uid="{00000000-0005-0000-0000-0000D6640000}"/>
    <cellStyle name="Normal 7 23 39" xfId="4292" xr:uid="{00000000-0005-0000-0000-0000D7640000}"/>
    <cellStyle name="Normal 7 23 4" xfId="26524" xr:uid="{00000000-0005-0000-0000-0000D8640000}"/>
    <cellStyle name="Normal 7 23 40" xfId="7142" xr:uid="{00000000-0005-0000-0000-0000D9640000}"/>
    <cellStyle name="Normal 7 23 41" xfId="3423" xr:uid="{00000000-0005-0000-0000-0000DA640000}"/>
    <cellStyle name="Normal 7 23 42" xfId="10894" xr:uid="{00000000-0005-0000-0000-0000DB640000}"/>
    <cellStyle name="Normal 7 23 43" xfId="11877" xr:uid="{00000000-0005-0000-0000-0000DC640000}"/>
    <cellStyle name="Normal 7 23 5" xfId="25928" xr:uid="{00000000-0005-0000-0000-0000DD640000}"/>
    <cellStyle name="Normal 7 23 6" xfId="25332" xr:uid="{00000000-0005-0000-0000-0000DE640000}"/>
    <cellStyle name="Normal 7 23 7" xfId="24735" xr:uid="{00000000-0005-0000-0000-0000DF640000}"/>
    <cellStyle name="Normal 7 23 8" xfId="24138" xr:uid="{00000000-0005-0000-0000-0000E0640000}"/>
    <cellStyle name="Normal 7 23 9" xfId="23541" xr:uid="{00000000-0005-0000-0000-0000E1640000}"/>
    <cellStyle name="Normal 7 24" xfId="28317" xr:uid="{00000000-0005-0000-0000-0000E2640000}"/>
    <cellStyle name="Normal 7 24 10" xfId="22943" xr:uid="{00000000-0005-0000-0000-0000E3640000}"/>
    <cellStyle name="Normal 7 24 11" xfId="22346" xr:uid="{00000000-0005-0000-0000-0000E4640000}"/>
    <cellStyle name="Normal 7 24 12" xfId="21750" xr:uid="{00000000-0005-0000-0000-0000E5640000}"/>
    <cellStyle name="Normal 7 24 13" xfId="21153" xr:uid="{00000000-0005-0000-0000-0000E6640000}"/>
    <cellStyle name="Normal 7 24 14" xfId="20556" xr:uid="{00000000-0005-0000-0000-0000E7640000}"/>
    <cellStyle name="Normal 7 24 15" xfId="19959" xr:uid="{00000000-0005-0000-0000-0000E8640000}"/>
    <cellStyle name="Normal 7 24 16" xfId="19363" xr:uid="{00000000-0005-0000-0000-0000E9640000}"/>
    <cellStyle name="Normal 7 24 17" xfId="18767" xr:uid="{00000000-0005-0000-0000-0000EA640000}"/>
    <cellStyle name="Normal 7 24 18" xfId="18175" xr:uid="{00000000-0005-0000-0000-0000EB640000}"/>
    <cellStyle name="Normal 7 24 19" xfId="17578" xr:uid="{00000000-0005-0000-0000-0000EC640000}"/>
    <cellStyle name="Normal 7 24 2" xfId="27717" xr:uid="{00000000-0005-0000-0000-0000ED640000}"/>
    <cellStyle name="Normal 7 24 20" xfId="16549" xr:uid="{00000000-0005-0000-0000-0000EE640000}"/>
    <cellStyle name="Normal 7 24 21" xfId="14618" xr:uid="{00000000-0005-0000-0000-0000EF640000}"/>
    <cellStyle name="Normal 7 24 22" xfId="15291" xr:uid="{00000000-0005-0000-0000-0000F0640000}"/>
    <cellStyle name="Normal 7 24 23" xfId="16866" xr:uid="{00000000-0005-0000-0000-0000F1640000}"/>
    <cellStyle name="Normal 7 24 24" xfId="13146" xr:uid="{00000000-0005-0000-0000-0000F2640000}"/>
    <cellStyle name="Normal 7 24 25" xfId="17183" xr:uid="{00000000-0005-0000-0000-0000F3640000}"/>
    <cellStyle name="Normal 7 24 26" xfId="13225" xr:uid="{00000000-0005-0000-0000-0000F4640000}"/>
    <cellStyle name="Normal 7 24 27" xfId="13120" xr:uid="{00000000-0005-0000-0000-0000F5640000}"/>
    <cellStyle name="Normal 7 24 28" xfId="12187" xr:uid="{00000000-0005-0000-0000-0000F6640000}"/>
    <cellStyle name="Normal 7 24 29" xfId="6899" xr:uid="{00000000-0005-0000-0000-0000F7640000}"/>
    <cellStyle name="Normal 7 24 3" xfId="27120" xr:uid="{00000000-0005-0000-0000-0000F8640000}"/>
    <cellStyle name="Normal 7 24 30" xfId="9785" xr:uid="{00000000-0005-0000-0000-0000F9640000}"/>
    <cellStyle name="Normal 7 24 31" xfId="6564" xr:uid="{00000000-0005-0000-0000-0000FA640000}"/>
    <cellStyle name="Normal 7 24 32" xfId="8117" xr:uid="{00000000-0005-0000-0000-0000FB640000}"/>
    <cellStyle name="Normal 7 24 33" xfId="8137" xr:uid="{00000000-0005-0000-0000-0000FC640000}"/>
    <cellStyle name="Normal 7 24 34" xfId="10011" xr:uid="{00000000-0005-0000-0000-0000FD640000}"/>
    <cellStyle name="Normal 7 24 35" xfId="4859" xr:uid="{00000000-0005-0000-0000-0000FE640000}"/>
    <cellStyle name="Normal 7 24 36" xfId="8827" xr:uid="{00000000-0005-0000-0000-0000FF640000}"/>
    <cellStyle name="Normal 7 24 37" xfId="7700" xr:uid="{00000000-0005-0000-0000-000000650000}"/>
    <cellStyle name="Normal 7 24 38" xfId="3644" xr:uid="{00000000-0005-0000-0000-000001650000}"/>
    <cellStyle name="Normal 7 24 39" xfId="5796" xr:uid="{00000000-0005-0000-0000-000002650000}"/>
    <cellStyle name="Normal 7 24 4" xfId="26523" xr:uid="{00000000-0005-0000-0000-000003650000}"/>
    <cellStyle name="Normal 7 24 40" xfId="11975" xr:uid="{00000000-0005-0000-0000-000004650000}"/>
    <cellStyle name="Normal 7 24 41" xfId="8427" xr:uid="{00000000-0005-0000-0000-000005650000}"/>
    <cellStyle name="Normal 7 24 42" xfId="6039" xr:uid="{00000000-0005-0000-0000-000006650000}"/>
    <cellStyle name="Normal 7 24 43" xfId="8684" xr:uid="{00000000-0005-0000-0000-000007650000}"/>
    <cellStyle name="Normal 7 24 5" xfId="25927" xr:uid="{00000000-0005-0000-0000-000008650000}"/>
    <cellStyle name="Normal 7 24 6" xfId="25331" xr:uid="{00000000-0005-0000-0000-000009650000}"/>
    <cellStyle name="Normal 7 24 7" xfId="24734" xr:uid="{00000000-0005-0000-0000-00000A650000}"/>
    <cellStyle name="Normal 7 24 8" xfId="24137" xr:uid="{00000000-0005-0000-0000-00000B650000}"/>
    <cellStyle name="Normal 7 24 9" xfId="23540" xr:uid="{00000000-0005-0000-0000-00000C650000}"/>
    <cellStyle name="Normal 7 25" xfId="28316" xr:uid="{00000000-0005-0000-0000-00000D650000}"/>
    <cellStyle name="Normal 7 25 10" xfId="22942" xr:uid="{00000000-0005-0000-0000-00000E650000}"/>
    <cellStyle name="Normal 7 25 11" xfId="22345" xr:uid="{00000000-0005-0000-0000-00000F650000}"/>
    <cellStyle name="Normal 7 25 12" xfId="21749" xr:uid="{00000000-0005-0000-0000-000010650000}"/>
    <cellStyle name="Normal 7 25 13" xfId="21152" xr:uid="{00000000-0005-0000-0000-000011650000}"/>
    <cellStyle name="Normal 7 25 14" xfId="20555" xr:uid="{00000000-0005-0000-0000-000012650000}"/>
    <cellStyle name="Normal 7 25 15" xfId="19958" xr:uid="{00000000-0005-0000-0000-000013650000}"/>
    <cellStyle name="Normal 7 25 16" xfId="19362" xr:uid="{00000000-0005-0000-0000-000014650000}"/>
    <cellStyle name="Normal 7 25 17" xfId="18766" xr:uid="{00000000-0005-0000-0000-000015650000}"/>
    <cellStyle name="Normal 7 25 18" xfId="18174" xr:uid="{00000000-0005-0000-0000-000016650000}"/>
    <cellStyle name="Normal 7 25 19" xfId="17577" xr:uid="{00000000-0005-0000-0000-000017650000}"/>
    <cellStyle name="Normal 7 25 2" xfId="27716" xr:uid="{00000000-0005-0000-0000-000018650000}"/>
    <cellStyle name="Normal 7 25 20" xfId="16743" xr:uid="{00000000-0005-0000-0000-000019650000}"/>
    <cellStyle name="Normal 7 25 21" xfId="14217" xr:uid="{00000000-0005-0000-0000-00001A650000}"/>
    <cellStyle name="Normal 7 25 22" xfId="15308" xr:uid="{00000000-0005-0000-0000-00001B650000}"/>
    <cellStyle name="Normal 7 25 23" xfId="14003" xr:uid="{00000000-0005-0000-0000-00001C650000}"/>
    <cellStyle name="Normal 7 25 24" xfId="16584" xr:uid="{00000000-0005-0000-0000-00001D650000}"/>
    <cellStyle name="Normal 7 25 25" xfId="12937" xr:uid="{00000000-0005-0000-0000-00001E650000}"/>
    <cellStyle name="Normal 7 25 26" xfId="13355" xr:uid="{00000000-0005-0000-0000-00001F650000}"/>
    <cellStyle name="Normal 7 25 27" xfId="14299" xr:uid="{00000000-0005-0000-0000-000020650000}"/>
    <cellStyle name="Normal 7 25 28" xfId="12186" xr:uid="{00000000-0005-0000-0000-000021650000}"/>
    <cellStyle name="Normal 7 25 29" xfId="7939" xr:uid="{00000000-0005-0000-0000-000022650000}"/>
    <cellStyle name="Normal 7 25 3" xfId="27119" xr:uid="{00000000-0005-0000-0000-000023650000}"/>
    <cellStyle name="Normal 7 25 30" xfId="10685" xr:uid="{00000000-0005-0000-0000-000024650000}"/>
    <cellStyle name="Normal 7 25 31" xfId="11416" xr:uid="{00000000-0005-0000-0000-000025650000}"/>
    <cellStyle name="Normal 7 25 32" xfId="8810" xr:uid="{00000000-0005-0000-0000-000026650000}"/>
    <cellStyle name="Normal 7 25 33" xfId="8664" xr:uid="{00000000-0005-0000-0000-000027650000}"/>
    <cellStyle name="Normal 7 25 34" xfId="7450" xr:uid="{00000000-0005-0000-0000-000028650000}"/>
    <cellStyle name="Normal 7 25 35" xfId="6445" xr:uid="{00000000-0005-0000-0000-000029650000}"/>
    <cellStyle name="Normal 7 25 36" xfId="10233" xr:uid="{00000000-0005-0000-0000-00002A650000}"/>
    <cellStyle name="Normal 7 25 37" xfId="8311" xr:uid="{00000000-0005-0000-0000-00002B650000}"/>
    <cellStyle name="Normal 7 25 38" xfId="11338" xr:uid="{00000000-0005-0000-0000-00002C650000}"/>
    <cellStyle name="Normal 7 25 39" xfId="7859" xr:uid="{00000000-0005-0000-0000-00002D650000}"/>
    <cellStyle name="Normal 7 25 4" xfId="26522" xr:uid="{00000000-0005-0000-0000-00002E650000}"/>
    <cellStyle name="Normal 7 25 40" xfId="3952" xr:uid="{00000000-0005-0000-0000-00002F650000}"/>
    <cellStyle name="Normal 7 25 41" xfId="4625" xr:uid="{00000000-0005-0000-0000-000030650000}"/>
    <cellStyle name="Normal 7 25 42" xfId="6722" xr:uid="{00000000-0005-0000-0000-000031650000}"/>
    <cellStyle name="Normal 7 25 43" xfId="5738" xr:uid="{00000000-0005-0000-0000-000032650000}"/>
    <cellStyle name="Normal 7 25 5" xfId="25926" xr:uid="{00000000-0005-0000-0000-000033650000}"/>
    <cellStyle name="Normal 7 25 6" xfId="25330" xr:uid="{00000000-0005-0000-0000-000034650000}"/>
    <cellStyle name="Normal 7 25 7" xfId="24733" xr:uid="{00000000-0005-0000-0000-000035650000}"/>
    <cellStyle name="Normal 7 25 8" xfId="24136" xr:uid="{00000000-0005-0000-0000-000036650000}"/>
    <cellStyle name="Normal 7 25 9" xfId="23539" xr:uid="{00000000-0005-0000-0000-000037650000}"/>
    <cellStyle name="Normal 7 26" xfId="28315" xr:uid="{00000000-0005-0000-0000-000038650000}"/>
    <cellStyle name="Normal 7 26 10" xfId="22941" xr:uid="{00000000-0005-0000-0000-000039650000}"/>
    <cellStyle name="Normal 7 26 11" xfId="22344" xr:uid="{00000000-0005-0000-0000-00003A650000}"/>
    <cellStyle name="Normal 7 26 12" xfId="21748" xr:uid="{00000000-0005-0000-0000-00003B650000}"/>
    <cellStyle name="Normal 7 26 13" xfId="21151" xr:uid="{00000000-0005-0000-0000-00003C650000}"/>
    <cellStyle name="Normal 7 26 14" xfId="20554" xr:uid="{00000000-0005-0000-0000-00003D650000}"/>
    <cellStyle name="Normal 7 26 15" xfId="19957" xr:uid="{00000000-0005-0000-0000-00003E650000}"/>
    <cellStyle name="Normal 7 26 16" xfId="19361" xr:uid="{00000000-0005-0000-0000-00003F650000}"/>
    <cellStyle name="Normal 7 26 17" xfId="18765" xr:uid="{00000000-0005-0000-0000-000040650000}"/>
    <cellStyle name="Normal 7 26 18" xfId="18173" xr:uid="{00000000-0005-0000-0000-000041650000}"/>
    <cellStyle name="Normal 7 26 19" xfId="17576" xr:uid="{00000000-0005-0000-0000-000042650000}"/>
    <cellStyle name="Normal 7 26 2" xfId="27715" xr:uid="{00000000-0005-0000-0000-000043650000}"/>
    <cellStyle name="Normal 7 26 20" xfId="16940" xr:uid="{00000000-0005-0000-0000-000044650000}"/>
    <cellStyle name="Normal 7 26 21" xfId="14599" xr:uid="{00000000-0005-0000-0000-000045650000}"/>
    <cellStyle name="Normal 7 26 22" xfId="15688" xr:uid="{00000000-0005-0000-0000-000046650000}"/>
    <cellStyle name="Normal 7 26 23" xfId="13558" xr:uid="{00000000-0005-0000-0000-000047650000}"/>
    <cellStyle name="Normal 7 26 24" xfId="14297" xr:uid="{00000000-0005-0000-0000-000048650000}"/>
    <cellStyle name="Normal 7 26 25" xfId="13012" xr:uid="{00000000-0005-0000-0000-000049650000}"/>
    <cellStyle name="Normal 7 26 26" xfId="17092" xr:uid="{00000000-0005-0000-0000-00004A650000}"/>
    <cellStyle name="Normal 7 26 27" xfId="12729" xr:uid="{00000000-0005-0000-0000-00004B650000}"/>
    <cellStyle name="Normal 7 26 28" xfId="12185" xr:uid="{00000000-0005-0000-0000-00004C650000}"/>
    <cellStyle name="Normal 7 26 29" xfId="11918" xr:uid="{00000000-0005-0000-0000-00004D650000}"/>
    <cellStyle name="Normal 7 26 3" xfId="27118" xr:uid="{00000000-0005-0000-0000-00004E650000}"/>
    <cellStyle name="Normal 7 26 30" xfId="10895" xr:uid="{00000000-0005-0000-0000-00004F650000}"/>
    <cellStyle name="Normal 7 26 31" xfId="9092" xr:uid="{00000000-0005-0000-0000-000050650000}"/>
    <cellStyle name="Normal 7 26 32" xfId="6993" xr:uid="{00000000-0005-0000-0000-000051650000}"/>
    <cellStyle name="Normal 7 26 33" xfId="5892" xr:uid="{00000000-0005-0000-0000-000052650000}"/>
    <cellStyle name="Normal 7 26 34" xfId="11404" xr:uid="{00000000-0005-0000-0000-000053650000}"/>
    <cellStyle name="Normal 7 26 35" xfId="7324" xr:uid="{00000000-0005-0000-0000-000054650000}"/>
    <cellStyle name="Normal 7 26 36" xfId="9814" xr:uid="{00000000-0005-0000-0000-000055650000}"/>
    <cellStyle name="Normal 7 26 37" xfId="6287" xr:uid="{00000000-0005-0000-0000-000056650000}"/>
    <cellStyle name="Normal 7 26 38" xfId="4878" xr:uid="{00000000-0005-0000-0000-000057650000}"/>
    <cellStyle name="Normal 7 26 39" xfId="5128" xr:uid="{00000000-0005-0000-0000-000058650000}"/>
    <cellStyle name="Normal 7 26 4" xfId="26521" xr:uid="{00000000-0005-0000-0000-000059650000}"/>
    <cellStyle name="Normal 7 26 40" xfId="6055" xr:uid="{00000000-0005-0000-0000-00005A650000}"/>
    <cellStyle name="Normal 7 26 41" xfId="4008" xr:uid="{00000000-0005-0000-0000-00005B650000}"/>
    <cellStyle name="Normal 7 26 42" xfId="6735" xr:uid="{00000000-0005-0000-0000-00005C650000}"/>
    <cellStyle name="Normal 7 26 43" xfId="8627" xr:uid="{00000000-0005-0000-0000-00005D650000}"/>
    <cellStyle name="Normal 7 26 5" xfId="25925" xr:uid="{00000000-0005-0000-0000-00005E650000}"/>
    <cellStyle name="Normal 7 26 6" xfId="25329" xr:uid="{00000000-0005-0000-0000-00005F650000}"/>
    <cellStyle name="Normal 7 26 7" xfId="24732" xr:uid="{00000000-0005-0000-0000-000060650000}"/>
    <cellStyle name="Normal 7 26 8" xfId="24135" xr:uid="{00000000-0005-0000-0000-000061650000}"/>
    <cellStyle name="Normal 7 26 9" xfId="23538" xr:uid="{00000000-0005-0000-0000-000062650000}"/>
    <cellStyle name="Normal 7 27" xfId="27733" xr:uid="{00000000-0005-0000-0000-000063650000}"/>
    <cellStyle name="Normal 7 28" xfId="27136" xr:uid="{00000000-0005-0000-0000-000064650000}"/>
    <cellStyle name="Normal 7 29" xfId="26539" xr:uid="{00000000-0005-0000-0000-000065650000}"/>
    <cellStyle name="Normal 7 3" xfId="28314" xr:uid="{00000000-0005-0000-0000-000066650000}"/>
    <cellStyle name="Normal 7 3 10" xfId="22940" xr:uid="{00000000-0005-0000-0000-000067650000}"/>
    <cellStyle name="Normal 7 3 11" xfId="22343" xr:uid="{00000000-0005-0000-0000-000068650000}"/>
    <cellStyle name="Normal 7 3 12" xfId="21747" xr:uid="{00000000-0005-0000-0000-000069650000}"/>
    <cellStyle name="Normal 7 3 13" xfId="21150" xr:uid="{00000000-0005-0000-0000-00006A650000}"/>
    <cellStyle name="Normal 7 3 14" xfId="20553" xr:uid="{00000000-0005-0000-0000-00006B650000}"/>
    <cellStyle name="Normal 7 3 15" xfId="19956" xr:uid="{00000000-0005-0000-0000-00006C650000}"/>
    <cellStyle name="Normal 7 3 16" xfId="19360" xr:uid="{00000000-0005-0000-0000-00006D650000}"/>
    <cellStyle name="Normal 7 3 17" xfId="18764" xr:uid="{00000000-0005-0000-0000-00006E650000}"/>
    <cellStyle name="Normal 7 3 18" xfId="18172" xr:uid="{00000000-0005-0000-0000-00006F650000}"/>
    <cellStyle name="Normal 7 3 19" xfId="17575" xr:uid="{00000000-0005-0000-0000-000070650000}"/>
    <cellStyle name="Normal 7 3 2" xfId="27714" xr:uid="{00000000-0005-0000-0000-000071650000}"/>
    <cellStyle name="Normal 7 3 20" xfId="17147" xr:uid="{00000000-0005-0000-0000-000072650000}"/>
    <cellStyle name="Normal 7 3 21" xfId="14983" xr:uid="{00000000-0005-0000-0000-000073650000}"/>
    <cellStyle name="Normal 7 3 22" xfId="15272" xr:uid="{00000000-0005-0000-0000-000074650000}"/>
    <cellStyle name="Normal 7 3 23" xfId="15644" xr:uid="{00000000-0005-0000-0000-000075650000}"/>
    <cellStyle name="Normal 7 3 24" xfId="13528" xr:uid="{00000000-0005-0000-0000-000076650000}"/>
    <cellStyle name="Normal 7 3 25" xfId="16806" xr:uid="{00000000-0005-0000-0000-000077650000}"/>
    <cellStyle name="Normal 7 3 26" xfId="12872" xr:uid="{00000000-0005-0000-0000-000078650000}"/>
    <cellStyle name="Normal 7 3 27" xfId="15269" xr:uid="{00000000-0005-0000-0000-000079650000}"/>
    <cellStyle name="Normal 7 3 28" xfId="12184" xr:uid="{00000000-0005-0000-0000-00007A650000}"/>
    <cellStyle name="Normal 7 3 29" xfId="8098" xr:uid="{00000000-0005-0000-0000-00007B650000}"/>
    <cellStyle name="Normal 7 3 3" xfId="27117" xr:uid="{00000000-0005-0000-0000-00007C650000}"/>
    <cellStyle name="Normal 7 3 30" xfId="11107" xr:uid="{00000000-0005-0000-0000-00007D650000}"/>
    <cellStyle name="Normal 7 3 31" xfId="12096" xr:uid="{00000000-0005-0000-0000-00007E650000}"/>
    <cellStyle name="Normal 7 3 32" xfId="6811" xr:uid="{00000000-0005-0000-0000-00007F650000}"/>
    <cellStyle name="Normal 7 3 33" xfId="9628" xr:uid="{00000000-0005-0000-0000-000080650000}"/>
    <cellStyle name="Normal 7 3 34" xfId="6010" xr:uid="{00000000-0005-0000-0000-000081650000}"/>
    <cellStyle name="Normal 7 3 35" xfId="7276" xr:uid="{00000000-0005-0000-0000-000082650000}"/>
    <cellStyle name="Normal 7 3 36" xfId="4691" xr:uid="{00000000-0005-0000-0000-000083650000}"/>
    <cellStyle name="Normal 7 3 37" xfId="6842" xr:uid="{00000000-0005-0000-0000-000084650000}"/>
    <cellStyle name="Normal 7 3 38" xfId="12083" xr:uid="{00000000-0005-0000-0000-000085650000}"/>
    <cellStyle name="Normal 7 3 39" xfId="5077" xr:uid="{00000000-0005-0000-0000-000086650000}"/>
    <cellStyle name="Normal 7 3 4" xfId="26520" xr:uid="{00000000-0005-0000-0000-000087650000}"/>
    <cellStyle name="Normal 7 3 40" xfId="3707" xr:uid="{00000000-0005-0000-0000-000088650000}"/>
    <cellStyle name="Normal 7 3 41" xfId="8471" xr:uid="{00000000-0005-0000-0000-000089650000}"/>
    <cellStyle name="Normal 7 3 42" xfId="5097" xr:uid="{00000000-0005-0000-0000-00008A650000}"/>
    <cellStyle name="Normal 7 3 43" xfId="5120" xr:uid="{00000000-0005-0000-0000-00008B650000}"/>
    <cellStyle name="Normal 7 3 44" xfId="2864" xr:uid="{00000000-0005-0000-0000-00008C650000}"/>
    <cellStyle name="Normal 7 3 45" xfId="2621" xr:uid="{00000000-0005-0000-0000-00008D650000}"/>
    <cellStyle name="Normal 7 3 46" xfId="2381" xr:uid="{00000000-0005-0000-0000-00008E650000}"/>
    <cellStyle name="Normal 7 3 47" xfId="2141" xr:uid="{00000000-0005-0000-0000-00008F650000}"/>
    <cellStyle name="Normal 7 3 48" xfId="1901" xr:uid="{00000000-0005-0000-0000-000090650000}"/>
    <cellStyle name="Normal 7 3 49" xfId="1661" xr:uid="{00000000-0005-0000-0000-000091650000}"/>
    <cellStyle name="Normal 7 3 5" xfId="25924" xr:uid="{00000000-0005-0000-0000-000092650000}"/>
    <cellStyle name="Normal 7 3 50" xfId="1422" xr:uid="{00000000-0005-0000-0000-000093650000}"/>
    <cellStyle name="Normal 7 3 51" xfId="1182" xr:uid="{00000000-0005-0000-0000-000094650000}"/>
    <cellStyle name="Normal 7 3 52" xfId="942" xr:uid="{00000000-0005-0000-0000-000095650000}"/>
    <cellStyle name="Normal 7 3 53" xfId="702" xr:uid="{00000000-0005-0000-0000-000096650000}"/>
    <cellStyle name="Normal 7 3 54" xfId="462" xr:uid="{00000000-0005-0000-0000-000097650000}"/>
    <cellStyle name="Normal 7 3 55" xfId="223" xr:uid="{00000000-0005-0000-0000-000098650000}"/>
    <cellStyle name="Normal 7 3 56" xfId="28869" xr:uid="{00000000-0005-0000-0000-000099650000}"/>
    <cellStyle name="Normal 7 3 6" xfId="25328" xr:uid="{00000000-0005-0000-0000-00009A650000}"/>
    <cellStyle name="Normal 7 3 7" xfId="24731" xr:uid="{00000000-0005-0000-0000-00009B650000}"/>
    <cellStyle name="Normal 7 3 8" xfId="24134" xr:uid="{00000000-0005-0000-0000-00009C650000}"/>
    <cellStyle name="Normal 7 3 9" xfId="23537" xr:uid="{00000000-0005-0000-0000-00009D650000}"/>
    <cellStyle name="Normal 7 30" xfId="25943" xr:uid="{00000000-0005-0000-0000-00009E650000}"/>
    <cellStyle name="Normal 7 31" xfId="25347" xr:uid="{00000000-0005-0000-0000-00009F650000}"/>
    <cellStyle name="Normal 7 32" xfId="24750" xr:uid="{00000000-0005-0000-0000-0000A0650000}"/>
    <cellStyle name="Normal 7 33" xfId="24153" xr:uid="{00000000-0005-0000-0000-0000A1650000}"/>
    <cellStyle name="Normal 7 34" xfId="23556" xr:uid="{00000000-0005-0000-0000-0000A2650000}"/>
    <cellStyle name="Normal 7 35" xfId="22959" xr:uid="{00000000-0005-0000-0000-0000A3650000}"/>
    <cellStyle name="Normal 7 36" xfId="22362" xr:uid="{00000000-0005-0000-0000-0000A4650000}"/>
    <cellStyle name="Normal 7 37" xfId="21766" xr:uid="{00000000-0005-0000-0000-0000A5650000}"/>
    <cellStyle name="Normal 7 38" xfId="21169" xr:uid="{00000000-0005-0000-0000-0000A6650000}"/>
    <cellStyle name="Normal 7 39" xfId="20572" xr:uid="{00000000-0005-0000-0000-0000A7650000}"/>
    <cellStyle name="Normal 7 4" xfId="28313" xr:uid="{00000000-0005-0000-0000-0000A8650000}"/>
    <cellStyle name="Normal 7 4 10" xfId="22939" xr:uid="{00000000-0005-0000-0000-0000A9650000}"/>
    <cellStyle name="Normal 7 4 11" xfId="22342" xr:uid="{00000000-0005-0000-0000-0000AA650000}"/>
    <cellStyle name="Normal 7 4 12" xfId="21746" xr:uid="{00000000-0005-0000-0000-0000AB650000}"/>
    <cellStyle name="Normal 7 4 13" xfId="21149" xr:uid="{00000000-0005-0000-0000-0000AC650000}"/>
    <cellStyle name="Normal 7 4 14" xfId="20552" xr:uid="{00000000-0005-0000-0000-0000AD650000}"/>
    <cellStyle name="Normal 7 4 15" xfId="19955" xr:uid="{00000000-0005-0000-0000-0000AE650000}"/>
    <cellStyle name="Normal 7 4 16" xfId="19359" xr:uid="{00000000-0005-0000-0000-0000AF650000}"/>
    <cellStyle name="Normal 7 4 17" xfId="18763" xr:uid="{00000000-0005-0000-0000-0000B0650000}"/>
    <cellStyle name="Normal 7 4 18" xfId="18171" xr:uid="{00000000-0005-0000-0000-0000B1650000}"/>
    <cellStyle name="Normal 7 4 19" xfId="17574" xr:uid="{00000000-0005-0000-0000-0000B2650000}"/>
    <cellStyle name="Normal 7 4 2" xfId="27713" xr:uid="{00000000-0005-0000-0000-0000B3650000}"/>
    <cellStyle name="Normal 7 4 20" xfId="17340" xr:uid="{00000000-0005-0000-0000-0000B4650000}"/>
    <cellStyle name="Normal 7 4 21" xfId="14578" xr:uid="{00000000-0005-0000-0000-0000B5650000}"/>
    <cellStyle name="Normal 7 4 22" xfId="15691" xr:uid="{00000000-0005-0000-0000-0000B6650000}"/>
    <cellStyle name="Normal 7 4 23" xfId="17303" xr:uid="{00000000-0005-0000-0000-0000B7650000}"/>
    <cellStyle name="Normal 7 4 24" xfId="14372" xr:uid="{00000000-0005-0000-0000-0000B8650000}"/>
    <cellStyle name="Normal 7 4 25" xfId="13013" xr:uid="{00000000-0005-0000-0000-0000B9650000}"/>
    <cellStyle name="Normal 7 4 26" xfId="12821" xr:uid="{00000000-0005-0000-0000-0000BA650000}"/>
    <cellStyle name="Normal 7 4 27" xfId="14308" xr:uid="{00000000-0005-0000-0000-0000BB650000}"/>
    <cellStyle name="Normal 7 4 28" xfId="12183" xr:uid="{00000000-0005-0000-0000-0000BC650000}"/>
    <cellStyle name="Normal 7 4 29" xfId="8306" xr:uid="{00000000-0005-0000-0000-0000BD650000}"/>
    <cellStyle name="Normal 7 4 3" xfId="27116" xr:uid="{00000000-0005-0000-0000-0000BE650000}"/>
    <cellStyle name="Normal 7 4 30" xfId="11564" xr:uid="{00000000-0005-0000-0000-0000BF650000}"/>
    <cellStyle name="Normal 7 4 31" xfId="11861" xr:uid="{00000000-0005-0000-0000-0000C0650000}"/>
    <cellStyle name="Normal 7 4 32" xfId="5795" xr:uid="{00000000-0005-0000-0000-0000C1650000}"/>
    <cellStyle name="Normal 7 4 33" xfId="5432" xr:uid="{00000000-0005-0000-0000-0000C2650000}"/>
    <cellStyle name="Normal 7 4 34" xfId="10617" xr:uid="{00000000-0005-0000-0000-0000C3650000}"/>
    <cellStyle name="Normal 7 4 35" xfId="10804" xr:uid="{00000000-0005-0000-0000-0000C4650000}"/>
    <cellStyle name="Normal 7 4 36" xfId="7266" xr:uid="{00000000-0005-0000-0000-0000C5650000}"/>
    <cellStyle name="Normal 7 4 37" xfId="11256" xr:uid="{00000000-0005-0000-0000-0000C6650000}"/>
    <cellStyle name="Normal 7 4 38" xfId="11935" xr:uid="{00000000-0005-0000-0000-0000C7650000}"/>
    <cellStyle name="Normal 7 4 39" xfId="4449" xr:uid="{00000000-0005-0000-0000-0000C8650000}"/>
    <cellStyle name="Normal 7 4 4" xfId="26519" xr:uid="{00000000-0005-0000-0000-0000C9650000}"/>
    <cellStyle name="Normal 7 4 40" xfId="4196" xr:uid="{00000000-0005-0000-0000-0000CA650000}"/>
    <cellStyle name="Normal 7 4 41" xfId="3180" xr:uid="{00000000-0005-0000-0000-0000CB650000}"/>
    <cellStyle name="Normal 7 4 42" xfId="4491" xr:uid="{00000000-0005-0000-0000-0000CC650000}"/>
    <cellStyle name="Normal 7 4 43" xfId="5194" xr:uid="{00000000-0005-0000-0000-0000CD650000}"/>
    <cellStyle name="Normal 7 4 44" xfId="2863" xr:uid="{00000000-0005-0000-0000-0000CE650000}"/>
    <cellStyle name="Normal 7 4 45" xfId="2620" xr:uid="{00000000-0005-0000-0000-0000CF650000}"/>
    <cellStyle name="Normal 7 4 46" xfId="2380" xr:uid="{00000000-0005-0000-0000-0000D0650000}"/>
    <cellStyle name="Normal 7 4 47" xfId="2140" xr:uid="{00000000-0005-0000-0000-0000D1650000}"/>
    <cellStyle name="Normal 7 4 48" xfId="1900" xr:uid="{00000000-0005-0000-0000-0000D2650000}"/>
    <cellStyle name="Normal 7 4 49" xfId="1660" xr:uid="{00000000-0005-0000-0000-0000D3650000}"/>
    <cellStyle name="Normal 7 4 5" xfId="25923" xr:uid="{00000000-0005-0000-0000-0000D4650000}"/>
    <cellStyle name="Normal 7 4 50" xfId="1421" xr:uid="{00000000-0005-0000-0000-0000D5650000}"/>
    <cellStyle name="Normal 7 4 51" xfId="1181" xr:uid="{00000000-0005-0000-0000-0000D6650000}"/>
    <cellStyle name="Normal 7 4 52" xfId="941" xr:uid="{00000000-0005-0000-0000-0000D7650000}"/>
    <cellStyle name="Normal 7 4 53" xfId="701" xr:uid="{00000000-0005-0000-0000-0000D8650000}"/>
    <cellStyle name="Normal 7 4 54" xfId="461" xr:uid="{00000000-0005-0000-0000-0000D9650000}"/>
    <cellStyle name="Normal 7 4 55" xfId="222" xr:uid="{00000000-0005-0000-0000-0000DA650000}"/>
    <cellStyle name="Normal 7 4 56" xfId="28870" xr:uid="{00000000-0005-0000-0000-0000DB650000}"/>
    <cellStyle name="Normal 7 4 6" xfId="25327" xr:uid="{00000000-0005-0000-0000-0000DC650000}"/>
    <cellStyle name="Normal 7 4 7" xfId="24730" xr:uid="{00000000-0005-0000-0000-0000DD650000}"/>
    <cellStyle name="Normal 7 4 8" xfId="24133" xr:uid="{00000000-0005-0000-0000-0000DE650000}"/>
    <cellStyle name="Normal 7 4 9" xfId="23536" xr:uid="{00000000-0005-0000-0000-0000DF650000}"/>
    <cellStyle name="Normal 7 40" xfId="19975" xr:uid="{00000000-0005-0000-0000-0000E0650000}"/>
    <cellStyle name="Normal 7 41" xfId="19379" xr:uid="{00000000-0005-0000-0000-0000E1650000}"/>
    <cellStyle name="Normal 7 42" xfId="18783" xr:uid="{00000000-0005-0000-0000-0000E2650000}"/>
    <cellStyle name="Normal 7 43" xfId="18191" xr:uid="{00000000-0005-0000-0000-0000E3650000}"/>
    <cellStyle name="Normal 7 44" xfId="17594" xr:uid="{00000000-0005-0000-0000-0000E4650000}"/>
    <cellStyle name="Normal 7 45" xfId="14172" xr:uid="{00000000-0005-0000-0000-0000E5650000}"/>
    <cellStyle name="Normal 7 46" xfId="14376" xr:uid="{00000000-0005-0000-0000-0000E6650000}"/>
    <cellStyle name="Normal 7 47" xfId="15264" xr:uid="{00000000-0005-0000-0000-0000E7650000}"/>
    <cellStyle name="Normal 7 48" xfId="14824" xr:uid="{00000000-0005-0000-0000-0000E8650000}"/>
    <cellStyle name="Normal 7 49" xfId="13751" xr:uid="{00000000-0005-0000-0000-0000E9650000}"/>
    <cellStyle name="Normal 7 5" xfId="28312" xr:uid="{00000000-0005-0000-0000-0000EA650000}"/>
    <cellStyle name="Normal 7 5 10" xfId="22938" xr:uid="{00000000-0005-0000-0000-0000EB650000}"/>
    <cellStyle name="Normal 7 5 11" xfId="22341" xr:uid="{00000000-0005-0000-0000-0000EC650000}"/>
    <cellStyle name="Normal 7 5 12" xfId="21745" xr:uid="{00000000-0005-0000-0000-0000ED650000}"/>
    <cellStyle name="Normal 7 5 13" xfId="21148" xr:uid="{00000000-0005-0000-0000-0000EE650000}"/>
    <cellStyle name="Normal 7 5 14" xfId="20551" xr:uid="{00000000-0005-0000-0000-0000EF650000}"/>
    <cellStyle name="Normal 7 5 15" xfId="19954" xr:uid="{00000000-0005-0000-0000-0000F0650000}"/>
    <cellStyle name="Normal 7 5 16" xfId="19358" xr:uid="{00000000-0005-0000-0000-0000F1650000}"/>
    <cellStyle name="Normal 7 5 17" xfId="18762" xr:uid="{00000000-0005-0000-0000-0000F2650000}"/>
    <cellStyle name="Normal 7 5 18" xfId="18170" xr:uid="{00000000-0005-0000-0000-0000F3650000}"/>
    <cellStyle name="Normal 7 5 19" xfId="17573" xr:uid="{00000000-0005-0000-0000-0000F4650000}"/>
    <cellStyle name="Normal 7 5 2" xfId="27712" xr:uid="{00000000-0005-0000-0000-0000F5650000}"/>
    <cellStyle name="Normal 7 5 20" xfId="14173" xr:uid="{00000000-0005-0000-0000-0000F6650000}"/>
    <cellStyle name="Normal 7 5 21" xfId="14185" xr:uid="{00000000-0005-0000-0000-0000F7650000}"/>
    <cellStyle name="Normal 7 5 22" xfId="13515" xr:uid="{00000000-0005-0000-0000-0000F8650000}"/>
    <cellStyle name="Normal 7 5 23" xfId="13365" xr:uid="{00000000-0005-0000-0000-0000F9650000}"/>
    <cellStyle name="Normal 7 5 24" xfId="14072" xr:uid="{00000000-0005-0000-0000-0000FA650000}"/>
    <cellStyle name="Normal 7 5 25" xfId="13368" xr:uid="{00000000-0005-0000-0000-0000FB650000}"/>
    <cellStyle name="Normal 7 5 26" xfId="13918" xr:uid="{00000000-0005-0000-0000-0000FC650000}"/>
    <cellStyle name="Normal 7 5 27" xfId="14563" xr:uid="{00000000-0005-0000-0000-0000FD650000}"/>
    <cellStyle name="Normal 7 5 28" xfId="12182" xr:uid="{00000000-0005-0000-0000-0000FE650000}"/>
    <cellStyle name="Normal 7 5 29" xfId="8521" xr:uid="{00000000-0005-0000-0000-0000FF650000}"/>
    <cellStyle name="Normal 7 5 3" xfId="27115" xr:uid="{00000000-0005-0000-0000-000000660000}"/>
    <cellStyle name="Normal 7 5 30" xfId="11777" xr:uid="{00000000-0005-0000-0000-000001660000}"/>
    <cellStyle name="Normal 7 5 31" xfId="5635" xr:uid="{00000000-0005-0000-0000-000002660000}"/>
    <cellStyle name="Normal 7 5 32" xfId="11035" xr:uid="{00000000-0005-0000-0000-000003660000}"/>
    <cellStyle name="Normal 7 5 33" xfId="10296" xr:uid="{00000000-0005-0000-0000-000004660000}"/>
    <cellStyle name="Normal 7 5 34" xfId="9423" xr:uid="{00000000-0005-0000-0000-000005660000}"/>
    <cellStyle name="Normal 7 5 35" xfId="5227" xr:uid="{00000000-0005-0000-0000-000006660000}"/>
    <cellStyle name="Normal 7 5 36" xfId="7470" xr:uid="{00000000-0005-0000-0000-000007660000}"/>
    <cellStyle name="Normal 7 5 37" xfId="9544" xr:uid="{00000000-0005-0000-0000-000008660000}"/>
    <cellStyle name="Normal 7 5 38" xfId="9254" xr:uid="{00000000-0005-0000-0000-000009660000}"/>
    <cellStyle name="Normal 7 5 39" xfId="6734" xr:uid="{00000000-0005-0000-0000-00000A660000}"/>
    <cellStyle name="Normal 7 5 4" xfId="26518" xr:uid="{00000000-0005-0000-0000-00000B660000}"/>
    <cellStyle name="Normal 7 5 40" xfId="5947" xr:uid="{00000000-0005-0000-0000-00000C660000}"/>
    <cellStyle name="Normal 7 5 41" xfId="3222" xr:uid="{00000000-0005-0000-0000-00000D660000}"/>
    <cellStyle name="Normal 7 5 42" xfId="4041" xr:uid="{00000000-0005-0000-0000-00000E660000}"/>
    <cellStyle name="Normal 7 5 43" xfId="3260" xr:uid="{00000000-0005-0000-0000-00000F660000}"/>
    <cellStyle name="Normal 7 5 44" xfId="2862" xr:uid="{00000000-0005-0000-0000-000010660000}"/>
    <cellStyle name="Normal 7 5 45" xfId="2619" xr:uid="{00000000-0005-0000-0000-000011660000}"/>
    <cellStyle name="Normal 7 5 46" xfId="2379" xr:uid="{00000000-0005-0000-0000-000012660000}"/>
    <cellStyle name="Normal 7 5 47" xfId="2139" xr:uid="{00000000-0005-0000-0000-000013660000}"/>
    <cellStyle name="Normal 7 5 48" xfId="1899" xr:uid="{00000000-0005-0000-0000-000014660000}"/>
    <cellStyle name="Normal 7 5 49" xfId="1659" xr:uid="{00000000-0005-0000-0000-000015660000}"/>
    <cellStyle name="Normal 7 5 5" xfId="25922" xr:uid="{00000000-0005-0000-0000-000016660000}"/>
    <cellStyle name="Normal 7 5 50" xfId="1420" xr:uid="{00000000-0005-0000-0000-000017660000}"/>
    <cellStyle name="Normal 7 5 51" xfId="1180" xr:uid="{00000000-0005-0000-0000-000018660000}"/>
    <cellStyle name="Normal 7 5 52" xfId="940" xr:uid="{00000000-0005-0000-0000-000019660000}"/>
    <cellStyle name="Normal 7 5 53" xfId="700" xr:uid="{00000000-0005-0000-0000-00001A660000}"/>
    <cellStyle name="Normal 7 5 54" xfId="460" xr:uid="{00000000-0005-0000-0000-00001B660000}"/>
    <cellStyle name="Normal 7 5 55" xfId="221" xr:uid="{00000000-0005-0000-0000-00001C660000}"/>
    <cellStyle name="Normal 7 5 56" xfId="28871" xr:uid="{00000000-0005-0000-0000-00001D660000}"/>
    <cellStyle name="Normal 7 5 6" xfId="25326" xr:uid="{00000000-0005-0000-0000-00001E660000}"/>
    <cellStyle name="Normal 7 5 7" xfId="24729" xr:uid="{00000000-0005-0000-0000-00001F660000}"/>
    <cellStyle name="Normal 7 5 8" xfId="24132" xr:uid="{00000000-0005-0000-0000-000020660000}"/>
    <cellStyle name="Normal 7 5 9" xfId="23535" xr:uid="{00000000-0005-0000-0000-000021660000}"/>
    <cellStyle name="Normal 7 50" xfId="14556" xr:uid="{00000000-0005-0000-0000-000022660000}"/>
    <cellStyle name="Normal 7 51" xfId="14787" xr:uid="{00000000-0005-0000-0000-000023660000}"/>
    <cellStyle name="Normal 7 52" xfId="13267" xr:uid="{00000000-0005-0000-0000-000024660000}"/>
    <cellStyle name="Normal 7 53" xfId="12203" xr:uid="{00000000-0005-0000-0000-000025660000}"/>
    <cellStyle name="Normal 7 54" xfId="9662" xr:uid="{00000000-0005-0000-0000-000026660000}"/>
    <cellStyle name="Normal 7 55" xfId="9238" xr:uid="{00000000-0005-0000-0000-000027660000}"/>
    <cellStyle name="Normal 7 56" xfId="7771" xr:uid="{00000000-0005-0000-0000-000028660000}"/>
    <cellStyle name="Normal 7 57" xfId="10724" xr:uid="{00000000-0005-0000-0000-000029660000}"/>
    <cellStyle name="Normal 7 58" xfId="5988" xr:uid="{00000000-0005-0000-0000-00002A660000}"/>
    <cellStyle name="Normal 7 59" xfId="9612" xr:uid="{00000000-0005-0000-0000-00002B660000}"/>
    <cellStyle name="Normal 7 6" xfId="28311" xr:uid="{00000000-0005-0000-0000-00002C660000}"/>
    <cellStyle name="Normal 7 6 10" xfId="22937" xr:uid="{00000000-0005-0000-0000-00002D660000}"/>
    <cellStyle name="Normal 7 6 11" xfId="22340" xr:uid="{00000000-0005-0000-0000-00002E660000}"/>
    <cellStyle name="Normal 7 6 12" xfId="21744" xr:uid="{00000000-0005-0000-0000-00002F660000}"/>
    <cellStyle name="Normal 7 6 13" xfId="21147" xr:uid="{00000000-0005-0000-0000-000030660000}"/>
    <cellStyle name="Normal 7 6 14" xfId="20550" xr:uid="{00000000-0005-0000-0000-000031660000}"/>
    <cellStyle name="Normal 7 6 15" xfId="19953" xr:uid="{00000000-0005-0000-0000-000032660000}"/>
    <cellStyle name="Normal 7 6 16" xfId="19357" xr:uid="{00000000-0005-0000-0000-000033660000}"/>
    <cellStyle name="Normal 7 6 17" xfId="18761" xr:uid="{00000000-0005-0000-0000-000034660000}"/>
    <cellStyle name="Normal 7 6 18" xfId="18169" xr:uid="{00000000-0005-0000-0000-000035660000}"/>
    <cellStyle name="Normal 7 6 19" xfId="17572" xr:uid="{00000000-0005-0000-0000-000036660000}"/>
    <cellStyle name="Normal 7 6 2" xfId="27711" xr:uid="{00000000-0005-0000-0000-000037660000}"/>
    <cellStyle name="Normal 7 6 20" xfId="14362" xr:uid="{00000000-0005-0000-0000-000038660000}"/>
    <cellStyle name="Normal 7 6 21" xfId="13984" xr:uid="{00000000-0005-0000-0000-000039660000}"/>
    <cellStyle name="Normal 7 6 22" xfId="16314" xr:uid="{00000000-0005-0000-0000-00003A660000}"/>
    <cellStyle name="Normal 7 6 23" xfId="16279" xr:uid="{00000000-0005-0000-0000-00003B660000}"/>
    <cellStyle name="Normal 7 6 24" xfId="15769" xr:uid="{00000000-0005-0000-0000-00003C660000}"/>
    <cellStyle name="Normal 7 6 25" xfId="14594" xr:uid="{00000000-0005-0000-0000-00003D660000}"/>
    <cellStyle name="Normal 7 6 26" xfId="15290" xr:uid="{00000000-0005-0000-0000-00003E660000}"/>
    <cellStyle name="Normal 7 6 27" xfId="17497" xr:uid="{00000000-0005-0000-0000-00003F660000}"/>
    <cellStyle name="Normal 7 6 28" xfId="12181" xr:uid="{00000000-0005-0000-0000-000040660000}"/>
    <cellStyle name="Normal 7 6 29" xfId="8737" xr:uid="{00000000-0005-0000-0000-000041660000}"/>
    <cellStyle name="Normal 7 6 3" xfId="27114" xr:uid="{00000000-0005-0000-0000-000042660000}"/>
    <cellStyle name="Normal 7 6 30" xfId="11770" xr:uid="{00000000-0005-0000-0000-000043660000}"/>
    <cellStyle name="Normal 7 6 31" xfId="5681" xr:uid="{00000000-0005-0000-0000-000044660000}"/>
    <cellStyle name="Normal 7 6 32" xfId="7448" xr:uid="{00000000-0005-0000-0000-000045660000}"/>
    <cellStyle name="Normal 7 6 33" xfId="7588" xr:uid="{00000000-0005-0000-0000-000046660000}"/>
    <cellStyle name="Normal 7 6 34" xfId="9638" xr:uid="{00000000-0005-0000-0000-000047660000}"/>
    <cellStyle name="Normal 7 6 35" xfId="7605" xr:uid="{00000000-0005-0000-0000-000048660000}"/>
    <cellStyle name="Normal 7 6 36" xfId="6489" xr:uid="{00000000-0005-0000-0000-000049660000}"/>
    <cellStyle name="Normal 7 6 37" xfId="5938" xr:uid="{00000000-0005-0000-0000-00004A660000}"/>
    <cellStyle name="Normal 7 6 38" xfId="7791" xr:uid="{00000000-0005-0000-0000-00004B660000}"/>
    <cellStyle name="Normal 7 6 39" xfId="7846" xr:uid="{00000000-0005-0000-0000-00004C660000}"/>
    <cellStyle name="Normal 7 6 4" xfId="26517" xr:uid="{00000000-0005-0000-0000-00004D660000}"/>
    <cellStyle name="Normal 7 6 40" xfId="5772" xr:uid="{00000000-0005-0000-0000-00004E660000}"/>
    <cellStyle name="Normal 7 6 41" xfId="11172" xr:uid="{00000000-0005-0000-0000-00004F660000}"/>
    <cellStyle name="Normal 7 6 42" xfId="11396" xr:uid="{00000000-0005-0000-0000-000050660000}"/>
    <cellStyle name="Normal 7 6 43" xfId="5529" xr:uid="{00000000-0005-0000-0000-000051660000}"/>
    <cellStyle name="Normal 7 6 44" xfId="2861" xr:uid="{00000000-0005-0000-0000-000052660000}"/>
    <cellStyle name="Normal 7 6 45" xfId="2618" xr:uid="{00000000-0005-0000-0000-000053660000}"/>
    <cellStyle name="Normal 7 6 46" xfId="2378" xr:uid="{00000000-0005-0000-0000-000054660000}"/>
    <cellStyle name="Normal 7 6 47" xfId="2138" xr:uid="{00000000-0005-0000-0000-000055660000}"/>
    <cellStyle name="Normal 7 6 48" xfId="1898" xr:uid="{00000000-0005-0000-0000-000056660000}"/>
    <cellStyle name="Normal 7 6 49" xfId="1658" xr:uid="{00000000-0005-0000-0000-000057660000}"/>
    <cellStyle name="Normal 7 6 5" xfId="25921" xr:uid="{00000000-0005-0000-0000-000058660000}"/>
    <cellStyle name="Normal 7 6 50" xfId="1419" xr:uid="{00000000-0005-0000-0000-000059660000}"/>
    <cellStyle name="Normal 7 6 51" xfId="1179" xr:uid="{00000000-0005-0000-0000-00005A660000}"/>
    <cellStyle name="Normal 7 6 52" xfId="939" xr:uid="{00000000-0005-0000-0000-00005B660000}"/>
    <cellStyle name="Normal 7 6 53" xfId="699" xr:uid="{00000000-0005-0000-0000-00005C660000}"/>
    <cellStyle name="Normal 7 6 54" xfId="459" xr:uid="{00000000-0005-0000-0000-00005D660000}"/>
    <cellStyle name="Normal 7 6 55" xfId="220" xr:uid="{00000000-0005-0000-0000-00005E660000}"/>
    <cellStyle name="Normal 7 6 56" xfId="28872" xr:uid="{00000000-0005-0000-0000-00005F660000}"/>
    <cellStyle name="Normal 7 6 6" xfId="25325" xr:uid="{00000000-0005-0000-0000-000060660000}"/>
    <cellStyle name="Normal 7 6 7" xfId="24728" xr:uid="{00000000-0005-0000-0000-000061660000}"/>
    <cellStyle name="Normal 7 6 8" xfId="24131" xr:uid="{00000000-0005-0000-0000-000062660000}"/>
    <cellStyle name="Normal 7 6 9" xfId="23534" xr:uid="{00000000-0005-0000-0000-000063660000}"/>
    <cellStyle name="Normal 7 60" xfId="4425" xr:uid="{00000000-0005-0000-0000-000064660000}"/>
    <cellStyle name="Normal 7 61" xfId="11881" xr:uid="{00000000-0005-0000-0000-000065660000}"/>
    <cellStyle name="Normal 7 62" xfId="3815" xr:uid="{00000000-0005-0000-0000-000066660000}"/>
    <cellStyle name="Normal 7 63" xfId="5692" xr:uid="{00000000-0005-0000-0000-000067660000}"/>
    <cellStyle name="Normal 7 64" xfId="11551" xr:uid="{00000000-0005-0000-0000-000068660000}"/>
    <cellStyle name="Normal 7 65" xfId="9079" xr:uid="{00000000-0005-0000-0000-000069660000}"/>
    <cellStyle name="Normal 7 66" xfId="11828" xr:uid="{00000000-0005-0000-0000-00006A660000}"/>
    <cellStyle name="Normal 7 67" xfId="3146" xr:uid="{00000000-0005-0000-0000-00006B660000}"/>
    <cellStyle name="Normal 7 68" xfId="3142" xr:uid="{00000000-0005-0000-0000-00006C660000}"/>
    <cellStyle name="Normal 7 69" xfId="2868" xr:uid="{00000000-0005-0000-0000-00006D660000}"/>
    <cellStyle name="Normal 7 7" xfId="28310" xr:uid="{00000000-0005-0000-0000-00006E660000}"/>
    <cellStyle name="Normal 7 7 10" xfId="22936" xr:uid="{00000000-0005-0000-0000-00006F660000}"/>
    <cellStyle name="Normal 7 7 11" xfId="22339" xr:uid="{00000000-0005-0000-0000-000070660000}"/>
    <cellStyle name="Normal 7 7 12" xfId="21743" xr:uid="{00000000-0005-0000-0000-000071660000}"/>
    <cellStyle name="Normal 7 7 13" xfId="21146" xr:uid="{00000000-0005-0000-0000-000072660000}"/>
    <cellStyle name="Normal 7 7 14" xfId="20549" xr:uid="{00000000-0005-0000-0000-000073660000}"/>
    <cellStyle name="Normal 7 7 15" xfId="19952" xr:uid="{00000000-0005-0000-0000-000074660000}"/>
    <cellStyle name="Normal 7 7 16" xfId="19356" xr:uid="{00000000-0005-0000-0000-000075660000}"/>
    <cellStyle name="Normal 7 7 17" xfId="18760" xr:uid="{00000000-0005-0000-0000-000076660000}"/>
    <cellStyle name="Normal 7 7 18" xfId="18168" xr:uid="{00000000-0005-0000-0000-000077660000}"/>
    <cellStyle name="Normal 7 7 19" xfId="17571" xr:uid="{00000000-0005-0000-0000-000078660000}"/>
    <cellStyle name="Normal 7 7 2" xfId="27710" xr:uid="{00000000-0005-0000-0000-000079660000}"/>
    <cellStyle name="Normal 7 7 20" xfId="14553" xr:uid="{00000000-0005-0000-0000-00007A660000}"/>
    <cellStyle name="Normal 7 7 21" xfId="16907" xr:uid="{00000000-0005-0000-0000-00007B660000}"/>
    <cellStyle name="Normal 7 7 22" xfId="13676" xr:uid="{00000000-0005-0000-0000-00007C660000}"/>
    <cellStyle name="Normal 7 7 23" xfId="16968" xr:uid="{00000000-0005-0000-0000-00007D660000}"/>
    <cellStyle name="Normal 7 7 24" xfId="15893" xr:uid="{00000000-0005-0000-0000-00007E660000}"/>
    <cellStyle name="Normal 7 7 25" xfId="14591" xr:uid="{00000000-0005-0000-0000-00007F660000}"/>
    <cellStyle name="Normal 7 7 26" xfId="15864" xr:uid="{00000000-0005-0000-0000-000080660000}"/>
    <cellStyle name="Normal 7 7 27" xfId="16874" xr:uid="{00000000-0005-0000-0000-000081660000}"/>
    <cellStyle name="Normal 7 7 28" xfId="12180" xr:uid="{00000000-0005-0000-0000-000082660000}"/>
    <cellStyle name="Normal 7 7 29" xfId="8975" xr:uid="{00000000-0005-0000-0000-000083660000}"/>
    <cellStyle name="Normal 7 7 3" xfId="27113" xr:uid="{00000000-0005-0000-0000-000084660000}"/>
    <cellStyle name="Normal 7 7 30" xfId="6689" xr:uid="{00000000-0005-0000-0000-000085660000}"/>
    <cellStyle name="Normal 7 7 31" xfId="6699" xr:uid="{00000000-0005-0000-0000-000086660000}"/>
    <cellStyle name="Normal 7 7 32" xfId="9289" xr:uid="{00000000-0005-0000-0000-000087660000}"/>
    <cellStyle name="Normal 7 7 33" xfId="6171" xr:uid="{00000000-0005-0000-0000-000088660000}"/>
    <cellStyle name="Normal 7 7 34" xfId="6558" xr:uid="{00000000-0005-0000-0000-000089660000}"/>
    <cellStyle name="Normal 7 7 35" xfId="10510" xr:uid="{00000000-0005-0000-0000-00008A660000}"/>
    <cellStyle name="Normal 7 7 36" xfId="5902" xr:uid="{00000000-0005-0000-0000-00008B660000}"/>
    <cellStyle name="Normal 7 7 37" xfId="4430" xr:uid="{00000000-0005-0000-0000-00008C660000}"/>
    <cellStyle name="Normal 7 7 38" xfId="10872" xr:uid="{00000000-0005-0000-0000-00008D660000}"/>
    <cellStyle name="Normal 7 7 39" xfId="4260" xr:uid="{00000000-0005-0000-0000-00008E660000}"/>
    <cellStyle name="Normal 7 7 4" xfId="26516" xr:uid="{00000000-0005-0000-0000-00008F660000}"/>
    <cellStyle name="Normal 7 7 40" xfId="4343" xr:uid="{00000000-0005-0000-0000-000090660000}"/>
    <cellStyle name="Normal 7 7 41" xfId="3227" xr:uid="{00000000-0005-0000-0000-000091660000}"/>
    <cellStyle name="Normal 7 7 42" xfId="3614" xr:uid="{00000000-0005-0000-0000-000092660000}"/>
    <cellStyle name="Normal 7 7 43" xfId="5592" xr:uid="{00000000-0005-0000-0000-000093660000}"/>
    <cellStyle name="Normal 7 7 44" xfId="2860" xr:uid="{00000000-0005-0000-0000-000094660000}"/>
    <cellStyle name="Normal 7 7 45" xfId="2617" xr:uid="{00000000-0005-0000-0000-000095660000}"/>
    <cellStyle name="Normal 7 7 46" xfId="2377" xr:uid="{00000000-0005-0000-0000-000096660000}"/>
    <cellStyle name="Normal 7 7 47" xfId="2137" xr:uid="{00000000-0005-0000-0000-000097660000}"/>
    <cellStyle name="Normal 7 7 48" xfId="1897" xr:uid="{00000000-0005-0000-0000-000098660000}"/>
    <cellStyle name="Normal 7 7 49" xfId="1657" xr:uid="{00000000-0005-0000-0000-000099660000}"/>
    <cellStyle name="Normal 7 7 5" xfId="25920" xr:uid="{00000000-0005-0000-0000-00009A660000}"/>
    <cellStyle name="Normal 7 7 50" xfId="1418" xr:uid="{00000000-0005-0000-0000-00009B660000}"/>
    <cellStyle name="Normal 7 7 51" xfId="1178" xr:uid="{00000000-0005-0000-0000-00009C660000}"/>
    <cellStyle name="Normal 7 7 52" xfId="938" xr:uid="{00000000-0005-0000-0000-00009D660000}"/>
    <cellStyle name="Normal 7 7 53" xfId="698" xr:uid="{00000000-0005-0000-0000-00009E660000}"/>
    <cellStyle name="Normal 7 7 54" xfId="458" xr:uid="{00000000-0005-0000-0000-00009F660000}"/>
    <cellStyle name="Normal 7 7 55" xfId="219" xr:uid="{00000000-0005-0000-0000-0000A0660000}"/>
    <cellStyle name="Normal 7 7 56" xfId="28873" xr:uid="{00000000-0005-0000-0000-0000A1660000}"/>
    <cellStyle name="Normal 7 7 6" xfId="25324" xr:uid="{00000000-0005-0000-0000-0000A2660000}"/>
    <cellStyle name="Normal 7 7 7" xfId="24727" xr:uid="{00000000-0005-0000-0000-0000A3660000}"/>
    <cellStyle name="Normal 7 7 8" xfId="24130" xr:uid="{00000000-0005-0000-0000-0000A4660000}"/>
    <cellStyle name="Normal 7 7 9" xfId="23533" xr:uid="{00000000-0005-0000-0000-0000A5660000}"/>
    <cellStyle name="Normal 7 70" xfId="2625" xr:uid="{00000000-0005-0000-0000-0000A6660000}"/>
    <cellStyle name="Normal 7 71" xfId="2385" xr:uid="{00000000-0005-0000-0000-0000A7660000}"/>
    <cellStyle name="Normal 7 72" xfId="2145" xr:uid="{00000000-0005-0000-0000-0000A8660000}"/>
    <cellStyle name="Normal 7 73" xfId="1905" xr:uid="{00000000-0005-0000-0000-0000A9660000}"/>
    <cellStyle name="Normal 7 74" xfId="1665" xr:uid="{00000000-0005-0000-0000-0000AA660000}"/>
    <cellStyle name="Normal 7 75" xfId="1426" xr:uid="{00000000-0005-0000-0000-0000AB660000}"/>
    <cellStyle name="Normal 7 76" xfId="1186" xr:uid="{00000000-0005-0000-0000-0000AC660000}"/>
    <cellStyle name="Normal 7 77" xfId="946" xr:uid="{00000000-0005-0000-0000-0000AD660000}"/>
    <cellStyle name="Normal 7 78" xfId="706" xr:uid="{00000000-0005-0000-0000-0000AE660000}"/>
    <cellStyle name="Normal 7 79" xfId="466" xr:uid="{00000000-0005-0000-0000-0000AF660000}"/>
    <cellStyle name="Normal 7 8" xfId="28309" xr:uid="{00000000-0005-0000-0000-0000B0660000}"/>
    <cellStyle name="Normal 7 8 10" xfId="22935" xr:uid="{00000000-0005-0000-0000-0000B1660000}"/>
    <cellStyle name="Normal 7 8 11" xfId="22338" xr:uid="{00000000-0005-0000-0000-0000B2660000}"/>
    <cellStyle name="Normal 7 8 12" xfId="21742" xr:uid="{00000000-0005-0000-0000-0000B3660000}"/>
    <cellStyle name="Normal 7 8 13" xfId="21145" xr:uid="{00000000-0005-0000-0000-0000B4660000}"/>
    <cellStyle name="Normal 7 8 14" xfId="20548" xr:uid="{00000000-0005-0000-0000-0000B5660000}"/>
    <cellStyle name="Normal 7 8 15" xfId="19951" xr:uid="{00000000-0005-0000-0000-0000B6660000}"/>
    <cellStyle name="Normal 7 8 16" xfId="19355" xr:uid="{00000000-0005-0000-0000-0000B7660000}"/>
    <cellStyle name="Normal 7 8 17" xfId="18759" xr:uid="{00000000-0005-0000-0000-0000B8660000}"/>
    <cellStyle name="Normal 7 8 18" xfId="18167" xr:uid="{00000000-0005-0000-0000-0000B9660000}"/>
    <cellStyle name="Normal 7 8 19" xfId="17570" xr:uid="{00000000-0005-0000-0000-0000BA660000}"/>
    <cellStyle name="Normal 7 8 2" xfId="27709" xr:uid="{00000000-0005-0000-0000-0000BB660000}"/>
    <cellStyle name="Normal 7 8 20" xfId="14749" xr:uid="{00000000-0005-0000-0000-0000BC660000}"/>
    <cellStyle name="Normal 7 8 21" xfId="16898" xr:uid="{00000000-0005-0000-0000-0000BD660000}"/>
    <cellStyle name="Normal 7 8 22" xfId="13815" xr:uid="{00000000-0005-0000-0000-0000BE660000}"/>
    <cellStyle name="Normal 7 8 23" xfId="16251" xr:uid="{00000000-0005-0000-0000-0000BF660000}"/>
    <cellStyle name="Normal 7 8 24" xfId="14694" xr:uid="{00000000-0005-0000-0000-0000C0660000}"/>
    <cellStyle name="Normal 7 8 25" xfId="13230" xr:uid="{00000000-0005-0000-0000-0000C1660000}"/>
    <cellStyle name="Normal 7 8 26" xfId="12961" xr:uid="{00000000-0005-0000-0000-0000C2660000}"/>
    <cellStyle name="Normal 7 8 27" xfId="16177" xr:uid="{00000000-0005-0000-0000-0000C3660000}"/>
    <cellStyle name="Normal 7 8 28" xfId="12179" xr:uid="{00000000-0005-0000-0000-0000C4660000}"/>
    <cellStyle name="Normal 7 8 29" xfId="9210" xr:uid="{00000000-0005-0000-0000-0000C5660000}"/>
    <cellStyle name="Normal 7 8 3" xfId="27112" xr:uid="{00000000-0005-0000-0000-0000C6660000}"/>
    <cellStyle name="Normal 7 8 30" xfId="7630" xr:uid="{00000000-0005-0000-0000-0000C7660000}"/>
    <cellStyle name="Normal 7 8 31" xfId="9221" xr:uid="{00000000-0005-0000-0000-0000C8660000}"/>
    <cellStyle name="Normal 7 8 32" xfId="5783" xr:uid="{00000000-0005-0000-0000-0000C9660000}"/>
    <cellStyle name="Normal 7 8 33" xfId="8597" xr:uid="{00000000-0005-0000-0000-0000CA660000}"/>
    <cellStyle name="Normal 7 8 34" xfId="6186" xr:uid="{00000000-0005-0000-0000-0000CB660000}"/>
    <cellStyle name="Normal 7 8 35" xfId="11726" xr:uid="{00000000-0005-0000-0000-0000CC660000}"/>
    <cellStyle name="Normal 7 8 36" xfId="8014" xr:uid="{00000000-0005-0000-0000-0000CD660000}"/>
    <cellStyle name="Normal 7 8 37" xfId="5437" xr:uid="{00000000-0005-0000-0000-0000CE660000}"/>
    <cellStyle name="Normal 7 8 38" xfId="4970" xr:uid="{00000000-0005-0000-0000-0000CF660000}"/>
    <cellStyle name="Normal 7 8 39" xfId="10616" xr:uid="{00000000-0005-0000-0000-0000D0660000}"/>
    <cellStyle name="Normal 7 8 4" xfId="26515" xr:uid="{00000000-0005-0000-0000-0000D1660000}"/>
    <cellStyle name="Normal 7 8 40" xfId="4790" xr:uid="{00000000-0005-0000-0000-0000D2660000}"/>
    <cellStyle name="Normal 7 8 41" xfId="3220" xr:uid="{00000000-0005-0000-0000-0000D3660000}"/>
    <cellStyle name="Normal 7 8 42" xfId="4781" xr:uid="{00000000-0005-0000-0000-0000D4660000}"/>
    <cellStyle name="Normal 7 8 43" xfId="7251" xr:uid="{00000000-0005-0000-0000-0000D5660000}"/>
    <cellStyle name="Normal 7 8 44" xfId="2859" xr:uid="{00000000-0005-0000-0000-0000D6660000}"/>
    <cellStyle name="Normal 7 8 45" xfId="2616" xr:uid="{00000000-0005-0000-0000-0000D7660000}"/>
    <cellStyle name="Normal 7 8 46" xfId="2376" xr:uid="{00000000-0005-0000-0000-0000D8660000}"/>
    <cellStyle name="Normal 7 8 47" xfId="2136" xr:uid="{00000000-0005-0000-0000-0000D9660000}"/>
    <cellStyle name="Normal 7 8 48" xfId="1896" xr:uid="{00000000-0005-0000-0000-0000DA660000}"/>
    <cellStyle name="Normal 7 8 49" xfId="1656" xr:uid="{00000000-0005-0000-0000-0000DB660000}"/>
    <cellStyle name="Normal 7 8 5" xfId="25919" xr:uid="{00000000-0005-0000-0000-0000DC660000}"/>
    <cellStyle name="Normal 7 8 50" xfId="1417" xr:uid="{00000000-0005-0000-0000-0000DD660000}"/>
    <cellStyle name="Normal 7 8 51" xfId="1177" xr:uid="{00000000-0005-0000-0000-0000DE660000}"/>
    <cellStyle name="Normal 7 8 52" xfId="937" xr:uid="{00000000-0005-0000-0000-0000DF660000}"/>
    <cellStyle name="Normal 7 8 53" xfId="697" xr:uid="{00000000-0005-0000-0000-0000E0660000}"/>
    <cellStyle name="Normal 7 8 54" xfId="457" xr:uid="{00000000-0005-0000-0000-0000E1660000}"/>
    <cellStyle name="Normal 7 8 55" xfId="218" xr:uid="{00000000-0005-0000-0000-0000E2660000}"/>
    <cellStyle name="Normal 7 8 56" xfId="28874" xr:uid="{00000000-0005-0000-0000-0000E3660000}"/>
    <cellStyle name="Normal 7 8 6" xfId="25323" xr:uid="{00000000-0005-0000-0000-0000E4660000}"/>
    <cellStyle name="Normal 7 8 7" xfId="24726" xr:uid="{00000000-0005-0000-0000-0000E5660000}"/>
    <cellStyle name="Normal 7 8 8" xfId="24129" xr:uid="{00000000-0005-0000-0000-0000E6660000}"/>
    <cellStyle name="Normal 7 8 9" xfId="23532" xr:uid="{00000000-0005-0000-0000-0000E7660000}"/>
    <cellStyle name="Normal 7 80" xfId="227" xr:uid="{00000000-0005-0000-0000-0000E8660000}"/>
    <cellStyle name="Normal 7 81" xfId="28865" xr:uid="{00000000-0005-0000-0000-0000E9660000}"/>
    <cellStyle name="Normal 7 82" xfId="28925" xr:uid="{00000000-0005-0000-0000-0000EA660000}"/>
    <cellStyle name="Normal 7 9" xfId="28308" xr:uid="{00000000-0005-0000-0000-0000EB660000}"/>
    <cellStyle name="Normal 7 9 10" xfId="22934" xr:uid="{00000000-0005-0000-0000-0000EC660000}"/>
    <cellStyle name="Normal 7 9 11" xfId="22337" xr:uid="{00000000-0005-0000-0000-0000ED660000}"/>
    <cellStyle name="Normal 7 9 12" xfId="21741" xr:uid="{00000000-0005-0000-0000-0000EE660000}"/>
    <cellStyle name="Normal 7 9 13" xfId="21144" xr:uid="{00000000-0005-0000-0000-0000EF660000}"/>
    <cellStyle name="Normal 7 9 14" xfId="20547" xr:uid="{00000000-0005-0000-0000-0000F0660000}"/>
    <cellStyle name="Normal 7 9 15" xfId="19950" xr:uid="{00000000-0005-0000-0000-0000F1660000}"/>
    <cellStyle name="Normal 7 9 16" xfId="19354" xr:uid="{00000000-0005-0000-0000-0000F2660000}"/>
    <cellStyle name="Normal 7 9 17" xfId="18758" xr:uid="{00000000-0005-0000-0000-0000F3660000}"/>
    <cellStyle name="Normal 7 9 18" xfId="18166" xr:uid="{00000000-0005-0000-0000-0000F4660000}"/>
    <cellStyle name="Normal 7 9 19" xfId="17569" xr:uid="{00000000-0005-0000-0000-0000F5660000}"/>
    <cellStyle name="Normal 7 9 2" xfId="27708" xr:uid="{00000000-0005-0000-0000-0000F6660000}"/>
    <cellStyle name="Normal 7 9 20" xfId="14952" xr:uid="{00000000-0005-0000-0000-0000F7660000}"/>
    <cellStyle name="Normal 7 9 21" xfId="16887" xr:uid="{00000000-0005-0000-0000-0000F8660000}"/>
    <cellStyle name="Normal 7 9 22" xfId="17350" xr:uid="{00000000-0005-0000-0000-0000F9660000}"/>
    <cellStyle name="Normal 7 9 23" xfId="16510" xr:uid="{00000000-0005-0000-0000-0000FA660000}"/>
    <cellStyle name="Normal 7 9 24" xfId="15810" xr:uid="{00000000-0005-0000-0000-0000FB660000}"/>
    <cellStyle name="Normal 7 9 25" xfId="17508" xr:uid="{00000000-0005-0000-0000-0000FC660000}"/>
    <cellStyle name="Normal 7 9 26" xfId="12882" xr:uid="{00000000-0005-0000-0000-0000FD660000}"/>
    <cellStyle name="Normal 7 9 27" xfId="15967" xr:uid="{00000000-0005-0000-0000-0000FE660000}"/>
    <cellStyle name="Normal 7 9 28" xfId="12178" xr:uid="{00000000-0005-0000-0000-0000FF660000}"/>
    <cellStyle name="Normal 7 9 29" xfId="9443" xr:uid="{00000000-0005-0000-0000-000000670000}"/>
    <cellStyle name="Normal 7 9 3" xfId="27111" xr:uid="{00000000-0005-0000-0000-000001670000}"/>
    <cellStyle name="Normal 7 9 30" xfId="8557" xr:uid="{00000000-0005-0000-0000-000002670000}"/>
    <cellStyle name="Normal 7 9 31" xfId="9373" xr:uid="{00000000-0005-0000-0000-000003670000}"/>
    <cellStyle name="Normal 7 9 32" xfId="10893" xr:uid="{00000000-0005-0000-0000-000004670000}"/>
    <cellStyle name="Normal 7 9 33" xfId="8200" xr:uid="{00000000-0005-0000-0000-000005670000}"/>
    <cellStyle name="Normal 7 9 34" xfId="8136" xr:uid="{00000000-0005-0000-0000-000006670000}"/>
    <cellStyle name="Normal 7 9 35" xfId="11844" xr:uid="{00000000-0005-0000-0000-000007670000}"/>
    <cellStyle name="Normal 7 9 36" xfId="4431" xr:uid="{00000000-0005-0000-0000-000008670000}"/>
    <cellStyle name="Normal 7 9 37" xfId="8398" xr:uid="{00000000-0005-0000-0000-000009670000}"/>
    <cellStyle name="Normal 7 9 38" xfId="4164" xr:uid="{00000000-0005-0000-0000-00000A670000}"/>
    <cellStyle name="Normal 7 9 39" xfId="7379" xr:uid="{00000000-0005-0000-0000-00000B670000}"/>
    <cellStyle name="Normal 7 9 4" xfId="26514" xr:uid="{00000000-0005-0000-0000-00000C670000}"/>
    <cellStyle name="Normal 7 9 40" xfId="8883" xr:uid="{00000000-0005-0000-0000-00000D670000}"/>
    <cellStyle name="Normal 7 9 41" xfId="3250" xr:uid="{00000000-0005-0000-0000-00000E670000}"/>
    <cellStyle name="Normal 7 9 42" xfId="3694" xr:uid="{00000000-0005-0000-0000-00000F670000}"/>
    <cellStyle name="Normal 7 9 43" xfId="8429" xr:uid="{00000000-0005-0000-0000-000010670000}"/>
    <cellStyle name="Normal 7 9 44" xfId="2858" xr:uid="{00000000-0005-0000-0000-000011670000}"/>
    <cellStyle name="Normal 7 9 45" xfId="2615" xr:uid="{00000000-0005-0000-0000-000012670000}"/>
    <cellStyle name="Normal 7 9 46" xfId="2375" xr:uid="{00000000-0005-0000-0000-000013670000}"/>
    <cellStyle name="Normal 7 9 47" xfId="2135" xr:uid="{00000000-0005-0000-0000-000014670000}"/>
    <cellStyle name="Normal 7 9 48" xfId="1895" xr:uid="{00000000-0005-0000-0000-000015670000}"/>
    <cellStyle name="Normal 7 9 49" xfId="1655" xr:uid="{00000000-0005-0000-0000-000016670000}"/>
    <cellStyle name="Normal 7 9 5" xfId="25918" xr:uid="{00000000-0005-0000-0000-000017670000}"/>
    <cellStyle name="Normal 7 9 50" xfId="1416" xr:uid="{00000000-0005-0000-0000-000018670000}"/>
    <cellStyle name="Normal 7 9 51" xfId="1176" xr:uid="{00000000-0005-0000-0000-000019670000}"/>
    <cellStyle name="Normal 7 9 52" xfId="936" xr:uid="{00000000-0005-0000-0000-00001A670000}"/>
    <cellStyle name="Normal 7 9 53" xfId="696" xr:uid="{00000000-0005-0000-0000-00001B670000}"/>
    <cellStyle name="Normal 7 9 54" xfId="456" xr:uid="{00000000-0005-0000-0000-00001C670000}"/>
    <cellStyle name="Normal 7 9 55" xfId="217" xr:uid="{00000000-0005-0000-0000-00001D670000}"/>
    <cellStyle name="Normal 7 9 56" xfId="28875" xr:uid="{00000000-0005-0000-0000-00001E670000}"/>
    <cellStyle name="Normal 7 9 6" xfId="25322" xr:uid="{00000000-0005-0000-0000-00001F670000}"/>
    <cellStyle name="Normal 7 9 7" xfId="24725" xr:uid="{00000000-0005-0000-0000-000020670000}"/>
    <cellStyle name="Normal 7 9 8" xfId="24128" xr:uid="{00000000-0005-0000-0000-000021670000}"/>
    <cellStyle name="Normal 7 9 9" xfId="23531" xr:uid="{00000000-0005-0000-0000-000022670000}"/>
    <cellStyle name="Normal 70" xfId="28919" xr:uid="{00000000-0005-0000-0000-000023670000}"/>
    <cellStyle name="Normal 72" xfId="28927" xr:uid="{00000000-0005-0000-0000-000024670000}"/>
    <cellStyle name="Normal 8" xfId="28307" xr:uid="{00000000-0005-0000-0000-000025670000}"/>
    <cellStyle name="Normal 8 10" xfId="28306" xr:uid="{00000000-0005-0000-0000-000026670000}"/>
    <cellStyle name="Normal 8 10 10" xfId="22932" xr:uid="{00000000-0005-0000-0000-000027670000}"/>
    <cellStyle name="Normal 8 10 11" xfId="22335" xr:uid="{00000000-0005-0000-0000-000028670000}"/>
    <cellStyle name="Normal 8 10 12" xfId="21739" xr:uid="{00000000-0005-0000-0000-000029670000}"/>
    <cellStyle name="Normal 8 10 13" xfId="21142" xr:uid="{00000000-0005-0000-0000-00002A670000}"/>
    <cellStyle name="Normal 8 10 14" xfId="20545" xr:uid="{00000000-0005-0000-0000-00002B670000}"/>
    <cellStyle name="Normal 8 10 15" xfId="19948" xr:uid="{00000000-0005-0000-0000-00002C670000}"/>
    <cellStyle name="Normal 8 10 16" xfId="19352" xr:uid="{00000000-0005-0000-0000-00002D670000}"/>
    <cellStyle name="Normal 8 10 17" xfId="18756" xr:uid="{00000000-0005-0000-0000-00002E670000}"/>
    <cellStyle name="Normal 8 10 18" xfId="18164" xr:uid="{00000000-0005-0000-0000-00002F670000}"/>
    <cellStyle name="Normal 8 10 19" xfId="17567" xr:uid="{00000000-0005-0000-0000-000030670000}"/>
    <cellStyle name="Normal 8 10 2" xfId="27706" xr:uid="{00000000-0005-0000-0000-000031670000}"/>
    <cellStyle name="Normal 8 10 20" xfId="15354" xr:uid="{00000000-0005-0000-0000-000032670000}"/>
    <cellStyle name="Normal 8 10 21" xfId="16675" xr:uid="{00000000-0005-0000-0000-000033670000}"/>
    <cellStyle name="Normal 8 10 22" xfId="17351" xr:uid="{00000000-0005-0000-0000-000034670000}"/>
    <cellStyle name="Normal 8 10 23" xfId="16855" xr:uid="{00000000-0005-0000-0000-000035670000}"/>
    <cellStyle name="Normal 8 10 24" xfId="16805" xr:uid="{00000000-0005-0000-0000-000036670000}"/>
    <cellStyle name="Normal 8 10 25" xfId="13538" xr:uid="{00000000-0005-0000-0000-000037670000}"/>
    <cellStyle name="Normal 8 10 26" xfId="12901" xr:uid="{00000000-0005-0000-0000-000038670000}"/>
    <cellStyle name="Normal 8 10 27" xfId="17085" xr:uid="{00000000-0005-0000-0000-000039670000}"/>
    <cellStyle name="Normal 8 10 28" xfId="12176" xr:uid="{00000000-0005-0000-0000-00003A670000}"/>
    <cellStyle name="Normal 8 10 29" xfId="9894" xr:uid="{00000000-0005-0000-0000-00003B670000}"/>
    <cellStyle name="Normal 8 10 3" xfId="27109" xr:uid="{00000000-0005-0000-0000-00003C670000}"/>
    <cellStyle name="Normal 8 10 30" xfId="9007" xr:uid="{00000000-0005-0000-0000-00003D670000}"/>
    <cellStyle name="Normal 8 10 31" xfId="11851" xr:uid="{00000000-0005-0000-0000-00003E670000}"/>
    <cellStyle name="Normal 8 10 32" xfId="6060" xr:uid="{00000000-0005-0000-0000-00003F670000}"/>
    <cellStyle name="Normal 8 10 33" xfId="10888" xr:uid="{00000000-0005-0000-0000-000040670000}"/>
    <cellStyle name="Normal 8 10 34" xfId="11261" xr:uid="{00000000-0005-0000-0000-000041670000}"/>
    <cellStyle name="Normal 8 10 35" xfId="6708" xr:uid="{00000000-0005-0000-0000-000042670000}"/>
    <cellStyle name="Normal 8 10 36" xfId="8282" xr:uid="{00000000-0005-0000-0000-000043670000}"/>
    <cellStyle name="Normal 8 10 37" xfId="7365" xr:uid="{00000000-0005-0000-0000-000044670000}"/>
    <cellStyle name="Normal 8 10 38" xfId="10001" xr:uid="{00000000-0005-0000-0000-000045670000}"/>
    <cellStyle name="Normal 8 10 39" xfId="6268" xr:uid="{00000000-0005-0000-0000-000046670000}"/>
    <cellStyle name="Normal 8 10 4" xfId="26512" xr:uid="{00000000-0005-0000-0000-000047670000}"/>
    <cellStyle name="Normal 8 10 40" xfId="8747" xr:uid="{00000000-0005-0000-0000-000048670000}"/>
    <cellStyle name="Normal 8 10 41" xfId="5332" xr:uid="{00000000-0005-0000-0000-000049670000}"/>
    <cellStyle name="Normal 8 10 42" xfId="10855" xr:uid="{00000000-0005-0000-0000-00004A670000}"/>
    <cellStyle name="Normal 8 10 43" xfId="11206" xr:uid="{00000000-0005-0000-0000-00004B670000}"/>
    <cellStyle name="Normal 8 10 44" xfId="2856" xr:uid="{00000000-0005-0000-0000-00004C670000}"/>
    <cellStyle name="Normal 8 10 45" xfId="2613" xr:uid="{00000000-0005-0000-0000-00004D670000}"/>
    <cellStyle name="Normal 8 10 46" xfId="2373" xr:uid="{00000000-0005-0000-0000-00004E670000}"/>
    <cellStyle name="Normal 8 10 47" xfId="2133" xr:uid="{00000000-0005-0000-0000-00004F670000}"/>
    <cellStyle name="Normal 8 10 48" xfId="1893" xr:uid="{00000000-0005-0000-0000-000050670000}"/>
    <cellStyle name="Normal 8 10 49" xfId="1653" xr:uid="{00000000-0005-0000-0000-000051670000}"/>
    <cellStyle name="Normal 8 10 5" xfId="25916" xr:uid="{00000000-0005-0000-0000-000052670000}"/>
    <cellStyle name="Normal 8 10 50" xfId="1414" xr:uid="{00000000-0005-0000-0000-000053670000}"/>
    <cellStyle name="Normal 8 10 51" xfId="1174" xr:uid="{00000000-0005-0000-0000-000054670000}"/>
    <cellStyle name="Normal 8 10 52" xfId="934" xr:uid="{00000000-0005-0000-0000-000055670000}"/>
    <cellStyle name="Normal 8 10 53" xfId="694" xr:uid="{00000000-0005-0000-0000-000056670000}"/>
    <cellStyle name="Normal 8 10 54" xfId="454" xr:uid="{00000000-0005-0000-0000-000057670000}"/>
    <cellStyle name="Normal 8 10 55" xfId="215" xr:uid="{00000000-0005-0000-0000-000058670000}"/>
    <cellStyle name="Normal 8 10 56" xfId="28877" xr:uid="{00000000-0005-0000-0000-000059670000}"/>
    <cellStyle name="Normal 8 10 6" xfId="25320" xr:uid="{00000000-0005-0000-0000-00005A670000}"/>
    <cellStyle name="Normal 8 10 7" xfId="24723" xr:uid="{00000000-0005-0000-0000-00005B670000}"/>
    <cellStyle name="Normal 8 10 8" xfId="24126" xr:uid="{00000000-0005-0000-0000-00005C670000}"/>
    <cellStyle name="Normal 8 10 9" xfId="23529" xr:uid="{00000000-0005-0000-0000-00005D670000}"/>
    <cellStyle name="Normal 8 11" xfId="28305" xr:uid="{00000000-0005-0000-0000-00005E670000}"/>
    <cellStyle name="Normal 8 11 10" xfId="22931" xr:uid="{00000000-0005-0000-0000-00005F670000}"/>
    <cellStyle name="Normal 8 11 11" xfId="22334" xr:uid="{00000000-0005-0000-0000-000060670000}"/>
    <cellStyle name="Normal 8 11 12" xfId="21738" xr:uid="{00000000-0005-0000-0000-000061670000}"/>
    <cellStyle name="Normal 8 11 13" xfId="21141" xr:uid="{00000000-0005-0000-0000-000062670000}"/>
    <cellStyle name="Normal 8 11 14" xfId="20544" xr:uid="{00000000-0005-0000-0000-000063670000}"/>
    <cellStyle name="Normal 8 11 15" xfId="19947" xr:uid="{00000000-0005-0000-0000-000064670000}"/>
    <cellStyle name="Normal 8 11 16" xfId="19351" xr:uid="{00000000-0005-0000-0000-000065670000}"/>
    <cellStyle name="Normal 8 11 17" xfId="18755" xr:uid="{00000000-0005-0000-0000-000066670000}"/>
    <cellStyle name="Normal 8 11 18" xfId="18163" xr:uid="{00000000-0005-0000-0000-000067670000}"/>
    <cellStyle name="Normal 8 11 19" xfId="17566" xr:uid="{00000000-0005-0000-0000-000068670000}"/>
    <cellStyle name="Normal 8 11 2" xfId="27705" xr:uid="{00000000-0005-0000-0000-000069670000}"/>
    <cellStyle name="Normal 8 11 20" xfId="15561" xr:uid="{00000000-0005-0000-0000-00006A670000}"/>
    <cellStyle name="Normal 8 11 21" xfId="16269" xr:uid="{00000000-0005-0000-0000-00006B670000}"/>
    <cellStyle name="Normal 8 11 22" xfId="14582" xr:uid="{00000000-0005-0000-0000-00006C670000}"/>
    <cellStyle name="Normal 8 11 23" xfId="14444" xr:uid="{00000000-0005-0000-0000-00006D670000}"/>
    <cellStyle name="Normal 8 11 24" xfId="16439" xr:uid="{00000000-0005-0000-0000-00006E670000}"/>
    <cellStyle name="Normal 8 11 25" xfId="17031" xr:uid="{00000000-0005-0000-0000-00006F670000}"/>
    <cellStyle name="Normal 8 11 26" xfId="13021" xr:uid="{00000000-0005-0000-0000-000070670000}"/>
    <cellStyle name="Normal 8 11 27" xfId="14027" xr:uid="{00000000-0005-0000-0000-000071670000}"/>
    <cellStyle name="Normal 8 11 28" xfId="12175" xr:uid="{00000000-0005-0000-0000-000072670000}"/>
    <cellStyle name="Normal 8 11 29" xfId="10129" xr:uid="{00000000-0005-0000-0000-000073670000}"/>
    <cellStyle name="Normal 8 11 3" xfId="27108" xr:uid="{00000000-0005-0000-0000-000074670000}"/>
    <cellStyle name="Normal 8 11 30" xfId="9229" xr:uid="{00000000-0005-0000-0000-000075670000}"/>
    <cellStyle name="Normal 8 11 31" xfId="11189" xr:uid="{00000000-0005-0000-0000-000076670000}"/>
    <cellStyle name="Normal 8 11 32" xfId="5491" xr:uid="{00000000-0005-0000-0000-000077670000}"/>
    <cellStyle name="Normal 8 11 33" xfId="5010" xr:uid="{00000000-0005-0000-0000-000078670000}"/>
    <cellStyle name="Normal 8 11 34" xfId="7937" xr:uid="{00000000-0005-0000-0000-000079670000}"/>
    <cellStyle name="Normal 8 11 35" xfId="4875" xr:uid="{00000000-0005-0000-0000-00007A670000}"/>
    <cellStyle name="Normal 8 11 36" xfId="5585" xr:uid="{00000000-0005-0000-0000-00007B670000}"/>
    <cellStyle name="Normal 8 11 37" xfId="7254" xr:uid="{00000000-0005-0000-0000-00007C670000}"/>
    <cellStyle name="Normal 8 11 38" xfId="10369" xr:uid="{00000000-0005-0000-0000-00007D670000}"/>
    <cellStyle name="Normal 8 11 39" xfId="4955" xr:uid="{00000000-0005-0000-0000-00007E670000}"/>
    <cellStyle name="Normal 8 11 4" xfId="26511" xr:uid="{00000000-0005-0000-0000-00007F670000}"/>
    <cellStyle name="Normal 8 11 40" xfId="10546" xr:uid="{00000000-0005-0000-0000-000080670000}"/>
    <cellStyle name="Normal 8 11 41" xfId="6454" xr:uid="{00000000-0005-0000-0000-000081670000}"/>
    <cellStyle name="Normal 8 11 42" xfId="5280" xr:uid="{00000000-0005-0000-0000-000082670000}"/>
    <cellStyle name="Normal 8 11 43" xfId="7447" xr:uid="{00000000-0005-0000-0000-000083670000}"/>
    <cellStyle name="Normal 8 11 44" xfId="2855" xr:uid="{00000000-0005-0000-0000-000084670000}"/>
    <cellStyle name="Normal 8 11 45" xfId="2612" xr:uid="{00000000-0005-0000-0000-000085670000}"/>
    <cellStyle name="Normal 8 11 46" xfId="2372" xr:uid="{00000000-0005-0000-0000-000086670000}"/>
    <cellStyle name="Normal 8 11 47" xfId="2132" xr:uid="{00000000-0005-0000-0000-000087670000}"/>
    <cellStyle name="Normal 8 11 48" xfId="1892" xr:uid="{00000000-0005-0000-0000-000088670000}"/>
    <cellStyle name="Normal 8 11 49" xfId="1652" xr:uid="{00000000-0005-0000-0000-000089670000}"/>
    <cellStyle name="Normal 8 11 5" xfId="25915" xr:uid="{00000000-0005-0000-0000-00008A670000}"/>
    <cellStyle name="Normal 8 11 50" xfId="1413" xr:uid="{00000000-0005-0000-0000-00008B670000}"/>
    <cellStyle name="Normal 8 11 51" xfId="1173" xr:uid="{00000000-0005-0000-0000-00008C670000}"/>
    <cellStyle name="Normal 8 11 52" xfId="933" xr:uid="{00000000-0005-0000-0000-00008D670000}"/>
    <cellStyle name="Normal 8 11 53" xfId="693" xr:uid="{00000000-0005-0000-0000-00008E670000}"/>
    <cellStyle name="Normal 8 11 54" xfId="453" xr:uid="{00000000-0005-0000-0000-00008F670000}"/>
    <cellStyle name="Normal 8 11 55" xfId="214" xr:uid="{00000000-0005-0000-0000-000090670000}"/>
    <cellStyle name="Normal 8 11 56" xfId="28878" xr:uid="{00000000-0005-0000-0000-000091670000}"/>
    <cellStyle name="Normal 8 11 6" xfId="25319" xr:uid="{00000000-0005-0000-0000-000092670000}"/>
    <cellStyle name="Normal 8 11 7" xfId="24722" xr:uid="{00000000-0005-0000-0000-000093670000}"/>
    <cellStyle name="Normal 8 11 8" xfId="24125" xr:uid="{00000000-0005-0000-0000-000094670000}"/>
    <cellStyle name="Normal 8 11 9" xfId="23528" xr:uid="{00000000-0005-0000-0000-000095670000}"/>
    <cellStyle name="Normal 8 12" xfId="28304" xr:uid="{00000000-0005-0000-0000-000096670000}"/>
    <cellStyle name="Normal 8 12 10" xfId="22930" xr:uid="{00000000-0005-0000-0000-000097670000}"/>
    <cellStyle name="Normal 8 12 11" xfId="22333" xr:uid="{00000000-0005-0000-0000-000098670000}"/>
    <cellStyle name="Normal 8 12 12" xfId="21737" xr:uid="{00000000-0005-0000-0000-000099670000}"/>
    <cellStyle name="Normal 8 12 13" xfId="21140" xr:uid="{00000000-0005-0000-0000-00009A670000}"/>
    <cellStyle name="Normal 8 12 14" xfId="20543" xr:uid="{00000000-0005-0000-0000-00009B670000}"/>
    <cellStyle name="Normal 8 12 15" xfId="19946" xr:uid="{00000000-0005-0000-0000-00009C670000}"/>
    <cellStyle name="Normal 8 12 16" xfId="19350" xr:uid="{00000000-0005-0000-0000-00009D670000}"/>
    <cellStyle name="Normal 8 12 17" xfId="18754" xr:uid="{00000000-0005-0000-0000-00009E670000}"/>
    <cellStyle name="Normal 8 12 18" xfId="18162" xr:uid="{00000000-0005-0000-0000-00009F670000}"/>
    <cellStyle name="Normal 8 12 19" xfId="17565" xr:uid="{00000000-0005-0000-0000-0000A0670000}"/>
    <cellStyle name="Normal 8 12 2" xfId="27704" xr:uid="{00000000-0005-0000-0000-0000A1670000}"/>
    <cellStyle name="Normal 8 12 20" xfId="15751" xr:uid="{00000000-0005-0000-0000-0000A2670000}"/>
    <cellStyle name="Normal 8 12 21" xfId="16261" xr:uid="{00000000-0005-0000-0000-0000A3670000}"/>
    <cellStyle name="Normal 8 12 22" xfId="15189" xr:uid="{00000000-0005-0000-0000-0000A4670000}"/>
    <cellStyle name="Normal 8 12 23" xfId="15380" xr:uid="{00000000-0005-0000-0000-0000A5670000}"/>
    <cellStyle name="Normal 8 12 24" xfId="15284" xr:uid="{00000000-0005-0000-0000-0000A6670000}"/>
    <cellStyle name="Normal 8 12 25" xfId="13879" xr:uid="{00000000-0005-0000-0000-0000A7670000}"/>
    <cellStyle name="Normal 8 12 26" xfId="16770" xr:uid="{00000000-0005-0000-0000-0000A8670000}"/>
    <cellStyle name="Normal 8 12 27" xfId="13102" xr:uid="{00000000-0005-0000-0000-0000A9670000}"/>
    <cellStyle name="Normal 8 12 28" xfId="12174" xr:uid="{00000000-0005-0000-0000-0000AA670000}"/>
    <cellStyle name="Normal 8 12 29" xfId="10356" xr:uid="{00000000-0005-0000-0000-0000AB670000}"/>
    <cellStyle name="Normal 8 12 3" xfId="27107" xr:uid="{00000000-0005-0000-0000-0000AC670000}"/>
    <cellStyle name="Normal 8 12 30" xfId="5869" xr:uid="{00000000-0005-0000-0000-0000AD670000}"/>
    <cellStyle name="Normal 8 12 31" xfId="9034" xr:uid="{00000000-0005-0000-0000-0000AE670000}"/>
    <cellStyle name="Normal 8 12 32" xfId="8699" xr:uid="{00000000-0005-0000-0000-0000AF670000}"/>
    <cellStyle name="Normal 8 12 33" xfId="4798" xr:uid="{00000000-0005-0000-0000-0000B0670000}"/>
    <cellStyle name="Normal 8 12 34" xfId="11399" xr:uid="{00000000-0005-0000-0000-0000B1670000}"/>
    <cellStyle name="Normal 8 12 35" xfId="6634" xr:uid="{00000000-0005-0000-0000-0000B2670000}"/>
    <cellStyle name="Normal 8 12 36" xfId="4554" xr:uid="{00000000-0005-0000-0000-0000B3670000}"/>
    <cellStyle name="Normal 8 12 37" xfId="6645" xr:uid="{00000000-0005-0000-0000-0000B4670000}"/>
    <cellStyle name="Normal 8 12 38" xfId="9032" xr:uid="{00000000-0005-0000-0000-0000B5670000}"/>
    <cellStyle name="Normal 8 12 39" xfId="3750" xr:uid="{00000000-0005-0000-0000-0000B6670000}"/>
    <cellStyle name="Normal 8 12 4" xfId="26510" xr:uid="{00000000-0005-0000-0000-0000B7670000}"/>
    <cellStyle name="Normal 8 12 40" xfId="10957" xr:uid="{00000000-0005-0000-0000-0000B8670000}"/>
    <cellStyle name="Normal 8 12 41" xfId="7399" xr:uid="{00000000-0005-0000-0000-0000B9670000}"/>
    <cellStyle name="Normal 8 12 42" xfId="9178" xr:uid="{00000000-0005-0000-0000-0000BA670000}"/>
    <cellStyle name="Normal 8 12 43" xfId="10256" xr:uid="{00000000-0005-0000-0000-0000BB670000}"/>
    <cellStyle name="Normal 8 12 5" xfId="25914" xr:uid="{00000000-0005-0000-0000-0000BC670000}"/>
    <cellStyle name="Normal 8 12 6" xfId="25318" xr:uid="{00000000-0005-0000-0000-0000BD670000}"/>
    <cellStyle name="Normal 8 12 7" xfId="24721" xr:uid="{00000000-0005-0000-0000-0000BE670000}"/>
    <cellStyle name="Normal 8 12 8" xfId="24124" xr:uid="{00000000-0005-0000-0000-0000BF670000}"/>
    <cellStyle name="Normal 8 12 9" xfId="23527" xr:uid="{00000000-0005-0000-0000-0000C0670000}"/>
    <cellStyle name="Normal 8 13" xfId="28303" xr:uid="{00000000-0005-0000-0000-0000C1670000}"/>
    <cellStyle name="Normal 8 13 10" xfId="22929" xr:uid="{00000000-0005-0000-0000-0000C2670000}"/>
    <cellStyle name="Normal 8 13 11" xfId="22332" xr:uid="{00000000-0005-0000-0000-0000C3670000}"/>
    <cellStyle name="Normal 8 13 12" xfId="21736" xr:uid="{00000000-0005-0000-0000-0000C4670000}"/>
    <cellStyle name="Normal 8 13 13" xfId="21139" xr:uid="{00000000-0005-0000-0000-0000C5670000}"/>
    <cellStyle name="Normal 8 13 14" xfId="20542" xr:uid="{00000000-0005-0000-0000-0000C6670000}"/>
    <cellStyle name="Normal 8 13 15" xfId="19945" xr:uid="{00000000-0005-0000-0000-0000C7670000}"/>
    <cellStyle name="Normal 8 13 16" xfId="19349" xr:uid="{00000000-0005-0000-0000-0000C8670000}"/>
    <cellStyle name="Normal 8 13 17" xfId="18753" xr:uid="{00000000-0005-0000-0000-0000C9670000}"/>
    <cellStyle name="Normal 8 13 18" xfId="18161" xr:uid="{00000000-0005-0000-0000-0000CA670000}"/>
    <cellStyle name="Normal 8 13 19" xfId="17564" xr:uid="{00000000-0005-0000-0000-0000CB670000}"/>
    <cellStyle name="Normal 8 13 2" xfId="27703" xr:uid="{00000000-0005-0000-0000-0000CC670000}"/>
    <cellStyle name="Normal 8 13 20" xfId="14959" xr:uid="{00000000-0005-0000-0000-0000CD670000}"/>
    <cellStyle name="Normal 8 13 21" xfId="15840" xr:uid="{00000000-0005-0000-0000-0000CE670000}"/>
    <cellStyle name="Normal 8 13 22" xfId="14602" xr:uid="{00000000-0005-0000-0000-0000CF670000}"/>
    <cellStyle name="Normal 8 13 23" xfId="16763" xr:uid="{00000000-0005-0000-0000-0000D0670000}"/>
    <cellStyle name="Normal 8 13 24" xfId="14979" xr:uid="{00000000-0005-0000-0000-0000D1670000}"/>
    <cellStyle name="Normal 8 13 25" xfId="13568" xr:uid="{00000000-0005-0000-0000-0000D2670000}"/>
    <cellStyle name="Normal 8 13 26" xfId="17502" xr:uid="{00000000-0005-0000-0000-0000D3670000}"/>
    <cellStyle name="Normal 8 13 27" xfId="16499" xr:uid="{00000000-0005-0000-0000-0000D4670000}"/>
    <cellStyle name="Normal 8 13 28" xfId="12173" xr:uid="{00000000-0005-0000-0000-0000D5670000}"/>
    <cellStyle name="Normal 8 13 29" xfId="10585" xr:uid="{00000000-0005-0000-0000-0000D6670000}"/>
    <cellStyle name="Normal 8 13 3" xfId="27106" xr:uid="{00000000-0005-0000-0000-0000D7670000}"/>
    <cellStyle name="Normal 8 13 30" xfId="6159" xr:uid="{00000000-0005-0000-0000-0000D8670000}"/>
    <cellStyle name="Normal 8 13 31" xfId="8451" xr:uid="{00000000-0005-0000-0000-0000D9670000}"/>
    <cellStyle name="Normal 8 13 32" xfId="10547" xr:uid="{00000000-0005-0000-0000-0000DA670000}"/>
    <cellStyle name="Normal 8 13 33" xfId="8787" xr:uid="{00000000-0005-0000-0000-0000DB670000}"/>
    <cellStyle name="Normal 8 13 34" xfId="6453" xr:uid="{00000000-0005-0000-0000-0000DC670000}"/>
    <cellStyle name="Normal 8 13 35" xfId="5547" xr:uid="{00000000-0005-0000-0000-0000DD670000}"/>
    <cellStyle name="Normal 8 13 36" xfId="10943" xr:uid="{00000000-0005-0000-0000-0000DE670000}"/>
    <cellStyle name="Normal 8 13 37" xfId="4146" xr:uid="{00000000-0005-0000-0000-0000DF670000}"/>
    <cellStyle name="Normal 8 13 38" xfId="8544" xr:uid="{00000000-0005-0000-0000-0000E0670000}"/>
    <cellStyle name="Normal 8 13 39" xfId="5700" xr:uid="{00000000-0005-0000-0000-0000E1670000}"/>
    <cellStyle name="Normal 8 13 4" xfId="26509" xr:uid="{00000000-0005-0000-0000-0000E2670000}"/>
    <cellStyle name="Normal 8 13 40" xfId="6293" xr:uid="{00000000-0005-0000-0000-0000E3670000}"/>
    <cellStyle name="Normal 8 13 41" xfId="3415" xr:uid="{00000000-0005-0000-0000-0000E4670000}"/>
    <cellStyle name="Normal 8 13 42" xfId="6835" xr:uid="{00000000-0005-0000-0000-0000E5670000}"/>
    <cellStyle name="Normal 8 13 43" xfId="8048" xr:uid="{00000000-0005-0000-0000-0000E6670000}"/>
    <cellStyle name="Normal 8 13 5" xfId="25913" xr:uid="{00000000-0005-0000-0000-0000E7670000}"/>
    <cellStyle name="Normal 8 13 6" xfId="25317" xr:uid="{00000000-0005-0000-0000-0000E8670000}"/>
    <cellStyle name="Normal 8 13 7" xfId="24720" xr:uid="{00000000-0005-0000-0000-0000E9670000}"/>
    <cellStyle name="Normal 8 13 8" xfId="24123" xr:uid="{00000000-0005-0000-0000-0000EA670000}"/>
    <cellStyle name="Normal 8 13 9" xfId="23526" xr:uid="{00000000-0005-0000-0000-0000EB670000}"/>
    <cellStyle name="Normal 8 14" xfId="28302" xr:uid="{00000000-0005-0000-0000-0000EC670000}"/>
    <cellStyle name="Normal 8 14 10" xfId="22928" xr:uid="{00000000-0005-0000-0000-0000ED670000}"/>
    <cellStyle name="Normal 8 14 11" xfId="22331" xr:uid="{00000000-0005-0000-0000-0000EE670000}"/>
    <cellStyle name="Normal 8 14 12" xfId="21735" xr:uid="{00000000-0005-0000-0000-0000EF670000}"/>
    <cellStyle name="Normal 8 14 13" xfId="21138" xr:uid="{00000000-0005-0000-0000-0000F0670000}"/>
    <cellStyle name="Normal 8 14 14" xfId="20541" xr:uid="{00000000-0005-0000-0000-0000F1670000}"/>
    <cellStyle name="Normal 8 14 15" xfId="19944" xr:uid="{00000000-0005-0000-0000-0000F2670000}"/>
    <cellStyle name="Normal 8 14 16" xfId="19348" xr:uid="{00000000-0005-0000-0000-0000F3670000}"/>
    <cellStyle name="Normal 8 14 17" xfId="18752" xr:uid="{00000000-0005-0000-0000-0000F4670000}"/>
    <cellStyle name="Normal 8 14 18" xfId="18160" xr:uid="{00000000-0005-0000-0000-0000F5670000}"/>
    <cellStyle name="Normal 8 14 19" xfId="17563" xr:uid="{00000000-0005-0000-0000-0000F6670000}"/>
    <cellStyle name="Normal 8 14 2" xfId="27702" xr:uid="{00000000-0005-0000-0000-0000F7670000}"/>
    <cellStyle name="Normal 8 14 20" xfId="15166" xr:uid="{00000000-0005-0000-0000-0000F8670000}"/>
    <cellStyle name="Normal 8 14 21" xfId="16092" xr:uid="{00000000-0005-0000-0000-0000F9670000}"/>
    <cellStyle name="Normal 8 14 22" xfId="16414" xr:uid="{00000000-0005-0000-0000-0000FA670000}"/>
    <cellStyle name="Normal 8 14 23" xfId="14241" xr:uid="{00000000-0005-0000-0000-0000FB670000}"/>
    <cellStyle name="Normal 8 14 24" xfId="13427" xr:uid="{00000000-0005-0000-0000-0000FC670000}"/>
    <cellStyle name="Normal 8 14 25" xfId="14122" xr:uid="{00000000-0005-0000-0000-0000FD670000}"/>
    <cellStyle name="Normal 8 14 26" xfId="13284" xr:uid="{00000000-0005-0000-0000-0000FE670000}"/>
    <cellStyle name="Normal 8 14 27" xfId="13106" xr:uid="{00000000-0005-0000-0000-0000FF670000}"/>
    <cellStyle name="Normal 8 14 28" xfId="12172" xr:uid="{00000000-0005-0000-0000-000000680000}"/>
    <cellStyle name="Normal 8 14 29" xfId="10800" xr:uid="{00000000-0005-0000-0000-000001680000}"/>
    <cellStyle name="Normal 8 14 3" xfId="27105" xr:uid="{00000000-0005-0000-0000-000002680000}"/>
    <cellStyle name="Normal 8 14 30" xfId="6108" xr:uid="{00000000-0005-0000-0000-000003680000}"/>
    <cellStyle name="Normal 8 14 31" xfId="9682" xr:uid="{00000000-0005-0000-0000-000004680000}"/>
    <cellStyle name="Normal 8 14 32" xfId="7122" xr:uid="{00000000-0005-0000-0000-000005680000}"/>
    <cellStyle name="Normal 8 14 33" xfId="9532" xr:uid="{00000000-0005-0000-0000-000006680000}"/>
    <cellStyle name="Normal 8 14 34" xfId="8562" xr:uid="{00000000-0005-0000-0000-000007680000}"/>
    <cellStyle name="Normal 8 14 35" xfId="8246" xr:uid="{00000000-0005-0000-0000-000008680000}"/>
    <cellStyle name="Normal 8 14 36" xfId="9190" xr:uid="{00000000-0005-0000-0000-000009680000}"/>
    <cellStyle name="Normal 8 14 37" xfId="6330" xr:uid="{00000000-0005-0000-0000-00000A680000}"/>
    <cellStyle name="Normal 8 14 38" xfId="10446" xr:uid="{00000000-0005-0000-0000-00000B680000}"/>
    <cellStyle name="Normal 8 14 39" xfId="8740" xr:uid="{00000000-0005-0000-0000-00000C680000}"/>
    <cellStyle name="Normal 8 14 4" xfId="26508" xr:uid="{00000000-0005-0000-0000-00000D680000}"/>
    <cellStyle name="Normal 8 14 40" xfId="6579" xr:uid="{00000000-0005-0000-0000-00000E680000}"/>
    <cellStyle name="Normal 8 14 41" xfId="3312" xr:uid="{00000000-0005-0000-0000-00000F680000}"/>
    <cellStyle name="Normal 8 14 42" xfId="4142" xr:uid="{00000000-0005-0000-0000-000010680000}"/>
    <cellStyle name="Normal 8 14 43" xfId="3283" xr:uid="{00000000-0005-0000-0000-000011680000}"/>
    <cellStyle name="Normal 8 14 5" xfId="25912" xr:uid="{00000000-0005-0000-0000-000012680000}"/>
    <cellStyle name="Normal 8 14 6" xfId="25316" xr:uid="{00000000-0005-0000-0000-000013680000}"/>
    <cellStyle name="Normal 8 14 7" xfId="24719" xr:uid="{00000000-0005-0000-0000-000014680000}"/>
    <cellStyle name="Normal 8 14 8" xfId="24122" xr:uid="{00000000-0005-0000-0000-000015680000}"/>
    <cellStyle name="Normal 8 14 9" xfId="23525" xr:uid="{00000000-0005-0000-0000-000016680000}"/>
    <cellStyle name="Normal 8 15" xfId="28301" xr:uid="{00000000-0005-0000-0000-000017680000}"/>
    <cellStyle name="Normal 8 15 10" xfId="22927" xr:uid="{00000000-0005-0000-0000-000018680000}"/>
    <cellStyle name="Normal 8 15 11" xfId="22330" xr:uid="{00000000-0005-0000-0000-000019680000}"/>
    <cellStyle name="Normal 8 15 12" xfId="21734" xr:uid="{00000000-0005-0000-0000-00001A680000}"/>
    <cellStyle name="Normal 8 15 13" xfId="21137" xr:uid="{00000000-0005-0000-0000-00001B680000}"/>
    <cellStyle name="Normal 8 15 14" xfId="20540" xr:uid="{00000000-0005-0000-0000-00001C680000}"/>
    <cellStyle name="Normal 8 15 15" xfId="19943" xr:uid="{00000000-0005-0000-0000-00001D680000}"/>
    <cellStyle name="Normal 8 15 16" xfId="19347" xr:uid="{00000000-0005-0000-0000-00001E680000}"/>
    <cellStyle name="Normal 8 15 17" xfId="18751" xr:uid="{00000000-0005-0000-0000-00001F680000}"/>
    <cellStyle name="Normal 8 15 18" xfId="18159" xr:uid="{00000000-0005-0000-0000-000020680000}"/>
    <cellStyle name="Normal 8 15 19" xfId="17562" xr:uid="{00000000-0005-0000-0000-000021680000}"/>
    <cellStyle name="Normal 8 15 2" xfId="27701" xr:uid="{00000000-0005-0000-0000-000022680000}"/>
    <cellStyle name="Normal 8 15 20" xfId="15362" xr:uid="{00000000-0005-0000-0000-000023680000}"/>
    <cellStyle name="Normal 8 15 21" xfId="16078" xr:uid="{00000000-0005-0000-0000-000024680000}"/>
    <cellStyle name="Normal 8 15 22" xfId="16016" xr:uid="{00000000-0005-0000-0000-000025680000}"/>
    <cellStyle name="Normal 8 15 23" xfId="17222" xr:uid="{00000000-0005-0000-0000-000026680000}"/>
    <cellStyle name="Normal 8 15 24" xfId="16562" xr:uid="{00000000-0005-0000-0000-000027680000}"/>
    <cellStyle name="Normal 8 15 25" xfId="13773" xr:uid="{00000000-0005-0000-0000-000028680000}"/>
    <cellStyle name="Normal 8 15 26" xfId="14912" xr:uid="{00000000-0005-0000-0000-000029680000}"/>
    <cellStyle name="Normal 8 15 27" xfId="13135" xr:uid="{00000000-0005-0000-0000-00002A680000}"/>
    <cellStyle name="Normal 8 15 28" xfId="12171" xr:uid="{00000000-0005-0000-0000-00002B680000}"/>
    <cellStyle name="Normal 8 15 29" xfId="11019" xr:uid="{00000000-0005-0000-0000-00002C680000}"/>
    <cellStyle name="Normal 8 15 3" xfId="27104" xr:uid="{00000000-0005-0000-0000-00002D680000}"/>
    <cellStyle name="Normal 8 15 30" xfId="10525" xr:uid="{00000000-0005-0000-0000-00002E680000}"/>
    <cellStyle name="Normal 8 15 31" xfId="7787" xr:uid="{00000000-0005-0000-0000-00002F680000}"/>
    <cellStyle name="Normal 8 15 32" xfId="5586" xr:uid="{00000000-0005-0000-0000-000030680000}"/>
    <cellStyle name="Normal 8 15 33" xfId="6305" xr:uid="{00000000-0005-0000-0000-000031680000}"/>
    <cellStyle name="Normal 8 15 34" xfId="10215" xr:uid="{00000000-0005-0000-0000-000032680000}"/>
    <cellStyle name="Normal 8 15 35" xfId="4307" xr:uid="{00000000-0005-0000-0000-000033680000}"/>
    <cellStyle name="Normal 8 15 36" xfId="4182" xr:uid="{00000000-0005-0000-0000-000034680000}"/>
    <cellStyle name="Normal 8 15 37" xfId="3792" xr:uid="{00000000-0005-0000-0000-000035680000}"/>
    <cellStyle name="Normal 8 15 38" xfId="9986" xr:uid="{00000000-0005-0000-0000-000036680000}"/>
    <cellStyle name="Normal 8 15 39" xfId="3505" xr:uid="{00000000-0005-0000-0000-000037680000}"/>
    <cellStyle name="Normal 8 15 4" xfId="26507" xr:uid="{00000000-0005-0000-0000-000038680000}"/>
    <cellStyle name="Normal 8 15 40" xfId="4110" xr:uid="{00000000-0005-0000-0000-000039680000}"/>
    <cellStyle name="Normal 8 15 41" xfId="4006" xr:uid="{00000000-0005-0000-0000-00003A680000}"/>
    <cellStyle name="Normal 8 15 42" xfId="4160" xr:uid="{00000000-0005-0000-0000-00003B680000}"/>
    <cellStyle name="Normal 8 15 43" xfId="3887" xr:uid="{00000000-0005-0000-0000-00003C680000}"/>
    <cellStyle name="Normal 8 15 5" xfId="25911" xr:uid="{00000000-0005-0000-0000-00003D680000}"/>
    <cellStyle name="Normal 8 15 6" xfId="25315" xr:uid="{00000000-0005-0000-0000-00003E680000}"/>
    <cellStyle name="Normal 8 15 7" xfId="24718" xr:uid="{00000000-0005-0000-0000-00003F680000}"/>
    <cellStyle name="Normal 8 15 8" xfId="24121" xr:uid="{00000000-0005-0000-0000-000040680000}"/>
    <cellStyle name="Normal 8 15 9" xfId="23524" xr:uid="{00000000-0005-0000-0000-000041680000}"/>
    <cellStyle name="Normal 8 16" xfId="28300" xr:uid="{00000000-0005-0000-0000-000042680000}"/>
    <cellStyle name="Normal 8 16 10" xfId="22926" xr:uid="{00000000-0005-0000-0000-000043680000}"/>
    <cellStyle name="Normal 8 16 11" xfId="22329" xr:uid="{00000000-0005-0000-0000-000044680000}"/>
    <cellStyle name="Normal 8 16 12" xfId="21733" xr:uid="{00000000-0005-0000-0000-000045680000}"/>
    <cellStyle name="Normal 8 16 13" xfId="21136" xr:uid="{00000000-0005-0000-0000-000046680000}"/>
    <cellStyle name="Normal 8 16 14" xfId="20539" xr:uid="{00000000-0005-0000-0000-000047680000}"/>
    <cellStyle name="Normal 8 16 15" xfId="19942" xr:uid="{00000000-0005-0000-0000-000048680000}"/>
    <cellStyle name="Normal 8 16 16" xfId="19346" xr:uid="{00000000-0005-0000-0000-000049680000}"/>
    <cellStyle name="Normal 8 16 17" xfId="18750" xr:uid="{00000000-0005-0000-0000-00004A680000}"/>
    <cellStyle name="Normal 8 16 18" xfId="18158" xr:uid="{00000000-0005-0000-0000-00004B680000}"/>
    <cellStyle name="Normal 8 16 19" xfId="17561" xr:uid="{00000000-0005-0000-0000-00004C680000}"/>
    <cellStyle name="Normal 8 16 2" xfId="27700" xr:uid="{00000000-0005-0000-0000-00004D680000}"/>
    <cellStyle name="Normal 8 16 20" xfId="15569" xr:uid="{00000000-0005-0000-0000-00004E680000}"/>
    <cellStyle name="Normal 8 16 21" xfId="15665" xr:uid="{00000000-0005-0000-0000-00004F680000}"/>
    <cellStyle name="Normal 8 16 22" xfId="17446" xr:uid="{00000000-0005-0000-0000-000050680000}"/>
    <cellStyle name="Normal 8 16 23" xfId="14785" xr:uid="{00000000-0005-0000-0000-000051680000}"/>
    <cellStyle name="Normal 8 16 24" xfId="17212" xr:uid="{00000000-0005-0000-0000-000052680000}"/>
    <cellStyle name="Normal 8 16 25" xfId="13993" xr:uid="{00000000-0005-0000-0000-000053680000}"/>
    <cellStyle name="Normal 8 16 26" xfId="13168" xr:uid="{00000000-0005-0000-0000-000054680000}"/>
    <cellStyle name="Normal 8 16 27" xfId="16794" xr:uid="{00000000-0005-0000-0000-000055680000}"/>
    <cellStyle name="Normal 8 16 28" xfId="12170" xr:uid="{00000000-0005-0000-0000-000056680000}"/>
    <cellStyle name="Normal 8 16 29" xfId="11247" xr:uid="{00000000-0005-0000-0000-000057680000}"/>
    <cellStyle name="Normal 8 16 3" xfId="27103" xr:uid="{00000000-0005-0000-0000-000058680000}"/>
    <cellStyle name="Normal 8 16 30" xfId="6176" xr:uid="{00000000-0005-0000-0000-000059680000}"/>
    <cellStyle name="Normal 8 16 31" xfId="11205" xr:uid="{00000000-0005-0000-0000-00005A680000}"/>
    <cellStyle name="Normal 8 16 32" xfId="8120" xr:uid="{00000000-0005-0000-0000-00005B680000}"/>
    <cellStyle name="Normal 8 16 33" xfId="10840" xr:uid="{00000000-0005-0000-0000-00005C680000}"/>
    <cellStyle name="Normal 8 16 34" xfId="7813" xr:uid="{00000000-0005-0000-0000-00005D680000}"/>
    <cellStyle name="Normal 8 16 35" xfId="6303" xr:uid="{00000000-0005-0000-0000-00005E680000}"/>
    <cellStyle name="Normal 8 16 36" xfId="5233" xr:uid="{00000000-0005-0000-0000-00005F680000}"/>
    <cellStyle name="Normal 8 16 37" xfId="4074" xr:uid="{00000000-0005-0000-0000-000060680000}"/>
    <cellStyle name="Normal 8 16 38" xfId="5436" xr:uid="{00000000-0005-0000-0000-000061680000}"/>
    <cellStyle name="Normal 8 16 39" xfId="6869" xr:uid="{00000000-0005-0000-0000-000062680000}"/>
    <cellStyle name="Normal 8 16 4" xfId="26506" xr:uid="{00000000-0005-0000-0000-000063680000}"/>
    <cellStyle name="Normal 8 16 40" xfId="3400" xr:uid="{00000000-0005-0000-0000-000064680000}"/>
    <cellStyle name="Normal 8 16 41" xfId="11295" xr:uid="{00000000-0005-0000-0000-000065680000}"/>
    <cellStyle name="Normal 8 16 42" xfId="10368" xr:uid="{00000000-0005-0000-0000-000066680000}"/>
    <cellStyle name="Normal 8 16 43" xfId="5691" xr:uid="{00000000-0005-0000-0000-000067680000}"/>
    <cellStyle name="Normal 8 16 5" xfId="25910" xr:uid="{00000000-0005-0000-0000-000068680000}"/>
    <cellStyle name="Normal 8 16 6" xfId="25314" xr:uid="{00000000-0005-0000-0000-000069680000}"/>
    <cellStyle name="Normal 8 16 7" xfId="24717" xr:uid="{00000000-0005-0000-0000-00006A680000}"/>
    <cellStyle name="Normal 8 16 8" xfId="24120" xr:uid="{00000000-0005-0000-0000-00006B680000}"/>
    <cellStyle name="Normal 8 16 9" xfId="23523" xr:uid="{00000000-0005-0000-0000-00006C680000}"/>
    <cellStyle name="Normal 8 17" xfId="28299" xr:uid="{00000000-0005-0000-0000-00006D680000}"/>
    <cellStyle name="Normal 8 17 10" xfId="22925" xr:uid="{00000000-0005-0000-0000-00006E680000}"/>
    <cellStyle name="Normal 8 17 11" xfId="22328" xr:uid="{00000000-0005-0000-0000-00006F680000}"/>
    <cellStyle name="Normal 8 17 12" xfId="21732" xr:uid="{00000000-0005-0000-0000-000070680000}"/>
    <cellStyle name="Normal 8 17 13" xfId="21135" xr:uid="{00000000-0005-0000-0000-000071680000}"/>
    <cellStyle name="Normal 8 17 14" xfId="20538" xr:uid="{00000000-0005-0000-0000-000072680000}"/>
    <cellStyle name="Normal 8 17 15" xfId="19941" xr:uid="{00000000-0005-0000-0000-000073680000}"/>
    <cellStyle name="Normal 8 17 16" xfId="19345" xr:uid="{00000000-0005-0000-0000-000074680000}"/>
    <cellStyle name="Normal 8 17 17" xfId="18749" xr:uid="{00000000-0005-0000-0000-000075680000}"/>
    <cellStyle name="Normal 8 17 18" xfId="18157" xr:uid="{00000000-0005-0000-0000-000076680000}"/>
    <cellStyle name="Normal 8 17 19" xfId="17560" xr:uid="{00000000-0005-0000-0000-000077680000}"/>
    <cellStyle name="Normal 8 17 2" xfId="27699" xr:uid="{00000000-0005-0000-0000-000078680000}"/>
    <cellStyle name="Normal 8 17 20" xfId="15759" xr:uid="{00000000-0005-0000-0000-000079680000}"/>
    <cellStyle name="Normal 8 17 21" xfId="15655" xr:uid="{00000000-0005-0000-0000-00007A680000}"/>
    <cellStyle name="Normal 8 17 22" xfId="17466" xr:uid="{00000000-0005-0000-0000-00007B680000}"/>
    <cellStyle name="Normal 8 17 23" xfId="13631" xr:uid="{00000000-0005-0000-0000-00007C680000}"/>
    <cellStyle name="Normal 8 17 24" xfId="14418" xr:uid="{00000000-0005-0000-0000-00007D680000}"/>
    <cellStyle name="Normal 8 17 25" xfId="13100" xr:uid="{00000000-0005-0000-0000-00007E680000}"/>
    <cellStyle name="Normal 8 17 26" xfId="15980" xr:uid="{00000000-0005-0000-0000-00007F680000}"/>
    <cellStyle name="Normal 8 17 27" xfId="12910" xr:uid="{00000000-0005-0000-0000-000080680000}"/>
    <cellStyle name="Normal 8 17 28" xfId="12169" xr:uid="{00000000-0005-0000-0000-000081680000}"/>
    <cellStyle name="Normal 8 17 29" xfId="11480" xr:uid="{00000000-0005-0000-0000-000082680000}"/>
    <cellStyle name="Normal 8 17 3" xfId="27102" xr:uid="{00000000-0005-0000-0000-000083680000}"/>
    <cellStyle name="Normal 8 17 30" xfId="8450" xr:uid="{00000000-0005-0000-0000-000084680000}"/>
    <cellStyle name="Normal 8 17 31" xfId="8247" xr:uid="{00000000-0005-0000-0000-000085680000}"/>
    <cellStyle name="Normal 8 17 32" xfId="7522" xr:uid="{00000000-0005-0000-0000-000086680000}"/>
    <cellStyle name="Normal 8 17 33" xfId="6427" xr:uid="{00000000-0005-0000-0000-000087680000}"/>
    <cellStyle name="Normal 8 17 34" xfId="10229" xr:uid="{00000000-0005-0000-0000-000088680000}"/>
    <cellStyle name="Normal 8 17 35" xfId="4421" xr:uid="{00000000-0005-0000-0000-000089680000}"/>
    <cellStyle name="Normal 8 17 36" xfId="5778" xr:uid="{00000000-0005-0000-0000-00008A680000}"/>
    <cellStyle name="Normal 8 17 37" xfId="4020" xr:uid="{00000000-0005-0000-0000-00008B680000}"/>
    <cellStyle name="Normal 8 17 38" xfId="5072" xr:uid="{00000000-0005-0000-0000-00008C680000}"/>
    <cellStyle name="Normal 8 17 39" xfId="10260" xr:uid="{00000000-0005-0000-0000-00008D680000}"/>
    <cellStyle name="Normal 8 17 4" xfId="26505" xr:uid="{00000000-0005-0000-0000-00008E680000}"/>
    <cellStyle name="Normal 8 17 40" xfId="5510" xr:uid="{00000000-0005-0000-0000-00008F680000}"/>
    <cellStyle name="Normal 8 17 41" xfId="4578" xr:uid="{00000000-0005-0000-0000-000090680000}"/>
    <cellStyle name="Normal 8 17 42" xfId="5822" xr:uid="{00000000-0005-0000-0000-000091680000}"/>
    <cellStyle name="Normal 8 17 43" xfId="3467" xr:uid="{00000000-0005-0000-0000-000092680000}"/>
    <cellStyle name="Normal 8 17 5" xfId="25909" xr:uid="{00000000-0005-0000-0000-000093680000}"/>
    <cellStyle name="Normal 8 17 6" xfId="25313" xr:uid="{00000000-0005-0000-0000-000094680000}"/>
    <cellStyle name="Normal 8 17 7" xfId="24716" xr:uid="{00000000-0005-0000-0000-000095680000}"/>
    <cellStyle name="Normal 8 17 8" xfId="24119" xr:uid="{00000000-0005-0000-0000-000096680000}"/>
    <cellStyle name="Normal 8 17 9" xfId="23522" xr:uid="{00000000-0005-0000-0000-000097680000}"/>
    <cellStyle name="Normal 8 18" xfId="28298" xr:uid="{00000000-0005-0000-0000-000098680000}"/>
    <cellStyle name="Normal 8 18 10" xfId="22924" xr:uid="{00000000-0005-0000-0000-000099680000}"/>
    <cellStyle name="Normal 8 18 11" xfId="22327" xr:uid="{00000000-0005-0000-0000-00009A680000}"/>
    <cellStyle name="Normal 8 18 12" xfId="21731" xr:uid="{00000000-0005-0000-0000-00009B680000}"/>
    <cellStyle name="Normal 8 18 13" xfId="21134" xr:uid="{00000000-0005-0000-0000-00009C680000}"/>
    <cellStyle name="Normal 8 18 14" xfId="20537" xr:uid="{00000000-0005-0000-0000-00009D680000}"/>
    <cellStyle name="Normal 8 18 15" xfId="19940" xr:uid="{00000000-0005-0000-0000-00009E680000}"/>
    <cellStyle name="Normal 8 18 16" xfId="19344" xr:uid="{00000000-0005-0000-0000-00009F680000}"/>
    <cellStyle name="Normal 8 18 17" xfId="18748" xr:uid="{00000000-0005-0000-0000-0000A0680000}"/>
    <cellStyle name="Normal 8 18 18" xfId="18156" xr:uid="{00000000-0005-0000-0000-0000A1680000}"/>
    <cellStyle name="Normal 8 18 19" xfId="17559" xr:uid="{00000000-0005-0000-0000-0000A2680000}"/>
    <cellStyle name="Normal 8 18 2" xfId="27698" xr:uid="{00000000-0005-0000-0000-0000A3680000}"/>
    <cellStyle name="Normal 8 18 20" xfId="15958" xr:uid="{00000000-0005-0000-0000-0000A4680000}"/>
    <cellStyle name="Normal 8 18 21" xfId="15253" xr:uid="{00000000-0005-0000-0000-0000A5680000}"/>
    <cellStyle name="Normal 8 18 22" xfId="15896" xr:uid="{00000000-0005-0000-0000-0000A6680000}"/>
    <cellStyle name="Normal 8 18 23" xfId="15640" xr:uid="{00000000-0005-0000-0000-0000A7680000}"/>
    <cellStyle name="Normal 8 18 24" xfId="13253" xr:uid="{00000000-0005-0000-0000-0000A8680000}"/>
    <cellStyle name="Normal 8 18 25" xfId="16596" xr:uid="{00000000-0005-0000-0000-0000A9680000}"/>
    <cellStyle name="Normal 8 18 26" xfId="13530" xr:uid="{00000000-0005-0000-0000-0000AA680000}"/>
    <cellStyle name="Normal 8 18 27" xfId="13047" xr:uid="{00000000-0005-0000-0000-0000AB680000}"/>
    <cellStyle name="Normal 8 18 28" xfId="12168" xr:uid="{00000000-0005-0000-0000-0000AC680000}"/>
    <cellStyle name="Normal 8 18 29" xfId="11704" xr:uid="{00000000-0005-0000-0000-0000AD680000}"/>
    <cellStyle name="Normal 8 18 3" xfId="27101" xr:uid="{00000000-0005-0000-0000-0000AE680000}"/>
    <cellStyle name="Normal 8 18 30" xfId="10739" xr:uid="{00000000-0005-0000-0000-0000AF680000}"/>
    <cellStyle name="Normal 8 18 31" xfId="8939" xr:uid="{00000000-0005-0000-0000-0000B0680000}"/>
    <cellStyle name="Normal 8 18 32" xfId="7361" xr:uid="{00000000-0005-0000-0000-0000B1680000}"/>
    <cellStyle name="Normal 8 18 33" xfId="9587" xr:uid="{00000000-0005-0000-0000-0000B2680000}"/>
    <cellStyle name="Normal 8 18 34" xfId="6719" xr:uid="{00000000-0005-0000-0000-0000B3680000}"/>
    <cellStyle name="Normal 8 18 35" xfId="8912" xr:uid="{00000000-0005-0000-0000-0000B4680000}"/>
    <cellStyle name="Normal 8 18 36" xfId="11996" xr:uid="{00000000-0005-0000-0000-0000B5680000}"/>
    <cellStyle name="Normal 8 18 37" xfId="3912" xr:uid="{00000000-0005-0000-0000-0000B6680000}"/>
    <cellStyle name="Normal 8 18 38" xfId="9215" xr:uid="{00000000-0005-0000-0000-0000B7680000}"/>
    <cellStyle name="Normal 8 18 39" xfId="11566" xr:uid="{00000000-0005-0000-0000-0000B8680000}"/>
    <cellStyle name="Normal 8 18 4" xfId="26504" xr:uid="{00000000-0005-0000-0000-0000B9680000}"/>
    <cellStyle name="Normal 8 18 40" xfId="10095" xr:uid="{00000000-0005-0000-0000-0000BA680000}"/>
    <cellStyle name="Normal 8 18 41" xfId="5292" xr:uid="{00000000-0005-0000-0000-0000BB680000}"/>
    <cellStyle name="Normal 8 18 42" xfId="3120" xr:uid="{00000000-0005-0000-0000-0000BC680000}"/>
    <cellStyle name="Normal 8 18 43" xfId="10935" xr:uid="{00000000-0005-0000-0000-0000BD680000}"/>
    <cellStyle name="Normal 8 18 5" xfId="25908" xr:uid="{00000000-0005-0000-0000-0000BE680000}"/>
    <cellStyle name="Normal 8 18 6" xfId="25312" xr:uid="{00000000-0005-0000-0000-0000BF680000}"/>
    <cellStyle name="Normal 8 18 7" xfId="24715" xr:uid="{00000000-0005-0000-0000-0000C0680000}"/>
    <cellStyle name="Normal 8 18 8" xfId="24118" xr:uid="{00000000-0005-0000-0000-0000C1680000}"/>
    <cellStyle name="Normal 8 18 9" xfId="23521" xr:uid="{00000000-0005-0000-0000-0000C2680000}"/>
    <cellStyle name="Normal 8 19" xfId="28297" xr:uid="{00000000-0005-0000-0000-0000C3680000}"/>
    <cellStyle name="Normal 8 19 10" xfId="22923" xr:uid="{00000000-0005-0000-0000-0000C4680000}"/>
    <cellStyle name="Normal 8 19 11" xfId="22326" xr:uid="{00000000-0005-0000-0000-0000C5680000}"/>
    <cellStyle name="Normal 8 19 12" xfId="21730" xr:uid="{00000000-0005-0000-0000-0000C6680000}"/>
    <cellStyle name="Normal 8 19 13" xfId="21133" xr:uid="{00000000-0005-0000-0000-0000C7680000}"/>
    <cellStyle name="Normal 8 19 14" xfId="20536" xr:uid="{00000000-0005-0000-0000-0000C8680000}"/>
    <cellStyle name="Normal 8 19 15" xfId="19939" xr:uid="{00000000-0005-0000-0000-0000C9680000}"/>
    <cellStyle name="Normal 8 19 16" xfId="19343" xr:uid="{00000000-0005-0000-0000-0000CA680000}"/>
    <cellStyle name="Normal 8 19 17" xfId="18747" xr:uid="{00000000-0005-0000-0000-0000CB680000}"/>
    <cellStyle name="Normal 8 19 18" xfId="18155" xr:uid="{00000000-0005-0000-0000-0000CC680000}"/>
    <cellStyle name="Normal 8 19 19" xfId="17558" xr:uid="{00000000-0005-0000-0000-0000CD680000}"/>
    <cellStyle name="Normal 8 19 2" xfId="27697" xr:uid="{00000000-0005-0000-0000-0000CE680000}"/>
    <cellStyle name="Normal 8 19 20" xfId="16167" xr:uid="{00000000-0005-0000-0000-0000CF680000}"/>
    <cellStyle name="Normal 8 19 21" xfId="14835" xr:uid="{00000000-0005-0000-0000-0000D0680000}"/>
    <cellStyle name="Normal 8 19 22" xfId="15318" xr:uid="{00000000-0005-0000-0000-0000D1680000}"/>
    <cellStyle name="Normal 8 19 23" xfId="15181" xr:uid="{00000000-0005-0000-0000-0000D2680000}"/>
    <cellStyle name="Normal 8 19 24" xfId="13274" xr:uid="{00000000-0005-0000-0000-0000D3680000}"/>
    <cellStyle name="Normal 8 19 25" xfId="13565" xr:uid="{00000000-0005-0000-0000-0000D4680000}"/>
    <cellStyle name="Normal 8 19 26" xfId="12956" xr:uid="{00000000-0005-0000-0000-0000D5680000}"/>
    <cellStyle name="Normal 8 19 27" xfId="13559" xr:uid="{00000000-0005-0000-0000-0000D6680000}"/>
    <cellStyle name="Normal 8 19 28" xfId="12167" xr:uid="{00000000-0005-0000-0000-0000D7680000}"/>
    <cellStyle name="Normal 8 19 29" xfId="7331" xr:uid="{00000000-0005-0000-0000-0000D8680000}"/>
    <cellStyle name="Normal 8 19 3" xfId="27100" xr:uid="{00000000-0005-0000-0000-0000D9680000}"/>
    <cellStyle name="Normal 8 19 30" xfId="11672" xr:uid="{00000000-0005-0000-0000-0000DA680000}"/>
    <cellStyle name="Normal 8 19 31" xfId="11188" xr:uid="{00000000-0005-0000-0000-0000DB680000}"/>
    <cellStyle name="Normal 8 19 32" xfId="6951" xr:uid="{00000000-0005-0000-0000-0000DC680000}"/>
    <cellStyle name="Normal 8 19 33" xfId="5496" xr:uid="{00000000-0005-0000-0000-0000DD680000}"/>
    <cellStyle name="Normal 8 19 34" xfId="11613" xr:uid="{00000000-0005-0000-0000-0000DE680000}"/>
    <cellStyle name="Normal 8 19 35" xfId="9103" xr:uid="{00000000-0005-0000-0000-0000DF680000}"/>
    <cellStyle name="Normal 8 19 36" xfId="7097" xr:uid="{00000000-0005-0000-0000-0000E0680000}"/>
    <cellStyle name="Normal 8 19 37" xfId="4594" xr:uid="{00000000-0005-0000-0000-0000E1680000}"/>
    <cellStyle name="Normal 8 19 38" xfId="4273" xr:uid="{00000000-0005-0000-0000-0000E2680000}"/>
    <cellStyle name="Normal 8 19 39" xfId="3682" xr:uid="{00000000-0005-0000-0000-0000E3680000}"/>
    <cellStyle name="Normal 8 19 4" xfId="26503" xr:uid="{00000000-0005-0000-0000-0000E4680000}"/>
    <cellStyle name="Normal 8 19 40" xfId="3425" xr:uid="{00000000-0005-0000-0000-0000E5680000}"/>
    <cellStyle name="Normal 8 19 41" xfId="8178" xr:uid="{00000000-0005-0000-0000-0000E6680000}"/>
    <cellStyle name="Normal 8 19 42" xfId="3155" xr:uid="{00000000-0005-0000-0000-0000E7680000}"/>
    <cellStyle name="Normal 8 19 43" xfId="4052" xr:uid="{00000000-0005-0000-0000-0000E8680000}"/>
    <cellStyle name="Normal 8 19 5" xfId="25907" xr:uid="{00000000-0005-0000-0000-0000E9680000}"/>
    <cellStyle name="Normal 8 19 6" xfId="25311" xr:uid="{00000000-0005-0000-0000-0000EA680000}"/>
    <cellStyle name="Normal 8 19 7" xfId="24714" xr:uid="{00000000-0005-0000-0000-0000EB680000}"/>
    <cellStyle name="Normal 8 19 8" xfId="24117" xr:uid="{00000000-0005-0000-0000-0000EC680000}"/>
    <cellStyle name="Normal 8 19 9" xfId="23520" xr:uid="{00000000-0005-0000-0000-0000ED680000}"/>
    <cellStyle name="Normal 8 2" xfId="28296" xr:uid="{00000000-0005-0000-0000-0000EE680000}"/>
    <cellStyle name="Normal 8 2 10" xfId="22922" xr:uid="{00000000-0005-0000-0000-0000EF680000}"/>
    <cellStyle name="Normal 8 2 11" xfId="22325" xr:uid="{00000000-0005-0000-0000-0000F0680000}"/>
    <cellStyle name="Normal 8 2 12" xfId="21729" xr:uid="{00000000-0005-0000-0000-0000F1680000}"/>
    <cellStyle name="Normal 8 2 13" xfId="21132" xr:uid="{00000000-0005-0000-0000-0000F2680000}"/>
    <cellStyle name="Normal 8 2 14" xfId="20535" xr:uid="{00000000-0005-0000-0000-0000F3680000}"/>
    <cellStyle name="Normal 8 2 15" xfId="19938" xr:uid="{00000000-0005-0000-0000-0000F4680000}"/>
    <cellStyle name="Normal 8 2 16" xfId="19342" xr:uid="{00000000-0005-0000-0000-0000F5680000}"/>
    <cellStyle name="Normal 8 2 17" xfId="18746" xr:uid="{00000000-0005-0000-0000-0000F6680000}"/>
    <cellStyle name="Normal 8 2 18" xfId="18154" xr:uid="{00000000-0005-0000-0000-0000F7680000}"/>
    <cellStyle name="Normal 8 2 19" xfId="17557" xr:uid="{00000000-0005-0000-0000-0000F8680000}"/>
    <cellStyle name="Normal 8 2 2" xfId="27696" xr:uid="{00000000-0005-0000-0000-0000F9680000}"/>
    <cellStyle name="Normal 8 2 20" xfId="16367" xr:uid="{00000000-0005-0000-0000-0000FA680000}"/>
    <cellStyle name="Normal 8 2 21" xfId="14437" xr:uid="{00000000-0005-0000-0000-0000FB680000}"/>
    <cellStyle name="Normal 8 2 22" xfId="15698" xr:uid="{00000000-0005-0000-0000-0000FC680000}"/>
    <cellStyle name="Normal 8 2 23" xfId="14804" xr:uid="{00000000-0005-0000-0000-0000FD680000}"/>
    <cellStyle name="Normal 8 2 24" xfId="13117" xr:uid="{00000000-0005-0000-0000-0000FE680000}"/>
    <cellStyle name="Normal 8 2 25" xfId="13321" xr:uid="{00000000-0005-0000-0000-0000FF680000}"/>
    <cellStyle name="Normal 8 2 26" xfId="13902" xr:uid="{00000000-0005-0000-0000-000000690000}"/>
    <cellStyle name="Normal 8 2 27" xfId="14066" xr:uid="{00000000-0005-0000-0000-000001690000}"/>
    <cellStyle name="Normal 8 2 28" xfId="12166" xr:uid="{00000000-0005-0000-0000-000002690000}"/>
    <cellStyle name="Normal 8 2 29" xfId="7693" xr:uid="{00000000-0005-0000-0000-000003690000}"/>
    <cellStyle name="Normal 8 2 3" xfId="27099" xr:uid="{00000000-0005-0000-0000-000004690000}"/>
    <cellStyle name="Normal 8 2 30" xfId="11638" xr:uid="{00000000-0005-0000-0000-000005690000}"/>
    <cellStyle name="Normal 8 2 31" xfId="11721" xr:uid="{00000000-0005-0000-0000-000006690000}"/>
    <cellStyle name="Normal 8 2 32" xfId="6758" xr:uid="{00000000-0005-0000-0000-000007690000}"/>
    <cellStyle name="Normal 8 2 33" xfId="8056" xr:uid="{00000000-0005-0000-0000-000008690000}"/>
    <cellStyle name="Normal 8 2 34" xfId="5361" xr:uid="{00000000-0005-0000-0000-000009690000}"/>
    <cellStyle name="Normal 8 2 35" xfId="4934" xr:uid="{00000000-0005-0000-0000-00000A690000}"/>
    <cellStyle name="Normal 8 2 36" xfId="9355" xr:uid="{00000000-0005-0000-0000-00000B690000}"/>
    <cellStyle name="Normal 8 2 37" xfId="4039" xr:uid="{00000000-0005-0000-0000-00000C690000}"/>
    <cellStyle name="Normal 8 2 38" xfId="10630" xr:uid="{00000000-0005-0000-0000-00000D690000}"/>
    <cellStyle name="Normal 8 2 39" xfId="4927" xr:uid="{00000000-0005-0000-0000-00000E690000}"/>
    <cellStyle name="Normal 8 2 4" xfId="26502" xr:uid="{00000000-0005-0000-0000-00000F690000}"/>
    <cellStyle name="Normal 8 2 40" xfId="5591" xr:uid="{00000000-0005-0000-0000-000010690000}"/>
    <cellStyle name="Normal 8 2 41" xfId="6071" xr:uid="{00000000-0005-0000-0000-000011690000}"/>
    <cellStyle name="Normal 8 2 42" xfId="10188" xr:uid="{00000000-0005-0000-0000-000012690000}"/>
    <cellStyle name="Normal 8 2 43" xfId="3379" xr:uid="{00000000-0005-0000-0000-000013690000}"/>
    <cellStyle name="Normal 8 2 44" xfId="2854" xr:uid="{00000000-0005-0000-0000-000014690000}"/>
    <cellStyle name="Normal 8 2 45" xfId="2611" xr:uid="{00000000-0005-0000-0000-000015690000}"/>
    <cellStyle name="Normal 8 2 46" xfId="2371" xr:uid="{00000000-0005-0000-0000-000016690000}"/>
    <cellStyle name="Normal 8 2 47" xfId="2131" xr:uid="{00000000-0005-0000-0000-000017690000}"/>
    <cellStyle name="Normal 8 2 48" xfId="1891" xr:uid="{00000000-0005-0000-0000-000018690000}"/>
    <cellStyle name="Normal 8 2 49" xfId="1651" xr:uid="{00000000-0005-0000-0000-000019690000}"/>
    <cellStyle name="Normal 8 2 5" xfId="25906" xr:uid="{00000000-0005-0000-0000-00001A690000}"/>
    <cellStyle name="Normal 8 2 50" xfId="1412" xr:uid="{00000000-0005-0000-0000-00001B690000}"/>
    <cellStyle name="Normal 8 2 51" xfId="1172" xr:uid="{00000000-0005-0000-0000-00001C690000}"/>
    <cellStyle name="Normal 8 2 52" xfId="932" xr:uid="{00000000-0005-0000-0000-00001D690000}"/>
    <cellStyle name="Normal 8 2 53" xfId="692" xr:uid="{00000000-0005-0000-0000-00001E690000}"/>
    <cellStyle name="Normal 8 2 54" xfId="452" xr:uid="{00000000-0005-0000-0000-00001F690000}"/>
    <cellStyle name="Normal 8 2 55" xfId="213" xr:uid="{00000000-0005-0000-0000-000020690000}"/>
    <cellStyle name="Normal 8 2 56" xfId="28879" xr:uid="{00000000-0005-0000-0000-000021690000}"/>
    <cellStyle name="Normal 8 2 6" xfId="25310" xr:uid="{00000000-0005-0000-0000-000022690000}"/>
    <cellStyle name="Normal 8 2 7" xfId="24713" xr:uid="{00000000-0005-0000-0000-000023690000}"/>
    <cellStyle name="Normal 8 2 8" xfId="24116" xr:uid="{00000000-0005-0000-0000-000024690000}"/>
    <cellStyle name="Normal 8 2 9" xfId="23519" xr:uid="{00000000-0005-0000-0000-000025690000}"/>
    <cellStyle name="Normal 8 20" xfId="28295" xr:uid="{00000000-0005-0000-0000-000026690000}"/>
    <cellStyle name="Normal 8 20 10" xfId="22921" xr:uid="{00000000-0005-0000-0000-000027690000}"/>
    <cellStyle name="Normal 8 20 11" xfId="22324" xr:uid="{00000000-0005-0000-0000-000028690000}"/>
    <cellStyle name="Normal 8 20 12" xfId="21728" xr:uid="{00000000-0005-0000-0000-000029690000}"/>
    <cellStyle name="Normal 8 20 13" xfId="21131" xr:uid="{00000000-0005-0000-0000-00002A690000}"/>
    <cellStyle name="Normal 8 20 14" xfId="20534" xr:uid="{00000000-0005-0000-0000-00002B690000}"/>
    <cellStyle name="Normal 8 20 15" xfId="19937" xr:uid="{00000000-0005-0000-0000-00002C690000}"/>
    <cellStyle name="Normal 8 20 16" xfId="19341" xr:uid="{00000000-0005-0000-0000-00002D690000}"/>
    <cellStyle name="Normal 8 20 17" xfId="18745" xr:uid="{00000000-0005-0000-0000-00002E690000}"/>
    <cellStyle name="Normal 8 20 18" xfId="18153" xr:uid="{00000000-0005-0000-0000-00002F690000}"/>
    <cellStyle name="Normal 8 20 19" xfId="17556" xr:uid="{00000000-0005-0000-0000-000030690000}"/>
    <cellStyle name="Normal 8 20 2" xfId="27695" xr:uid="{00000000-0005-0000-0000-000031690000}"/>
    <cellStyle name="Normal 8 20 20" xfId="16555" xr:uid="{00000000-0005-0000-0000-000032690000}"/>
    <cellStyle name="Normal 8 20 21" xfId="17403" xr:uid="{00000000-0005-0000-0000-000033690000}"/>
    <cellStyle name="Normal 8 20 22" xfId="15678" xr:uid="{00000000-0005-0000-0000-000034690000}"/>
    <cellStyle name="Normal 8 20 23" xfId="15524" xr:uid="{00000000-0005-0000-0000-000035690000}"/>
    <cellStyle name="Normal 8 20 24" xfId="16506" xr:uid="{00000000-0005-0000-0000-000036690000}"/>
    <cellStyle name="Normal 8 20 25" xfId="15788" xr:uid="{00000000-0005-0000-0000-000037690000}"/>
    <cellStyle name="Normal 8 20 26" xfId="16876" xr:uid="{00000000-0005-0000-0000-000038690000}"/>
    <cellStyle name="Normal 8 20 27" xfId="13885" xr:uid="{00000000-0005-0000-0000-000039690000}"/>
    <cellStyle name="Normal 8 20 28" xfId="12165" xr:uid="{00000000-0005-0000-0000-00003A690000}"/>
    <cellStyle name="Normal 8 20 29" xfId="7151" xr:uid="{00000000-0005-0000-0000-00003B690000}"/>
    <cellStyle name="Normal 8 20 3" xfId="27098" xr:uid="{00000000-0005-0000-0000-00003C690000}"/>
    <cellStyle name="Normal 8 20 30" xfId="9455" xr:uid="{00000000-0005-0000-0000-00003D690000}"/>
    <cellStyle name="Normal 8 20 31" xfId="7520" xr:uid="{00000000-0005-0000-0000-00003E690000}"/>
    <cellStyle name="Normal 8 20 32" xfId="6065" xr:uid="{00000000-0005-0000-0000-00003F690000}"/>
    <cellStyle name="Normal 8 20 33" xfId="6355" xr:uid="{00000000-0005-0000-0000-000040690000}"/>
    <cellStyle name="Normal 8 20 34" xfId="7006" xr:uid="{00000000-0005-0000-0000-000041690000}"/>
    <cellStyle name="Normal 8 20 35" xfId="5602" xr:uid="{00000000-0005-0000-0000-000042690000}"/>
    <cellStyle name="Normal 8 20 36" xfId="11330" xr:uid="{00000000-0005-0000-0000-000043690000}"/>
    <cellStyle name="Normal 8 20 37" xfId="4312" xr:uid="{00000000-0005-0000-0000-000044690000}"/>
    <cellStyle name="Normal 8 20 38" xfId="4899" xr:uid="{00000000-0005-0000-0000-000045690000}"/>
    <cellStyle name="Normal 8 20 39" xfId="5459" xr:uid="{00000000-0005-0000-0000-000046690000}"/>
    <cellStyle name="Normal 8 20 4" xfId="26501" xr:uid="{00000000-0005-0000-0000-000047690000}"/>
    <cellStyle name="Normal 8 20 40" xfId="9484" xr:uid="{00000000-0005-0000-0000-000048690000}"/>
    <cellStyle name="Normal 8 20 41" xfId="5606" xr:uid="{00000000-0005-0000-0000-000049690000}"/>
    <cellStyle name="Normal 8 20 42" xfId="3159" xr:uid="{00000000-0005-0000-0000-00004A690000}"/>
    <cellStyle name="Normal 8 20 43" xfId="8784" xr:uid="{00000000-0005-0000-0000-00004B690000}"/>
    <cellStyle name="Normal 8 20 5" xfId="25905" xr:uid="{00000000-0005-0000-0000-00004C690000}"/>
    <cellStyle name="Normal 8 20 6" xfId="25309" xr:uid="{00000000-0005-0000-0000-00004D690000}"/>
    <cellStyle name="Normal 8 20 7" xfId="24712" xr:uid="{00000000-0005-0000-0000-00004E690000}"/>
    <cellStyle name="Normal 8 20 8" xfId="24115" xr:uid="{00000000-0005-0000-0000-00004F690000}"/>
    <cellStyle name="Normal 8 20 9" xfId="23518" xr:uid="{00000000-0005-0000-0000-000050690000}"/>
    <cellStyle name="Normal 8 21" xfId="28294" xr:uid="{00000000-0005-0000-0000-000051690000}"/>
    <cellStyle name="Normal 8 21 10" xfId="22920" xr:uid="{00000000-0005-0000-0000-000052690000}"/>
    <cellStyle name="Normal 8 21 11" xfId="22323" xr:uid="{00000000-0005-0000-0000-000053690000}"/>
    <cellStyle name="Normal 8 21 12" xfId="21727" xr:uid="{00000000-0005-0000-0000-000054690000}"/>
    <cellStyle name="Normal 8 21 13" xfId="21130" xr:uid="{00000000-0005-0000-0000-000055690000}"/>
    <cellStyle name="Normal 8 21 14" xfId="20533" xr:uid="{00000000-0005-0000-0000-000056690000}"/>
    <cellStyle name="Normal 8 21 15" xfId="19936" xr:uid="{00000000-0005-0000-0000-000057690000}"/>
    <cellStyle name="Normal 8 21 16" xfId="19340" xr:uid="{00000000-0005-0000-0000-000058690000}"/>
    <cellStyle name="Normal 8 21 17" xfId="18744" xr:uid="{00000000-0005-0000-0000-000059690000}"/>
    <cellStyle name="Normal 8 21 18" xfId="18152" xr:uid="{00000000-0005-0000-0000-00005A690000}"/>
    <cellStyle name="Normal 8 21 19" xfId="17555" xr:uid="{00000000-0005-0000-0000-00005B690000}"/>
    <cellStyle name="Normal 8 21 2" xfId="27694" xr:uid="{00000000-0005-0000-0000-00005C690000}"/>
    <cellStyle name="Normal 8 21 20" xfId="16751" xr:uid="{00000000-0005-0000-0000-00005D690000}"/>
    <cellStyle name="Normal 8 21 21" xfId="16997" xr:uid="{00000000-0005-0000-0000-00005E690000}"/>
    <cellStyle name="Normal 8 21 22" xfId="15897" xr:uid="{00000000-0005-0000-0000-00005F690000}"/>
    <cellStyle name="Normal 8 21 23" xfId="17295" xr:uid="{00000000-0005-0000-0000-000060690000}"/>
    <cellStyle name="Normal 8 21 24" xfId="13928" xr:uid="{00000000-0005-0000-0000-000061690000}"/>
    <cellStyle name="Normal 8 21 25" xfId="12994" xr:uid="{00000000-0005-0000-0000-000062690000}"/>
    <cellStyle name="Normal 8 21 26" xfId="14286" xr:uid="{00000000-0005-0000-0000-000063690000}"/>
    <cellStyle name="Normal 8 21 27" xfId="13742" xr:uid="{00000000-0005-0000-0000-000064690000}"/>
    <cellStyle name="Normal 8 21 28" xfId="12164" xr:uid="{00000000-0005-0000-0000-000065690000}"/>
    <cellStyle name="Normal 8 21 29" xfId="6476" xr:uid="{00000000-0005-0000-0000-000066690000}"/>
    <cellStyle name="Normal 8 21 3" xfId="27097" xr:uid="{00000000-0005-0000-0000-000067690000}"/>
    <cellStyle name="Normal 8 21 30" xfId="6791" xr:uid="{00000000-0005-0000-0000-000068690000}"/>
    <cellStyle name="Normal 8 21 31" xfId="5960" xr:uid="{00000000-0005-0000-0000-000069690000}"/>
    <cellStyle name="Normal 8 21 32" xfId="5320" xr:uid="{00000000-0005-0000-0000-00006A690000}"/>
    <cellStyle name="Normal 8 21 33" xfId="6767" xr:uid="{00000000-0005-0000-0000-00006B690000}"/>
    <cellStyle name="Normal 8 21 34" xfId="10218" xr:uid="{00000000-0005-0000-0000-00006C690000}"/>
    <cellStyle name="Normal 8 21 35" xfId="12079" xr:uid="{00000000-0005-0000-0000-00006D690000}"/>
    <cellStyle name="Normal 8 21 36" xfId="9451" xr:uid="{00000000-0005-0000-0000-00006E690000}"/>
    <cellStyle name="Normal 8 21 37" xfId="4046" xr:uid="{00000000-0005-0000-0000-00006F690000}"/>
    <cellStyle name="Normal 8 21 38" xfId="4872" xr:uid="{00000000-0005-0000-0000-000070690000}"/>
    <cellStyle name="Normal 8 21 39" xfId="3770" xr:uid="{00000000-0005-0000-0000-000071690000}"/>
    <cellStyle name="Normal 8 21 4" xfId="26500" xr:uid="{00000000-0005-0000-0000-000072690000}"/>
    <cellStyle name="Normal 8 21 40" xfId="9406" xr:uid="{00000000-0005-0000-0000-000073690000}"/>
    <cellStyle name="Normal 8 21 41" xfId="3315" xr:uid="{00000000-0005-0000-0000-000074690000}"/>
    <cellStyle name="Normal 8 21 42" xfId="3152" xr:uid="{00000000-0005-0000-0000-000075690000}"/>
    <cellStyle name="Normal 8 21 43" xfId="6147" xr:uid="{00000000-0005-0000-0000-000076690000}"/>
    <cellStyle name="Normal 8 21 5" xfId="25904" xr:uid="{00000000-0005-0000-0000-000077690000}"/>
    <cellStyle name="Normal 8 21 6" xfId="25308" xr:uid="{00000000-0005-0000-0000-000078690000}"/>
    <cellStyle name="Normal 8 21 7" xfId="24711" xr:uid="{00000000-0005-0000-0000-000079690000}"/>
    <cellStyle name="Normal 8 21 8" xfId="24114" xr:uid="{00000000-0005-0000-0000-00007A690000}"/>
    <cellStyle name="Normal 8 21 9" xfId="23517" xr:uid="{00000000-0005-0000-0000-00007B690000}"/>
    <cellStyle name="Normal 8 22" xfId="28293" xr:uid="{00000000-0005-0000-0000-00007C690000}"/>
    <cellStyle name="Normal 8 22 10" xfId="22919" xr:uid="{00000000-0005-0000-0000-00007D690000}"/>
    <cellStyle name="Normal 8 22 11" xfId="22322" xr:uid="{00000000-0005-0000-0000-00007E690000}"/>
    <cellStyle name="Normal 8 22 12" xfId="21726" xr:uid="{00000000-0005-0000-0000-00007F690000}"/>
    <cellStyle name="Normal 8 22 13" xfId="21129" xr:uid="{00000000-0005-0000-0000-000080690000}"/>
    <cellStyle name="Normal 8 22 14" xfId="20532" xr:uid="{00000000-0005-0000-0000-000081690000}"/>
    <cellStyle name="Normal 8 22 15" xfId="19935" xr:uid="{00000000-0005-0000-0000-000082690000}"/>
    <cellStyle name="Normal 8 22 16" xfId="19339" xr:uid="{00000000-0005-0000-0000-000083690000}"/>
    <cellStyle name="Normal 8 22 17" xfId="18743" xr:uid="{00000000-0005-0000-0000-000084690000}"/>
    <cellStyle name="Normal 8 22 18" xfId="18151" xr:uid="{00000000-0005-0000-0000-000085690000}"/>
    <cellStyle name="Normal 8 22 19" xfId="17554" xr:uid="{00000000-0005-0000-0000-000086690000}"/>
    <cellStyle name="Normal 8 22 2" xfId="27693" xr:uid="{00000000-0005-0000-0000-000087690000}"/>
    <cellStyle name="Normal 8 22 20" xfId="15951" xr:uid="{00000000-0005-0000-0000-000088690000}"/>
    <cellStyle name="Normal 8 22 21" xfId="17378" xr:uid="{00000000-0005-0000-0000-000089690000}"/>
    <cellStyle name="Normal 8 22 22" xfId="13507" xr:uid="{00000000-0005-0000-0000-00008A690000}"/>
    <cellStyle name="Normal 8 22 23" xfId="13357" xr:uid="{00000000-0005-0000-0000-00008B690000}"/>
    <cellStyle name="Normal 8 22 24" xfId="14034" xr:uid="{00000000-0005-0000-0000-00008C690000}"/>
    <cellStyle name="Normal 8 22 25" xfId="12993" xr:uid="{00000000-0005-0000-0000-00008D690000}"/>
    <cellStyle name="Normal 8 22 26" xfId="16809" xr:uid="{00000000-0005-0000-0000-00008E690000}"/>
    <cellStyle name="Normal 8 22 27" xfId="14060" xr:uid="{00000000-0005-0000-0000-00008F690000}"/>
    <cellStyle name="Normal 8 22 28" xfId="12163" xr:uid="{00000000-0005-0000-0000-000090690000}"/>
    <cellStyle name="Normal 8 22 29" xfId="7806" xr:uid="{00000000-0005-0000-0000-000091690000}"/>
    <cellStyle name="Normal 8 22 3" xfId="27096" xr:uid="{00000000-0005-0000-0000-000092690000}"/>
    <cellStyle name="Normal 8 22 30" xfId="7184" xr:uid="{00000000-0005-0000-0000-000093690000}"/>
    <cellStyle name="Normal 8 22 31" xfId="8534" xr:uid="{00000000-0005-0000-0000-000094690000}"/>
    <cellStyle name="Normal 8 22 32" xfId="8335" xr:uid="{00000000-0005-0000-0000-000095690000}"/>
    <cellStyle name="Normal 8 22 33" xfId="5349" xr:uid="{00000000-0005-0000-0000-000096690000}"/>
    <cellStyle name="Normal 8 22 34" xfId="10969" xr:uid="{00000000-0005-0000-0000-000097690000}"/>
    <cellStyle name="Normal 8 22 35" xfId="10863" xr:uid="{00000000-0005-0000-0000-000098690000}"/>
    <cellStyle name="Normal 8 22 36" xfId="11542" xr:uid="{00000000-0005-0000-0000-000099690000}"/>
    <cellStyle name="Normal 8 22 37" xfId="4245" xr:uid="{00000000-0005-0000-0000-00009A690000}"/>
    <cellStyle name="Normal 8 22 38" xfId="11082" xr:uid="{00000000-0005-0000-0000-00009B690000}"/>
    <cellStyle name="Normal 8 22 39" xfId="3834" xr:uid="{00000000-0005-0000-0000-00009C690000}"/>
    <cellStyle name="Normal 8 22 4" xfId="26499" xr:uid="{00000000-0005-0000-0000-00009D690000}"/>
    <cellStyle name="Normal 8 22 40" xfId="11503" xr:uid="{00000000-0005-0000-0000-00009E690000}"/>
    <cellStyle name="Normal 8 22 41" xfId="4065" xr:uid="{00000000-0005-0000-0000-00009F690000}"/>
    <cellStyle name="Normal 8 22 42" xfId="3174" xr:uid="{00000000-0005-0000-0000-0000A0690000}"/>
    <cellStyle name="Normal 8 22 43" xfId="4803" xr:uid="{00000000-0005-0000-0000-0000A1690000}"/>
    <cellStyle name="Normal 8 22 5" xfId="25903" xr:uid="{00000000-0005-0000-0000-0000A2690000}"/>
    <cellStyle name="Normal 8 22 6" xfId="25307" xr:uid="{00000000-0005-0000-0000-0000A3690000}"/>
    <cellStyle name="Normal 8 22 7" xfId="24710" xr:uid="{00000000-0005-0000-0000-0000A4690000}"/>
    <cellStyle name="Normal 8 22 8" xfId="24113" xr:uid="{00000000-0005-0000-0000-0000A5690000}"/>
    <cellStyle name="Normal 8 22 9" xfId="23516" xr:uid="{00000000-0005-0000-0000-0000A6690000}"/>
    <cellStyle name="Normal 8 23" xfId="28292" xr:uid="{00000000-0005-0000-0000-0000A7690000}"/>
    <cellStyle name="Normal 8 23 10" xfId="22918" xr:uid="{00000000-0005-0000-0000-0000A8690000}"/>
    <cellStyle name="Normal 8 23 11" xfId="22321" xr:uid="{00000000-0005-0000-0000-0000A9690000}"/>
    <cellStyle name="Normal 8 23 12" xfId="21725" xr:uid="{00000000-0005-0000-0000-0000AA690000}"/>
    <cellStyle name="Normal 8 23 13" xfId="21128" xr:uid="{00000000-0005-0000-0000-0000AB690000}"/>
    <cellStyle name="Normal 8 23 14" xfId="20531" xr:uid="{00000000-0005-0000-0000-0000AC690000}"/>
    <cellStyle name="Normal 8 23 15" xfId="19934" xr:uid="{00000000-0005-0000-0000-0000AD690000}"/>
    <cellStyle name="Normal 8 23 16" xfId="19338" xr:uid="{00000000-0005-0000-0000-0000AE690000}"/>
    <cellStyle name="Normal 8 23 17" xfId="18742" xr:uid="{00000000-0005-0000-0000-0000AF690000}"/>
    <cellStyle name="Normal 8 23 18" xfId="18150" xr:uid="{00000000-0005-0000-0000-0000B0690000}"/>
    <cellStyle name="Normal 8 23 19" xfId="17553" xr:uid="{00000000-0005-0000-0000-0000B1690000}"/>
    <cellStyle name="Normal 8 23 2" xfId="27692" xr:uid="{00000000-0005-0000-0000-0000B2690000}"/>
    <cellStyle name="Normal 8 23 20" xfId="16159" xr:uid="{00000000-0005-0000-0000-0000B3690000}"/>
    <cellStyle name="Normal 8 23 21" xfId="15246" xr:uid="{00000000-0005-0000-0000-0000B4690000}"/>
    <cellStyle name="Normal 8 23 22" xfId="16327" xr:uid="{00000000-0005-0000-0000-0000B5690000}"/>
    <cellStyle name="Normal 8 23 23" xfId="16966" xr:uid="{00000000-0005-0000-0000-0000B6690000}"/>
    <cellStyle name="Normal 8 23 24" xfId="16788" xr:uid="{00000000-0005-0000-0000-0000B7690000}"/>
    <cellStyle name="Normal 8 23 25" xfId="14632" xr:uid="{00000000-0005-0000-0000-0000B8690000}"/>
    <cellStyle name="Normal 8 23 26" xfId="12806" xr:uid="{00000000-0005-0000-0000-0000B9690000}"/>
    <cellStyle name="Normal 8 23 27" xfId="12764" xr:uid="{00000000-0005-0000-0000-0000BA690000}"/>
    <cellStyle name="Normal 8 23 28" xfId="12162" xr:uid="{00000000-0005-0000-0000-0000BB690000}"/>
    <cellStyle name="Normal 8 23 29" xfId="7402" xr:uid="{00000000-0005-0000-0000-0000BC690000}"/>
    <cellStyle name="Normal 8 23 3" xfId="27095" xr:uid="{00000000-0005-0000-0000-0000BD690000}"/>
    <cellStyle name="Normal 8 23 30" xfId="7032" xr:uid="{00000000-0005-0000-0000-0000BE690000}"/>
    <cellStyle name="Normal 8 23 31" xfId="6695" xr:uid="{00000000-0005-0000-0000-0000BF690000}"/>
    <cellStyle name="Normal 8 23 32" xfId="5406" xr:uid="{00000000-0005-0000-0000-0000C0690000}"/>
    <cellStyle name="Normal 8 23 33" xfId="5429" xr:uid="{00000000-0005-0000-0000-0000C1690000}"/>
    <cellStyle name="Normal 8 23 34" xfId="4792" xr:uid="{00000000-0005-0000-0000-0000C2690000}"/>
    <cellStyle name="Normal 8 23 35" xfId="6649" xr:uid="{00000000-0005-0000-0000-0000C3690000}"/>
    <cellStyle name="Normal 8 23 36" xfId="10152" xr:uid="{00000000-0005-0000-0000-0000C4690000}"/>
    <cellStyle name="Normal 8 23 37" xfId="4255" xr:uid="{00000000-0005-0000-0000-0000C5690000}"/>
    <cellStyle name="Normal 8 23 38" xfId="4952" xr:uid="{00000000-0005-0000-0000-0000C6690000}"/>
    <cellStyle name="Normal 8 23 39" xfId="4029" xr:uid="{00000000-0005-0000-0000-0000C7690000}"/>
    <cellStyle name="Normal 8 23 4" xfId="26498" xr:uid="{00000000-0005-0000-0000-0000C8690000}"/>
    <cellStyle name="Normal 8 23 40" xfId="8620" xr:uid="{00000000-0005-0000-0000-0000C9690000}"/>
    <cellStyle name="Normal 8 23 41" xfId="6707" xr:uid="{00000000-0005-0000-0000-0000CA690000}"/>
    <cellStyle name="Normal 8 23 42" xfId="6633" xr:uid="{00000000-0005-0000-0000-0000CB690000}"/>
    <cellStyle name="Normal 8 23 43" xfId="9820" xr:uid="{00000000-0005-0000-0000-0000CC690000}"/>
    <cellStyle name="Normal 8 23 5" xfId="25902" xr:uid="{00000000-0005-0000-0000-0000CD690000}"/>
    <cellStyle name="Normal 8 23 6" xfId="25306" xr:uid="{00000000-0005-0000-0000-0000CE690000}"/>
    <cellStyle name="Normal 8 23 7" xfId="24709" xr:uid="{00000000-0005-0000-0000-0000CF690000}"/>
    <cellStyle name="Normal 8 23 8" xfId="24112" xr:uid="{00000000-0005-0000-0000-0000D0690000}"/>
    <cellStyle name="Normal 8 23 9" xfId="23515" xr:uid="{00000000-0005-0000-0000-0000D1690000}"/>
    <cellStyle name="Normal 8 24" xfId="28291" xr:uid="{00000000-0005-0000-0000-0000D2690000}"/>
    <cellStyle name="Normal 8 24 10" xfId="22917" xr:uid="{00000000-0005-0000-0000-0000D3690000}"/>
    <cellStyle name="Normal 8 24 11" xfId="22320" xr:uid="{00000000-0005-0000-0000-0000D4690000}"/>
    <cellStyle name="Normal 8 24 12" xfId="21724" xr:uid="{00000000-0005-0000-0000-0000D5690000}"/>
    <cellStyle name="Normal 8 24 13" xfId="21127" xr:uid="{00000000-0005-0000-0000-0000D6690000}"/>
    <cellStyle name="Normal 8 24 14" xfId="20530" xr:uid="{00000000-0005-0000-0000-0000D7690000}"/>
    <cellStyle name="Normal 8 24 15" xfId="19933" xr:uid="{00000000-0005-0000-0000-0000D8690000}"/>
    <cellStyle name="Normal 8 24 16" xfId="19337" xr:uid="{00000000-0005-0000-0000-0000D9690000}"/>
    <cellStyle name="Normal 8 24 17" xfId="18741" xr:uid="{00000000-0005-0000-0000-0000DA690000}"/>
    <cellStyle name="Normal 8 24 18" xfId="18149" xr:uid="{00000000-0005-0000-0000-0000DB690000}"/>
    <cellStyle name="Normal 8 24 19" xfId="17552" xr:uid="{00000000-0005-0000-0000-0000DC690000}"/>
    <cellStyle name="Normal 8 24 2" xfId="27691" xr:uid="{00000000-0005-0000-0000-0000DD690000}"/>
    <cellStyle name="Normal 8 24 20" xfId="16360" xr:uid="{00000000-0005-0000-0000-0000DE690000}"/>
    <cellStyle name="Normal 8 24 21" xfId="14825" xr:uid="{00000000-0005-0000-0000-0000DF690000}"/>
    <cellStyle name="Normal 8 24 22" xfId="13677" xr:uid="{00000000-0005-0000-0000-0000E0690000}"/>
    <cellStyle name="Normal 8 24 23" xfId="15528" xr:uid="{00000000-0005-0000-0000-0000E1690000}"/>
    <cellStyle name="Normal 8 24 24" xfId="15827" xr:uid="{00000000-0005-0000-0000-0000E2690000}"/>
    <cellStyle name="Normal 8 24 25" xfId="13001" xr:uid="{00000000-0005-0000-0000-0000E3690000}"/>
    <cellStyle name="Normal 8 24 26" xfId="12841" xr:uid="{00000000-0005-0000-0000-0000E4690000}"/>
    <cellStyle name="Normal 8 24 27" xfId="13569" xr:uid="{00000000-0005-0000-0000-0000E5690000}"/>
    <cellStyle name="Normal 8 24 28" xfId="12161" xr:uid="{00000000-0005-0000-0000-0000E6690000}"/>
    <cellStyle name="Normal 8 24 29" xfId="7386" xr:uid="{00000000-0005-0000-0000-0000E7690000}"/>
    <cellStyle name="Normal 8 24 3" xfId="27094" xr:uid="{00000000-0005-0000-0000-0000E8690000}"/>
    <cellStyle name="Normal 8 24 30" xfId="9796" xr:uid="{00000000-0005-0000-0000-0000E9690000}"/>
    <cellStyle name="Normal 8 24 31" xfId="8890" xr:uid="{00000000-0005-0000-0000-0000EA690000}"/>
    <cellStyle name="Normal 8 24 32" xfId="6387" xr:uid="{00000000-0005-0000-0000-0000EB690000}"/>
    <cellStyle name="Normal 8 24 33" xfId="9977" xr:uid="{00000000-0005-0000-0000-0000EC690000}"/>
    <cellStyle name="Normal 8 24 34" xfId="10468" xr:uid="{00000000-0005-0000-0000-0000ED690000}"/>
    <cellStyle name="Normal 8 24 35" xfId="4671" xr:uid="{00000000-0005-0000-0000-0000EE690000}"/>
    <cellStyle name="Normal 8 24 36" xfId="5390" xr:uid="{00000000-0005-0000-0000-0000EF690000}"/>
    <cellStyle name="Normal 8 24 37" xfId="10978" xr:uid="{00000000-0005-0000-0000-0000F0690000}"/>
    <cellStyle name="Normal 8 24 38" xfId="11026" xr:uid="{00000000-0005-0000-0000-0000F1690000}"/>
    <cellStyle name="Normal 8 24 39" xfId="9271" xr:uid="{00000000-0005-0000-0000-0000F2690000}"/>
    <cellStyle name="Normal 8 24 4" xfId="26497" xr:uid="{00000000-0005-0000-0000-0000F3690000}"/>
    <cellStyle name="Normal 8 24 40" xfId="9869" xr:uid="{00000000-0005-0000-0000-0000F4690000}"/>
    <cellStyle name="Normal 8 24 41" xfId="9219" xr:uid="{00000000-0005-0000-0000-0000F5690000}"/>
    <cellStyle name="Normal 8 24 42" xfId="4288" xr:uid="{00000000-0005-0000-0000-0000F6690000}"/>
    <cellStyle name="Normal 8 24 43" xfId="10911" xr:uid="{00000000-0005-0000-0000-0000F7690000}"/>
    <cellStyle name="Normal 8 24 5" xfId="25901" xr:uid="{00000000-0005-0000-0000-0000F8690000}"/>
    <cellStyle name="Normal 8 24 6" xfId="25305" xr:uid="{00000000-0005-0000-0000-0000F9690000}"/>
    <cellStyle name="Normal 8 24 7" xfId="24708" xr:uid="{00000000-0005-0000-0000-0000FA690000}"/>
    <cellStyle name="Normal 8 24 8" xfId="24111" xr:uid="{00000000-0005-0000-0000-0000FB690000}"/>
    <cellStyle name="Normal 8 24 9" xfId="23514" xr:uid="{00000000-0005-0000-0000-0000FC690000}"/>
    <cellStyle name="Normal 8 25" xfId="28290" xr:uid="{00000000-0005-0000-0000-0000FD690000}"/>
    <cellStyle name="Normal 8 25 10" xfId="22916" xr:uid="{00000000-0005-0000-0000-0000FE690000}"/>
    <cellStyle name="Normal 8 25 11" xfId="22319" xr:uid="{00000000-0005-0000-0000-0000FF690000}"/>
    <cellStyle name="Normal 8 25 12" xfId="21723" xr:uid="{00000000-0005-0000-0000-0000006A0000}"/>
    <cellStyle name="Normal 8 25 13" xfId="21126" xr:uid="{00000000-0005-0000-0000-0000016A0000}"/>
    <cellStyle name="Normal 8 25 14" xfId="20529" xr:uid="{00000000-0005-0000-0000-0000026A0000}"/>
    <cellStyle name="Normal 8 25 15" xfId="19932" xr:uid="{00000000-0005-0000-0000-0000036A0000}"/>
    <cellStyle name="Normal 8 25 16" xfId="19336" xr:uid="{00000000-0005-0000-0000-0000046A0000}"/>
    <cellStyle name="Normal 8 25 17" xfId="18740" xr:uid="{00000000-0005-0000-0000-0000056A0000}"/>
    <cellStyle name="Normal 8 25 18" xfId="18148" xr:uid="{00000000-0005-0000-0000-0000066A0000}"/>
    <cellStyle name="Normal 8 25 19" xfId="17551" xr:uid="{00000000-0005-0000-0000-0000076A0000}"/>
    <cellStyle name="Normal 8 25 2" xfId="27690" xr:uid="{00000000-0005-0000-0000-0000086A0000}"/>
    <cellStyle name="Normal 8 25 20" xfId="16550" xr:uid="{00000000-0005-0000-0000-0000096A0000}"/>
    <cellStyle name="Normal 8 25 21" xfId="14426" xr:uid="{00000000-0005-0000-0000-00000A6A0000}"/>
    <cellStyle name="Normal 8 25 22" xfId="13816" xr:uid="{00000000-0005-0000-0000-00000B6A0000}"/>
    <cellStyle name="Normal 8 25 23" xfId="17304" xr:uid="{00000000-0005-0000-0000-00000C6A0000}"/>
    <cellStyle name="Normal 8 25 24" xfId="17388" xr:uid="{00000000-0005-0000-0000-00000D6A0000}"/>
    <cellStyle name="Normal 8 25 25" xfId="17024" xr:uid="{00000000-0005-0000-0000-00000E6A0000}"/>
    <cellStyle name="Normal 8 25 26" xfId="14902" xr:uid="{00000000-0005-0000-0000-00000F6A0000}"/>
    <cellStyle name="Normal 8 25 27" xfId="15084" xr:uid="{00000000-0005-0000-0000-0000106A0000}"/>
    <cellStyle name="Normal 8 25 28" xfId="12160" xr:uid="{00000000-0005-0000-0000-0000116A0000}"/>
    <cellStyle name="Normal 8 25 29" xfId="7870" xr:uid="{00000000-0005-0000-0000-0000126A0000}"/>
    <cellStyle name="Normal 8 25 3" xfId="27093" xr:uid="{00000000-0005-0000-0000-0000136A0000}"/>
    <cellStyle name="Normal 8 25 30" xfId="9560" xr:uid="{00000000-0005-0000-0000-0000146A0000}"/>
    <cellStyle name="Normal 8 25 31" xfId="12067" xr:uid="{00000000-0005-0000-0000-0000156A0000}"/>
    <cellStyle name="Normal 8 25 32" xfId="11506" xr:uid="{00000000-0005-0000-0000-0000166A0000}"/>
    <cellStyle name="Normal 8 25 33" xfId="10431" xr:uid="{00000000-0005-0000-0000-0000176A0000}"/>
    <cellStyle name="Normal 8 25 34" xfId="11838" xr:uid="{00000000-0005-0000-0000-0000186A0000}"/>
    <cellStyle name="Normal 8 25 35" xfId="10622" xr:uid="{00000000-0005-0000-0000-0000196A0000}"/>
    <cellStyle name="Normal 8 25 36" xfId="11981" xr:uid="{00000000-0005-0000-0000-00001A6A0000}"/>
    <cellStyle name="Normal 8 25 37" xfId="11896" xr:uid="{00000000-0005-0000-0000-00001B6A0000}"/>
    <cellStyle name="Normal 8 25 38" xfId="4854" xr:uid="{00000000-0005-0000-0000-00001C6A0000}"/>
    <cellStyle name="Normal 8 25 39" xfId="4330" xr:uid="{00000000-0005-0000-0000-00001D6A0000}"/>
    <cellStyle name="Normal 8 25 4" xfId="26496" xr:uid="{00000000-0005-0000-0000-00001E6A0000}"/>
    <cellStyle name="Normal 8 25 40" xfId="10811" xr:uid="{00000000-0005-0000-0000-00001F6A0000}"/>
    <cellStyle name="Normal 8 25 41" xfId="4078" xr:uid="{00000000-0005-0000-0000-0000206A0000}"/>
    <cellStyle name="Normal 8 25 42" xfId="6551" xr:uid="{00000000-0005-0000-0000-0000216A0000}"/>
    <cellStyle name="Normal 8 25 43" xfId="12002" xr:uid="{00000000-0005-0000-0000-0000226A0000}"/>
    <cellStyle name="Normal 8 25 5" xfId="25900" xr:uid="{00000000-0005-0000-0000-0000236A0000}"/>
    <cellStyle name="Normal 8 25 6" xfId="25304" xr:uid="{00000000-0005-0000-0000-0000246A0000}"/>
    <cellStyle name="Normal 8 25 7" xfId="24707" xr:uid="{00000000-0005-0000-0000-0000256A0000}"/>
    <cellStyle name="Normal 8 25 8" xfId="24110" xr:uid="{00000000-0005-0000-0000-0000266A0000}"/>
    <cellStyle name="Normal 8 25 9" xfId="23513" xr:uid="{00000000-0005-0000-0000-0000276A0000}"/>
    <cellStyle name="Normal 8 26" xfId="28289" xr:uid="{00000000-0005-0000-0000-0000286A0000}"/>
    <cellStyle name="Normal 8 26 10" xfId="22915" xr:uid="{00000000-0005-0000-0000-0000296A0000}"/>
    <cellStyle name="Normal 8 26 11" xfId="22318" xr:uid="{00000000-0005-0000-0000-00002A6A0000}"/>
    <cellStyle name="Normal 8 26 12" xfId="21722" xr:uid="{00000000-0005-0000-0000-00002B6A0000}"/>
    <cellStyle name="Normal 8 26 13" xfId="21125" xr:uid="{00000000-0005-0000-0000-00002C6A0000}"/>
    <cellStyle name="Normal 8 26 14" xfId="20528" xr:uid="{00000000-0005-0000-0000-00002D6A0000}"/>
    <cellStyle name="Normal 8 26 15" xfId="19931" xr:uid="{00000000-0005-0000-0000-00002E6A0000}"/>
    <cellStyle name="Normal 8 26 16" xfId="19335" xr:uid="{00000000-0005-0000-0000-00002F6A0000}"/>
    <cellStyle name="Normal 8 26 17" xfId="18739" xr:uid="{00000000-0005-0000-0000-0000306A0000}"/>
    <cellStyle name="Normal 8 26 18" xfId="18147" xr:uid="{00000000-0005-0000-0000-0000316A0000}"/>
    <cellStyle name="Normal 8 26 19" xfId="17550" xr:uid="{00000000-0005-0000-0000-0000326A0000}"/>
    <cellStyle name="Normal 8 26 2" xfId="27689" xr:uid="{00000000-0005-0000-0000-0000336A0000}"/>
    <cellStyle name="Normal 8 26 20" xfId="16744" xr:uid="{00000000-0005-0000-0000-0000346A0000}"/>
    <cellStyle name="Normal 8 26 21" xfId="17390" xr:uid="{00000000-0005-0000-0000-0000356A0000}"/>
    <cellStyle name="Normal 8 26 22" xfId="14580" xr:uid="{00000000-0005-0000-0000-0000366A0000}"/>
    <cellStyle name="Normal 8 26 23" xfId="14081" xr:uid="{00000000-0005-0000-0000-0000376A0000}"/>
    <cellStyle name="Normal 8 26 24" xfId="16784" xr:uid="{00000000-0005-0000-0000-0000386A0000}"/>
    <cellStyle name="Normal 8 26 25" xfId="15578" xr:uid="{00000000-0005-0000-0000-0000396A0000}"/>
    <cellStyle name="Normal 8 26 26" xfId="13910" xr:uid="{00000000-0005-0000-0000-00003A6A0000}"/>
    <cellStyle name="Normal 8 26 27" xfId="12754" xr:uid="{00000000-0005-0000-0000-00003B6A0000}"/>
    <cellStyle name="Normal 8 26 28" xfId="12159" xr:uid="{00000000-0005-0000-0000-00003C6A0000}"/>
    <cellStyle name="Normal 8 26 29" xfId="11919" xr:uid="{00000000-0005-0000-0000-00003D6A0000}"/>
    <cellStyle name="Normal 8 26 3" xfId="27092" xr:uid="{00000000-0005-0000-0000-00003E6A0000}"/>
    <cellStyle name="Normal 8 26 30" xfId="10458" xr:uid="{00000000-0005-0000-0000-00003F6A0000}"/>
    <cellStyle name="Normal 8 26 31" xfId="7516" xr:uid="{00000000-0005-0000-0000-0000406A0000}"/>
    <cellStyle name="Normal 8 26 32" xfId="7138" xr:uid="{00000000-0005-0000-0000-0000416A0000}"/>
    <cellStyle name="Normal 8 26 33" xfId="6255" xr:uid="{00000000-0005-0000-0000-0000426A0000}"/>
    <cellStyle name="Normal 8 26 34" xfId="7256" xr:uid="{00000000-0005-0000-0000-0000436A0000}"/>
    <cellStyle name="Normal 8 26 35" xfId="10564" xr:uid="{00000000-0005-0000-0000-0000446A0000}"/>
    <cellStyle name="Normal 8 26 36" xfId="10494" xr:uid="{00000000-0005-0000-0000-0000456A0000}"/>
    <cellStyle name="Normal 8 26 37" xfId="9902" xr:uid="{00000000-0005-0000-0000-0000466A0000}"/>
    <cellStyle name="Normal 8 26 38" xfId="9843" xr:uid="{00000000-0005-0000-0000-0000476A0000}"/>
    <cellStyle name="Normal 8 26 39" xfId="10902" xr:uid="{00000000-0005-0000-0000-0000486A0000}"/>
    <cellStyle name="Normal 8 26 4" xfId="26495" xr:uid="{00000000-0005-0000-0000-0000496A0000}"/>
    <cellStyle name="Normal 8 26 40" xfId="8151" xr:uid="{00000000-0005-0000-0000-00004A6A0000}"/>
    <cellStyle name="Normal 8 26 41" xfId="4703" xr:uid="{00000000-0005-0000-0000-00004B6A0000}"/>
    <cellStyle name="Normal 8 26 42" xfId="11992" xr:uid="{00000000-0005-0000-0000-00004C6A0000}"/>
    <cellStyle name="Normal 8 26 43" xfId="3903" xr:uid="{00000000-0005-0000-0000-00004D6A0000}"/>
    <cellStyle name="Normal 8 26 5" xfId="25899" xr:uid="{00000000-0005-0000-0000-00004E6A0000}"/>
    <cellStyle name="Normal 8 26 6" xfId="25303" xr:uid="{00000000-0005-0000-0000-00004F6A0000}"/>
    <cellStyle name="Normal 8 26 7" xfId="24706" xr:uid="{00000000-0005-0000-0000-0000506A0000}"/>
    <cellStyle name="Normal 8 26 8" xfId="24109" xr:uid="{00000000-0005-0000-0000-0000516A0000}"/>
    <cellStyle name="Normal 8 26 9" xfId="23512" xr:uid="{00000000-0005-0000-0000-0000526A0000}"/>
    <cellStyle name="Normal 8 27" xfId="27707" xr:uid="{00000000-0005-0000-0000-0000536A0000}"/>
    <cellStyle name="Normal 8 28" xfId="27110" xr:uid="{00000000-0005-0000-0000-0000546A0000}"/>
    <cellStyle name="Normal 8 29" xfId="26513" xr:uid="{00000000-0005-0000-0000-0000556A0000}"/>
    <cellStyle name="Normal 8 3" xfId="28288" xr:uid="{00000000-0005-0000-0000-0000566A0000}"/>
    <cellStyle name="Normal 8 3 10" xfId="22914" xr:uid="{00000000-0005-0000-0000-0000576A0000}"/>
    <cellStyle name="Normal 8 3 11" xfId="22317" xr:uid="{00000000-0005-0000-0000-0000586A0000}"/>
    <cellStyle name="Normal 8 3 12" xfId="21721" xr:uid="{00000000-0005-0000-0000-0000596A0000}"/>
    <cellStyle name="Normal 8 3 13" xfId="21124" xr:uid="{00000000-0005-0000-0000-00005A6A0000}"/>
    <cellStyle name="Normal 8 3 14" xfId="20527" xr:uid="{00000000-0005-0000-0000-00005B6A0000}"/>
    <cellStyle name="Normal 8 3 15" xfId="19930" xr:uid="{00000000-0005-0000-0000-00005C6A0000}"/>
    <cellStyle name="Normal 8 3 16" xfId="19334" xr:uid="{00000000-0005-0000-0000-00005D6A0000}"/>
    <cellStyle name="Normal 8 3 17" xfId="18738" xr:uid="{00000000-0005-0000-0000-00005E6A0000}"/>
    <cellStyle name="Normal 8 3 18" xfId="18146" xr:uid="{00000000-0005-0000-0000-00005F6A0000}"/>
    <cellStyle name="Normal 8 3 19" xfId="17549" xr:uid="{00000000-0005-0000-0000-0000606A0000}"/>
    <cellStyle name="Normal 8 3 2" xfId="27688" xr:uid="{00000000-0005-0000-0000-0000616A0000}"/>
    <cellStyle name="Normal 8 3 20" xfId="16941" xr:uid="{00000000-0005-0000-0000-0000626A0000}"/>
    <cellStyle name="Normal 8 3 21" xfId="14403" xr:uid="{00000000-0005-0000-0000-0000636A0000}"/>
    <cellStyle name="Normal 8 3 22" xfId="17362" xr:uid="{00000000-0005-0000-0000-0000646A0000}"/>
    <cellStyle name="Normal 8 3 23" xfId="13775" xr:uid="{00000000-0005-0000-0000-0000656A0000}"/>
    <cellStyle name="Normal 8 3 24" xfId="15371" xr:uid="{00000000-0005-0000-0000-0000666A0000}"/>
    <cellStyle name="Normal 8 3 25" xfId="14098" xr:uid="{00000000-0005-0000-0000-0000676A0000}"/>
    <cellStyle name="Normal 8 3 26" xfId="15685" xr:uid="{00000000-0005-0000-0000-0000686A0000}"/>
    <cellStyle name="Normal 8 3 27" xfId="15233" xr:uid="{00000000-0005-0000-0000-0000696A0000}"/>
    <cellStyle name="Normal 8 3 28" xfId="12158" xr:uid="{00000000-0005-0000-0000-00006A6A0000}"/>
    <cellStyle name="Normal 8 3 29" xfId="8099" xr:uid="{00000000-0005-0000-0000-00006B6A0000}"/>
    <cellStyle name="Normal 8 3 3" xfId="27091" xr:uid="{00000000-0005-0000-0000-00006C6A0000}"/>
    <cellStyle name="Normal 8 3 30" xfId="10676" xr:uid="{00000000-0005-0000-0000-00006D6A0000}"/>
    <cellStyle name="Normal 8 3 31" xfId="8694" xr:uid="{00000000-0005-0000-0000-00006E6A0000}"/>
    <cellStyle name="Normal 8 3 32" xfId="12120" xr:uid="{00000000-0005-0000-0000-00006F6A0000}"/>
    <cellStyle name="Normal 8 3 33" xfId="8234" xr:uid="{00000000-0005-0000-0000-0000706A0000}"/>
    <cellStyle name="Normal 8 3 34" xfId="4489" xr:uid="{00000000-0005-0000-0000-0000716A0000}"/>
    <cellStyle name="Normal 8 3 35" xfId="9692" xr:uid="{00000000-0005-0000-0000-0000726A0000}"/>
    <cellStyle name="Normal 8 3 36" xfId="6559" xr:uid="{00000000-0005-0000-0000-0000736A0000}"/>
    <cellStyle name="Normal 8 3 37" xfId="6800" xr:uid="{00000000-0005-0000-0000-0000746A0000}"/>
    <cellStyle name="Normal 8 3 38" xfId="5894" xr:uid="{00000000-0005-0000-0000-0000756A0000}"/>
    <cellStyle name="Normal 8 3 39" xfId="8060" xr:uid="{00000000-0005-0000-0000-0000766A0000}"/>
    <cellStyle name="Normal 8 3 4" xfId="26494" xr:uid="{00000000-0005-0000-0000-0000776A0000}"/>
    <cellStyle name="Normal 8 3 40" xfId="9336" xr:uid="{00000000-0005-0000-0000-0000786A0000}"/>
    <cellStyle name="Normal 8 3 41" xfId="10206" xr:uid="{00000000-0005-0000-0000-0000796A0000}"/>
    <cellStyle name="Normal 8 3 42" xfId="3292" xr:uid="{00000000-0005-0000-0000-00007A6A0000}"/>
    <cellStyle name="Normal 8 3 43" xfId="6618" xr:uid="{00000000-0005-0000-0000-00007B6A0000}"/>
    <cellStyle name="Normal 8 3 44" xfId="2853" xr:uid="{00000000-0005-0000-0000-00007C6A0000}"/>
    <cellStyle name="Normal 8 3 45" xfId="2610" xr:uid="{00000000-0005-0000-0000-00007D6A0000}"/>
    <cellStyle name="Normal 8 3 46" xfId="2370" xr:uid="{00000000-0005-0000-0000-00007E6A0000}"/>
    <cellStyle name="Normal 8 3 47" xfId="2130" xr:uid="{00000000-0005-0000-0000-00007F6A0000}"/>
    <cellStyle name="Normal 8 3 48" xfId="1890" xr:uid="{00000000-0005-0000-0000-0000806A0000}"/>
    <cellStyle name="Normal 8 3 49" xfId="1650" xr:uid="{00000000-0005-0000-0000-0000816A0000}"/>
    <cellStyle name="Normal 8 3 5" xfId="25898" xr:uid="{00000000-0005-0000-0000-0000826A0000}"/>
    <cellStyle name="Normal 8 3 50" xfId="1411" xr:uid="{00000000-0005-0000-0000-0000836A0000}"/>
    <cellStyle name="Normal 8 3 51" xfId="1171" xr:uid="{00000000-0005-0000-0000-0000846A0000}"/>
    <cellStyle name="Normal 8 3 52" xfId="931" xr:uid="{00000000-0005-0000-0000-0000856A0000}"/>
    <cellStyle name="Normal 8 3 53" xfId="691" xr:uid="{00000000-0005-0000-0000-0000866A0000}"/>
    <cellStyle name="Normal 8 3 54" xfId="451" xr:uid="{00000000-0005-0000-0000-0000876A0000}"/>
    <cellStyle name="Normal 8 3 55" xfId="212" xr:uid="{00000000-0005-0000-0000-0000886A0000}"/>
    <cellStyle name="Normal 8 3 56" xfId="28880" xr:uid="{00000000-0005-0000-0000-0000896A0000}"/>
    <cellStyle name="Normal 8 3 6" xfId="25302" xr:uid="{00000000-0005-0000-0000-00008A6A0000}"/>
    <cellStyle name="Normal 8 3 7" xfId="24705" xr:uid="{00000000-0005-0000-0000-00008B6A0000}"/>
    <cellStyle name="Normal 8 3 8" xfId="24108" xr:uid="{00000000-0005-0000-0000-00008C6A0000}"/>
    <cellStyle name="Normal 8 3 9" xfId="23511" xr:uid="{00000000-0005-0000-0000-00008D6A0000}"/>
    <cellStyle name="Normal 8 30" xfId="25917" xr:uid="{00000000-0005-0000-0000-00008E6A0000}"/>
    <cellStyle name="Normal 8 31" xfId="25321" xr:uid="{00000000-0005-0000-0000-00008F6A0000}"/>
    <cellStyle name="Normal 8 32" xfId="24724" xr:uid="{00000000-0005-0000-0000-0000906A0000}"/>
    <cellStyle name="Normal 8 33" xfId="24127" xr:uid="{00000000-0005-0000-0000-0000916A0000}"/>
    <cellStyle name="Normal 8 34" xfId="23530" xr:uid="{00000000-0005-0000-0000-0000926A0000}"/>
    <cellStyle name="Normal 8 35" xfId="22933" xr:uid="{00000000-0005-0000-0000-0000936A0000}"/>
    <cellStyle name="Normal 8 36" xfId="22336" xr:uid="{00000000-0005-0000-0000-0000946A0000}"/>
    <cellStyle name="Normal 8 37" xfId="21740" xr:uid="{00000000-0005-0000-0000-0000956A0000}"/>
    <cellStyle name="Normal 8 38" xfId="21143" xr:uid="{00000000-0005-0000-0000-0000966A0000}"/>
    <cellStyle name="Normal 8 39" xfId="20546" xr:uid="{00000000-0005-0000-0000-0000976A0000}"/>
    <cellStyle name="Normal 8 4" xfId="28287" xr:uid="{00000000-0005-0000-0000-0000986A0000}"/>
    <cellStyle name="Normal 8 4 10" xfId="22913" xr:uid="{00000000-0005-0000-0000-0000996A0000}"/>
    <cellStyle name="Normal 8 4 11" xfId="22316" xr:uid="{00000000-0005-0000-0000-00009A6A0000}"/>
    <cellStyle name="Normal 8 4 12" xfId="21720" xr:uid="{00000000-0005-0000-0000-00009B6A0000}"/>
    <cellStyle name="Normal 8 4 13" xfId="21123" xr:uid="{00000000-0005-0000-0000-00009C6A0000}"/>
    <cellStyle name="Normal 8 4 14" xfId="20526" xr:uid="{00000000-0005-0000-0000-00009D6A0000}"/>
    <cellStyle name="Normal 8 4 15" xfId="19929" xr:uid="{00000000-0005-0000-0000-00009E6A0000}"/>
    <cellStyle name="Normal 8 4 16" xfId="19333" xr:uid="{00000000-0005-0000-0000-00009F6A0000}"/>
    <cellStyle name="Normal 8 4 17" xfId="18737" xr:uid="{00000000-0005-0000-0000-0000A06A0000}"/>
    <cellStyle name="Normal 8 4 18" xfId="18145" xr:uid="{00000000-0005-0000-0000-0000A16A0000}"/>
    <cellStyle name="Normal 8 4 19" xfId="17548" xr:uid="{00000000-0005-0000-0000-0000A26A0000}"/>
    <cellStyle name="Normal 8 4 2" xfId="27687" xr:uid="{00000000-0005-0000-0000-0000A36A0000}"/>
    <cellStyle name="Normal 8 4 20" xfId="17148" xr:uid="{00000000-0005-0000-0000-0000A46A0000}"/>
    <cellStyle name="Normal 8 4 21" xfId="14781" xr:uid="{00000000-0005-0000-0000-0000A56A0000}"/>
    <cellStyle name="Normal 8 4 22" xfId="15979" xr:uid="{00000000-0005-0000-0000-0000A66A0000}"/>
    <cellStyle name="Normal 8 4 23" xfId="17112" xr:uid="{00000000-0005-0000-0000-0000A76A0000}"/>
    <cellStyle name="Normal 8 4 24" xfId="15582" xr:uid="{00000000-0005-0000-0000-0000A86A0000}"/>
    <cellStyle name="Normal 8 4 25" xfId="13269" xr:uid="{00000000-0005-0000-0000-0000A96A0000}"/>
    <cellStyle name="Normal 8 4 26" xfId="13049" xr:uid="{00000000-0005-0000-0000-0000AA6A0000}"/>
    <cellStyle name="Normal 8 4 27" xfId="15642" xr:uid="{00000000-0005-0000-0000-0000AB6A0000}"/>
    <cellStyle name="Normal 8 4 28" xfId="12157" xr:uid="{00000000-0005-0000-0000-0000AC6A0000}"/>
    <cellStyle name="Normal 8 4 29" xfId="8307" xr:uid="{00000000-0005-0000-0000-0000AD6A0000}"/>
    <cellStyle name="Normal 8 4 3" xfId="27090" xr:uid="{00000000-0005-0000-0000-0000AE6A0000}"/>
    <cellStyle name="Normal 8 4 30" xfId="10884" xr:uid="{00000000-0005-0000-0000-0000AF6A0000}"/>
    <cellStyle name="Normal 8 4 31" xfId="8815" xr:uid="{00000000-0005-0000-0000-0000B06A0000}"/>
    <cellStyle name="Normal 8 4 32" xfId="9770" xr:uid="{00000000-0005-0000-0000-0000B16A0000}"/>
    <cellStyle name="Normal 8 4 33" xfId="6415" xr:uid="{00000000-0005-0000-0000-0000B26A0000}"/>
    <cellStyle name="Normal 8 4 34" xfId="5257" xr:uid="{00000000-0005-0000-0000-0000B36A0000}"/>
    <cellStyle name="Normal 8 4 35" xfId="6409" xr:uid="{00000000-0005-0000-0000-0000B46A0000}"/>
    <cellStyle name="Normal 8 4 36" xfId="5881" xr:uid="{00000000-0005-0000-0000-0000B56A0000}"/>
    <cellStyle name="Normal 8 4 37" xfId="9123" xr:uid="{00000000-0005-0000-0000-0000B66A0000}"/>
    <cellStyle name="Normal 8 4 38" xfId="8902" xr:uid="{00000000-0005-0000-0000-0000B76A0000}"/>
    <cellStyle name="Normal 8 4 39" xfId="3591" xr:uid="{00000000-0005-0000-0000-0000B86A0000}"/>
    <cellStyle name="Normal 8 4 4" xfId="26493" xr:uid="{00000000-0005-0000-0000-0000B96A0000}"/>
    <cellStyle name="Normal 8 4 40" xfId="4951" xr:uid="{00000000-0005-0000-0000-0000BA6A0000}"/>
    <cellStyle name="Normal 8 4 41" xfId="4315" xr:uid="{00000000-0005-0000-0000-0000BB6A0000}"/>
    <cellStyle name="Normal 8 4 42" xfId="12086" xr:uid="{00000000-0005-0000-0000-0000BC6A0000}"/>
    <cellStyle name="Normal 8 4 43" xfId="9082" xr:uid="{00000000-0005-0000-0000-0000BD6A0000}"/>
    <cellStyle name="Normal 8 4 44" xfId="2852" xr:uid="{00000000-0005-0000-0000-0000BE6A0000}"/>
    <cellStyle name="Normal 8 4 45" xfId="2609" xr:uid="{00000000-0005-0000-0000-0000BF6A0000}"/>
    <cellStyle name="Normal 8 4 46" xfId="2369" xr:uid="{00000000-0005-0000-0000-0000C06A0000}"/>
    <cellStyle name="Normal 8 4 47" xfId="2129" xr:uid="{00000000-0005-0000-0000-0000C16A0000}"/>
    <cellStyle name="Normal 8 4 48" xfId="1889" xr:uid="{00000000-0005-0000-0000-0000C26A0000}"/>
    <cellStyle name="Normal 8 4 49" xfId="1649" xr:uid="{00000000-0005-0000-0000-0000C36A0000}"/>
    <cellStyle name="Normal 8 4 5" xfId="25897" xr:uid="{00000000-0005-0000-0000-0000C46A0000}"/>
    <cellStyle name="Normal 8 4 50" xfId="1410" xr:uid="{00000000-0005-0000-0000-0000C56A0000}"/>
    <cellStyle name="Normal 8 4 51" xfId="1170" xr:uid="{00000000-0005-0000-0000-0000C66A0000}"/>
    <cellStyle name="Normal 8 4 52" xfId="930" xr:uid="{00000000-0005-0000-0000-0000C76A0000}"/>
    <cellStyle name="Normal 8 4 53" xfId="690" xr:uid="{00000000-0005-0000-0000-0000C86A0000}"/>
    <cellStyle name="Normal 8 4 54" xfId="450" xr:uid="{00000000-0005-0000-0000-0000C96A0000}"/>
    <cellStyle name="Normal 8 4 55" xfId="211" xr:uid="{00000000-0005-0000-0000-0000CA6A0000}"/>
    <cellStyle name="Normal 8 4 56" xfId="28881" xr:uid="{00000000-0005-0000-0000-0000CB6A0000}"/>
    <cellStyle name="Normal 8 4 6" xfId="25301" xr:uid="{00000000-0005-0000-0000-0000CC6A0000}"/>
    <cellStyle name="Normal 8 4 7" xfId="24704" xr:uid="{00000000-0005-0000-0000-0000CD6A0000}"/>
    <cellStyle name="Normal 8 4 8" xfId="24107" xr:uid="{00000000-0005-0000-0000-0000CE6A0000}"/>
    <cellStyle name="Normal 8 4 9" xfId="23510" xr:uid="{00000000-0005-0000-0000-0000CF6A0000}"/>
    <cellStyle name="Normal 8 40" xfId="19949" xr:uid="{00000000-0005-0000-0000-0000D06A0000}"/>
    <cellStyle name="Normal 8 41" xfId="19353" xr:uid="{00000000-0005-0000-0000-0000D16A0000}"/>
    <cellStyle name="Normal 8 42" xfId="18757" xr:uid="{00000000-0005-0000-0000-0000D26A0000}"/>
    <cellStyle name="Normal 8 43" xfId="18165" xr:uid="{00000000-0005-0000-0000-0000D36A0000}"/>
    <cellStyle name="Normal 8 44" xfId="17568" xr:uid="{00000000-0005-0000-0000-0000D46A0000}"/>
    <cellStyle name="Normal 8 45" xfId="15159" xr:uid="{00000000-0005-0000-0000-0000D56A0000}"/>
    <cellStyle name="Normal 8 46" xfId="16684" xr:uid="{00000000-0005-0000-0000-0000D66A0000}"/>
    <cellStyle name="Normal 8 47" xfId="16959" xr:uid="{00000000-0005-0000-0000-0000D76A0000}"/>
    <cellStyle name="Normal 8 48" xfId="13913" xr:uid="{00000000-0005-0000-0000-0000D86A0000}"/>
    <cellStyle name="Normal 8 49" xfId="14196" xr:uid="{00000000-0005-0000-0000-0000D96A0000}"/>
    <cellStyle name="Normal 8 5" xfId="28286" xr:uid="{00000000-0005-0000-0000-0000DA6A0000}"/>
    <cellStyle name="Normal 8 5 10" xfId="22912" xr:uid="{00000000-0005-0000-0000-0000DB6A0000}"/>
    <cellStyle name="Normal 8 5 11" xfId="22315" xr:uid="{00000000-0005-0000-0000-0000DC6A0000}"/>
    <cellStyle name="Normal 8 5 12" xfId="21719" xr:uid="{00000000-0005-0000-0000-0000DD6A0000}"/>
    <cellStyle name="Normal 8 5 13" xfId="21122" xr:uid="{00000000-0005-0000-0000-0000DE6A0000}"/>
    <cellStyle name="Normal 8 5 14" xfId="20525" xr:uid="{00000000-0005-0000-0000-0000DF6A0000}"/>
    <cellStyle name="Normal 8 5 15" xfId="19928" xr:uid="{00000000-0005-0000-0000-0000E06A0000}"/>
    <cellStyle name="Normal 8 5 16" xfId="19332" xr:uid="{00000000-0005-0000-0000-0000E16A0000}"/>
    <cellStyle name="Normal 8 5 17" xfId="18736" xr:uid="{00000000-0005-0000-0000-0000E26A0000}"/>
    <cellStyle name="Normal 8 5 18" xfId="18144" xr:uid="{00000000-0005-0000-0000-0000E36A0000}"/>
    <cellStyle name="Normal 8 5 19" xfId="17547" xr:uid="{00000000-0005-0000-0000-0000E46A0000}"/>
    <cellStyle name="Normal 8 5 2" xfId="27686" xr:uid="{00000000-0005-0000-0000-0000E56A0000}"/>
    <cellStyle name="Normal 8 5 20" xfId="17341" xr:uid="{00000000-0005-0000-0000-0000E66A0000}"/>
    <cellStyle name="Normal 8 5 21" xfId="14385" xr:uid="{00000000-0005-0000-0000-0000E76A0000}"/>
    <cellStyle name="Normal 8 5 22" xfId="14784" xr:uid="{00000000-0005-0000-0000-0000E86A0000}"/>
    <cellStyle name="Normal 8 5 23" xfId="16215" xr:uid="{00000000-0005-0000-0000-0000E96A0000}"/>
    <cellStyle name="Normal 8 5 24" xfId="15278" xr:uid="{00000000-0005-0000-0000-0000EA6A0000}"/>
    <cellStyle name="Normal 8 5 25" xfId="13594" xr:uid="{00000000-0005-0000-0000-0000EB6A0000}"/>
    <cellStyle name="Normal 8 5 26" xfId="13025" xr:uid="{00000000-0005-0000-0000-0000EC6A0000}"/>
    <cellStyle name="Normal 8 5 27" xfId="13435" xr:uid="{00000000-0005-0000-0000-0000ED6A0000}"/>
    <cellStyle name="Normal 8 5 28" xfId="12156" xr:uid="{00000000-0005-0000-0000-0000EE6A0000}"/>
    <cellStyle name="Normal 8 5 29" xfId="8522" xr:uid="{00000000-0005-0000-0000-0000EF6A0000}"/>
    <cellStyle name="Normal 8 5 3" xfId="27089" xr:uid="{00000000-0005-0000-0000-0000F06A0000}"/>
    <cellStyle name="Normal 8 5 30" xfId="11324" xr:uid="{00000000-0005-0000-0000-0000F16A0000}"/>
    <cellStyle name="Normal 8 5 31" xfId="10964" xr:uid="{00000000-0005-0000-0000-0000F26A0000}"/>
    <cellStyle name="Normal 8 5 32" xfId="5831" xr:uid="{00000000-0005-0000-0000-0000F36A0000}"/>
    <cellStyle name="Normal 8 5 33" xfId="6950" xr:uid="{00000000-0005-0000-0000-0000F46A0000}"/>
    <cellStyle name="Normal 8 5 34" xfId="4515" xr:uid="{00000000-0005-0000-0000-0000F56A0000}"/>
    <cellStyle name="Normal 8 5 35" xfId="6040" xr:uid="{00000000-0005-0000-0000-0000F66A0000}"/>
    <cellStyle name="Normal 8 5 36" xfId="10915" xr:uid="{00000000-0005-0000-0000-0000F76A0000}"/>
    <cellStyle name="Normal 8 5 37" xfId="4931" xr:uid="{00000000-0005-0000-0000-0000F86A0000}"/>
    <cellStyle name="Normal 8 5 38" xfId="11776" xr:uid="{00000000-0005-0000-0000-0000F96A0000}"/>
    <cellStyle name="Normal 8 5 39" xfId="5489" xr:uid="{00000000-0005-0000-0000-0000FA6A0000}"/>
    <cellStyle name="Normal 8 5 4" xfId="26492" xr:uid="{00000000-0005-0000-0000-0000FB6A0000}"/>
    <cellStyle name="Normal 8 5 40" xfId="11627" xr:uid="{00000000-0005-0000-0000-0000FC6A0000}"/>
    <cellStyle name="Normal 8 5 41" xfId="4064" xr:uid="{00000000-0005-0000-0000-0000FD6A0000}"/>
    <cellStyle name="Normal 8 5 42" xfId="3700" xr:uid="{00000000-0005-0000-0000-0000FE6A0000}"/>
    <cellStyle name="Normal 8 5 43" xfId="3154" xr:uid="{00000000-0005-0000-0000-0000FF6A0000}"/>
    <cellStyle name="Normal 8 5 44" xfId="2851" xr:uid="{00000000-0005-0000-0000-0000006B0000}"/>
    <cellStyle name="Normal 8 5 45" xfId="2608" xr:uid="{00000000-0005-0000-0000-0000016B0000}"/>
    <cellStyle name="Normal 8 5 46" xfId="2368" xr:uid="{00000000-0005-0000-0000-0000026B0000}"/>
    <cellStyle name="Normal 8 5 47" xfId="2128" xr:uid="{00000000-0005-0000-0000-0000036B0000}"/>
    <cellStyle name="Normal 8 5 48" xfId="1888" xr:uid="{00000000-0005-0000-0000-0000046B0000}"/>
    <cellStyle name="Normal 8 5 49" xfId="1648" xr:uid="{00000000-0005-0000-0000-0000056B0000}"/>
    <cellStyle name="Normal 8 5 5" xfId="25896" xr:uid="{00000000-0005-0000-0000-0000066B0000}"/>
    <cellStyle name="Normal 8 5 50" xfId="1409" xr:uid="{00000000-0005-0000-0000-0000076B0000}"/>
    <cellStyle name="Normal 8 5 51" xfId="1169" xr:uid="{00000000-0005-0000-0000-0000086B0000}"/>
    <cellStyle name="Normal 8 5 52" xfId="929" xr:uid="{00000000-0005-0000-0000-0000096B0000}"/>
    <cellStyle name="Normal 8 5 53" xfId="689" xr:uid="{00000000-0005-0000-0000-00000A6B0000}"/>
    <cellStyle name="Normal 8 5 54" xfId="449" xr:uid="{00000000-0005-0000-0000-00000B6B0000}"/>
    <cellStyle name="Normal 8 5 55" xfId="210" xr:uid="{00000000-0005-0000-0000-00000C6B0000}"/>
    <cellStyle name="Normal 8 5 56" xfId="28882" xr:uid="{00000000-0005-0000-0000-00000D6B0000}"/>
    <cellStyle name="Normal 8 5 6" xfId="25300" xr:uid="{00000000-0005-0000-0000-00000E6B0000}"/>
    <cellStyle name="Normal 8 5 7" xfId="24703" xr:uid="{00000000-0005-0000-0000-00000F6B0000}"/>
    <cellStyle name="Normal 8 5 8" xfId="24106" xr:uid="{00000000-0005-0000-0000-0000106B0000}"/>
    <cellStyle name="Normal 8 5 9" xfId="23509" xr:uid="{00000000-0005-0000-0000-0000116B0000}"/>
    <cellStyle name="Normal 8 50" xfId="13369" xr:uid="{00000000-0005-0000-0000-0000126B0000}"/>
    <cellStyle name="Normal 8 51" xfId="16466" xr:uid="{00000000-0005-0000-0000-0000136B0000}"/>
    <cellStyle name="Normal 8 52" xfId="12990" xr:uid="{00000000-0005-0000-0000-0000146B0000}"/>
    <cellStyle name="Normal 8 53" xfId="12177" xr:uid="{00000000-0005-0000-0000-0000156B0000}"/>
    <cellStyle name="Normal 8 54" xfId="9663" xr:uid="{00000000-0005-0000-0000-0000166B0000}"/>
    <cellStyle name="Normal 8 55" xfId="8548" xr:uid="{00000000-0005-0000-0000-0000176B0000}"/>
    <cellStyle name="Normal 8 56" xfId="7539" xr:uid="{00000000-0005-0000-0000-0000186B0000}"/>
    <cellStyle name="Normal 8 57" xfId="11263" xr:uid="{00000000-0005-0000-0000-0000196B0000}"/>
    <cellStyle name="Normal 8 58" xfId="6380" xr:uid="{00000000-0005-0000-0000-00001A6B0000}"/>
    <cellStyle name="Normal 8 59" xfId="5702" xr:uid="{00000000-0005-0000-0000-00001B6B0000}"/>
    <cellStyle name="Normal 8 6" xfId="28285" xr:uid="{00000000-0005-0000-0000-00001C6B0000}"/>
    <cellStyle name="Normal 8 6 10" xfId="22911" xr:uid="{00000000-0005-0000-0000-00001D6B0000}"/>
    <cellStyle name="Normal 8 6 11" xfId="22314" xr:uid="{00000000-0005-0000-0000-00001E6B0000}"/>
    <cellStyle name="Normal 8 6 12" xfId="21718" xr:uid="{00000000-0005-0000-0000-00001F6B0000}"/>
    <cellStyle name="Normal 8 6 13" xfId="21121" xr:uid="{00000000-0005-0000-0000-0000206B0000}"/>
    <cellStyle name="Normal 8 6 14" xfId="20524" xr:uid="{00000000-0005-0000-0000-0000216B0000}"/>
    <cellStyle name="Normal 8 6 15" xfId="19927" xr:uid="{00000000-0005-0000-0000-0000226B0000}"/>
    <cellStyle name="Normal 8 6 16" xfId="19331" xr:uid="{00000000-0005-0000-0000-0000236B0000}"/>
    <cellStyle name="Normal 8 6 17" xfId="18735" xr:uid="{00000000-0005-0000-0000-0000246B0000}"/>
    <cellStyle name="Normal 8 6 18" xfId="18143" xr:uid="{00000000-0005-0000-0000-0000256B0000}"/>
    <cellStyle name="Normal 8 6 19" xfId="17546" xr:uid="{00000000-0005-0000-0000-0000266B0000}"/>
    <cellStyle name="Normal 8 6 2" xfId="27685" xr:uid="{00000000-0005-0000-0000-0000276B0000}"/>
    <cellStyle name="Normal 8 6 20" xfId="14174" xr:uid="{00000000-0005-0000-0000-0000286B0000}"/>
    <cellStyle name="Normal 8 6 21" xfId="17348" xr:uid="{00000000-0005-0000-0000-0000296B0000}"/>
    <cellStyle name="Normal 8 6 22" xfId="15383" xr:uid="{00000000-0005-0000-0000-00002A6B0000}"/>
    <cellStyle name="Normal 8 6 23" xfId="13587" xr:uid="{00000000-0005-0000-0000-00002B6B0000}"/>
    <cellStyle name="Normal 8 6 24" xfId="13370" xr:uid="{00000000-0005-0000-0000-00002C6B0000}"/>
    <cellStyle name="Normal 8 6 25" xfId="16239" xr:uid="{00000000-0005-0000-0000-00002D6B0000}"/>
    <cellStyle name="Normal 8 6 26" xfId="13827" xr:uid="{00000000-0005-0000-0000-00002E6B0000}"/>
    <cellStyle name="Normal 8 6 27" xfId="14009" xr:uid="{00000000-0005-0000-0000-00002F6B0000}"/>
    <cellStyle name="Normal 8 6 28" xfId="12155" xr:uid="{00000000-0005-0000-0000-0000306B0000}"/>
    <cellStyle name="Normal 8 6 29" xfId="8738" xr:uid="{00000000-0005-0000-0000-0000316B0000}"/>
    <cellStyle name="Normal 8 6 3" xfId="27088" xr:uid="{00000000-0005-0000-0000-0000326B0000}"/>
    <cellStyle name="Normal 8 6 30" xfId="11557" xr:uid="{00000000-0005-0000-0000-0000336B0000}"/>
    <cellStyle name="Normal 8 6 31" xfId="11414" xr:uid="{00000000-0005-0000-0000-0000346B0000}"/>
    <cellStyle name="Normal 8 6 32" xfId="6457" xr:uid="{00000000-0005-0000-0000-0000356B0000}"/>
    <cellStyle name="Normal 8 6 33" xfId="10549" xr:uid="{00000000-0005-0000-0000-0000366B0000}"/>
    <cellStyle name="Normal 8 6 34" xfId="6824" xr:uid="{00000000-0005-0000-0000-0000376B0000}"/>
    <cellStyle name="Normal 8 6 35" xfId="5631" xr:uid="{00000000-0005-0000-0000-0000386B0000}"/>
    <cellStyle name="Normal 8 6 36" xfId="9863" xr:uid="{00000000-0005-0000-0000-0000396B0000}"/>
    <cellStyle name="Normal 8 6 37" xfId="4948" xr:uid="{00000000-0005-0000-0000-00003A6B0000}"/>
    <cellStyle name="Normal 8 6 38" xfId="4684" xr:uid="{00000000-0005-0000-0000-00003B6B0000}"/>
    <cellStyle name="Normal 8 6 39" xfId="6774" xr:uid="{00000000-0005-0000-0000-00003C6B0000}"/>
    <cellStyle name="Normal 8 6 4" xfId="26491" xr:uid="{00000000-0005-0000-0000-00003D6B0000}"/>
    <cellStyle name="Normal 8 6 40" xfId="3383" xr:uid="{00000000-0005-0000-0000-00003E6B0000}"/>
    <cellStyle name="Normal 8 6 41" xfId="4935" xr:uid="{00000000-0005-0000-0000-00003F6B0000}"/>
    <cellStyle name="Normal 8 6 42" xfId="10847" xr:uid="{00000000-0005-0000-0000-0000406B0000}"/>
    <cellStyle name="Normal 8 6 43" xfId="3251" xr:uid="{00000000-0005-0000-0000-0000416B0000}"/>
    <cellStyle name="Normal 8 6 44" xfId="2850" xr:uid="{00000000-0005-0000-0000-0000426B0000}"/>
    <cellStyle name="Normal 8 6 45" xfId="2607" xr:uid="{00000000-0005-0000-0000-0000436B0000}"/>
    <cellStyle name="Normal 8 6 46" xfId="2367" xr:uid="{00000000-0005-0000-0000-0000446B0000}"/>
    <cellStyle name="Normal 8 6 47" xfId="2127" xr:uid="{00000000-0005-0000-0000-0000456B0000}"/>
    <cellStyle name="Normal 8 6 48" xfId="1887" xr:uid="{00000000-0005-0000-0000-0000466B0000}"/>
    <cellStyle name="Normal 8 6 49" xfId="1647" xr:uid="{00000000-0005-0000-0000-0000476B0000}"/>
    <cellStyle name="Normal 8 6 5" xfId="25895" xr:uid="{00000000-0005-0000-0000-0000486B0000}"/>
    <cellStyle name="Normal 8 6 50" xfId="1408" xr:uid="{00000000-0005-0000-0000-0000496B0000}"/>
    <cellStyle name="Normal 8 6 51" xfId="1168" xr:uid="{00000000-0005-0000-0000-00004A6B0000}"/>
    <cellStyle name="Normal 8 6 52" xfId="928" xr:uid="{00000000-0005-0000-0000-00004B6B0000}"/>
    <cellStyle name="Normal 8 6 53" xfId="688" xr:uid="{00000000-0005-0000-0000-00004C6B0000}"/>
    <cellStyle name="Normal 8 6 54" xfId="448" xr:uid="{00000000-0005-0000-0000-00004D6B0000}"/>
    <cellStyle name="Normal 8 6 55" xfId="209" xr:uid="{00000000-0005-0000-0000-00004E6B0000}"/>
    <cellStyle name="Normal 8 6 56" xfId="28883" xr:uid="{00000000-0005-0000-0000-00004F6B0000}"/>
    <cellStyle name="Normal 8 6 6" xfId="25299" xr:uid="{00000000-0005-0000-0000-0000506B0000}"/>
    <cellStyle name="Normal 8 6 7" xfId="24702" xr:uid="{00000000-0005-0000-0000-0000516B0000}"/>
    <cellStyle name="Normal 8 6 8" xfId="24105" xr:uid="{00000000-0005-0000-0000-0000526B0000}"/>
    <cellStyle name="Normal 8 6 9" xfId="23508" xr:uid="{00000000-0005-0000-0000-0000536B0000}"/>
    <cellStyle name="Normal 8 60" xfId="4752" xr:uid="{00000000-0005-0000-0000-0000546B0000}"/>
    <cellStyle name="Normal 8 61" xfId="6054" xr:uid="{00000000-0005-0000-0000-0000556B0000}"/>
    <cellStyle name="Normal 8 62" xfId="4410" xr:uid="{00000000-0005-0000-0000-0000566B0000}"/>
    <cellStyle name="Normal 8 63" xfId="7888" xr:uid="{00000000-0005-0000-0000-0000576B0000}"/>
    <cellStyle name="Normal 8 64" xfId="4738" xr:uid="{00000000-0005-0000-0000-0000586B0000}"/>
    <cellStyle name="Normal 8 65" xfId="4415" xr:uid="{00000000-0005-0000-0000-0000596B0000}"/>
    <cellStyle name="Normal 8 66" xfId="4947" xr:uid="{00000000-0005-0000-0000-00005A6B0000}"/>
    <cellStyle name="Normal 8 67" xfId="10094" xr:uid="{00000000-0005-0000-0000-00005B6B0000}"/>
    <cellStyle name="Normal 8 68" xfId="3266" xr:uid="{00000000-0005-0000-0000-00005C6B0000}"/>
    <cellStyle name="Normal 8 69" xfId="2857" xr:uid="{00000000-0005-0000-0000-00005D6B0000}"/>
    <cellStyle name="Normal 8 7" xfId="28284" xr:uid="{00000000-0005-0000-0000-00005E6B0000}"/>
    <cellStyle name="Normal 8 7 10" xfId="22910" xr:uid="{00000000-0005-0000-0000-00005F6B0000}"/>
    <cellStyle name="Normal 8 7 11" xfId="22313" xr:uid="{00000000-0005-0000-0000-0000606B0000}"/>
    <cellStyle name="Normal 8 7 12" xfId="21717" xr:uid="{00000000-0005-0000-0000-0000616B0000}"/>
    <cellStyle name="Normal 8 7 13" xfId="21120" xr:uid="{00000000-0005-0000-0000-0000626B0000}"/>
    <cellStyle name="Normal 8 7 14" xfId="20523" xr:uid="{00000000-0005-0000-0000-0000636B0000}"/>
    <cellStyle name="Normal 8 7 15" xfId="19926" xr:uid="{00000000-0005-0000-0000-0000646B0000}"/>
    <cellStyle name="Normal 8 7 16" xfId="19330" xr:uid="{00000000-0005-0000-0000-0000656B0000}"/>
    <cellStyle name="Normal 8 7 17" xfId="18734" xr:uid="{00000000-0005-0000-0000-0000666B0000}"/>
    <cellStyle name="Normal 8 7 18" xfId="18142" xr:uid="{00000000-0005-0000-0000-0000676B0000}"/>
    <cellStyle name="Normal 8 7 19" xfId="17545" xr:uid="{00000000-0005-0000-0000-0000686B0000}"/>
    <cellStyle name="Normal 8 7 2" xfId="27684" xr:uid="{00000000-0005-0000-0000-0000696B0000}"/>
    <cellStyle name="Normal 8 7 20" xfId="14363" xr:uid="{00000000-0005-0000-0000-00006A6B0000}"/>
    <cellStyle name="Normal 8 7 21" xfId="13985" xr:uid="{00000000-0005-0000-0000-00006B6B0000}"/>
    <cellStyle name="Normal 8 7 22" xfId="15013" xr:uid="{00000000-0005-0000-0000-00006C6B0000}"/>
    <cellStyle name="Normal 8 7 23" xfId="14043" xr:uid="{00000000-0005-0000-0000-00006D6B0000}"/>
    <cellStyle name="Normal 8 7 24" xfId="15860" xr:uid="{00000000-0005-0000-0000-00006E6B0000}"/>
    <cellStyle name="Normal 8 7 25" xfId="15757" xr:uid="{00000000-0005-0000-0000-00006F6B0000}"/>
    <cellStyle name="Normal 8 7 26" xfId="14873" xr:uid="{00000000-0005-0000-0000-0000706B0000}"/>
    <cellStyle name="Normal 8 7 27" xfId="15836" xr:uid="{00000000-0005-0000-0000-0000716B0000}"/>
    <cellStyle name="Normal 8 7 28" xfId="12154" xr:uid="{00000000-0005-0000-0000-0000726B0000}"/>
    <cellStyle name="Normal 8 7 29" xfId="8976" xr:uid="{00000000-0005-0000-0000-0000736B0000}"/>
    <cellStyle name="Normal 8 7 3" xfId="27087" xr:uid="{00000000-0005-0000-0000-0000746B0000}"/>
    <cellStyle name="Normal 8 7 30" xfId="11550" xr:uid="{00000000-0005-0000-0000-0000756B0000}"/>
    <cellStyle name="Normal 8 7 31" xfId="5626" xr:uid="{00000000-0005-0000-0000-0000766B0000}"/>
    <cellStyle name="Normal 8 7 32" xfId="11486" xr:uid="{00000000-0005-0000-0000-0000776B0000}"/>
    <cellStyle name="Normal 8 7 33" xfId="8387" xr:uid="{00000000-0005-0000-0000-0000786B0000}"/>
    <cellStyle name="Normal 8 7 34" xfId="8139" xr:uid="{00000000-0005-0000-0000-0000796B0000}"/>
    <cellStyle name="Normal 8 7 35" xfId="8708" xr:uid="{00000000-0005-0000-0000-00007A6B0000}"/>
    <cellStyle name="Normal 8 7 36" xfId="4270" xr:uid="{00000000-0005-0000-0000-00007B6B0000}"/>
    <cellStyle name="Normal 8 7 37" xfId="11764" xr:uid="{00000000-0005-0000-0000-00007C6B0000}"/>
    <cellStyle name="Normal 8 7 38" xfId="3622" xr:uid="{00000000-0005-0000-0000-00007D6B0000}"/>
    <cellStyle name="Normal 8 7 39" xfId="3549" xr:uid="{00000000-0005-0000-0000-00007E6B0000}"/>
    <cellStyle name="Normal 8 7 4" xfId="26490" xr:uid="{00000000-0005-0000-0000-00007F6B0000}"/>
    <cellStyle name="Normal 8 7 40" xfId="8764" xr:uid="{00000000-0005-0000-0000-0000806B0000}"/>
    <cellStyle name="Normal 8 7 41" xfId="4405" xr:uid="{00000000-0005-0000-0000-0000816B0000}"/>
    <cellStyle name="Normal 8 7 42" xfId="5880" xr:uid="{00000000-0005-0000-0000-0000826B0000}"/>
    <cellStyle name="Normal 8 7 43" xfId="8846" xr:uid="{00000000-0005-0000-0000-0000836B0000}"/>
    <cellStyle name="Normal 8 7 44" xfId="2849" xr:uid="{00000000-0005-0000-0000-0000846B0000}"/>
    <cellStyle name="Normal 8 7 45" xfId="2606" xr:uid="{00000000-0005-0000-0000-0000856B0000}"/>
    <cellStyle name="Normal 8 7 46" xfId="2366" xr:uid="{00000000-0005-0000-0000-0000866B0000}"/>
    <cellStyle name="Normal 8 7 47" xfId="2126" xr:uid="{00000000-0005-0000-0000-0000876B0000}"/>
    <cellStyle name="Normal 8 7 48" xfId="1886" xr:uid="{00000000-0005-0000-0000-0000886B0000}"/>
    <cellStyle name="Normal 8 7 49" xfId="1646" xr:uid="{00000000-0005-0000-0000-0000896B0000}"/>
    <cellStyle name="Normal 8 7 5" xfId="25894" xr:uid="{00000000-0005-0000-0000-00008A6B0000}"/>
    <cellStyle name="Normal 8 7 50" xfId="1407" xr:uid="{00000000-0005-0000-0000-00008B6B0000}"/>
    <cellStyle name="Normal 8 7 51" xfId="1167" xr:uid="{00000000-0005-0000-0000-00008C6B0000}"/>
    <cellStyle name="Normal 8 7 52" xfId="927" xr:uid="{00000000-0005-0000-0000-00008D6B0000}"/>
    <cellStyle name="Normal 8 7 53" xfId="687" xr:uid="{00000000-0005-0000-0000-00008E6B0000}"/>
    <cellStyle name="Normal 8 7 54" xfId="447" xr:uid="{00000000-0005-0000-0000-00008F6B0000}"/>
    <cellStyle name="Normal 8 7 55" xfId="208" xr:uid="{00000000-0005-0000-0000-0000906B0000}"/>
    <cellStyle name="Normal 8 7 56" xfId="28884" xr:uid="{00000000-0005-0000-0000-0000916B0000}"/>
    <cellStyle name="Normal 8 7 6" xfId="25298" xr:uid="{00000000-0005-0000-0000-0000926B0000}"/>
    <cellStyle name="Normal 8 7 7" xfId="24701" xr:uid="{00000000-0005-0000-0000-0000936B0000}"/>
    <cellStyle name="Normal 8 7 8" xfId="24104" xr:uid="{00000000-0005-0000-0000-0000946B0000}"/>
    <cellStyle name="Normal 8 7 9" xfId="23507" xr:uid="{00000000-0005-0000-0000-0000956B0000}"/>
    <cellStyle name="Normal 8 70" xfId="2614" xr:uid="{00000000-0005-0000-0000-0000966B0000}"/>
    <cellStyle name="Normal 8 71" xfId="2374" xr:uid="{00000000-0005-0000-0000-0000976B0000}"/>
    <cellStyle name="Normal 8 72" xfId="2134" xr:uid="{00000000-0005-0000-0000-0000986B0000}"/>
    <cellStyle name="Normal 8 73" xfId="1894" xr:uid="{00000000-0005-0000-0000-0000996B0000}"/>
    <cellStyle name="Normal 8 74" xfId="1654" xr:uid="{00000000-0005-0000-0000-00009A6B0000}"/>
    <cellStyle name="Normal 8 75" xfId="1415" xr:uid="{00000000-0005-0000-0000-00009B6B0000}"/>
    <cellStyle name="Normal 8 76" xfId="1175" xr:uid="{00000000-0005-0000-0000-00009C6B0000}"/>
    <cellStyle name="Normal 8 77" xfId="935" xr:uid="{00000000-0005-0000-0000-00009D6B0000}"/>
    <cellStyle name="Normal 8 78" xfId="695" xr:uid="{00000000-0005-0000-0000-00009E6B0000}"/>
    <cellStyle name="Normal 8 79" xfId="455" xr:uid="{00000000-0005-0000-0000-00009F6B0000}"/>
    <cellStyle name="Normal 8 8" xfId="28283" xr:uid="{00000000-0005-0000-0000-0000A06B0000}"/>
    <cellStyle name="Normal 8 8 10" xfId="22909" xr:uid="{00000000-0005-0000-0000-0000A16B0000}"/>
    <cellStyle name="Normal 8 8 11" xfId="22312" xr:uid="{00000000-0005-0000-0000-0000A26B0000}"/>
    <cellStyle name="Normal 8 8 12" xfId="21716" xr:uid="{00000000-0005-0000-0000-0000A36B0000}"/>
    <cellStyle name="Normal 8 8 13" xfId="21119" xr:uid="{00000000-0005-0000-0000-0000A46B0000}"/>
    <cellStyle name="Normal 8 8 14" xfId="20522" xr:uid="{00000000-0005-0000-0000-0000A56B0000}"/>
    <cellStyle name="Normal 8 8 15" xfId="19925" xr:uid="{00000000-0005-0000-0000-0000A66B0000}"/>
    <cellStyle name="Normal 8 8 16" xfId="19329" xr:uid="{00000000-0005-0000-0000-0000A76B0000}"/>
    <cellStyle name="Normal 8 8 17" xfId="18733" xr:uid="{00000000-0005-0000-0000-0000A86B0000}"/>
    <cellStyle name="Normal 8 8 18" xfId="18141" xr:uid="{00000000-0005-0000-0000-0000A96B0000}"/>
    <cellStyle name="Normal 8 8 19" xfId="17544" xr:uid="{00000000-0005-0000-0000-0000AA6B0000}"/>
    <cellStyle name="Normal 8 8 2" xfId="27683" xr:uid="{00000000-0005-0000-0000-0000AB6B0000}"/>
    <cellStyle name="Normal 8 8 20" xfId="14554" xr:uid="{00000000-0005-0000-0000-0000AC6B0000}"/>
    <cellStyle name="Normal 8 8 21" xfId="16711" xr:uid="{00000000-0005-0000-0000-0000AD6B0000}"/>
    <cellStyle name="Normal 8 8 22" xfId="15220" xr:uid="{00000000-0005-0000-0000-0000AE6B0000}"/>
    <cellStyle name="Normal 8 8 23" xfId="16418" xr:uid="{00000000-0005-0000-0000-0000AF6B0000}"/>
    <cellStyle name="Normal 8 8 24" xfId="16296" xr:uid="{00000000-0005-0000-0000-0000B06B0000}"/>
    <cellStyle name="Normal 8 8 25" xfId="15981" xr:uid="{00000000-0005-0000-0000-0000B16B0000}"/>
    <cellStyle name="Normal 8 8 26" xfId="12894" xr:uid="{00000000-0005-0000-0000-0000B26B0000}"/>
    <cellStyle name="Normal 8 8 27" xfId="12962" xr:uid="{00000000-0005-0000-0000-0000B36B0000}"/>
    <cellStyle name="Normal 8 8 28" xfId="12153" xr:uid="{00000000-0005-0000-0000-0000B46B0000}"/>
    <cellStyle name="Normal 8 8 29" xfId="9211" xr:uid="{00000000-0005-0000-0000-0000B56B0000}"/>
    <cellStyle name="Normal 8 8 3" xfId="27086" xr:uid="{00000000-0005-0000-0000-0000B66B0000}"/>
    <cellStyle name="Normal 8 8 30" xfId="11763" xr:uid="{00000000-0005-0000-0000-0000B76B0000}"/>
    <cellStyle name="Normal 8 8 31" xfId="5682" xr:uid="{00000000-0005-0000-0000-0000B86B0000}"/>
    <cellStyle name="Normal 8 8 32" xfId="11030" xr:uid="{00000000-0005-0000-0000-0000B96B0000}"/>
    <cellStyle name="Normal 8 8 33" xfId="7998" xr:uid="{00000000-0005-0000-0000-0000BA6B0000}"/>
    <cellStyle name="Normal 8 8 34" xfId="5973" xr:uid="{00000000-0005-0000-0000-0000BB6B0000}"/>
    <cellStyle name="Normal 8 8 35" xfId="9412" xr:uid="{00000000-0005-0000-0000-0000BC6B0000}"/>
    <cellStyle name="Normal 8 8 36" xfId="7085" xr:uid="{00000000-0005-0000-0000-0000BD6B0000}"/>
    <cellStyle name="Normal 8 8 37" xfId="11415" xr:uid="{00000000-0005-0000-0000-0000BE6B0000}"/>
    <cellStyle name="Normal 8 8 38" xfId="4026" xr:uid="{00000000-0005-0000-0000-0000BF6B0000}"/>
    <cellStyle name="Normal 8 8 39" xfId="5159" xr:uid="{00000000-0005-0000-0000-0000C06B0000}"/>
    <cellStyle name="Normal 8 8 4" xfId="26489" xr:uid="{00000000-0005-0000-0000-0000C16B0000}"/>
    <cellStyle name="Normal 8 8 40" xfId="11833" xr:uid="{00000000-0005-0000-0000-0000C26B0000}"/>
    <cellStyle name="Normal 8 8 41" xfId="9608" xr:uid="{00000000-0005-0000-0000-0000C36B0000}"/>
    <cellStyle name="Normal 8 8 42" xfId="9999" xr:uid="{00000000-0005-0000-0000-0000C46B0000}"/>
    <cellStyle name="Normal 8 8 43" xfId="3084" xr:uid="{00000000-0005-0000-0000-0000C56B0000}"/>
    <cellStyle name="Normal 8 8 44" xfId="2848" xr:uid="{00000000-0005-0000-0000-0000C66B0000}"/>
    <cellStyle name="Normal 8 8 45" xfId="2605" xr:uid="{00000000-0005-0000-0000-0000C76B0000}"/>
    <cellStyle name="Normal 8 8 46" xfId="2365" xr:uid="{00000000-0005-0000-0000-0000C86B0000}"/>
    <cellStyle name="Normal 8 8 47" xfId="2125" xr:uid="{00000000-0005-0000-0000-0000C96B0000}"/>
    <cellStyle name="Normal 8 8 48" xfId="1885" xr:uid="{00000000-0005-0000-0000-0000CA6B0000}"/>
    <cellStyle name="Normal 8 8 49" xfId="1645" xr:uid="{00000000-0005-0000-0000-0000CB6B0000}"/>
    <cellStyle name="Normal 8 8 5" xfId="25893" xr:uid="{00000000-0005-0000-0000-0000CC6B0000}"/>
    <cellStyle name="Normal 8 8 50" xfId="1406" xr:uid="{00000000-0005-0000-0000-0000CD6B0000}"/>
    <cellStyle name="Normal 8 8 51" xfId="1166" xr:uid="{00000000-0005-0000-0000-0000CE6B0000}"/>
    <cellStyle name="Normal 8 8 52" xfId="926" xr:uid="{00000000-0005-0000-0000-0000CF6B0000}"/>
    <cellStyle name="Normal 8 8 53" xfId="686" xr:uid="{00000000-0005-0000-0000-0000D06B0000}"/>
    <cellStyle name="Normal 8 8 54" xfId="446" xr:uid="{00000000-0005-0000-0000-0000D16B0000}"/>
    <cellStyle name="Normal 8 8 55" xfId="207" xr:uid="{00000000-0005-0000-0000-0000D26B0000}"/>
    <cellStyle name="Normal 8 8 56" xfId="28885" xr:uid="{00000000-0005-0000-0000-0000D36B0000}"/>
    <cellStyle name="Normal 8 8 6" xfId="25297" xr:uid="{00000000-0005-0000-0000-0000D46B0000}"/>
    <cellStyle name="Normal 8 8 7" xfId="24700" xr:uid="{00000000-0005-0000-0000-0000D56B0000}"/>
    <cellStyle name="Normal 8 8 8" xfId="24103" xr:uid="{00000000-0005-0000-0000-0000D66B0000}"/>
    <cellStyle name="Normal 8 8 9" xfId="23506" xr:uid="{00000000-0005-0000-0000-0000D76B0000}"/>
    <cellStyle name="Normal 8 80" xfId="216" xr:uid="{00000000-0005-0000-0000-0000D86B0000}"/>
    <cellStyle name="Normal 8 81" xfId="28876" xr:uid="{00000000-0005-0000-0000-0000D96B0000}"/>
    <cellStyle name="Normal 8 9" xfId="28282" xr:uid="{00000000-0005-0000-0000-0000DA6B0000}"/>
    <cellStyle name="Normal 8 9 10" xfId="22908" xr:uid="{00000000-0005-0000-0000-0000DB6B0000}"/>
    <cellStyle name="Normal 8 9 11" xfId="22311" xr:uid="{00000000-0005-0000-0000-0000DC6B0000}"/>
    <cellStyle name="Normal 8 9 12" xfId="21715" xr:uid="{00000000-0005-0000-0000-0000DD6B0000}"/>
    <cellStyle name="Normal 8 9 13" xfId="21118" xr:uid="{00000000-0005-0000-0000-0000DE6B0000}"/>
    <cellStyle name="Normal 8 9 14" xfId="20521" xr:uid="{00000000-0005-0000-0000-0000DF6B0000}"/>
    <cellStyle name="Normal 8 9 15" xfId="19924" xr:uid="{00000000-0005-0000-0000-0000E06B0000}"/>
    <cellStyle name="Normal 8 9 16" xfId="19328" xr:uid="{00000000-0005-0000-0000-0000E16B0000}"/>
    <cellStyle name="Normal 8 9 17" xfId="18732" xr:uid="{00000000-0005-0000-0000-0000E26B0000}"/>
    <cellStyle name="Normal 8 9 18" xfId="18140" xr:uid="{00000000-0005-0000-0000-0000E36B0000}"/>
    <cellStyle name="Normal 8 9 19" xfId="17543" xr:uid="{00000000-0005-0000-0000-0000E46B0000}"/>
    <cellStyle name="Normal 8 9 2" xfId="27682" xr:uid="{00000000-0005-0000-0000-0000E56B0000}"/>
    <cellStyle name="Normal 8 9 20" xfId="14750" xr:uid="{00000000-0005-0000-0000-0000E66B0000}"/>
    <cellStyle name="Normal 8 9 21" xfId="16702" xr:uid="{00000000-0005-0000-0000-0000E76B0000}"/>
    <cellStyle name="Normal 8 9 22" xfId="16437" xr:uid="{00000000-0005-0000-0000-0000E86B0000}"/>
    <cellStyle name="Normal 8 9 23" xfId="14453" xr:uid="{00000000-0005-0000-0000-0000E96B0000}"/>
    <cellStyle name="Normal 8 9 24" xfId="14908" xr:uid="{00000000-0005-0000-0000-0000EA6B0000}"/>
    <cellStyle name="Normal 8 9 25" xfId="13210" xr:uid="{00000000-0005-0000-0000-0000EB6B0000}"/>
    <cellStyle name="Normal 8 9 26" xfId="13930" xr:uid="{00000000-0005-0000-0000-0000EC6B0000}"/>
    <cellStyle name="Normal 8 9 27" xfId="16050" xr:uid="{00000000-0005-0000-0000-0000ED6B0000}"/>
    <cellStyle name="Normal 8 9 28" xfId="12152" xr:uid="{00000000-0005-0000-0000-0000EE6B0000}"/>
    <cellStyle name="Normal 8 9 29" xfId="9444" xr:uid="{00000000-0005-0000-0000-0000EF6B0000}"/>
    <cellStyle name="Normal 8 9 3" xfId="27085" xr:uid="{00000000-0005-0000-0000-0000F06B0000}"/>
    <cellStyle name="Normal 8 9 30" xfId="7876" xr:uid="{00000000-0005-0000-0000-0000F16B0000}"/>
    <cellStyle name="Normal 8 9 31" xfId="9247" xr:uid="{00000000-0005-0000-0000-0000F26B0000}"/>
    <cellStyle name="Normal 8 9 32" xfId="6650" xr:uid="{00000000-0005-0000-0000-0000F36B0000}"/>
    <cellStyle name="Normal 8 9 33" xfId="9775" xr:uid="{00000000-0005-0000-0000-0000F46B0000}"/>
    <cellStyle name="Normal 8 9 34" xfId="10669" xr:uid="{00000000-0005-0000-0000-0000F56B0000}"/>
    <cellStyle name="Normal 8 9 35" xfId="10495" xr:uid="{00000000-0005-0000-0000-0000F66B0000}"/>
    <cellStyle name="Normal 8 9 36" xfId="10638" xr:uid="{00000000-0005-0000-0000-0000F76B0000}"/>
    <cellStyle name="Normal 8 9 37" xfId="8842" xr:uid="{00000000-0005-0000-0000-0000F86B0000}"/>
    <cellStyle name="Normal 8 9 38" xfId="11196" xr:uid="{00000000-0005-0000-0000-0000F96B0000}"/>
    <cellStyle name="Normal 8 9 39" xfId="11352" xr:uid="{00000000-0005-0000-0000-0000FA6B0000}"/>
    <cellStyle name="Normal 8 9 4" xfId="26488" xr:uid="{00000000-0005-0000-0000-0000FB6B0000}"/>
    <cellStyle name="Normal 8 9 40" xfId="9621" xr:uid="{00000000-0005-0000-0000-0000FC6B0000}"/>
    <cellStyle name="Normal 8 9 41" xfId="6519" xr:uid="{00000000-0005-0000-0000-0000FD6B0000}"/>
    <cellStyle name="Normal 8 9 42" xfId="4944" xr:uid="{00000000-0005-0000-0000-0000FE6B0000}"/>
    <cellStyle name="Normal 8 9 43" xfId="3108" xr:uid="{00000000-0005-0000-0000-0000FF6B0000}"/>
    <cellStyle name="Normal 8 9 44" xfId="2847" xr:uid="{00000000-0005-0000-0000-0000006C0000}"/>
    <cellStyle name="Normal 8 9 45" xfId="2604" xr:uid="{00000000-0005-0000-0000-0000016C0000}"/>
    <cellStyle name="Normal 8 9 46" xfId="2364" xr:uid="{00000000-0005-0000-0000-0000026C0000}"/>
    <cellStyle name="Normal 8 9 47" xfId="2124" xr:uid="{00000000-0005-0000-0000-0000036C0000}"/>
    <cellStyle name="Normal 8 9 48" xfId="1884" xr:uid="{00000000-0005-0000-0000-0000046C0000}"/>
    <cellStyle name="Normal 8 9 49" xfId="1644" xr:uid="{00000000-0005-0000-0000-0000056C0000}"/>
    <cellStyle name="Normal 8 9 5" xfId="25892" xr:uid="{00000000-0005-0000-0000-0000066C0000}"/>
    <cellStyle name="Normal 8 9 50" xfId="1405" xr:uid="{00000000-0005-0000-0000-0000076C0000}"/>
    <cellStyle name="Normal 8 9 51" xfId="1165" xr:uid="{00000000-0005-0000-0000-0000086C0000}"/>
    <cellStyle name="Normal 8 9 52" xfId="925" xr:uid="{00000000-0005-0000-0000-0000096C0000}"/>
    <cellStyle name="Normal 8 9 53" xfId="685" xr:uid="{00000000-0005-0000-0000-00000A6C0000}"/>
    <cellStyle name="Normal 8 9 54" xfId="445" xr:uid="{00000000-0005-0000-0000-00000B6C0000}"/>
    <cellStyle name="Normal 8 9 55" xfId="206" xr:uid="{00000000-0005-0000-0000-00000C6C0000}"/>
    <cellStyle name="Normal 8 9 56" xfId="28886" xr:uid="{00000000-0005-0000-0000-00000D6C0000}"/>
    <cellStyle name="Normal 8 9 6" xfId="25296" xr:uid="{00000000-0005-0000-0000-00000E6C0000}"/>
    <cellStyle name="Normal 8 9 7" xfId="24699" xr:uid="{00000000-0005-0000-0000-00000F6C0000}"/>
    <cellStyle name="Normal 8 9 8" xfId="24102" xr:uid="{00000000-0005-0000-0000-0000106C0000}"/>
    <cellStyle name="Normal 8 9 9" xfId="23505" xr:uid="{00000000-0005-0000-0000-0000116C0000}"/>
    <cellStyle name="Normal 9" xfId="28281" xr:uid="{00000000-0005-0000-0000-0000126C0000}"/>
    <cellStyle name="Normal 9 10" xfId="28280" xr:uid="{00000000-0005-0000-0000-0000136C0000}"/>
    <cellStyle name="Normal 9 10 10" xfId="22906" xr:uid="{00000000-0005-0000-0000-0000146C0000}"/>
    <cellStyle name="Normal 9 10 11" xfId="22309" xr:uid="{00000000-0005-0000-0000-0000156C0000}"/>
    <cellStyle name="Normal 9 10 12" xfId="21713" xr:uid="{00000000-0005-0000-0000-0000166C0000}"/>
    <cellStyle name="Normal 9 10 13" xfId="21116" xr:uid="{00000000-0005-0000-0000-0000176C0000}"/>
    <cellStyle name="Normal 9 10 14" xfId="20519" xr:uid="{00000000-0005-0000-0000-0000186C0000}"/>
    <cellStyle name="Normal 9 10 15" xfId="19922" xr:uid="{00000000-0005-0000-0000-0000196C0000}"/>
    <cellStyle name="Normal 9 10 16" xfId="19326" xr:uid="{00000000-0005-0000-0000-00001A6C0000}"/>
    <cellStyle name="Normal 9 10 17" xfId="18730" xr:uid="{00000000-0005-0000-0000-00001B6C0000}"/>
    <cellStyle name="Normal 9 10 18" xfId="18138" xr:uid="{00000000-0005-0000-0000-00001C6C0000}"/>
    <cellStyle name="Normal 9 10 19" xfId="17541" xr:uid="{00000000-0005-0000-0000-00001D6C0000}"/>
    <cellStyle name="Normal 9 10 2" xfId="27680" xr:uid="{00000000-0005-0000-0000-00001E6C0000}"/>
    <cellStyle name="Normal 9 10 20" xfId="15160" xr:uid="{00000000-0005-0000-0000-00001F6C0000}"/>
    <cellStyle name="Normal 9 10 21" xfId="16486" xr:uid="{00000000-0005-0000-0000-0000206C0000}"/>
    <cellStyle name="Normal 9 10 22" xfId="15087" xr:uid="{00000000-0005-0000-0000-0000216C0000}"/>
    <cellStyle name="Normal 9 10 23" xfId="15092" xr:uid="{00000000-0005-0000-0000-0000226C0000}"/>
    <cellStyle name="Normal 9 10 24" xfId="15863" xr:uid="{00000000-0005-0000-0000-0000236C0000}"/>
    <cellStyle name="Normal 9 10 25" xfId="13929" xr:uid="{00000000-0005-0000-0000-0000246C0000}"/>
    <cellStyle name="Normal 9 10 26" xfId="13878" xr:uid="{00000000-0005-0000-0000-0000256C0000}"/>
    <cellStyle name="Normal 9 10 27" xfId="16890" xr:uid="{00000000-0005-0000-0000-0000266C0000}"/>
    <cellStyle name="Normal 9 10 28" xfId="12150" xr:uid="{00000000-0005-0000-0000-0000276C0000}"/>
    <cellStyle name="Normal 9 10 29" xfId="9895" xr:uid="{00000000-0005-0000-0000-0000286C0000}"/>
    <cellStyle name="Normal 9 10 3" xfId="27083" xr:uid="{00000000-0005-0000-0000-0000296C0000}"/>
    <cellStyle name="Normal 9 10 30" xfId="8343" xr:uid="{00000000-0005-0000-0000-00002A6C0000}"/>
    <cellStyle name="Normal 9 10 31" xfId="11225" xr:uid="{00000000-0005-0000-0000-00002B6C0000}"/>
    <cellStyle name="Normal 9 10 32" xfId="5628" xr:uid="{00000000-0005-0000-0000-00002C6C0000}"/>
    <cellStyle name="Normal 9 10 33" xfId="6451" xr:uid="{00000000-0005-0000-0000-00002D6C0000}"/>
    <cellStyle name="Normal 9 10 34" xfId="11801" xr:uid="{00000000-0005-0000-0000-00002E6C0000}"/>
    <cellStyle name="Normal 9 10 35" xfId="5363" xr:uid="{00000000-0005-0000-0000-00002F6C0000}"/>
    <cellStyle name="Normal 9 10 36" xfId="5109" xr:uid="{00000000-0005-0000-0000-0000306C0000}"/>
    <cellStyle name="Normal 9 10 37" xfId="9543" xr:uid="{00000000-0005-0000-0000-0000316C0000}"/>
    <cellStyle name="Normal 9 10 38" xfId="8071" xr:uid="{00000000-0005-0000-0000-0000326C0000}"/>
    <cellStyle name="Normal 9 10 39" xfId="8460" xr:uid="{00000000-0005-0000-0000-0000336C0000}"/>
    <cellStyle name="Normal 9 10 4" xfId="26486" xr:uid="{00000000-0005-0000-0000-0000346C0000}"/>
    <cellStyle name="Normal 9 10 40" xfId="3673" xr:uid="{00000000-0005-0000-0000-0000356C0000}"/>
    <cellStyle name="Normal 9 10 41" xfId="9838" xr:uid="{00000000-0005-0000-0000-0000366C0000}"/>
    <cellStyle name="Normal 9 10 42" xfId="6771" xr:uid="{00000000-0005-0000-0000-0000376C0000}"/>
    <cellStyle name="Normal 9 10 43" xfId="3111" xr:uid="{00000000-0005-0000-0000-0000386C0000}"/>
    <cellStyle name="Normal 9 10 44" xfId="2845" xr:uid="{00000000-0005-0000-0000-0000396C0000}"/>
    <cellStyle name="Normal 9 10 45" xfId="2602" xr:uid="{00000000-0005-0000-0000-00003A6C0000}"/>
    <cellStyle name="Normal 9 10 46" xfId="2362" xr:uid="{00000000-0005-0000-0000-00003B6C0000}"/>
    <cellStyle name="Normal 9 10 47" xfId="2122" xr:uid="{00000000-0005-0000-0000-00003C6C0000}"/>
    <cellStyle name="Normal 9 10 48" xfId="1882" xr:uid="{00000000-0005-0000-0000-00003D6C0000}"/>
    <cellStyle name="Normal 9 10 49" xfId="1642" xr:uid="{00000000-0005-0000-0000-00003E6C0000}"/>
    <cellStyle name="Normal 9 10 5" xfId="25890" xr:uid="{00000000-0005-0000-0000-00003F6C0000}"/>
    <cellStyle name="Normal 9 10 50" xfId="1403" xr:uid="{00000000-0005-0000-0000-0000406C0000}"/>
    <cellStyle name="Normal 9 10 51" xfId="1163" xr:uid="{00000000-0005-0000-0000-0000416C0000}"/>
    <cellStyle name="Normal 9 10 52" xfId="923" xr:uid="{00000000-0005-0000-0000-0000426C0000}"/>
    <cellStyle name="Normal 9 10 53" xfId="683" xr:uid="{00000000-0005-0000-0000-0000436C0000}"/>
    <cellStyle name="Normal 9 10 54" xfId="443" xr:uid="{00000000-0005-0000-0000-0000446C0000}"/>
    <cellStyle name="Normal 9 10 55" xfId="204" xr:uid="{00000000-0005-0000-0000-0000456C0000}"/>
    <cellStyle name="Normal 9 10 56" xfId="28888" xr:uid="{00000000-0005-0000-0000-0000466C0000}"/>
    <cellStyle name="Normal 9 10 6" xfId="25294" xr:uid="{00000000-0005-0000-0000-0000476C0000}"/>
    <cellStyle name="Normal 9 10 7" xfId="24697" xr:uid="{00000000-0005-0000-0000-0000486C0000}"/>
    <cellStyle name="Normal 9 10 8" xfId="24100" xr:uid="{00000000-0005-0000-0000-0000496C0000}"/>
    <cellStyle name="Normal 9 10 9" xfId="23503" xr:uid="{00000000-0005-0000-0000-00004A6C0000}"/>
    <cellStyle name="Normal 9 11" xfId="28279" xr:uid="{00000000-0005-0000-0000-00004B6C0000}"/>
    <cellStyle name="Normal 9 11 10" xfId="22905" xr:uid="{00000000-0005-0000-0000-00004C6C0000}"/>
    <cellStyle name="Normal 9 11 11" xfId="22308" xr:uid="{00000000-0005-0000-0000-00004D6C0000}"/>
    <cellStyle name="Normal 9 11 12" xfId="21712" xr:uid="{00000000-0005-0000-0000-00004E6C0000}"/>
    <cellStyle name="Normal 9 11 13" xfId="21115" xr:uid="{00000000-0005-0000-0000-00004F6C0000}"/>
    <cellStyle name="Normal 9 11 14" xfId="20518" xr:uid="{00000000-0005-0000-0000-0000506C0000}"/>
    <cellStyle name="Normal 9 11 15" xfId="19921" xr:uid="{00000000-0005-0000-0000-0000516C0000}"/>
    <cellStyle name="Normal 9 11 16" xfId="19325" xr:uid="{00000000-0005-0000-0000-0000526C0000}"/>
    <cellStyle name="Normal 9 11 17" xfId="18729" xr:uid="{00000000-0005-0000-0000-0000536C0000}"/>
    <cellStyle name="Normal 9 11 18" xfId="18137" xr:uid="{00000000-0005-0000-0000-0000546C0000}"/>
    <cellStyle name="Normal 9 11 19" xfId="17540" xr:uid="{00000000-0005-0000-0000-0000556C0000}"/>
    <cellStyle name="Normal 9 11 2" xfId="27679" xr:uid="{00000000-0005-0000-0000-0000566C0000}"/>
    <cellStyle name="Normal 9 11 20" xfId="15355" xr:uid="{00000000-0005-0000-0000-0000576C0000}"/>
    <cellStyle name="Normal 9 11 21" xfId="16476" xr:uid="{00000000-0005-0000-0000-0000586C0000}"/>
    <cellStyle name="Normal 9 11 22" xfId="15307" xr:uid="{00000000-0005-0000-0000-0000596C0000}"/>
    <cellStyle name="Normal 9 11 23" xfId="14431" xr:uid="{00000000-0005-0000-0000-00005A6C0000}"/>
    <cellStyle name="Normal 9 11 24" xfId="13697" xr:uid="{00000000-0005-0000-0000-00005B6C0000}"/>
    <cellStyle name="Normal 9 11 25" xfId="15081" xr:uid="{00000000-0005-0000-0000-00005C6C0000}"/>
    <cellStyle name="Normal 9 11 26" xfId="13826" xr:uid="{00000000-0005-0000-0000-00005D6C0000}"/>
    <cellStyle name="Normal 9 11 27" xfId="13883" xr:uid="{00000000-0005-0000-0000-00005E6C0000}"/>
    <cellStyle name="Normal 9 11 28" xfId="12149" xr:uid="{00000000-0005-0000-0000-00005F6C0000}"/>
    <cellStyle name="Normal 9 11 29" xfId="10130" xr:uid="{00000000-0005-0000-0000-0000606C0000}"/>
    <cellStyle name="Normal 9 11 3" xfId="27082" xr:uid="{00000000-0005-0000-0000-0000616C0000}"/>
    <cellStyle name="Normal 9 11 30" xfId="8766" xr:uid="{00000000-0005-0000-0000-0000626C0000}"/>
    <cellStyle name="Normal 9 11 31" xfId="9622" xr:uid="{00000000-0005-0000-0000-0000636C0000}"/>
    <cellStyle name="Normal 9 11 32" xfId="7560" xr:uid="{00000000-0005-0000-0000-0000646C0000}"/>
    <cellStyle name="Normal 9 11 33" xfId="8672" xr:uid="{00000000-0005-0000-0000-0000656C0000}"/>
    <cellStyle name="Normal 9 11 34" xfId="9743" xr:uid="{00000000-0005-0000-0000-0000666C0000}"/>
    <cellStyle name="Normal 9 11 35" xfId="10211" xr:uid="{00000000-0005-0000-0000-0000676C0000}"/>
    <cellStyle name="Normal 9 11 36" xfId="7004" xr:uid="{00000000-0005-0000-0000-0000686C0000}"/>
    <cellStyle name="Normal 9 11 37" xfId="7667" xr:uid="{00000000-0005-0000-0000-0000696C0000}"/>
    <cellStyle name="Normal 9 11 38" xfId="5157" xr:uid="{00000000-0005-0000-0000-00006A6C0000}"/>
    <cellStyle name="Normal 9 11 39" xfId="7790" xr:uid="{00000000-0005-0000-0000-00006B6C0000}"/>
    <cellStyle name="Normal 9 11 4" xfId="26485" xr:uid="{00000000-0005-0000-0000-00006C6C0000}"/>
    <cellStyle name="Normal 9 11 40" xfId="4447" xr:uid="{00000000-0005-0000-0000-00006D6C0000}"/>
    <cellStyle name="Normal 9 11 41" xfId="5809" xr:uid="{00000000-0005-0000-0000-00006E6C0000}"/>
    <cellStyle name="Normal 9 11 42" xfId="6314" xr:uid="{00000000-0005-0000-0000-00006F6C0000}"/>
    <cellStyle name="Normal 9 11 43" xfId="3107" xr:uid="{00000000-0005-0000-0000-0000706C0000}"/>
    <cellStyle name="Normal 9 11 44" xfId="2844" xr:uid="{00000000-0005-0000-0000-0000716C0000}"/>
    <cellStyle name="Normal 9 11 45" xfId="2601" xr:uid="{00000000-0005-0000-0000-0000726C0000}"/>
    <cellStyle name="Normal 9 11 46" xfId="2361" xr:uid="{00000000-0005-0000-0000-0000736C0000}"/>
    <cellStyle name="Normal 9 11 47" xfId="2121" xr:uid="{00000000-0005-0000-0000-0000746C0000}"/>
    <cellStyle name="Normal 9 11 48" xfId="1881" xr:uid="{00000000-0005-0000-0000-0000756C0000}"/>
    <cellStyle name="Normal 9 11 49" xfId="1641" xr:uid="{00000000-0005-0000-0000-0000766C0000}"/>
    <cellStyle name="Normal 9 11 5" xfId="25889" xr:uid="{00000000-0005-0000-0000-0000776C0000}"/>
    <cellStyle name="Normal 9 11 50" xfId="1402" xr:uid="{00000000-0005-0000-0000-0000786C0000}"/>
    <cellStyle name="Normal 9 11 51" xfId="1162" xr:uid="{00000000-0005-0000-0000-0000796C0000}"/>
    <cellStyle name="Normal 9 11 52" xfId="922" xr:uid="{00000000-0005-0000-0000-00007A6C0000}"/>
    <cellStyle name="Normal 9 11 53" xfId="682" xr:uid="{00000000-0005-0000-0000-00007B6C0000}"/>
    <cellStyle name="Normal 9 11 54" xfId="442" xr:uid="{00000000-0005-0000-0000-00007C6C0000}"/>
    <cellStyle name="Normal 9 11 55" xfId="203" xr:uid="{00000000-0005-0000-0000-00007D6C0000}"/>
    <cellStyle name="Normal 9 11 56" xfId="28889" xr:uid="{00000000-0005-0000-0000-00007E6C0000}"/>
    <cellStyle name="Normal 9 11 6" xfId="25293" xr:uid="{00000000-0005-0000-0000-00007F6C0000}"/>
    <cellStyle name="Normal 9 11 7" xfId="24696" xr:uid="{00000000-0005-0000-0000-0000806C0000}"/>
    <cellStyle name="Normal 9 11 8" xfId="24099" xr:uid="{00000000-0005-0000-0000-0000816C0000}"/>
    <cellStyle name="Normal 9 11 9" xfId="23502" xr:uid="{00000000-0005-0000-0000-0000826C0000}"/>
    <cellStyle name="Normal 9 12" xfId="28278" xr:uid="{00000000-0005-0000-0000-0000836C0000}"/>
    <cellStyle name="Normal 9 12 10" xfId="22904" xr:uid="{00000000-0005-0000-0000-0000846C0000}"/>
    <cellStyle name="Normal 9 12 11" xfId="22307" xr:uid="{00000000-0005-0000-0000-0000856C0000}"/>
    <cellStyle name="Normal 9 12 12" xfId="21711" xr:uid="{00000000-0005-0000-0000-0000866C0000}"/>
    <cellStyle name="Normal 9 12 13" xfId="21114" xr:uid="{00000000-0005-0000-0000-0000876C0000}"/>
    <cellStyle name="Normal 9 12 14" xfId="20517" xr:uid="{00000000-0005-0000-0000-0000886C0000}"/>
    <cellStyle name="Normal 9 12 15" xfId="19920" xr:uid="{00000000-0005-0000-0000-0000896C0000}"/>
    <cellStyle name="Normal 9 12 16" xfId="19324" xr:uid="{00000000-0005-0000-0000-00008A6C0000}"/>
    <cellStyle name="Normal 9 12 17" xfId="18728" xr:uid="{00000000-0005-0000-0000-00008B6C0000}"/>
    <cellStyle name="Normal 9 12 18" xfId="18136" xr:uid="{00000000-0005-0000-0000-00008C6C0000}"/>
    <cellStyle name="Normal 9 12 19" xfId="17539" xr:uid="{00000000-0005-0000-0000-00008D6C0000}"/>
    <cellStyle name="Normal 9 12 2" xfId="27678" xr:uid="{00000000-0005-0000-0000-00008E6C0000}"/>
    <cellStyle name="Normal 9 12 20" xfId="15562" xr:uid="{00000000-0005-0000-0000-00008F6C0000}"/>
    <cellStyle name="Normal 9 12 21" xfId="16070" xr:uid="{00000000-0005-0000-0000-0000906C0000}"/>
    <cellStyle name="Normal 9 12 22" xfId="14017" xr:uid="{00000000-0005-0000-0000-0000916C0000}"/>
    <cellStyle name="Normal 9 12 23" xfId="14989" xr:uid="{00000000-0005-0000-0000-0000926C0000}"/>
    <cellStyle name="Normal 9 12 24" xfId="16087" xr:uid="{00000000-0005-0000-0000-0000936C0000}"/>
    <cellStyle name="Normal 9 12 25" xfId="14300" xr:uid="{00000000-0005-0000-0000-0000946C0000}"/>
    <cellStyle name="Normal 9 12 26" xfId="14323" xr:uid="{00000000-0005-0000-0000-0000956C0000}"/>
    <cellStyle name="Normal 9 12 27" xfId="12977" xr:uid="{00000000-0005-0000-0000-0000966C0000}"/>
    <cellStyle name="Normal 9 12 28" xfId="12148" xr:uid="{00000000-0005-0000-0000-0000976C0000}"/>
    <cellStyle name="Normal 9 12 29" xfId="10357" xr:uid="{00000000-0005-0000-0000-0000986C0000}"/>
    <cellStyle name="Normal 9 12 3" xfId="27081" xr:uid="{00000000-0005-0000-0000-0000996C0000}"/>
    <cellStyle name="Normal 9 12 30" xfId="9000" xr:uid="{00000000-0005-0000-0000-00009A6C0000}"/>
    <cellStyle name="Normal 9 12 31" xfId="11088" xr:uid="{00000000-0005-0000-0000-00009B6C0000}"/>
    <cellStyle name="Normal 9 12 32" xfId="11451" xr:uid="{00000000-0005-0000-0000-00009C6C0000}"/>
    <cellStyle name="Normal 9 12 33" xfId="5943" xr:uid="{00000000-0005-0000-0000-00009D6C0000}"/>
    <cellStyle name="Normal 9 12 34" xfId="9398" xr:uid="{00000000-0005-0000-0000-00009E6C0000}"/>
    <cellStyle name="Normal 9 12 35" xfId="4851" xr:uid="{00000000-0005-0000-0000-00009F6C0000}"/>
    <cellStyle name="Normal 9 12 36" xfId="12038" xr:uid="{00000000-0005-0000-0000-0000A06C0000}"/>
    <cellStyle name="Normal 9 12 37" xfId="4221" xr:uid="{00000000-0005-0000-0000-0000A16C0000}"/>
    <cellStyle name="Normal 9 12 38" xfId="6047" xr:uid="{00000000-0005-0000-0000-0000A26C0000}"/>
    <cellStyle name="Normal 9 12 39" xfId="11604" xr:uid="{00000000-0005-0000-0000-0000A36C0000}"/>
    <cellStyle name="Normal 9 12 4" xfId="26484" xr:uid="{00000000-0005-0000-0000-0000A46C0000}"/>
    <cellStyle name="Normal 9 12 40" xfId="5296" xr:uid="{00000000-0005-0000-0000-0000A56C0000}"/>
    <cellStyle name="Normal 9 12 41" xfId="5980" xr:uid="{00000000-0005-0000-0000-0000A66C0000}"/>
    <cellStyle name="Normal 9 12 42" xfId="9548" xr:uid="{00000000-0005-0000-0000-0000A76C0000}"/>
    <cellStyle name="Normal 9 12 43" xfId="4054" xr:uid="{00000000-0005-0000-0000-0000A86C0000}"/>
    <cellStyle name="Normal 9 12 5" xfId="25888" xr:uid="{00000000-0005-0000-0000-0000A96C0000}"/>
    <cellStyle name="Normal 9 12 6" xfId="25292" xr:uid="{00000000-0005-0000-0000-0000AA6C0000}"/>
    <cellStyle name="Normal 9 12 7" xfId="24695" xr:uid="{00000000-0005-0000-0000-0000AB6C0000}"/>
    <cellStyle name="Normal 9 12 8" xfId="24098" xr:uid="{00000000-0005-0000-0000-0000AC6C0000}"/>
    <cellStyle name="Normal 9 12 9" xfId="23501" xr:uid="{00000000-0005-0000-0000-0000AD6C0000}"/>
    <cellStyle name="Normal 9 13" xfId="28277" xr:uid="{00000000-0005-0000-0000-0000AE6C0000}"/>
    <cellStyle name="Normal 9 13 10" xfId="22903" xr:uid="{00000000-0005-0000-0000-0000AF6C0000}"/>
    <cellStyle name="Normal 9 13 11" xfId="22306" xr:uid="{00000000-0005-0000-0000-0000B06C0000}"/>
    <cellStyle name="Normal 9 13 12" xfId="21710" xr:uid="{00000000-0005-0000-0000-0000B16C0000}"/>
    <cellStyle name="Normal 9 13 13" xfId="21113" xr:uid="{00000000-0005-0000-0000-0000B26C0000}"/>
    <cellStyle name="Normal 9 13 14" xfId="20516" xr:uid="{00000000-0005-0000-0000-0000B36C0000}"/>
    <cellStyle name="Normal 9 13 15" xfId="19919" xr:uid="{00000000-0005-0000-0000-0000B46C0000}"/>
    <cellStyle name="Normal 9 13 16" xfId="19323" xr:uid="{00000000-0005-0000-0000-0000B56C0000}"/>
    <cellStyle name="Normal 9 13 17" xfId="18727" xr:uid="{00000000-0005-0000-0000-0000B66C0000}"/>
    <cellStyle name="Normal 9 13 18" xfId="18135" xr:uid="{00000000-0005-0000-0000-0000B76C0000}"/>
    <cellStyle name="Normal 9 13 19" xfId="17538" xr:uid="{00000000-0005-0000-0000-0000B86C0000}"/>
    <cellStyle name="Normal 9 13 2" xfId="27677" xr:uid="{00000000-0005-0000-0000-0000B96C0000}"/>
    <cellStyle name="Normal 9 13 20" xfId="15752" xr:uid="{00000000-0005-0000-0000-0000BA6C0000}"/>
    <cellStyle name="Normal 9 13 21" xfId="16064" xr:uid="{00000000-0005-0000-0000-0000BB6C0000}"/>
    <cellStyle name="Normal 9 13 22" xfId="15706" xr:uid="{00000000-0005-0000-0000-0000BC6C0000}"/>
    <cellStyle name="Normal 9 13 23" xfId="15196" xr:uid="{00000000-0005-0000-0000-0000BD6C0000}"/>
    <cellStyle name="Normal 9 13 24" xfId="13149" xr:uid="{00000000-0005-0000-0000-0000BE6C0000}"/>
    <cellStyle name="Normal 9 13 25" xfId="15427" xr:uid="{00000000-0005-0000-0000-0000BF6C0000}"/>
    <cellStyle name="Normal 9 13 26" xfId="14198" xr:uid="{00000000-0005-0000-0000-0000C06C0000}"/>
    <cellStyle name="Normal 9 13 27" xfId="17154" xr:uid="{00000000-0005-0000-0000-0000C16C0000}"/>
    <cellStyle name="Normal 9 13 28" xfId="12147" xr:uid="{00000000-0005-0000-0000-0000C26C0000}"/>
    <cellStyle name="Normal 9 13 29" xfId="10586" xr:uid="{00000000-0005-0000-0000-0000C36C0000}"/>
    <cellStyle name="Normal 9 13 3" xfId="27080" xr:uid="{00000000-0005-0000-0000-0000C46C0000}"/>
    <cellStyle name="Normal 9 13 30" xfId="5870" xr:uid="{00000000-0005-0000-0000-0000C56C0000}"/>
    <cellStyle name="Normal 9 13 31" xfId="11149" xr:uid="{00000000-0005-0000-0000-0000C66C0000}"/>
    <cellStyle name="Normal 9 13 32" xfId="6461" xr:uid="{00000000-0005-0000-0000-0000C76C0000}"/>
    <cellStyle name="Normal 9 13 33" xfId="10278" xr:uid="{00000000-0005-0000-0000-0000C86C0000}"/>
    <cellStyle name="Normal 9 13 34" xfId="11041" xr:uid="{00000000-0005-0000-0000-0000C96C0000}"/>
    <cellStyle name="Normal 9 13 35" xfId="7363" xr:uid="{00000000-0005-0000-0000-0000CA6C0000}"/>
    <cellStyle name="Normal 9 13 36" xfId="10269" xr:uid="{00000000-0005-0000-0000-0000CB6C0000}"/>
    <cellStyle name="Normal 9 13 37" xfId="7930" xr:uid="{00000000-0005-0000-0000-0000CC6C0000}"/>
    <cellStyle name="Normal 9 13 38" xfId="10324" xr:uid="{00000000-0005-0000-0000-0000CD6C0000}"/>
    <cellStyle name="Normal 9 13 39" xfId="3877" xr:uid="{00000000-0005-0000-0000-0000CE6C0000}"/>
    <cellStyle name="Normal 9 13 4" xfId="26483" xr:uid="{00000000-0005-0000-0000-0000CF6C0000}"/>
    <cellStyle name="Normal 9 13 40" xfId="6151" xr:uid="{00000000-0005-0000-0000-0000D06C0000}"/>
    <cellStyle name="Normal 9 13 41" xfId="5873" xr:uid="{00000000-0005-0000-0000-0000D16C0000}"/>
    <cellStyle name="Normal 9 13 42" xfId="9471" xr:uid="{00000000-0005-0000-0000-0000D26C0000}"/>
    <cellStyle name="Normal 9 13 43" xfId="11346" xr:uid="{00000000-0005-0000-0000-0000D36C0000}"/>
    <cellStyle name="Normal 9 13 5" xfId="25887" xr:uid="{00000000-0005-0000-0000-0000D46C0000}"/>
    <cellStyle name="Normal 9 13 6" xfId="25291" xr:uid="{00000000-0005-0000-0000-0000D56C0000}"/>
    <cellStyle name="Normal 9 13 7" xfId="24694" xr:uid="{00000000-0005-0000-0000-0000D66C0000}"/>
    <cellStyle name="Normal 9 13 8" xfId="24097" xr:uid="{00000000-0005-0000-0000-0000D76C0000}"/>
    <cellStyle name="Normal 9 13 9" xfId="23500" xr:uid="{00000000-0005-0000-0000-0000D86C0000}"/>
    <cellStyle name="Normal 9 14" xfId="28276" xr:uid="{00000000-0005-0000-0000-0000D96C0000}"/>
    <cellStyle name="Normal 9 14 10" xfId="22902" xr:uid="{00000000-0005-0000-0000-0000DA6C0000}"/>
    <cellStyle name="Normal 9 14 11" xfId="22305" xr:uid="{00000000-0005-0000-0000-0000DB6C0000}"/>
    <cellStyle name="Normal 9 14 12" xfId="21709" xr:uid="{00000000-0005-0000-0000-0000DC6C0000}"/>
    <cellStyle name="Normal 9 14 13" xfId="21112" xr:uid="{00000000-0005-0000-0000-0000DD6C0000}"/>
    <cellStyle name="Normal 9 14 14" xfId="20515" xr:uid="{00000000-0005-0000-0000-0000DE6C0000}"/>
    <cellStyle name="Normal 9 14 15" xfId="19918" xr:uid="{00000000-0005-0000-0000-0000DF6C0000}"/>
    <cellStyle name="Normal 9 14 16" xfId="19322" xr:uid="{00000000-0005-0000-0000-0000E06C0000}"/>
    <cellStyle name="Normal 9 14 17" xfId="18726" xr:uid="{00000000-0005-0000-0000-0000E16C0000}"/>
    <cellStyle name="Normal 9 14 18" xfId="18134" xr:uid="{00000000-0005-0000-0000-0000E26C0000}"/>
    <cellStyle name="Normal 9 14 19" xfId="17537" xr:uid="{00000000-0005-0000-0000-0000E36C0000}"/>
    <cellStyle name="Normal 9 14 2" xfId="27676" xr:uid="{00000000-0005-0000-0000-0000E46C0000}"/>
    <cellStyle name="Normal 9 14 20" xfId="16953" xr:uid="{00000000-0005-0000-0000-0000E56C0000}"/>
    <cellStyle name="Normal 9 14 21" xfId="15646" xr:uid="{00000000-0005-0000-0000-0000E66C0000}"/>
    <cellStyle name="Normal 9 14 22" xfId="15690" xr:uid="{00000000-0005-0000-0000-0000E76C0000}"/>
    <cellStyle name="Normal 9 14 23" xfId="16792" xr:uid="{00000000-0005-0000-0000-0000E86C0000}"/>
    <cellStyle name="Normal 9 14 24" xfId="13276" xr:uid="{00000000-0005-0000-0000-0000E96C0000}"/>
    <cellStyle name="Normal 9 14 25" xfId="15055" xr:uid="{00000000-0005-0000-0000-0000EA6C0000}"/>
    <cellStyle name="Normal 9 14 26" xfId="16493" xr:uid="{00000000-0005-0000-0000-0000EB6C0000}"/>
    <cellStyle name="Normal 9 14 27" xfId="15508" xr:uid="{00000000-0005-0000-0000-0000EC6C0000}"/>
    <cellStyle name="Normal 9 14 28" xfId="12146" xr:uid="{00000000-0005-0000-0000-0000ED6C0000}"/>
    <cellStyle name="Normal 9 14 29" xfId="10801" xr:uid="{00000000-0005-0000-0000-0000EE6C0000}"/>
    <cellStyle name="Normal 9 14 3" xfId="27079" xr:uid="{00000000-0005-0000-0000-0000EF6C0000}"/>
    <cellStyle name="Normal 9 14 30" xfId="7181" xr:uid="{00000000-0005-0000-0000-0000F06C0000}"/>
    <cellStyle name="Normal 9 14 31" xfId="8886" xr:uid="{00000000-0005-0000-0000-0000F16C0000}"/>
    <cellStyle name="Normal 9 14 32" xfId="6235" xr:uid="{00000000-0005-0000-0000-0000F26C0000}"/>
    <cellStyle name="Normal 9 14 33" xfId="5707" xr:uid="{00000000-0005-0000-0000-0000F36C0000}"/>
    <cellStyle name="Normal 9 14 34" xfId="6945" xr:uid="{00000000-0005-0000-0000-0000F46C0000}"/>
    <cellStyle name="Normal 9 14 35" xfId="8889" xr:uid="{00000000-0005-0000-0000-0000F56C0000}"/>
    <cellStyle name="Normal 9 14 36" xfId="6138" xr:uid="{00000000-0005-0000-0000-0000F66C0000}"/>
    <cellStyle name="Normal 9 14 37" xfId="9420" xr:uid="{00000000-0005-0000-0000-0000F76C0000}"/>
    <cellStyle name="Normal 9 14 38" xfId="8953" xr:uid="{00000000-0005-0000-0000-0000F86C0000}"/>
    <cellStyle name="Normal 9 14 39" xfId="10891" xr:uid="{00000000-0005-0000-0000-0000F96C0000}"/>
    <cellStyle name="Normal 9 14 4" xfId="26482" xr:uid="{00000000-0005-0000-0000-0000FA6C0000}"/>
    <cellStyle name="Normal 9 14 40" xfId="6481" xr:uid="{00000000-0005-0000-0000-0000FB6C0000}"/>
    <cellStyle name="Normal 9 14 41" xfId="8203" xr:uid="{00000000-0005-0000-0000-0000FC6C0000}"/>
    <cellStyle name="Normal 9 14 42" xfId="3942" xr:uid="{00000000-0005-0000-0000-0000FD6C0000}"/>
    <cellStyle name="Normal 9 14 43" xfId="3526" xr:uid="{00000000-0005-0000-0000-0000FE6C0000}"/>
    <cellStyle name="Normal 9 14 5" xfId="25886" xr:uid="{00000000-0005-0000-0000-0000FF6C0000}"/>
    <cellStyle name="Normal 9 14 6" xfId="25290" xr:uid="{00000000-0005-0000-0000-0000006D0000}"/>
    <cellStyle name="Normal 9 14 7" xfId="24693" xr:uid="{00000000-0005-0000-0000-0000016D0000}"/>
    <cellStyle name="Normal 9 14 8" xfId="24096" xr:uid="{00000000-0005-0000-0000-0000026D0000}"/>
    <cellStyle name="Normal 9 14 9" xfId="23499" xr:uid="{00000000-0005-0000-0000-0000036D0000}"/>
    <cellStyle name="Normal 9 15" xfId="28275" xr:uid="{00000000-0005-0000-0000-0000046D0000}"/>
    <cellStyle name="Normal 9 15 10" xfId="22901" xr:uid="{00000000-0005-0000-0000-0000056D0000}"/>
    <cellStyle name="Normal 9 15 11" xfId="22304" xr:uid="{00000000-0005-0000-0000-0000066D0000}"/>
    <cellStyle name="Normal 9 15 12" xfId="21708" xr:uid="{00000000-0005-0000-0000-0000076D0000}"/>
    <cellStyle name="Normal 9 15 13" xfId="21111" xr:uid="{00000000-0005-0000-0000-0000086D0000}"/>
    <cellStyle name="Normal 9 15 14" xfId="20514" xr:uid="{00000000-0005-0000-0000-0000096D0000}"/>
    <cellStyle name="Normal 9 15 15" xfId="19917" xr:uid="{00000000-0005-0000-0000-00000A6D0000}"/>
    <cellStyle name="Normal 9 15 16" xfId="19321" xr:uid="{00000000-0005-0000-0000-00000B6D0000}"/>
    <cellStyle name="Normal 9 15 17" xfId="18725" xr:uid="{00000000-0005-0000-0000-00000C6D0000}"/>
    <cellStyle name="Normal 9 15 18" xfId="18133" xr:uid="{00000000-0005-0000-0000-00000D6D0000}"/>
    <cellStyle name="Normal 9 15 19" xfId="17536" xr:uid="{00000000-0005-0000-0000-00000E6D0000}"/>
    <cellStyle name="Normal 9 15 2" xfId="27675" xr:uid="{00000000-0005-0000-0000-00000F6D0000}"/>
    <cellStyle name="Normal 9 15 20" xfId="17155" xr:uid="{00000000-0005-0000-0000-0000106D0000}"/>
    <cellStyle name="Normal 9 15 21" xfId="14395" xr:uid="{00000000-0005-0000-0000-0000116D0000}"/>
    <cellStyle name="Normal 9 15 22" xfId="15909" xr:uid="{00000000-0005-0000-0000-0000126D0000}"/>
    <cellStyle name="Normal 9 15 23" xfId="17091" xr:uid="{00000000-0005-0000-0000-0000136D0000}"/>
    <cellStyle name="Normal 9 15 24" xfId="13104" xr:uid="{00000000-0005-0000-0000-0000146D0000}"/>
    <cellStyle name="Normal 9 15 25" xfId="16457" xr:uid="{00000000-0005-0000-0000-0000156D0000}"/>
    <cellStyle name="Normal 9 15 26" xfId="12907" xr:uid="{00000000-0005-0000-0000-0000166D0000}"/>
    <cellStyle name="Normal 9 15 27" xfId="13059" xr:uid="{00000000-0005-0000-0000-0000176D0000}"/>
    <cellStyle name="Normal 9 15 28" xfId="12145" xr:uid="{00000000-0005-0000-0000-0000186D0000}"/>
    <cellStyle name="Normal 9 15 29" xfId="11020" xr:uid="{00000000-0005-0000-0000-0000196D0000}"/>
    <cellStyle name="Normal 9 15 3" xfId="27078" xr:uid="{00000000-0005-0000-0000-00001A6D0000}"/>
    <cellStyle name="Normal 9 15 30" xfId="8245" xr:uid="{00000000-0005-0000-0000-00001B6D0000}"/>
    <cellStyle name="Normal 9 15 31" xfId="10134" xr:uid="{00000000-0005-0000-0000-00001C6D0000}"/>
    <cellStyle name="Normal 9 15 32" xfId="10948" xr:uid="{00000000-0005-0000-0000-00001D6D0000}"/>
    <cellStyle name="Normal 9 15 33" xfId="5060" xr:uid="{00000000-0005-0000-0000-00001E6D0000}"/>
    <cellStyle name="Normal 9 15 34" xfId="5172" xr:uid="{00000000-0005-0000-0000-00001F6D0000}"/>
    <cellStyle name="Normal 9 15 35" xfId="11616" xr:uid="{00000000-0005-0000-0000-0000206D0000}"/>
    <cellStyle name="Normal 9 15 36" xfId="5596" xr:uid="{00000000-0005-0000-0000-0000216D0000}"/>
    <cellStyle name="Normal 9 15 37" xfId="7074" xr:uid="{00000000-0005-0000-0000-0000226D0000}"/>
    <cellStyle name="Normal 9 15 38" xfId="4348" xr:uid="{00000000-0005-0000-0000-0000236D0000}"/>
    <cellStyle name="Normal 9 15 39" xfId="6317" xr:uid="{00000000-0005-0000-0000-0000246D0000}"/>
    <cellStyle name="Normal 9 15 4" xfId="26481" xr:uid="{00000000-0005-0000-0000-0000256D0000}"/>
    <cellStyle name="Normal 9 15 40" xfId="11543" xr:uid="{00000000-0005-0000-0000-0000266D0000}"/>
    <cellStyle name="Normal 9 15 41" xfId="3662" xr:uid="{00000000-0005-0000-0000-0000276D0000}"/>
    <cellStyle name="Normal 9 15 42" xfId="5199" xr:uid="{00000000-0005-0000-0000-0000286D0000}"/>
    <cellStyle name="Normal 9 15 43" xfId="5907" xr:uid="{00000000-0005-0000-0000-0000296D0000}"/>
    <cellStyle name="Normal 9 15 5" xfId="25885" xr:uid="{00000000-0005-0000-0000-00002A6D0000}"/>
    <cellStyle name="Normal 9 15 6" xfId="25289" xr:uid="{00000000-0005-0000-0000-00002B6D0000}"/>
    <cellStyle name="Normal 9 15 7" xfId="24692" xr:uid="{00000000-0005-0000-0000-00002C6D0000}"/>
    <cellStyle name="Normal 9 15 8" xfId="24095" xr:uid="{00000000-0005-0000-0000-00002D6D0000}"/>
    <cellStyle name="Normal 9 15 9" xfId="23498" xr:uid="{00000000-0005-0000-0000-00002E6D0000}"/>
    <cellStyle name="Normal 9 16" xfId="28274" xr:uid="{00000000-0005-0000-0000-00002F6D0000}"/>
    <cellStyle name="Normal 9 16 10" xfId="22900" xr:uid="{00000000-0005-0000-0000-0000306D0000}"/>
    <cellStyle name="Normal 9 16 11" xfId="22303" xr:uid="{00000000-0005-0000-0000-0000316D0000}"/>
    <cellStyle name="Normal 9 16 12" xfId="21707" xr:uid="{00000000-0005-0000-0000-0000326D0000}"/>
    <cellStyle name="Normal 9 16 13" xfId="21110" xr:uid="{00000000-0005-0000-0000-0000336D0000}"/>
    <cellStyle name="Normal 9 16 14" xfId="20513" xr:uid="{00000000-0005-0000-0000-0000346D0000}"/>
    <cellStyle name="Normal 9 16 15" xfId="19916" xr:uid="{00000000-0005-0000-0000-0000356D0000}"/>
    <cellStyle name="Normal 9 16 16" xfId="19320" xr:uid="{00000000-0005-0000-0000-0000366D0000}"/>
    <cellStyle name="Normal 9 16 17" xfId="18724" xr:uid="{00000000-0005-0000-0000-0000376D0000}"/>
    <cellStyle name="Normal 9 16 18" xfId="18132" xr:uid="{00000000-0005-0000-0000-0000386D0000}"/>
    <cellStyle name="Normal 9 16 19" xfId="17535" xr:uid="{00000000-0005-0000-0000-0000396D0000}"/>
    <cellStyle name="Normal 9 16 2" xfId="27674" xr:uid="{00000000-0005-0000-0000-00003A6D0000}"/>
    <cellStyle name="Normal 9 16 20" xfId="17346" xr:uid="{00000000-0005-0000-0000-00003B6D0000}"/>
    <cellStyle name="Normal 9 16 21" xfId="17359" xr:uid="{00000000-0005-0000-0000-00003C6D0000}"/>
    <cellStyle name="Normal 9 16 22" xfId="13644" xr:uid="{00000000-0005-0000-0000-00003D6D0000}"/>
    <cellStyle name="Normal 9 16 23" xfId="13479" xr:uid="{00000000-0005-0000-0000-00003E6D0000}"/>
    <cellStyle name="Normal 9 16 24" xfId="13449" xr:uid="{00000000-0005-0000-0000-00003F6D0000}"/>
    <cellStyle name="Normal 9 16 25" xfId="13187" xr:uid="{00000000-0005-0000-0000-0000406D0000}"/>
    <cellStyle name="Normal 9 16 26" xfId="12921" xr:uid="{00000000-0005-0000-0000-0000416D0000}"/>
    <cellStyle name="Normal 9 16 27" xfId="13711" xr:uid="{00000000-0005-0000-0000-0000426D0000}"/>
    <cellStyle name="Normal 9 16 28" xfId="12144" xr:uid="{00000000-0005-0000-0000-0000436D0000}"/>
    <cellStyle name="Normal 9 16 29" xfId="11248" xr:uid="{00000000-0005-0000-0000-0000446D0000}"/>
    <cellStyle name="Normal 9 16 3" xfId="27077" xr:uid="{00000000-0005-0000-0000-0000456D0000}"/>
    <cellStyle name="Normal 9 16 30" xfId="9620" xr:uid="{00000000-0005-0000-0000-0000466D0000}"/>
    <cellStyle name="Normal 9 16 31" xfId="9475" xr:uid="{00000000-0005-0000-0000-0000476D0000}"/>
    <cellStyle name="Normal 9 16 32" xfId="9835" xr:uid="{00000000-0005-0000-0000-0000486D0000}"/>
    <cellStyle name="Normal 9 16 33" xfId="5070" xr:uid="{00000000-0005-0000-0000-0000496D0000}"/>
    <cellStyle name="Normal 9 16 34" xfId="11682" xr:uid="{00000000-0005-0000-0000-00004A6D0000}"/>
    <cellStyle name="Normal 9 16 35" xfId="5797" xr:uid="{00000000-0005-0000-0000-00004B6D0000}"/>
    <cellStyle name="Normal 9 16 36" xfId="11301" xr:uid="{00000000-0005-0000-0000-00004C6D0000}"/>
    <cellStyle name="Normal 9 16 37" xfId="11870" xr:uid="{00000000-0005-0000-0000-00004D6D0000}"/>
    <cellStyle name="Normal 9 16 38" xfId="4224" xr:uid="{00000000-0005-0000-0000-00004E6D0000}"/>
    <cellStyle name="Normal 9 16 39" xfId="8155" xr:uid="{00000000-0005-0000-0000-00004F6D0000}"/>
    <cellStyle name="Normal 9 16 4" xfId="26480" xr:uid="{00000000-0005-0000-0000-0000506D0000}"/>
    <cellStyle name="Normal 9 16 40" xfId="6534" xr:uid="{00000000-0005-0000-0000-0000516D0000}"/>
    <cellStyle name="Normal 9 16 41" xfId="3299" xr:uid="{00000000-0005-0000-0000-0000526D0000}"/>
    <cellStyle name="Normal 9 16 42" xfId="9747" xr:uid="{00000000-0005-0000-0000-0000536D0000}"/>
    <cellStyle name="Normal 9 16 43" xfId="7812" xr:uid="{00000000-0005-0000-0000-0000546D0000}"/>
    <cellStyle name="Normal 9 16 5" xfId="25884" xr:uid="{00000000-0005-0000-0000-0000556D0000}"/>
    <cellStyle name="Normal 9 16 6" xfId="25288" xr:uid="{00000000-0005-0000-0000-0000566D0000}"/>
    <cellStyle name="Normal 9 16 7" xfId="24691" xr:uid="{00000000-0005-0000-0000-0000576D0000}"/>
    <cellStyle name="Normal 9 16 8" xfId="24094" xr:uid="{00000000-0005-0000-0000-0000586D0000}"/>
    <cellStyle name="Normal 9 16 9" xfId="23497" xr:uid="{00000000-0005-0000-0000-0000596D0000}"/>
    <cellStyle name="Normal 9 17" xfId="28273" xr:uid="{00000000-0005-0000-0000-00005A6D0000}"/>
    <cellStyle name="Normal 9 17 10" xfId="22899" xr:uid="{00000000-0005-0000-0000-00005B6D0000}"/>
    <cellStyle name="Normal 9 17 11" xfId="22302" xr:uid="{00000000-0005-0000-0000-00005C6D0000}"/>
    <cellStyle name="Normal 9 17 12" xfId="21706" xr:uid="{00000000-0005-0000-0000-00005D6D0000}"/>
    <cellStyle name="Normal 9 17 13" xfId="21109" xr:uid="{00000000-0005-0000-0000-00005E6D0000}"/>
    <cellStyle name="Normal 9 17 14" xfId="20512" xr:uid="{00000000-0005-0000-0000-00005F6D0000}"/>
    <cellStyle name="Normal 9 17 15" xfId="19915" xr:uid="{00000000-0005-0000-0000-0000606D0000}"/>
    <cellStyle name="Normal 9 17 16" xfId="19319" xr:uid="{00000000-0005-0000-0000-0000616D0000}"/>
    <cellStyle name="Normal 9 17 17" xfId="18723" xr:uid="{00000000-0005-0000-0000-0000626D0000}"/>
    <cellStyle name="Normal 9 17 18" xfId="18131" xr:uid="{00000000-0005-0000-0000-0000636D0000}"/>
    <cellStyle name="Normal 9 17 19" xfId="17534" xr:uid="{00000000-0005-0000-0000-0000646D0000}"/>
    <cellStyle name="Normal 9 17 2" xfId="27673" xr:uid="{00000000-0005-0000-0000-0000656D0000}"/>
    <cellStyle name="Normal 9 17 20" xfId="15952" xr:uid="{00000000-0005-0000-0000-0000666D0000}"/>
    <cellStyle name="Normal 9 17 21" xfId="16955" xr:uid="{00000000-0005-0000-0000-0000676D0000}"/>
    <cellStyle name="Normal 9 17 22" xfId="13991" xr:uid="{00000000-0005-0000-0000-0000686D0000}"/>
    <cellStyle name="Normal 9 17 23" xfId="15869" xr:uid="{00000000-0005-0000-0000-0000696D0000}"/>
    <cellStyle name="Normal 9 17 24" xfId="15828" xr:uid="{00000000-0005-0000-0000-00006A6D0000}"/>
    <cellStyle name="Normal 9 17 25" xfId="14177" xr:uid="{00000000-0005-0000-0000-00006B6D0000}"/>
    <cellStyle name="Normal 9 17 26" xfId="13171" xr:uid="{00000000-0005-0000-0000-00006C6D0000}"/>
    <cellStyle name="Normal 9 17 27" xfId="14706" xr:uid="{00000000-0005-0000-0000-00006D6D0000}"/>
    <cellStyle name="Normal 9 17 28" xfId="12143" xr:uid="{00000000-0005-0000-0000-00006E6D0000}"/>
    <cellStyle name="Normal 9 17 29" xfId="11481" xr:uid="{00000000-0005-0000-0000-00006F6D0000}"/>
    <cellStyle name="Normal 9 17 3" xfId="27076" xr:uid="{00000000-0005-0000-0000-0000706D0000}"/>
    <cellStyle name="Normal 9 17 30" xfId="6238" xr:uid="{00000000-0005-0000-0000-0000716D0000}"/>
    <cellStyle name="Normal 9 17 31" xfId="8931" xr:uid="{00000000-0005-0000-0000-0000726D0000}"/>
    <cellStyle name="Normal 9 17 32" xfId="5742" xr:uid="{00000000-0005-0000-0000-0000736D0000}"/>
    <cellStyle name="Normal 9 17 33" xfId="7205" xr:uid="{00000000-0005-0000-0000-0000746D0000}"/>
    <cellStyle name="Normal 9 17 34" xfId="11797" xr:uid="{00000000-0005-0000-0000-0000756D0000}"/>
    <cellStyle name="Normal 9 17 35" xfId="9286" xr:uid="{00000000-0005-0000-0000-0000766D0000}"/>
    <cellStyle name="Normal 9 17 36" xfId="7956" xr:uid="{00000000-0005-0000-0000-0000776D0000}"/>
    <cellStyle name="Normal 9 17 37" xfId="9853" xr:uid="{00000000-0005-0000-0000-0000786D0000}"/>
    <cellStyle name="Normal 9 17 38" xfId="3875" xr:uid="{00000000-0005-0000-0000-0000796D0000}"/>
    <cellStyle name="Normal 9 17 39" xfId="11511" xr:uid="{00000000-0005-0000-0000-00007A6D0000}"/>
    <cellStyle name="Normal 9 17 4" xfId="26479" xr:uid="{00000000-0005-0000-0000-00007B6D0000}"/>
    <cellStyle name="Normal 9 17 40" xfId="4615" xr:uid="{00000000-0005-0000-0000-00007C6D0000}"/>
    <cellStyle name="Normal 9 17 41" xfId="7746" xr:uid="{00000000-0005-0000-0000-00007D6D0000}"/>
    <cellStyle name="Normal 9 17 42" xfId="3344" xr:uid="{00000000-0005-0000-0000-00007E6D0000}"/>
    <cellStyle name="Normal 9 17 43" xfId="5977" xr:uid="{00000000-0005-0000-0000-00007F6D0000}"/>
    <cellStyle name="Normal 9 17 5" xfId="25883" xr:uid="{00000000-0005-0000-0000-0000806D0000}"/>
    <cellStyle name="Normal 9 17 6" xfId="25287" xr:uid="{00000000-0005-0000-0000-0000816D0000}"/>
    <cellStyle name="Normal 9 17 7" xfId="24690" xr:uid="{00000000-0005-0000-0000-0000826D0000}"/>
    <cellStyle name="Normal 9 17 8" xfId="24093" xr:uid="{00000000-0005-0000-0000-0000836D0000}"/>
    <cellStyle name="Normal 9 17 9" xfId="23496" xr:uid="{00000000-0005-0000-0000-0000846D0000}"/>
    <cellStyle name="Normal 9 18" xfId="28272" xr:uid="{00000000-0005-0000-0000-0000856D0000}"/>
    <cellStyle name="Normal 9 18 10" xfId="22898" xr:uid="{00000000-0005-0000-0000-0000866D0000}"/>
    <cellStyle name="Normal 9 18 11" xfId="22301" xr:uid="{00000000-0005-0000-0000-0000876D0000}"/>
    <cellStyle name="Normal 9 18 12" xfId="21705" xr:uid="{00000000-0005-0000-0000-0000886D0000}"/>
    <cellStyle name="Normal 9 18 13" xfId="21108" xr:uid="{00000000-0005-0000-0000-0000896D0000}"/>
    <cellStyle name="Normal 9 18 14" xfId="20511" xr:uid="{00000000-0005-0000-0000-00008A6D0000}"/>
    <cellStyle name="Normal 9 18 15" xfId="19914" xr:uid="{00000000-0005-0000-0000-00008B6D0000}"/>
    <cellStyle name="Normal 9 18 16" xfId="19318" xr:uid="{00000000-0005-0000-0000-00008C6D0000}"/>
    <cellStyle name="Normal 9 18 17" xfId="18722" xr:uid="{00000000-0005-0000-0000-00008D6D0000}"/>
    <cellStyle name="Normal 9 18 18" xfId="18130" xr:uid="{00000000-0005-0000-0000-00008E6D0000}"/>
    <cellStyle name="Normal 9 18 19" xfId="17533" xr:uid="{00000000-0005-0000-0000-00008F6D0000}"/>
    <cellStyle name="Normal 9 18 2" xfId="27672" xr:uid="{00000000-0005-0000-0000-0000906D0000}"/>
    <cellStyle name="Normal 9 18 20" xfId="16160" xr:uid="{00000000-0005-0000-0000-0000916D0000}"/>
    <cellStyle name="Normal 9 18 21" xfId="15036" xr:uid="{00000000-0005-0000-0000-0000926D0000}"/>
    <cellStyle name="Normal 9 18 22" xfId="13678" xr:uid="{00000000-0005-0000-0000-0000936D0000}"/>
    <cellStyle name="Normal 9 18 23" xfId="15502" xr:uid="{00000000-0005-0000-0000-0000946D0000}"/>
    <cellStyle name="Normal 9 18 24" xfId="13721" xr:uid="{00000000-0005-0000-0000-0000956D0000}"/>
    <cellStyle name="Normal 9 18 25" xfId="12938" xr:uid="{00000000-0005-0000-0000-0000966D0000}"/>
    <cellStyle name="Normal 9 18 26" xfId="13305" xr:uid="{00000000-0005-0000-0000-0000976D0000}"/>
    <cellStyle name="Normal 9 18 27" xfId="12834" xr:uid="{00000000-0005-0000-0000-0000986D0000}"/>
    <cellStyle name="Normal 9 18 28" xfId="12142" xr:uid="{00000000-0005-0000-0000-0000996D0000}"/>
    <cellStyle name="Normal 9 18 29" xfId="11705" xr:uid="{00000000-0005-0000-0000-00009A6D0000}"/>
    <cellStyle name="Normal 9 18 3" xfId="27075" xr:uid="{00000000-0005-0000-0000-00009B6D0000}"/>
    <cellStyle name="Normal 9 18 30" xfId="11182" xr:uid="{00000000-0005-0000-0000-00009C6D0000}"/>
    <cellStyle name="Normal 9 18 31" xfId="7668" xr:uid="{00000000-0005-0000-0000-00009D6D0000}"/>
    <cellStyle name="Normal 9 18 32" xfId="8674" xr:uid="{00000000-0005-0000-0000-00009E6D0000}"/>
    <cellStyle name="Normal 9 18 33" xfId="6703" xr:uid="{00000000-0005-0000-0000-00009F6D0000}"/>
    <cellStyle name="Normal 9 18 34" xfId="9102" xr:uid="{00000000-0005-0000-0000-0000A06D0000}"/>
    <cellStyle name="Normal 9 18 35" xfId="5027" xr:uid="{00000000-0005-0000-0000-0000A16D0000}"/>
    <cellStyle name="Normal 9 18 36" xfId="12017" xr:uid="{00000000-0005-0000-0000-0000A26D0000}"/>
    <cellStyle name="Normal 9 18 37" xfId="5267" xr:uid="{00000000-0005-0000-0000-0000A36D0000}"/>
    <cellStyle name="Normal 9 18 38" xfId="7059" xr:uid="{00000000-0005-0000-0000-0000A46D0000}"/>
    <cellStyle name="Normal 9 18 39" xfId="3767" xr:uid="{00000000-0005-0000-0000-0000A56D0000}"/>
    <cellStyle name="Normal 9 18 4" xfId="26478" xr:uid="{00000000-0005-0000-0000-0000A66D0000}"/>
    <cellStyle name="Normal 9 18 40" xfId="8755" xr:uid="{00000000-0005-0000-0000-0000A76D0000}"/>
    <cellStyle name="Normal 9 18 41" xfId="3483" xr:uid="{00000000-0005-0000-0000-0000A86D0000}"/>
    <cellStyle name="Normal 9 18 42" xfId="5913" xr:uid="{00000000-0005-0000-0000-0000A96D0000}"/>
    <cellStyle name="Normal 9 18 43" xfId="11754" xr:uid="{00000000-0005-0000-0000-0000AA6D0000}"/>
    <cellStyle name="Normal 9 18 5" xfId="25882" xr:uid="{00000000-0005-0000-0000-0000AB6D0000}"/>
    <cellStyle name="Normal 9 18 6" xfId="25286" xr:uid="{00000000-0005-0000-0000-0000AC6D0000}"/>
    <cellStyle name="Normal 9 18 7" xfId="24689" xr:uid="{00000000-0005-0000-0000-0000AD6D0000}"/>
    <cellStyle name="Normal 9 18 8" xfId="24092" xr:uid="{00000000-0005-0000-0000-0000AE6D0000}"/>
    <cellStyle name="Normal 9 18 9" xfId="23495" xr:uid="{00000000-0005-0000-0000-0000AF6D0000}"/>
    <cellStyle name="Normal 9 19" xfId="28271" xr:uid="{00000000-0005-0000-0000-0000B06D0000}"/>
    <cellStyle name="Normal 9 19 10" xfId="22897" xr:uid="{00000000-0005-0000-0000-0000B16D0000}"/>
    <cellStyle name="Normal 9 19 11" xfId="22300" xr:uid="{00000000-0005-0000-0000-0000B26D0000}"/>
    <cellStyle name="Normal 9 19 12" xfId="21704" xr:uid="{00000000-0005-0000-0000-0000B36D0000}"/>
    <cellStyle name="Normal 9 19 13" xfId="21107" xr:uid="{00000000-0005-0000-0000-0000B46D0000}"/>
    <cellStyle name="Normal 9 19 14" xfId="20510" xr:uid="{00000000-0005-0000-0000-0000B56D0000}"/>
    <cellStyle name="Normal 9 19 15" xfId="19913" xr:uid="{00000000-0005-0000-0000-0000B66D0000}"/>
    <cellStyle name="Normal 9 19 16" xfId="19317" xr:uid="{00000000-0005-0000-0000-0000B76D0000}"/>
    <cellStyle name="Normal 9 19 17" xfId="18721" xr:uid="{00000000-0005-0000-0000-0000B86D0000}"/>
    <cellStyle name="Normal 9 19 18" xfId="18129" xr:uid="{00000000-0005-0000-0000-0000B96D0000}"/>
    <cellStyle name="Normal 9 19 19" xfId="17532" xr:uid="{00000000-0005-0000-0000-0000BA6D0000}"/>
    <cellStyle name="Normal 9 19 2" xfId="27671" xr:uid="{00000000-0005-0000-0000-0000BB6D0000}"/>
    <cellStyle name="Normal 9 19 20" xfId="16361" xr:uid="{00000000-0005-0000-0000-0000BC6D0000}"/>
    <cellStyle name="Normal 9 19 21" xfId="14624" xr:uid="{00000000-0005-0000-0000-0000BD6D0000}"/>
    <cellStyle name="Normal 9 19 22" xfId="13817" xr:uid="{00000000-0005-0000-0000-0000BE6D0000}"/>
    <cellStyle name="Normal 9 19 23" xfId="14776" xr:uid="{00000000-0005-0000-0000-0000BF6D0000}"/>
    <cellStyle name="Normal 9 19 24" xfId="17161" xr:uid="{00000000-0005-0000-0000-0000C06D0000}"/>
    <cellStyle name="Normal 9 19 25" xfId="17451" xr:uid="{00000000-0005-0000-0000-0000C16D0000}"/>
    <cellStyle name="Normal 9 19 26" xfId="14919" xr:uid="{00000000-0005-0000-0000-0000C26D0000}"/>
    <cellStyle name="Normal 9 19 27" xfId="15866" xr:uid="{00000000-0005-0000-0000-0000C36D0000}"/>
    <cellStyle name="Normal 9 19 28" xfId="12141" xr:uid="{00000000-0005-0000-0000-0000C46D0000}"/>
    <cellStyle name="Normal 9 19 29" xfId="7938" xr:uid="{00000000-0005-0000-0000-0000C56D0000}"/>
    <cellStyle name="Normal 9 19 3" xfId="27074" xr:uid="{00000000-0005-0000-0000-0000C66D0000}"/>
    <cellStyle name="Normal 9 19 30" xfId="7899" xr:uid="{00000000-0005-0000-0000-0000C76D0000}"/>
    <cellStyle name="Normal 9 19 31" xfId="10330" xr:uid="{00000000-0005-0000-0000-0000C86D0000}"/>
    <cellStyle name="Normal 9 19 32" xfId="6644" xr:uid="{00000000-0005-0000-0000-0000C96D0000}"/>
    <cellStyle name="Normal 9 19 33" xfId="7703" xr:uid="{00000000-0005-0000-0000-0000CA6D0000}"/>
    <cellStyle name="Normal 9 19 34" xfId="8598" xr:uid="{00000000-0005-0000-0000-0000CB6D0000}"/>
    <cellStyle name="Normal 9 19 35" xfId="5345" xr:uid="{00000000-0005-0000-0000-0000CC6D0000}"/>
    <cellStyle name="Normal 9 19 36" xfId="7514" xr:uid="{00000000-0005-0000-0000-0000CD6D0000}"/>
    <cellStyle name="Normal 9 19 37" xfId="5416" xr:uid="{00000000-0005-0000-0000-0000CE6D0000}"/>
    <cellStyle name="Normal 9 19 38" xfId="10462" xr:uid="{00000000-0005-0000-0000-0000CF6D0000}"/>
    <cellStyle name="Normal 9 19 39" xfId="4051" xr:uid="{00000000-0005-0000-0000-0000D06D0000}"/>
    <cellStyle name="Normal 9 19 4" xfId="26477" xr:uid="{00000000-0005-0000-0000-0000D16D0000}"/>
    <cellStyle name="Normal 9 19 40" xfId="3604" xr:uid="{00000000-0005-0000-0000-0000D26D0000}"/>
    <cellStyle name="Normal 9 19 41" xfId="11302" xr:uid="{00000000-0005-0000-0000-0000D36D0000}"/>
    <cellStyle name="Normal 9 19 42" xfId="4602" xr:uid="{00000000-0005-0000-0000-0000D46D0000}"/>
    <cellStyle name="Normal 9 19 43" xfId="10751" xr:uid="{00000000-0005-0000-0000-0000D56D0000}"/>
    <cellStyle name="Normal 9 19 5" xfId="25881" xr:uid="{00000000-0005-0000-0000-0000D66D0000}"/>
    <cellStyle name="Normal 9 19 6" xfId="25285" xr:uid="{00000000-0005-0000-0000-0000D76D0000}"/>
    <cellStyle name="Normal 9 19 7" xfId="24688" xr:uid="{00000000-0005-0000-0000-0000D86D0000}"/>
    <cellStyle name="Normal 9 19 8" xfId="24091" xr:uid="{00000000-0005-0000-0000-0000D96D0000}"/>
    <cellStyle name="Normal 9 19 9" xfId="23494" xr:uid="{00000000-0005-0000-0000-0000DA6D0000}"/>
    <cellStyle name="Normal 9 2" xfId="28270" xr:uid="{00000000-0005-0000-0000-0000DB6D0000}"/>
    <cellStyle name="Normal 9 2 10" xfId="22896" xr:uid="{00000000-0005-0000-0000-0000DC6D0000}"/>
    <cellStyle name="Normal 9 2 11" xfId="22299" xr:uid="{00000000-0005-0000-0000-0000DD6D0000}"/>
    <cellStyle name="Normal 9 2 12" xfId="21703" xr:uid="{00000000-0005-0000-0000-0000DE6D0000}"/>
    <cellStyle name="Normal 9 2 13" xfId="21106" xr:uid="{00000000-0005-0000-0000-0000DF6D0000}"/>
    <cellStyle name="Normal 9 2 14" xfId="20509" xr:uid="{00000000-0005-0000-0000-0000E06D0000}"/>
    <cellStyle name="Normal 9 2 15" xfId="19912" xr:uid="{00000000-0005-0000-0000-0000E16D0000}"/>
    <cellStyle name="Normal 9 2 16" xfId="19316" xr:uid="{00000000-0005-0000-0000-0000E26D0000}"/>
    <cellStyle name="Normal 9 2 17" xfId="18720" xr:uid="{00000000-0005-0000-0000-0000E36D0000}"/>
    <cellStyle name="Normal 9 2 18" xfId="18128" xr:uid="{00000000-0005-0000-0000-0000E46D0000}"/>
    <cellStyle name="Normal 9 2 19" xfId="17531" xr:uid="{00000000-0005-0000-0000-0000E56D0000}"/>
    <cellStyle name="Normal 9 2 2" xfId="27670" xr:uid="{00000000-0005-0000-0000-0000E66D0000}"/>
    <cellStyle name="Normal 9 2 20" xfId="16551" xr:uid="{00000000-0005-0000-0000-0000E76D0000}"/>
    <cellStyle name="Normal 9 2 21" xfId="14227" xr:uid="{00000000-0005-0000-0000-0000E86D0000}"/>
    <cellStyle name="Normal 9 2 22" xfId="14985" xr:uid="{00000000-0005-0000-0000-0000E96D0000}"/>
    <cellStyle name="Normal 9 2 23" xfId="16107" xr:uid="{00000000-0005-0000-0000-0000EA6D0000}"/>
    <cellStyle name="Normal 9 2 24" xfId="15662" xr:uid="{00000000-0005-0000-0000-0000EB6D0000}"/>
    <cellStyle name="Normal 9 2 25" xfId="17510" xr:uid="{00000000-0005-0000-0000-0000EC6D0000}"/>
    <cellStyle name="Normal 9 2 26" xfId="13240" xr:uid="{00000000-0005-0000-0000-0000ED6D0000}"/>
    <cellStyle name="Normal 9 2 27" xfId="17409" xr:uid="{00000000-0005-0000-0000-0000EE6D0000}"/>
    <cellStyle name="Normal 9 2 28" xfId="12140" xr:uid="{00000000-0005-0000-0000-0000EF6D0000}"/>
    <cellStyle name="Normal 9 2 29" xfId="6817" xr:uid="{00000000-0005-0000-0000-0000F06D0000}"/>
    <cellStyle name="Normal 9 2 3" xfId="27073" xr:uid="{00000000-0005-0000-0000-0000F16D0000}"/>
    <cellStyle name="Normal 9 2 30" xfId="11200" xr:uid="{00000000-0005-0000-0000-0000F26D0000}"/>
    <cellStyle name="Normal 9 2 31" xfId="12102" xr:uid="{00000000-0005-0000-0000-0000F36D0000}"/>
    <cellStyle name="Normal 9 2 32" xfId="10408" xr:uid="{00000000-0005-0000-0000-0000F46D0000}"/>
    <cellStyle name="Normal 9 2 33" xfId="5595" xr:uid="{00000000-0005-0000-0000-0000F56D0000}"/>
    <cellStyle name="Normal 9 2 34" xfId="9070" xr:uid="{00000000-0005-0000-0000-0000F66D0000}"/>
    <cellStyle name="Normal 9 2 35" xfId="11249" xr:uid="{00000000-0005-0000-0000-0000F76D0000}"/>
    <cellStyle name="Normal 9 2 36" xfId="11995" xr:uid="{00000000-0005-0000-0000-0000F86D0000}"/>
    <cellStyle name="Normal 9 2 37" xfId="10657" xr:uid="{00000000-0005-0000-0000-0000F96D0000}"/>
    <cellStyle name="Normal 9 2 38" xfId="10371" xr:uid="{00000000-0005-0000-0000-0000FA6D0000}"/>
    <cellStyle name="Normal 9 2 39" xfId="8227" xr:uid="{00000000-0005-0000-0000-0000FB6D0000}"/>
    <cellStyle name="Normal 9 2 4" xfId="26476" xr:uid="{00000000-0005-0000-0000-0000FC6D0000}"/>
    <cellStyle name="Normal 9 2 40" xfId="3867" xr:uid="{00000000-0005-0000-0000-0000FD6D0000}"/>
    <cellStyle name="Normal 9 2 41" xfId="8453" xr:uid="{00000000-0005-0000-0000-0000FE6D0000}"/>
    <cellStyle name="Normal 9 2 42" xfId="6941" xr:uid="{00000000-0005-0000-0000-0000FF6D0000}"/>
    <cellStyle name="Normal 9 2 43" xfId="3975" xr:uid="{00000000-0005-0000-0000-0000006E0000}"/>
    <cellStyle name="Normal 9 2 44" xfId="2843" xr:uid="{00000000-0005-0000-0000-0000016E0000}"/>
    <cellStyle name="Normal 9 2 45" xfId="2600" xr:uid="{00000000-0005-0000-0000-0000026E0000}"/>
    <cellStyle name="Normal 9 2 46" xfId="2360" xr:uid="{00000000-0005-0000-0000-0000036E0000}"/>
    <cellStyle name="Normal 9 2 47" xfId="2120" xr:uid="{00000000-0005-0000-0000-0000046E0000}"/>
    <cellStyle name="Normal 9 2 48" xfId="1880" xr:uid="{00000000-0005-0000-0000-0000056E0000}"/>
    <cellStyle name="Normal 9 2 49" xfId="1640" xr:uid="{00000000-0005-0000-0000-0000066E0000}"/>
    <cellStyle name="Normal 9 2 5" xfId="25880" xr:uid="{00000000-0005-0000-0000-0000076E0000}"/>
    <cellStyle name="Normal 9 2 50" xfId="1401" xr:uid="{00000000-0005-0000-0000-0000086E0000}"/>
    <cellStyle name="Normal 9 2 51" xfId="1161" xr:uid="{00000000-0005-0000-0000-0000096E0000}"/>
    <cellStyle name="Normal 9 2 52" xfId="921" xr:uid="{00000000-0005-0000-0000-00000A6E0000}"/>
    <cellStyle name="Normal 9 2 53" xfId="681" xr:uid="{00000000-0005-0000-0000-00000B6E0000}"/>
    <cellStyle name="Normal 9 2 54" xfId="441" xr:uid="{00000000-0005-0000-0000-00000C6E0000}"/>
    <cellStyle name="Normal 9 2 55" xfId="202" xr:uid="{00000000-0005-0000-0000-00000D6E0000}"/>
    <cellStyle name="Normal 9 2 56" xfId="28890" xr:uid="{00000000-0005-0000-0000-00000E6E0000}"/>
    <cellStyle name="Normal 9 2 6" xfId="25284" xr:uid="{00000000-0005-0000-0000-00000F6E0000}"/>
    <cellStyle name="Normal 9 2 7" xfId="24687" xr:uid="{00000000-0005-0000-0000-0000106E0000}"/>
    <cellStyle name="Normal 9 2 8" xfId="24090" xr:uid="{00000000-0005-0000-0000-0000116E0000}"/>
    <cellStyle name="Normal 9 2 9" xfId="23493" xr:uid="{00000000-0005-0000-0000-0000126E0000}"/>
    <cellStyle name="Normal 9 20" xfId="28269" xr:uid="{00000000-0005-0000-0000-0000136E0000}"/>
    <cellStyle name="Normal 9 20 10" xfId="22895" xr:uid="{00000000-0005-0000-0000-0000146E0000}"/>
    <cellStyle name="Normal 9 20 11" xfId="22298" xr:uid="{00000000-0005-0000-0000-0000156E0000}"/>
    <cellStyle name="Normal 9 20 12" xfId="21702" xr:uid="{00000000-0005-0000-0000-0000166E0000}"/>
    <cellStyle name="Normal 9 20 13" xfId="21105" xr:uid="{00000000-0005-0000-0000-0000176E0000}"/>
    <cellStyle name="Normal 9 20 14" xfId="20508" xr:uid="{00000000-0005-0000-0000-0000186E0000}"/>
    <cellStyle name="Normal 9 20 15" xfId="19911" xr:uid="{00000000-0005-0000-0000-0000196E0000}"/>
    <cellStyle name="Normal 9 20 16" xfId="19315" xr:uid="{00000000-0005-0000-0000-00001A6E0000}"/>
    <cellStyle name="Normal 9 20 17" xfId="18719" xr:uid="{00000000-0005-0000-0000-00001B6E0000}"/>
    <cellStyle name="Normal 9 20 18" xfId="18127" xr:uid="{00000000-0005-0000-0000-00001C6E0000}"/>
    <cellStyle name="Normal 9 20 19" xfId="17530" xr:uid="{00000000-0005-0000-0000-00001D6E0000}"/>
    <cellStyle name="Normal 9 20 2" xfId="27669" xr:uid="{00000000-0005-0000-0000-00001E6E0000}"/>
    <cellStyle name="Normal 9 20 20" xfId="16745" xr:uid="{00000000-0005-0000-0000-00001F6E0000}"/>
    <cellStyle name="Normal 9 20 21" xfId="17207" xr:uid="{00000000-0005-0000-0000-0000206E0000}"/>
    <cellStyle name="Normal 9 20 22" xfId="14204" xr:uid="{00000000-0005-0000-0000-0000216E0000}"/>
    <cellStyle name="Normal 9 20 23" xfId="15107" xr:uid="{00000000-0005-0000-0000-0000226E0000}"/>
    <cellStyle name="Normal 9 20 24" xfId="15801" xr:uid="{00000000-0005-0000-0000-0000236E0000}"/>
    <cellStyle name="Normal 9 20 25" xfId="12965" xr:uid="{00000000-0005-0000-0000-0000246E0000}"/>
    <cellStyle name="Normal 9 20 26" xfId="16670" xr:uid="{00000000-0005-0000-0000-0000256E0000}"/>
    <cellStyle name="Normal 9 20 27" xfId="17430" xr:uid="{00000000-0005-0000-0000-0000266E0000}"/>
    <cellStyle name="Normal 9 20 28" xfId="12139" xr:uid="{00000000-0005-0000-0000-0000276E0000}"/>
    <cellStyle name="Normal 9 20 29" xfId="7298" xr:uid="{00000000-0005-0000-0000-0000286E0000}"/>
    <cellStyle name="Normal 9 20 3" xfId="27072" xr:uid="{00000000-0005-0000-0000-0000296E0000}"/>
    <cellStyle name="Normal 9 20 30" xfId="10288" xr:uid="{00000000-0005-0000-0000-00002A6E0000}"/>
    <cellStyle name="Normal 9 20 31" xfId="7217" xr:uid="{00000000-0005-0000-0000-00002B6E0000}"/>
    <cellStyle name="Normal 9 20 32" xfId="9556" xr:uid="{00000000-0005-0000-0000-00002C6E0000}"/>
    <cellStyle name="Normal 9 20 33" xfId="9106" xr:uid="{00000000-0005-0000-0000-00002D6E0000}"/>
    <cellStyle name="Normal 9 20 34" xfId="5024" xr:uid="{00000000-0005-0000-0000-00002E6E0000}"/>
    <cellStyle name="Normal 9 20 35" xfId="4366" xr:uid="{00000000-0005-0000-0000-00002F6E0000}"/>
    <cellStyle name="Normal 9 20 36" xfId="4547" xr:uid="{00000000-0005-0000-0000-0000306E0000}"/>
    <cellStyle name="Normal 9 20 37" xfId="8496" xr:uid="{00000000-0005-0000-0000-0000316E0000}"/>
    <cellStyle name="Normal 9 20 38" xfId="4436" xr:uid="{00000000-0005-0000-0000-0000326E0000}"/>
    <cellStyle name="Normal 9 20 39" xfId="3489" xr:uid="{00000000-0005-0000-0000-0000336E0000}"/>
    <cellStyle name="Normal 9 20 4" xfId="26475" xr:uid="{00000000-0005-0000-0000-0000346E0000}"/>
    <cellStyle name="Normal 9 20 40" xfId="5627" xr:uid="{00000000-0005-0000-0000-0000356E0000}"/>
    <cellStyle name="Normal 9 20 41" xfId="9281" xr:uid="{00000000-0005-0000-0000-0000366E0000}"/>
    <cellStyle name="Normal 9 20 42" xfId="8894" xr:uid="{00000000-0005-0000-0000-0000376E0000}"/>
    <cellStyle name="Normal 9 20 43" xfId="4999" xr:uid="{00000000-0005-0000-0000-0000386E0000}"/>
    <cellStyle name="Normal 9 20 5" xfId="25879" xr:uid="{00000000-0005-0000-0000-0000396E0000}"/>
    <cellStyle name="Normal 9 20 6" xfId="25283" xr:uid="{00000000-0005-0000-0000-00003A6E0000}"/>
    <cellStyle name="Normal 9 20 7" xfId="24686" xr:uid="{00000000-0005-0000-0000-00003B6E0000}"/>
    <cellStyle name="Normal 9 20 8" xfId="24089" xr:uid="{00000000-0005-0000-0000-00003C6E0000}"/>
    <cellStyle name="Normal 9 20 9" xfId="23492" xr:uid="{00000000-0005-0000-0000-00003D6E0000}"/>
    <cellStyle name="Normal 9 21" xfId="28268" xr:uid="{00000000-0005-0000-0000-00003E6E0000}"/>
    <cellStyle name="Normal 9 21 10" xfId="22894" xr:uid="{00000000-0005-0000-0000-00003F6E0000}"/>
    <cellStyle name="Normal 9 21 11" xfId="22297" xr:uid="{00000000-0005-0000-0000-0000406E0000}"/>
    <cellStyle name="Normal 9 21 12" xfId="21701" xr:uid="{00000000-0005-0000-0000-0000416E0000}"/>
    <cellStyle name="Normal 9 21 13" xfId="21104" xr:uid="{00000000-0005-0000-0000-0000426E0000}"/>
    <cellStyle name="Normal 9 21 14" xfId="20507" xr:uid="{00000000-0005-0000-0000-0000436E0000}"/>
    <cellStyle name="Normal 9 21 15" xfId="19910" xr:uid="{00000000-0005-0000-0000-0000446E0000}"/>
    <cellStyle name="Normal 9 21 16" xfId="19314" xr:uid="{00000000-0005-0000-0000-0000456E0000}"/>
    <cellStyle name="Normal 9 21 17" xfId="18718" xr:uid="{00000000-0005-0000-0000-0000466E0000}"/>
    <cellStyle name="Normal 9 21 18" xfId="18126" xr:uid="{00000000-0005-0000-0000-0000476E0000}"/>
    <cellStyle name="Normal 9 21 19" xfId="17529" xr:uid="{00000000-0005-0000-0000-0000486E0000}"/>
    <cellStyle name="Normal 9 21 2" xfId="27668" xr:uid="{00000000-0005-0000-0000-0000496E0000}"/>
    <cellStyle name="Normal 9 21 20" xfId="16942" xr:uid="{00000000-0005-0000-0000-00004A6E0000}"/>
    <cellStyle name="Normal 9 21 21" xfId="14209" xr:uid="{00000000-0005-0000-0000-00004B6E0000}"/>
    <cellStyle name="Normal 9 21 22" xfId="14590" xr:uid="{00000000-0005-0000-0000-00004C6E0000}"/>
    <cellStyle name="Normal 9 21 23" xfId="17084" xr:uid="{00000000-0005-0000-0000-00004D6E0000}"/>
    <cellStyle name="Normal 9 21 24" xfId="14915" xr:uid="{00000000-0005-0000-0000-00004E6E0000}"/>
    <cellStyle name="Normal 9 21 25" xfId="14598" xr:uid="{00000000-0005-0000-0000-00004F6E0000}"/>
    <cellStyle name="Normal 9 21 26" xfId="17049" xr:uid="{00000000-0005-0000-0000-0000506E0000}"/>
    <cellStyle name="Normal 9 21 27" xfId="14794" xr:uid="{00000000-0005-0000-0000-0000516E0000}"/>
    <cellStyle name="Normal 9 21 28" xfId="12138" xr:uid="{00000000-0005-0000-0000-0000526E0000}"/>
    <cellStyle name="Normal 9 21 29" xfId="6431" xr:uid="{00000000-0005-0000-0000-0000536E0000}"/>
    <cellStyle name="Normal 9 21 3" xfId="27071" xr:uid="{00000000-0005-0000-0000-0000546E0000}"/>
    <cellStyle name="Normal 9 21 30" xfId="9220" xr:uid="{00000000-0005-0000-0000-0000556E0000}"/>
    <cellStyle name="Normal 9 21 31" xfId="8538" xr:uid="{00000000-0005-0000-0000-0000566E0000}"/>
    <cellStyle name="Normal 9 21 32" xfId="6890" xr:uid="{00000000-0005-0000-0000-0000576E0000}"/>
    <cellStyle name="Normal 9 21 33" xfId="9046" xr:uid="{00000000-0005-0000-0000-0000586E0000}"/>
    <cellStyle name="Normal 9 21 34" xfId="11534" xr:uid="{00000000-0005-0000-0000-0000596E0000}"/>
    <cellStyle name="Normal 9 21 35" xfId="4228" xr:uid="{00000000-0005-0000-0000-00005A6E0000}"/>
    <cellStyle name="Normal 9 21 36" xfId="4105" xr:uid="{00000000-0005-0000-0000-00005B6E0000}"/>
    <cellStyle name="Normal 9 21 37" xfId="9632" xr:uid="{00000000-0005-0000-0000-00005C6E0000}"/>
    <cellStyle name="Normal 9 21 38" xfId="5522" xr:uid="{00000000-0005-0000-0000-00005D6E0000}"/>
    <cellStyle name="Normal 9 21 39" xfId="3785" xr:uid="{00000000-0005-0000-0000-00005E6E0000}"/>
    <cellStyle name="Normal 9 21 4" xfId="26474" xr:uid="{00000000-0005-0000-0000-00005F6E0000}"/>
    <cellStyle name="Normal 9 21 40" xfId="4850" xr:uid="{00000000-0005-0000-0000-0000606E0000}"/>
    <cellStyle name="Normal 9 21 41" xfId="6202" xr:uid="{00000000-0005-0000-0000-0000616E0000}"/>
    <cellStyle name="Normal 9 21 42" xfId="7146" xr:uid="{00000000-0005-0000-0000-0000626E0000}"/>
    <cellStyle name="Normal 9 21 43" xfId="3808" xr:uid="{00000000-0005-0000-0000-0000636E0000}"/>
    <cellStyle name="Normal 9 21 5" xfId="25878" xr:uid="{00000000-0005-0000-0000-0000646E0000}"/>
    <cellStyle name="Normal 9 21 6" xfId="25282" xr:uid="{00000000-0005-0000-0000-0000656E0000}"/>
    <cellStyle name="Normal 9 21 7" xfId="24685" xr:uid="{00000000-0005-0000-0000-0000666E0000}"/>
    <cellStyle name="Normal 9 21 8" xfId="24088" xr:uid="{00000000-0005-0000-0000-0000676E0000}"/>
    <cellStyle name="Normal 9 21 9" xfId="23491" xr:uid="{00000000-0005-0000-0000-0000686E0000}"/>
    <cellStyle name="Normal 9 22" xfId="28267" xr:uid="{00000000-0005-0000-0000-0000696E0000}"/>
    <cellStyle name="Normal 9 22 10" xfId="22893" xr:uid="{00000000-0005-0000-0000-00006A6E0000}"/>
    <cellStyle name="Normal 9 22 11" xfId="22296" xr:uid="{00000000-0005-0000-0000-00006B6E0000}"/>
    <cellStyle name="Normal 9 22 12" xfId="21700" xr:uid="{00000000-0005-0000-0000-00006C6E0000}"/>
    <cellStyle name="Normal 9 22 13" xfId="21103" xr:uid="{00000000-0005-0000-0000-00006D6E0000}"/>
    <cellStyle name="Normal 9 22 14" xfId="20506" xr:uid="{00000000-0005-0000-0000-00006E6E0000}"/>
    <cellStyle name="Normal 9 22 15" xfId="19909" xr:uid="{00000000-0005-0000-0000-00006F6E0000}"/>
    <cellStyle name="Normal 9 22 16" xfId="19313" xr:uid="{00000000-0005-0000-0000-0000706E0000}"/>
    <cellStyle name="Normal 9 22 17" xfId="18717" xr:uid="{00000000-0005-0000-0000-0000716E0000}"/>
    <cellStyle name="Normal 9 22 18" xfId="18125" xr:uid="{00000000-0005-0000-0000-0000726E0000}"/>
    <cellStyle name="Normal 9 22 19" xfId="17528" xr:uid="{00000000-0005-0000-0000-0000736E0000}"/>
    <cellStyle name="Normal 9 22 2" xfId="27667" xr:uid="{00000000-0005-0000-0000-0000746E0000}"/>
    <cellStyle name="Normal 9 22 20" xfId="17149" xr:uid="{00000000-0005-0000-0000-0000756E0000}"/>
    <cellStyle name="Normal 9 22 21" xfId="14587" xr:uid="{00000000-0005-0000-0000-0000766E0000}"/>
    <cellStyle name="Normal 9 22 22" xfId="17202" xr:uid="{00000000-0005-0000-0000-0000776E0000}"/>
    <cellStyle name="Normal 9 22 23" xfId="15396" xr:uid="{00000000-0005-0000-0000-0000786E0000}"/>
    <cellStyle name="Normal 9 22 24" xfId="17371" xr:uid="{00000000-0005-0000-0000-0000796E0000}"/>
    <cellStyle name="Normal 9 22 25" xfId="13261" xr:uid="{00000000-0005-0000-0000-00007A6E0000}"/>
    <cellStyle name="Normal 9 22 26" xfId="16625" xr:uid="{00000000-0005-0000-0000-00007B6E0000}"/>
    <cellStyle name="Normal 9 22 27" xfId="12743" xr:uid="{00000000-0005-0000-0000-00007C6E0000}"/>
    <cellStyle name="Normal 9 22 28" xfId="12137" xr:uid="{00000000-0005-0000-0000-00007D6E0000}"/>
    <cellStyle name="Normal 9 22 29" xfId="7207" xr:uid="{00000000-0005-0000-0000-00007E6E0000}"/>
    <cellStyle name="Normal 9 22 3" xfId="27070" xr:uid="{00000000-0005-0000-0000-00007F6E0000}"/>
    <cellStyle name="Normal 9 22 30" xfId="7271" xr:uid="{00000000-0005-0000-0000-0000806E0000}"/>
    <cellStyle name="Normal 9 22 31" xfId="7507" xr:uid="{00000000-0005-0000-0000-0000816E0000}"/>
    <cellStyle name="Normal 9 22 32" xfId="11598" xr:uid="{00000000-0005-0000-0000-0000826E0000}"/>
    <cellStyle name="Normal 9 22 33" xfId="7430" xr:uid="{00000000-0005-0000-0000-0000836E0000}"/>
    <cellStyle name="Normal 9 22 34" xfId="10995" xr:uid="{00000000-0005-0000-0000-0000846E0000}"/>
    <cellStyle name="Normal 9 22 35" xfId="8888" xr:uid="{00000000-0005-0000-0000-0000856E0000}"/>
    <cellStyle name="Normal 9 22 36" xfId="5945" xr:uid="{00000000-0005-0000-0000-0000866E0000}"/>
    <cellStyle name="Normal 9 22 37" xfId="3769" xr:uid="{00000000-0005-0000-0000-0000876E0000}"/>
    <cellStyle name="Normal 9 22 38" xfId="6933" xr:uid="{00000000-0005-0000-0000-0000886E0000}"/>
    <cellStyle name="Normal 9 22 39" xfId="3482" xr:uid="{00000000-0005-0000-0000-0000896E0000}"/>
    <cellStyle name="Normal 9 22 4" xfId="26473" xr:uid="{00000000-0005-0000-0000-00008A6E0000}"/>
    <cellStyle name="Normal 9 22 40" xfId="4126" xr:uid="{00000000-0005-0000-0000-00008B6E0000}"/>
    <cellStyle name="Normal 9 22 41" xfId="6711" xr:uid="{00000000-0005-0000-0000-00008C6E0000}"/>
    <cellStyle name="Normal 9 22 42" xfId="5112" xr:uid="{00000000-0005-0000-0000-00008D6E0000}"/>
    <cellStyle name="Normal 9 22 43" xfId="3690" xr:uid="{00000000-0005-0000-0000-00008E6E0000}"/>
    <cellStyle name="Normal 9 22 5" xfId="25877" xr:uid="{00000000-0005-0000-0000-00008F6E0000}"/>
    <cellStyle name="Normal 9 22 6" xfId="25281" xr:uid="{00000000-0005-0000-0000-0000906E0000}"/>
    <cellStyle name="Normal 9 22 7" xfId="24684" xr:uid="{00000000-0005-0000-0000-0000916E0000}"/>
    <cellStyle name="Normal 9 22 8" xfId="24087" xr:uid="{00000000-0005-0000-0000-0000926E0000}"/>
    <cellStyle name="Normal 9 22 9" xfId="23490" xr:uid="{00000000-0005-0000-0000-0000936E0000}"/>
    <cellStyle name="Normal 9 23" xfId="28266" xr:uid="{00000000-0005-0000-0000-0000946E0000}"/>
    <cellStyle name="Normal 9 23 10" xfId="22892" xr:uid="{00000000-0005-0000-0000-0000956E0000}"/>
    <cellStyle name="Normal 9 23 11" xfId="22295" xr:uid="{00000000-0005-0000-0000-0000966E0000}"/>
    <cellStyle name="Normal 9 23 12" xfId="21699" xr:uid="{00000000-0005-0000-0000-0000976E0000}"/>
    <cellStyle name="Normal 9 23 13" xfId="21102" xr:uid="{00000000-0005-0000-0000-0000986E0000}"/>
    <cellStyle name="Normal 9 23 14" xfId="20505" xr:uid="{00000000-0005-0000-0000-0000996E0000}"/>
    <cellStyle name="Normal 9 23 15" xfId="19908" xr:uid="{00000000-0005-0000-0000-00009A6E0000}"/>
    <cellStyle name="Normal 9 23 16" xfId="19312" xr:uid="{00000000-0005-0000-0000-00009B6E0000}"/>
    <cellStyle name="Normal 9 23 17" xfId="18716" xr:uid="{00000000-0005-0000-0000-00009C6E0000}"/>
    <cellStyle name="Normal 9 23 18" xfId="18124" xr:uid="{00000000-0005-0000-0000-00009D6E0000}"/>
    <cellStyle name="Normal 9 23 19" xfId="17527" xr:uid="{00000000-0005-0000-0000-00009E6E0000}"/>
    <cellStyle name="Normal 9 23 2" xfId="27666" xr:uid="{00000000-0005-0000-0000-00009F6E0000}"/>
    <cellStyle name="Normal 9 23 20" xfId="17342" xr:uid="{00000000-0005-0000-0000-0000A06E0000}"/>
    <cellStyle name="Normal 9 23 21" xfId="14192" xr:uid="{00000000-0005-0000-0000-0000A16E0000}"/>
    <cellStyle name="Normal 9 23 22" xfId="14407" xr:uid="{00000000-0005-0000-0000-0000A26E0000}"/>
    <cellStyle name="Normal 9 23 23" xfId="14184" xr:uid="{00000000-0005-0000-0000-0000A36E0000}"/>
    <cellStyle name="Normal 9 23 24" xfId="16972" xr:uid="{00000000-0005-0000-0000-0000A46E0000}"/>
    <cellStyle name="Normal 9 23 25" xfId="14996" xr:uid="{00000000-0005-0000-0000-0000A56E0000}"/>
    <cellStyle name="Normal 9 23 26" xfId="16431" xr:uid="{00000000-0005-0000-0000-0000A66E0000}"/>
    <cellStyle name="Normal 9 23 27" xfId="12769" xr:uid="{00000000-0005-0000-0000-0000A76E0000}"/>
    <cellStyle name="Normal 9 23 28" xfId="12136" xr:uid="{00000000-0005-0000-0000-0000A86E0000}"/>
    <cellStyle name="Normal 9 23 29" xfId="7409" xr:uid="{00000000-0005-0000-0000-0000A96E0000}"/>
    <cellStyle name="Normal 9 23 3" xfId="27069" xr:uid="{00000000-0005-0000-0000-0000AA6E0000}"/>
    <cellStyle name="Normal 9 23 30" xfId="6867" xr:uid="{00000000-0005-0000-0000-0000AB6E0000}"/>
    <cellStyle name="Normal 9 23 31" xfId="9287" xr:uid="{00000000-0005-0000-0000-0000AC6E0000}"/>
    <cellStyle name="Normal 9 23 32" xfId="10821" xr:uid="{00000000-0005-0000-0000-0000AD6E0000}"/>
    <cellStyle name="Normal 9 23 33" xfId="7067" xr:uid="{00000000-0005-0000-0000-0000AE6E0000}"/>
    <cellStyle name="Normal 9 23 34" xfId="7253" xr:uid="{00000000-0005-0000-0000-0000AF6E0000}"/>
    <cellStyle name="Normal 9 23 35" xfId="4263" xr:uid="{00000000-0005-0000-0000-0000B06E0000}"/>
    <cellStyle name="Normal 9 23 36" xfId="4140" xr:uid="{00000000-0005-0000-0000-0000B16E0000}"/>
    <cellStyle name="Normal 9 23 37" xfId="11986" xr:uid="{00000000-0005-0000-0000-0000B26E0000}"/>
    <cellStyle name="Normal 9 23 38" xfId="7910" xr:uid="{00000000-0005-0000-0000-0000B36E0000}"/>
    <cellStyle name="Normal 9 23 39" xfId="4280" xr:uid="{00000000-0005-0000-0000-0000B46E0000}"/>
    <cellStyle name="Normal 9 23 4" xfId="26472" xr:uid="{00000000-0005-0000-0000-0000B56E0000}"/>
    <cellStyle name="Normal 9 23 40" xfId="9829" xr:uid="{00000000-0005-0000-0000-0000B66E0000}"/>
    <cellStyle name="Normal 9 23 41" xfId="8857" xr:uid="{00000000-0005-0000-0000-0000B76E0000}"/>
    <cellStyle name="Normal 9 23 42" xfId="3515" xr:uid="{00000000-0005-0000-0000-0000B86E0000}"/>
    <cellStyle name="Normal 9 23 43" xfId="3221" xr:uid="{00000000-0005-0000-0000-0000B96E0000}"/>
    <cellStyle name="Normal 9 23 5" xfId="25876" xr:uid="{00000000-0005-0000-0000-0000BA6E0000}"/>
    <cellStyle name="Normal 9 23 6" xfId="25280" xr:uid="{00000000-0005-0000-0000-0000BB6E0000}"/>
    <cellStyle name="Normal 9 23 7" xfId="24683" xr:uid="{00000000-0005-0000-0000-0000BC6E0000}"/>
    <cellStyle name="Normal 9 23 8" xfId="24086" xr:uid="{00000000-0005-0000-0000-0000BD6E0000}"/>
    <cellStyle name="Normal 9 23 9" xfId="23489" xr:uid="{00000000-0005-0000-0000-0000BE6E0000}"/>
    <cellStyle name="Normal 9 24" xfId="28265" xr:uid="{00000000-0005-0000-0000-0000BF6E0000}"/>
    <cellStyle name="Normal 9 24 10" xfId="22891" xr:uid="{00000000-0005-0000-0000-0000C06E0000}"/>
    <cellStyle name="Normal 9 24 11" xfId="22294" xr:uid="{00000000-0005-0000-0000-0000C16E0000}"/>
    <cellStyle name="Normal 9 24 12" xfId="21698" xr:uid="{00000000-0005-0000-0000-0000C26E0000}"/>
    <cellStyle name="Normal 9 24 13" xfId="21101" xr:uid="{00000000-0005-0000-0000-0000C36E0000}"/>
    <cellStyle name="Normal 9 24 14" xfId="20504" xr:uid="{00000000-0005-0000-0000-0000C46E0000}"/>
    <cellStyle name="Normal 9 24 15" xfId="19907" xr:uid="{00000000-0005-0000-0000-0000C56E0000}"/>
    <cellStyle name="Normal 9 24 16" xfId="19311" xr:uid="{00000000-0005-0000-0000-0000C66E0000}"/>
    <cellStyle name="Normal 9 24 17" xfId="18715" xr:uid="{00000000-0005-0000-0000-0000C76E0000}"/>
    <cellStyle name="Normal 9 24 18" xfId="18123" xr:uid="{00000000-0005-0000-0000-0000C86E0000}"/>
    <cellStyle name="Normal 9 24 19" xfId="17526" xr:uid="{00000000-0005-0000-0000-0000C96E0000}"/>
    <cellStyle name="Normal 9 24 2" xfId="27665" xr:uid="{00000000-0005-0000-0000-0000CA6E0000}"/>
    <cellStyle name="Normal 9 24 20" xfId="14175" xr:uid="{00000000-0005-0000-0000-0000CB6E0000}"/>
    <cellStyle name="Normal 9 24 21" xfId="17157" xr:uid="{00000000-0005-0000-0000-0000CC6E0000}"/>
    <cellStyle name="Normal 9 24 22" xfId="15419" xr:uid="{00000000-0005-0000-0000-0000CD6E0000}"/>
    <cellStyle name="Normal 9 24 23" xfId="15298" xr:uid="{00000000-0005-0000-0000-0000CE6E0000}"/>
    <cellStyle name="Normal 9 24 24" xfId="16558" xr:uid="{00000000-0005-0000-0000-0000CF6E0000}"/>
    <cellStyle name="Normal 9 24 25" xfId="17051" xr:uid="{00000000-0005-0000-0000-0000D06E0000}"/>
    <cellStyle name="Normal 9 24 26" xfId="16027" xr:uid="{00000000-0005-0000-0000-0000D16E0000}"/>
    <cellStyle name="Normal 9 24 27" xfId="14275" xr:uid="{00000000-0005-0000-0000-0000D26E0000}"/>
    <cellStyle name="Normal 9 24 28" xfId="12135" xr:uid="{00000000-0005-0000-0000-0000D36E0000}"/>
    <cellStyle name="Normal 9 24 29" xfId="7548" xr:uid="{00000000-0005-0000-0000-0000D46E0000}"/>
    <cellStyle name="Normal 9 24 3" xfId="27068" xr:uid="{00000000-0005-0000-0000-0000D56E0000}"/>
    <cellStyle name="Normal 9 24 30" xfId="11834" xr:uid="{00000000-0005-0000-0000-0000D66E0000}"/>
    <cellStyle name="Normal 9 24 31" xfId="7659" xr:uid="{00000000-0005-0000-0000-0000D76E0000}"/>
    <cellStyle name="Normal 9 24 32" xfId="5235" xr:uid="{00000000-0005-0000-0000-0000D86E0000}"/>
    <cellStyle name="Normal 9 24 33" xfId="5575" xr:uid="{00000000-0005-0000-0000-0000D96E0000}"/>
    <cellStyle name="Normal 9 24 34" xfId="8500" xr:uid="{00000000-0005-0000-0000-0000DA6E0000}"/>
    <cellStyle name="Normal 9 24 35" xfId="10644" xr:uid="{00000000-0005-0000-0000-0000DB6E0000}"/>
    <cellStyle name="Normal 9 24 36" xfId="4246" xr:uid="{00000000-0005-0000-0000-0000DC6E0000}"/>
    <cellStyle name="Normal 9 24 37" xfId="3920" xr:uid="{00000000-0005-0000-0000-0000DD6E0000}"/>
    <cellStyle name="Normal 9 24 38" xfId="4034" xr:uid="{00000000-0005-0000-0000-0000DE6E0000}"/>
    <cellStyle name="Normal 9 24 39" xfId="3824" xr:uid="{00000000-0005-0000-0000-0000DF6E0000}"/>
    <cellStyle name="Normal 9 24 4" xfId="26471" xr:uid="{00000000-0005-0000-0000-0000E06E0000}"/>
    <cellStyle name="Normal 9 24 40" xfId="7493" xr:uid="{00000000-0005-0000-0000-0000E16E0000}"/>
    <cellStyle name="Normal 9 24 41" xfId="5826" xr:uid="{00000000-0005-0000-0000-0000E26E0000}"/>
    <cellStyle name="Normal 9 24 42" xfId="3764" xr:uid="{00000000-0005-0000-0000-0000E36E0000}"/>
    <cellStyle name="Normal 9 24 43" xfId="4530" xr:uid="{00000000-0005-0000-0000-0000E46E0000}"/>
    <cellStyle name="Normal 9 24 5" xfId="25875" xr:uid="{00000000-0005-0000-0000-0000E56E0000}"/>
    <cellStyle name="Normal 9 24 6" xfId="25279" xr:uid="{00000000-0005-0000-0000-0000E66E0000}"/>
    <cellStyle name="Normal 9 24 7" xfId="24682" xr:uid="{00000000-0005-0000-0000-0000E76E0000}"/>
    <cellStyle name="Normal 9 24 8" xfId="24085" xr:uid="{00000000-0005-0000-0000-0000E86E0000}"/>
    <cellStyle name="Normal 9 24 9" xfId="23488" xr:uid="{00000000-0005-0000-0000-0000E96E0000}"/>
    <cellStyle name="Normal 9 25" xfId="28264" xr:uid="{00000000-0005-0000-0000-0000EA6E0000}"/>
    <cellStyle name="Normal 9 25 10" xfId="22890" xr:uid="{00000000-0005-0000-0000-0000EB6E0000}"/>
    <cellStyle name="Normal 9 25 11" xfId="22293" xr:uid="{00000000-0005-0000-0000-0000EC6E0000}"/>
    <cellStyle name="Normal 9 25 12" xfId="21697" xr:uid="{00000000-0005-0000-0000-0000ED6E0000}"/>
    <cellStyle name="Normal 9 25 13" xfId="21100" xr:uid="{00000000-0005-0000-0000-0000EE6E0000}"/>
    <cellStyle name="Normal 9 25 14" xfId="20503" xr:uid="{00000000-0005-0000-0000-0000EF6E0000}"/>
    <cellStyle name="Normal 9 25 15" xfId="19906" xr:uid="{00000000-0005-0000-0000-0000F06E0000}"/>
    <cellStyle name="Normal 9 25 16" xfId="19310" xr:uid="{00000000-0005-0000-0000-0000F16E0000}"/>
    <cellStyle name="Normal 9 25 17" xfId="18714" xr:uid="{00000000-0005-0000-0000-0000F26E0000}"/>
    <cellStyle name="Normal 9 25 18" xfId="18122" xr:uid="{00000000-0005-0000-0000-0000F36E0000}"/>
    <cellStyle name="Normal 9 25 19" xfId="17525" xr:uid="{00000000-0005-0000-0000-0000F46E0000}"/>
    <cellStyle name="Normal 9 25 2" xfId="27664" xr:uid="{00000000-0005-0000-0000-0000F56E0000}"/>
    <cellStyle name="Normal 9 25 20" xfId="14364" xr:uid="{00000000-0005-0000-0000-0000F66E0000}"/>
    <cellStyle name="Normal 9 25 21" xfId="13986" xr:uid="{00000000-0005-0000-0000-0000F76E0000}"/>
    <cellStyle name="Normal 9 25 22" xfId="15624" xr:uid="{00000000-0005-0000-0000-0000F86E0000}"/>
    <cellStyle name="Normal 9 25 23" xfId="16401" xr:uid="{00000000-0005-0000-0000-0000F96E0000}"/>
    <cellStyle name="Normal 9 25 24" xfId="14763" xr:uid="{00000000-0005-0000-0000-0000FA6E0000}"/>
    <cellStyle name="Normal 9 25 25" xfId="14065" xr:uid="{00000000-0005-0000-0000-0000FB6E0000}"/>
    <cellStyle name="Normal 9 25 26" xfId="15115" xr:uid="{00000000-0005-0000-0000-0000FC6E0000}"/>
    <cellStyle name="Normal 9 25 27" xfId="16951" xr:uid="{00000000-0005-0000-0000-0000FD6E0000}"/>
    <cellStyle name="Normal 9 25 28" xfId="12134" xr:uid="{00000000-0005-0000-0000-0000FE6E0000}"/>
    <cellStyle name="Normal 9 25 29" xfId="7431" xr:uid="{00000000-0005-0000-0000-0000FF6E0000}"/>
    <cellStyle name="Normal 9 25 3" xfId="27067" xr:uid="{00000000-0005-0000-0000-0000006F0000}"/>
    <cellStyle name="Normal 9 25 30" xfId="9569" xr:uid="{00000000-0005-0000-0000-0000016F0000}"/>
    <cellStyle name="Normal 9 25 31" xfId="6296" xr:uid="{00000000-0005-0000-0000-0000026F0000}"/>
    <cellStyle name="Normal 9 25 32" xfId="6964" xr:uid="{00000000-0005-0000-0000-0000036F0000}"/>
    <cellStyle name="Normal 9 25 33" xfId="5964" xr:uid="{00000000-0005-0000-0000-0000046F0000}"/>
    <cellStyle name="Normal 9 25 34" xfId="10380" xr:uid="{00000000-0005-0000-0000-0000056F0000}"/>
    <cellStyle name="Normal 9 25 35" xfId="6170" xr:uid="{00000000-0005-0000-0000-0000066F0000}"/>
    <cellStyle name="Normal 9 25 36" xfId="5413" xr:uid="{00000000-0005-0000-0000-0000076F0000}"/>
    <cellStyle name="Normal 9 25 37" xfId="6747" xr:uid="{00000000-0005-0000-0000-0000086F0000}"/>
    <cellStyle name="Normal 9 25 38" xfId="4695" xr:uid="{00000000-0005-0000-0000-0000096F0000}"/>
    <cellStyle name="Normal 9 25 39" xfId="5274" xr:uid="{00000000-0005-0000-0000-00000A6F0000}"/>
    <cellStyle name="Normal 9 25 4" xfId="26470" xr:uid="{00000000-0005-0000-0000-00000B6F0000}"/>
    <cellStyle name="Normal 9 25 40" xfId="10970" xr:uid="{00000000-0005-0000-0000-00000C6F0000}"/>
    <cellStyle name="Normal 9 25 41" xfId="3399" xr:uid="{00000000-0005-0000-0000-00000D6F0000}"/>
    <cellStyle name="Normal 9 25 42" xfId="11412" xr:uid="{00000000-0005-0000-0000-00000E6F0000}"/>
    <cellStyle name="Normal 9 25 43" xfId="8994" xr:uid="{00000000-0005-0000-0000-00000F6F0000}"/>
    <cellStyle name="Normal 9 25 5" xfId="25874" xr:uid="{00000000-0005-0000-0000-0000106F0000}"/>
    <cellStyle name="Normal 9 25 6" xfId="25278" xr:uid="{00000000-0005-0000-0000-0000116F0000}"/>
    <cellStyle name="Normal 9 25 7" xfId="24681" xr:uid="{00000000-0005-0000-0000-0000126F0000}"/>
    <cellStyle name="Normal 9 25 8" xfId="24084" xr:uid="{00000000-0005-0000-0000-0000136F0000}"/>
    <cellStyle name="Normal 9 25 9" xfId="23487" xr:uid="{00000000-0005-0000-0000-0000146F0000}"/>
    <cellStyle name="Normal 9 26" xfId="28263" xr:uid="{00000000-0005-0000-0000-0000156F0000}"/>
    <cellStyle name="Normal 9 26 10" xfId="22889" xr:uid="{00000000-0005-0000-0000-0000166F0000}"/>
    <cellStyle name="Normal 9 26 11" xfId="22292" xr:uid="{00000000-0005-0000-0000-0000176F0000}"/>
    <cellStyle name="Normal 9 26 12" xfId="21696" xr:uid="{00000000-0005-0000-0000-0000186F0000}"/>
    <cellStyle name="Normal 9 26 13" xfId="21099" xr:uid="{00000000-0005-0000-0000-0000196F0000}"/>
    <cellStyle name="Normal 9 26 14" xfId="20502" xr:uid="{00000000-0005-0000-0000-00001A6F0000}"/>
    <cellStyle name="Normal 9 26 15" xfId="19905" xr:uid="{00000000-0005-0000-0000-00001B6F0000}"/>
    <cellStyle name="Normal 9 26 16" xfId="19309" xr:uid="{00000000-0005-0000-0000-00001C6F0000}"/>
    <cellStyle name="Normal 9 26 17" xfId="18713" xr:uid="{00000000-0005-0000-0000-00001D6F0000}"/>
    <cellStyle name="Normal 9 26 18" xfId="18121" xr:uid="{00000000-0005-0000-0000-00001E6F0000}"/>
    <cellStyle name="Normal 9 26 19" xfId="17524" xr:uid="{00000000-0005-0000-0000-00001F6F0000}"/>
    <cellStyle name="Normal 9 26 2" xfId="27663" xr:uid="{00000000-0005-0000-0000-0000206F0000}"/>
    <cellStyle name="Normal 9 26 20" xfId="14555" xr:uid="{00000000-0005-0000-0000-0000216F0000}"/>
    <cellStyle name="Normal 9 26 21" xfId="16517" xr:uid="{00000000-0005-0000-0000-0000226F0000}"/>
    <cellStyle name="Normal 9 26 22" xfId="17032" xr:uid="{00000000-0005-0000-0000-0000236F0000}"/>
    <cellStyle name="Normal 9 26 23" xfId="14867" xr:uid="{00000000-0005-0000-0000-0000246F0000}"/>
    <cellStyle name="Normal 9 26 24" xfId="17475" xr:uid="{00000000-0005-0000-0000-0000256F0000}"/>
    <cellStyle name="Normal 9 26 25" xfId="15470" xr:uid="{00000000-0005-0000-0000-0000266F0000}"/>
    <cellStyle name="Normal 9 26 26" xfId="13193" xr:uid="{00000000-0005-0000-0000-0000276F0000}"/>
    <cellStyle name="Normal 9 26 27" xfId="13384" xr:uid="{00000000-0005-0000-0000-0000286F0000}"/>
    <cellStyle name="Normal 9 26 28" xfId="12133" xr:uid="{00000000-0005-0000-0000-0000296F0000}"/>
    <cellStyle name="Normal 9 26 29" xfId="11920" xr:uid="{00000000-0005-0000-0000-00002A6F0000}"/>
    <cellStyle name="Normal 9 26 3" xfId="27066" xr:uid="{00000000-0005-0000-0000-00002B6F0000}"/>
    <cellStyle name="Normal 9 26 30" xfId="9335" xr:uid="{00000000-0005-0000-0000-00002C6F0000}"/>
    <cellStyle name="Normal 9 26 31" xfId="8898" xr:uid="{00000000-0005-0000-0000-00002D6F0000}"/>
    <cellStyle name="Normal 9 26 32" xfId="5395" xr:uid="{00000000-0005-0000-0000-00002E6F0000}"/>
    <cellStyle name="Normal 9 26 33" xfId="11094" xr:uid="{00000000-0005-0000-0000-00002F6F0000}"/>
    <cellStyle name="Normal 9 26 34" xfId="10231" xr:uid="{00000000-0005-0000-0000-0000306F0000}"/>
    <cellStyle name="Normal 9 26 35" xfId="11327" xr:uid="{00000000-0005-0000-0000-0000316F0000}"/>
    <cellStyle name="Normal 9 26 36" xfId="4630" xr:uid="{00000000-0005-0000-0000-0000326F0000}"/>
    <cellStyle name="Normal 9 26 37" xfId="4019" xr:uid="{00000000-0005-0000-0000-0000336F0000}"/>
    <cellStyle name="Normal 9 26 38" xfId="5041" xr:uid="{00000000-0005-0000-0000-0000346F0000}"/>
    <cellStyle name="Normal 9 26 39" xfId="4711" xr:uid="{00000000-0005-0000-0000-0000356F0000}"/>
    <cellStyle name="Normal 9 26 4" xfId="26469" xr:uid="{00000000-0005-0000-0000-0000366F0000}"/>
    <cellStyle name="Normal 9 26 40" xfId="11538" xr:uid="{00000000-0005-0000-0000-0000376F0000}"/>
    <cellStyle name="Normal 9 26 41" xfId="5987" xr:uid="{00000000-0005-0000-0000-0000386F0000}"/>
    <cellStyle name="Normal 9 26 42" xfId="7459" xr:uid="{00000000-0005-0000-0000-0000396F0000}"/>
    <cellStyle name="Normal 9 26 43" xfId="4481" xr:uid="{00000000-0005-0000-0000-00003A6F0000}"/>
    <cellStyle name="Normal 9 26 5" xfId="25873" xr:uid="{00000000-0005-0000-0000-00003B6F0000}"/>
    <cellStyle name="Normal 9 26 6" xfId="25277" xr:uid="{00000000-0005-0000-0000-00003C6F0000}"/>
    <cellStyle name="Normal 9 26 7" xfId="24680" xr:uid="{00000000-0005-0000-0000-00003D6F0000}"/>
    <cellStyle name="Normal 9 26 8" xfId="24083" xr:uid="{00000000-0005-0000-0000-00003E6F0000}"/>
    <cellStyle name="Normal 9 26 9" xfId="23486" xr:uid="{00000000-0005-0000-0000-00003F6F0000}"/>
    <cellStyle name="Normal 9 27" xfId="27681" xr:uid="{00000000-0005-0000-0000-0000406F0000}"/>
    <cellStyle name="Normal 9 28" xfId="27084" xr:uid="{00000000-0005-0000-0000-0000416F0000}"/>
    <cellStyle name="Normal 9 29" xfId="26487" xr:uid="{00000000-0005-0000-0000-0000426F0000}"/>
    <cellStyle name="Normal 9 3" xfId="28262" xr:uid="{00000000-0005-0000-0000-0000436F0000}"/>
    <cellStyle name="Normal 9 3 10" xfId="22888" xr:uid="{00000000-0005-0000-0000-0000446F0000}"/>
    <cellStyle name="Normal 9 3 11" xfId="22291" xr:uid="{00000000-0005-0000-0000-0000456F0000}"/>
    <cellStyle name="Normal 9 3 12" xfId="21695" xr:uid="{00000000-0005-0000-0000-0000466F0000}"/>
    <cellStyle name="Normal 9 3 13" xfId="21098" xr:uid="{00000000-0005-0000-0000-0000476F0000}"/>
    <cellStyle name="Normal 9 3 14" xfId="20501" xr:uid="{00000000-0005-0000-0000-0000486F0000}"/>
    <cellStyle name="Normal 9 3 15" xfId="19904" xr:uid="{00000000-0005-0000-0000-0000496F0000}"/>
    <cellStyle name="Normal 9 3 16" xfId="19308" xr:uid="{00000000-0005-0000-0000-00004A6F0000}"/>
    <cellStyle name="Normal 9 3 17" xfId="18712" xr:uid="{00000000-0005-0000-0000-00004B6F0000}"/>
    <cellStyle name="Normal 9 3 18" xfId="18120" xr:uid="{00000000-0005-0000-0000-00004C6F0000}"/>
    <cellStyle name="Normal 9 3 19" xfId="17523" xr:uid="{00000000-0005-0000-0000-00004D6F0000}"/>
    <cellStyle name="Normal 9 3 2" xfId="27662" xr:uid="{00000000-0005-0000-0000-00004E6F0000}"/>
    <cellStyle name="Normal 9 3 20" xfId="14751" xr:uid="{00000000-0005-0000-0000-00004F6F0000}"/>
    <cellStyle name="Normal 9 3 21" xfId="16504" xr:uid="{00000000-0005-0000-0000-0000506F0000}"/>
    <cellStyle name="Normal 9 3 22" xfId="13547" xr:uid="{00000000-0005-0000-0000-0000516F0000}"/>
    <cellStyle name="Normal 9 3 23" xfId="13397" xr:uid="{00000000-0005-0000-0000-0000526F0000}"/>
    <cellStyle name="Normal 9 3 24" xfId="14808" xr:uid="{00000000-0005-0000-0000-0000536F0000}"/>
    <cellStyle name="Normal 9 3 25" xfId="14597" xr:uid="{00000000-0005-0000-0000-0000546F0000}"/>
    <cellStyle name="Normal 9 3 26" xfId="14242" xr:uid="{00000000-0005-0000-0000-0000556F0000}"/>
    <cellStyle name="Normal 9 3 27" xfId="14019" xr:uid="{00000000-0005-0000-0000-0000566F0000}"/>
    <cellStyle name="Normal 9 3 28" xfId="12132" xr:uid="{00000000-0005-0000-0000-0000576F0000}"/>
    <cellStyle name="Normal 9 3 29" xfId="8100" xr:uid="{00000000-0005-0000-0000-0000586F0000}"/>
    <cellStyle name="Normal 9 3 3" xfId="27065" xr:uid="{00000000-0005-0000-0000-0000596F0000}"/>
    <cellStyle name="Normal 9 3 30" xfId="12043" xr:uid="{00000000-0005-0000-0000-00005A6F0000}"/>
    <cellStyle name="Normal 9 3 31" xfId="12075" xr:uid="{00000000-0005-0000-0000-00005B6F0000}"/>
    <cellStyle name="Normal 9 3 32" xfId="11168" xr:uid="{00000000-0005-0000-0000-00005C6F0000}"/>
    <cellStyle name="Normal 9 3 33" xfId="10044" xr:uid="{00000000-0005-0000-0000-00005D6F0000}"/>
    <cellStyle name="Normal 9 3 34" xfId="8781" xr:uid="{00000000-0005-0000-0000-00005E6F0000}"/>
    <cellStyle name="Normal 9 3 35" xfId="7328" xr:uid="{00000000-0005-0000-0000-00005F6F0000}"/>
    <cellStyle name="Normal 9 3 36" xfId="5014" xr:uid="{00000000-0005-0000-0000-0000606F0000}"/>
    <cellStyle name="Normal 9 3 37" xfId="8937" xr:uid="{00000000-0005-0000-0000-0000616F0000}"/>
    <cellStyle name="Normal 9 3 38" xfId="6383" xr:uid="{00000000-0005-0000-0000-0000626F0000}"/>
    <cellStyle name="Normal 9 3 39" xfId="4025" xr:uid="{00000000-0005-0000-0000-0000636F0000}"/>
    <cellStyle name="Normal 9 3 4" xfId="26468" xr:uid="{00000000-0005-0000-0000-0000646F0000}"/>
    <cellStyle name="Normal 9 3 40" xfId="9988" xr:uid="{00000000-0005-0000-0000-0000656F0000}"/>
    <cellStyle name="Normal 9 3 41" xfId="10848" xr:uid="{00000000-0005-0000-0000-0000666F0000}"/>
    <cellStyle name="Normal 9 3 42" xfId="4407" xr:uid="{00000000-0005-0000-0000-0000676F0000}"/>
    <cellStyle name="Normal 9 3 43" xfId="5833" xr:uid="{00000000-0005-0000-0000-0000686F0000}"/>
    <cellStyle name="Normal 9 3 44" xfId="2842" xr:uid="{00000000-0005-0000-0000-0000696F0000}"/>
    <cellStyle name="Normal 9 3 45" xfId="2599" xr:uid="{00000000-0005-0000-0000-00006A6F0000}"/>
    <cellStyle name="Normal 9 3 46" xfId="2359" xr:uid="{00000000-0005-0000-0000-00006B6F0000}"/>
    <cellStyle name="Normal 9 3 47" xfId="2119" xr:uid="{00000000-0005-0000-0000-00006C6F0000}"/>
    <cellStyle name="Normal 9 3 48" xfId="1879" xr:uid="{00000000-0005-0000-0000-00006D6F0000}"/>
    <cellStyle name="Normal 9 3 49" xfId="1639" xr:uid="{00000000-0005-0000-0000-00006E6F0000}"/>
    <cellStyle name="Normal 9 3 5" xfId="25872" xr:uid="{00000000-0005-0000-0000-00006F6F0000}"/>
    <cellStyle name="Normal 9 3 50" xfId="1400" xr:uid="{00000000-0005-0000-0000-0000706F0000}"/>
    <cellStyle name="Normal 9 3 51" xfId="1160" xr:uid="{00000000-0005-0000-0000-0000716F0000}"/>
    <cellStyle name="Normal 9 3 52" xfId="920" xr:uid="{00000000-0005-0000-0000-0000726F0000}"/>
    <cellStyle name="Normal 9 3 53" xfId="680" xr:uid="{00000000-0005-0000-0000-0000736F0000}"/>
    <cellStyle name="Normal 9 3 54" xfId="440" xr:uid="{00000000-0005-0000-0000-0000746F0000}"/>
    <cellStyle name="Normal 9 3 55" xfId="201" xr:uid="{00000000-0005-0000-0000-0000756F0000}"/>
    <cellStyle name="Normal 9 3 56" xfId="28891" xr:uid="{00000000-0005-0000-0000-0000766F0000}"/>
    <cellStyle name="Normal 9 3 6" xfId="25276" xr:uid="{00000000-0005-0000-0000-0000776F0000}"/>
    <cellStyle name="Normal 9 3 7" xfId="24679" xr:uid="{00000000-0005-0000-0000-0000786F0000}"/>
    <cellStyle name="Normal 9 3 8" xfId="24082" xr:uid="{00000000-0005-0000-0000-0000796F0000}"/>
    <cellStyle name="Normal 9 3 9" xfId="23485" xr:uid="{00000000-0005-0000-0000-00007A6F0000}"/>
    <cellStyle name="Normal 9 30" xfId="25891" xr:uid="{00000000-0005-0000-0000-00007B6F0000}"/>
    <cellStyle name="Normal 9 31" xfId="25295" xr:uid="{00000000-0005-0000-0000-00007C6F0000}"/>
    <cellStyle name="Normal 9 32" xfId="24698" xr:uid="{00000000-0005-0000-0000-00007D6F0000}"/>
    <cellStyle name="Normal 9 33" xfId="24101" xr:uid="{00000000-0005-0000-0000-00007E6F0000}"/>
    <cellStyle name="Normal 9 34" xfId="23504" xr:uid="{00000000-0005-0000-0000-00007F6F0000}"/>
    <cellStyle name="Normal 9 35" xfId="22907" xr:uid="{00000000-0005-0000-0000-0000806F0000}"/>
    <cellStyle name="Normal 9 36" xfId="22310" xr:uid="{00000000-0005-0000-0000-0000816F0000}"/>
    <cellStyle name="Normal 9 37" xfId="21714" xr:uid="{00000000-0005-0000-0000-0000826F0000}"/>
    <cellStyle name="Normal 9 38" xfId="21117" xr:uid="{00000000-0005-0000-0000-0000836F0000}"/>
    <cellStyle name="Normal 9 39" xfId="20520" xr:uid="{00000000-0005-0000-0000-0000846F0000}"/>
    <cellStyle name="Normal 9 4" xfId="28261" xr:uid="{00000000-0005-0000-0000-0000856F0000}"/>
    <cellStyle name="Normal 9 4 10" xfId="22887" xr:uid="{00000000-0005-0000-0000-0000866F0000}"/>
    <cellStyle name="Normal 9 4 11" xfId="22290" xr:uid="{00000000-0005-0000-0000-0000876F0000}"/>
    <cellStyle name="Normal 9 4 12" xfId="21694" xr:uid="{00000000-0005-0000-0000-0000886F0000}"/>
    <cellStyle name="Normal 9 4 13" xfId="21097" xr:uid="{00000000-0005-0000-0000-0000896F0000}"/>
    <cellStyle name="Normal 9 4 14" xfId="20500" xr:uid="{00000000-0005-0000-0000-00008A6F0000}"/>
    <cellStyle name="Normal 9 4 15" xfId="19903" xr:uid="{00000000-0005-0000-0000-00008B6F0000}"/>
    <cellStyle name="Normal 9 4 16" xfId="19307" xr:uid="{00000000-0005-0000-0000-00008C6F0000}"/>
    <cellStyle name="Normal 9 4 17" xfId="18711" xr:uid="{00000000-0005-0000-0000-00008D6F0000}"/>
    <cellStyle name="Normal 9 4 18" xfId="18119" xr:uid="{00000000-0005-0000-0000-00008E6F0000}"/>
    <cellStyle name="Normal 9 4 19" xfId="17522" xr:uid="{00000000-0005-0000-0000-00008F6F0000}"/>
    <cellStyle name="Normal 9 4 2" xfId="27661" xr:uid="{00000000-0005-0000-0000-0000906F0000}"/>
    <cellStyle name="Normal 9 4 20" xfId="14954" xr:uid="{00000000-0005-0000-0000-0000916F0000}"/>
    <cellStyle name="Normal 9 4 21" xfId="16495" xr:uid="{00000000-0005-0000-0000-0000926F0000}"/>
    <cellStyle name="Normal 9 4 22" xfId="13680" xr:uid="{00000000-0005-0000-0000-0000936F0000}"/>
    <cellStyle name="Normal 9 4 23" xfId="15971" xr:uid="{00000000-0005-0000-0000-0000946F0000}"/>
    <cellStyle name="Normal 9 4 24" xfId="15832" xr:uid="{00000000-0005-0000-0000-0000956F0000}"/>
    <cellStyle name="Normal 9 4 25" xfId="15402" xr:uid="{00000000-0005-0000-0000-0000966F0000}"/>
    <cellStyle name="Normal 9 4 26" xfId="13299" xr:uid="{00000000-0005-0000-0000-0000976F0000}"/>
    <cellStyle name="Normal 9 4 27" xfId="12944" xr:uid="{00000000-0005-0000-0000-0000986F0000}"/>
    <cellStyle name="Normal 9 4 28" xfId="12131" xr:uid="{00000000-0005-0000-0000-0000996F0000}"/>
    <cellStyle name="Normal 9 4 29" xfId="8308" xr:uid="{00000000-0005-0000-0000-00009A6F0000}"/>
    <cellStyle name="Normal 9 4 3" xfId="27064" xr:uid="{00000000-0005-0000-0000-00009B6F0000}"/>
    <cellStyle name="Normal 9 4 30" xfId="10448" xr:uid="{00000000-0005-0000-0000-00009C6F0000}"/>
    <cellStyle name="Normal 9 4 31" xfId="8531" xr:uid="{00000000-0005-0000-0000-00009D6F0000}"/>
    <cellStyle name="Normal 9 4 32" xfId="5837" xr:uid="{00000000-0005-0000-0000-00009E6F0000}"/>
    <cellStyle name="Normal 9 4 33" xfId="7371" xr:uid="{00000000-0005-0000-0000-00009F6F0000}"/>
    <cellStyle name="Normal 9 4 34" xfId="5270" xr:uid="{00000000-0005-0000-0000-0000A06F0000}"/>
    <cellStyle name="Normal 9 4 35" xfId="8261" xr:uid="{00000000-0005-0000-0000-0000A16F0000}"/>
    <cellStyle name="Normal 9 4 36" xfId="4772" xr:uid="{00000000-0005-0000-0000-0000A26F0000}"/>
    <cellStyle name="Normal 9 4 37" xfId="11343" xr:uid="{00000000-0005-0000-0000-0000A36F0000}"/>
    <cellStyle name="Normal 9 4 38" xfId="3881" xr:uid="{00000000-0005-0000-0000-0000A46F0000}"/>
    <cellStyle name="Normal 9 4 39" xfId="5564" xr:uid="{00000000-0005-0000-0000-0000A56F0000}"/>
    <cellStyle name="Normal 9 4 4" xfId="26467" xr:uid="{00000000-0005-0000-0000-0000A66F0000}"/>
    <cellStyle name="Normal 9 4 40" xfId="8637" xr:uid="{00000000-0005-0000-0000-0000A76F0000}"/>
    <cellStyle name="Normal 9 4 41" xfId="3757" xr:uid="{00000000-0005-0000-0000-0000A86F0000}"/>
    <cellStyle name="Normal 9 4 42" xfId="3131" xr:uid="{00000000-0005-0000-0000-0000A96F0000}"/>
    <cellStyle name="Normal 9 4 43" xfId="11389" xr:uid="{00000000-0005-0000-0000-0000AA6F0000}"/>
    <cellStyle name="Normal 9 4 44" xfId="2841" xr:uid="{00000000-0005-0000-0000-0000AB6F0000}"/>
    <cellStyle name="Normal 9 4 45" xfId="2598" xr:uid="{00000000-0005-0000-0000-0000AC6F0000}"/>
    <cellStyle name="Normal 9 4 46" xfId="2358" xr:uid="{00000000-0005-0000-0000-0000AD6F0000}"/>
    <cellStyle name="Normal 9 4 47" xfId="2118" xr:uid="{00000000-0005-0000-0000-0000AE6F0000}"/>
    <cellStyle name="Normal 9 4 48" xfId="1878" xr:uid="{00000000-0005-0000-0000-0000AF6F0000}"/>
    <cellStyle name="Normal 9 4 49" xfId="1638" xr:uid="{00000000-0005-0000-0000-0000B06F0000}"/>
    <cellStyle name="Normal 9 4 5" xfId="25871" xr:uid="{00000000-0005-0000-0000-0000B16F0000}"/>
    <cellStyle name="Normal 9 4 50" xfId="1399" xr:uid="{00000000-0005-0000-0000-0000B26F0000}"/>
    <cellStyle name="Normal 9 4 51" xfId="1159" xr:uid="{00000000-0005-0000-0000-0000B36F0000}"/>
    <cellStyle name="Normal 9 4 52" xfId="919" xr:uid="{00000000-0005-0000-0000-0000B46F0000}"/>
    <cellStyle name="Normal 9 4 53" xfId="679" xr:uid="{00000000-0005-0000-0000-0000B56F0000}"/>
    <cellStyle name="Normal 9 4 54" xfId="439" xr:uid="{00000000-0005-0000-0000-0000B66F0000}"/>
    <cellStyle name="Normal 9 4 55" xfId="200" xr:uid="{00000000-0005-0000-0000-0000B76F0000}"/>
    <cellStyle name="Normal 9 4 56" xfId="28892" xr:uid="{00000000-0005-0000-0000-0000B86F0000}"/>
    <cellStyle name="Normal 9 4 6" xfId="25275" xr:uid="{00000000-0005-0000-0000-0000B96F0000}"/>
    <cellStyle name="Normal 9 4 7" xfId="24678" xr:uid="{00000000-0005-0000-0000-0000BA6F0000}"/>
    <cellStyle name="Normal 9 4 8" xfId="24081" xr:uid="{00000000-0005-0000-0000-0000BB6F0000}"/>
    <cellStyle name="Normal 9 4 9" xfId="23484" xr:uid="{00000000-0005-0000-0000-0000BC6F0000}"/>
    <cellStyle name="Normal 9 40" xfId="19923" xr:uid="{00000000-0005-0000-0000-0000BD6F0000}"/>
    <cellStyle name="Normal 9 41" xfId="19327" xr:uid="{00000000-0005-0000-0000-0000BE6F0000}"/>
    <cellStyle name="Normal 9 42" xfId="18731" xr:uid="{00000000-0005-0000-0000-0000BF6F0000}"/>
    <cellStyle name="Normal 9 43" xfId="18139" xr:uid="{00000000-0005-0000-0000-0000C06F0000}"/>
    <cellStyle name="Normal 9 44" xfId="17542" xr:uid="{00000000-0005-0000-0000-0000C16F0000}"/>
    <cellStyle name="Normal 9 45" xfId="14953" xr:uid="{00000000-0005-0000-0000-0000C26F0000}"/>
    <cellStyle name="Normal 9 46" xfId="16693" xr:uid="{00000000-0005-0000-0000-0000C36F0000}"/>
    <cellStyle name="Normal 9 47" xfId="17454" xr:uid="{00000000-0005-0000-0000-0000C46F0000}"/>
    <cellStyle name="Normal 9 48" xfId="16321" xr:uid="{00000000-0005-0000-0000-0000C56F0000}"/>
    <cellStyle name="Normal 9 49" xfId="13829" xr:uid="{00000000-0005-0000-0000-0000C66F0000}"/>
    <cellStyle name="Normal 9 5" xfId="28260" xr:uid="{00000000-0005-0000-0000-0000C76F0000}"/>
    <cellStyle name="Normal 9 5 10" xfId="22886" xr:uid="{00000000-0005-0000-0000-0000C86F0000}"/>
    <cellStyle name="Normal 9 5 11" xfId="22289" xr:uid="{00000000-0005-0000-0000-0000C96F0000}"/>
    <cellStyle name="Normal 9 5 12" xfId="21693" xr:uid="{00000000-0005-0000-0000-0000CA6F0000}"/>
    <cellStyle name="Normal 9 5 13" xfId="21096" xr:uid="{00000000-0005-0000-0000-0000CB6F0000}"/>
    <cellStyle name="Normal 9 5 14" xfId="20499" xr:uid="{00000000-0005-0000-0000-0000CC6F0000}"/>
    <cellStyle name="Normal 9 5 15" xfId="19902" xr:uid="{00000000-0005-0000-0000-0000CD6F0000}"/>
    <cellStyle name="Normal 9 5 16" xfId="19306" xr:uid="{00000000-0005-0000-0000-0000CE6F0000}"/>
    <cellStyle name="Normal 9 5 17" xfId="18710" xr:uid="{00000000-0005-0000-0000-0000CF6F0000}"/>
    <cellStyle name="Normal 9 5 18" xfId="18118" xr:uid="{00000000-0005-0000-0000-0000D06F0000}"/>
    <cellStyle name="Normal 9 5 19" xfId="17521" xr:uid="{00000000-0005-0000-0000-0000D16F0000}"/>
    <cellStyle name="Normal 9 5 2" xfId="27660" xr:uid="{00000000-0005-0000-0000-0000D26F0000}"/>
    <cellStyle name="Normal 9 5 20" xfId="15161" xr:uid="{00000000-0005-0000-0000-0000D36F0000}"/>
    <cellStyle name="Normal 9 5 21" xfId="16293" xr:uid="{00000000-0005-0000-0000-0000D46F0000}"/>
    <cellStyle name="Normal 9 5 22" xfId="13821" xr:uid="{00000000-0005-0000-0000-0000D56F0000}"/>
    <cellStyle name="Normal 9 5 23" xfId="15853" xr:uid="{00000000-0005-0000-0000-0000D66F0000}"/>
    <cellStyle name="Normal 9 5 24" xfId="15397" xr:uid="{00000000-0005-0000-0000-0000D76F0000}"/>
    <cellStyle name="Normal 9 5 25" xfId="13226" xr:uid="{00000000-0005-0000-0000-0000D86F0000}"/>
    <cellStyle name="Normal 9 5 26" xfId="16943" xr:uid="{00000000-0005-0000-0000-0000D96F0000}"/>
    <cellStyle name="Normal 9 5 27" xfId="14620" xr:uid="{00000000-0005-0000-0000-0000DA6F0000}"/>
    <cellStyle name="Normal 9 5 28" xfId="12130" xr:uid="{00000000-0005-0000-0000-0000DB6F0000}"/>
    <cellStyle name="Normal 9 5 29" xfId="8523" xr:uid="{00000000-0005-0000-0000-0000DC6F0000}"/>
    <cellStyle name="Normal 9 5 3" xfId="27063" xr:uid="{00000000-0005-0000-0000-0000DD6F0000}"/>
    <cellStyle name="Normal 9 5 30" xfId="10672" xr:uid="{00000000-0005-0000-0000-0000DE6F0000}"/>
    <cellStyle name="Normal 9 5 31" xfId="11457" xr:uid="{00000000-0005-0000-0000-0000DF6F0000}"/>
    <cellStyle name="Normal 9 5 32" xfId="8361" xr:uid="{00000000-0005-0000-0000-0000E06F0000}"/>
    <cellStyle name="Normal 9 5 33" xfId="9305" xr:uid="{00000000-0005-0000-0000-0000E16F0000}"/>
    <cellStyle name="Normal 9 5 34" xfId="7028" xr:uid="{00000000-0005-0000-0000-0000E26F0000}"/>
    <cellStyle name="Normal 9 5 35" xfId="9043" xr:uid="{00000000-0005-0000-0000-0000E36F0000}"/>
    <cellStyle name="Normal 9 5 36" xfId="9597" xr:uid="{00000000-0005-0000-0000-0000E46F0000}"/>
    <cellStyle name="Normal 9 5 37" xfId="4077" xr:uid="{00000000-0005-0000-0000-0000E56F0000}"/>
    <cellStyle name="Normal 9 5 38" xfId="10061" xr:uid="{00000000-0005-0000-0000-0000E66F0000}"/>
    <cellStyle name="Normal 9 5 39" xfId="7230" xr:uid="{00000000-0005-0000-0000-0000E76F0000}"/>
    <cellStyle name="Normal 9 5 4" xfId="26466" xr:uid="{00000000-0005-0000-0000-0000E86F0000}"/>
    <cellStyle name="Normal 9 5 40" xfId="7547" xr:uid="{00000000-0005-0000-0000-0000E96F0000}"/>
    <cellStyle name="Normal 9 5 41" xfId="11810" xr:uid="{00000000-0005-0000-0000-0000EA6F0000}"/>
    <cellStyle name="Normal 9 5 42" xfId="10321" xr:uid="{00000000-0005-0000-0000-0000EB6F0000}"/>
    <cellStyle name="Normal 9 5 43" xfId="6208" xr:uid="{00000000-0005-0000-0000-0000EC6F0000}"/>
    <cellStyle name="Normal 9 5 44" xfId="2840" xr:uid="{00000000-0005-0000-0000-0000ED6F0000}"/>
    <cellStyle name="Normal 9 5 45" xfId="2597" xr:uid="{00000000-0005-0000-0000-0000EE6F0000}"/>
    <cellStyle name="Normal 9 5 46" xfId="2357" xr:uid="{00000000-0005-0000-0000-0000EF6F0000}"/>
    <cellStyle name="Normal 9 5 47" xfId="2117" xr:uid="{00000000-0005-0000-0000-0000F06F0000}"/>
    <cellStyle name="Normal 9 5 48" xfId="1877" xr:uid="{00000000-0005-0000-0000-0000F16F0000}"/>
    <cellStyle name="Normal 9 5 49" xfId="1637" xr:uid="{00000000-0005-0000-0000-0000F26F0000}"/>
    <cellStyle name="Normal 9 5 5" xfId="25870" xr:uid="{00000000-0005-0000-0000-0000F36F0000}"/>
    <cellStyle name="Normal 9 5 50" xfId="1398" xr:uid="{00000000-0005-0000-0000-0000F46F0000}"/>
    <cellStyle name="Normal 9 5 51" xfId="1158" xr:uid="{00000000-0005-0000-0000-0000F56F0000}"/>
    <cellStyle name="Normal 9 5 52" xfId="918" xr:uid="{00000000-0005-0000-0000-0000F66F0000}"/>
    <cellStyle name="Normal 9 5 53" xfId="678" xr:uid="{00000000-0005-0000-0000-0000F76F0000}"/>
    <cellStyle name="Normal 9 5 54" xfId="438" xr:uid="{00000000-0005-0000-0000-0000F86F0000}"/>
    <cellStyle name="Normal 9 5 55" xfId="199" xr:uid="{00000000-0005-0000-0000-0000F96F0000}"/>
    <cellStyle name="Normal 9 5 56" xfId="28893" xr:uid="{00000000-0005-0000-0000-0000FA6F0000}"/>
    <cellStyle name="Normal 9 5 6" xfId="25274" xr:uid="{00000000-0005-0000-0000-0000FB6F0000}"/>
    <cellStyle name="Normal 9 5 7" xfId="24677" xr:uid="{00000000-0005-0000-0000-0000FC6F0000}"/>
    <cellStyle name="Normal 9 5 8" xfId="24080" xr:uid="{00000000-0005-0000-0000-0000FD6F0000}"/>
    <cellStyle name="Normal 9 5 9" xfId="23483" xr:uid="{00000000-0005-0000-0000-0000FE6F0000}"/>
    <cellStyle name="Normal 9 50" xfId="15874" xr:uid="{00000000-0005-0000-0000-0000FF6F0000}"/>
    <cellStyle name="Normal 9 51" xfId="16604" xr:uid="{00000000-0005-0000-0000-000000700000}"/>
    <cellStyle name="Normal 9 52" xfId="13219" xr:uid="{00000000-0005-0000-0000-000001700000}"/>
    <cellStyle name="Normal 9 53" xfId="12151" xr:uid="{00000000-0005-0000-0000-000002700000}"/>
    <cellStyle name="Normal 9 54" xfId="9664" xr:uid="{00000000-0005-0000-0000-000003700000}"/>
    <cellStyle name="Normal 9 55" xfId="8353" xr:uid="{00000000-0005-0000-0000-000004700000}"/>
    <cellStyle name="Normal 9 56" xfId="6705" xr:uid="{00000000-0005-0000-0000-000005700000}"/>
    <cellStyle name="Normal 9 57" xfId="9086" xr:uid="{00000000-0005-0000-0000-000006700000}"/>
    <cellStyle name="Normal 9 58" xfId="6405" xr:uid="{00000000-0005-0000-0000-000007700000}"/>
    <cellStyle name="Normal 9 59" xfId="9380" xr:uid="{00000000-0005-0000-0000-000008700000}"/>
    <cellStyle name="Normal 9 6" xfId="28259" xr:uid="{00000000-0005-0000-0000-000009700000}"/>
    <cellStyle name="Normal 9 6 10" xfId="22885" xr:uid="{00000000-0005-0000-0000-00000A700000}"/>
    <cellStyle name="Normal 9 6 11" xfId="22288" xr:uid="{00000000-0005-0000-0000-00000B700000}"/>
    <cellStyle name="Normal 9 6 12" xfId="21692" xr:uid="{00000000-0005-0000-0000-00000C700000}"/>
    <cellStyle name="Normal 9 6 13" xfId="21095" xr:uid="{00000000-0005-0000-0000-00000D700000}"/>
    <cellStyle name="Normal 9 6 14" xfId="20498" xr:uid="{00000000-0005-0000-0000-00000E700000}"/>
    <cellStyle name="Normal 9 6 15" xfId="19901" xr:uid="{00000000-0005-0000-0000-00000F700000}"/>
    <cellStyle name="Normal 9 6 16" xfId="19305" xr:uid="{00000000-0005-0000-0000-000010700000}"/>
    <cellStyle name="Normal 9 6 17" xfId="18709" xr:uid="{00000000-0005-0000-0000-000011700000}"/>
    <cellStyle name="Normal 9 6 18" xfId="18117" xr:uid="{00000000-0005-0000-0000-000012700000}"/>
    <cellStyle name="Normal 9 6 19" xfId="17520" xr:uid="{00000000-0005-0000-0000-000013700000}"/>
    <cellStyle name="Normal 9 6 2" xfId="27659" xr:uid="{00000000-0005-0000-0000-000014700000}"/>
    <cellStyle name="Normal 9 6 20" xfId="15356" xr:uid="{00000000-0005-0000-0000-000015700000}"/>
    <cellStyle name="Normal 9 6 21" xfId="16280" xr:uid="{00000000-0005-0000-0000-000016700000}"/>
    <cellStyle name="Normal 9 6 22" xfId="14827" xr:uid="{00000000-0005-0000-0000-000017700000}"/>
    <cellStyle name="Normal 9 6 23" xfId="15496" xr:uid="{00000000-0005-0000-0000-000018700000}"/>
    <cellStyle name="Normal 9 6 24" xfId="13405" xr:uid="{00000000-0005-0000-0000-000019700000}"/>
    <cellStyle name="Normal 9 6 25" xfId="14016" xr:uid="{00000000-0005-0000-0000-00001A700000}"/>
    <cellStyle name="Normal 9 6 26" xfId="13542" xr:uid="{00000000-0005-0000-0000-00001B700000}"/>
    <cellStyle name="Normal 9 6 27" xfId="13042" xr:uid="{00000000-0005-0000-0000-00001C700000}"/>
    <cellStyle name="Normal 9 6 28" xfId="12129" xr:uid="{00000000-0005-0000-0000-00001D700000}"/>
    <cellStyle name="Normal 9 6 29" xfId="8739" xr:uid="{00000000-0005-0000-0000-00001E700000}"/>
    <cellStyle name="Normal 9 6 3" xfId="27062" xr:uid="{00000000-0005-0000-0000-00001F700000}"/>
    <cellStyle name="Normal 9 6 30" xfId="11096" xr:uid="{00000000-0005-0000-0000-000020700000}"/>
    <cellStyle name="Normal 9 6 31" xfId="8599" xr:uid="{00000000-0005-0000-0000-000021700000}"/>
    <cellStyle name="Normal 9 6 32" xfId="9794" xr:uid="{00000000-0005-0000-0000-000022700000}"/>
    <cellStyle name="Normal 9 6 33" xfId="8794" xr:uid="{00000000-0005-0000-0000-000023700000}"/>
    <cellStyle name="Normal 9 6 34" xfId="7417" xr:uid="{00000000-0005-0000-0000-000024700000}"/>
    <cellStyle name="Normal 9 6 35" xfId="5216" xr:uid="{00000000-0005-0000-0000-000025700000}"/>
    <cellStyle name="Normal 9 6 36" xfId="5056" xr:uid="{00000000-0005-0000-0000-000026700000}"/>
    <cellStyle name="Normal 9 6 37" xfId="10294" xr:uid="{00000000-0005-0000-0000-000027700000}"/>
    <cellStyle name="Normal 9 6 38" xfId="4688" xr:uid="{00000000-0005-0000-0000-000028700000}"/>
    <cellStyle name="Normal 9 6 39" xfId="4468" xr:uid="{00000000-0005-0000-0000-000029700000}"/>
    <cellStyle name="Normal 9 6 4" xfId="26465" xr:uid="{00000000-0005-0000-0000-00002A700000}"/>
    <cellStyle name="Normal 9 6 40" xfId="3843" xr:uid="{00000000-0005-0000-0000-00002B700000}"/>
    <cellStyle name="Normal 9 6 41" xfId="5203" xr:uid="{00000000-0005-0000-0000-00002C700000}"/>
    <cellStyle name="Normal 9 6 42" xfId="3551" xr:uid="{00000000-0005-0000-0000-00002D700000}"/>
    <cellStyle name="Normal 9 6 43" xfId="5653" xr:uid="{00000000-0005-0000-0000-00002E700000}"/>
    <cellStyle name="Normal 9 6 44" xfId="2839" xr:uid="{00000000-0005-0000-0000-00002F700000}"/>
    <cellStyle name="Normal 9 6 45" xfId="2596" xr:uid="{00000000-0005-0000-0000-000030700000}"/>
    <cellStyle name="Normal 9 6 46" xfId="2356" xr:uid="{00000000-0005-0000-0000-000031700000}"/>
    <cellStyle name="Normal 9 6 47" xfId="2116" xr:uid="{00000000-0005-0000-0000-000032700000}"/>
    <cellStyle name="Normal 9 6 48" xfId="1876" xr:uid="{00000000-0005-0000-0000-000033700000}"/>
    <cellStyle name="Normal 9 6 49" xfId="1636" xr:uid="{00000000-0005-0000-0000-000034700000}"/>
    <cellStyle name="Normal 9 6 5" xfId="25869" xr:uid="{00000000-0005-0000-0000-000035700000}"/>
    <cellStyle name="Normal 9 6 50" xfId="1397" xr:uid="{00000000-0005-0000-0000-000036700000}"/>
    <cellStyle name="Normal 9 6 51" xfId="1157" xr:uid="{00000000-0005-0000-0000-000037700000}"/>
    <cellStyle name="Normal 9 6 52" xfId="917" xr:uid="{00000000-0005-0000-0000-000038700000}"/>
    <cellStyle name="Normal 9 6 53" xfId="677" xr:uid="{00000000-0005-0000-0000-000039700000}"/>
    <cellStyle name="Normal 9 6 54" xfId="437" xr:uid="{00000000-0005-0000-0000-00003A700000}"/>
    <cellStyle name="Normal 9 6 55" xfId="198" xr:uid="{00000000-0005-0000-0000-00003B700000}"/>
    <cellStyle name="Normal 9 6 56" xfId="28894" xr:uid="{00000000-0005-0000-0000-00003C700000}"/>
    <cellStyle name="Normal 9 6 6" xfId="25273" xr:uid="{00000000-0005-0000-0000-00003D700000}"/>
    <cellStyle name="Normal 9 6 7" xfId="24676" xr:uid="{00000000-0005-0000-0000-00003E700000}"/>
    <cellStyle name="Normal 9 6 8" xfId="24079" xr:uid="{00000000-0005-0000-0000-00003F700000}"/>
    <cellStyle name="Normal 9 6 9" xfId="23482" xr:uid="{00000000-0005-0000-0000-000040700000}"/>
    <cellStyle name="Normal 9 60" xfId="10439" xr:uid="{00000000-0005-0000-0000-000041700000}"/>
    <cellStyle name="Normal 9 61" xfId="9309" xr:uid="{00000000-0005-0000-0000-000042700000}"/>
    <cellStyle name="Normal 9 62" xfId="11983" xr:uid="{00000000-0005-0000-0000-000043700000}"/>
    <cellStyle name="Normal 9 63" xfId="5970" xr:uid="{00000000-0005-0000-0000-000044700000}"/>
    <cellStyle name="Normal 9 64" xfId="7476" xr:uid="{00000000-0005-0000-0000-000045700000}"/>
    <cellStyle name="Normal 9 65" xfId="3590" xr:uid="{00000000-0005-0000-0000-000046700000}"/>
    <cellStyle name="Normal 9 66" xfId="3729" xr:uid="{00000000-0005-0000-0000-000047700000}"/>
    <cellStyle name="Normal 9 67" xfId="3381" xr:uid="{00000000-0005-0000-0000-000048700000}"/>
    <cellStyle name="Normal 9 68" xfId="4409" xr:uid="{00000000-0005-0000-0000-000049700000}"/>
    <cellStyle name="Normal 9 69" xfId="2846" xr:uid="{00000000-0005-0000-0000-00004A700000}"/>
    <cellStyle name="Normal 9 7" xfId="28258" xr:uid="{00000000-0005-0000-0000-00004B700000}"/>
    <cellStyle name="Normal 9 7 10" xfId="22884" xr:uid="{00000000-0005-0000-0000-00004C700000}"/>
    <cellStyle name="Normal 9 7 11" xfId="22287" xr:uid="{00000000-0005-0000-0000-00004D700000}"/>
    <cellStyle name="Normal 9 7 12" xfId="21691" xr:uid="{00000000-0005-0000-0000-00004E700000}"/>
    <cellStyle name="Normal 9 7 13" xfId="21094" xr:uid="{00000000-0005-0000-0000-00004F700000}"/>
    <cellStyle name="Normal 9 7 14" xfId="20497" xr:uid="{00000000-0005-0000-0000-000050700000}"/>
    <cellStyle name="Normal 9 7 15" xfId="19900" xr:uid="{00000000-0005-0000-0000-000051700000}"/>
    <cellStyle name="Normal 9 7 16" xfId="19304" xr:uid="{00000000-0005-0000-0000-000052700000}"/>
    <cellStyle name="Normal 9 7 17" xfId="18708" xr:uid="{00000000-0005-0000-0000-000053700000}"/>
    <cellStyle name="Normal 9 7 18" xfId="18116" xr:uid="{00000000-0005-0000-0000-000054700000}"/>
    <cellStyle name="Normal 9 7 19" xfId="17519" xr:uid="{00000000-0005-0000-0000-000055700000}"/>
    <cellStyle name="Normal 9 7 2" xfId="27658" xr:uid="{00000000-0005-0000-0000-000056700000}"/>
    <cellStyle name="Normal 9 7 20" xfId="15563" xr:uid="{00000000-0005-0000-0000-000057700000}"/>
    <cellStyle name="Normal 9 7 21" xfId="15861" xr:uid="{00000000-0005-0000-0000-000058700000}"/>
    <cellStyle name="Normal 9 7 22" xfId="14626" xr:uid="{00000000-0005-0000-0000-000059700000}"/>
    <cellStyle name="Normal 9 7 23" xfId="14280" xr:uid="{00000000-0005-0000-0000-00005A700000}"/>
    <cellStyle name="Normal 9 7 24" xfId="13850" xr:uid="{00000000-0005-0000-0000-00005B700000}"/>
    <cellStyle name="Normal 9 7 25" xfId="16777" xr:uid="{00000000-0005-0000-0000-00005C700000}"/>
    <cellStyle name="Normal 9 7 26" xfId="13698" xr:uid="{00000000-0005-0000-0000-00005D700000}"/>
    <cellStyle name="Normal 9 7 27" xfId="16781" xr:uid="{00000000-0005-0000-0000-00005E700000}"/>
    <cellStyle name="Normal 9 7 28" xfId="12128" xr:uid="{00000000-0005-0000-0000-00005F700000}"/>
    <cellStyle name="Normal 9 7 29" xfId="8977" xr:uid="{00000000-0005-0000-0000-000060700000}"/>
    <cellStyle name="Normal 9 7 3" xfId="27061" xr:uid="{00000000-0005-0000-0000-000061700000}"/>
    <cellStyle name="Normal 9 7 30" xfId="11316" xr:uid="{00000000-0005-0000-0000-000062700000}"/>
    <cellStyle name="Normal 9 7 31" xfId="6258" xr:uid="{00000000-0005-0000-0000-000063700000}"/>
    <cellStyle name="Normal 9 7 32" xfId="6064" xr:uid="{00000000-0005-0000-0000-000064700000}"/>
    <cellStyle name="Normal 9 7 33" xfId="8125" xr:uid="{00000000-0005-0000-0000-000065700000}"/>
    <cellStyle name="Normal 9 7 34" xfId="5847" xr:uid="{00000000-0005-0000-0000-000066700000}"/>
    <cellStyle name="Normal 9 7 35" xfId="7348" xr:uid="{00000000-0005-0000-0000-000067700000}"/>
    <cellStyle name="Normal 9 7 36" xfId="5254" xr:uid="{00000000-0005-0000-0000-000068700000}"/>
    <cellStyle name="Normal 9 7 37" xfId="4290" xr:uid="{00000000-0005-0000-0000-000069700000}"/>
    <cellStyle name="Normal 9 7 38" xfId="11361" xr:uid="{00000000-0005-0000-0000-00006A700000}"/>
    <cellStyle name="Normal 9 7 39" xfId="9011" xr:uid="{00000000-0005-0000-0000-00006B700000}"/>
    <cellStyle name="Normal 9 7 4" xfId="26464" xr:uid="{00000000-0005-0000-0000-00006C700000}"/>
    <cellStyle name="Normal 9 7 40" xfId="6029" xr:uid="{00000000-0005-0000-0000-00006D700000}"/>
    <cellStyle name="Normal 9 7 41" xfId="5962" xr:uid="{00000000-0005-0000-0000-00006E700000}"/>
    <cellStyle name="Normal 9 7 42" xfId="3771" xr:uid="{00000000-0005-0000-0000-00006F700000}"/>
    <cellStyle name="Normal 9 7 43" xfId="6460" xr:uid="{00000000-0005-0000-0000-000070700000}"/>
    <cellStyle name="Normal 9 7 44" xfId="2838" xr:uid="{00000000-0005-0000-0000-000071700000}"/>
    <cellStyle name="Normal 9 7 45" xfId="2595" xr:uid="{00000000-0005-0000-0000-000072700000}"/>
    <cellStyle name="Normal 9 7 46" xfId="2355" xr:uid="{00000000-0005-0000-0000-000073700000}"/>
    <cellStyle name="Normal 9 7 47" xfId="2115" xr:uid="{00000000-0005-0000-0000-000074700000}"/>
    <cellStyle name="Normal 9 7 48" xfId="1875" xr:uid="{00000000-0005-0000-0000-000075700000}"/>
    <cellStyle name="Normal 9 7 49" xfId="1635" xr:uid="{00000000-0005-0000-0000-000076700000}"/>
    <cellStyle name="Normal 9 7 5" xfId="25868" xr:uid="{00000000-0005-0000-0000-000077700000}"/>
    <cellStyle name="Normal 9 7 50" xfId="1396" xr:uid="{00000000-0005-0000-0000-000078700000}"/>
    <cellStyle name="Normal 9 7 51" xfId="1156" xr:uid="{00000000-0005-0000-0000-000079700000}"/>
    <cellStyle name="Normal 9 7 52" xfId="916" xr:uid="{00000000-0005-0000-0000-00007A700000}"/>
    <cellStyle name="Normal 9 7 53" xfId="676" xr:uid="{00000000-0005-0000-0000-00007B700000}"/>
    <cellStyle name="Normal 9 7 54" xfId="436" xr:uid="{00000000-0005-0000-0000-00007C700000}"/>
    <cellStyle name="Normal 9 7 55" xfId="197" xr:uid="{00000000-0005-0000-0000-00007D700000}"/>
    <cellStyle name="Normal 9 7 56" xfId="28895" xr:uid="{00000000-0005-0000-0000-00007E700000}"/>
    <cellStyle name="Normal 9 7 6" xfId="25272" xr:uid="{00000000-0005-0000-0000-00007F700000}"/>
    <cellStyle name="Normal 9 7 7" xfId="24675" xr:uid="{00000000-0005-0000-0000-000080700000}"/>
    <cellStyle name="Normal 9 7 8" xfId="24078" xr:uid="{00000000-0005-0000-0000-000081700000}"/>
    <cellStyle name="Normal 9 7 9" xfId="23481" xr:uid="{00000000-0005-0000-0000-000082700000}"/>
    <cellStyle name="Normal 9 70" xfId="2603" xr:uid="{00000000-0005-0000-0000-000083700000}"/>
    <cellStyle name="Normal 9 71" xfId="2363" xr:uid="{00000000-0005-0000-0000-000084700000}"/>
    <cellStyle name="Normal 9 72" xfId="2123" xr:uid="{00000000-0005-0000-0000-000085700000}"/>
    <cellStyle name="Normal 9 73" xfId="1883" xr:uid="{00000000-0005-0000-0000-000086700000}"/>
    <cellStyle name="Normal 9 74" xfId="1643" xr:uid="{00000000-0005-0000-0000-000087700000}"/>
    <cellStyle name="Normal 9 75" xfId="1404" xr:uid="{00000000-0005-0000-0000-000088700000}"/>
    <cellStyle name="Normal 9 76" xfId="1164" xr:uid="{00000000-0005-0000-0000-000089700000}"/>
    <cellStyle name="Normal 9 77" xfId="924" xr:uid="{00000000-0005-0000-0000-00008A700000}"/>
    <cellStyle name="Normal 9 78" xfId="684" xr:uid="{00000000-0005-0000-0000-00008B700000}"/>
    <cellStyle name="Normal 9 79" xfId="444" xr:uid="{00000000-0005-0000-0000-00008C700000}"/>
    <cellStyle name="Normal 9 8" xfId="28257" xr:uid="{00000000-0005-0000-0000-00008D700000}"/>
    <cellStyle name="Normal 9 8 10" xfId="22883" xr:uid="{00000000-0005-0000-0000-00008E700000}"/>
    <cellStyle name="Normal 9 8 11" xfId="22286" xr:uid="{00000000-0005-0000-0000-00008F700000}"/>
    <cellStyle name="Normal 9 8 12" xfId="21690" xr:uid="{00000000-0005-0000-0000-000090700000}"/>
    <cellStyle name="Normal 9 8 13" xfId="21093" xr:uid="{00000000-0005-0000-0000-000091700000}"/>
    <cellStyle name="Normal 9 8 14" xfId="20496" xr:uid="{00000000-0005-0000-0000-000092700000}"/>
    <cellStyle name="Normal 9 8 15" xfId="19899" xr:uid="{00000000-0005-0000-0000-000093700000}"/>
    <cellStyle name="Normal 9 8 16" xfId="19303" xr:uid="{00000000-0005-0000-0000-000094700000}"/>
    <cellStyle name="Normal 9 8 17" xfId="18707" xr:uid="{00000000-0005-0000-0000-000095700000}"/>
    <cellStyle name="Normal 9 8 18" xfId="18115" xr:uid="{00000000-0005-0000-0000-000096700000}"/>
    <cellStyle name="Normal 9 8 19" xfId="17518" xr:uid="{00000000-0005-0000-0000-000097700000}"/>
    <cellStyle name="Normal 9 8 2" xfId="27657" xr:uid="{00000000-0005-0000-0000-000098700000}"/>
    <cellStyle name="Normal 9 8 20" xfId="15753" xr:uid="{00000000-0005-0000-0000-000099700000}"/>
    <cellStyle name="Normal 9 8 21" xfId="15847" xr:uid="{00000000-0005-0000-0000-00009A700000}"/>
    <cellStyle name="Normal 9 8 22" xfId="15032" xr:uid="{00000000-0005-0000-0000-00009B700000}"/>
    <cellStyle name="Normal 9 8 23" xfId="15443" xr:uid="{00000000-0005-0000-0000-00009C700000}"/>
    <cellStyle name="Normal 9 8 24" xfId="13759" xr:uid="{00000000-0005-0000-0000-00009D700000}"/>
    <cellStyle name="Normal 9 8 25" xfId="15387" xr:uid="{00000000-0005-0000-0000-00009E700000}"/>
    <cellStyle name="Normal 9 8 26" xfId="14768" xr:uid="{00000000-0005-0000-0000-00009F700000}"/>
    <cellStyle name="Normal 9 8 27" xfId="13866" xr:uid="{00000000-0005-0000-0000-0000A0700000}"/>
    <cellStyle name="Normal 9 8 28" xfId="12127" xr:uid="{00000000-0005-0000-0000-0000A1700000}"/>
    <cellStyle name="Normal 9 8 29" xfId="9212" xr:uid="{00000000-0005-0000-0000-0000A2700000}"/>
    <cellStyle name="Normal 9 8 3" xfId="27060" xr:uid="{00000000-0005-0000-0000-0000A3700000}"/>
    <cellStyle name="Normal 9 8 30" xfId="11306" xr:uid="{00000000-0005-0000-0000-0000A4700000}"/>
    <cellStyle name="Normal 9 8 31" xfId="5887" xr:uid="{00000000-0005-0000-0000-0000A5700000}"/>
    <cellStyle name="Normal 9 8 32" xfId="7158" xr:uid="{00000000-0005-0000-0000-0000A6700000}"/>
    <cellStyle name="Normal 9 8 33" xfId="5808" xr:uid="{00000000-0005-0000-0000-0000A7700000}"/>
    <cellStyle name="Normal 9 8 34" xfId="10029" xr:uid="{00000000-0005-0000-0000-0000A8700000}"/>
    <cellStyle name="Normal 9 8 35" xfId="5162" xr:uid="{00000000-0005-0000-0000-0000A9700000}"/>
    <cellStyle name="Normal 9 8 36" xfId="5339" xr:uid="{00000000-0005-0000-0000-0000AA700000}"/>
    <cellStyle name="Normal 9 8 37" xfId="8317" xr:uid="{00000000-0005-0000-0000-0000AB700000}"/>
    <cellStyle name="Normal 9 8 38" xfId="10851" xr:uid="{00000000-0005-0000-0000-0000AC700000}"/>
    <cellStyle name="Normal 9 8 39" xfId="4987" xr:uid="{00000000-0005-0000-0000-0000AD700000}"/>
    <cellStyle name="Normal 9 8 4" xfId="26463" xr:uid="{00000000-0005-0000-0000-0000AE700000}"/>
    <cellStyle name="Normal 9 8 40" xfId="6568" xr:uid="{00000000-0005-0000-0000-0000AF700000}"/>
    <cellStyle name="Normal 9 8 41" xfId="3330" xr:uid="{00000000-0005-0000-0000-0000B0700000}"/>
    <cellStyle name="Normal 9 8 42" xfId="9990" xr:uid="{00000000-0005-0000-0000-0000B1700000}"/>
    <cellStyle name="Normal 9 8 43" xfId="3168" xr:uid="{00000000-0005-0000-0000-0000B2700000}"/>
    <cellStyle name="Normal 9 8 44" xfId="2837" xr:uid="{00000000-0005-0000-0000-0000B3700000}"/>
    <cellStyle name="Normal 9 8 45" xfId="2594" xr:uid="{00000000-0005-0000-0000-0000B4700000}"/>
    <cellStyle name="Normal 9 8 46" xfId="2354" xr:uid="{00000000-0005-0000-0000-0000B5700000}"/>
    <cellStyle name="Normal 9 8 47" xfId="2114" xr:uid="{00000000-0005-0000-0000-0000B6700000}"/>
    <cellStyle name="Normal 9 8 48" xfId="1874" xr:uid="{00000000-0005-0000-0000-0000B7700000}"/>
    <cellStyle name="Normal 9 8 49" xfId="1634" xr:uid="{00000000-0005-0000-0000-0000B8700000}"/>
    <cellStyle name="Normal 9 8 5" xfId="25867" xr:uid="{00000000-0005-0000-0000-0000B9700000}"/>
    <cellStyle name="Normal 9 8 50" xfId="1395" xr:uid="{00000000-0005-0000-0000-0000BA700000}"/>
    <cellStyle name="Normal 9 8 51" xfId="1155" xr:uid="{00000000-0005-0000-0000-0000BB700000}"/>
    <cellStyle name="Normal 9 8 52" xfId="915" xr:uid="{00000000-0005-0000-0000-0000BC700000}"/>
    <cellStyle name="Normal 9 8 53" xfId="675" xr:uid="{00000000-0005-0000-0000-0000BD700000}"/>
    <cellStyle name="Normal 9 8 54" xfId="435" xr:uid="{00000000-0005-0000-0000-0000BE700000}"/>
    <cellStyle name="Normal 9 8 55" xfId="196" xr:uid="{00000000-0005-0000-0000-0000BF700000}"/>
    <cellStyle name="Normal 9 8 56" xfId="28896" xr:uid="{00000000-0005-0000-0000-0000C0700000}"/>
    <cellStyle name="Normal 9 8 6" xfId="25271" xr:uid="{00000000-0005-0000-0000-0000C1700000}"/>
    <cellStyle name="Normal 9 8 7" xfId="24674" xr:uid="{00000000-0005-0000-0000-0000C2700000}"/>
    <cellStyle name="Normal 9 8 8" xfId="24077" xr:uid="{00000000-0005-0000-0000-0000C3700000}"/>
    <cellStyle name="Normal 9 8 9" xfId="23480" xr:uid="{00000000-0005-0000-0000-0000C4700000}"/>
    <cellStyle name="Normal 9 80" xfId="205" xr:uid="{00000000-0005-0000-0000-0000C5700000}"/>
    <cellStyle name="Normal 9 81" xfId="28887" xr:uid="{00000000-0005-0000-0000-0000C6700000}"/>
    <cellStyle name="Normal 9 9" xfId="28256" xr:uid="{00000000-0005-0000-0000-0000C7700000}"/>
    <cellStyle name="Normal 9 9 10" xfId="22882" xr:uid="{00000000-0005-0000-0000-0000C8700000}"/>
    <cellStyle name="Normal 9 9 11" xfId="22285" xr:uid="{00000000-0005-0000-0000-0000C9700000}"/>
    <cellStyle name="Normal 9 9 12" xfId="21689" xr:uid="{00000000-0005-0000-0000-0000CA700000}"/>
    <cellStyle name="Normal 9 9 13" xfId="21092" xr:uid="{00000000-0005-0000-0000-0000CB700000}"/>
    <cellStyle name="Normal 9 9 14" xfId="20495" xr:uid="{00000000-0005-0000-0000-0000CC700000}"/>
    <cellStyle name="Normal 9 9 15" xfId="19898" xr:uid="{00000000-0005-0000-0000-0000CD700000}"/>
    <cellStyle name="Normal 9 9 16" xfId="19302" xr:uid="{00000000-0005-0000-0000-0000CE700000}"/>
    <cellStyle name="Normal 9 9 17" xfId="18706" xr:uid="{00000000-0005-0000-0000-0000CF700000}"/>
    <cellStyle name="Normal 9 9 18" xfId="18114" xr:uid="{00000000-0005-0000-0000-0000D0700000}"/>
    <cellStyle name="Normal 9 9 19" xfId="17517" xr:uid="{00000000-0005-0000-0000-0000D1700000}"/>
    <cellStyle name="Normal 9 9 2" xfId="27656" xr:uid="{00000000-0005-0000-0000-0000D2700000}"/>
    <cellStyle name="Normal 9 9 20" xfId="15953" xr:uid="{00000000-0005-0000-0000-0000D3700000}"/>
    <cellStyle name="Normal 9 9 21" xfId="15447" xr:uid="{00000000-0005-0000-0000-0000D4700000}"/>
    <cellStyle name="Normal 9 9 22" xfId="14477" xr:uid="{00000000-0005-0000-0000-0000D5700000}"/>
    <cellStyle name="Normal 9 9 23" xfId="14388" xr:uid="{00000000-0005-0000-0000-0000D6700000}"/>
    <cellStyle name="Normal 9 9 24" xfId="13138" xr:uid="{00000000-0005-0000-0000-0000D7700000}"/>
    <cellStyle name="Normal 9 9 25" xfId="13627" xr:uid="{00000000-0005-0000-0000-0000D8700000}"/>
    <cellStyle name="Normal 9 9 26" xfId="16648" xr:uid="{00000000-0005-0000-0000-0000D9700000}"/>
    <cellStyle name="Normal 9 9 27" xfId="13846" xr:uid="{00000000-0005-0000-0000-0000DA700000}"/>
    <cellStyle name="Normal 9 9 28" xfId="12126" xr:uid="{00000000-0005-0000-0000-0000DB700000}"/>
    <cellStyle name="Normal 9 9 29" xfId="9445" xr:uid="{00000000-0005-0000-0000-0000DC700000}"/>
    <cellStyle name="Normal 9 9 3" xfId="27059" xr:uid="{00000000-0005-0000-0000-0000DD700000}"/>
    <cellStyle name="Normal 9 9 30" xfId="11539" xr:uid="{00000000-0005-0000-0000-0000DE700000}"/>
    <cellStyle name="Normal 9 9 31" xfId="5621" xr:uid="{00000000-0005-0000-0000-0000DF700000}"/>
    <cellStyle name="Normal 9 9 32" xfId="9259" xr:uid="{00000000-0005-0000-0000-0000E0700000}"/>
    <cellStyle name="Normal 9 9 33" xfId="9296" xr:uid="{00000000-0005-0000-0000-0000E1700000}"/>
    <cellStyle name="Normal 9 9 34" xfId="6195" xr:uid="{00000000-0005-0000-0000-0000E2700000}"/>
    <cellStyle name="Normal 9 9 35" xfId="5297" xr:uid="{00000000-0005-0000-0000-0000E3700000}"/>
    <cellStyle name="Normal 9 9 36" xfId="8319" xr:uid="{00000000-0005-0000-0000-0000E4700000}"/>
    <cellStyle name="Normal 9 9 37" xfId="10328" xr:uid="{00000000-0005-0000-0000-0000E5700000}"/>
    <cellStyle name="Normal 9 9 38" xfId="5556" xr:uid="{00000000-0005-0000-0000-0000E6700000}"/>
    <cellStyle name="Normal 9 9 39" xfId="9417" xr:uid="{00000000-0005-0000-0000-0000E7700000}"/>
    <cellStyle name="Normal 9 9 4" xfId="26462" xr:uid="{00000000-0005-0000-0000-0000E8700000}"/>
    <cellStyle name="Normal 9 9 40" xfId="6759" xr:uid="{00000000-0005-0000-0000-0000E9700000}"/>
    <cellStyle name="Normal 9 9 41" xfId="10868" xr:uid="{00000000-0005-0000-0000-0000EA700000}"/>
    <cellStyle name="Normal 9 9 42" xfId="6289" xr:uid="{00000000-0005-0000-0000-0000EB700000}"/>
    <cellStyle name="Normal 9 9 43" xfId="6088" xr:uid="{00000000-0005-0000-0000-0000EC700000}"/>
    <cellStyle name="Normal 9 9 44" xfId="2836" xr:uid="{00000000-0005-0000-0000-0000ED700000}"/>
    <cellStyle name="Normal 9 9 45" xfId="2593" xr:uid="{00000000-0005-0000-0000-0000EE700000}"/>
    <cellStyle name="Normal 9 9 46" xfId="2353" xr:uid="{00000000-0005-0000-0000-0000EF700000}"/>
    <cellStyle name="Normal 9 9 47" xfId="2113" xr:uid="{00000000-0005-0000-0000-0000F0700000}"/>
    <cellStyle name="Normal 9 9 48" xfId="1873" xr:uid="{00000000-0005-0000-0000-0000F1700000}"/>
    <cellStyle name="Normal 9 9 49" xfId="1633" xr:uid="{00000000-0005-0000-0000-0000F2700000}"/>
    <cellStyle name="Normal 9 9 5" xfId="25866" xr:uid="{00000000-0005-0000-0000-0000F3700000}"/>
    <cellStyle name="Normal 9 9 50" xfId="1394" xr:uid="{00000000-0005-0000-0000-0000F4700000}"/>
    <cellStyle name="Normal 9 9 51" xfId="1154" xr:uid="{00000000-0005-0000-0000-0000F5700000}"/>
    <cellStyle name="Normal 9 9 52" xfId="914" xr:uid="{00000000-0005-0000-0000-0000F6700000}"/>
    <cellStyle name="Normal 9 9 53" xfId="674" xr:uid="{00000000-0005-0000-0000-0000F7700000}"/>
    <cellStyle name="Normal 9 9 54" xfId="434" xr:uid="{00000000-0005-0000-0000-0000F8700000}"/>
    <cellStyle name="Normal 9 9 55" xfId="195" xr:uid="{00000000-0005-0000-0000-0000F9700000}"/>
    <cellStyle name="Normal 9 9 56" xfId="28897" xr:uid="{00000000-0005-0000-0000-0000FA700000}"/>
    <cellStyle name="Normal 9 9 6" xfId="25270" xr:uid="{00000000-0005-0000-0000-0000FB700000}"/>
    <cellStyle name="Normal 9 9 7" xfId="24673" xr:uid="{00000000-0005-0000-0000-0000FC700000}"/>
    <cellStyle name="Normal 9 9 8" xfId="24076" xr:uid="{00000000-0005-0000-0000-0000FD700000}"/>
    <cellStyle name="Normal 9 9 9" xfId="23479" xr:uid="{00000000-0005-0000-0000-0000FE700000}"/>
    <cellStyle name="Normal_2011-03-14" xfId="28916" xr:uid="{00000000-0005-0000-0000-0000FF700000}"/>
    <cellStyle name="Normal_2011-03-18" xfId="28915" xr:uid="{00000000-0005-0000-0000-000000710000}"/>
    <cellStyle name="Percent 2" xfId="28928" xr:uid="{00000000-0005-0000-0000-000001710000}"/>
    <cellStyle name="Percent 2 2" xfId="28898" xr:uid="{00000000-0005-0000-0000-000002710000}"/>
    <cellStyle name="Percent 2 3" xfId="28911" xr:uid="{00000000-0005-0000-0000-000003710000}"/>
    <cellStyle name="Percent 2 4" xfId="28912" xr:uid="{00000000-0005-0000-0000-000004710000}"/>
    <cellStyle name="Percent 2 5" xfId="28913" xr:uid="{00000000-0005-0000-0000-000005710000}"/>
    <cellStyle name="Percent 2 6" xfId="28910" xr:uid="{00000000-0005-0000-0000-000006710000}"/>
    <cellStyle name="Percent 2 7" xfId="28914" xr:uid="{00000000-0005-0000-0000-000007710000}"/>
    <cellStyle name="Percent 2 8" xfId="28906" xr:uid="{00000000-0005-0000-0000-000008710000}"/>
  </cellStyles>
  <dxfs count="2">
    <dxf>
      <numFmt numFmtId="15" formatCode="0.00E+00"/>
    </dxf>
    <dxf>
      <numFmt numFmtId="3" formatCode="#,##0"/>
    </dxf>
  </dxfs>
  <tableStyles count="0" defaultTableStyle="TableStyleMedium9" defaultPivotStyle="PivotStyleLight16"/>
  <colors>
    <mruColors>
      <color rgb="FFFFFFCC"/>
      <color rgb="FFFFFF9F"/>
      <color rgb="FF9BFF9B"/>
      <color rgb="FF81FF81"/>
      <color rgb="FFCCFFCC"/>
      <color rgb="FF09FF78"/>
      <color rgb="FF009242"/>
      <color rgb="FFFFCCCC"/>
      <color rgb="FFD9B3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oneCellAnchor>
    <xdr:from>
      <xdr:col>0</xdr:col>
      <xdr:colOff>434340</xdr:colOff>
      <xdr:row>391</xdr:row>
      <xdr:rowOff>13049</xdr:rowOff>
    </xdr:from>
    <xdr:ext cx="5875020" cy="57823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34340" y="26355389"/>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𝑅𝐵𝐶</m:t>
                    </m:r>
                    <m:r>
                      <m:rPr>
                        <m:nor/>
                      </m:rPr>
                      <a:rPr lang="en-US" sz="1100" b="0" i="0">
                        <a:latin typeface="Cambria Math"/>
                      </a:rPr>
                      <m:t>−</m:t>
                    </m:r>
                    <m:r>
                      <a:rPr lang="en-US" sz="1100" b="0" i="1">
                        <a:latin typeface="Cambria Math"/>
                      </a:rPr>
                      <m:t>𝑆𝐸𝐷</m:t>
                    </m:r>
                    <m:r>
                      <m:rPr>
                        <m:nor/>
                      </m:rPr>
                      <a:rPr lang="en-US" sz="1100" b="0" i="0">
                        <a:latin typeface="Cambria Math"/>
                      </a:rPr>
                      <m:t>−</m:t>
                    </m:r>
                    <m:r>
                      <a:rPr lang="en-US" sz="1100" b="0" i="1">
                        <a:latin typeface="Cambria Math"/>
                      </a:rPr>
                      <m:t>𝐶</m:t>
                    </m:r>
                    <m:r>
                      <a:rPr lang="en-US" sz="1100" i="1">
                        <a:latin typeface="Cambria Math"/>
                      </a:rPr>
                      <m:t>=</m:t>
                    </m:r>
                    <m:f>
                      <m:fPr>
                        <m:ctrlPr>
                          <a:rPr lang="en-US" sz="1100" i="1">
                            <a:latin typeface="Cambria Math" panose="02040503050406030204" pitchFamily="18" charset="0"/>
                          </a:rPr>
                        </m:ctrlPr>
                      </m:fPr>
                      <m:num>
                        <m:r>
                          <a:rPr lang="en-US" sz="1100" b="0" i="1">
                            <a:latin typeface="Cambria Math"/>
                          </a:rPr>
                          <m:t>𝐴𝐶𝑅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𝐴𝑇𝑐</m:t>
                        </m:r>
                      </m:num>
                      <m:den>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𝐶𝑃𝐹𝑜</m:t>
                                    </m:r>
                                  </m:num>
                                  <m:den>
                                    <m:r>
                                      <a:rPr lang="en-US" sz="1100" b="0" i="1">
                                        <a:latin typeface="Cambria Math"/>
                                      </a:rPr>
                                      <m:t>𝑈𝐶𝐹</m:t>
                                    </m:r>
                                  </m:den>
                                </m:f>
                              </m:e>
                            </m:d>
                            <m:r>
                              <a:rPr lang="en-US" sz="1100" b="0" i="1">
                                <a:latin typeface="Cambria Math"/>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𝑆𝐴</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𝐶𝑃𝐹𝑑</m:t>
                                    </m:r>
                                  </m:num>
                                  <m:den>
                                    <m:r>
                                      <a:rPr lang="en-US" sz="1100" b="0" i="1">
                                        <a:latin typeface="Cambria Math"/>
                                      </a:rPr>
                                      <m:t>𝑈𝐶𝐹</m:t>
                                    </m:r>
                                  </m:den>
                                </m:f>
                              </m:e>
                            </m:d>
                          </m:e>
                        </m:d>
                      </m:den>
                    </m:f>
                  </m:oMath>
                </m:oMathPara>
              </a14:m>
              <a:endParaRPr lang="en-US" sz="1100"/>
            </a:p>
          </xdr:txBody>
        </xdr:sp>
      </mc:Choice>
      <mc:Fallback xmlns="">
        <xdr:sp macro="" textlink="">
          <xdr:nvSpPr>
            <xdr:cNvPr id="2" name="TextBox 1"/>
            <xdr:cNvSpPr txBox="1"/>
          </xdr:nvSpPr>
          <xdr:spPr>
            <a:xfrm>
              <a:off x="434340" y="26355389"/>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𝑅𝐵𝐶"−" 𝑆𝐸𝐷"−" 𝐶</a:t>
              </a:r>
              <a:r>
                <a:rPr lang="en-US" sz="1100" i="0">
                  <a:latin typeface="Cambria Math"/>
                </a:rPr>
                <a:t>=(</a:t>
              </a:r>
              <a:r>
                <a:rPr lang="en-US" sz="1100" b="0" i="0">
                  <a:latin typeface="Cambria Math"/>
                </a:rPr>
                <a:t>𝐴𝐶𝑅 𝑥 𝐵𝑊 𝑥 𝐴𝑇𝑐)/(𝐸𝐹 𝑥 𝐸𝐷 𝑥 [((𝐼𝑅 𝑥 𝐴𝐵 𝑥 𝐶𝑃𝐹𝑜)/𝑈𝐶𝐹)+ ((𝑆𝐴 𝑥 𝐴𝐹 𝑥 𝐴𝐵𝑆 𝑥 𝐶𝑃𝐹𝑑)/𝑈𝐶𝐹)] )</a:t>
              </a:r>
              <a:endParaRPr lang="en-US" sz="1100"/>
            </a:p>
          </xdr:txBody>
        </xdr:sp>
      </mc:Fallback>
    </mc:AlternateContent>
    <xdr:clientData/>
  </xdr:oneCellAnchor>
  <xdr:oneCellAnchor>
    <xdr:from>
      <xdr:col>0</xdr:col>
      <xdr:colOff>0</xdr:colOff>
      <xdr:row>423</xdr:row>
      <xdr:rowOff>0</xdr:rowOff>
    </xdr:from>
    <xdr:ext cx="5875020" cy="57823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0" y="39570660"/>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𝑅𝐵𝐶</m:t>
                    </m:r>
                    <m:r>
                      <m:rPr>
                        <m:nor/>
                      </m:rPr>
                      <a:rPr lang="en-US" sz="1100" b="0" i="0">
                        <a:latin typeface="Cambria Math"/>
                      </a:rPr>
                      <m:t>−</m:t>
                    </m:r>
                    <m:r>
                      <a:rPr lang="en-US" sz="1100" b="0" i="1">
                        <a:latin typeface="Cambria Math"/>
                      </a:rPr>
                      <m:t>𝑆𝐸𝐷</m:t>
                    </m:r>
                    <m:r>
                      <m:rPr>
                        <m:nor/>
                      </m:rPr>
                      <a:rPr lang="en-US" sz="1100" b="0" i="0">
                        <a:latin typeface="Cambria Math"/>
                      </a:rPr>
                      <m:t>−</m:t>
                    </m:r>
                    <m:r>
                      <m:rPr>
                        <m:nor/>
                      </m:rPr>
                      <a:rPr lang="en-US" sz="1100" b="0" i="1">
                        <a:latin typeface="Cambria Math"/>
                      </a:rPr>
                      <m:t>N</m:t>
                    </m:r>
                    <m:r>
                      <a:rPr lang="en-US" sz="1100" i="1">
                        <a:latin typeface="Cambria Math"/>
                      </a:rPr>
                      <m:t>=</m:t>
                    </m:r>
                    <m:f>
                      <m:fPr>
                        <m:ctrlPr>
                          <a:rPr lang="en-US" sz="1100" i="1">
                            <a:latin typeface="Cambria Math" panose="02040503050406030204" pitchFamily="18" charset="0"/>
                          </a:rPr>
                        </m:ctrlPr>
                      </m:fPr>
                      <m:num>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𝐴𝑇𝑛</m:t>
                        </m:r>
                      </m:num>
                      <m:den>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num>
                                  <m:den>
                                    <m:r>
                                      <a:rPr lang="en-US" sz="1100" b="0" i="1">
                                        <a:latin typeface="Cambria Math"/>
                                      </a:rPr>
                                      <m:t>𝑅𝑓𝐷𝑜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den>
                                </m:f>
                              </m:e>
                            </m:d>
                            <m:r>
                              <a:rPr lang="en-US" sz="1100" b="0" i="1">
                                <a:latin typeface="Cambria Math"/>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𝑆𝐴</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num>
                                  <m:den>
                                    <m:r>
                                      <a:rPr lang="en-US" sz="1100" b="0" i="1">
                                        <a:latin typeface="Cambria Math"/>
                                      </a:rPr>
                                      <m:t>𝑅𝑓𝐷𝑑</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den>
                                </m:f>
                              </m:e>
                            </m:d>
                          </m:e>
                        </m:d>
                      </m:den>
                    </m:f>
                  </m:oMath>
                </m:oMathPara>
              </a14:m>
              <a:endParaRPr lang="en-US" sz="1100"/>
            </a:p>
          </xdr:txBody>
        </xdr:sp>
      </mc:Choice>
      <mc:Fallback xmlns="">
        <xdr:sp macro="" textlink="">
          <xdr:nvSpPr>
            <xdr:cNvPr id="3" name="TextBox 2"/>
            <xdr:cNvSpPr txBox="1"/>
          </xdr:nvSpPr>
          <xdr:spPr>
            <a:xfrm>
              <a:off x="0" y="39570660"/>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𝑅𝐵𝐶"−" 𝑆𝐸𝐷"−N"</a:t>
              </a:r>
              <a:r>
                <a:rPr lang="en-US" sz="1100" i="0">
                  <a:latin typeface="Cambria Math"/>
                </a:rPr>
                <a:t>=</a:t>
              </a:r>
              <a:r>
                <a:rPr lang="en-US" sz="1100" i="0">
                  <a:latin typeface="Cambria Math" panose="02040503050406030204" pitchFamily="18" charset="0"/>
                </a:rPr>
                <a:t>(</a:t>
              </a:r>
              <a:r>
                <a:rPr lang="en-US" sz="1100" b="0" i="0">
                  <a:latin typeface="Cambria Math"/>
                </a:rPr>
                <a:t>𝐻𝑄 𝑥 𝐵𝑊 𝑥 𝐴𝑇𝑛</a:t>
              </a:r>
              <a:r>
                <a:rPr lang="en-US" sz="1100" b="0" i="0">
                  <a:latin typeface="Cambria Math" panose="02040503050406030204" pitchFamily="18" charset="0"/>
                </a:rPr>
                <a:t>)/(</a:t>
              </a:r>
              <a:r>
                <a:rPr lang="en-US" sz="1100" b="0" i="0">
                  <a:latin typeface="Cambria Math"/>
                </a:rPr>
                <a:t>𝐸𝐹 𝑥 𝐸𝐷 𝑥 </a:t>
              </a:r>
              <a:r>
                <a:rPr lang="en-US" sz="1100" b="0" i="0">
                  <a:latin typeface="Cambria Math" panose="02040503050406030204" pitchFamily="18" charset="0"/>
                </a:rPr>
                <a:t>[((</a:t>
              </a:r>
              <a:r>
                <a:rPr lang="en-US" sz="1100" b="0" i="0">
                  <a:latin typeface="Cambria Math"/>
                </a:rPr>
                <a:t>𝐼𝑅 𝑥 𝐴𝐵</a:t>
              </a:r>
              <a:r>
                <a:rPr lang="en-US" sz="1100" b="0" i="0">
                  <a:latin typeface="Cambria Math" panose="02040503050406030204" pitchFamily="18" charset="0"/>
                </a:rPr>
                <a:t>)/(</a:t>
              </a:r>
              <a:r>
                <a:rPr lang="en-US" sz="1100" b="0" i="0">
                  <a:latin typeface="Cambria Math"/>
                </a:rPr>
                <a:t>𝑅𝑓𝐷𝑜 𝑥 𝑈𝐶𝐹</a:t>
              </a:r>
              <a:r>
                <a:rPr lang="en-US" sz="1100" b="0" i="0">
                  <a:latin typeface="Cambria Math" panose="02040503050406030204" pitchFamily="18" charset="0"/>
                </a:rPr>
                <a:t>))</a:t>
              </a:r>
              <a:r>
                <a:rPr lang="en-US" sz="1100" b="0" i="0">
                  <a:latin typeface="Cambria Math"/>
                </a:rPr>
                <a:t>+ </a:t>
              </a:r>
              <a:r>
                <a:rPr lang="en-US" sz="1100" b="0" i="0">
                  <a:latin typeface="Cambria Math" panose="02040503050406030204" pitchFamily="18" charset="0"/>
                </a:rPr>
                <a:t>((</a:t>
              </a:r>
              <a:r>
                <a:rPr lang="en-US" sz="1100" b="0" i="0">
                  <a:latin typeface="Cambria Math"/>
                </a:rPr>
                <a:t>𝑆𝐴 𝑥 𝐴𝐹 𝑥 𝐴𝐵𝑆</a:t>
              </a:r>
              <a:r>
                <a:rPr lang="en-US" sz="1100" b="0" i="0">
                  <a:latin typeface="Cambria Math" panose="02040503050406030204" pitchFamily="18" charset="0"/>
                </a:rPr>
                <a:t>)/(</a:t>
              </a:r>
              <a:r>
                <a:rPr lang="en-US" sz="1100" b="0" i="0">
                  <a:latin typeface="Cambria Math"/>
                </a:rPr>
                <a:t>𝑅𝑓𝐷𝑑 𝑥 𝑈𝐶𝐹</a:t>
              </a:r>
              <a:r>
                <a:rPr lang="en-US" sz="1100" b="0" i="0">
                  <a:latin typeface="Cambria Math" panose="02040503050406030204" pitchFamily="18" charset="0"/>
                </a:rPr>
                <a:t>))] )</a:t>
              </a:r>
              <a:endParaRPr lang="en-US" sz="1100"/>
            </a:p>
          </xdr:txBody>
        </xdr:sp>
      </mc:Fallback>
    </mc:AlternateContent>
    <xdr:clientData/>
  </xdr:oneCellAnchor>
  <xdr:oneCellAnchor>
    <xdr:from>
      <xdr:col>0</xdr:col>
      <xdr:colOff>651510</xdr:colOff>
      <xdr:row>454</xdr:row>
      <xdr:rowOff>99060</xdr:rowOff>
    </xdr:from>
    <xdr:ext cx="2731770" cy="42383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651510" y="45758100"/>
              <a:ext cx="273177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𝐶𝑃𝐹𝑑</m:t>
                    </m:r>
                    <m:r>
                      <a:rPr lang="en-US" sz="1100" b="0" i="1">
                        <a:latin typeface="Cambria Math"/>
                      </a:rPr>
                      <m:t>=</m:t>
                    </m:r>
                    <m:f>
                      <m:fPr>
                        <m:ctrlPr>
                          <a:rPr lang="en-US" sz="1100" b="0" i="1">
                            <a:latin typeface="Cambria Math" panose="02040503050406030204" pitchFamily="18" charset="0"/>
                          </a:rPr>
                        </m:ctrlPr>
                      </m:fPr>
                      <m:num>
                        <m:r>
                          <a:rPr lang="en-US" sz="1100" b="0" i="1">
                            <a:latin typeface="Cambria Math"/>
                          </a:rPr>
                          <m:t>𝐶𝑃𝐹𝑜</m:t>
                        </m:r>
                      </m:num>
                      <m:den>
                        <m:r>
                          <a:rPr lang="en-US" sz="1100" b="0" i="1">
                            <a:latin typeface="Cambria Math"/>
                          </a:rPr>
                          <m:t>𝐺𝐼</m:t>
                        </m:r>
                      </m:den>
                    </m:f>
                  </m:oMath>
                </m:oMathPara>
              </a14:m>
              <a:endParaRPr lang="en-US" sz="1100"/>
            </a:p>
          </xdr:txBody>
        </xdr:sp>
      </mc:Choice>
      <mc:Fallback xmlns="">
        <xdr:sp macro="" textlink="">
          <xdr:nvSpPr>
            <xdr:cNvPr id="4" name="TextBox 3"/>
            <xdr:cNvSpPr txBox="1"/>
          </xdr:nvSpPr>
          <xdr:spPr>
            <a:xfrm>
              <a:off x="651510" y="45758100"/>
              <a:ext cx="273177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𝐶𝑃𝐹𝑑=𝐶𝑃𝐹𝑜/𝐺𝐼</a:t>
              </a:r>
              <a:endParaRPr lang="en-US" sz="1100"/>
            </a:p>
          </xdr:txBody>
        </xdr:sp>
      </mc:Fallback>
    </mc:AlternateContent>
    <xdr:clientData/>
  </xdr:oneCellAnchor>
  <xdr:oneCellAnchor>
    <xdr:from>
      <xdr:col>0</xdr:col>
      <xdr:colOff>1088992</xdr:colOff>
      <xdr:row>465</xdr:row>
      <xdr:rowOff>65563</xdr:rowOff>
    </xdr:from>
    <xdr:ext cx="2340007" cy="26770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088992" y="47637223"/>
              <a:ext cx="2340007"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𝑅𝑓𝐷𝑑</m:t>
                    </m:r>
                    <m:r>
                      <a:rPr lang="en-US" sz="1100" b="0" i="1">
                        <a:latin typeface="Cambria Math"/>
                      </a:rPr>
                      <m:t>=</m:t>
                    </m:r>
                    <m:r>
                      <a:rPr lang="en-US" sz="1100" b="0" i="1">
                        <a:latin typeface="Cambria Math"/>
                      </a:rPr>
                      <m:t>𝑅𝑓𝐷𝑜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𝐺𝐼</m:t>
                    </m:r>
                  </m:oMath>
                </m:oMathPara>
              </a14:m>
              <a:endParaRPr lang="en-US" sz="1100"/>
            </a:p>
          </xdr:txBody>
        </xdr:sp>
      </mc:Choice>
      <mc:Fallback xmlns="">
        <xdr:sp macro="" textlink="">
          <xdr:nvSpPr>
            <xdr:cNvPr id="5" name="TextBox 4"/>
            <xdr:cNvSpPr txBox="1"/>
          </xdr:nvSpPr>
          <xdr:spPr>
            <a:xfrm>
              <a:off x="1088992" y="47637223"/>
              <a:ext cx="2340007"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𝑅𝑓𝐷𝑑=𝑅𝑓𝐷𝑜 𝑥 𝐺𝐼</a:t>
              </a:r>
              <a:endParaRPr lang="en-US" sz="1100"/>
            </a:p>
          </xdr:txBody>
        </xdr:sp>
      </mc:Fallback>
    </mc:AlternateContent>
    <xdr:clientData/>
  </xdr:oneCellAnchor>
  <xdr:oneCellAnchor>
    <xdr:from>
      <xdr:col>3</xdr:col>
      <xdr:colOff>2335530</xdr:colOff>
      <xdr:row>15</xdr:row>
      <xdr:rowOff>91440</xdr:rowOff>
    </xdr:from>
    <xdr:ext cx="914400" cy="264560"/>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6770370" y="217932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0</xdr:col>
      <xdr:colOff>83820</xdr:colOff>
      <xdr:row>7</xdr:row>
      <xdr:rowOff>66389</xdr:rowOff>
    </xdr:from>
    <xdr:ext cx="5341620" cy="42492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83820" y="538829"/>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𝐺𝑊</m:t>
                    </m:r>
                    <m:r>
                      <m:rPr>
                        <m:nor/>
                      </m:rPr>
                      <a:rPr lang="en-US" sz="1100" b="0" i="0">
                        <a:latin typeface="Cambria Math"/>
                      </a:rPr>
                      <m:t>−</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𝐷𝑊𝐼𝑅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𝐼𝑁𝐻</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𝐷𝑊𝐹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7" name="TextBox 6"/>
            <xdr:cNvSpPr txBox="1"/>
          </xdr:nvSpPr>
          <xdr:spPr>
            <a:xfrm>
              <a:off x="83820" y="538829"/>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𝐺𝑊"−" 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𝐷𝑊𝐼𝑅 𝑥 𝐼𝑁𝐻 𝑥 𝐷𝑊𝐹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28</xdr:row>
      <xdr:rowOff>0</xdr:rowOff>
    </xdr:from>
    <xdr:ext cx="5341620" cy="42492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0" y="427482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𝐺𝑊</m:t>
                    </m:r>
                    <m:r>
                      <m:rPr>
                        <m:nor/>
                      </m:rPr>
                      <a:rPr lang="en-US" sz="1100" b="0" i="0">
                        <a:latin typeface="Cambria Math"/>
                      </a:rPr>
                      <m:t>−</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𝐷𝑊𝐼𝑅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𝐼𝑁𝐻</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𝐷𝑊𝐹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9" name="TextBox 8"/>
            <xdr:cNvSpPr txBox="1"/>
          </xdr:nvSpPr>
          <xdr:spPr>
            <a:xfrm>
              <a:off x="0" y="427482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𝐺𝑊"−"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𝐷𝑊𝐼𝑅 𝑥 𝐼𝑁𝐻 𝑥 𝐷𝑊𝐹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49</xdr:row>
      <xdr:rowOff>0</xdr:rowOff>
    </xdr:from>
    <xdr:ext cx="5341620" cy="424925"/>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0" y="779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𝑆𝑊</m:t>
                    </m:r>
                    <m:r>
                      <m:rPr>
                        <m:nor/>
                      </m:rPr>
                      <a:rPr lang="en-US" sz="1100" b="0" i="0">
                        <a:latin typeface="Cambria Math"/>
                      </a:rPr>
                      <m:t>−</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2 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𝐹𝐶𝑅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𝐹𝐷𝐹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0" name="TextBox 9"/>
            <xdr:cNvSpPr txBox="1"/>
          </xdr:nvSpPr>
          <xdr:spPr>
            <a:xfrm>
              <a:off x="0" y="779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𝑆𝑊"−" 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𝑈𝐶𝐹1 𝑥 𝑈𝐶𝐹2 𝑥 𝐻𝑄 𝑥 𝐴𝑇</a:t>
              </a:r>
              <a:r>
                <a:rPr lang="en-US" sz="1100" b="0" i="0">
                  <a:latin typeface="Cambria Math" panose="02040503050406030204" pitchFamily="18" charset="0"/>
                </a:rPr>
                <a:t>)/(</a:t>
              </a:r>
              <a:r>
                <a:rPr lang="en-US" sz="1100" b="0" i="0">
                  <a:latin typeface="Cambria Math"/>
                </a:rPr>
                <a:t>𝐵𝐶𝐹 𝑥 𝐹𝐶𝑅 𝑥 𝐹𝐷𝐹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71</xdr:row>
      <xdr:rowOff>0</xdr:rowOff>
    </xdr:from>
    <xdr:ext cx="5341620" cy="4249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0" y="1160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𝑆𝑊</m:t>
                    </m:r>
                    <m:r>
                      <m:rPr>
                        <m:nor/>
                      </m:rPr>
                      <a:rPr lang="en-US" sz="1100" b="0" i="0">
                        <a:latin typeface="Cambria Math"/>
                      </a:rPr>
                      <m:t>−</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2 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𝐹𝐶𝑅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𝐹𝐷𝐹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1" name="TextBox 10"/>
            <xdr:cNvSpPr txBox="1"/>
          </xdr:nvSpPr>
          <xdr:spPr>
            <a:xfrm>
              <a:off x="0" y="1160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𝑆𝑊"−"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𝑈𝐶𝐹1 𝑥 𝑈𝐶𝐹2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𝐵𝐶𝐹 𝑥 𝐹𝐶𝑅 𝑥 𝐹𝐷𝐹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93</xdr:row>
      <xdr:rowOff>0</xdr:rowOff>
    </xdr:from>
    <xdr:ext cx="5341620" cy="4249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0" y="146837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panose="02040503050406030204" pitchFamily="18" charset="0"/>
                      </a:rPr>
                      <m:t>𝑅</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2" name="TextBox 11"/>
            <xdr:cNvSpPr txBox="1"/>
          </xdr:nvSpPr>
          <xdr:spPr>
            <a:xfrm>
              <a:off x="0" y="146837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a:t>
              </a:r>
              <a:r>
                <a:rPr lang="en-US" sz="1100" b="0" i="0">
                  <a:latin typeface="Cambria Math" panose="02040503050406030204" pitchFamily="18" charset="0"/>
                </a:rPr>
                <a:t>" 𝑅</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114</xdr:row>
      <xdr:rowOff>0</xdr:rowOff>
    </xdr:from>
    <xdr:ext cx="5341620" cy="42492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0" y="180594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m:rPr>
                        <m:nor/>
                      </m:rPr>
                      <a:rPr lang="en-US" sz="1100" b="0" i="0">
                        <a:latin typeface="Cambria Math"/>
                      </a:rPr>
                      <m:t>R</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3" name="TextBox 12"/>
            <xdr:cNvSpPr txBox="1"/>
          </xdr:nvSpPr>
          <xdr:spPr>
            <a:xfrm>
              <a:off x="0" y="180594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𝑆"−R"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76200</xdr:colOff>
      <xdr:row>176</xdr:row>
      <xdr:rowOff>91440</xdr:rowOff>
    </xdr:from>
    <xdr:ext cx="5844540" cy="60198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76200" y="21922740"/>
              <a:ext cx="584454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a:rPr>
                      <m:t>𝐺𝑊</m:t>
                    </m:r>
                    <m:r>
                      <a:rPr lang="en-US" sz="1100" b="0" i="1">
                        <a:latin typeface="Cambria Math"/>
                      </a:rPr>
                      <m:t> =</m:t>
                    </m:r>
                    <m:r>
                      <a:rPr lang="en-US" sz="1100" b="0" i="1">
                        <a:latin typeface="Cambria Math"/>
                      </a:rPr>
                      <m:t>𝐶𝑈𝐿</m:t>
                    </m:r>
                    <m:r>
                      <m:rPr>
                        <m:nor/>
                      </m:rPr>
                      <a:rPr lang="en-US" sz="1100" b="0" i="0">
                        <a:latin typeface="Cambria Math"/>
                      </a:rPr>
                      <m:t>−</m:t>
                    </m:r>
                    <m:r>
                      <a:rPr lang="en-US" sz="1100" b="0" i="1">
                        <a:latin typeface="Cambria Math"/>
                      </a:rPr>
                      <m:t>𝐺𝑊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𝐷𝐹</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𝐾</m:t>
                        </m:r>
                        <m:r>
                          <a:rPr lang="en-US" sz="1100" b="0" i="1" baseline="-25000">
                            <a:solidFill>
                              <a:schemeClr val="tx1"/>
                            </a:solidFill>
                            <a:effectLst/>
                            <a:latin typeface="Cambria Math" panose="02040503050406030204" pitchFamily="18" charset="0"/>
                            <a:ea typeface="+mn-ea"/>
                            <a:cs typeface="+mn-cs"/>
                          </a:rPr>
                          <m:t>𝑑</m:t>
                        </m:r>
                        <m:r>
                          <a:rPr lang="en-US" sz="1100" b="0" i="1">
                            <a:solidFill>
                              <a:schemeClr val="tx1"/>
                            </a:solidFill>
                            <a:effectLst/>
                            <a:latin typeface="Cambria Math" panose="02040503050406030204" pitchFamily="18" charset="0"/>
                            <a:ea typeface="+mn-ea"/>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𝜃</m:t>
                            </m:r>
                            <m:r>
                              <a:rPr lang="en-US" sz="1100" b="0" i="1" baseline="-25000">
                                <a:solidFill>
                                  <a:schemeClr val="tx1"/>
                                </a:solidFill>
                                <a:effectLst/>
                                <a:latin typeface="Cambria Math" panose="02040503050406030204" pitchFamily="18" charset="0"/>
                                <a:ea typeface="+mn-ea"/>
                                <a:cs typeface="+mn-cs"/>
                              </a:rPr>
                              <m:t>𝑤</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𝜃</m:t>
                            </m:r>
                            <m:r>
                              <a:rPr lang="en-US" sz="1100" b="0" i="1" baseline="-25000">
                                <a:solidFill>
                                  <a:schemeClr val="tx1"/>
                                </a:solidFill>
                                <a:effectLst/>
                                <a:latin typeface="Cambria Math" panose="02040503050406030204" pitchFamily="18" charset="0"/>
                                <a:ea typeface="+mn-ea"/>
                                <a:cs typeface="+mn-cs"/>
                              </a:rPr>
                              <m:t>𝑎</m:t>
                            </m:r>
                            <m:r>
                              <a:rPr lang="en-US" sz="1100" b="0" i="1">
                                <a:solidFill>
                                  <a:schemeClr val="tx1"/>
                                </a:solidFill>
                                <a:effectLst/>
                                <a:latin typeface="Cambria Math" panose="02040503050406030204" pitchFamily="18" charset="0"/>
                                <a:ea typeface="+mn-ea"/>
                                <a:cs typeface="+mn-cs"/>
                              </a:rPr>
                              <m:t>𝐻</m:t>
                            </m:r>
                            <m:r>
                              <a:rPr lang="en-US" sz="1100" b="0" i="1" baseline="-25000">
                                <a:solidFill>
                                  <a:schemeClr val="tx1"/>
                                </a:solidFill>
                                <a:effectLst/>
                                <a:latin typeface="Cambria Math" panose="02040503050406030204" pitchFamily="18" charset="0"/>
                                <a:ea typeface="+mn-ea"/>
                                <a:cs typeface="+mn-cs"/>
                              </a:rPr>
                              <m:t>𝑐𝑐</m:t>
                            </m:r>
                          </m:num>
                          <m:den>
                            <m:r>
                              <a:rPr lang="en-US" sz="1100" b="0" i="1">
                                <a:solidFill>
                                  <a:schemeClr val="tx1"/>
                                </a:solidFill>
                                <a:effectLst/>
                                <a:latin typeface="Cambria Math" panose="02040503050406030204" pitchFamily="18" charset="0"/>
                                <a:ea typeface="+mn-ea"/>
                                <a:cs typeface="+mn-cs"/>
                              </a:rPr>
                              <m:t>𝜌</m:t>
                            </m:r>
                            <m:r>
                              <a:rPr lang="en-US" sz="1100" b="0" i="1" baseline="-25000">
                                <a:solidFill>
                                  <a:schemeClr val="tx1"/>
                                </a:solidFill>
                                <a:effectLst/>
                                <a:latin typeface="Cambria Math" panose="02040503050406030204" pitchFamily="18" charset="0"/>
                                <a:ea typeface="+mn-ea"/>
                                <a:cs typeface="+mn-cs"/>
                              </a:rPr>
                              <m:t>𝑏</m:t>
                            </m:r>
                          </m:den>
                        </m:f>
                      </m:e>
                    </m:d>
                  </m:oMath>
                </m:oMathPara>
              </a14:m>
              <a:endParaRPr lang="en-US" sz="1100"/>
            </a:p>
          </xdr:txBody>
        </xdr:sp>
      </mc:Choice>
      <mc:Fallback xmlns="">
        <xdr:sp macro="" textlink="">
          <xdr:nvSpPr>
            <xdr:cNvPr id="14" name="TextBox 13"/>
            <xdr:cNvSpPr txBox="1"/>
          </xdr:nvSpPr>
          <xdr:spPr>
            <a:xfrm>
              <a:off x="76200" y="21922740"/>
              <a:ext cx="584454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US" sz="1100" b="0" i="0">
                  <a:latin typeface="Cambria Math"/>
                </a:rPr>
                <a:t>𝐶𝑈𝐿"−" 𝑆"−" 𝐺𝑊 =𝐶𝑈𝐿"−" 𝐺𝑊 𝑥 𝑈𝐶𝐹 𝑥 𝐷𝐹 𝑥 [</a:t>
              </a:r>
              <a:r>
                <a:rPr lang="en-US" sz="1100" b="0" i="0">
                  <a:solidFill>
                    <a:schemeClr val="tx1"/>
                  </a:solidFill>
                  <a:effectLst/>
                  <a:latin typeface="Cambria Math" panose="02040503050406030204" pitchFamily="18" charset="0"/>
                  <a:ea typeface="+mn-ea"/>
                  <a:cs typeface="+mn-cs"/>
                </a:rPr>
                <a:t>𝐾</a:t>
              </a:r>
              <a:r>
                <a:rPr lang="en-US" sz="1100" b="0" i="0" baseline="-25000">
                  <a:solidFill>
                    <a:schemeClr val="tx1"/>
                  </a:solidFill>
                  <a:effectLst/>
                  <a:latin typeface="Cambria Math" panose="02040503050406030204" pitchFamily="18" charset="0"/>
                  <a:ea typeface="+mn-ea"/>
                  <a:cs typeface="+mn-cs"/>
                </a:rPr>
                <a:t>𝑑</a:t>
              </a:r>
              <a:r>
                <a:rPr lang="en-US" sz="1100" b="0" i="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𝜃</a:t>
              </a:r>
              <a:r>
                <a:rPr lang="en-US" sz="1100" b="0" i="0" baseline="-25000">
                  <a:solidFill>
                    <a:schemeClr val="tx1"/>
                  </a:solidFill>
                  <a:effectLst/>
                  <a:latin typeface="Cambria Math" panose="02040503050406030204" pitchFamily="18" charset="0"/>
                  <a:ea typeface="+mn-ea"/>
                  <a:cs typeface="+mn-cs"/>
                </a:rPr>
                <a:t>𝑤</a:t>
              </a:r>
              <a:r>
                <a:rPr lang="en-US" sz="1100" b="0" i="0">
                  <a:solidFill>
                    <a:schemeClr val="tx1"/>
                  </a:solidFill>
                  <a:effectLst/>
                  <a:latin typeface="Cambria Math" panose="02040503050406030204" pitchFamily="18" charset="0"/>
                  <a:ea typeface="+mn-ea"/>
                  <a:cs typeface="+mn-cs"/>
                </a:rPr>
                <a:t>+𝜃</a:t>
              </a:r>
              <a:r>
                <a:rPr lang="en-US" sz="1100" b="0" i="0" baseline="-25000">
                  <a:solidFill>
                    <a:schemeClr val="tx1"/>
                  </a:solidFill>
                  <a:effectLst/>
                  <a:latin typeface="Cambria Math" panose="02040503050406030204" pitchFamily="18" charset="0"/>
                  <a:ea typeface="+mn-ea"/>
                  <a:cs typeface="+mn-cs"/>
                </a:rPr>
                <a:t>𝑎</a:t>
              </a:r>
              <a:r>
                <a:rPr lang="en-US" sz="1100" b="0" i="0">
                  <a:solidFill>
                    <a:schemeClr val="tx1"/>
                  </a:solidFill>
                  <a:effectLst/>
                  <a:latin typeface="Cambria Math" panose="02040503050406030204" pitchFamily="18" charset="0"/>
                  <a:ea typeface="+mn-ea"/>
                  <a:cs typeface="+mn-cs"/>
                </a:rPr>
                <a:t>𝐻</a:t>
              </a:r>
              <a:r>
                <a:rPr lang="en-US" sz="1100" b="0" i="0" baseline="-25000">
                  <a:solidFill>
                    <a:schemeClr val="tx1"/>
                  </a:solidFill>
                  <a:effectLst/>
                  <a:latin typeface="Cambria Math" panose="02040503050406030204" pitchFamily="18" charset="0"/>
                  <a:ea typeface="+mn-ea"/>
                  <a:cs typeface="+mn-cs"/>
                </a:rPr>
                <a:t>𝑐𝑐</a:t>
              </a:r>
              <a:r>
                <a:rPr lang="en-US" sz="1100" b="0" i="0" baseline="-2500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𝜌</a:t>
              </a:r>
              <a:r>
                <a:rPr lang="en-US" sz="1100" b="0" i="0" baseline="-25000">
                  <a:solidFill>
                    <a:schemeClr val="tx1"/>
                  </a:solidFill>
                  <a:effectLst/>
                  <a:latin typeface="Cambria Math" panose="02040503050406030204" pitchFamily="18" charset="0"/>
                  <a:ea typeface="+mn-ea"/>
                  <a:cs typeface="+mn-cs"/>
                </a:rPr>
                <a:t>𝑏</a:t>
              </a:r>
              <a:r>
                <a:rPr lang="en-US" sz="1100" b="0" i="0" baseline="-25000">
                  <a:solidFill>
                    <a:schemeClr val="tx1"/>
                  </a:solidFill>
                  <a:effectLst/>
                  <a:latin typeface="Cambria Math"/>
                  <a:ea typeface="+mn-ea"/>
                  <a:cs typeface="+mn-cs"/>
                </a:rPr>
                <a:t>]</a:t>
              </a:r>
              <a:endParaRPr lang="en-US" sz="1100"/>
            </a:p>
          </xdr:txBody>
        </xdr:sp>
      </mc:Fallback>
    </mc:AlternateContent>
    <xdr:clientData/>
  </xdr:oneCellAnchor>
  <xdr:oneCellAnchor>
    <xdr:from>
      <xdr:col>0</xdr:col>
      <xdr:colOff>708660</xdr:colOff>
      <xdr:row>209</xdr:row>
      <xdr:rowOff>121920</xdr:rowOff>
    </xdr:from>
    <xdr:ext cx="2350770" cy="26456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708660" y="27150060"/>
              <a:ext cx="23507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𝐾</m:t>
                    </m:r>
                    <m:r>
                      <a:rPr lang="en-US" sz="1100" b="0" i="1" baseline="-25000">
                        <a:latin typeface="Cambria Math"/>
                      </a:rPr>
                      <m:t>𝑑</m:t>
                    </m:r>
                    <m:r>
                      <a:rPr lang="en-US" sz="1100" b="0" i="1">
                        <a:latin typeface="Cambria Math"/>
                      </a:rPr>
                      <m:t>=</m:t>
                    </m:r>
                    <m:r>
                      <a:rPr lang="en-US" sz="1100" b="0" i="1">
                        <a:latin typeface="Cambria Math"/>
                      </a:rPr>
                      <m:t>𝐾𝑜𝑐</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𝐹𝑜𝑐</m:t>
                    </m:r>
                  </m:oMath>
                </m:oMathPara>
              </a14:m>
              <a:endParaRPr lang="en-US" sz="1100" baseline="-25000"/>
            </a:p>
          </xdr:txBody>
        </xdr:sp>
      </mc:Choice>
      <mc:Fallback xmlns="">
        <xdr:sp macro="" textlink="">
          <xdr:nvSpPr>
            <xdr:cNvPr id="15" name="TextBox 14"/>
            <xdr:cNvSpPr txBox="1"/>
          </xdr:nvSpPr>
          <xdr:spPr>
            <a:xfrm>
              <a:off x="708660" y="27150060"/>
              <a:ext cx="23507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𝐾</a:t>
              </a:r>
              <a:r>
                <a:rPr lang="en-US" sz="1100" b="0" i="0" baseline="-25000">
                  <a:latin typeface="Cambria Math"/>
                </a:rPr>
                <a:t>𝑑</a:t>
              </a:r>
              <a:r>
                <a:rPr lang="en-US" sz="1100" b="0" i="0">
                  <a:latin typeface="Cambria Math"/>
                </a:rPr>
                <a:t>=𝐾</a:t>
              </a:r>
              <a:r>
                <a:rPr lang="en-US" sz="1100" b="0" i="0" baseline="-25000">
                  <a:latin typeface="Cambria Math"/>
                </a:rPr>
                <a:t>𝑜𝑐</a:t>
              </a:r>
              <a:r>
                <a:rPr lang="en-US" sz="1100" b="0" i="0">
                  <a:latin typeface="Cambria Math"/>
                </a:rPr>
                <a:t> 𝑥 𝐹</a:t>
              </a:r>
              <a:r>
                <a:rPr lang="en-US" sz="1100" b="0" i="0" baseline="-25000">
                  <a:latin typeface="Cambria Math"/>
                </a:rPr>
                <a:t>𝑜𝑐</a:t>
              </a:r>
              <a:endParaRPr lang="en-US" sz="1100" baseline="-25000"/>
            </a:p>
          </xdr:txBody>
        </xdr:sp>
      </mc:Fallback>
    </mc:AlternateContent>
    <xdr:clientData/>
  </xdr:oneCellAnchor>
  <xdr:oneCellAnchor>
    <xdr:from>
      <xdr:col>0</xdr:col>
      <xdr:colOff>121920</xdr:colOff>
      <xdr:row>220</xdr:row>
      <xdr:rowOff>106680</xdr:rowOff>
    </xdr:from>
    <xdr:ext cx="5372100" cy="601980"/>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121920" y="29116020"/>
              <a:ext cx="537210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𝐺𝑊</m:t>
                    </m:r>
                    <m:r>
                      <m:rPr>
                        <m:nor/>
                      </m:rPr>
                      <a:rPr lang="en-US" sz="1100" b="0" i="0">
                        <a:latin typeface="Cambria Math"/>
                      </a:rPr>
                      <m:t>−</m:t>
                    </m:r>
                    <m:r>
                      <a:rPr lang="en-US" sz="1100" b="0" i="1">
                        <a:latin typeface="Cambria Math"/>
                      </a:rPr>
                      <m:t>𝑆𝐸𝐷</m:t>
                    </m:r>
                    <m:r>
                      <a:rPr lang="en-US" sz="1100" b="0" i="1">
                        <a:latin typeface="Cambria Math"/>
                      </a:rPr>
                      <m:t> =</m:t>
                    </m:r>
                    <m:f>
                      <m:fPr>
                        <m:ctrlPr>
                          <a:rPr lang="en-US" sz="1100" b="0" i="1">
                            <a:latin typeface="Cambria Math" panose="02040503050406030204" pitchFamily="18" charset="0"/>
                          </a:rPr>
                        </m:ctrlPr>
                      </m:fPr>
                      <m:num>
                        <m:r>
                          <a:rPr lang="en-US" sz="1100" b="0" i="1">
                            <a:latin typeface="Cambria Math"/>
                          </a:rPr>
                          <m:t>𝑅𝐵𝐶</m:t>
                        </m:r>
                        <m:r>
                          <m:rPr>
                            <m:nor/>
                          </m:rPr>
                          <a:rPr lang="en-US" sz="1100" b="0" i="0">
                            <a:latin typeface="Cambria Math"/>
                          </a:rPr>
                          <m:t>−</m:t>
                        </m:r>
                        <m:r>
                          <a:rPr lang="en-US" sz="1100" b="0" i="1">
                            <a:latin typeface="Cambria Math"/>
                          </a:rPr>
                          <m:t>𝑆𝐸𝐷</m:t>
                        </m:r>
                      </m:num>
                      <m:den>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𝐷𝐹</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r>
                              <a:rPr lang="en-US" sz="1100" b="0" i="1">
                                <a:latin typeface="Cambria Math"/>
                              </a:rPr>
                              <m:t>𝐾</m:t>
                            </m:r>
                            <m:r>
                              <a:rPr lang="en-US" sz="1100" b="0" i="1" baseline="-25000">
                                <a:latin typeface="Cambria Math"/>
                              </a:rPr>
                              <m:t>𝑑</m:t>
                            </m:r>
                            <m:r>
                              <a:rPr lang="en-US" sz="1100" b="0" i="1">
                                <a:latin typeface="Cambria Math"/>
                              </a:rPr>
                              <m:t>+ </m:t>
                            </m:r>
                            <m:f>
                              <m:fPr>
                                <m:ctrlPr>
                                  <a:rPr lang="en-US" sz="1100" b="0" i="1">
                                    <a:latin typeface="Cambria Math" panose="02040503050406030204" pitchFamily="18" charset="0"/>
                                  </a:rPr>
                                </m:ctrlPr>
                              </m:fPr>
                              <m:num>
                                <m:r>
                                  <a:rPr lang="en-US" sz="1100" b="0" i="1">
                                    <a:latin typeface="Cambria Math"/>
                                    <a:ea typeface="Cambria Math"/>
                                  </a:rPr>
                                  <m:t>𝜃</m:t>
                                </m:r>
                                <m:r>
                                  <a:rPr lang="en-US" sz="1100" b="0" i="1" baseline="-25000">
                                    <a:latin typeface="Cambria Math"/>
                                    <a:ea typeface="Cambria Math"/>
                                  </a:rPr>
                                  <m:t>𝑤</m:t>
                                </m:r>
                              </m:num>
                              <m:den>
                                <m:r>
                                  <a:rPr lang="en-US" sz="1100" b="0" i="1">
                                    <a:latin typeface="Cambria Math"/>
                                    <a:ea typeface="Cambria Math"/>
                                  </a:rPr>
                                  <m:t>𝜌</m:t>
                                </m:r>
                                <m:r>
                                  <a:rPr lang="en-US" sz="1100" b="0" i="1" baseline="-25000">
                                    <a:latin typeface="Cambria Math"/>
                                    <a:ea typeface="Cambria Math"/>
                                  </a:rPr>
                                  <m:t>𝑏</m:t>
                                </m:r>
                              </m:den>
                            </m:f>
                          </m:e>
                        </m:d>
                      </m:den>
                    </m:f>
                  </m:oMath>
                </m:oMathPara>
              </a14:m>
              <a:endParaRPr lang="en-US" sz="1100"/>
            </a:p>
          </xdr:txBody>
        </xdr:sp>
      </mc:Choice>
      <mc:Fallback xmlns="">
        <xdr:sp macro="" textlink="">
          <xdr:nvSpPr>
            <xdr:cNvPr id="16" name="TextBox 15"/>
            <xdr:cNvSpPr txBox="1"/>
          </xdr:nvSpPr>
          <xdr:spPr>
            <a:xfrm>
              <a:off x="121920" y="29116020"/>
              <a:ext cx="537210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US" sz="1100" b="0" i="0">
                  <a:latin typeface="Cambria Math"/>
                </a:rPr>
                <a:t>𝐶𝑈𝐿"−" 𝐺𝑊"−" 𝑆𝐸𝐷 =(𝑅𝐵𝐶"−" 𝑆𝐸𝐷)/(𝑈𝐶𝐹 𝑥 𝐷𝐹 𝑥 [𝐾</a:t>
              </a:r>
              <a:r>
                <a:rPr lang="en-US" sz="1100" b="0" i="0" baseline="-25000">
                  <a:latin typeface="Cambria Math"/>
                </a:rPr>
                <a:t>𝑑</a:t>
              </a:r>
              <a:r>
                <a:rPr lang="en-US" sz="1100" b="0" i="0">
                  <a:latin typeface="Cambria Math"/>
                </a:rPr>
                <a:t>+ </a:t>
              </a:r>
              <a:r>
                <a:rPr lang="en-US" sz="1100" b="0" i="0">
                  <a:latin typeface="Cambria Math"/>
                  <a:ea typeface="Cambria Math"/>
                </a:rPr>
                <a:t>𝜃</a:t>
              </a:r>
              <a:r>
                <a:rPr lang="en-US" sz="1100" b="0" i="0" baseline="-25000">
                  <a:latin typeface="Cambria Math"/>
                  <a:ea typeface="Cambria Math"/>
                </a:rPr>
                <a:t>𝑤/</a:t>
              </a:r>
              <a:r>
                <a:rPr lang="en-US" sz="1100" b="0" i="0">
                  <a:latin typeface="Cambria Math"/>
                  <a:ea typeface="Cambria Math"/>
                </a:rPr>
                <a:t>𝜌</a:t>
              </a:r>
              <a:r>
                <a:rPr lang="en-US" sz="1100" b="0" i="0" baseline="-25000">
                  <a:latin typeface="Cambria Math"/>
                  <a:ea typeface="Cambria Math"/>
                </a:rPr>
                <a:t>𝑏] )</a:t>
              </a:r>
              <a:endParaRPr lang="en-US" sz="1100"/>
            </a:p>
          </xdr:txBody>
        </xdr:sp>
      </mc:Fallback>
    </mc:AlternateContent>
    <xdr:clientData/>
  </xdr:oneCellAnchor>
  <xdr:oneCellAnchor>
    <xdr:from>
      <xdr:col>0</xdr:col>
      <xdr:colOff>0</xdr:colOff>
      <xdr:row>135</xdr:row>
      <xdr:rowOff>0</xdr:rowOff>
    </xdr:from>
    <xdr:ext cx="5341620" cy="424925"/>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7" name="TextBox 16"/>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a:t>
              </a:r>
              <a:r>
                <a:rPr lang="en-US" sz="1100" b="0" i="0">
                  <a:latin typeface="Cambria Math" panose="02040503050406030204" pitchFamily="18" charset="0"/>
                </a:rPr>
                <a:t>" 𝐼</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156</xdr:row>
      <xdr:rowOff>0</xdr:rowOff>
    </xdr:from>
    <xdr:ext cx="5341620" cy="42492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800-000012000000}"/>
                </a:ext>
              </a:extLst>
            </xdr:cNvPr>
            <xdr:cNvSpPr txBox="1"/>
          </xdr:nvSpPr>
          <xdr:spPr>
            <a:xfrm>
              <a:off x="0" y="166116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8" name="TextBox 17"/>
            <xdr:cNvSpPr txBox="1"/>
          </xdr:nvSpPr>
          <xdr:spPr>
            <a:xfrm>
              <a:off x="0" y="166116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a:t>
              </a:r>
              <a:r>
                <a:rPr lang="en-US" sz="1100" b="0" i="0">
                  <a:latin typeface="Cambria Math" panose="02040503050406030204" pitchFamily="18" charset="0"/>
                </a:rPr>
                <a:t>" 𝐼</a:t>
              </a:r>
              <a:r>
                <a:rPr lang="en-US" sz="1100" b="0" i="0">
                  <a:latin typeface="Cambria Math"/>
                </a:rPr>
                <a:t>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241</xdr:row>
      <xdr:rowOff>0</xdr:rowOff>
    </xdr:from>
    <xdr:ext cx="5341620" cy="424925"/>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800-000013000000}"/>
                </a:ext>
              </a:extLst>
            </xdr:cNvPr>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a:rPr lang="en-US" sz="1100" b="0" i="1">
                        <a:latin typeface="Cambria Math" panose="02040503050406030204" pitchFamily="18" charset="0"/>
                      </a:rPr>
                      <m:t>𝑅</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9" name="TextBox 18"/>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a:t>
              </a:r>
              <a:r>
                <a:rPr lang="en-US" sz="1100" b="0" i="0">
                  <a:latin typeface="Cambria Math" panose="02040503050406030204" pitchFamily="18" charset="0"/>
                </a:rPr>
                <a:t>" 𝑅</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baseline="-25000">
                  <a:latin typeface="Cambria Math"/>
                </a:rPr>
                <a:t>𝑖</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262</xdr:row>
      <xdr:rowOff>0</xdr:rowOff>
    </xdr:from>
    <xdr:ext cx="5341620" cy="424925"/>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0" y="17335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m:rPr>
                        <m:nor/>
                      </m:rPr>
                      <a:rPr lang="en-US" sz="1100" b="0" i="0">
                        <a:latin typeface="Cambria Math"/>
                      </a:rPr>
                      <m:t>R</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0" name="TextBox 19"/>
            <xdr:cNvSpPr txBox="1"/>
          </xdr:nvSpPr>
          <xdr:spPr>
            <a:xfrm>
              <a:off x="0" y="17335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𝐶𝑈𝐿"−A−R"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baseline="-25000">
                  <a:latin typeface="Cambria Math"/>
                </a:rPr>
                <a:t>𝑖</a:t>
              </a:r>
              <a:r>
                <a:rPr lang="en-US" sz="1100" b="0" i="0">
                  <a:latin typeface="Cambria Math"/>
                </a:rPr>
                <a:t> 𝑥 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283</xdr:row>
      <xdr:rowOff>0</xdr:rowOff>
    </xdr:from>
    <xdr:ext cx="5341620" cy="424925"/>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0" y="39052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5" name="TextBox 24"/>
            <xdr:cNvSpPr txBox="1"/>
          </xdr:nvSpPr>
          <xdr:spPr>
            <a:xfrm>
              <a:off x="0" y="39052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a:t>
              </a:r>
              <a:r>
                <a:rPr lang="en-US" sz="1100" b="0" i="0">
                  <a:latin typeface="Cambria Math" panose="02040503050406030204" pitchFamily="18" charset="0"/>
                </a:rPr>
                <a:t>" 𝐼</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baseline="-25000">
                  <a:latin typeface="Cambria Math"/>
                </a:rPr>
                <a:t>𝑖</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304</xdr:row>
      <xdr:rowOff>0</xdr:rowOff>
    </xdr:from>
    <xdr:ext cx="5341620" cy="42492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0" y="422757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m:rPr>
                        <m:nor/>
                      </m:rPr>
                      <a:rPr lang="en-US" sz="1100" b="0" i="0">
                        <a:latin typeface="Cambria Math"/>
                      </a:rPr>
                      <m:t>I</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6" name="TextBox 25"/>
            <xdr:cNvSpPr txBox="1"/>
          </xdr:nvSpPr>
          <xdr:spPr>
            <a:xfrm>
              <a:off x="0" y="422757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𝐶𝑈𝐿"−A−I"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baseline="-25000">
                  <a:latin typeface="Cambria Math"/>
                </a:rPr>
                <a:t>𝑖</a:t>
              </a:r>
              <a:r>
                <a:rPr lang="en-US" sz="1100" b="0" i="0">
                  <a:latin typeface="Cambria Math"/>
                </a:rPr>
                <a:t> 𝑥 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367</xdr:row>
      <xdr:rowOff>0</xdr:rowOff>
    </xdr:from>
    <xdr:ext cx="5341620" cy="424925"/>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𝑆𝐿</m:t>
                    </m:r>
                    <m:r>
                      <m:rPr>
                        <m:nor/>
                      </m:rPr>
                      <a:rPr lang="en-US" sz="1100" b="0" i="1">
                        <a:latin typeface="Cambria Math"/>
                      </a:rPr>
                      <m:t>−</m:t>
                    </m:r>
                    <m:r>
                      <m:rPr>
                        <m:nor/>
                      </m:rPr>
                      <a:rPr lang="en-US" sz="1100" b="0" i="1">
                        <a:latin typeface="Cambria Math"/>
                      </a:rPr>
                      <m:t>GW</m:t>
                    </m:r>
                    <m:r>
                      <m:rPr>
                        <m:nor/>
                      </m:rPr>
                      <a:rPr lang="en-US" sz="1100" b="0" i="1">
                        <a:latin typeface="Cambria Math"/>
                      </a:rPr>
                      <m:t>−</m:t>
                    </m:r>
                    <m:r>
                      <m:rPr>
                        <m:nor/>
                      </m:rPr>
                      <a:rPr lang="en-US" sz="1100" b="0" i="1">
                        <a:latin typeface="Cambria Math"/>
                      </a:rPr>
                      <m:t>VI</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𝑆𝐿</m:t>
                        </m:r>
                        <m:r>
                          <a:rPr lang="en-US" sz="1100" b="0" i="1" baseline="-25000">
                            <a:latin typeface="Cambria Math"/>
                          </a:rPr>
                          <m:t>𝐼𝐴</m:t>
                        </m:r>
                      </m:num>
                      <m:den>
                        <m:r>
                          <a:rPr lang="en-US" sz="1100" b="0" i="1">
                            <a:latin typeface="Cambria Math"/>
                          </a:rPr>
                          <m:t>𝑉𝐴𝐹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𝐻𝑐𝑐</m:t>
                        </m:r>
                      </m:den>
                    </m:f>
                  </m:oMath>
                </m:oMathPara>
              </a14:m>
              <a:endParaRPr lang="en-US" sz="1100"/>
            </a:p>
          </xdr:txBody>
        </xdr:sp>
      </mc:Choice>
      <mc:Fallback xmlns="">
        <xdr:sp macro="" textlink="">
          <xdr:nvSpPr>
            <xdr:cNvPr id="27" name="TextBox 26"/>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𝑆𝐿"−GW-VI"</a:t>
              </a:r>
              <a:r>
                <a:rPr lang="en-US" sz="1100" i="0">
                  <a:latin typeface="Cambria Math"/>
                </a:rPr>
                <a:t>=</a:t>
              </a:r>
              <a:r>
                <a:rPr lang="en-US" sz="1100" b="0" i="0">
                  <a:latin typeface="Cambria Math"/>
                </a:rPr>
                <a:t>𝑆𝐿</a:t>
              </a:r>
              <a:r>
                <a:rPr lang="en-US" sz="1100" b="0" i="0" baseline="-25000">
                  <a:latin typeface="Cambria Math"/>
                </a:rPr>
                <a:t>𝐼𝐴/(</a:t>
              </a:r>
              <a:r>
                <a:rPr lang="en-US" sz="1100" b="0" i="0">
                  <a:latin typeface="Cambria Math"/>
                </a:rPr>
                <a:t>𝑉𝐴𝐹 𝑥 𝑈𝐶𝐹 𝑥 𝐻</a:t>
              </a:r>
              <a:r>
                <a:rPr lang="en-US" sz="1100" b="0" i="0" baseline="-25000">
                  <a:latin typeface="Cambria Math"/>
                </a:rPr>
                <a:t>𝑐𝑐)</a:t>
              </a:r>
              <a:endParaRPr lang="en-US" sz="1100"/>
            </a:p>
          </xdr:txBody>
        </xdr:sp>
      </mc:Fallback>
    </mc:AlternateContent>
    <xdr:clientData/>
  </xdr:oneCellAnchor>
  <xdr:oneCellAnchor>
    <xdr:from>
      <xdr:col>0</xdr:col>
      <xdr:colOff>0</xdr:colOff>
      <xdr:row>380</xdr:row>
      <xdr:rowOff>0</xdr:rowOff>
    </xdr:from>
    <xdr:ext cx="5341620" cy="424925"/>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800-000017000000}"/>
                </a:ext>
              </a:extLst>
            </xdr:cNvPr>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𝑆𝐿</m:t>
                    </m:r>
                    <m:r>
                      <m:rPr>
                        <m:nor/>
                      </m:rPr>
                      <a:rPr lang="en-US" sz="1100" b="0" i="1">
                        <a:latin typeface="Cambria Math"/>
                      </a:rPr>
                      <m:t>−</m:t>
                    </m:r>
                    <m:r>
                      <m:rPr>
                        <m:nor/>
                      </m:rPr>
                      <a:rPr lang="en-US" sz="1100" b="0" i="1">
                        <a:latin typeface="Cambria Math"/>
                      </a:rPr>
                      <m:t>SG</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𝑆𝐿</m:t>
                        </m:r>
                        <m:r>
                          <a:rPr lang="en-US" sz="1100" b="0" i="1" baseline="-25000">
                            <a:latin typeface="Cambria Math"/>
                          </a:rPr>
                          <m:t>𝐼𝐴</m:t>
                        </m:r>
                      </m:num>
                      <m:den>
                        <m:r>
                          <a:rPr lang="en-US" sz="1100" b="0" i="1">
                            <a:latin typeface="Cambria Math"/>
                          </a:rPr>
                          <m:t>𝑉𝐴𝐹</m:t>
                        </m:r>
                      </m:den>
                    </m:f>
                  </m:oMath>
                </m:oMathPara>
              </a14:m>
              <a:endParaRPr lang="en-US" sz="1100"/>
            </a:p>
          </xdr:txBody>
        </xdr:sp>
      </mc:Choice>
      <mc:Fallback xmlns="">
        <xdr:sp macro="" textlink="">
          <xdr:nvSpPr>
            <xdr:cNvPr id="23" name="TextBox 22"/>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𝑆𝐿"−SG"</a:t>
              </a:r>
              <a:r>
                <a:rPr lang="en-US" sz="1100" i="0">
                  <a:latin typeface="Cambria Math"/>
                </a:rPr>
                <a:t>=</a:t>
              </a:r>
              <a:r>
                <a:rPr lang="en-US" sz="1100" b="0" i="0">
                  <a:latin typeface="Cambria Math"/>
                </a:rPr>
                <a:t>𝑆𝐿</a:t>
              </a:r>
              <a:r>
                <a:rPr lang="en-US" sz="1100" b="0" i="0" baseline="-25000">
                  <a:latin typeface="Cambria Math"/>
                </a:rPr>
                <a:t>𝐼𝐴/</a:t>
              </a:r>
              <a:r>
                <a:rPr lang="en-US" sz="1100" b="0" i="0">
                  <a:latin typeface="Cambria Math"/>
                </a:rPr>
                <a:t>𝑉𝐴𝐹</a:t>
              </a:r>
              <a:endParaRPr lang="en-US" sz="1100"/>
            </a:p>
          </xdr:txBody>
        </xdr:sp>
      </mc:Fallback>
    </mc:AlternateContent>
    <xdr:clientData/>
  </xdr:oneCellAnchor>
  <xdr:oneCellAnchor>
    <xdr:from>
      <xdr:col>0</xdr:col>
      <xdr:colOff>0</xdr:colOff>
      <xdr:row>325</xdr:row>
      <xdr:rowOff>0</xdr:rowOff>
    </xdr:from>
    <xdr:ext cx="5341620" cy="424925"/>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0" y="4512945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9" name="TextBox 28"/>
            <xdr:cNvSpPr txBox="1"/>
          </xdr:nvSpPr>
          <xdr:spPr>
            <a:xfrm>
              <a:off x="0" y="4512945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a:t>
              </a:r>
              <a:r>
                <a:rPr lang="en-US" sz="1100" b="0" i="0">
                  <a:latin typeface="Cambria Math" panose="02040503050406030204" pitchFamily="18" charset="0"/>
                </a:rPr>
                <a:t>" 𝐼</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baseline="-25000">
                  <a:latin typeface="Cambria Math"/>
                </a:rPr>
                <a:t>𝑖</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346</xdr:row>
      <xdr:rowOff>0</xdr:rowOff>
    </xdr:from>
    <xdr:ext cx="5341620" cy="424925"/>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0" y="48472725"/>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m:rPr>
                        <m:nor/>
                      </m:rPr>
                      <a:rPr lang="en-US" sz="1100" b="0" i="0">
                        <a:latin typeface="Cambria Math"/>
                      </a:rPr>
                      <m:t>I</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30" name="TextBox 29"/>
            <xdr:cNvSpPr txBox="1"/>
          </xdr:nvSpPr>
          <xdr:spPr>
            <a:xfrm>
              <a:off x="0" y="48472725"/>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𝐶𝑈𝐿"−A−I"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baseline="-25000">
                  <a:latin typeface="Cambria Math"/>
                </a:rPr>
                <a:t>𝑖</a:t>
              </a:r>
              <a:r>
                <a:rPr lang="en-US" sz="1100" b="0" i="0">
                  <a:latin typeface="Cambria Math"/>
                </a:rPr>
                <a:t> 𝑥 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4" dT="2022-12-14T22:38:04.38" personId="{00000000-0000-0000-0000-000000000000}" id="{4433AAF1-0350-4A4A-B66E-C0AB3E030541}">
    <text>As III: no value
As V: 10 (unsaturated zone)</text>
  </threadedComment>
  <threadedComment ref="G24" dT="2022-12-14T22:37:43.30" personId="{00000000-0000-0000-0000-000000000000}" id="{1FA5DCB9-B4CE-4028-A624-B28D015370DA}">
    <text>As III: no value (saturated zone)
As V: 60 (unsaturated zone)</text>
  </threadedComment>
  <threadedComment ref="H24" dT="2022-12-14T22:30:41.88" personId="{00000000-0000-0000-0000-000000000000}" id="{37320C55-5C9A-4AC8-84C9-A5D1DB20CC64}">
    <text>As III: 7 (saturated zone)
As V: 132 (unsaturated zone)</text>
  </threadedComment>
  <threadedComment ref="J24" dT="2022-12-14T22:35:56.04" personId="{00000000-0000-0000-0000-000000000000}" id="{9A9AA00D-B415-4563-AE88-737F85559525}">
    <text>As III: 7 (saturated zone)
As V:132 (unsaturated zone)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940D8-D80B-4130-94B2-7C7A79623122}">
  <dimension ref="A1:G323"/>
  <sheetViews>
    <sheetView tabSelected="1" workbookViewId="0">
      <selection activeCell="D7" sqref="D7"/>
    </sheetView>
  </sheetViews>
  <sheetFormatPr defaultColWidth="8.7109375" defaultRowHeight="15" x14ac:dyDescent="0.25"/>
  <cols>
    <col min="1" max="1" width="10.85546875" style="2611" customWidth="1"/>
    <col min="2" max="2" width="14.28515625" style="2536" customWidth="1"/>
    <col min="3" max="3" width="27.85546875" style="2536" customWidth="1"/>
    <col min="4" max="4" width="63.28515625" style="2612" customWidth="1"/>
    <col min="5" max="5" width="63.28515625" style="2538" customWidth="1"/>
    <col min="6" max="8" width="8.7109375" style="2539"/>
    <col min="9" max="9" width="12" style="2539" bestFit="1" customWidth="1"/>
    <col min="10" max="16384" width="8.7109375" style="2539"/>
  </cols>
  <sheetData>
    <row r="1" spans="1:5" ht="18.75" x14ac:dyDescent="0.25">
      <c r="A1" s="2534" t="s">
        <v>1749</v>
      </c>
      <c r="B1" s="2535"/>
      <c r="D1" s="2537"/>
    </row>
    <row r="2" spans="1:5" customFormat="1" ht="30.75" thickBot="1" x14ac:dyDescent="0.3">
      <c r="A2" s="2540" t="s">
        <v>1750</v>
      </c>
      <c r="B2" s="2541" t="s">
        <v>1751</v>
      </c>
      <c r="C2" s="2541" t="s">
        <v>1752</v>
      </c>
      <c r="D2" s="2542" t="s">
        <v>1753</v>
      </c>
      <c r="E2" s="2543" t="s">
        <v>1754</v>
      </c>
    </row>
    <row r="3" spans="1:5" ht="15.75" thickTop="1" x14ac:dyDescent="0.25">
      <c r="A3" s="2544"/>
      <c r="B3" s="2545"/>
      <c r="C3" s="2545"/>
      <c r="D3" s="2546"/>
      <c r="E3" s="2547"/>
    </row>
    <row r="4" spans="1:5" ht="60" x14ac:dyDescent="0.25">
      <c r="A4" s="2548" t="s">
        <v>1755</v>
      </c>
      <c r="B4" s="2549" t="s">
        <v>1756</v>
      </c>
      <c r="C4" s="2549" t="s">
        <v>1756</v>
      </c>
      <c r="D4" s="2550" t="s">
        <v>2339</v>
      </c>
      <c r="E4" s="2551" t="s">
        <v>1757</v>
      </c>
    </row>
    <row r="5" spans="1:5" ht="45" x14ac:dyDescent="0.25">
      <c r="A5" s="2552"/>
      <c r="B5" s="2553" t="s">
        <v>1758</v>
      </c>
      <c r="C5" s="2554" t="s">
        <v>1071</v>
      </c>
      <c r="D5" s="2555" t="s">
        <v>1759</v>
      </c>
      <c r="E5" s="2556" t="s">
        <v>2340</v>
      </c>
    </row>
    <row r="6" spans="1:5" x14ac:dyDescent="0.25">
      <c r="A6" s="2552"/>
      <c r="B6" s="2553" t="s">
        <v>1851</v>
      </c>
      <c r="C6" s="2554" t="s">
        <v>1207</v>
      </c>
      <c r="D6" s="2555" t="s">
        <v>2350</v>
      </c>
      <c r="E6" s="2556" t="s">
        <v>2351</v>
      </c>
    </row>
    <row r="7" spans="1:5" ht="45" x14ac:dyDescent="0.25">
      <c r="A7" s="2552"/>
      <c r="B7" s="2553" t="s">
        <v>1760</v>
      </c>
      <c r="C7" s="2553" t="s">
        <v>1761</v>
      </c>
      <c r="D7" s="2555" t="s">
        <v>1762</v>
      </c>
      <c r="E7" s="2556" t="s">
        <v>1763</v>
      </c>
    </row>
    <row r="8" spans="1:5" ht="60" x14ac:dyDescent="0.25">
      <c r="A8" s="2552"/>
      <c r="B8" s="2553" t="s">
        <v>2341</v>
      </c>
      <c r="C8" s="2553" t="s">
        <v>1764</v>
      </c>
      <c r="D8" s="2555" t="s">
        <v>1765</v>
      </c>
      <c r="E8" s="2556" t="s">
        <v>1766</v>
      </c>
    </row>
    <row r="9" spans="1:5" ht="30" x14ac:dyDescent="0.25">
      <c r="A9" s="2552"/>
      <c r="B9" s="2553" t="s">
        <v>1767</v>
      </c>
      <c r="C9" s="2553" t="s">
        <v>1768</v>
      </c>
      <c r="D9" s="2555" t="s">
        <v>1769</v>
      </c>
      <c r="E9" s="2556" t="s">
        <v>1770</v>
      </c>
    </row>
    <row r="10" spans="1:5" ht="75" x14ac:dyDescent="0.25">
      <c r="A10" s="2552"/>
      <c r="B10" s="2553" t="s">
        <v>1767</v>
      </c>
      <c r="C10" s="2553" t="s">
        <v>1771</v>
      </c>
      <c r="D10" s="2555" t="s">
        <v>1772</v>
      </c>
      <c r="E10" s="2556" t="s">
        <v>1773</v>
      </c>
    </row>
    <row r="11" spans="1:5" ht="90" x14ac:dyDescent="0.25">
      <c r="A11" s="2552"/>
      <c r="B11" s="2553" t="s">
        <v>1756</v>
      </c>
      <c r="C11" s="2554" t="s">
        <v>2342</v>
      </c>
      <c r="D11" s="2555" t="s">
        <v>2343</v>
      </c>
      <c r="E11" s="2556" t="s">
        <v>2344</v>
      </c>
    </row>
    <row r="12" spans="1:5" ht="30" x14ac:dyDescent="0.25">
      <c r="A12" s="2552"/>
      <c r="B12" s="2553" t="s">
        <v>1774</v>
      </c>
      <c r="C12" s="2553" t="s">
        <v>1581</v>
      </c>
      <c r="D12" s="2555" t="s">
        <v>1775</v>
      </c>
      <c r="E12" s="2556" t="s">
        <v>2345</v>
      </c>
    </row>
    <row r="13" spans="1:5" ht="30" x14ac:dyDescent="0.25">
      <c r="A13" s="2552"/>
      <c r="B13" s="2553" t="s">
        <v>1776</v>
      </c>
      <c r="C13" s="2554" t="s">
        <v>1777</v>
      </c>
      <c r="D13" s="2555" t="s">
        <v>1778</v>
      </c>
      <c r="E13" s="2556" t="s">
        <v>1779</v>
      </c>
    </row>
    <row r="14" spans="1:5" ht="30" x14ac:dyDescent="0.25">
      <c r="A14" s="2552"/>
      <c r="B14" s="2553" t="s">
        <v>1758</v>
      </c>
      <c r="C14" s="2554" t="s">
        <v>1252</v>
      </c>
      <c r="D14" s="2555" t="s">
        <v>1780</v>
      </c>
      <c r="E14" s="2556" t="s">
        <v>2346</v>
      </c>
    </row>
    <row r="15" spans="1:5" ht="30" x14ac:dyDescent="0.25">
      <c r="A15" s="2552"/>
      <c r="B15" s="2553" t="s">
        <v>1758</v>
      </c>
      <c r="C15" s="2554" t="s">
        <v>464</v>
      </c>
      <c r="D15" s="2555" t="s">
        <v>1782</v>
      </c>
      <c r="E15" s="2556" t="s">
        <v>1783</v>
      </c>
    </row>
    <row r="16" spans="1:5" ht="135.75" customHeight="1" x14ac:dyDescent="0.25">
      <c r="A16" s="2552"/>
      <c r="B16" s="2553" t="s">
        <v>1784</v>
      </c>
      <c r="C16" s="2553" t="s">
        <v>1785</v>
      </c>
      <c r="D16" s="2555" t="s">
        <v>2347</v>
      </c>
      <c r="E16" s="2613" t="s">
        <v>2348</v>
      </c>
    </row>
    <row r="17" spans="1:5" ht="93" customHeight="1" x14ac:dyDescent="0.25">
      <c r="A17" s="2552"/>
      <c r="B17" s="2553" t="s">
        <v>2349</v>
      </c>
      <c r="C17" s="2553" t="s">
        <v>1989</v>
      </c>
      <c r="D17" s="2555" t="s">
        <v>1786</v>
      </c>
      <c r="E17" s="2614"/>
    </row>
    <row r="18" spans="1:5" ht="45" x14ac:dyDescent="0.25">
      <c r="A18" s="2557" t="s">
        <v>1787</v>
      </c>
      <c r="B18" s="2558" t="s">
        <v>1788</v>
      </c>
      <c r="C18" s="2558" t="s">
        <v>1789</v>
      </c>
      <c r="D18" s="2559" t="s">
        <v>1790</v>
      </c>
      <c r="E18" s="2560" t="s">
        <v>1791</v>
      </c>
    </row>
    <row r="19" spans="1:5" ht="45" x14ac:dyDescent="0.25">
      <c r="A19" s="2561"/>
      <c r="B19" s="2562" t="s">
        <v>1792</v>
      </c>
      <c r="C19" s="2562" t="s">
        <v>1793</v>
      </c>
      <c r="D19" s="2563" t="s">
        <v>1794</v>
      </c>
      <c r="E19" s="2564" t="s">
        <v>1795</v>
      </c>
    </row>
    <row r="20" spans="1:5" x14ac:dyDescent="0.25">
      <c r="A20" s="2615" t="s">
        <v>1796</v>
      </c>
      <c r="B20" s="2565" t="s">
        <v>1756</v>
      </c>
      <c r="C20" s="2565" t="s">
        <v>1071</v>
      </c>
      <c r="D20" s="2566" t="s">
        <v>1797</v>
      </c>
      <c r="E20" s="2567" t="s">
        <v>1798</v>
      </c>
    </row>
    <row r="21" spans="1:5" ht="30" x14ac:dyDescent="0.25">
      <c r="A21" s="2616"/>
      <c r="B21" s="2568" t="s">
        <v>1756</v>
      </c>
      <c r="C21" s="2568" t="s">
        <v>1799</v>
      </c>
      <c r="D21" s="2569" t="s">
        <v>1800</v>
      </c>
      <c r="E21" s="2570" t="s">
        <v>1801</v>
      </c>
    </row>
    <row r="22" spans="1:5" ht="30" x14ac:dyDescent="0.25">
      <c r="A22" s="2616"/>
      <c r="B22" s="2568" t="s">
        <v>1802</v>
      </c>
      <c r="C22" s="2568" t="s">
        <v>1803</v>
      </c>
      <c r="D22" s="2569" t="s">
        <v>1804</v>
      </c>
      <c r="E22" s="2570" t="s">
        <v>1805</v>
      </c>
    </row>
    <row r="23" spans="1:5" ht="30" x14ac:dyDescent="0.25">
      <c r="A23" s="2616"/>
      <c r="B23" s="2568" t="s">
        <v>1760</v>
      </c>
      <c r="C23" s="2568" t="s">
        <v>1188</v>
      </c>
      <c r="D23" s="2569" t="s">
        <v>1806</v>
      </c>
      <c r="E23" s="2570" t="s">
        <v>1807</v>
      </c>
    </row>
    <row r="24" spans="1:5" ht="30" x14ac:dyDescent="0.25">
      <c r="A24" s="2616"/>
      <c r="B24" s="2568" t="s">
        <v>1760</v>
      </c>
      <c r="C24" s="2568" t="s">
        <v>1808</v>
      </c>
      <c r="D24" s="2569" t="s">
        <v>1809</v>
      </c>
      <c r="E24" s="2570" t="s">
        <v>1810</v>
      </c>
    </row>
    <row r="25" spans="1:5" ht="30" x14ac:dyDescent="0.25">
      <c r="A25" s="2616"/>
      <c r="B25" s="2568" t="s">
        <v>1811</v>
      </c>
      <c r="C25" s="2568" t="s">
        <v>1756</v>
      </c>
      <c r="D25" s="2569" t="s">
        <v>1812</v>
      </c>
      <c r="E25" s="2570" t="s">
        <v>1813</v>
      </c>
    </row>
    <row r="26" spans="1:5" ht="30" x14ac:dyDescent="0.25">
      <c r="A26" s="2616"/>
      <c r="B26" s="2568" t="s">
        <v>1781</v>
      </c>
      <c r="C26" s="2568" t="s">
        <v>1223</v>
      </c>
      <c r="D26" s="2569" t="s">
        <v>1814</v>
      </c>
      <c r="E26" s="2570" t="s">
        <v>1815</v>
      </c>
    </row>
    <row r="27" spans="1:5" x14ac:dyDescent="0.25">
      <c r="A27" s="2616"/>
      <c r="B27" s="2568" t="s">
        <v>1758</v>
      </c>
      <c r="C27" s="2568" t="s">
        <v>1142</v>
      </c>
      <c r="D27" s="2569" t="s">
        <v>1816</v>
      </c>
      <c r="E27" s="2570" t="s">
        <v>1817</v>
      </c>
    </row>
    <row r="28" spans="1:5" ht="90" x14ac:dyDescent="0.25">
      <c r="A28" s="2616"/>
      <c r="B28" s="2568" t="s">
        <v>1781</v>
      </c>
      <c r="C28" s="2568" t="s">
        <v>1756</v>
      </c>
      <c r="D28" s="2569" t="s">
        <v>1818</v>
      </c>
      <c r="E28" s="2570" t="s">
        <v>1819</v>
      </c>
    </row>
    <row r="29" spans="1:5" ht="105" x14ac:dyDescent="0.25">
      <c r="A29" s="2616"/>
      <c r="B29" s="2568" t="s">
        <v>1788</v>
      </c>
      <c r="C29" s="2568" t="s">
        <v>1802</v>
      </c>
      <c r="D29" s="2569" t="s">
        <v>1820</v>
      </c>
      <c r="E29" s="2570" t="s">
        <v>1821</v>
      </c>
    </row>
    <row r="30" spans="1:5" ht="60" x14ac:dyDescent="0.25">
      <c r="A30" s="2616"/>
      <c r="B30" s="2568" t="s">
        <v>1822</v>
      </c>
      <c r="C30" s="2568" t="s">
        <v>1802</v>
      </c>
      <c r="D30" s="2569" t="s">
        <v>1823</v>
      </c>
      <c r="E30" s="2570" t="s">
        <v>1824</v>
      </c>
    </row>
    <row r="31" spans="1:5" ht="60" x14ac:dyDescent="0.25">
      <c r="A31" s="2616"/>
      <c r="B31" s="2568" t="s">
        <v>1825</v>
      </c>
      <c r="C31" s="2568" t="s">
        <v>1756</v>
      </c>
      <c r="D31" s="2569" t="s">
        <v>1826</v>
      </c>
      <c r="E31" s="2570" t="s">
        <v>1827</v>
      </c>
    </row>
    <row r="32" spans="1:5" ht="30" x14ac:dyDescent="0.25">
      <c r="A32" s="2616"/>
      <c r="B32" s="2568" t="s">
        <v>1767</v>
      </c>
      <c r="C32" s="2568" t="s">
        <v>1828</v>
      </c>
      <c r="D32" s="2569" t="s">
        <v>1829</v>
      </c>
      <c r="E32" s="2570" t="s">
        <v>1813</v>
      </c>
    </row>
    <row r="33" spans="1:5" x14ac:dyDescent="0.25">
      <c r="A33" s="2616"/>
      <c r="B33" s="2568" t="s">
        <v>1767</v>
      </c>
      <c r="C33" s="2568" t="s">
        <v>1335</v>
      </c>
      <c r="D33" s="2569" t="s">
        <v>1830</v>
      </c>
      <c r="E33" s="2570" t="s">
        <v>1831</v>
      </c>
    </row>
    <row r="34" spans="1:5" ht="90" x14ac:dyDescent="0.25">
      <c r="A34" s="2616"/>
      <c r="B34" s="2568" t="s">
        <v>1767</v>
      </c>
      <c r="C34" s="2568" t="s">
        <v>1832</v>
      </c>
      <c r="D34" s="2569" t="s">
        <v>1833</v>
      </c>
      <c r="E34" s="2570" t="s">
        <v>1834</v>
      </c>
    </row>
    <row r="35" spans="1:5" ht="30" x14ac:dyDescent="0.25">
      <c r="A35" s="2616"/>
      <c r="B35" s="2568" t="s">
        <v>1767</v>
      </c>
      <c r="C35" s="2568" t="s">
        <v>464</v>
      </c>
      <c r="D35" s="2569" t="s">
        <v>1835</v>
      </c>
      <c r="E35" s="2570" t="s">
        <v>1836</v>
      </c>
    </row>
    <row r="36" spans="1:5" x14ac:dyDescent="0.25">
      <c r="A36" s="2616"/>
      <c r="B36" s="2568" t="s">
        <v>1767</v>
      </c>
      <c r="C36" s="2568" t="s">
        <v>1299</v>
      </c>
      <c r="D36" s="2569" t="s">
        <v>1837</v>
      </c>
      <c r="E36" s="2570" t="s">
        <v>1838</v>
      </c>
    </row>
    <row r="37" spans="1:5" ht="60" x14ac:dyDescent="0.25">
      <c r="A37" s="2616"/>
      <c r="B37" s="2568" t="s">
        <v>1767</v>
      </c>
      <c r="C37" s="2568" t="s">
        <v>1839</v>
      </c>
      <c r="D37" s="2569" t="s">
        <v>1840</v>
      </c>
      <c r="E37" s="2570" t="s">
        <v>1841</v>
      </c>
    </row>
    <row r="38" spans="1:5" ht="30" x14ac:dyDescent="0.25">
      <c r="A38" s="2616"/>
      <c r="B38" s="2568" t="s">
        <v>1767</v>
      </c>
      <c r="C38" s="2568" t="s">
        <v>1842</v>
      </c>
      <c r="D38" s="2569" t="s">
        <v>1843</v>
      </c>
      <c r="E38" s="2570" t="s">
        <v>1844</v>
      </c>
    </row>
    <row r="39" spans="1:5" ht="60" x14ac:dyDescent="0.25">
      <c r="A39" s="2617"/>
      <c r="B39" s="2568" t="s">
        <v>1767</v>
      </c>
      <c r="C39" s="2568" t="s">
        <v>1516</v>
      </c>
      <c r="D39" s="2569" t="s">
        <v>1845</v>
      </c>
      <c r="E39" s="2570" t="s">
        <v>1846</v>
      </c>
    </row>
    <row r="40" spans="1:5" ht="30" x14ac:dyDescent="0.25">
      <c r="A40" s="2618" t="s">
        <v>1847</v>
      </c>
      <c r="B40" s="2571" t="s">
        <v>1767</v>
      </c>
      <c r="C40" s="2571" t="s">
        <v>1848</v>
      </c>
      <c r="D40" s="2572" t="s">
        <v>1849</v>
      </c>
      <c r="E40" s="2573" t="s">
        <v>1850</v>
      </c>
    </row>
    <row r="41" spans="1:5" ht="105" x14ac:dyDescent="0.25">
      <c r="A41" s="2619"/>
      <c r="B41" s="2571" t="s">
        <v>1851</v>
      </c>
      <c r="C41" s="2571" t="s">
        <v>1852</v>
      </c>
      <c r="D41" s="2572" t="s">
        <v>1853</v>
      </c>
      <c r="E41" s="2573" t="s">
        <v>1854</v>
      </c>
    </row>
    <row r="42" spans="1:5" ht="30" x14ac:dyDescent="0.25">
      <c r="A42" s="2619"/>
      <c r="B42" s="2571" t="s">
        <v>1767</v>
      </c>
      <c r="C42" s="2571" t="s">
        <v>1855</v>
      </c>
      <c r="D42" s="2572" t="s">
        <v>1856</v>
      </c>
      <c r="E42" s="2573" t="s">
        <v>1857</v>
      </c>
    </row>
    <row r="43" spans="1:5" ht="30" x14ac:dyDescent="0.25">
      <c r="A43" s="2619"/>
      <c r="B43" s="2571" t="s">
        <v>1760</v>
      </c>
      <c r="C43" s="2571" t="s">
        <v>1858</v>
      </c>
      <c r="D43" s="2572" t="s">
        <v>1859</v>
      </c>
      <c r="E43" s="2573" t="s">
        <v>1860</v>
      </c>
    </row>
    <row r="44" spans="1:5" ht="30" x14ac:dyDescent="0.25">
      <c r="A44" s="2619"/>
      <c r="B44" s="2571" t="s">
        <v>1767</v>
      </c>
      <c r="C44" s="2571" t="s">
        <v>1408</v>
      </c>
      <c r="D44" s="2572" t="s">
        <v>1861</v>
      </c>
      <c r="E44" s="2573" t="s">
        <v>1862</v>
      </c>
    </row>
    <row r="45" spans="1:5" ht="45" x14ac:dyDescent="0.25">
      <c r="A45" s="2619"/>
      <c r="B45" s="2571" t="s">
        <v>1767</v>
      </c>
      <c r="C45" s="2571" t="s">
        <v>1863</v>
      </c>
      <c r="D45" s="2572" t="s">
        <v>1864</v>
      </c>
      <c r="E45" s="2572" t="s">
        <v>1865</v>
      </c>
    </row>
    <row r="46" spans="1:5" x14ac:dyDescent="0.25">
      <c r="A46" s="2619"/>
      <c r="B46" s="2571" t="s">
        <v>1756</v>
      </c>
      <c r="C46" s="2571" t="s">
        <v>1866</v>
      </c>
      <c r="D46" s="2572" t="s">
        <v>1867</v>
      </c>
      <c r="E46" s="2573" t="s">
        <v>1868</v>
      </c>
    </row>
    <row r="47" spans="1:5" ht="60" x14ac:dyDescent="0.25">
      <c r="A47" s="2619"/>
      <c r="B47" s="2571" t="s">
        <v>1788</v>
      </c>
      <c r="C47" s="2571" t="s">
        <v>1802</v>
      </c>
      <c r="D47" s="2572" t="s">
        <v>1869</v>
      </c>
      <c r="E47" s="2573" t="s">
        <v>1870</v>
      </c>
    </row>
    <row r="48" spans="1:5" ht="60" x14ac:dyDescent="0.25">
      <c r="A48" s="2619"/>
      <c r="B48" s="2571" t="s">
        <v>1871</v>
      </c>
      <c r="C48" s="2571" t="s">
        <v>1802</v>
      </c>
      <c r="D48" s="2572" t="s">
        <v>1872</v>
      </c>
      <c r="E48" s="2621" t="s">
        <v>1873</v>
      </c>
    </row>
    <row r="49" spans="1:5" ht="90" x14ac:dyDescent="0.25">
      <c r="A49" s="2619"/>
      <c r="B49" s="2571" t="s">
        <v>1874</v>
      </c>
      <c r="C49" s="2571" t="s">
        <v>1802</v>
      </c>
      <c r="D49" s="2572" t="s">
        <v>1875</v>
      </c>
      <c r="E49" s="2622"/>
    </row>
    <row r="50" spans="1:5" x14ac:dyDescent="0.25">
      <c r="A50" s="2619"/>
      <c r="B50" s="2571" t="s">
        <v>1767</v>
      </c>
      <c r="C50" s="2571" t="s">
        <v>1876</v>
      </c>
      <c r="D50" s="2572" t="s">
        <v>1877</v>
      </c>
      <c r="E50" s="2572" t="s">
        <v>1878</v>
      </c>
    </row>
    <row r="51" spans="1:5" x14ac:dyDescent="0.25">
      <c r="A51" s="2619"/>
      <c r="B51" s="2571" t="s">
        <v>1767</v>
      </c>
      <c r="C51" s="2571" t="s">
        <v>1196</v>
      </c>
      <c r="D51" s="2572" t="s">
        <v>1879</v>
      </c>
      <c r="E51" s="2572" t="s">
        <v>1880</v>
      </c>
    </row>
    <row r="52" spans="1:5" ht="45" x14ac:dyDescent="0.25">
      <c r="A52" s="2619"/>
      <c r="B52" s="2571" t="s">
        <v>1851</v>
      </c>
      <c r="C52" s="2571" t="s">
        <v>1881</v>
      </c>
      <c r="D52" s="2572" t="s">
        <v>1882</v>
      </c>
      <c r="E52" s="2572" t="s">
        <v>1883</v>
      </c>
    </row>
    <row r="53" spans="1:5" ht="75" x14ac:dyDescent="0.25">
      <c r="A53" s="2619"/>
      <c r="B53" s="2571" t="s">
        <v>1767</v>
      </c>
      <c r="C53" s="2571" t="s">
        <v>1272</v>
      </c>
      <c r="D53" s="2572" t="s">
        <v>1884</v>
      </c>
      <c r="E53" s="2572" t="s">
        <v>1885</v>
      </c>
    </row>
    <row r="54" spans="1:5" ht="30" x14ac:dyDescent="0.25">
      <c r="A54" s="2619"/>
      <c r="B54" s="2571" t="s">
        <v>1767</v>
      </c>
      <c r="C54" s="2571" t="s">
        <v>1227</v>
      </c>
      <c r="D54" s="2572" t="s">
        <v>1886</v>
      </c>
      <c r="E54" s="2572" t="s">
        <v>1887</v>
      </c>
    </row>
    <row r="55" spans="1:5" ht="45" x14ac:dyDescent="0.25">
      <c r="A55" s="2619"/>
      <c r="B55" s="2571" t="s">
        <v>1767</v>
      </c>
      <c r="C55" s="2571" t="s">
        <v>1888</v>
      </c>
      <c r="D55" s="2572" t="s">
        <v>1889</v>
      </c>
      <c r="E55" s="2572" t="s">
        <v>1890</v>
      </c>
    </row>
    <row r="56" spans="1:5" x14ac:dyDescent="0.25">
      <c r="A56" s="2619"/>
      <c r="B56" s="2571" t="s">
        <v>1767</v>
      </c>
      <c r="C56" s="2571" t="s">
        <v>1891</v>
      </c>
      <c r="D56" s="2572" t="s">
        <v>1892</v>
      </c>
      <c r="E56" s="2572" t="s">
        <v>1893</v>
      </c>
    </row>
    <row r="57" spans="1:5" x14ac:dyDescent="0.25">
      <c r="A57" s="2619"/>
      <c r="B57" s="2571" t="s">
        <v>1767</v>
      </c>
      <c r="C57" s="2571" t="s">
        <v>1894</v>
      </c>
      <c r="D57" s="2572" t="s">
        <v>1895</v>
      </c>
      <c r="E57" s="2572" t="s">
        <v>1896</v>
      </c>
    </row>
    <row r="58" spans="1:5" ht="75" x14ac:dyDescent="0.25">
      <c r="A58" s="2619"/>
      <c r="B58" s="2571" t="s">
        <v>1767</v>
      </c>
      <c r="C58" s="2571" t="s">
        <v>1472</v>
      </c>
      <c r="D58" s="2572" t="s">
        <v>1897</v>
      </c>
      <c r="E58" s="2572" t="s">
        <v>1898</v>
      </c>
    </row>
    <row r="59" spans="1:5" ht="30" x14ac:dyDescent="0.25">
      <c r="A59" s="2620"/>
      <c r="B59" s="2571" t="s">
        <v>1767</v>
      </c>
      <c r="C59" s="2571" t="s">
        <v>1272</v>
      </c>
      <c r="D59" s="2572" t="s">
        <v>1899</v>
      </c>
      <c r="E59" s="2572" t="s">
        <v>1900</v>
      </c>
    </row>
    <row r="60" spans="1:5" ht="30" x14ac:dyDescent="0.25">
      <c r="A60" s="2623" t="s">
        <v>1901</v>
      </c>
      <c r="B60" s="2574" t="s">
        <v>1756</v>
      </c>
      <c r="C60" s="2574" t="s">
        <v>1902</v>
      </c>
      <c r="D60" s="2575" t="s">
        <v>1903</v>
      </c>
      <c r="E60" s="2576" t="s">
        <v>1904</v>
      </c>
    </row>
    <row r="61" spans="1:5" ht="45" x14ac:dyDescent="0.25">
      <c r="A61" s="2624"/>
      <c r="B61" s="2574" t="s">
        <v>1767</v>
      </c>
      <c r="C61" s="2574" t="s">
        <v>1905</v>
      </c>
      <c r="D61" s="2575" t="s">
        <v>1906</v>
      </c>
      <c r="E61" s="2576" t="s">
        <v>1907</v>
      </c>
    </row>
    <row r="62" spans="1:5" ht="45" x14ac:dyDescent="0.25">
      <c r="A62" s="2624"/>
      <c r="B62" s="2574" t="s">
        <v>1767</v>
      </c>
      <c r="C62" s="2574" t="s">
        <v>1908</v>
      </c>
      <c r="D62" s="2575" t="s">
        <v>1909</v>
      </c>
      <c r="E62" s="2576" t="s">
        <v>1910</v>
      </c>
    </row>
    <row r="63" spans="1:5" ht="75" x14ac:dyDescent="0.25">
      <c r="A63" s="2624"/>
      <c r="B63" s="2574" t="s">
        <v>1767</v>
      </c>
      <c r="C63" s="2574" t="s">
        <v>1911</v>
      </c>
      <c r="D63" s="2575" t="s">
        <v>1912</v>
      </c>
      <c r="E63" s="2576" t="s">
        <v>1913</v>
      </c>
    </row>
    <row r="64" spans="1:5" x14ac:dyDescent="0.25">
      <c r="A64" s="2624"/>
      <c r="B64" s="2574" t="s">
        <v>1767</v>
      </c>
      <c r="C64" s="2574" t="s">
        <v>1914</v>
      </c>
      <c r="D64" s="2575" t="s">
        <v>1915</v>
      </c>
      <c r="E64" s="2576" t="s">
        <v>1916</v>
      </c>
    </row>
    <row r="65" spans="1:5" x14ac:dyDescent="0.25">
      <c r="A65" s="2624"/>
      <c r="B65" s="2574" t="s">
        <v>1767</v>
      </c>
      <c r="C65" s="2574" t="s">
        <v>1373</v>
      </c>
      <c r="D65" s="2575" t="s">
        <v>1917</v>
      </c>
      <c r="E65" s="2576" t="s">
        <v>1918</v>
      </c>
    </row>
    <row r="66" spans="1:5" ht="90" x14ac:dyDescent="0.25">
      <c r="A66" s="2624"/>
      <c r="B66" s="2574" t="s">
        <v>1767</v>
      </c>
      <c r="C66" s="2574" t="s">
        <v>1919</v>
      </c>
      <c r="D66" s="2575" t="s">
        <v>1920</v>
      </c>
      <c r="E66" s="2576" t="s">
        <v>1921</v>
      </c>
    </row>
    <row r="67" spans="1:5" ht="30" x14ac:dyDescent="0.25">
      <c r="A67" s="2624"/>
      <c r="B67" s="2574" t="s">
        <v>1758</v>
      </c>
      <c r="C67" s="2574" t="s">
        <v>1922</v>
      </c>
      <c r="D67" s="2575" t="s">
        <v>1923</v>
      </c>
      <c r="E67" s="2576" t="s">
        <v>1916</v>
      </c>
    </row>
    <row r="68" spans="1:5" ht="30" x14ac:dyDescent="0.25">
      <c r="A68" s="2624"/>
      <c r="B68" s="2574" t="s">
        <v>1781</v>
      </c>
      <c r="C68" s="2574" t="s">
        <v>1213</v>
      </c>
      <c r="D68" s="2575" t="s">
        <v>1924</v>
      </c>
      <c r="E68" s="2576" t="s">
        <v>1925</v>
      </c>
    </row>
    <row r="69" spans="1:5" ht="30" x14ac:dyDescent="0.25">
      <c r="A69" s="2624"/>
      <c r="B69" s="2574" t="s">
        <v>1767</v>
      </c>
      <c r="C69" s="2574" t="s">
        <v>1802</v>
      </c>
      <c r="D69" s="2575" t="s">
        <v>1926</v>
      </c>
      <c r="E69" s="2576" t="s">
        <v>1813</v>
      </c>
    </row>
    <row r="70" spans="1:5" ht="45" x14ac:dyDescent="0.25">
      <c r="A70" s="2624"/>
      <c r="B70" s="2574" t="s">
        <v>1767</v>
      </c>
      <c r="C70" s="2574" t="s">
        <v>1581</v>
      </c>
      <c r="D70" s="2575" t="s">
        <v>1927</v>
      </c>
      <c r="E70" s="2576" t="s">
        <v>1928</v>
      </c>
    </row>
    <row r="71" spans="1:5" ht="60" x14ac:dyDescent="0.25">
      <c r="A71" s="2624"/>
      <c r="B71" s="2574" t="s">
        <v>1929</v>
      </c>
      <c r="C71" s="2574" t="s">
        <v>1581</v>
      </c>
      <c r="D71" s="2575" t="s">
        <v>1930</v>
      </c>
      <c r="E71" s="2576" t="s">
        <v>1931</v>
      </c>
    </row>
    <row r="72" spans="1:5" ht="150" x14ac:dyDescent="0.25">
      <c r="A72" s="2624"/>
      <c r="B72" s="2574" t="s">
        <v>1767</v>
      </c>
      <c r="C72" s="2574" t="s">
        <v>1932</v>
      </c>
      <c r="D72" s="2575" t="s">
        <v>1933</v>
      </c>
      <c r="E72" s="2576" t="s">
        <v>1934</v>
      </c>
    </row>
    <row r="73" spans="1:5" x14ac:dyDescent="0.25">
      <c r="A73" s="2624"/>
      <c r="B73" s="2574" t="s">
        <v>1851</v>
      </c>
      <c r="C73" s="2574" t="s">
        <v>1756</v>
      </c>
      <c r="D73" s="2575" t="s">
        <v>1935</v>
      </c>
      <c r="E73" s="2576" t="s">
        <v>1813</v>
      </c>
    </row>
    <row r="74" spans="1:5" ht="30" x14ac:dyDescent="0.25">
      <c r="A74" s="2624"/>
      <c r="B74" s="2574" t="s">
        <v>1758</v>
      </c>
      <c r="C74" s="2574" t="s">
        <v>1756</v>
      </c>
      <c r="D74" s="2575" t="s">
        <v>1936</v>
      </c>
      <c r="E74" s="2576" t="s">
        <v>1813</v>
      </c>
    </row>
    <row r="75" spans="1:5" ht="75" x14ac:dyDescent="0.25">
      <c r="A75" s="2625"/>
      <c r="B75" s="2574" t="s">
        <v>1937</v>
      </c>
      <c r="C75" s="2574" t="s">
        <v>1756</v>
      </c>
      <c r="D75" s="2575" t="s">
        <v>1938</v>
      </c>
      <c r="E75" s="2576" t="s">
        <v>1813</v>
      </c>
    </row>
    <row r="76" spans="1:5" ht="60" x14ac:dyDescent="0.25">
      <c r="A76" s="2626" t="s">
        <v>1939</v>
      </c>
      <c r="B76" s="2577" t="s">
        <v>444</v>
      </c>
      <c r="C76" s="2577" t="s">
        <v>444</v>
      </c>
      <c r="D76" s="2578" t="s">
        <v>1940</v>
      </c>
      <c r="E76" s="2579" t="s">
        <v>1941</v>
      </c>
    </row>
    <row r="77" spans="1:5" ht="60" x14ac:dyDescent="0.25">
      <c r="A77" s="2626"/>
      <c r="B77" s="2580" t="s">
        <v>1767</v>
      </c>
      <c r="C77" s="2580" t="s">
        <v>1942</v>
      </c>
      <c r="D77" s="2578" t="s">
        <v>1943</v>
      </c>
      <c r="E77" s="2579" t="s">
        <v>1944</v>
      </c>
    </row>
    <row r="78" spans="1:5" ht="30" x14ac:dyDescent="0.25">
      <c r="A78" s="2626"/>
      <c r="B78" s="2580" t="s">
        <v>1945</v>
      </c>
      <c r="C78" s="2580" t="s">
        <v>1946</v>
      </c>
      <c r="D78" s="2578" t="s">
        <v>1947</v>
      </c>
      <c r="E78" s="2579" t="s">
        <v>1948</v>
      </c>
    </row>
    <row r="79" spans="1:5" x14ac:dyDescent="0.25">
      <c r="A79" s="2626"/>
      <c r="B79" s="2580" t="s">
        <v>1756</v>
      </c>
      <c r="C79" s="2580" t="s">
        <v>1949</v>
      </c>
      <c r="D79" s="2578" t="s">
        <v>1950</v>
      </c>
      <c r="E79" s="2579" t="s">
        <v>1813</v>
      </c>
    </row>
    <row r="80" spans="1:5" x14ac:dyDescent="0.25">
      <c r="A80" s="2626"/>
      <c r="B80" s="2580" t="s">
        <v>1851</v>
      </c>
      <c r="C80" s="2580" t="s">
        <v>1217</v>
      </c>
      <c r="D80" s="2578" t="s">
        <v>1951</v>
      </c>
      <c r="E80" s="2579" t="s">
        <v>1952</v>
      </c>
    </row>
    <row r="81" spans="1:5" ht="30" x14ac:dyDescent="0.25">
      <c r="A81" s="2626"/>
      <c r="B81" s="2580" t="s">
        <v>1953</v>
      </c>
      <c r="C81" s="2580" t="s">
        <v>464</v>
      </c>
      <c r="D81" s="2578" t="s">
        <v>1954</v>
      </c>
      <c r="E81" s="2579" t="s">
        <v>1955</v>
      </c>
    </row>
    <row r="82" spans="1:5" ht="105" x14ac:dyDescent="0.25">
      <c r="A82" s="2626"/>
      <c r="B82" s="2580" t="s">
        <v>1956</v>
      </c>
      <c r="C82" s="2580" t="s">
        <v>1188</v>
      </c>
      <c r="D82" s="2578" t="s">
        <v>1957</v>
      </c>
      <c r="E82" s="2579" t="s">
        <v>1958</v>
      </c>
    </row>
    <row r="83" spans="1:5" x14ac:dyDescent="0.25">
      <c r="A83" s="2626"/>
      <c r="B83" s="2580" t="s">
        <v>1756</v>
      </c>
      <c r="C83" s="2580" t="s">
        <v>1067</v>
      </c>
      <c r="D83" s="2578" t="s">
        <v>1959</v>
      </c>
      <c r="E83" s="2579" t="s">
        <v>1960</v>
      </c>
    </row>
    <row r="84" spans="1:5" ht="45" x14ac:dyDescent="0.25">
      <c r="A84" s="2626"/>
      <c r="B84" s="2580" t="s">
        <v>1767</v>
      </c>
      <c r="C84" s="2580" t="s">
        <v>1961</v>
      </c>
      <c r="D84" s="2578" t="s">
        <v>1962</v>
      </c>
      <c r="E84" s="2579" t="s">
        <v>1963</v>
      </c>
    </row>
    <row r="85" spans="1:5" ht="30" x14ac:dyDescent="0.25">
      <c r="A85" s="2627" t="s">
        <v>1964</v>
      </c>
      <c r="B85" s="2581" t="s">
        <v>1767</v>
      </c>
      <c r="C85" s="2581" t="s">
        <v>486</v>
      </c>
      <c r="D85" s="2582" t="s">
        <v>1965</v>
      </c>
      <c r="E85" s="2583" t="s">
        <v>1966</v>
      </c>
    </row>
    <row r="86" spans="1:5" x14ac:dyDescent="0.25">
      <c r="A86" s="2627"/>
      <c r="B86" s="2581" t="s">
        <v>1851</v>
      </c>
      <c r="C86" s="2581" t="s">
        <v>1549</v>
      </c>
      <c r="D86" s="2582" t="s">
        <v>1967</v>
      </c>
      <c r="E86" s="2583" t="s">
        <v>1968</v>
      </c>
    </row>
    <row r="87" spans="1:5" x14ac:dyDescent="0.25">
      <c r="A87" s="2627"/>
      <c r="B87" s="2581" t="s">
        <v>1969</v>
      </c>
      <c r="C87" s="2581" t="s">
        <v>1549</v>
      </c>
      <c r="D87" s="2582" t="s">
        <v>1970</v>
      </c>
      <c r="E87" s="2583" t="s">
        <v>1971</v>
      </c>
    </row>
    <row r="88" spans="1:5" ht="30" x14ac:dyDescent="0.25">
      <c r="A88" s="2627"/>
      <c r="B88" s="2581" t="s">
        <v>1972</v>
      </c>
      <c r="C88" s="2581" t="s">
        <v>1973</v>
      </c>
      <c r="D88" s="2582" t="s">
        <v>1974</v>
      </c>
      <c r="E88" s="2583" t="s">
        <v>1975</v>
      </c>
    </row>
    <row r="89" spans="1:5" ht="30" x14ac:dyDescent="0.25">
      <c r="A89" s="2627"/>
      <c r="B89" s="2581" t="s">
        <v>1756</v>
      </c>
      <c r="C89" s="2581" t="s">
        <v>1976</v>
      </c>
      <c r="D89" s="2582" t="s">
        <v>1903</v>
      </c>
      <c r="E89" s="2583" t="s">
        <v>1977</v>
      </c>
    </row>
    <row r="90" spans="1:5" ht="45" x14ac:dyDescent="0.25">
      <c r="A90" s="2627"/>
      <c r="B90" s="2581" t="s">
        <v>1978</v>
      </c>
      <c r="C90" s="2581" t="s">
        <v>1045</v>
      </c>
      <c r="D90" s="2582" t="s">
        <v>1979</v>
      </c>
      <c r="E90" s="2583" t="s">
        <v>1980</v>
      </c>
    </row>
    <row r="91" spans="1:5" ht="60" x14ac:dyDescent="0.25">
      <c r="A91" s="2627"/>
      <c r="B91" s="2581" t="s">
        <v>1767</v>
      </c>
      <c r="C91" s="2581" t="s">
        <v>1622</v>
      </c>
      <c r="D91" s="2582" t="s">
        <v>1981</v>
      </c>
      <c r="E91" s="2583" t="s">
        <v>1982</v>
      </c>
    </row>
    <row r="92" spans="1:5" ht="30" x14ac:dyDescent="0.25">
      <c r="A92" s="2627"/>
      <c r="B92" s="2581" t="s">
        <v>1767</v>
      </c>
      <c r="C92" s="2581" t="s">
        <v>1802</v>
      </c>
      <c r="D92" s="2582" t="s">
        <v>1983</v>
      </c>
      <c r="E92" s="2583" t="s">
        <v>1984</v>
      </c>
    </row>
    <row r="93" spans="1:5" x14ac:dyDescent="0.25">
      <c r="A93" s="2627"/>
      <c r="B93" s="2581" t="s">
        <v>1767</v>
      </c>
      <c r="C93" s="2581" t="s">
        <v>1262</v>
      </c>
      <c r="D93" s="2582" t="s">
        <v>1985</v>
      </c>
      <c r="E93" s="2583" t="s">
        <v>1907</v>
      </c>
    </row>
    <row r="94" spans="1:5" ht="30" x14ac:dyDescent="0.25">
      <c r="A94" s="2627"/>
      <c r="B94" s="2581" t="s">
        <v>1767</v>
      </c>
      <c r="C94" s="2581" t="s">
        <v>1466</v>
      </c>
      <c r="D94" s="2582" t="s">
        <v>1986</v>
      </c>
      <c r="E94" s="2583" t="s">
        <v>1987</v>
      </c>
    </row>
    <row r="95" spans="1:5" ht="75" x14ac:dyDescent="0.25">
      <c r="A95" s="2627"/>
      <c r="B95" s="2581" t="s">
        <v>1767</v>
      </c>
      <c r="C95" s="2581" t="s">
        <v>1209</v>
      </c>
      <c r="D95" s="2582" t="s">
        <v>1988</v>
      </c>
      <c r="E95" s="2583" t="s">
        <v>1916</v>
      </c>
    </row>
    <row r="96" spans="1:5" ht="60" x14ac:dyDescent="0.25">
      <c r="A96" s="2627"/>
      <c r="B96" s="2581" t="s">
        <v>1767</v>
      </c>
      <c r="C96" s="2581" t="s">
        <v>1989</v>
      </c>
      <c r="D96" s="2582" t="s">
        <v>1990</v>
      </c>
      <c r="E96" s="2583" t="s">
        <v>1896</v>
      </c>
    </row>
    <row r="97" spans="1:5" ht="75" x14ac:dyDescent="0.25">
      <c r="A97" s="2627"/>
      <c r="B97" s="2581" t="s">
        <v>1767</v>
      </c>
      <c r="C97" s="2581" t="s">
        <v>1973</v>
      </c>
      <c r="D97" s="2582" t="s">
        <v>1991</v>
      </c>
      <c r="E97" s="2583" t="s">
        <v>1992</v>
      </c>
    </row>
    <row r="98" spans="1:5" ht="45" x14ac:dyDescent="0.25">
      <c r="A98" s="2627"/>
      <c r="B98" s="2581" t="s">
        <v>1993</v>
      </c>
      <c r="C98" s="2581" t="s">
        <v>1973</v>
      </c>
      <c r="D98" s="2582" t="s">
        <v>1994</v>
      </c>
      <c r="E98" s="2583" t="s">
        <v>1995</v>
      </c>
    </row>
    <row r="99" spans="1:5" ht="75" x14ac:dyDescent="0.25">
      <c r="A99" s="2628" t="s">
        <v>1996</v>
      </c>
      <c r="B99" s="2584" t="s">
        <v>1997</v>
      </c>
      <c r="C99" s="2584" t="s">
        <v>1998</v>
      </c>
      <c r="D99" s="2556" t="s">
        <v>1999</v>
      </c>
      <c r="E99" s="2556" t="s">
        <v>2000</v>
      </c>
    </row>
    <row r="100" spans="1:5" ht="30" x14ac:dyDescent="0.25">
      <c r="A100" s="2628"/>
      <c r="B100" s="2584" t="s">
        <v>1756</v>
      </c>
      <c r="C100" s="2553" t="s">
        <v>2001</v>
      </c>
      <c r="D100" s="2556" t="s">
        <v>2002</v>
      </c>
      <c r="E100" s="2556" t="s">
        <v>2003</v>
      </c>
    </row>
    <row r="101" spans="1:5" ht="30" x14ac:dyDescent="0.25">
      <c r="A101" s="2628"/>
      <c r="B101" s="2584" t="s">
        <v>1851</v>
      </c>
      <c r="C101" s="2553" t="s">
        <v>2004</v>
      </c>
      <c r="D101" s="2556" t="s">
        <v>2005</v>
      </c>
      <c r="E101" s="2556" t="s">
        <v>2006</v>
      </c>
    </row>
    <row r="102" spans="1:5" ht="135" x14ac:dyDescent="0.25">
      <c r="A102" s="2628"/>
      <c r="B102" s="2553" t="s">
        <v>1792</v>
      </c>
      <c r="C102" s="2553" t="s">
        <v>2007</v>
      </c>
      <c r="D102" s="2555" t="s">
        <v>2008</v>
      </c>
      <c r="E102" s="2556" t="s">
        <v>2009</v>
      </c>
    </row>
    <row r="103" spans="1:5" ht="75" x14ac:dyDescent="0.25">
      <c r="A103" s="2628"/>
      <c r="B103" s="2553" t="s">
        <v>2010</v>
      </c>
      <c r="C103" s="2553" t="s">
        <v>2007</v>
      </c>
      <c r="D103" s="2555" t="s">
        <v>2011</v>
      </c>
      <c r="E103" s="2556" t="s">
        <v>2012</v>
      </c>
    </row>
    <row r="104" spans="1:5" ht="30" x14ac:dyDescent="0.25">
      <c r="A104" s="2628"/>
      <c r="B104" s="2553" t="s">
        <v>1767</v>
      </c>
      <c r="C104" s="2553" t="s">
        <v>2004</v>
      </c>
      <c r="D104" s="2555" t="s">
        <v>2013</v>
      </c>
      <c r="E104" s="2556" t="s">
        <v>2014</v>
      </c>
    </row>
    <row r="105" spans="1:5" ht="30" x14ac:dyDescent="0.25">
      <c r="A105" s="2628"/>
      <c r="B105" s="2553" t="s">
        <v>1767</v>
      </c>
      <c r="C105" s="2553" t="s">
        <v>1998</v>
      </c>
      <c r="D105" s="2555" t="s">
        <v>2015</v>
      </c>
      <c r="E105" s="2556" t="s">
        <v>2016</v>
      </c>
    </row>
    <row r="106" spans="1:5" ht="30" x14ac:dyDescent="0.25">
      <c r="A106" s="2628"/>
      <c r="B106" s="2553" t="s">
        <v>2017</v>
      </c>
      <c r="C106" s="2553" t="s">
        <v>2018</v>
      </c>
      <c r="D106" s="2555" t="s">
        <v>2019</v>
      </c>
      <c r="E106" s="2556" t="s">
        <v>2020</v>
      </c>
    </row>
    <row r="107" spans="1:5" ht="30" x14ac:dyDescent="0.25">
      <c r="A107" s="2628"/>
      <c r="B107" s="2553" t="s">
        <v>1767</v>
      </c>
      <c r="C107" s="2553" t="s">
        <v>1793</v>
      </c>
      <c r="D107" s="2555" t="s">
        <v>2021</v>
      </c>
      <c r="E107" s="2556" t="s">
        <v>2022</v>
      </c>
    </row>
    <row r="108" spans="1:5" x14ac:dyDescent="0.25">
      <c r="A108" s="2628"/>
      <c r="B108" s="2553" t="s">
        <v>1767</v>
      </c>
      <c r="C108" s="2553" t="s">
        <v>1418</v>
      </c>
      <c r="D108" s="2555" t="s">
        <v>2023</v>
      </c>
      <c r="E108" s="2556" t="s">
        <v>2024</v>
      </c>
    </row>
    <row r="109" spans="1:5" ht="45" x14ac:dyDescent="0.25">
      <c r="A109" s="2628"/>
      <c r="B109" s="2553" t="s">
        <v>1756</v>
      </c>
      <c r="C109" s="2553" t="s">
        <v>1165</v>
      </c>
      <c r="D109" s="2555" t="s">
        <v>2025</v>
      </c>
      <c r="E109" s="2556" t="s">
        <v>2026</v>
      </c>
    </row>
    <row r="110" spans="1:5" ht="60" x14ac:dyDescent="0.25">
      <c r="A110" s="2628"/>
      <c r="B110" s="2553" t="s">
        <v>2017</v>
      </c>
      <c r="C110" s="2553" t="s">
        <v>1998</v>
      </c>
      <c r="D110" s="2555" t="s">
        <v>2027</v>
      </c>
      <c r="E110" s="2556" t="s">
        <v>1813</v>
      </c>
    </row>
    <row r="111" spans="1:5" x14ac:dyDescent="0.25">
      <c r="A111" s="2628"/>
      <c r="B111" s="2553" t="s">
        <v>1767</v>
      </c>
      <c r="C111" s="2553" t="s">
        <v>1553</v>
      </c>
      <c r="D111" s="2555" t="s">
        <v>2028</v>
      </c>
      <c r="E111" s="2556" t="s">
        <v>2029</v>
      </c>
    </row>
    <row r="112" spans="1:5" ht="30" x14ac:dyDescent="0.25">
      <c r="A112" s="2628"/>
      <c r="B112" s="2553" t="s">
        <v>2017</v>
      </c>
      <c r="C112" s="2553" t="s">
        <v>464</v>
      </c>
      <c r="D112" s="2555" t="s">
        <v>2030</v>
      </c>
      <c r="E112" s="2556" t="s">
        <v>2031</v>
      </c>
    </row>
    <row r="113" spans="1:5" x14ac:dyDescent="0.25">
      <c r="A113" s="2628"/>
      <c r="B113" s="2553" t="s">
        <v>2017</v>
      </c>
      <c r="C113" s="2553" t="s">
        <v>1329</v>
      </c>
      <c r="D113" s="2555" t="s">
        <v>2032</v>
      </c>
      <c r="E113" s="2556" t="s">
        <v>2033</v>
      </c>
    </row>
    <row r="114" spans="1:5" x14ac:dyDescent="0.25">
      <c r="A114" s="2628"/>
      <c r="B114" s="2553" t="s">
        <v>1758</v>
      </c>
      <c r="C114" s="2553" t="s">
        <v>1213</v>
      </c>
      <c r="D114" s="2555" t="s">
        <v>2034</v>
      </c>
      <c r="E114" s="2556" t="s">
        <v>2035</v>
      </c>
    </row>
    <row r="115" spans="1:5" ht="60" x14ac:dyDescent="0.25">
      <c r="A115" s="2628"/>
      <c r="B115" s="2553" t="s">
        <v>2017</v>
      </c>
      <c r="C115" s="2553" t="s">
        <v>1998</v>
      </c>
      <c r="D115" s="2555" t="s">
        <v>2036</v>
      </c>
      <c r="E115" s="2556" t="s">
        <v>2037</v>
      </c>
    </row>
    <row r="116" spans="1:5" x14ac:dyDescent="0.25">
      <c r="A116" s="2628"/>
      <c r="B116" s="2553" t="s">
        <v>1760</v>
      </c>
      <c r="C116" s="2553" t="s">
        <v>1367</v>
      </c>
      <c r="D116" s="2555" t="s">
        <v>2038</v>
      </c>
      <c r="E116" s="2556" t="s">
        <v>2039</v>
      </c>
    </row>
    <row r="117" spans="1:5" ht="30" x14ac:dyDescent="0.25">
      <c r="A117" s="2628"/>
      <c r="B117" s="2553" t="s">
        <v>2040</v>
      </c>
      <c r="C117" s="2553" t="s">
        <v>2041</v>
      </c>
      <c r="D117" s="2555" t="s">
        <v>2042</v>
      </c>
      <c r="E117" s="2556" t="s">
        <v>2043</v>
      </c>
    </row>
    <row r="118" spans="1:5" ht="45" x14ac:dyDescent="0.25">
      <c r="A118" s="2629" t="s">
        <v>2044</v>
      </c>
      <c r="B118" s="2558" t="s">
        <v>2045</v>
      </c>
      <c r="C118" s="2558" t="s">
        <v>1802</v>
      </c>
      <c r="D118" s="2559" t="s">
        <v>2046</v>
      </c>
      <c r="E118" s="2560" t="s">
        <v>2047</v>
      </c>
    </row>
    <row r="119" spans="1:5" x14ac:dyDescent="0.25">
      <c r="A119" s="2629"/>
      <c r="B119" s="2558" t="s">
        <v>1758</v>
      </c>
      <c r="C119" s="2558" t="s">
        <v>1922</v>
      </c>
      <c r="D119" s="2559" t="s">
        <v>2048</v>
      </c>
      <c r="E119" s="2560" t="s">
        <v>2049</v>
      </c>
    </row>
    <row r="120" spans="1:5" ht="45" x14ac:dyDescent="0.25">
      <c r="A120" s="2629"/>
      <c r="B120" s="2558" t="s">
        <v>1758</v>
      </c>
      <c r="C120" s="2558" t="s">
        <v>2050</v>
      </c>
      <c r="D120" s="2559" t="s">
        <v>2051</v>
      </c>
      <c r="E120" s="2560" t="s">
        <v>2052</v>
      </c>
    </row>
    <row r="121" spans="1:5" ht="30" x14ac:dyDescent="0.25">
      <c r="A121" s="2629"/>
      <c r="B121" s="2558" t="s">
        <v>2053</v>
      </c>
      <c r="C121" s="2558" t="s">
        <v>2054</v>
      </c>
      <c r="D121" s="2559" t="s">
        <v>2055</v>
      </c>
      <c r="E121" s="2560" t="s">
        <v>2056</v>
      </c>
    </row>
    <row r="122" spans="1:5" x14ac:dyDescent="0.25">
      <c r="A122" s="2629"/>
      <c r="B122" s="2558" t="s">
        <v>1956</v>
      </c>
      <c r="C122" s="2558" t="s">
        <v>2057</v>
      </c>
      <c r="D122" s="2559" t="s">
        <v>2058</v>
      </c>
      <c r="E122" s="2560" t="s">
        <v>2059</v>
      </c>
    </row>
    <row r="123" spans="1:5" ht="75" x14ac:dyDescent="0.25">
      <c r="A123" s="2629"/>
      <c r="B123" s="2558" t="s">
        <v>2040</v>
      </c>
      <c r="C123" s="2558" t="s">
        <v>2060</v>
      </c>
      <c r="D123" s="2559" t="s">
        <v>2061</v>
      </c>
      <c r="E123" s="2560" t="s">
        <v>2062</v>
      </c>
    </row>
    <row r="124" spans="1:5" ht="75" x14ac:dyDescent="0.25">
      <c r="A124" s="2629"/>
      <c r="B124" s="2558" t="s">
        <v>1767</v>
      </c>
      <c r="C124" s="2558" t="s">
        <v>1802</v>
      </c>
      <c r="D124" s="2559" t="s">
        <v>2063</v>
      </c>
      <c r="E124" s="2560" t="s">
        <v>2064</v>
      </c>
    </row>
    <row r="125" spans="1:5" ht="135" x14ac:dyDescent="0.25">
      <c r="A125" s="2629"/>
      <c r="B125" s="2558" t="s">
        <v>1767</v>
      </c>
      <c r="C125" s="2558" t="s">
        <v>1802</v>
      </c>
      <c r="D125" s="2559" t="s">
        <v>2065</v>
      </c>
      <c r="E125" s="2560" t="s">
        <v>2066</v>
      </c>
    </row>
    <row r="126" spans="1:5" ht="60" x14ac:dyDescent="0.25">
      <c r="A126" s="2629"/>
      <c r="B126" s="2558" t="s">
        <v>1767</v>
      </c>
      <c r="C126" s="2558" t="s">
        <v>1802</v>
      </c>
      <c r="D126" s="2559" t="s">
        <v>2067</v>
      </c>
      <c r="E126" s="2560" t="s">
        <v>2068</v>
      </c>
    </row>
    <row r="127" spans="1:5" ht="45" x14ac:dyDescent="0.25">
      <c r="A127" s="2630" t="s">
        <v>2069</v>
      </c>
      <c r="B127" s="2565" t="s">
        <v>2070</v>
      </c>
      <c r="C127" s="2565" t="s">
        <v>2071</v>
      </c>
      <c r="D127" s="2566" t="s">
        <v>2072</v>
      </c>
      <c r="E127" s="2567" t="s">
        <v>1813</v>
      </c>
    </row>
    <row r="128" spans="1:5" x14ac:dyDescent="0.25">
      <c r="A128" s="2630"/>
      <c r="B128" s="2565" t="s">
        <v>1756</v>
      </c>
      <c r="C128" s="2565" t="s">
        <v>1165</v>
      </c>
      <c r="D128" s="2566" t="s">
        <v>2073</v>
      </c>
      <c r="E128" s="2567" t="s">
        <v>2074</v>
      </c>
    </row>
    <row r="129" spans="1:5" ht="45" x14ac:dyDescent="0.25">
      <c r="A129" s="2630"/>
      <c r="B129" s="2565" t="s">
        <v>1756</v>
      </c>
      <c r="C129" s="2565" t="s">
        <v>2075</v>
      </c>
      <c r="D129" s="2566" t="s">
        <v>2076</v>
      </c>
      <c r="E129" s="2567" t="s">
        <v>2077</v>
      </c>
    </row>
    <row r="130" spans="1:5" ht="60" x14ac:dyDescent="0.25">
      <c r="A130" s="2630"/>
      <c r="B130" s="2565" t="s">
        <v>2017</v>
      </c>
      <c r="C130" s="2565" t="s">
        <v>2078</v>
      </c>
      <c r="D130" s="2566" t="s">
        <v>2079</v>
      </c>
      <c r="E130" s="2567" t="s">
        <v>2080</v>
      </c>
    </row>
    <row r="131" spans="1:5" ht="75" x14ac:dyDescent="0.25">
      <c r="A131" s="2630"/>
      <c r="B131" s="2565" t="s">
        <v>1767</v>
      </c>
      <c r="C131" s="2565" t="s">
        <v>1802</v>
      </c>
      <c r="D131" s="2566" t="s">
        <v>2081</v>
      </c>
      <c r="E131" s="2567" t="s">
        <v>2082</v>
      </c>
    </row>
    <row r="132" spans="1:5" ht="45" x14ac:dyDescent="0.25">
      <c r="A132" s="2630"/>
      <c r="B132" s="2565" t="s">
        <v>2083</v>
      </c>
      <c r="C132" s="2565" t="s">
        <v>1802</v>
      </c>
      <c r="D132" s="2566" t="s">
        <v>2084</v>
      </c>
      <c r="E132" s="2567" t="s">
        <v>1813</v>
      </c>
    </row>
    <row r="133" spans="1:5" ht="60" x14ac:dyDescent="0.25">
      <c r="A133" s="2630"/>
      <c r="B133" s="2565" t="s">
        <v>2085</v>
      </c>
      <c r="C133" s="2565" t="s">
        <v>1577</v>
      </c>
      <c r="D133" s="2566" t="s">
        <v>2086</v>
      </c>
      <c r="E133" s="2567" t="s">
        <v>2087</v>
      </c>
    </row>
    <row r="134" spans="1:5" ht="30" x14ac:dyDescent="0.25">
      <c r="A134" s="2630"/>
      <c r="B134" s="2565" t="s">
        <v>1760</v>
      </c>
      <c r="C134" s="2565" t="s">
        <v>2088</v>
      </c>
      <c r="D134" s="2566" t="s">
        <v>2089</v>
      </c>
      <c r="E134" s="2567" t="s">
        <v>2090</v>
      </c>
    </row>
    <row r="135" spans="1:5" x14ac:dyDescent="0.25">
      <c r="A135" s="2631" t="s">
        <v>2091</v>
      </c>
      <c r="B135" s="2585" t="s">
        <v>1802</v>
      </c>
      <c r="C135" s="2585" t="s">
        <v>2092</v>
      </c>
      <c r="D135" s="2586" t="s">
        <v>2093</v>
      </c>
      <c r="E135" s="2587" t="s">
        <v>1896</v>
      </c>
    </row>
    <row r="136" spans="1:5" ht="45" x14ac:dyDescent="0.25">
      <c r="A136" s="2631"/>
      <c r="B136" s="2585" t="s">
        <v>1767</v>
      </c>
      <c r="C136" s="2585" t="s">
        <v>486</v>
      </c>
      <c r="D136" s="2586" t="s">
        <v>2094</v>
      </c>
      <c r="E136" s="2587" t="s">
        <v>2095</v>
      </c>
    </row>
    <row r="137" spans="1:5" ht="45" x14ac:dyDescent="0.25">
      <c r="A137" s="2631"/>
      <c r="B137" s="2585" t="s">
        <v>1851</v>
      </c>
      <c r="C137" s="2585" t="s">
        <v>2096</v>
      </c>
      <c r="D137" s="2586" t="s">
        <v>2097</v>
      </c>
      <c r="E137" s="2587" t="s">
        <v>2098</v>
      </c>
    </row>
    <row r="138" spans="1:5" ht="30" x14ac:dyDescent="0.25">
      <c r="A138" s="2631"/>
      <c r="B138" s="2585" t="s">
        <v>2099</v>
      </c>
      <c r="C138" s="2585" t="s">
        <v>2100</v>
      </c>
      <c r="D138" s="2586" t="s">
        <v>2101</v>
      </c>
      <c r="E138" s="2587" t="s">
        <v>1813</v>
      </c>
    </row>
    <row r="139" spans="1:5" ht="60" x14ac:dyDescent="0.25">
      <c r="A139" s="2631"/>
      <c r="B139" s="2585" t="s">
        <v>2085</v>
      </c>
      <c r="C139" s="2585" t="s">
        <v>2102</v>
      </c>
      <c r="D139" s="2586" t="s">
        <v>2103</v>
      </c>
      <c r="E139" s="2587" t="s">
        <v>2104</v>
      </c>
    </row>
    <row r="140" spans="1:5" ht="30" x14ac:dyDescent="0.25">
      <c r="A140" s="2631"/>
      <c r="B140" s="2585" t="s">
        <v>2083</v>
      </c>
      <c r="C140" s="2585" t="s">
        <v>464</v>
      </c>
      <c r="D140" s="2586" t="s">
        <v>2105</v>
      </c>
      <c r="E140" s="2587" t="s">
        <v>2106</v>
      </c>
    </row>
    <row r="141" spans="1:5" ht="60" x14ac:dyDescent="0.25">
      <c r="A141" s="2631"/>
      <c r="B141" s="2585" t="s">
        <v>2040</v>
      </c>
      <c r="C141" s="2585" t="s">
        <v>2107</v>
      </c>
      <c r="D141" s="2586" t="s">
        <v>2108</v>
      </c>
      <c r="E141" s="2587" t="s">
        <v>2109</v>
      </c>
    </row>
    <row r="142" spans="1:5" ht="45" x14ac:dyDescent="0.25">
      <c r="A142" s="2631"/>
      <c r="B142" s="2585" t="s">
        <v>1767</v>
      </c>
      <c r="C142" s="2585" t="s">
        <v>2110</v>
      </c>
      <c r="D142" s="2586" t="s">
        <v>2111</v>
      </c>
      <c r="E142" s="2587" t="s">
        <v>2112</v>
      </c>
    </row>
    <row r="143" spans="1:5" ht="60" x14ac:dyDescent="0.25">
      <c r="A143" s="2631"/>
      <c r="B143" s="2585" t="s">
        <v>1767</v>
      </c>
      <c r="C143" s="2585" t="s">
        <v>100</v>
      </c>
      <c r="D143" s="2586" t="s">
        <v>2113</v>
      </c>
      <c r="E143" s="2632" t="s">
        <v>2114</v>
      </c>
    </row>
    <row r="144" spans="1:5" ht="60" x14ac:dyDescent="0.25">
      <c r="A144" s="2631"/>
      <c r="B144" s="2585" t="s">
        <v>1767</v>
      </c>
      <c r="C144" s="2585" t="s">
        <v>109</v>
      </c>
      <c r="D144" s="2586" t="s">
        <v>2115</v>
      </c>
      <c r="E144" s="2632"/>
    </row>
    <row r="145" spans="1:7" ht="75" x14ac:dyDescent="0.25">
      <c r="A145" s="2631"/>
      <c r="B145" s="2585" t="s">
        <v>2116</v>
      </c>
      <c r="C145" s="2585" t="s">
        <v>2117</v>
      </c>
      <c r="D145" s="2586" t="s">
        <v>2118</v>
      </c>
      <c r="E145" s="2587" t="s">
        <v>2119</v>
      </c>
    </row>
    <row r="146" spans="1:7" ht="30" x14ac:dyDescent="0.25">
      <c r="A146" s="2631"/>
      <c r="B146" s="2585" t="s">
        <v>1767</v>
      </c>
      <c r="C146" s="2585" t="s">
        <v>1389</v>
      </c>
      <c r="D146" s="2586" t="s">
        <v>2120</v>
      </c>
      <c r="E146" s="2587" t="s">
        <v>2121</v>
      </c>
    </row>
    <row r="147" spans="1:7" ht="30" x14ac:dyDescent="0.25">
      <c r="A147" s="2631"/>
      <c r="B147" s="2585" t="s">
        <v>1767</v>
      </c>
      <c r="C147" s="2585" t="s">
        <v>2122</v>
      </c>
      <c r="D147" s="2586" t="s">
        <v>2123</v>
      </c>
      <c r="E147" s="2587" t="s">
        <v>2124</v>
      </c>
    </row>
    <row r="148" spans="1:7" ht="45" x14ac:dyDescent="0.25">
      <c r="A148" s="2631"/>
      <c r="B148" s="2585" t="s">
        <v>2017</v>
      </c>
      <c r="C148" s="2585" t="s">
        <v>2125</v>
      </c>
      <c r="D148" s="2586" t="s">
        <v>2126</v>
      </c>
      <c r="E148" s="2587" t="s">
        <v>1896</v>
      </c>
    </row>
    <row r="149" spans="1:7" ht="30" x14ac:dyDescent="0.25">
      <c r="A149" s="2631"/>
      <c r="B149" s="2585" t="s">
        <v>2017</v>
      </c>
      <c r="C149" s="2585" t="s">
        <v>1162</v>
      </c>
      <c r="D149" s="2586" t="s">
        <v>2127</v>
      </c>
      <c r="E149" s="2587" t="s">
        <v>2128</v>
      </c>
    </row>
    <row r="150" spans="1:7" ht="30" x14ac:dyDescent="0.25">
      <c r="A150" s="2631"/>
      <c r="B150" s="2585" t="s">
        <v>1767</v>
      </c>
      <c r="C150" s="2585" t="s">
        <v>2129</v>
      </c>
      <c r="D150" s="2586" t="s">
        <v>2130</v>
      </c>
      <c r="E150" s="2587" t="s">
        <v>2131</v>
      </c>
    </row>
    <row r="151" spans="1:7" ht="30" x14ac:dyDescent="0.25">
      <c r="A151" s="2631"/>
      <c r="B151" s="2585" t="s">
        <v>1758</v>
      </c>
      <c r="C151" s="2585" t="s">
        <v>2132</v>
      </c>
      <c r="D151" s="2586" t="s">
        <v>2133</v>
      </c>
      <c r="E151" s="2587" t="s">
        <v>2134</v>
      </c>
    </row>
    <row r="152" spans="1:7" ht="120" x14ac:dyDescent="0.25">
      <c r="A152" s="2631"/>
      <c r="B152" s="2585" t="s">
        <v>2135</v>
      </c>
      <c r="C152" s="2585" t="s">
        <v>2136</v>
      </c>
      <c r="D152" s="2586" t="s">
        <v>2137</v>
      </c>
      <c r="E152" s="2587" t="s">
        <v>2138</v>
      </c>
    </row>
    <row r="153" spans="1:7" ht="30" x14ac:dyDescent="0.25">
      <c r="A153" s="2631"/>
      <c r="B153" s="2585" t="s">
        <v>1767</v>
      </c>
      <c r="C153" s="2585" t="s">
        <v>2139</v>
      </c>
      <c r="D153" s="2586" t="s">
        <v>2140</v>
      </c>
      <c r="E153" s="2587" t="s">
        <v>2141</v>
      </c>
    </row>
    <row r="154" spans="1:7" x14ac:dyDescent="0.25">
      <c r="A154" s="2631"/>
      <c r="B154" s="2585" t="s">
        <v>1767</v>
      </c>
      <c r="C154" s="2585" t="s">
        <v>2142</v>
      </c>
      <c r="D154" s="2586" t="s">
        <v>2143</v>
      </c>
      <c r="E154" s="2587" t="s">
        <v>2144</v>
      </c>
    </row>
    <row r="155" spans="1:7" ht="60" x14ac:dyDescent="0.25">
      <c r="A155" s="2631"/>
      <c r="B155" s="2585" t="s">
        <v>1756</v>
      </c>
      <c r="C155" s="2585" t="s">
        <v>1756</v>
      </c>
      <c r="D155" s="2586" t="s">
        <v>2145</v>
      </c>
      <c r="E155" s="2587" t="s">
        <v>2146</v>
      </c>
      <c r="G155" s="2538"/>
    </row>
    <row r="156" spans="1:7" ht="60" x14ac:dyDescent="0.25">
      <c r="A156" s="2631"/>
      <c r="B156" s="2585" t="s">
        <v>1767</v>
      </c>
      <c r="C156" s="2585" t="s">
        <v>2147</v>
      </c>
      <c r="D156" s="2586" t="s">
        <v>2148</v>
      </c>
      <c r="E156" s="2587" t="s">
        <v>1813</v>
      </c>
    </row>
    <row r="157" spans="1:7" x14ac:dyDescent="0.25">
      <c r="A157" s="2631"/>
      <c r="B157" s="2585" t="s">
        <v>1758</v>
      </c>
      <c r="C157" s="2585" t="s">
        <v>2004</v>
      </c>
      <c r="D157" s="2586" t="s">
        <v>2149</v>
      </c>
      <c r="E157" s="2587" t="s">
        <v>2150</v>
      </c>
    </row>
    <row r="158" spans="1:7" ht="45" x14ac:dyDescent="0.25">
      <c r="A158" s="2631"/>
      <c r="B158" s="2585" t="s">
        <v>1758</v>
      </c>
      <c r="C158" s="2585" t="s">
        <v>2151</v>
      </c>
      <c r="D158" s="2586" t="s">
        <v>2152</v>
      </c>
      <c r="E158" s="2587" t="s">
        <v>2153</v>
      </c>
    </row>
    <row r="159" spans="1:7" x14ac:dyDescent="0.25">
      <c r="A159" s="2631"/>
      <c r="B159" s="2585" t="s">
        <v>1767</v>
      </c>
      <c r="C159" s="2585" t="s">
        <v>2154</v>
      </c>
      <c r="D159" s="2586" t="s">
        <v>2155</v>
      </c>
      <c r="E159" s="2587" t="s">
        <v>1896</v>
      </c>
    </row>
    <row r="160" spans="1:7" ht="30" x14ac:dyDescent="0.25">
      <c r="A160" s="2631"/>
      <c r="B160" s="2585" t="s">
        <v>2017</v>
      </c>
      <c r="C160" s="2585" t="s">
        <v>2156</v>
      </c>
      <c r="D160" s="2586" t="s">
        <v>2157</v>
      </c>
      <c r="E160" s="2587" t="s">
        <v>2158</v>
      </c>
    </row>
    <row r="161" spans="1:5" ht="30" x14ac:dyDescent="0.25">
      <c r="A161" s="2633" t="s">
        <v>2159</v>
      </c>
      <c r="B161" s="2588" t="s">
        <v>2085</v>
      </c>
      <c r="C161" s="2588" t="s">
        <v>2160</v>
      </c>
      <c r="D161" s="2589" t="s">
        <v>2161</v>
      </c>
      <c r="E161" s="2590" t="s">
        <v>2162</v>
      </c>
    </row>
    <row r="162" spans="1:5" ht="75" x14ac:dyDescent="0.25">
      <c r="A162" s="2633"/>
      <c r="B162" s="2588" t="s">
        <v>2163</v>
      </c>
      <c r="C162" s="2588" t="s">
        <v>2164</v>
      </c>
      <c r="D162" s="2589" t="s">
        <v>2165</v>
      </c>
      <c r="E162" s="2590" t="s">
        <v>2166</v>
      </c>
    </row>
    <row r="163" spans="1:5" ht="30" x14ac:dyDescent="0.25">
      <c r="A163" s="2633"/>
      <c r="B163" s="2588" t="s">
        <v>1756</v>
      </c>
      <c r="C163" s="2591" t="s">
        <v>444</v>
      </c>
      <c r="D163" s="2589" t="s">
        <v>2167</v>
      </c>
      <c r="E163" s="2590" t="s">
        <v>1813</v>
      </c>
    </row>
    <row r="164" spans="1:5" ht="30" x14ac:dyDescent="0.25">
      <c r="A164" s="2633"/>
      <c r="B164" s="2588" t="s">
        <v>2168</v>
      </c>
      <c r="C164" s="2591" t="s">
        <v>444</v>
      </c>
      <c r="D164" s="2589" t="s">
        <v>2169</v>
      </c>
      <c r="E164" s="2590" t="s">
        <v>1813</v>
      </c>
    </row>
    <row r="165" spans="1:5" x14ac:dyDescent="0.25">
      <c r="A165" s="2633"/>
      <c r="B165" s="2588" t="s">
        <v>2170</v>
      </c>
      <c r="C165" s="2591" t="s">
        <v>2171</v>
      </c>
      <c r="D165" s="2589" t="s">
        <v>2172</v>
      </c>
      <c r="E165" s="2590" t="s">
        <v>1813</v>
      </c>
    </row>
    <row r="166" spans="1:5" ht="105" x14ac:dyDescent="0.25">
      <c r="A166" s="2633"/>
      <c r="B166" s="2588" t="s">
        <v>2173</v>
      </c>
      <c r="C166" s="2591" t="s">
        <v>1764</v>
      </c>
      <c r="D166" s="2589" t="s">
        <v>2174</v>
      </c>
      <c r="E166" s="2590" t="s">
        <v>2175</v>
      </c>
    </row>
    <row r="167" spans="1:5" ht="30" x14ac:dyDescent="0.25">
      <c r="A167" s="2633"/>
      <c r="B167" s="2588" t="s">
        <v>1767</v>
      </c>
      <c r="C167" s="2591" t="s">
        <v>1640</v>
      </c>
      <c r="D167" s="2589" t="s">
        <v>2176</v>
      </c>
      <c r="E167" s="2590" t="s">
        <v>2177</v>
      </c>
    </row>
    <row r="168" spans="1:5" ht="60" x14ac:dyDescent="0.25">
      <c r="A168" s="2633"/>
      <c r="B168" s="2588" t="s">
        <v>1767</v>
      </c>
      <c r="C168" s="2591" t="s">
        <v>1227</v>
      </c>
      <c r="D168" s="2589" t="s">
        <v>2178</v>
      </c>
      <c r="E168" s="2590" t="s">
        <v>2179</v>
      </c>
    </row>
    <row r="169" spans="1:5" ht="60" x14ac:dyDescent="0.25">
      <c r="A169" s="2633"/>
      <c r="B169" s="2588" t="s">
        <v>1767</v>
      </c>
      <c r="C169" s="2591" t="s">
        <v>1209</v>
      </c>
      <c r="D169" s="2589" t="s">
        <v>2180</v>
      </c>
      <c r="E169" s="2590" t="s">
        <v>2181</v>
      </c>
    </row>
    <row r="170" spans="1:5" ht="30" x14ac:dyDescent="0.25">
      <c r="A170" s="2633"/>
      <c r="B170" s="2588" t="s">
        <v>1767</v>
      </c>
      <c r="C170" s="2591" t="s">
        <v>1426</v>
      </c>
      <c r="D170" s="2589" t="s">
        <v>2182</v>
      </c>
      <c r="E170" s="2590" t="s">
        <v>2183</v>
      </c>
    </row>
    <row r="171" spans="1:5" ht="30" x14ac:dyDescent="0.25">
      <c r="A171" s="2633"/>
      <c r="B171" s="2588" t="s">
        <v>1767</v>
      </c>
      <c r="C171" s="2591" t="s">
        <v>1828</v>
      </c>
      <c r="D171" s="2589" t="s">
        <v>2184</v>
      </c>
      <c r="E171" s="2590" t="s">
        <v>2185</v>
      </c>
    </row>
    <row r="172" spans="1:5" x14ac:dyDescent="0.25">
      <c r="A172" s="2633"/>
      <c r="B172" s="2588" t="s">
        <v>1767</v>
      </c>
      <c r="C172" s="2591" t="s">
        <v>2186</v>
      </c>
      <c r="D172" s="2589" t="s">
        <v>2187</v>
      </c>
      <c r="E172" s="2590" t="s">
        <v>2188</v>
      </c>
    </row>
    <row r="173" spans="1:5" ht="30" x14ac:dyDescent="0.25">
      <c r="A173" s="2633"/>
      <c r="B173" s="2588" t="s">
        <v>1767</v>
      </c>
      <c r="C173" s="2591" t="s">
        <v>2189</v>
      </c>
      <c r="D173" s="2589" t="s">
        <v>2190</v>
      </c>
      <c r="E173" s="2590" t="s">
        <v>2191</v>
      </c>
    </row>
    <row r="174" spans="1:5" ht="30" x14ac:dyDescent="0.25">
      <c r="A174" s="2633"/>
      <c r="B174" s="2588" t="s">
        <v>1767</v>
      </c>
      <c r="C174" s="2591" t="s">
        <v>1516</v>
      </c>
      <c r="D174" s="2589" t="s">
        <v>2182</v>
      </c>
      <c r="E174" s="2590" t="s">
        <v>2192</v>
      </c>
    </row>
    <row r="175" spans="1:5" ht="90" x14ac:dyDescent="0.25">
      <c r="A175" s="2633"/>
      <c r="B175" s="2588" t="s">
        <v>1767</v>
      </c>
      <c r="C175" s="2591" t="s">
        <v>1430</v>
      </c>
      <c r="D175" s="2589" t="s">
        <v>2193</v>
      </c>
      <c r="E175" s="2590" t="s">
        <v>2194</v>
      </c>
    </row>
    <row r="176" spans="1:5" x14ac:dyDescent="0.25">
      <c r="A176" s="2633"/>
      <c r="B176" s="2588" t="s">
        <v>1767</v>
      </c>
      <c r="C176" s="2591" t="s">
        <v>1389</v>
      </c>
      <c r="D176" s="2589" t="s">
        <v>2195</v>
      </c>
      <c r="E176" s="2590" t="s">
        <v>2196</v>
      </c>
    </row>
    <row r="177" spans="1:5" ht="30" x14ac:dyDescent="0.25">
      <c r="A177" s="2633"/>
      <c r="B177" s="2588" t="s">
        <v>1767</v>
      </c>
      <c r="C177" s="2591" t="s">
        <v>2197</v>
      </c>
      <c r="D177" s="2589" t="s">
        <v>2198</v>
      </c>
      <c r="E177" s="2590" t="s">
        <v>1813</v>
      </c>
    </row>
    <row r="178" spans="1:5" ht="45" x14ac:dyDescent="0.25">
      <c r="A178" s="2633"/>
      <c r="B178" s="2588" t="s">
        <v>2040</v>
      </c>
      <c r="C178" s="2591" t="s">
        <v>2199</v>
      </c>
      <c r="D178" s="2589" t="s">
        <v>2200</v>
      </c>
      <c r="E178" s="2590" t="s">
        <v>2201</v>
      </c>
    </row>
    <row r="179" spans="1:5" ht="45" x14ac:dyDescent="0.25">
      <c r="A179" s="2633"/>
      <c r="B179" s="2588" t="s">
        <v>1756</v>
      </c>
      <c r="C179" s="2591" t="s">
        <v>2202</v>
      </c>
      <c r="D179" s="2589" t="s">
        <v>2203</v>
      </c>
      <c r="E179" s="2590" t="s">
        <v>2204</v>
      </c>
    </row>
    <row r="180" spans="1:5" ht="45" x14ac:dyDescent="0.25">
      <c r="A180" s="2633"/>
      <c r="B180" s="2588" t="s">
        <v>1756</v>
      </c>
      <c r="C180" s="2591" t="s">
        <v>2205</v>
      </c>
      <c r="D180" s="2589" t="s">
        <v>2206</v>
      </c>
      <c r="E180" s="2590" t="s">
        <v>2207</v>
      </c>
    </row>
    <row r="181" spans="1:5" ht="60" x14ac:dyDescent="0.25">
      <c r="A181" s="2626" t="s">
        <v>2208</v>
      </c>
      <c r="B181" s="2580" t="s">
        <v>1756</v>
      </c>
      <c r="C181" s="2580" t="s">
        <v>2209</v>
      </c>
      <c r="D181" s="2578" t="s">
        <v>2210</v>
      </c>
      <c r="E181" s="2579" t="s">
        <v>2211</v>
      </c>
    </row>
    <row r="182" spans="1:5" x14ac:dyDescent="0.25">
      <c r="A182" s="2626"/>
      <c r="B182" s="2580" t="s">
        <v>1756</v>
      </c>
      <c r="C182" s="2580" t="s">
        <v>2212</v>
      </c>
      <c r="D182" s="2578" t="s">
        <v>2213</v>
      </c>
      <c r="E182" s="2579" t="s">
        <v>2214</v>
      </c>
    </row>
    <row r="183" spans="1:5" ht="45" x14ac:dyDescent="0.25">
      <c r="A183" s="2626"/>
      <c r="B183" s="2580" t="s">
        <v>1767</v>
      </c>
      <c r="C183" s="2580" t="s">
        <v>464</v>
      </c>
      <c r="D183" s="2578" t="s">
        <v>2215</v>
      </c>
      <c r="E183" s="2579" t="s">
        <v>2216</v>
      </c>
    </row>
    <row r="184" spans="1:5" ht="30" x14ac:dyDescent="0.25">
      <c r="A184" s="2627" t="s">
        <v>2217</v>
      </c>
      <c r="B184" s="2581" t="s">
        <v>1767</v>
      </c>
      <c r="C184" s="2581" t="s">
        <v>2218</v>
      </c>
      <c r="D184" s="2582" t="s">
        <v>2219</v>
      </c>
      <c r="E184" s="2583" t="s">
        <v>2220</v>
      </c>
    </row>
    <row r="185" spans="1:5" ht="30" x14ac:dyDescent="0.25">
      <c r="A185" s="2627"/>
      <c r="B185" s="2581" t="s">
        <v>2163</v>
      </c>
      <c r="C185" s="2581" t="s">
        <v>1188</v>
      </c>
      <c r="D185" s="2582" t="s">
        <v>2221</v>
      </c>
      <c r="E185" s="2583" t="s">
        <v>1813</v>
      </c>
    </row>
    <row r="186" spans="1:5" x14ac:dyDescent="0.25">
      <c r="A186" s="2627"/>
      <c r="B186" s="2581" t="s">
        <v>1756</v>
      </c>
      <c r="C186" s="2581" t="s">
        <v>12</v>
      </c>
      <c r="D186" s="2582" t="s">
        <v>2222</v>
      </c>
      <c r="E186" s="2583" t="s">
        <v>1813</v>
      </c>
    </row>
    <row r="187" spans="1:5" ht="30" x14ac:dyDescent="0.25">
      <c r="A187" s="2627"/>
      <c r="B187" s="2581" t="s">
        <v>2017</v>
      </c>
      <c r="C187" s="2581" t="s">
        <v>2223</v>
      </c>
      <c r="D187" s="2582" t="s">
        <v>2224</v>
      </c>
      <c r="E187" s="2583" t="s">
        <v>2225</v>
      </c>
    </row>
    <row r="188" spans="1:5" ht="45" x14ac:dyDescent="0.25">
      <c r="A188" s="2627"/>
      <c r="B188" s="2581" t="s">
        <v>2226</v>
      </c>
      <c r="C188" s="2581" t="s">
        <v>2227</v>
      </c>
      <c r="D188" s="2582" t="s">
        <v>2228</v>
      </c>
      <c r="E188" s="2583" t="s">
        <v>1813</v>
      </c>
    </row>
    <row r="189" spans="1:5" ht="45" x14ac:dyDescent="0.25">
      <c r="A189" s="2627"/>
      <c r="B189" s="2581" t="s">
        <v>2229</v>
      </c>
      <c r="C189" s="2581" t="s">
        <v>2230</v>
      </c>
      <c r="D189" s="2582" t="s">
        <v>2231</v>
      </c>
      <c r="E189" s="2583" t="s">
        <v>2232</v>
      </c>
    </row>
    <row r="190" spans="1:5" ht="45" x14ac:dyDescent="0.25">
      <c r="A190" s="2627"/>
      <c r="B190" s="2581" t="s">
        <v>2040</v>
      </c>
      <c r="C190" s="2581" t="s">
        <v>2107</v>
      </c>
      <c r="D190" s="2582" t="s">
        <v>2233</v>
      </c>
      <c r="E190" s="2583" t="s">
        <v>2234</v>
      </c>
    </row>
    <row r="191" spans="1:5" ht="30" x14ac:dyDescent="0.25">
      <c r="A191" s="2634" t="s">
        <v>2235</v>
      </c>
      <c r="B191" s="2553" t="s">
        <v>1802</v>
      </c>
      <c r="C191" s="2553" t="s">
        <v>2236</v>
      </c>
      <c r="D191" s="2555" t="s">
        <v>2237</v>
      </c>
      <c r="E191" s="2556" t="s">
        <v>1896</v>
      </c>
    </row>
    <row r="192" spans="1:5" ht="30" x14ac:dyDescent="0.25">
      <c r="A192" s="2634"/>
      <c r="B192" s="2592" t="s">
        <v>1802</v>
      </c>
      <c r="C192" s="2592" t="s">
        <v>1802</v>
      </c>
      <c r="D192" s="2555" t="s">
        <v>2238</v>
      </c>
      <c r="E192" s="2556" t="s">
        <v>1896</v>
      </c>
    </row>
    <row r="193" spans="1:5" ht="30" x14ac:dyDescent="0.25">
      <c r="A193" s="2634"/>
      <c r="B193" s="2592" t="s">
        <v>1767</v>
      </c>
      <c r="C193" s="2592" t="s">
        <v>1492</v>
      </c>
      <c r="D193" s="2555" t="s">
        <v>2239</v>
      </c>
      <c r="E193" s="2556" t="s">
        <v>2240</v>
      </c>
    </row>
    <row r="194" spans="1:5" ht="45" x14ac:dyDescent="0.25">
      <c r="A194" s="2634"/>
      <c r="B194" s="2592" t="s">
        <v>1767</v>
      </c>
      <c r="C194" s="2592" t="s">
        <v>1532</v>
      </c>
      <c r="D194" s="2555" t="s">
        <v>2241</v>
      </c>
      <c r="E194" s="2556" t="s">
        <v>1896</v>
      </c>
    </row>
    <row r="195" spans="1:5" ht="30" x14ac:dyDescent="0.25">
      <c r="A195" s="2634"/>
      <c r="B195" s="2592" t="s">
        <v>1767</v>
      </c>
      <c r="C195" s="2592" t="s">
        <v>2242</v>
      </c>
      <c r="D195" s="2555" t="s">
        <v>2243</v>
      </c>
      <c r="E195" s="2556" t="s">
        <v>2244</v>
      </c>
    </row>
    <row r="196" spans="1:5" ht="30" x14ac:dyDescent="0.25">
      <c r="A196" s="2634"/>
      <c r="B196" s="2553" t="s">
        <v>2053</v>
      </c>
      <c r="C196" s="2553" t="s">
        <v>2245</v>
      </c>
      <c r="D196" s="2555" t="s">
        <v>2246</v>
      </c>
      <c r="E196" s="2556" t="s">
        <v>2247</v>
      </c>
    </row>
    <row r="197" spans="1:5" ht="45" x14ac:dyDescent="0.25">
      <c r="A197" s="2634"/>
      <c r="B197" s="2553" t="s">
        <v>2248</v>
      </c>
      <c r="C197" s="2553" t="s">
        <v>2249</v>
      </c>
      <c r="D197" s="2555" t="s">
        <v>2250</v>
      </c>
      <c r="E197" s="2556" t="s">
        <v>2251</v>
      </c>
    </row>
    <row r="198" spans="1:5" ht="45" x14ac:dyDescent="0.25">
      <c r="A198" s="2634"/>
      <c r="B198" s="2553" t="s">
        <v>2252</v>
      </c>
      <c r="C198" s="2553" t="s">
        <v>2253</v>
      </c>
      <c r="D198" s="2555" t="s">
        <v>2254</v>
      </c>
      <c r="E198" s="2556" t="s">
        <v>2255</v>
      </c>
    </row>
    <row r="199" spans="1:5" ht="30" x14ac:dyDescent="0.25">
      <c r="A199" s="2634"/>
      <c r="B199" s="2553" t="s">
        <v>1945</v>
      </c>
      <c r="C199" s="2553" t="s">
        <v>2253</v>
      </c>
      <c r="D199" s="2555" t="s">
        <v>2256</v>
      </c>
      <c r="E199" s="2556" t="s">
        <v>2257</v>
      </c>
    </row>
    <row r="200" spans="1:5" ht="60" x14ac:dyDescent="0.25">
      <c r="A200" s="2634"/>
      <c r="B200" s="2553" t="s">
        <v>1945</v>
      </c>
      <c r="C200" s="2553" t="s">
        <v>1577</v>
      </c>
      <c r="D200" s="2555" t="s">
        <v>2258</v>
      </c>
      <c r="E200" s="2556" t="s">
        <v>2259</v>
      </c>
    </row>
    <row r="201" spans="1:5" ht="45" x14ac:dyDescent="0.25">
      <c r="A201" s="2635" t="s">
        <v>2260</v>
      </c>
      <c r="B201" s="2593" t="s">
        <v>1969</v>
      </c>
      <c r="C201" s="2594" t="s">
        <v>444</v>
      </c>
      <c r="D201" s="2595" t="s">
        <v>2261</v>
      </c>
      <c r="E201" s="2596" t="s">
        <v>1896</v>
      </c>
    </row>
    <row r="202" spans="1:5" ht="45" x14ac:dyDescent="0.25">
      <c r="A202" s="2635"/>
      <c r="B202" s="2593" t="s">
        <v>2262</v>
      </c>
      <c r="C202" s="2594" t="s">
        <v>444</v>
      </c>
      <c r="D202" s="2595" t="s">
        <v>2263</v>
      </c>
      <c r="E202" s="2596" t="s">
        <v>1896</v>
      </c>
    </row>
    <row r="203" spans="1:5" ht="30" x14ac:dyDescent="0.25">
      <c r="A203" s="2635"/>
      <c r="B203" s="2593" t="s">
        <v>1767</v>
      </c>
      <c r="C203" s="2593" t="s">
        <v>2264</v>
      </c>
      <c r="D203" s="2595" t="s">
        <v>2265</v>
      </c>
      <c r="E203" s="2596" t="s">
        <v>2266</v>
      </c>
    </row>
    <row r="204" spans="1:5" ht="45" x14ac:dyDescent="0.25">
      <c r="A204" s="2635"/>
      <c r="B204" s="2593" t="s">
        <v>1767</v>
      </c>
      <c r="C204" s="2593" t="s">
        <v>45</v>
      </c>
      <c r="D204" s="2595" t="s">
        <v>2267</v>
      </c>
      <c r="E204" s="2596" t="s">
        <v>2268</v>
      </c>
    </row>
    <row r="205" spans="1:5" ht="30" x14ac:dyDescent="0.25">
      <c r="A205" s="2635"/>
      <c r="B205" s="2593" t="s">
        <v>1767</v>
      </c>
      <c r="C205" s="2593" t="s">
        <v>2269</v>
      </c>
      <c r="D205" s="2595" t="s">
        <v>2270</v>
      </c>
      <c r="E205" s="2596" t="s">
        <v>2271</v>
      </c>
    </row>
    <row r="206" spans="1:5" ht="30" x14ac:dyDescent="0.25">
      <c r="A206" s="2636" t="s">
        <v>2272</v>
      </c>
      <c r="B206" s="2597" t="s">
        <v>1767</v>
      </c>
      <c r="C206" s="2597" t="s">
        <v>2273</v>
      </c>
      <c r="D206" s="2598" t="s">
        <v>2274</v>
      </c>
      <c r="E206" s="2599" t="s">
        <v>2275</v>
      </c>
    </row>
    <row r="207" spans="1:5" ht="30" x14ac:dyDescent="0.25">
      <c r="A207" s="2636"/>
      <c r="B207" s="2597" t="s">
        <v>1767</v>
      </c>
      <c r="C207" s="2597" t="s">
        <v>1508</v>
      </c>
      <c r="D207" s="2598" t="s">
        <v>2276</v>
      </c>
      <c r="E207" s="2599" t="s">
        <v>2277</v>
      </c>
    </row>
    <row r="208" spans="1:5" ht="75" x14ac:dyDescent="0.25">
      <c r="A208" s="2636"/>
      <c r="B208" s="2597" t="s">
        <v>2278</v>
      </c>
      <c r="C208" s="2597" t="s">
        <v>2279</v>
      </c>
      <c r="D208" s="2598" t="s">
        <v>2280</v>
      </c>
      <c r="E208" s="2599" t="s">
        <v>2281</v>
      </c>
    </row>
    <row r="209" spans="1:5" ht="30" x14ac:dyDescent="0.25">
      <c r="A209" s="2637" t="s">
        <v>2282</v>
      </c>
      <c r="B209" s="2601" t="s">
        <v>1767</v>
      </c>
      <c r="C209" s="2601" t="s">
        <v>1211</v>
      </c>
      <c r="D209" s="2602" t="s">
        <v>2283</v>
      </c>
      <c r="E209" s="2603" t="s">
        <v>2284</v>
      </c>
    </row>
    <row r="210" spans="1:5" ht="60" x14ac:dyDescent="0.25">
      <c r="A210" s="2637"/>
      <c r="B210" s="2601" t="s">
        <v>2085</v>
      </c>
      <c r="C210" s="2601" t="s">
        <v>1764</v>
      </c>
      <c r="D210" s="2602" t="s">
        <v>2285</v>
      </c>
      <c r="E210" s="2603" t="s">
        <v>2286</v>
      </c>
    </row>
    <row r="211" spans="1:5" ht="75" x14ac:dyDescent="0.25">
      <c r="A211" s="2637"/>
      <c r="B211" s="2601" t="s">
        <v>2053</v>
      </c>
      <c r="C211" s="2601" t="s">
        <v>1764</v>
      </c>
      <c r="D211" s="2602" t="s">
        <v>2287</v>
      </c>
      <c r="E211" s="2603" t="s">
        <v>2288</v>
      </c>
    </row>
    <row r="212" spans="1:5" ht="75" x14ac:dyDescent="0.25">
      <c r="A212" s="2637"/>
      <c r="B212" s="2601" t="s">
        <v>2289</v>
      </c>
      <c r="C212" s="2601" t="s">
        <v>1764</v>
      </c>
      <c r="D212" s="2602" t="s">
        <v>2290</v>
      </c>
      <c r="E212" s="2603" t="s">
        <v>2291</v>
      </c>
    </row>
    <row r="213" spans="1:5" ht="45" x14ac:dyDescent="0.25">
      <c r="A213" s="2637"/>
      <c r="B213" s="2601" t="s">
        <v>2085</v>
      </c>
      <c r="C213" s="2601" t="s">
        <v>1577</v>
      </c>
      <c r="D213" s="2602" t="s">
        <v>2292</v>
      </c>
      <c r="E213" s="2603" t="s">
        <v>2293</v>
      </c>
    </row>
    <row r="214" spans="1:5" ht="45" x14ac:dyDescent="0.25">
      <c r="A214" s="2637"/>
      <c r="B214" s="2601" t="s">
        <v>2289</v>
      </c>
      <c r="C214" s="2601" t="s">
        <v>1577</v>
      </c>
      <c r="D214" s="2602" t="s">
        <v>2294</v>
      </c>
      <c r="E214" s="2603" t="s">
        <v>2295</v>
      </c>
    </row>
    <row r="215" spans="1:5" x14ac:dyDescent="0.25">
      <c r="A215" s="2638" t="s">
        <v>2296</v>
      </c>
      <c r="B215" s="2604" t="s">
        <v>2252</v>
      </c>
      <c r="C215" s="2604" t="s">
        <v>2297</v>
      </c>
      <c r="D215" s="2605" t="s">
        <v>2298</v>
      </c>
      <c r="E215" s="2606" t="s">
        <v>2299</v>
      </c>
    </row>
    <row r="216" spans="1:5" ht="60" x14ac:dyDescent="0.25">
      <c r="A216" s="2638"/>
      <c r="B216" s="2604" t="s">
        <v>2300</v>
      </c>
      <c r="C216" s="2604" t="s">
        <v>2301</v>
      </c>
      <c r="D216" s="2605" t="s">
        <v>2302</v>
      </c>
      <c r="E216" s="2606" t="s">
        <v>2303</v>
      </c>
    </row>
    <row r="217" spans="1:5" ht="30" x14ac:dyDescent="0.25">
      <c r="A217" s="2638"/>
      <c r="B217" s="2604" t="s">
        <v>1767</v>
      </c>
      <c r="C217" s="2604" t="s">
        <v>1163</v>
      </c>
      <c r="D217" s="2605" t="s">
        <v>2304</v>
      </c>
      <c r="E217" s="2606" t="s">
        <v>2305</v>
      </c>
    </row>
    <row r="218" spans="1:5" ht="30" x14ac:dyDescent="0.25">
      <c r="A218" s="2638"/>
      <c r="B218" s="2604" t="s">
        <v>2306</v>
      </c>
      <c r="C218" s="2604" t="s">
        <v>1163</v>
      </c>
      <c r="D218" s="2605" t="s">
        <v>2307</v>
      </c>
      <c r="E218" s="2606" t="s">
        <v>2308</v>
      </c>
    </row>
    <row r="219" spans="1:5" ht="30" x14ac:dyDescent="0.25">
      <c r="A219" s="2626" t="s">
        <v>2309</v>
      </c>
      <c r="B219" s="2580" t="s">
        <v>2310</v>
      </c>
      <c r="C219" s="2577" t="s">
        <v>444</v>
      </c>
      <c r="D219" s="2578" t="s">
        <v>2311</v>
      </c>
      <c r="E219" s="2579" t="s">
        <v>1896</v>
      </c>
    </row>
    <row r="220" spans="1:5" x14ac:dyDescent="0.25">
      <c r="A220" s="2626"/>
      <c r="B220" s="2580" t="s">
        <v>2229</v>
      </c>
      <c r="C220" s="2577" t="s">
        <v>444</v>
      </c>
      <c r="D220" s="2578" t="s">
        <v>2312</v>
      </c>
      <c r="E220" s="2579" t="s">
        <v>1896</v>
      </c>
    </row>
    <row r="221" spans="1:5" x14ac:dyDescent="0.25">
      <c r="A221" s="2626"/>
      <c r="B221" s="2580" t="s">
        <v>2306</v>
      </c>
      <c r="C221" s="2577" t="s">
        <v>444</v>
      </c>
      <c r="D221" s="2578" t="s">
        <v>2313</v>
      </c>
      <c r="E221" s="2579" t="s">
        <v>1896</v>
      </c>
    </row>
    <row r="222" spans="1:5" x14ac:dyDescent="0.25">
      <c r="A222" s="2626"/>
      <c r="B222" s="2580" t="s">
        <v>2170</v>
      </c>
      <c r="C222" s="2580" t="s">
        <v>2314</v>
      </c>
      <c r="D222" s="2578" t="s">
        <v>2315</v>
      </c>
      <c r="E222" s="2579" t="s">
        <v>1896</v>
      </c>
    </row>
    <row r="223" spans="1:5" ht="30" x14ac:dyDescent="0.25">
      <c r="A223" s="2626"/>
      <c r="B223" s="2580" t="s">
        <v>1756</v>
      </c>
      <c r="C223" s="2577" t="s">
        <v>444</v>
      </c>
      <c r="D223" s="2578" t="s">
        <v>2316</v>
      </c>
      <c r="E223" s="2579" t="s">
        <v>1896</v>
      </c>
    </row>
    <row r="224" spans="1:5" ht="75" x14ac:dyDescent="0.25">
      <c r="A224" s="2626"/>
      <c r="B224" s="2580" t="s">
        <v>1767</v>
      </c>
      <c r="C224" s="2580" t="s">
        <v>2317</v>
      </c>
      <c r="D224" s="2607" t="s">
        <v>2318</v>
      </c>
      <c r="E224" s="2579" t="s">
        <v>2319</v>
      </c>
    </row>
    <row r="225" spans="1:5" x14ac:dyDescent="0.25">
      <c r="A225" s="2627" t="s">
        <v>2320</v>
      </c>
      <c r="B225" s="2608" t="s">
        <v>1767</v>
      </c>
      <c r="C225" s="2581" t="s">
        <v>1164</v>
      </c>
      <c r="D225" s="2582" t="s">
        <v>2321</v>
      </c>
      <c r="E225" s="2583" t="s">
        <v>2322</v>
      </c>
    </row>
    <row r="226" spans="1:5" ht="30" x14ac:dyDescent="0.25">
      <c r="A226" s="2627"/>
      <c r="B226" s="2608" t="s">
        <v>2306</v>
      </c>
      <c r="C226" s="2581" t="s">
        <v>2323</v>
      </c>
      <c r="D226" s="2582" t="s">
        <v>2324</v>
      </c>
      <c r="E226" s="2583" t="s">
        <v>1813</v>
      </c>
    </row>
    <row r="227" spans="1:5" ht="45" x14ac:dyDescent="0.25">
      <c r="A227" s="2627"/>
      <c r="B227" s="2608" t="s">
        <v>2306</v>
      </c>
      <c r="C227" s="2581" t="s">
        <v>2323</v>
      </c>
      <c r="D227" s="2582" t="s">
        <v>2325</v>
      </c>
      <c r="E227" s="2583" t="s">
        <v>2326</v>
      </c>
    </row>
    <row r="228" spans="1:5" ht="30" x14ac:dyDescent="0.25">
      <c r="A228" s="2627"/>
      <c r="B228" s="2608" t="s">
        <v>2306</v>
      </c>
      <c r="C228" s="2581" t="s">
        <v>2327</v>
      </c>
      <c r="D228" s="2582" t="s">
        <v>2328</v>
      </c>
      <c r="E228" s="2583" t="s">
        <v>2329</v>
      </c>
    </row>
    <row r="229" spans="1:5" ht="30" x14ac:dyDescent="0.25">
      <c r="A229" s="2627"/>
      <c r="B229" s="2608" t="s">
        <v>1767</v>
      </c>
      <c r="C229" s="2581" t="s">
        <v>1188</v>
      </c>
      <c r="D229" s="2582" t="s">
        <v>2330</v>
      </c>
      <c r="E229" s="2583" t="s">
        <v>2331</v>
      </c>
    </row>
    <row r="230" spans="1:5" ht="45" x14ac:dyDescent="0.25">
      <c r="A230" s="2636" t="s">
        <v>2332</v>
      </c>
      <c r="B230" s="2609" t="s">
        <v>2085</v>
      </c>
      <c r="C230" s="2597" t="s">
        <v>1045</v>
      </c>
      <c r="D230" s="2598" t="s">
        <v>2333</v>
      </c>
      <c r="E230" s="2599" t="s">
        <v>2334</v>
      </c>
    </row>
    <row r="231" spans="1:5" ht="45" x14ac:dyDescent="0.25">
      <c r="A231" s="2636"/>
      <c r="B231" s="2609" t="s">
        <v>1945</v>
      </c>
      <c r="C231" s="2597" t="s">
        <v>1045</v>
      </c>
      <c r="D231" s="2598" t="s">
        <v>2335</v>
      </c>
      <c r="E231" s="2599" t="s">
        <v>2336</v>
      </c>
    </row>
    <row r="232" spans="1:5" x14ac:dyDescent="0.25">
      <c r="A232" s="2600" t="s">
        <v>2337</v>
      </c>
      <c r="B232" s="2610" t="s">
        <v>1756</v>
      </c>
      <c r="C232" s="2601" t="s">
        <v>1516</v>
      </c>
      <c r="D232" s="2602" t="s">
        <v>2338</v>
      </c>
      <c r="E232" s="2603"/>
    </row>
    <row r="234" spans="1:5" x14ac:dyDescent="0.25">
      <c r="B234" s="2539"/>
      <c r="C234" s="2539"/>
    </row>
    <row r="235" spans="1:5" x14ac:dyDescent="0.25">
      <c r="B235" s="2539"/>
      <c r="C235" s="2539"/>
    </row>
    <row r="236" spans="1:5" x14ac:dyDescent="0.25">
      <c r="B236" s="2539"/>
      <c r="C236" s="2539"/>
    </row>
    <row r="237" spans="1:5" x14ac:dyDescent="0.25">
      <c r="B237" s="2539"/>
      <c r="C237" s="2539"/>
    </row>
    <row r="238" spans="1:5" x14ac:dyDescent="0.25">
      <c r="B238" s="2539"/>
      <c r="C238" s="2539"/>
    </row>
    <row r="239" spans="1:5" x14ac:dyDescent="0.25">
      <c r="B239" s="2539"/>
      <c r="C239" s="2539"/>
    </row>
    <row r="240" spans="1:5" x14ac:dyDescent="0.25">
      <c r="B240" s="2539"/>
      <c r="C240" s="2539"/>
    </row>
    <row r="241" spans="2:3" x14ac:dyDescent="0.25">
      <c r="B241" s="2539"/>
      <c r="C241" s="2539"/>
    </row>
    <row r="242" spans="2:3" x14ac:dyDescent="0.25">
      <c r="B242" s="2539"/>
      <c r="C242" s="2539"/>
    </row>
    <row r="243" spans="2:3" x14ac:dyDescent="0.25">
      <c r="B243" s="2539"/>
      <c r="C243" s="2539"/>
    </row>
    <row r="244" spans="2:3" x14ac:dyDescent="0.25">
      <c r="B244" s="2539"/>
      <c r="C244" s="2539"/>
    </row>
    <row r="262" spans="2:5" x14ac:dyDescent="0.25">
      <c r="B262" s="2538"/>
      <c r="C262" s="2539"/>
      <c r="D262" s="2539"/>
      <c r="E262" s="2539"/>
    </row>
    <row r="263" spans="2:5" x14ac:dyDescent="0.25">
      <c r="B263" s="2538"/>
      <c r="C263" s="2539"/>
      <c r="D263" s="2539"/>
      <c r="E263" s="2539"/>
    </row>
    <row r="264" spans="2:5" x14ac:dyDescent="0.25">
      <c r="B264" s="2538"/>
      <c r="C264" s="2539"/>
      <c r="D264" s="2539"/>
      <c r="E264" s="2539"/>
    </row>
    <row r="265" spans="2:5" x14ac:dyDescent="0.25">
      <c r="B265" s="2538"/>
      <c r="C265" s="2539"/>
      <c r="D265" s="2539"/>
      <c r="E265" s="2539"/>
    </row>
    <row r="266" spans="2:5" x14ac:dyDescent="0.25">
      <c r="B266" s="2538"/>
      <c r="C266" s="2539"/>
      <c r="D266" s="2539"/>
      <c r="E266" s="2539"/>
    </row>
    <row r="267" spans="2:5" x14ac:dyDescent="0.25">
      <c r="B267" s="2538"/>
      <c r="C267" s="2539"/>
      <c r="D267" s="2539"/>
      <c r="E267" s="2539"/>
    </row>
    <row r="268" spans="2:5" x14ac:dyDescent="0.25">
      <c r="B268" s="2538"/>
      <c r="C268" s="2539"/>
      <c r="D268" s="2539"/>
      <c r="E268" s="2539"/>
    </row>
    <row r="269" spans="2:5" x14ac:dyDescent="0.25">
      <c r="B269" s="2538"/>
      <c r="C269" s="2539"/>
      <c r="D269" s="2539"/>
      <c r="E269" s="2539"/>
    </row>
    <row r="270" spans="2:5" x14ac:dyDescent="0.25">
      <c r="B270" s="2538"/>
      <c r="C270" s="2539"/>
      <c r="D270" s="2539"/>
      <c r="E270" s="2539"/>
    </row>
    <row r="271" spans="2:5" x14ac:dyDescent="0.25">
      <c r="B271" s="2538"/>
      <c r="C271" s="2539"/>
      <c r="D271" s="2539"/>
      <c r="E271" s="2539"/>
    </row>
    <row r="272" spans="2:5" x14ac:dyDescent="0.25">
      <c r="B272" s="2538"/>
      <c r="C272" s="2539"/>
      <c r="D272" s="2539"/>
      <c r="E272" s="2539"/>
    </row>
    <row r="273" spans="2:5" x14ac:dyDescent="0.25">
      <c r="B273" s="2538"/>
      <c r="C273" s="2539"/>
      <c r="D273" s="2539"/>
      <c r="E273" s="2539"/>
    </row>
    <row r="274" spans="2:5" x14ac:dyDescent="0.25">
      <c r="B274" s="2538"/>
      <c r="C274" s="2539"/>
      <c r="D274" s="2539"/>
      <c r="E274" s="2539"/>
    </row>
    <row r="275" spans="2:5" x14ac:dyDescent="0.25">
      <c r="B275" s="2538"/>
      <c r="C275" s="2539"/>
      <c r="D275" s="2539"/>
      <c r="E275" s="2539"/>
    </row>
    <row r="276" spans="2:5" x14ac:dyDescent="0.25">
      <c r="B276" s="2538"/>
      <c r="C276" s="2539"/>
      <c r="D276" s="2539"/>
      <c r="E276" s="2539"/>
    </row>
    <row r="277" spans="2:5" x14ac:dyDescent="0.25">
      <c r="B277" s="2538"/>
      <c r="C277" s="2539"/>
      <c r="D277" s="2539"/>
      <c r="E277" s="2539"/>
    </row>
    <row r="278" spans="2:5" x14ac:dyDescent="0.25">
      <c r="B278" s="2538"/>
      <c r="C278" s="2539"/>
      <c r="D278" s="2539"/>
      <c r="E278" s="2539"/>
    </row>
    <row r="279" spans="2:5" x14ac:dyDescent="0.25">
      <c r="B279" s="2538"/>
      <c r="C279" s="2539"/>
      <c r="D279" s="2539"/>
      <c r="E279" s="2539"/>
    </row>
    <row r="280" spans="2:5" x14ac:dyDescent="0.25">
      <c r="B280" s="2538"/>
      <c r="C280" s="2539"/>
      <c r="D280" s="2539"/>
      <c r="E280" s="2539"/>
    </row>
    <row r="281" spans="2:5" x14ac:dyDescent="0.25">
      <c r="B281" s="2538"/>
      <c r="C281" s="2539"/>
      <c r="D281" s="2539"/>
      <c r="E281" s="2539"/>
    </row>
    <row r="282" spans="2:5" x14ac:dyDescent="0.25">
      <c r="B282" s="2538"/>
      <c r="C282" s="2539"/>
      <c r="D282" s="2539"/>
      <c r="E282" s="2539"/>
    </row>
    <row r="283" spans="2:5" x14ac:dyDescent="0.25">
      <c r="B283" s="2538"/>
      <c r="C283" s="2539"/>
      <c r="D283" s="2539"/>
      <c r="E283" s="2539"/>
    </row>
    <row r="284" spans="2:5" x14ac:dyDescent="0.25">
      <c r="B284" s="2538"/>
      <c r="C284" s="2539"/>
      <c r="D284" s="2539"/>
      <c r="E284" s="2539"/>
    </row>
    <row r="285" spans="2:5" x14ac:dyDescent="0.25">
      <c r="B285" s="2538"/>
      <c r="C285" s="2539"/>
      <c r="D285" s="2539"/>
      <c r="E285" s="2539"/>
    </row>
    <row r="286" spans="2:5" x14ac:dyDescent="0.25">
      <c r="B286" s="2538"/>
      <c r="C286" s="2539"/>
      <c r="D286" s="2539"/>
      <c r="E286" s="2539"/>
    </row>
    <row r="287" spans="2:5" x14ac:dyDescent="0.25">
      <c r="B287" s="2538"/>
      <c r="C287" s="2539"/>
      <c r="D287" s="2539"/>
      <c r="E287" s="2539"/>
    </row>
    <row r="288" spans="2:5" x14ac:dyDescent="0.25">
      <c r="B288" s="2538"/>
      <c r="C288" s="2539"/>
      <c r="D288" s="2539"/>
      <c r="E288" s="2539"/>
    </row>
    <row r="289" spans="2:5" x14ac:dyDescent="0.25">
      <c r="B289" s="2538"/>
      <c r="C289" s="2539"/>
      <c r="D289" s="2539"/>
      <c r="E289" s="2539"/>
    </row>
    <row r="290" spans="2:5" x14ac:dyDescent="0.25">
      <c r="B290" s="2538"/>
      <c r="C290" s="2539"/>
      <c r="D290" s="2539"/>
      <c r="E290" s="2539"/>
    </row>
    <row r="291" spans="2:5" x14ac:dyDescent="0.25">
      <c r="B291" s="2538"/>
      <c r="C291" s="2539"/>
      <c r="D291" s="2539"/>
      <c r="E291" s="2539"/>
    </row>
    <row r="292" spans="2:5" x14ac:dyDescent="0.25">
      <c r="B292" s="2538"/>
      <c r="C292" s="2539"/>
      <c r="D292" s="2539"/>
      <c r="E292" s="2539"/>
    </row>
    <row r="293" spans="2:5" x14ac:dyDescent="0.25">
      <c r="B293" s="2538"/>
      <c r="C293" s="2539"/>
      <c r="D293" s="2539"/>
      <c r="E293" s="2539"/>
    </row>
    <row r="294" spans="2:5" x14ac:dyDescent="0.25">
      <c r="B294" s="2538"/>
      <c r="C294" s="2539"/>
      <c r="D294" s="2539"/>
      <c r="E294" s="2539"/>
    </row>
    <row r="295" spans="2:5" x14ac:dyDescent="0.25">
      <c r="B295" s="2538"/>
      <c r="C295" s="2539"/>
      <c r="D295" s="2539"/>
      <c r="E295" s="2539"/>
    </row>
    <row r="296" spans="2:5" x14ac:dyDescent="0.25">
      <c r="B296" s="2538"/>
      <c r="C296" s="2539"/>
      <c r="D296" s="2539"/>
      <c r="E296" s="2539"/>
    </row>
    <row r="297" spans="2:5" x14ac:dyDescent="0.25">
      <c r="B297" s="2538"/>
      <c r="C297" s="2539"/>
      <c r="D297" s="2539"/>
      <c r="E297" s="2539"/>
    </row>
    <row r="298" spans="2:5" x14ac:dyDescent="0.25">
      <c r="B298" s="2538"/>
      <c r="C298" s="2539"/>
      <c r="D298" s="2539"/>
      <c r="E298" s="2539"/>
    </row>
    <row r="299" spans="2:5" x14ac:dyDescent="0.25">
      <c r="B299" s="2538"/>
      <c r="C299" s="2539"/>
      <c r="D299" s="2539"/>
      <c r="E299" s="2539"/>
    </row>
    <row r="300" spans="2:5" x14ac:dyDescent="0.25">
      <c r="B300" s="2538"/>
      <c r="C300" s="2539"/>
      <c r="D300" s="2539"/>
      <c r="E300" s="2539"/>
    </row>
    <row r="301" spans="2:5" x14ac:dyDescent="0.25">
      <c r="B301" s="2538"/>
      <c r="C301" s="2539"/>
      <c r="D301" s="2539"/>
      <c r="E301" s="2539"/>
    </row>
    <row r="302" spans="2:5" x14ac:dyDescent="0.25">
      <c r="B302" s="2538"/>
      <c r="C302" s="2539"/>
      <c r="D302" s="2539"/>
      <c r="E302" s="2539"/>
    </row>
    <row r="303" spans="2:5" x14ac:dyDescent="0.25">
      <c r="B303" s="2538"/>
      <c r="C303" s="2539"/>
      <c r="D303" s="2539"/>
      <c r="E303" s="2539"/>
    </row>
    <row r="304" spans="2:5" x14ac:dyDescent="0.25">
      <c r="B304" s="2538"/>
      <c r="C304" s="2539"/>
      <c r="D304" s="2539"/>
      <c r="E304" s="2539"/>
    </row>
    <row r="305" spans="2:5" x14ac:dyDescent="0.25">
      <c r="B305" s="2538"/>
      <c r="C305" s="2539"/>
      <c r="D305" s="2539"/>
      <c r="E305" s="2539"/>
    </row>
    <row r="306" spans="2:5" x14ac:dyDescent="0.25">
      <c r="B306" s="2538"/>
      <c r="C306" s="2539"/>
      <c r="D306" s="2539"/>
      <c r="E306" s="2539"/>
    </row>
    <row r="307" spans="2:5" x14ac:dyDescent="0.25">
      <c r="B307" s="2538"/>
      <c r="C307" s="2539"/>
      <c r="D307" s="2539"/>
      <c r="E307" s="2539"/>
    </row>
    <row r="308" spans="2:5" x14ac:dyDescent="0.25">
      <c r="B308" s="2538"/>
      <c r="C308" s="2539"/>
      <c r="D308" s="2539"/>
      <c r="E308" s="2539"/>
    </row>
    <row r="309" spans="2:5" x14ac:dyDescent="0.25">
      <c r="B309" s="2538"/>
      <c r="C309" s="2539"/>
      <c r="D309" s="2539"/>
      <c r="E309" s="2539"/>
    </row>
    <row r="310" spans="2:5" x14ac:dyDescent="0.25">
      <c r="B310" s="2538"/>
      <c r="C310" s="2539"/>
      <c r="D310" s="2539"/>
      <c r="E310" s="2539"/>
    </row>
    <row r="315" spans="2:5" x14ac:dyDescent="0.25">
      <c r="D315" s="2539"/>
    </row>
    <row r="316" spans="2:5" x14ac:dyDescent="0.25">
      <c r="D316" s="2539"/>
    </row>
    <row r="317" spans="2:5" x14ac:dyDescent="0.25">
      <c r="B317" s="2539"/>
      <c r="C317" s="2539"/>
      <c r="D317" s="2539"/>
      <c r="E317" s="2539"/>
    </row>
    <row r="318" spans="2:5" x14ac:dyDescent="0.25">
      <c r="B318" s="2539"/>
      <c r="C318" s="2539"/>
      <c r="D318" s="2539"/>
      <c r="E318" s="2539"/>
    </row>
    <row r="319" spans="2:5" x14ac:dyDescent="0.25">
      <c r="B319" s="2539"/>
      <c r="C319" s="2539"/>
      <c r="D319" s="2539"/>
      <c r="E319" s="2539"/>
    </row>
    <row r="320" spans="2:5" x14ac:dyDescent="0.25">
      <c r="B320" s="2539"/>
      <c r="C320" s="2539"/>
      <c r="D320" s="2539"/>
      <c r="E320" s="2539"/>
    </row>
    <row r="321" spans="2:5" x14ac:dyDescent="0.25">
      <c r="B321" s="2539"/>
      <c r="C321" s="2539"/>
      <c r="D321" s="2539"/>
      <c r="E321" s="2539"/>
    </row>
    <row r="322" spans="2:5" x14ac:dyDescent="0.25">
      <c r="B322" s="2539"/>
      <c r="C322" s="2539"/>
      <c r="D322" s="2539"/>
      <c r="E322" s="2539"/>
    </row>
    <row r="323" spans="2:5" x14ac:dyDescent="0.25">
      <c r="B323" s="2539"/>
      <c r="C323" s="2539"/>
      <c r="D323" s="2539"/>
      <c r="E323" s="2539"/>
    </row>
  </sheetData>
  <mergeCells count="23">
    <mergeCell ref="A219:A224"/>
    <mergeCell ref="A225:A229"/>
    <mergeCell ref="A230:A231"/>
    <mergeCell ref="A191:A200"/>
    <mergeCell ref="A201:A205"/>
    <mergeCell ref="A206:A208"/>
    <mergeCell ref="A209:A214"/>
    <mergeCell ref="A215:A218"/>
    <mergeCell ref="A135:A160"/>
    <mergeCell ref="E143:E144"/>
    <mergeCell ref="A161:A180"/>
    <mergeCell ref="A181:A183"/>
    <mergeCell ref="A184:A190"/>
    <mergeCell ref="A76:A84"/>
    <mergeCell ref="A85:A98"/>
    <mergeCell ref="A99:A117"/>
    <mergeCell ref="A118:A126"/>
    <mergeCell ref="A127:A134"/>
    <mergeCell ref="E16:E17"/>
    <mergeCell ref="A20:A39"/>
    <mergeCell ref="A40:A59"/>
    <mergeCell ref="E48:E49"/>
    <mergeCell ref="A60:A7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9F"/>
  </sheetPr>
  <dimension ref="A1:K316"/>
  <sheetViews>
    <sheetView zoomScaleNormal="100" workbookViewId="0">
      <pane xSplit="2" ySplit="2" topLeftCell="C256" activePane="bottomRight" state="frozen"/>
      <selection activeCell="B1" sqref="B1"/>
      <selection pane="topRight" activeCell="C1" sqref="C1"/>
      <selection pane="bottomLeft" activeCell="B3" sqref="B3"/>
      <selection pane="bottomRight" activeCell="C267" sqref="C267"/>
    </sheetView>
  </sheetViews>
  <sheetFormatPr defaultColWidth="8.85546875" defaultRowHeight="15" x14ac:dyDescent="0.25"/>
  <cols>
    <col min="1" max="1" width="5.42578125" style="882" customWidth="1"/>
    <col min="2" max="2" width="34.85546875" style="130" customWidth="1"/>
    <col min="3" max="3" width="11.7109375" style="124" customWidth="1"/>
    <col min="4" max="4" width="11.28515625" style="124" customWidth="1"/>
    <col min="5" max="5" width="10.42578125" style="349" customWidth="1"/>
    <col min="6" max="8" width="13.7109375" style="124" customWidth="1"/>
    <col min="9" max="9" width="13.7109375" style="130" customWidth="1"/>
    <col min="10" max="10" width="4.7109375" style="130" customWidth="1"/>
    <col min="11" max="11" width="13.5703125" style="11" customWidth="1"/>
    <col min="12" max="16384" width="8.85546875" style="130"/>
  </cols>
  <sheetData>
    <row r="1" spans="1:11" ht="15.75" thickBot="1" x14ac:dyDescent="0.3">
      <c r="B1" s="359" t="s">
        <v>1693</v>
      </c>
      <c r="D1" s="1846"/>
      <c r="E1" s="1851" t="s">
        <v>651</v>
      </c>
    </row>
    <row r="2" spans="1:11" s="32" customFormat="1" ht="75" thickTop="1" thickBot="1" x14ac:dyDescent="0.3">
      <c r="A2" s="1709" t="s">
        <v>445</v>
      </c>
      <c r="B2" s="1747" t="s">
        <v>0</v>
      </c>
      <c r="C2" s="1738" t="s">
        <v>240</v>
      </c>
      <c r="D2" s="1738" t="s">
        <v>274</v>
      </c>
      <c r="E2" s="1748" t="s">
        <v>271</v>
      </c>
      <c r="F2" s="1727" t="s">
        <v>272</v>
      </c>
      <c r="G2" s="1727" t="s">
        <v>293</v>
      </c>
      <c r="H2" s="1727" t="s">
        <v>294</v>
      </c>
      <c r="I2" s="1743" t="s">
        <v>273</v>
      </c>
      <c r="K2" s="1724" t="s">
        <v>465</v>
      </c>
    </row>
    <row r="3" spans="1:11" ht="13.9" customHeight="1" thickTop="1" x14ac:dyDescent="0.25">
      <c r="A3" s="907">
        <f>Chem!A3</f>
        <v>1</v>
      </c>
      <c r="B3" s="849" t="str">
        <f>Chem!B3</f>
        <v>PCBs</v>
      </c>
      <c r="C3" s="125"/>
      <c r="D3" s="125"/>
      <c r="E3" s="350"/>
      <c r="F3" s="125"/>
      <c r="G3" s="125"/>
      <c r="H3" s="125"/>
      <c r="I3" s="126"/>
      <c r="K3" s="1061"/>
    </row>
    <row r="4" spans="1:11" ht="13.9" customHeight="1" x14ac:dyDescent="0.25">
      <c r="A4" s="842">
        <f>Chem!A4</f>
        <v>2</v>
      </c>
      <c r="B4" s="883" t="str">
        <f>Chem!B4</f>
        <v>Total PCB Aroclors</v>
      </c>
      <c r="C4" s="552" t="str">
        <f>Param!O4</f>
        <v>na</v>
      </c>
      <c r="D4" s="552">
        <f>Param!V4</f>
        <v>2</v>
      </c>
      <c r="E4" s="670">
        <f>Param!AD4</f>
        <v>1</v>
      </c>
      <c r="F4" s="684" t="str">
        <f>IF(C4="na","na",C4*Eqtn!$D$111/E4)</f>
        <v>na</v>
      </c>
      <c r="G4" s="684">
        <f>IF(D4="na","na",Eqtn!$D$132/(D4*E4))</f>
        <v>0.5</v>
      </c>
      <c r="H4" s="694" t="str">
        <f>IF(C4="na","na",C4*Eqtn!$D$153/E4)</f>
        <v>na</v>
      </c>
      <c r="I4" s="132">
        <f>IF(D4="na","na",Eqtn!$D$174/(D4*E4))</f>
        <v>65.625000000000014</v>
      </c>
      <c r="K4" s="1062"/>
    </row>
    <row r="5" spans="1:11" ht="13.9" customHeight="1" x14ac:dyDescent="0.25">
      <c r="A5" s="842">
        <f>Chem!A5</f>
        <v>3</v>
      </c>
      <c r="B5" s="851" t="str">
        <f>Chem!B5</f>
        <v>Total PCB congeners</v>
      </c>
      <c r="C5" s="552" t="str">
        <f>Param!O5</f>
        <v>na</v>
      </c>
      <c r="D5" s="552">
        <f>Param!V5</f>
        <v>2</v>
      </c>
      <c r="E5" s="670">
        <f>Param!AD5</f>
        <v>1</v>
      </c>
      <c r="F5" s="684" t="str">
        <f>IF(C5="na","na",C5*Eqtn!$D$111/E5)</f>
        <v>na</v>
      </c>
      <c r="G5" s="684">
        <f>IF(D5="na","na",Eqtn!$D$132/(D5*E5))</f>
        <v>0.5</v>
      </c>
      <c r="H5" s="694" t="str">
        <f>IF(C5="na","na",C5*Eqtn!$D$153/E5)</f>
        <v>na</v>
      </c>
      <c r="I5" s="132">
        <f>IF(D5="na","na",Eqtn!$D$174/(D5*E5))</f>
        <v>65.625000000000014</v>
      </c>
      <c r="K5" s="1062"/>
    </row>
    <row r="6" spans="1:11" ht="13.9" customHeight="1" x14ac:dyDescent="0.25">
      <c r="A6" s="842">
        <f>Chem!A6</f>
        <v>4</v>
      </c>
      <c r="B6" s="884" t="str">
        <f>Chem!B6</f>
        <v>Total PCB TEQ</v>
      </c>
      <c r="C6" s="589">
        <f>Param!O6</f>
        <v>6.9999999999999996E-10</v>
      </c>
      <c r="D6" s="589">
        <f>Param!V6</f>
        <v>130000</v>
      </c>
      <c r="E6" s="671">
        <f>Param!AD6</f>
        <v>0.6</v>
      </c>
      <c r="F6" s="684">
        <f>IF(C6="na","na",C6*Eqtn!$D$111/E6)</f>
        <v>9.333333333333333E-5</v>
      </c>
      <c r="G6" s="685">
        <f>IF(D6="na","na",Eqtn!$D$132/(D6*E6))</f>
        <v>1.282051282051282E-5</v>
      </c>
      <c r="H6" s="701">
        <f>IF(C6="na","na",C6*Eqtn!$D$153/E6)</f>
        <v>4.0833333333333338E-3</v>
      </c>
      <c r="I6" s="702">
        <f>IF(D6="na","na",Eqtn!$D$174/(D6*E6))</f>
        <v>1.682692307692308E-3</v>
      </c>
      <c r="K6" s="1062"/>
    </row>
    <row r="7" spans="1:11" ht="13.9" customHeight="1" x14ac:dyDescent="0.25">
      <c r="A7" s="906">
        <f>Chem!A7</f>
        <v>5</v>
      </c>
      <c r="B7" s="850" t="str">
        <f>Chem!B7</f>
        <v xml:space="preserve">Dioxins/Furans </v>
      </c>
      <c r="C7" s="127"/>
      <c r="D7" s="127"/>
      <c r="E7" s="2363"/>
      <c r="F7" s="127"/>
      <c r="G7" s="127"/>
      <c r="H7" s="127"/>
      <c r="I7" s="2364"/>
      <c r="J7" s="310"/>
      <c r="K7" s="1063"/>
    </row>
    <row r="8" spans="1:11" ht="13.9" customHeight="1" x14ac:dyDescent="0.25">
      <c r="A8" s="844">
        <f>Chem!A8</f>
        <v>6</v>
      </c>
      <c r="B8" s="852" t="str">
        <f>Chem!B8</f>
        <v>Total dioxin/furan TEQ</v>
      </c>
      <c r="C8" s="556">
        <f>Param!O8</f>
        <v>6.9999999999999996E-10</v>
      </c>
      <c r="D8" s="556">
        <f>Param!V8</f>
        <v>130000</v>
      </c>
      <c r="E8" s="673">
        <f>Param!AD8</f>
        <v>0.6</v>
      </c>
      <c r="F8" s="687">
        <f>IF(C8="na","na",C8*Eqtn!$D$111/E8)</f>
        <v>9.333333333333333E-5</v>
      </c>
      <c r="G8" s="687">
        <f>IF(D8="na","na",Eqtn!$D$132/(D8*E8))</f>
        <v>1.282051282051282E-5</v>
      </c>
      <c r="H8" s="701">
        <f>IF(C8="na","na",C8*Eqtn!$D$153/E8)</f>
        <v>4.0833333333333338E-3</v>
      </c>
      <c r="I8" s="705">
        <f>IF(D8="na","na",Eqtn!$D$174/(D8*E8))</f>
        <v>1.682692307692308E-3</v>
      </c>
      <c r="K8" s="1062"/>
    </row>
    <row r="9" spans="1:11" ht="13.9" customHeight="1" x14ac:dyDescent="0.25">
      <c r="A9" s="845">
        <f>Chem!A9</f>
        <v>7</v>
      </c>
      <c r="B9" s="852" t="str">
        <f>Chem!B9</f>
        <v>2,3,7,8-TCDD</v>
      </c>
      <c r="C9" s="556">
        <f>Param!O9</f>
        <v>6.9999999999999996E-10</v>
      </c>
      <c r="D9" s="556">
        <f>Param!V9</f>
        <v>130000</v>
      </c>
      <c r="E9" s="673">
        <f>Param!AD9</f>
        <v>0.6</v>
      </c>
      <c r="F9" s="687">
        <f>IF(C9="na","na",C9*Eqtn!$D$111/E9)</f>
        <v>9.333333333333333E-5</v>
      </c>
      <c r="G9" s="687">
        <f>IF(D9="na","na",Eqtn!$D$132/(D9*E9))</f>
        <v>1.282051282051282E-5</v>
      </c>
      <c r="H9" s="701">
        <f>IF(C9="na","na",C9*Eqtn!$D$153/E9)</f>
        <v>4.0833333333333338E-3</v>
      </c>
      <c r="I9" s="705">
        <f>IF(D9="na","na",Eqtn!$D$174/(D9*E9))</f>
        <v>1.682692307692308E-3</v>
      </c>
      <c r="K9" s="1062"/>
    </row>
    <row r="10" spans="1:11" ht="13.9" customHeight="1" x14ac:dyDescent="0.2">
      <c r="A10" s="845">
        <f>Chem!A10</f>
        <v>8</v>
      </c>
      <c r="B10" s="851" t="str">
        <f>Chem!B10</f>
        <v>Total chlorinated dioxins</v>
      </c>
      <c r="C10" s="557" t="str">
        <f>Param!O10</f>
        <v>na</v>
      </c>
      <c r="D10" s="557" t="str">
        <f>Param!V10</f>
        <v>na</v>
      </c>
      <c r="E10" s="674">
        <f>Param!AD10</f>
        <v>0.6</v>
      </c>
      <c r="F10" s="684" t="str">
        <f>IF(C10="na","na",C10*Eqtn!$D$111/E10)</f>
        <v>na</v>
      </c>
      <c r="G10" s="684" t="str">
        <f>IF(D10="na","na",Eqtn!$D$132/(D10*E10))</f>
        <v>na</v>
      </c>
      <c r="H10" s="694" t="str">
        <f>IF(C10="na","na",C10*Eqtn!$D$153/E10)</f>
        <v>na</v>
      </c>
      <c r="I10" s="132" t="str">
        <f>IF(D10="na","na",Eqtn!$D$174/(D10*E10))</f>
        <v>na</v>
      </c>
      <c r="K10" s="1064"/>
    </row>
    <row r="11" spans="1:11" ht="13.9" customHeight="1" x14ac:dyDescent="0.2">
      <c r="A11" s="845">
        <f>Chem!A11</f>
        <v>9</v>
      </c>
      <c r="B11" s="852" t="str">
        <f>Chem!B11</f>
        <v>Total chlorinated furans</v>
      </c>
      <c r="C11" s="658" t="str">
        <f>Param!O11</f>
        <v>na</v>
      </c>
      <c r="D11" s="658" t="str">
        <f>Param!V11</f>
        <v>na</v>
      </c>
      <c r="E11" s="1105">
        <f>Param!AD11</f>
        <v>0.6</v>
      </c>
      <c r="F11" s="687" t="str">
        <f>IF(C11="na","na",C11*Eqtn!$D$111/E11)</f>
        <v>na</v>
      </c>
      <c r="G11" s="687" t="str">
        <f>IF(D11="na","na",Eqtn!$D$132/(D11*E11))</f>
        <v>na</v>
      </c>
      <c r="H11" s="701" t="str">
        <f>IF(C11="na","na",C11*Eqtn!$D$153/E11)</f>
        <v>na</v>
      </c>
      <c r="I11" s="705" t="str">
        <f>IF(D11="na","na",Eqtn!$D$174/(D11*E11))</f>
        <v>na</v>
      </c>
      <c r="K11" s="1064"/>
    </row>
    <row r="12" spans="1:11" ht="13.9" customHeight="1" x14ac:dyDescent="0.25">
      <c r="A12" s="906">
        <f>Chem!A12</f>
        <v>10</v>
      </c>
      <c r="B12" s="850" t="str">
        <f>Chem!B12</f>
        <v>Inorganics</v>
      </c>
      <c r="C12" s="127"/>
      <c r="D12" s="127"/>
      <c r="E12" s="2363"/>
      <c r="F12" s="127"/>
      <c r="G12" s="127"/>
      <c r="H12" s="127"/>
      <c r="I12" s="2364"/>
      <c r="K12" s="1063"/>
    </row>
    <row r="13" spans="1:11" ht="13.9" customHeight="1" x14ac:dyDescent="0.25">
      <c r="A13" s="845">
        <f>Chem!A13</f>
        <v>11</v>
      </c>
      <c r="B13" s="1099" t="str">
        <f>Chem!B13</f>
        <v>Ammonia</v>
      </c>
      <c r="C13" s="1325" t="str">
        <f>Param!O13</f>
        <v>na</v>
      </c>
      <c r="D13" s="1325" t="str">
        <f>Param!V13</f>
        <v>na</v>
      </c>
      <c r="E13" s="1988">
        <f>Param!AD13</f>
        <v>1</v>
      </c>
      <c r="F13" s="1326" t="str">
        <f>IF(C13="na","na",C13*Eqtn!$D$111/E13)</f>
        <v>na</v>
      </c>
      <c r="G13" s="1326" t="str">
        <f>IF(D13="na","na",Eqtn!$D$132/(D13*E13))</f>
        <v>na</v>
      </c>
      <c r="H13" s="1328" t="str">
        <f>IF(C13="na","na",C13*Eqtn!$D$153/E13)</f>
        <v>na</v>
      </c>
      <c r="I13" s="1613" t="str">
        <f>IF(D13="na","na",Eqtn!$D$174/(D13*E13))</f>
        <v>na</v>
      </c>
      <c r="K13" s="1062"/>
    </row>
    <row r="14" spans="1:11" ht="13.9" customHeight="1" x14ac:dyDescent="0.25">
      <c r="A14" s="1069">
        <f>Chem!A14</f>
        <v>12</v>
      </c>
      <c r="B14" s="1099" t="str">
        <f>Chem!B14</f>
        <v>Chloride</v>
      </c>
      <c r="C14" s="1325" t="str">
        <f>Param!O14</f>
        <v>na</v>
      </c>
      <c r="D14" s="1325" t="str">
        <f>Param!V14</f>
        <v>na</v>
      </c>
      <c r="E14" s="1988">
        <f>Param!AD14</f>
        <v>1</v>
      </c>
      <c r="F14" s="1326" t="str">
        <f>IF(C14="na","na",C14*Eqtn!$D$111/E14)</f>
        <v>na</v>
      </c>
      <c r="G14" s="1326" t="str">
        <f>IF(D14="na","na",Eqtn!$D$132/(D14*E14))</f>
        <v>na</v>
      </c>
      <c r="H14" s="1328" t="str">
        <f>IF(C14="na","na",C14*Eqtn!$D$153/E14)</f>
        <v>na</v>
      </c>
      <c r="I14" s="1613" t="str">
        <f>IF(D14="na","na",Eqtn!$D$174/(D14*E14))</f>
        <v>na</v>
      </c>
      <c r="K14" s="1062"/>
    </row>
    <row r="15" spans="1:11" ht="13.9" customHeight="1" x14ac:dyDescent="0.2">
      <c r="A15" s="843">
        <f>Chem!A15</f>
        <v>13</v>
      </c>
      <c r="B15" s="1099" t="str">
        <f>Chem!B15</f>
        <v>Cyanide (multiple forms, see notes)</v>
      </c>
      <c r="C15" s="1325">
        <f>Param!O15</f>
        <v>6.3000000000000003E-4</v>
      </c>
      <c r="D15" s="1325" t="str">
        <f>Param!V15</f>
        <v>na</v>
      </c>
      <c r="E15" s="1988">
        <f>Param!AD15</f>
        <v>1</v>
      </c>
      <c r="F15" s="1326">
        <f>IF(C15="na","na",C15*Eqtn!$D$111/E15)</f>
        <v>50.4</v>
      </c>
      <c r="G15" s="1326" t="str">
        <f>IF(D15="na","na",Eqtn!$D$132/(D15*E15))</f>
        <v>na</v>
      </c>
      <c r="H15" s="1328">
        <f>IF(C15="na","na",C15*Eqtn!$D$153/E15)</f>
        <v>2205</v>
      </c>
      <c r="I15" s="1613" t="str">
        <f>IF(D15="na","na",Eqtn!$D$174/(D15*E15))</f>
        <v>na</v>
      </c>
      <c r="K15" s="1064"/>
    </row>
    <row r="16" spans="1:11" ht="13.9" customHeight="1" x14ac:dyDescent="0.2">
      <c r="A16" s="843">
        <f>Chem!A16</f>
        <v>14</v>
      </c>
      <c r="B16" s="1099" t="str">
        <f>Chem!B16</f>
        <v>Fluoride</v>
      </c>
      <c r="C16" s="1325">
        <f>Param!O16</f>
        <v>0.06</v>
      </c>
      <c r="D16" s="1325" t="str">
        <f>Param!V16</f>
        <v>na</v>
      </c>
      <c r="E16" s="1988">
        <f>Param!AD16</f>
        <v>1</v>
      </c>
      <c r="F16" s="1326">
        <f>IF(C16="na","na",C16*Eqtn!$D$111/E16)</f>
        <v>4800</v>
      </c>
      <c r="G16" s="1326" t="str">
        <f>IF(D16="na","na",Eqtn!$D$132/(D16*E16))</f>
        <v>na</v>
      </c>
      <c r="H16" s="1328">
        <f>IF(C16="na","na",C16*Eqtn!$D$153/E16)</f>
        <v>210000</v>
      </c>
      <c r="I16" s="1613" t="str">
        <f>IF(D16="na","na",Eqtn!$D$174/(D16*E16))</f>
        <v>na</v>
      </c>
      <c r="K16" s="1064"/>
    </row>
    <row r="17" spans="1:11" ht="13.9" customHeight="1" x14ac:dyDescent="0.2">
      <c r="A17" s="1069">
        <f>Chem!A17</f>
        <v>15</v>
      </c>
      <c r="B17" s="851" t="str">
        <f>Chem!B17</f>
        <v>Nitrate</v>
      </c>
      <c r="C17" s="557">
        <f>Param!O17</f>
        <v>1.6</v>
      </c>
      <c r="D17" s="557" t="str">
        <f>Param!V17</f>
        <v>na</v>
      </c>
      <c r="E17" s="674">
        <f>Param!AD17</f>
        <v>1</v>
      </c>
      <c r="F17" s="602">
        <f>IF(C17="na","na",C17*Eqtn!$D$111/E17)</f>
        <v>128000</v>
      </c>
      <c r="G17" s="602" t="str">
        <f>IF(D17="na","na",Eqtn!$D$132/(D17*E17))</f>
        <v>na</v>
      </c>
      <c r="H17" s="17">
        <f>IF(C17="na","na",C17*Eqtn!$D$153/E17)</f>
        <v>5600000</v>
      </c>
      <c r="I17" s="132" t="str">
        <f>IF(D17="na","na",Eqtn!$D$174/(D17*E17))</f>
        <v>na</v>
      </c>
      <c r="K17" s="1064"/>
    </row>
    <row r="18" spans="1:11" ht="13.9" customHeight="1" x14ac:dyDescent="0.2">
      <c r="A18" s="844">
        <f>Chem!A18</f>
        <v>16</v>
      </c>
      <c r="B18" s="851" t="str">
        <f>Chem!B18</f>
        <v>Nitrite</v>
      </c>
      <c r="C18" s="557">
        <f>Param!O18</f>
        <v>0.1</v>
      </c>
      <c r="D18" s="557" t="str">
        <f>Param!V18</f>
        <v>na</v>
      </c>
      <c r="E18" s="674">
        <f>Param!AD18</f>
        <v>1</v>
      </c>
      <c r="F18" s="602">
        <f>IF(C18="na","na",C18*Eqtn!$D$111/E18)</f>
        <v>8000</v>
      </c>
      <c r="G18" s="602" t="str">
        <f>IF(D18="na","na",Eqtn!$D$132/(D18*E18))</f>
        <v>na</v>
      </c>
      <c r="H18" s="17">
        <f>IF(C18="na","na",C18*Eqtn!$D$153/E18)</f>
        <v>350000</v>
      </c>
      <c r="I18" s="132" t="str">
        <f>IF(D18="na","na",Eqtn!$D$174/(D18*E18))</f>
        <v>na</v>
      </c>
      <c r="K18" s="1064"/>
    </row>
    <row r="19" spans="1:11" ht="13.9" customHeight="1" x14ac:dyDescent="0.2">
      <c r="A19" s="1321">
        <f>Chem!A19</f>
        <v>17</v>
      </c>
      <c r="B19" s="851" t="str">
        <f>Chem!B19</f>
        <v>Sulfate</v>
      </c>
      <c r="C19" s="557" t="str">
        <f>Param!O19</f>
        <v>na</v>
      </c>
      <c r="D19" s="557" t="str">
        <f>Param!V19</f>
        <v>na</v>
      </c>
      <c r="E19" s="674">
        <f>Param!AD19</f>
        <v>1</v>
      </c>
      <c r="F19" s="602" t="str">
        <f>IF(C19="na","na",C19*Eqtn!$D$111/E19)</f>
        <v>na</v>
      </c>
      <c r="G19" s="602" t="str">
        <f>IF(D19="na","na",Eqtn!$D$132/(D19*E19))</f>
        <v>na</v>
      </c>
      <c r="H19" s="17" t="str">
        <f>IF(C19="na","na",C19*Eqtn!$D$153/E19)</f>
        <v>na</v>
      </c>
      <c r="I19" s="132" t="str">
        <f>IF(D19="na","na",Eqtn!$D$174/(D19*E19))</f>
        <v>na</v>
      </c>
      <c r="K19" s="1064"/>
    </row>
    <row r="20" spans="1:11" ht="13.9" customHeight="1" x14ac:dyDescent="0.2">
      <c r="A20" s="1322">
        <f>Chem!A20</f>
        <v>18</v>
      </c>
      <c r="B20" s="884" t="str">
        <f>Chem!B20</f>
        <v>Sulfide</v>
      </c>
      <c r="C20" s="558" t="str">
        <f>Param!O20</f>
        <v>na</v>
      </c>
      <c r="D20" s="558" t="str">
        <f>Param!V20</f>
        <v>na</v>
      </c>
      <c r="E20" s="1323" t="str">
        <f>Param!AD20</f>
        <v>na</v>
      </c>
      <c r="F20" s="609" t="str">
        <f>IF(C20="na","na",C20*Eqtn!$D$111/E20)</f>
        <v>na</v>
      </c>
      <c r="G20" s="609" t="str">
        <f>IF(D20="na","na",Eqtn!$D$132/(D20*E20))</f>
        <v>na</v>
      </c>
      <c r="H20" s="820" t="str">
        <f>IF(C20="na","na",C20*Eqtn!$D$153/E20)</f>
        <v>na</v>
      </c>
      <c r="I20" s="702" t="str">
        <f>IF(D20="na","na",Eqtn!$D$174/(D20*E20))</f>
        <v>na</v>
      </c>
      <c r="K20" s="1064"/>
    </row>
    <row r="21" spans="1:11" ht="13.9" customHeight="1" x14ac:dyDescent="0.25">
      <c r="A21" s="906">
        <f>Chem!A21</f>
        <v>19</v>
      </c>
      <c r="B21" s="850" t="str">
        <f>Chem!B21</f>
        <v>Metals</v>
      </c>
      <c r="C21" s="127"/>
      <c r="D21" s="127"/>
      <c r="E21" s="2363"/>
      <c r="F21" s="127"/>
      <c r="G21" s="127"/>
      <c r="H21" s="127"/>
      <c r="I21" s="2364"/>
      <c r="K21" s="1063"/>
    </row>
    <row r="22" spans="1:11" ht="13.9" customHeight="1" x14ac:dyDescent="0.25">
      <c r="A22" s="846">
        <f>Chem!A22</f>
        <v>20</v>
      </c>
      <c r="B22" s="860" t="str">
        <f>Chem!B22</f>
        <v>Aluminum</v>
      </c>
      <c r="C22" s="591">
        <f>Param!O22</f>
        <v>1</v>
      </c>
      <c r="D22" s="591" t="str">
        <f>Param!V22</f>
        <v>na</v>
      </c>
      <c r="E22" s="672">
        <f>Param!AD22</f>
        <v>1</v>
      </c>
      <c r="F22" s="686">
        <f>IF(C22="na","na",C22*Eqtn!$D$111/E22)</f>
        <v>80000</v>
      </c>
      <c r="G22" s="686" t="str">
        <f>IF(D22="na","na",Eqtn!$D$132/(D22*E22))</f>
        <v>na</v>
      </c>
      <c r="H22" s="706">
        <f>IF(C22="na","na",C22*Eqtn!$D$153/E22)</f>
        <v>3500000</v>
      </c>
      <c r="I22" s="704" t="str">
        <f>IF(D22="na","na",Eqtn!$D$174/(D22*E22))</f>
        <v>na</v>
      </c>
      <c r="K22" s="1062"/>
    </row>
    <row r="23" spans="1:11" ht="13.9" customHeight="1" x14ac:dyDescent="0.25">
      <c r="A23" s="847">
        <f>Chem!A23</f>
        <v>21</v>
      </c>
      <c r="B23" s="855" t="str">
        <f>Chem!B23</f>
        <v>Antimony</v>
      </c>
      <c r="C23" s="552">
        <f>Param!O23</f>
        <v>4.0000000000000002E-4</v>
      </c>
      <c r="D23" s="552" t="str">
        <f>Param!V23</f>
        <v>na</v>
      </c>
      <c r="E23" s="670">
        <f>Param!AD23</f>
        <v>1</v>
      </c>
      <c r="F23" s="684">
        <f>IF(C23="na","na",C23*Eqtn!$D$111/E23)</f>
        <v>32</v>
      </c>
      <c r="G23" s="684" t="str">
        <f>IF(D23="na","na",Eqtn!$D$132/(D23*E23))</f>
        <v>na</v>
      </c>
      <c r="H23" s="694">
        <f>IF(C23="na","na",C23*Eqtn!$D$153/E23)</f>
        <v>1400</v>
      </c>
      <c r="I23" s="132" t="str">
        <f>IF(D23="na","na",Eqtn!$D$174/(D23*E23))</f>
        <v>na</v>
      </c>
      <c r="K23" s="1062"/>
    </row>
    <row r="24" spans="1:11" ht="13.9" customHeight="1" x14ac:dyDescent="0.25">
      <c r="A24" s="847">
        <f>Chem!A24</f>
        <v>22</v>
      </c>
      <c r="B24" s="855" t="str">
        <f>Chem!B24</f>
        <v>Arsenic</v>
      </c>
      <c r="C24" s="552">
        <f>Param!O24</f>
        <v>6.0000000000000002E-5</v>
      </c>
      <c r="D24" s="552">
        <f>Param!V24</f>
        <v>32</v>
      </c>
      <c r="E24" s="670">
        <f>Param!AD24</f>
        <v>1</v>
      </c>
      <c r="F24" s="684">
        <f>IF(C24="na","na",C24*Eqtn!$D$111/E24)</f>
        <v>4.8</v>
      </c>
      <c r="G24" s="684">
        <f>IF(D24="na","na",Eqtn!$D$132/(D24*E24))</f>
        <v>3.125E-2</v>
      </c>
      <c r="H24" s="694">
        <f>IF(C24="na","na",C24*Eqtn!$D$153/E24)</f>
        <v>210</v>
      </c>
      <c r="I24" s="132">
        <f>IF(D24="na","na",Eqtn!$D$174/(D24*E24))</f>
        <v>4.1015625000000009</v>
      </c>
      <c r="K24" s="1062"/>
    </row>
    <row r="25" spans="1:11" ht="13.9" customHeight="1" x14ac:dyDescent="0.25">
      <c r="A25" s="847">
        <f>Chem!A25</f>
        <v>23</v>
      </c>
      <c r="B25" s="855" t="str">
        <f>Chem!B25</f>
        <v>Barium</v>
      </c>
      <c r="C25" s="552">
        <f>Param!O25</f>
        <v>0.2</v>
      </c>
      <c r="D25" s="552" t="str">
        <f>Param!V25</f>
        <v>na</v>
      </c>
      <c r="E25" s="670">
        <f>Param!AD25</f>
        <v>1</v>
      </c>
      <c r="F25" s="684">
        <f>IF(C25="na","na",C25*Eqtn!$D$111/E25)</f>
        <v>16000</v>
      </c>
      <c r="G25" s="684" t="str">
        <f>IF(D25="na","na",Eqtn!$D$132/(D25*E25))</f>
        <v>na</v>
      </c>
      <c r="H25" s="694">
        <f>IF(C25="na","na",C25*Eqtn!$D$153/E25)</f>
        <v>700000</v>
      </c>
      <c r="I25" s="132" t="str">
        <f>IF(D25="na","na",Eqtn!$D$174/(D25*E25))</f>
        <v>na</v>
      </c>
      <c r="K25" s="1062"/>
    </row>
    <row r="26" spans="1:11" ht="13.9" customHeight="1" x14ac:dyDescent="0.25">
      <c r="A26" s="847">
        <f>Chem!A26</f>
        <v>24</v>
      </c>
      <c r="B26" s="855" t="str">
        <f>Chem!B26</f>
        <v>Beryllium</v>
      </c>
      <c r="C26" s="552">
        <f>Param!O26</f>
        <v>2E-3</v>
      </c>
      <c r="D26" s="552" t="str">
        <f>Param!V26</f>
        <v>na</v>
      </c>
      <c r="E26" s="670">
        <f>Param!AD26</f>
        <v>1</v>
      </c>
      <c r="F26" s="684">
        <f>IF(C26="na","na",C26*Eqtn!$D$111/E26)</f>
        <v>160</v>
      </c>
      <c r="G26" s="684" t="str">
        <f>IF(D26="na","na",Eqtn!$D$132/(D26*E26))</f>
        <v>na</v>
      </c>
      <c r="H26" s="694">
        <f>IF(C26="na","na",C26*Eqtn!$D$153/E26)</f>
        <v>7000</v>
      </c>
      <c r="I26" s="132" t="str">
        <f>IF(D26="na","na",Eqtn!$D$174/(D26*E26))</f>
        <v>na</v>
      </c>
      <c r="K26" s="1062"/>
    </row>
    <row r="27" spans="1:11" ht="13.9" customHeight="1" x14ac:dyDescent="0.25">
      <c r="A27" s="847">
        <f>Chem!A27</f>
        <v>25</v>
      </c>
      <c r="B27" s="856" t="str">
        <f>Chem!B27</f>
        <v>Cadmium</v>
      </c>
      <c r="C27" s="552">
        <f>Param!O27</f>
        <v>1E-3</v>
      </c>
      <c r="D27" s="552" t="str">
        <f>Param!V27</f>
        <v>na</v>
      </c>
      <c r="E27" s="670">
        <f>Param!AD27</f>
        <v>1</v>
      </c>
      <c r="F27" s="684">
        <f>IF(C27="na","na",C27*Eqtn!$D$111/E27)</f>
        <v>80</v>
      </c>
      <c r="G27" s="684" t="str">
        <f>IF(D27="na","na",Eqtn!$D$132/(D27*E27))</f>
        <v>na</v>
      </c>
      <c r="H27" s="694">
        <f>IF(C27="na","na",C27*Eqtn!$D$153/E27)</f>
        <v>3500</v>
      </c>
      <c r="I27" s="132" t="str">
        <f>IF(D27="na","na",Eqtn!$D$174/(D27*E27))</f>
        <v>na</v>
      </c>
      <c r="K27" s="1062"/>
    </row>
    <row r="28" spans="1:11" ht="13.9" customHeight="1" x14ac:dyDescent="0.25">
      <c r="A28" s="847">
        <f>Chem!A28</f>
        <v>26</v>
      </c>
      <c r="B28" s="856" t="str">
        <f>Chem!B28</f>
        <v>Chromium, total</v>
      </c>
      <c r="C28" s="552" t="str">
        <f>Param!O28</f>
        <v>na</v>
      </c>
      <c r="D28" s="552" t="str">
        <f>Param!V28</f>
        <v>na</v>
      </c>
      <c r="E28" s="670">
        <f>Param!AD28</f>
        <v>1</v>
      </c>
      <c r="F28" s="684" t="str">
        <f>IF(C28="na","na",C28*Eqtn!$D$111/E28)</f>
        <v>na</v>
      </c>
      <c r="G28" s="684" t="str">
        <f>IF(D28="na","na",Eqtn!$D$132/(D28*E28))</f>
        <v>na</v>
      </c>
      <c r="H28" s="694" t="str">
        <f>IF(C28="na","na",C28*Eqtn!$D$153/E28)</f>
        <v>na</v>
      </c>
      <c r="I28" s="132" t="str">
        <f>IF(D28="na","na",Eqtn!$D$174/(D28*E28))</f>
        <v>na</v>
      </c>
      <c r="K28" s="1062"/>
    </row>
    <row r="29" spans="1:11" ht="13.9" customHeight="1" x14ac:dyDescent="0.25">
      <c r="A29" s="847">
        <f>Chem!A29</f>
        <v>27</v>
      </c>
      <c r="B29" s="855" t="str">
        <f>Chem!B29</f>
        <v>Chromium, trivalent</v>
      </c>
      <c r="C29" s="552">
        <f>Param!O29</f>
        <v>1.5</v>
      </c>
      <c r="D29" s="552" t="str">
        <f>Param!V29</f>
        <v>na</v>
      </c>
      <c r="E29" s="670">
        <f>Param!AD29</f>
        <v>1</v>
      </c>
      <c r="F29" s="684">
        <f>IF(C29="na","na",C29*Eqtn!$D$111/E29)</f>
        <v>120000</v>
      </c>
      <c r="G29" s="684" t="str">
        <f>IF(D29="na","na",Eqtn!$D$132/(D29*E29))</f>
        <v>na</v>
      </c>
      <c r="H29" s="694">
        <f>IF(C29="na","na",C29*Eqtn!$D$153/E29)</f>
        <v>5250000</v>
      </c>
      <c r="I29" s="132" t="str">
        <f>IF(D29="na","na",Eqtn!$D$174/(D29*E29))</f>
        <v>na</v>
      </c>
      <c r="K29" s="1062"/>
    </row>
    <row r="30" spans="1:11" ht="13.9" customHeight="1" x14ac:dyDescent="0.25">
      <c r="A30" s="847">
        <f>Chem!A30</f>
        <v>28</v>
      </c>
      <c r="B30" s="1848" t="str">
        <f>Chem!B30</f>
        <v>Chromium, hexavalent</v>
      </c>
      <c r="C30" s="552">
        <f>Param!O30</f>
        <v>8.9999999999999998E-4</v>
      </c>
      <c r="D30" s="552">
        <f>Param!V30</f>
        <v>0.16</v>
      </c>
      <c r="E30" s="670">
        <f>Param!AD30</f>
        <v>1</v>
      </c>
      <c r="F30" s="684">
        <f>IF(C30="na","na",C30*Eqtn!$D$111/E30)</f>
        <v>72</v>
      </c>
      <c r="G30" s="694">
        <v>1.2</v>
      </c>
      <c r="H30" s="694">
        <f>IF(C30="na","na",C30*Eqtn!$D$153/E30)</f>
        <v>3150</v>
      </c>
      <c r="I30" s="132">
        <f>IF(D30="na","na",Eqtn!$D$174/(D30*E30))</f>
        <v>820.31250000000011</v>
      </c>
      <c r="K30" s="1062"/>
    </row>
    <row r="31" spans="1:11" ht="13.9" customHeight="1" x14ac:dyDescent="0.25">
      <c r="A31" s="847">
        <f>Chem!A31</f>
        <v>29</v>
      </c>
      <c r="B31" s="855" t="str">
        <f>Chem!B31</f>
        <v>Cobalt</v>
      </c>
      <c r="C31" s="552">
        <f>Param!O31</f>
        <v>2.9999999999999997E-4</v>
      </c>
      <c r="D31" s="552" t="str">
        <f>Param!V31</f>
        <v>na</v>
      </c>
      <c r="E31" s="670">
        <f>Param!AD31</f>
        <v>1</v>
      </c>
      <c r="F31" s="684">
        <f>IF(C31="na","na",C31*Eqtn!$D$111/E31)</f>
        <v>23.999999999999996</v>
      </c>
      <c r="G31" s="684" t="str">
        <f>IF(D31="na","na",Eqtn!$D$132/(D31*E31))</f>
        <v>na</v>
      </c>
      <c r="H31" s="694">
        <f>IF(C31="na","na",C31*Eqtn!$D$153/E31)</f>
        <v>1050</v>
      </c>
      <c r="I31" s="132" t="str">
        <f>IF(D31="na","na",Eqtn!$D$174/(D31*E31))</f>
        <v>na</v>
      </c>
      <c r="K31" s="1062"/>
    </row>
    <row r="32" spans="1:11" ht="13.9" customHeight="1" x14ac:dyDescent="0.25">
      <c r="A32" s="847">
        <f>Chem!A32</f>
        <v>30</v>
      </c>
      <c r="B32" s="855" t="str">
        <f>Chem!B32</f>
        <v>Copper</v>
      </c>
      <c r="C32" s="552">
        <f>Param!O32</f>
        <v>0.04</v>
      </c>
      <c r="D32" s="552" t="str">
        <f>Param!V32</f>
        <v>na</v>
      </c>
      <c r="E32" s="670">
        <f>Param!AD32</f>
        <v>1</v>
      </c>
      <c r="F32" s="684">
        <f>IF(C32="na","na",C32*Eqtn!$D$111/E32)</f>
        <v>3200</v>
      </c>
      <c r="G32" s="684" t="str">
        <f>IF(D32="na","na",Eqtn!$D$132/(D32*E32))</f>
        <v>na</v>
      </c>
      <c r="H32" s="694">
        <f>IF(C32="na","na",C32*Eqtn!$D$153/E32)</f>
        <v>140000</v>
      </c>
      <c r="I32" s="132" t="str">
        <f>IF(D32="na","na",Eqtn!$D$174/(D32*E32))</f>
        <v>na</v>
      </c>
      <c r="K32" s="1062"/>
    </row>
    <row r="33" spans="1:11" ht="13.9" customHeight="1" x14ac:dyDescent="0.25">
      <c r="A33" s="847">
        <f>Chem!A33</f>
        <v>31</v>
      </c>
      <c r="B33" s="855" t="str">
        <f>Chem!B33</f>
        <v>Iron</v>
      </c>
      <c r="C33" s="552">
        <f>Param!O33</f>
        <v>0.7</v>
      </c>
      <c r="D33" s="552" t="str">
        <f>Param!V33</f>
        <v>na</v>
      </c>
      <c r="E33" s="670">
        <f>Param!AD33</f>
        <v>1</v>
      </c>
      <c r="F33" s="684">
        <f>IF(C33="na","na",C33*Eqtn!$D$111/E33)</f>
        <v>56000</v>
      </c>
      <c r="G33" s="684" t="str">
        <f>IF(D33="na","na",Eqtn!$D$132/(D33*E33))</f>
        <v>na</v>
      </c>
      <c r="H33" s="694">
        <f>IF(C33="na","na",C33*Eqtn!$D$153/E33)</f>
        <v>2450000</v>
      </c>
      <c r="I33" s="132" t="str">
        <f>IF(D33="na","na",Eqtn!$D$174/(D33*E33))</f>
        <v>na</v>
      </c>
      <c r="K33" s="1062"/>
    </row>
    <row r="34" spans="1:11" ht="13.9" customHeight="1" x14ac:dyDescent="0.25">
      <c r="A34" s="847">
        <f>Chem!A34</f>
        <v>32</v>
      </c>
      <c r="B34" s="855" t="str">
        <f>Chem!B34</f>
        <v>Lead</v>
      </c>
      <c r="C34" s="552" t="str">
        <f>Param!O34</f>
        <v>na</v>
      </c>
      <c r="D34" s="552" t="str">
        <f>Param!V34</f>
        <v>na</v>
      </c>
      <c r="E34" s="670">
        <f>Param!AD34</f>
        <v>1</v>
      </c>
      <c r="F34" s="684" t="str">
        <f>IF(C34="na","na",C34*Eqtn!$D$111/E34)</f>
        <v>na</v>
      </c>
      <c r="G34" s="684" t="str">
        <f>IF(D34="na","na",Eqtn!$D$132/(D34*E34))</f>
        <v>na</v>
      </c>
      <c r="H34" s="694" t="str">
        <f>IF(C34="na","na",C34*Eqtn!$D$153/E34)</f>
        <v>na</v>
      </c>
      <c r="I34" s="132" t="str">
        <f>IF(D34="na","na",Eqtn!$D$174/(D34*E34))</f>
        <v>na</v>
      </c>
      <c r="K34" s="1062"/>
    </row>
    <row r="35" spans="1:11" ht="13.9" customHeight="1" x14ac:dyDescent="0.25">
      <c r="A35" s="847">
        <f>Chem!A35</f>
        <v>33</v>
      </c>
      <c r="B35" s="855" t="str">
        <f>Chem!B35</f>
        <v>Manganese</v>
      </c>
      <c r="C35" s="552">
        <f>Param!O35</f>
        <v>4.6699999999999998E-2</v>
      </c>
      <c r="D35" s="552" t="str">
        <f>Param!V35</f>
        <v>na</v>
      </c>
      <c r="E35" s="670">
        <f>Param!AD35</f>
        <v>1</v>
      </c>
      <c r="F35" s="684">
        <f>IF(C35="na","na",C35*Eqtn!$D$111/E35)</f>
        <v>3736</v>
      </c>
      <c r="G35" s="684" t="str">
        <f>IF(D35="na","na",Eqtn!$D$132/(D35*E35))</f>
        <v>na</v>
      </c>
      <c r="H35" s="694">
        <f>IF(C35="na","na",C35*Eqtn!$D$153/E35)</f>
        <v>163450</v>
      </c>
      <c r="I35" s="132" t="str">
        <f>IF(D35="na","na",Eqtn!$D$174/(D35*E35))</f>
        <v>na</v>
      </c>
      <c r="K35" s="1062"/>
    </row>
    <row r="36" spans="1:11" ht="13.9" customHeight="1" x14ac:dyDescent="0.25">
      <c r="A36" s="847">
        <f>Chem!A36</f>
        <v>34</v>
      </c>
      <c r="B36" s="855" t="str">
        <f>Chem!B36</f>
        <v>Mercury, inorganic</v>
      </c>
      <c r="C36" s="552" t="str">
        <f>Param!O36</f>
        <v>na</v>
      </c>
      <c r="D36" s="552" t="str">
        <f>Param!V36</f>
        <v>na</v>
      </c>
      <c r="E36" s="670">
        <f>Param!AD36</f>
        <v>1</v>
      </c>
      <c r="F36" s="684" t="str">
        <f>IF(C36="na","na",C36*Eqtn!$D$111/E36)</f>
        <v>na</v>
      </c>
      <c r="G36" s="684" t="str">
        <f>IF(D36="na","na",Eqtn!$D$132/(D36*E36))</f>
        <v>na</v>
      </c>
      <c r="H36" s="694" t="str">
        <f>IF(C36="na","na",C36*Eqtn!$D$153/E36)</f>
        <v>na</v>
      </c>
      <c r="I36" s="132" t="str">
        <f>IF(D36="na","na",Eqtn!$D$174/(D36*E36))</f>
        <v>na</v>
      </c>
      <c r="K36" s="1062"/>
    </row>
    <row r="37" spans="1:11" ht="13.9" customHeight="1" x14ac:dyDescent="0.25">
      <c r="A37" s="847">
        <f>Chem!A37</f>
        <v>35</v>
      </c>
      <c r="B37" s="855" t="str">
        <f>Chem!B37</f>
        <v>Methylmercury</v>
      </c>
      <c r="C37" s="552">
        <f>Param!O37</f>
        <v>1E-4</v>
      </c>
      <c r="D37" s="552" t="str">
        <f>Param!V37</f>
        <v>na</v>
      </c>
      <c r="E37" s="670">
        <f>Param!AD37</f>
        <v>1</v>
      </c>
      <c r="F37" s="684">
        <f>IF(C37="na","na",C37*Eqtn!$D$111/E37)</f>
        <v>8</v>
      </c>
      <c r="G37" s="684" t="str">
        <f>IF(D37="na","na",Eqtn!$D$132/(D37*E37))</f>
        <v>na</v>
      </c>
      <c r="H37" s="694">
        <f>IF(C37="na","na",C37*Eqtn!$D$153/E37)</f>
        <v>350</v>
      </c>
      <c r="I37" s="132" t="str">
        <f>IF(D37="na","na",Eqtn!$D$174/(D37*E37))</f>
        <v>na</v>
      </c>
      <c r="K37" s="1062"/>
    </row>
    <row r="38" spans="1:11" ht="13.9" customHeight="1" x14ac:dyDescent="0.25">
      <c r="A38" s="847">
        <f>Chem!A38</f>
        <v>36</v>
      </c>
      <c r="B38" s="855" t="str">
        <f>Chem!B38</f>
        <v>Molybdenum</v>
      </c>
      <c r="C38" s="552">
        <f>Param!O38</f>
        <v>5.0000000000000001E-3</v>
      </c>
      <c r="D38" s="552" t="str">
        <f>Param!V38</f>
        <v>na</v>
      </c>
      <c r="E38" s="670">
        <f>Param!AD38</f>
        <v>1</v>
      </c>
      <c r="F38" s="684">
        <f>IF(C38="na","na",C38*Eqtn!$D$111/E38)</f>
        <v>400</v>
      </c>
      <c r="G38" s="684" t="str">
        <f>IF(D38="na","na",Eqtn!$D$132/(D38*E38))</f>
        <v>na</v>
      </c>
      <c r="H38" s="694">
        <f>IF(C38="na","na",C38*Eqtn!$D$153/E38)</f>
        <v>17500</v>
      </c>
      <c r="I38" s="132" t="str">
        <f>IF(D38="na","na",Eqtn!$D$174/(D38*E38))</f>
        <v>na</v>
      </c>
      <c r="K38" s="1062"/>
    </row>
    <row r="39" spans="1:11" ht="13.9" customHeight="1" x14ac:dyDescent="0.25">
      <c r="A39" s="847">
        <f>Chem!A39</f>
        <v>37</v>
      </c>
      <c r="B39" s="855" t="str">
        <f>Chem!B39</f>
        <v>Nickel</v>
      </c>
      <c r="C39" s="552">
        <f>Param!O39</f>
        <v>0.02</v>
      </c>
      <c r="D39" s="552" t="str">
        <f>Param!V39</f>
        <v>na</v>
      </c>
      <c r="E39" s="670">
        <f>Param!AD39</f>
        <v>1</v>
      </c>
      <c r="F39" s="684">
        <f>IF(C39="na","na",C39*Eqtn!$D$111/E39)</f>
        <v>1600</v>
      </c>
      <c r="G39" s="684" t="str">
        <f>IF(D39="na","na",Eqtn!$D$132/(D39*E39))</f>
        <v>na</v>
      </c>
      <c r="H39" s="694">
        <f>IF(C39="na","na",C39*Eqtn!$D$153/E39)</f>
        <v>70000</v>
      </c>
      <c r="I39" s="132" t="str">
        <f>IF(D39="na","na",Eqtn!$D$174/(D39*E39))</f>
        <v>na</v>
      </c>
      <c r="K39" s="1062"/>
    </row>
    <row r="40" spans="1:11" ht="13.9" customHeight="1" x14ac:dyDescent="0.25">
      <c r="A40" s="847">
        <f>Chem!A40</f>
        <v>38</v>
      </c>
      <c r="B40" s="855" t="str">
        <f>Chem!B40</f>
        <v>Selenium</v>
      </c>
      <c r="C40" s="552">
        <f>Param!O40</f>
        <v>5.0000000000000001E-3</v>
      </c>
      <c r="D40" s="552" t="str">
        <f>Param!V40</f>
        <v>na</v>
      </c>
      <c r="E40" s="670">
        <f>Param!AD40</f>
        <v>1</v>
      </c>
      <c r="F40" s="684">
        <f>IF(C40="na","na",C40*Eqtn!$D$111/E40)</f>
        <v>400</v>
      </c>
      <c r="G40" s="684" t="str">
        <f>IF(D40="na","na",Eqtn!$D$132/(D40*E40))</f>
        <v>na</v>
      </c>
      <c r="H40" s="694">
        <f>IF(C40="na","na",C40*Eqtn!$D$153/E40)</f>
        <v>17500</v>
      </c>
      <c r="I40" s="132" t="str">
        <f>IF(D40="na","na",Eqtn!$D$174/(D40*E40))</f>
        <v>na</v>
      </c>
      <c r="K40" s="1062"/>
    </row>
    <row r="41" spans="1:11" ht="13.9" customHeight="1" x14ac:dyDescent="0.25">
      <c r="A41" s="847">
        <f>Chem!A41</f>
        <v>39</v>
      </c>
      <c r="B41" s="855" t="str">
        <f>Chem!B41</f>
        <v>Silver</v>
      </c>
      <c r="C41" s="552">
        <f>Param!O41</f>
        <v>5.0000000000000001E-3</v>
      </c>
      <c r="D41" s="552" t="str">
        <f>Param!V41</f>
        <v>na</v>
      </c>
      <c r="E41" s="670">
        <f>Param!AD41</f>
        <v>1</v>
      </c>
      <c r="F41" s="684">
        <f>IF(C41="na","na",C41*Eqtn!$D$111/E41)</f>
        <v>400</v>
      </c>
      <c r="G41" s="684" t="str">
        <f>IF(D41="na","na",Eqtn!$D$132/(D41*E41))</f>
        <v>na</v>
      </c>
      <c r="H41" s="694">
        <f>IF(C41="na","na",C41*Eqtn!$D$153/E41)</f>
        <v>17500</v>
      </c>
      <c r="I41" s="132" t="str">
        <f>IF(D41="na","na",Eqtn!$D$174/(D41*E41))</f>
        <v>na</v>
      </c>
      <c r="K41" s="1062"/>
    </row>
    <row r="42" spans="1:11" ht="13.9" customHeight="1" x14ac:dyDescent="0.25">
      <c r="A42" s="847">
        <f>Chem!A42</f>
        <v>40</v>
      </c>
      <c r="B42" s="855" t="str">
        <f>Chem!B42</f>
        <v>Thallium</v>
      </c>
      <c r="C42" s="552">
        <f>Param!O42</f>
        <v>1.0000000000000001E-5</v>
      </c>
      <c r="D42" s="552" t="str">
        <f>Param!V42</f>
        <v>na</v>
      </c>
      <c r="E42" s="670">
        <f>Param!AD42</f>
        <v>1</v>
      </c>
      <c r="F42" s="684">
        <f>IF(C42="na","na",C42*Eqtn!$D$111/E42)</f>
        <v>0.8</v>
      </c>
      <c r="G42" s="684" t="str">
        <f>IF(D42="na","na",Eqtn!$D$132/(D42*E42))</f>
        <v>na</v>
      </c>
      <c r="H42" s="694">
        <f>IF(C42="na","na",C42*Eqtn!$D$153/E42)</f>
        <v>35</v>
      </c>
      <c r="I42" s="132" t="str">
        <f>IF(D42="na","na",Eqtn!$D$174/(D42*E42))</f>
        <v>na</v>
      </c>
      <c r="K42" s="1062"/>
    </row>
    <row r="43" spans="1:11" ht="13.9" customHeight="1" x14ac:dyDescent="0.25">
      <c r="A43" s="847">
        <f>Chem!A43</f>
        <v>41</v>
      </c>
      <c r="B43" s="855" t="str">
        <f>Chem!B43</f>
        <v>Tin</v>
      </c>
      <c r="C43" s="552">
        <f>Param!O43</f>
        <v>0.6</v>
      </c>
      <c r="D43" s="552" t="str">
        <f>Param!V43</f>
        <v>na</v>
      </c>
      <c r="E43" s="670">
        <f>Param!AD43</f>
        <v>1</v>
      </c>
      <c r="F43" s="684">
        <f>IF(C43="na","na",C43*Eqtn!$D$111/E43)</f>
        <v>48000</v>
      </c>
      <c r="G43" s="684" t="str">
        <f>IF(D43="na","na",Eqtn!$D$132/(D43*E43))</f>
        <v>na</v>
      </c>
      <c r="H43" s="694">
        <f>IF(C43="na","na",C43*Eqtn!$D$153/E43)</f>
        <v>2100000</v>
      </c>
      <c r="I43" s="132" t="str">
        <f>IF(D43="na","na",Eqtn!$D$174/(D43*E43))</f>
        <v>na</v>
      </c>
      <c r="K43" s="1062"/>
    </row>
    <row r="44" spans="1:11" ht="13.9" customHeight="1" x14ac:dyDescent="0.25">
      <c r="A44" s="847">
        <f>Chem!A44</f>
        <v>42</v>
      </c>
      <c r="B44" s="855" t="str">
        <f>Chem!B44</f>
        <v>Vanadium</v>
      </c>
      <c r="C44" s="552">
        <f>Param!O44</f>
        <v>5.0000000000000001E-3</v>
      </c>
      <c r="D44" s="552" t="str">
        <f>Param!V44</f>
        <v>na</v>
      </c>
      <c r="E44" s="670">
        <f>Param!AD44</f>
        <v>1</v>
      </c>
      <c r="F44" s="684">
        <f>IF(C44="na","na",C44*Eqtn!$D$111/E44)</f>
        <v>400</v>
      </c>
      <c r="G44" s="684" t="str">
        <f>IF(D44="na","na",Eqtn!$D$132/(D44*E44))</f>
        <v>na</v>
      </c>
      <c r="H44" s="694">
        <f>IF(C44="na","na",C44*Eqtn!$D$153/E44)</f>
        <v>17500</v>
      </c>
      <c r="I44" s="132" t="str">
        <f>IF(D44="na","na",Eqtn!$D$174/(D44*E44))</f>
        <v>na</v>
      </c>
      <c r="K44" s="1062"/>
    </row>
    <row r="45" spans="1:11" ht="13.9" customHeight="1" x14ac:dyDescent="0.25">
      <c r="A45" s="844">
        <f>Chem!A45</f>
        <v>43</v>
      </c>
      <c r="B45" s="885" t="str">
        <f>Chem!B45</f>
        <v>Zinc</v>
      </c>
      <c r="C45" s="589">
        <f>Param!O45</f>
        <v>0.3</v>
      </c>
      <c r="D45" s="589" t="str">
        <f>Param!V45</f>
        <v>na</v>
      </c>
      <c r="E45" s="671">
        <f>Param!AD45</f>
        <v>1</v>
      </c>
      <c r="F45" s="685">
        <f>IF(C45="na","na",C45*Eqtn!$D$111/E45)</f>
        <v>24000</v>
      </c>
      <c r="G45" s="685" t="str">
        <f>IF(D45="na","na",Eqtn!$D$132/(D45*E45))</f>
        <v>na</v>
      </c>
      <c r="H45" s="707">
        <f>IF(C45="na","na",C45*Eqtn!$D$153/E45)</f>
        <v>1050000</v>
      </c>
      <c r="I45" s="702" t="str">
        <f>IF(D45="na","na",Eqtn!$D$174/(D45*E45))</f>
        <v>na</v>
      </c>
      <c r="K45" s="1062"/>
    </row>
    <row r="46" spans="1:11" ht="13.9" customHeight="1" x14ac:dyDescent="0.25">
      <c r="A46" s="906">
        <f>Chem!A46</f>
        <v>44</v>
      </c>
      <c r="B46" s="850" t="str">
        <f>Chem!B46</f>
        <v>Metals - Butyltins</v>
      </c>
      <c r="C46" s="311"/>
      <c r="D46" s="311"/>
      <c r="E46" s="351"/>
      <c r="F46" s="127"/>
      <c r="G46" s="127"/>
      <c r="H46" s="127"/>
      <c r="I46" s="2364"/>
      <c r="K46" s="1063"/>
    </row>
    <row r="47" spans="1:11" ht="13.9" customHeight="1" x14ac:dyDescent="0.25">
      <c r="A47" s="847">
        <f>Chem!A47</f>
        <v>45</v>
      </c>
      <c r="B47" s="860" t="str">
        <f>Chem!B47</f>
        <v>Monobutyltin</v>
      </c>
      <c r="C47" s="552" t="str">
        <f>Param!O47</f>
        <v>na</v>
      </c>
      <c r="D47" s="552" t="str">
        <f>Param!V47</f>
        <v>na</v>
      </c>
      <c r="E47" s="670" t="str">
        <f>Param!AD47</f>
        <v>na</v>
      </c>
      <c r="F47" s="684" t="str">
        <f>IF(C47="na","na",C47*Eqtn!$D$111/E47)</f>
        <v>na</v>
      </c>
      <c r="G47" s="684" t="str">
        <f>IF(D47="na","na",Eqtn!$D$132/(D47*E47))</f>
        <v>na</v>
      </c>
      <c r="H47" s="694" t="str">
        <f>IF(C47="na","na",C47*Eqtn!$D$153/E47)</f>
        <v>na</v>
      </c>
      <c r="I47" s="132" t="str">
        <f>IF(D47="na","na",Eqtn!$D$174/(D47*E47))</f>
        <v>na</v>
      </c>
      <c r="K47" s="1062"/>
    </row>
    <row r="48" spans="1:11" ht="13.9" customHeight="1" x14ac:dyDescent="0.25">
      <c r="A48" s="847">
        <f>Chem!A48</f>
        <v>46</v>
      </c>
      <c r="B48" s="855" t="str">
        <f>Chem!B48</f>
        <v>Dibutyltin</v>
      </c>
      <c r="C48" s="552" t="str">
        <f>Param!O48</f>
        <v>na</v>
      </c>
      <c r="D48" s="552" t="str">
        <f>Param!V48</f>
        <v>na</v>
      </c>
      <c r="E48" s="670" t="str">
        <f>Param!AD48</f>
        <v>na</v>
      </c>
      <c r="F48" s="684" t="str">
        <f>IF(C48="na","na",C48*Eqtn!$D$111/E48)</f>
        <v>na</v>
      </c>
      <c r="G48" s="684" t="str">
        <f>IF(D48="na","na",Eqtn!$D$132/(D48*E48))</f>
        <v>na</v>
      </c>
      <c r="H48" s="694" t="str">
        <f>IF(C48="na","na",C48*Eqtn!$D$153/E48)</f>
        <v>na</v>
      </c>
      <c r="I48" s="132" t="str">
        <f>IF(D48="na","na",Eqtn!$D$174/(D48*E48))</f>
        <v>na</v>
      </c>
      <c r="K48" s="1062"/>
    </row>
    <row r="49" spans="1:11" ht="13.9" customHeight="1" x14ac:dyDescent="0.25">
      <c r="A49" s="847">
        <f>Chem!A49</f>
        <v>47</v>
      </c>
      <c r="B49" s="855" t="str">
        <f>Chem!B49</f>
        <v>Tributyl tin</v>
      </c>
      <c r="C49" s="552" t="str">
        <f>Param!O49</f>
        <v>na</v>
      </c>
      <c r="D49" s="552" t="str">
        <f>Param!V49</f>
        <v>na</v>
      </c>
      <c r="E49" s="670">
        <f>Param!AD49</f>
        <v>1</v>
      </c>
      <c r="F49" s="684" t="str">
        <f>IF(C49="na","na",C49*Eqtn!$D$111/E49)</f>
        <v>na</v>
      </c>
      <c r="G49" s="684" t="str">
        <f>IF(D49="na","na",Eqtn!$D$132/(D49*E49))</f>
        <v>na</v>
      </c>
      <c r="H49" s="694" t="str">
        <f>IF(C49="na","na",C49*Eqtn!$D$153/E49)</f>
        <v>na</v>
      </c>
      <c r="I49" s="132" t="str">
        <f>IF(D49="na","na",Eqtn!$D$174/(D49*E49))</f>
        <v>na</v>
      </c>
      <c r="K49" s="1062"/>
    </row>
    <row r="50" spans="1:11" ht="13.9" customHeight="1" x14ac:dyDescent="0.25">
      <c r="A50" s="847">
        <f>Chem!A50</f>
        <v>48</v>
      </c>
      <c r="B50" s="855" t="str">
        <f>Chem!B50</f>
        <v>Tributyltin oxide</v>
      </c>
      <c r="C50" s="552">
        <f>Param!O50</f>
        <v>2.9999999999999997E-4</v>
      </c>
      <c r="D50" s="552" t="str">
        <f>Param!V50</f>
        <v>na</v>
      </c>
      <c r="E50" s="670">
        <f>Param!AD50</f>
        <v>1</v>
      </c>
      <c r="F50" s="684">
        <f>IF(C50="na","na",C50*Eqtn!$D$111/E50)</f>
        <v>23.999999999999996</v>
      </c>
      <c r="G50" s="684" t="str">
        <f>IF(D50="na","na",Eqtn!$D$132/(D50*E50))</f>
        <v>na</v>
      </c>
      <c r="H50" s="694">
        <f>IF(C50="na","na",C50*Eqtn!$D$153/E50)</f>
        <v>1050</v>
      </c>
      <c r="I50" s="132" t="str">
        <f>IF(D50="na","na",Eqtn!$D$174/(D50*E50))</f>
        <v>na</v>
      </c>
      <c r="K50" s="1062"/>
    </row>
    <row r="51" spans="1:11" ht="13.9" customHeight="1" x14ac:dyDescent="0.25">
      <c r="A51" s="847">
        <f>Chem!A51</f>
        <v>49</v>
      </c>
      <c r="B51" s="855" t="str">
        <f>Chem!B51</f>
        <v>Tetrabutyltin</v>
      </c>
      <c r="C51" s="552" t="str">
        <f>Param!O51</f>
        <v>na</v>
      </c>
      <c r="D51" s="552" t="str">
        <f>Param!V51</f>
        <v>na</v>
      </c>
      <c r="E51" s="670">
        <f>Param!AD51</f>
        <v>1</v>
      </c>
      <c r="F51" s="684" t="str">
        <f>IF(C51="na","na",C51*Eqtn!$D$111/E51)</f>
        <v>na</v>
      </c>
      <c r="G51" s="684" t="str">
        <f>IF(D51="na","na",Eqtn!$D$132/(D51*E51))</f>
        <v>na</v>
      </c>
      <c r="H51" s="694" t="str">
        <f>IF(C51="na","na",C51*Eqtn!$D$153/E51)</f>
        <v>na</v>
      </c>
      <c r="I51" s="132" t="str">
        <f>IF(D51="na","na",Eqtn!$D$174/(D51*E51))</f>
        <v>na</v>
      </c>
      <c r="K51" s="1062"/>
    </row>
    <row r="52" spans="1:11" ht="13.9" customHeight="1" x14ac:dyDescent="0.25">
      <c r="A52" s="906">
        <f>Chem!A52</f>
        <v>50</v>
      </c>
      <c r="B52" s="850" t="str">
        <f>Chem!B52</f>
        <v>SVOCs - PAHs</v>
      </c>
      <c r="C52" s="312"/>
      <c r="D52" s="311"/>
      <c r="E52" s="352"/>
      <c r="F52" s="127"/>
      <c r="G52" s="127"/>
      <c r="H52" s="127"/>
      <c r="I52" s="2364"/>
      <c r="K52" s="1063"/>
    </row>
    <row r="53" spans="1:11" ht="13.9" customHeight="1" x14ac:dyDescent="0.25">
      <c r="A53" s="846">
        <f>Chem!A53</f>
        <v>51</v>
      </c>
      <c r="B53" s="860" t="str">
        <f>Chem!B53</f>
        <v>Acenaphthene</v>
      </c>
      <c r="C53" s="591">
        <f>Param!O53</f>
        <v>0.06</v>
      </c>
      <c r="D53" s="591" t="str">
        <f>Param!V53</f>
        <v>na</v>
      </c>
      <c r="E53" s="672">
        <f>Param!AD53</f>
        <v>1</v>
      </c>
      <c r="F53" s="686">
        <f>IF(C53="na","na",C53*Eqtn!$D$111/E53)</f>
        <v>4800</v>
      </c>
      <c r="G53" s="686" t="str">
        <f>IF(D53="na","na",Eqtn!$D$132/(D53*E53))</f>
        <v>na</v>
      </c>
      <c r="H53" s="706">
        <f>IF(C53="na","na",C53*Eqtn!$D$153/E53)</f>
        <v>210000</v>
      </c>
      <c r="I53" s="704" t="str">
        <f>IF(D53="na","na",Eqtn!$D$174/(D53*E53))</f>
        <v>na</v>
      </c>
      <c r="K53" s="1062"/>
    </row>
    <row r="54" spans="1:11" ht="13.9" customHeight="1" x14ac:dyDescent="0.25">
      <c r="A54" s="847">
        <f>Chem!A54</f>
        <v>52</v>
      </c>
      <c r="B54" s="855" t="str">
        <f>Chem!B54</f>
        <v>Acenaphthylene</v>
      </c>
      <c r="C54" s="552" t="str">
        <f>Param!O54</f>
        <v>na</v>
      </c>
      <c r="D54" s="552" t="str">
        <f>Param!V54</f>
        <v>na</v>
      </c>
      <c r="E54" s="670" t="str">
        <f>Param!AD54</f>
        <v>na</v>
      </c>
      <c r="F54" s="684" t="str">
        <f>IF(C54="na","na",C54*Eqtn!$D$111/E54)</f>
        <v>na</v>
      </c>
      <c r="G54" s="684" t="str">
        <f>IF(D54="na","na",Eqtn!$D$132/(D54*E54))</f>
        <v>na</v>
      </c>
      <c r="H54" s="694" t="str">
        <f>IF(C54="na","na",C54*Eqtn!$D$153/E54)</f>
        <v>na</v>
      </c>
      <c r="I54" s="132" t="str">
        <f>IF(D54="na","na",Eqtn!$D$174/(D54*E54))</f>
        <v>na</v>
      </c>
      <c r="K54" s="1062"/>
    </row>
    <row r="55" spans="1:11" ht="13.9" customHeight="1" x14ac:dyDescent="0.25">
      <c r="A55" s="847">
        <f>Chem!A55</f>
        <v>53</v>
      </c>
      <c r="B55" s="855" t="str">
        <f>Chem!B55</f>
        <v>Anthracene</v>
      </c>
      <c r="C55" s="552">
        <f>Param!O55</f>
        <v>0.3</v>
      </c>
      <c r="D55" s="552" t="str">
        <f>Param!V55</f>
        <v>na</v>
      </c>
      <c r="E55" s="670">
        <f>Param!AD55</f>
        <v>1</v>
      </c>
      <c r="F55" s="684">
        <f>IF(C55="na","na",C55*Eqtn!$D$111/E55)</f>
        <v>24000</v>
      </c>
      <c r="G55" s="684" t="str">
        <f>IF(D55="na","na",Eqtn!$D$132/(D55*E55))</f>
        <v>na</v>
      </c>
      <c r="H55" s="694">
        <f>IF(C55="na","na",C55*Eqtn!$D$153/E55)</f>
        <v>1050000</v>
      </c>
      <c r="I55" s="132" t="str">
        <f>IF(D55="na","na",Eqtn!$D$174/(D55*E55))</f>
        <v>na</v>
      </c>
      <c r="K55" s="1062"/>
    </row>
    <row r="56" spans="1:11" ht="13.9" customHeight="1" x14ac:dyDescent="0.25">
      <c r="A56" s="847">
        <f>Chem!A56</f>
        <v>54</v>
      </c>
      <c r="B56" s="855" t="str">
        <f>Chem!B56</f>
        <v>Benzo(a)anthracene</v>
      </c>
      <c r="C56" s="552" t="str">
        <f>Param!O56</f>
        <v>na</v>
      </c>
      <c r="D56" s="552" t="str">
        <f>Param!V56</f>
        <v>na</v>
      </c>
      <c r="E56" s="670">
        <f>Param!AD56</f>
        <v>1</v>
      </c>
      <c r="F56" s="684" t="str">
        <f>IF(C56="na","na",C56*Eqtn!$D$111/E56)</f>
        <v>na</v>
      </c>
      <c r="G56" s="684" t="str">
        <f>IF(D56="na","na",Eqtn!$D$132/(D56*E56))</f>
        <v>na</v>
      </c>
      <c r="H56" s="694" t="str">
        <f>IF(C56="na","na",C56*Eqtn!$D$153/E56)</f>
        <v>na</v>
      </c>
      <c r="I56" s="132" t="str">
        <f>IF(D56="na","na",Eqtn!$D$174/(D56*E56))</f>
        <v>na</v>
      </c>
      <c r="K56" s="1062"/>
    </row>
    <row r="57" spans="1:11" ht="13.9" customHeight="1" x14ac:dyDescent="0.25">
      <c r="A57" s="847">
        <f>Chem!A57</f>
        <v>55</v>
      </c>
      <c r="B57" s="855" t="str">
        <f>Chem!B57</f>
        <v>Benzo(b)fluoranthene</v>
      </c>
      <c r="C57" s="552" t="str">
        <f>Param!O57</f>
        <v>na</v>
      </c>
      <c r="D57" s="552" t="str">
        <f>Param!V57</f>
        <v>na</v>
      </c>
      <c r="E57" s="670">
        <f>Param!AD57</f>
        <v>1</v>
      </c>
      <c r="F57" s="684" t="str">
        <f>IF(C57="na","na",C57*Eqtn!$D$111/E57)</f>
        <v>na</v>
      </c>
      <c r="G57" s="684" t="str">
        <f>IF(D57="na","na",Eqtn!$D$132/(D57*E57))</f>
        <v>na</v>
      </c>
      <c r="H57" s="694" t="str">
        <f>IF(C57="na","na",C57*Eqtn!$D$153/E57)</f>
        <v>na</v>
      </c>
      <c r="I57" s="132" t="str">
        <f>IF(D57="na","na",Eqtn!$D$174/(D57*E57))</f>
        <v>na</v>
      </c>
      <c r="K57" s="1062"/>
    </row>
    <row r="58" spans="1:11" ht="13.9" customHeight="1" x14ac:dyDescent="0.25">
      <c r="A58" s="847">
        <f>Chem!A58</f>
        <v>56</v>
      </c>
      <c r="B58" s="855" t="str">
        <f>Chem!B58</f>
        <v>Benzo(k)fluoranthene</v>
      </c>
      <c r="C58" s="552" t="str">
        <f>Param!O58</f>
        <v>na</v>
      </c>
      <c r="D58" s="552" t="str">
        <f>Param!V58</f>
        <v>na</v>
      </c>
      <c r="E58" s="670">
        <f>Param!AD58</f>
        <v>1</v>
      </c>
      <c r="F58" s="684" t="str">
        <f>IF(C58="na","na",C58*Eqtn!$D$111/E58)</f>
        <v>na</v>
      </c>
      <c r="G58" s="684" t="str">
        <f>IF(D58="na","na",Eqtn!$D$132/(D58*E58))</f>
        <v>na</v>
      </c>
      <c r="H58" s="694" t="str">
        <f>IF(C58="na","na",C58*Eqtn!$D$153/E58)</f>
        <v>na</v>
      </c>
      <c r="I58" s="132" t="str">
        <f>IF(D58="na","na",Eqtn!$D$174/(D58*E58))</f>
        <v>na</v>
      </c>
      <c r="K58" s="1062"/>
    </row>
    <row r="59" spans="1:11" ht="13.9" customHeight="1" x14ac:dyDescent="0.25">
      <c r="A59" s="847">
        <f>Chem!A59</f>
        <v>57</v>
      </c>
      <c r="B59" s="855" t="str">
        <f>Chem!B59</f>
        <v>Total benzofluoranthenes</v>
      </c>
      <c r="C59" s="552" t="str">
        <f>Param!O59</f>
        <v>na</v>
      </c>
      <c r="D59" s="552" t="str">
        <f>Param!V59</f>
        <v>na</v>
      </c>
      <c r="E59" s="670" t="str">
        <f>Param!AD59</f>
        <v>na</v>
      </c>
      <c r="F59" s="684" t="str">
        <f>IF(C59="na","na",C59*Eqtn!$D$111/E59)</f>
        <v>na</v>
      </c>
      <c r="G59" s="684" t="str">
        <f>IF(D59="na","na",Eqtn!$D$132/(D59*E59))</f>
        <v>na</v>
      </c>
      <c r="H59" s="694" t="str">
        <f>IF(C59="na","na",C59*Eqtn!$D$153/E59)</f>
        <v>na</v>
      </c>
      <c r="I59" s="132" t="str">
        <f>IF(D59="na","na",Eqtn!$D$174/(D59*E59))</f>
        <v>na</v>
      </c>
      <c r="K59" s="1062"/>
    </row>
    <row r="60" spans="1:11" ht="13.9" customHeight="1" x14ac:dyDescent="0.25">
      <c r="A60" s="847">
        <f>Chem!A60</f>
        <v>58</v>
      </c>
      <c r="B60" s="855" t="str">
        <f>Chem!B60</f>
        <v>Benzo(g,h,i)perylene</v>
      </c>
      <c r="C60" s="552" t="str">
        <f>Param!O60</f>
        <v>na</v>
      </c>
      <c r="D60" s="552" t="str">
        <f>Param!V60</f>
        <v>na</v>
      </c>
      <c r="E60" s="670" t="str">
        <f>Param!AD60</f>
        <v>na</v>
      </c>
      <c r="F60" s="684" t="str">
        <f>IF(C60="na","na",C60*Eqtn!$D$111/E60)</f>
        <v>na</v>
      </c>
      <c r="G60" s="684" t="str">
        <f>IF(D60="na","na",Eqtn!$D$132/(D60*E60))</f>
        <v>na</v>
      </c>
      <c r="H60" s="694" t="str">
        <f>IF(C60="na","na",C60*Eqtn!$D$153/E60)</f>
        <v>na</v>
      </c>
      <c r="I60" s="132" t="str">
        <f>IF(D60="na","na",Eqtn!$D$174/(D60*E60))</f>
        <v>na</v>
      </c>
      <c r="K60" s="1062"/>
    </row>
    <row r="61" spans="1:11" ht="13.9" customHeight="1" x14ac:dyDescent="0.25">
      <c r="A61" s="847">
        <f>Chem!A61</f>
        <v>59</v>
      </c>
      <c r="B61" s="855" t="str">
        <f>Chem!B61</f>
        <v>Benzo(a)pyrene</v>
      </c>
      <c r="C61" s="557" t="s">
        <v>232</v>
      </c>
      <c r="D61" s="557" t="s">
        <v>232</v>
      </c>
      <c r="E61" s="670">
        <f>Param!AD61</f>
        <v>1</v>
      </c>
      <c r="F61" s="684" t="str">
        <f>IF(C61="na","na",C61*Eqtn!$D$111/E61)</f>
        <v>na</v>
      </c>
      <c r="G61" s="684" t="str">
        <f>IF(D61="na","na",Eqtn!$D$132/(D61*E61))</f>
        <v>na</v>
      </c>
      <c r="H61" s="694" t="str">
        <f>IF(C61="na","na",C61*Eqtn!$D$153/E61)</f>
        <v>na</v>
      </c>
      <c r="I61" s="132" t="str">
        <f>IF(D61="na","na",Eqtn!$D$174/(D61*E61))</f>
        <v>na</v>
      </c>
      <c r="K61" s="1062"/>
    </row>
    <row r="62" spans="1:11" ht="13.9" customHeight="1" x14ac:dyDescent="0.25">
      <c r="A62" s="847">
        <f>Chem!A62</f>
        <v>60</v>
      </c>
      <c r="B62" s="855" t="str">
        <f>Chem!B62</f>
        <v>Chrysene</v>
      </c>
      <c r="C62" s="552" t="str">
        <f>Param!O62</f>
        <v>na</v>
      </c>
      <c r="D62" s="552" t="str">
        <f>Param!V62</f>
        <v>na</v>
      </c>
      <c r="E62" s="670">
        <f>Param!AD62</f>
        <v>1</v>
      </c>
      <c r="F62" s="684" t="str">
        <f>IF(C62="na","na",C62*Eqtn!$D$111/E62)</f>
        <v>na</v>
      </c>
      <c r="G62" s="684" t="str">
        <f>IF(D62="na","na",Eqtn!$D$132/(D62*E62))</f>
        <v>na</v>
      </c>
      <c r="H62" s="694" t="str">
        <f>IF(C62="na","na",C62*Eqtn!$D$153/E62)</f>
        <v>na</v>
      </c>
      <c r="I62" s="132" t="str">
        <f>IF(D62="na","na",Eqtn!$D$174/(D62*E62))</f>
        <v>na</v>
      </c>
      <c r="K62" s="1062"/>
    </row>
    <row r="63" spans="1:11" ht="13.9" customHeight="1" x14ac:dyDescent="0.25">
      <c r="A63" s="847">
        <f>Chem!A63</f>
        <v>61</v>
      </c>
      <c r="B63" s="855" t="str">
        <f>Chem!B63</f>
        <v>Dibenz(a,h)anthracene</v>
      </c>
      <c r="C63" s="552" t="str">
        <f>Param!O63</f>
        <v>na</v>
      </c>
      <c r="D63" s="552" t="str">
        <f>Param!V63</f>
        <v>na</v>
      </c>
      <c r="E63" s="670">
        <f>Param!AD63</f>
        <v>1</v>
      </c>
      <c r="F63" s="684" t="str">
        <f>IF(C63="na","na",C63*Eqtn!$D$111/E63)</f>
        <v>na</v>
      </c>
      <c r="G63" s="684" t="str">
        <f>IF(D63="na","na",Eqtn!$D$132/(D63*E63))</f>
        <v>na</v>
      </c>
      <c r="H63" s="694" t="str">
        <f>IF(C63="na","na",C63*Eqtn!$D$153/E63)</f>
        <v>na</v>
      </c>
      <c r="I63" s="132" t="str">
        <f>IF(D63="na","na",Eqtn!$D$174/(D63*E63))</f>
        <v>na</v>
      </c>
      <c r="K63" s="1062"/>
    </row>
    <row r="64" spans="1:11" ht="13.9" customHeight="1" x14ac:dyDescent="0.25">
      <c r="A64" s="847">
        <f>Chem!A64</f>
        <v>62</v>
      </c>
      <c r="B64" s="855" t="str">
        <f>Chem!B64</f>
        <v>Dibenzofuran</v>
      </c>
      <c r="C64" s="552">
        <f>Param!O64</f>
        <v>1E-3</v>
      </c>
      <c r="D64" s="552" t="str">
        <f>Param!V64</f>
        <v>na</v>
      </c>
      <c r="E64" s="670">
        <f>Param!AD64</f>
        <v>1</v>
      </c>
      <c r="F64" s="684">
        <f>IF(C64="na","na",C64*Eqtn!$D$111/E64)</f>
        <v>80</v>
      </c>
      <c r="G64" s="684" t="str">
        <f>IF(D64="na","na",Eqtn!$D$132/(D64*E64))</f>
        <v>na</v>
      </c>
      <c r="H64" s="694">
        <f>IF(C64="na","na",C64*Eqtn!$D$153/E64)</f>
        <v>3500</v>
      </c>
      <c r="I64" s="132" t="str">
        <f>IF(D64="na","na",Eqtn!$D$174/(D64*E64))</f>
        <v>na</v>
      </c>
      <c r="K64" s="1062"/>
    </row>
    <row r="65" spans="1:11" ht="13.9" customHeight="1" x14ac:dyDescent="0.25">
      <c r="A65" s="847">
        <f>Chem!A65</f>
        <v>63</v>
      </c>
      <c r="B65" s="855" t="str">
        <f>Chem!B65</f>
        <v>Fluoranthene</v>
      </c>
      <c r="C65" s="552">
        <f>Param!O65</f>
        <v>0.04</v>
      </c>
      <c r="D65" s="552" t="str">
        <f>Param!V65</f>
        <v>na</v>
      </c>
      <c r="E65" s="670">
        <f>Param!AD65</f>
        <v>1</v>
      </c>
      <c r="F65" s="684">
        <f>IF(C65="na","na",C65*Eqtn!$D$111/E65)</f>
        <v>3200</v>
      </c>
      <c r="G65" s="684" t="str">
        <f>IF(D65="na","na",Eqtn!$D$132/(D65*E65))</f>
        <v>na</v>
      </c>
      <c r="H65" s="694">
        <f>IF(C65="na","na",C65*Eqtn!$D$153/E65)</f>
        <v>140000</v>
      </c>
      <c r="I65" s="132" t="str">
        <f>IF(D65="na","na",Eqtn!$D$174/(D65*E65))</f>
        <v>na</v>
      </c>
      <c r="K65" s="1062"/>
    </row>
    <row r="66" spans="1:11" ht="13.9" customHeight="1" x14ac:dyDescent="0.25">
      <c r="A66" s="847">
        <f>Chem!A66</f>
        <v>64</v>
      </c>
      <c r="B66" s="855" t="str">
        <f>Chem!B66</f>
        <v>Fluorene</v>
      </c>
      <c r="C66" s="552">
        <f>Param!O66</f>
        <v>0.04</v>
      </c>
      <c r="D66" s="552" t="str">
        <f>Param!V66</f>
        <v>na</v>
      </c>
      <c r="E66" s="670">
        <f>Param!AD66</f>
        <v>1</v>
      </c>
      <c r="F66" s="684">
        <f>IF(C66="na","na",C66*Eqtn!$D$111/E66)</f>
        <v>3200</v>
      </c>
      <c r="G66" s="684" t="str">
        <f>IF(D66="na","na",Eqtn!$D$132/(D66*E66))</f>
        <v>na</v>
      </c>
      <c r="H66" s="694">
        <f>IF(C66="na","na",C66*Eqtn!$D$153/E66)</f>
        <v>140000</v>
      </c>
      <c r="I66" s="132" t="str">
        <f>IF(D66="na","na",Eqtn!$D$174/(D66*E66))</f>
        <v>na</v>
      </c>
      <c r="K66" s="1062"/>
    </row>
    <row r="67" spans="1:11" ht="13.9" customHeight="1" x14ac:dyDescent="0.25">
      <c r="A67" s="847">
        <f>Chem!A67</f>
        <v>65</v>
      </c>
      <c r="B67" s="855" t="str">
        <f>Chem!B67</f>
        <v>Indeno(1,2,3-cd)pyrene</v>
      </c>
      <c r="C67" s="552" t="str">
        <f>Param!O67</f>
        <v>na</v>
      </c>
      <c r="D67" s="552" t="str">
        <f>Param!V67</f>
        <v>na</v>
      </c>
      <c r="E67" s="670">
        <f>Param!AD67</f>
        <v>1</v>
      </c>
      <c r="F67" s="684" t="str">
        <f>IF(C67="na","na",C67*Eqtn!$D$111/E67)</f>
        <v>na</v>
      </c>
      <c r="G67" s="684" t="str">
        <f>IF(D67="na","na",Eqtn!$D$132/(D67*E67))</f>
        <v>na</v>
      </c>
      <c r="H67" s="694" t="str">
        <f>IF(C67="na","na",C67*Eqtn!$D$153/E67)</f>
        <v>na</v>
      </c>
      <c r="I67" s="132" t="str">
        <f>IF(D67="na","na",Eqtn!$D$174/(D67*E67))</f>
        <v>na</v>
      </c>
      <c r="K67" s="1062"/>
    </row>
    <row r="68" spans="1:11" ht="13.9" customHeight="1" x14ac:dyDescent="0.25">
      <c r="A68" s="847">
        <f>Chem!A68</f>
        <v>66</v>
      </c>
      <c r="B68" s="855" t="str">
        <f>Chem!B68</f>
        <v>Methyl isopropyl phenanthrene (retene)</v>
      </c>
      <c r="C68" s="552" t="str">
        <f>Param!O68</f>
        <v>na</v>
      </c>
      <c r="D68" s="552" t="str">
        <f>Param!V68</f>
        <v>na</v>
      </c>
      <c r="E68" s="670" t="str">
        <f>Param!AD68</f>
        <v>na</v>
      </c>
      <c r="F68" s="684" t="str">
        <f>IF(C68="na","na",C68*Eqtn!$D$111/E68)</f>
        <v>na</v>
      </c>
      <c r="G68" s="684" t="str">
        <f>IF(D68="na","na",Eqtn!$D$132/(D68*E68))</f>
        <v>na</v>
      </c>
      <c r="H68" s="694" t="str">
        <f>IF(C68="na","na",C68*Eqtn!$D$153/E68)</f>
        <v>na</v>
      </c>
      <c r="I68" s="132" t="str">
        <f>IF(D68="na","na",Eqtn!$D$174/(D68*E68))</f>
        <v>na</v>
      </c>
      <c r="K68" s="1062"/>
    </row>
    <row r="69" spans="1:11" ht="13.9" customHeight="1" x14ac:dyDescent="0.25">
      <c r="A69" s="847">
        <f>Chem!A69</f>
        <v>67</v>
      </c>
      <c r="B69" s="855" t="str">
        <f>Chem!B69</f>
        <v>1-Methylnaphthalene</v>
      </c>
      <c r="C69" s="552">
        <f>Param!O69</f>
        <v>7.0000000000000007E-2</v>
      </c>
      <c r="D69" s="552">
        <f>Param!V69</f>
        <v>5.0999999999999997E-2</v>
      </c>
      <c r="E69" s="670">
        <f>Param!AD69</f>
        <v>1</v>
      </c>
      <c r="F69" s="684">
        <f>IF(C69="na","na",C69*Eqtn!$D$111/E69)</f>
        <v>5600.0000000000009</v>
      </c>
      <c r="G69" s="684">
        <f>IF(D69="na","na",Eqtn!$D$132/(D69*E69))</f>
        <v>19.607843137254903</v>
      </c>
      <c r="H69" s="694">
        <f>IF(C69="na","na",C69*Eqtn!$D$153/E69)</f>
        <v>245000.00000000003</v>
      </c>
      <c r="I69" s="132">
        <f>IF(D69="na","na",Eqtn!$D$174/(D69*E69))</f>
        <v>2573.5294117647068</v>
      </c>
      <c r="K69" s="1062"/>
    </row>
    <row r="70" spans="1:11" ht="13.9" customHeight="1" x14ac:dyDescent="0.25">
      <c r="A70" s="847">
        <f>Chem!A70</f>
        <v>68</v>
      </c>
      <c r="B70" s="855" t="str">
        <f>Chem!B70</f>
        <v>2-Methylnaphthalene</v>
      </c>
      <c r="C70" s="552">
        <f>Param!O70</f>
        <v>4.0000000000000001E-3</v>
      </c>
      <c r="D70" s="552" t="str">
        <f>Param!V70</f>
        <v>na</v>
      </c>
      <c r="E70" s="670">
        <f>Param!AD70</f>
        <v>1</v>
      </c>
      <c r="F70" s="684">
        <f>IF(C70="na","na",C70*Eqtn!$D$111/E70)</f>
        <v>320</v>
      </c>
      <c r="G70" s="684" t="str">
        <f>IF(D70="na","na",Eqtn!$D$132/(D70*E70))</f>
        <v>na</v>
      </c>
      <c r="H70" s="694">
        <f>IF(C70="na","na",C70*Eqtn!$D$153/E70)</f>
        <v>14000</v>
      </c>
      <c r="I70" s="132" t="str">
        <f>IF(D70="na","na",Eqtn!$D$174/(D70*E70))</f>
        <v>na</v>
      </c>
      <c r="K70" s="1062"/>
    </row>
    <row r="71" spans="1:11" ht="13.9" customHeight="1" x14ac:dyDescent="0.25">
      <c r="A71" s="847">
        <f>Chem!A71</f>
        <v>69</v>
      </c>
      <c r="B71" s="855" t="str">
        <f>Chem!B71</f>
        <v>Naphthalene</v>
      </c>
      <c r="C71" s="552">
        <f>Param!O71</f>
        <v>0.02</v>
      </c>
      <c r="D71" s="552" t="str">
        <f>Param!V71</f>
        <v>na</v>
      </c>
      <c r="E71" s="670">
        <f>Param!AD71</f>
        <v>1</v>
      </c>
      <c r="F71" s="684">
        <f>IF(C71="na","na",C71*Eqtn!$D$111/E71)</f>
        <v>1600</v>
      </c>
      <c r="G71" s="684" t="str">
        <f>IF(D71="na","na",Eqtn!$D$132/(D71*E71))</f>
        <v>na</v>
      </c>
      <c r="H71" s="694">
        <f>IF(C71="na","na",C71*Eqtn!$D$153/E71)</f>
        <v>70000</v>
      </c>
      <c r="I71" s="132" t="str">
        <f>IF(D71="na","na",Eqtn!$D$174/(D71*E71))</f>
        <v>na</v>
      </c>
      <c r="K71" s="1062"/>
    </row>
    <row r="72" spans="1:11" ht="13.9" customHeight="1" x14ac:dyDescent="0.25">
      <c r="A72" s="847">
        <f>Chem!A72</f>
        <v>70</v>
      </c>
      <c r="B72" s="855" t="str">
        <f>Chem!B72</f>
        <v>Phenanthrene</v>
      </c>
      <c r="C72" s="552" t="str">
        <f>Param!O72</f>
        <v>na</v>
      </c>
      <c r="D72" s="552" t="str">
        <f>Param!V72</f>
        <v>na</v>
      </c>
      <c r="E72" s="670" t="str">
        <f>Param!AD72</f>
        <v>na</v>
      </c>
      <c r="F72" s="684" t="str">
        <f>IF(C72="na","na",C72*Eqtn!$D$111/E72)</f>
        <v>na</v>
      </c>
      <c r="G72" s="684" t="str">
        <f>IF(D72="na","na",Eqtn!$D$132/(D72*E72))</f>
        <v>na</v>
      </c>
      <c r="H72" s="694" t="str">
        <f>IF(C72="na","na",C72*Eqtn!$D$153/E72)</f>
        <v>na</v>
      </c>
      <c r="I72" s="132" t="str">
        <f>IF(D72="na","na",Eqtn!$D$174/(D72*E72))</f>
        <v>na</v>
      </c>
      <c r="K72" s="1062"/>
    </row>
    <row r="73" spans="1:11" ht="13.9" customHeight="1" x14ac:dyDescent="0.25">
      <c r="A73" s="847">
        <f>Chem!A73</f>
        <v>71</v>
      </c>
      <c r="B73" s="855" t="str">
        <f>Chem!B73</f>
        <v>Pyrene</v>
      </c>
      <c r="C73" s="552">
        <f>Param!O73</f>
        <v>0.03</v>
      </c>
      <c r="D73" s="552" t="str">
        <f>Param!V73</f>
        <v>na</v>
      </c>
      <c r="E73" s="670">
        <f>Param!AD73</f>
        <v>1</v>
      </c>
      <c r="F73" s="684">
        <f>IF(C73="na","na",C73*Eqtn!$D$111/E73)</f>
        <v>2400</v>
      </c>
      <c r="G73" s="684" t="str">
        <f>IF(D73="na","na",Eqtn!$D$132/(D73*E73))</f>
        <v>na</v>
      </c>
      <c r="H73" s="694">
        <f>IF(C73="na","na",C73*Eqtn!$D$153/E73)</f>
        <v>105000</v>
      </c>
      <c r="I73" s="132" t="str">
        <f>IF(D73="na","na",Eqtn!$D$174/(D73*E73))</f>
        <v>na</v>
      </c>
      <c r="K73" s="1062"/>
    </row>
    <row r="74" spans="1:11" ht="13.9" customHeight="1" x14ac:dyDescent="0.25">
      <c r="A74" s="847">
        <f>Chem!A74</f>
        <v>72</v>
      </c>
      <c r="B74" s="855" t="str">
        <f>Chem!B74</f>
        <v>Total LPAHs</v>
      </c>
      <c r="C74" s="552" t="str">
        <f>Param!O74</f>
        <v>na</v>
      </c>
      <c r="D74" s="552" t="str">
        <f>Param!V74</f>
        <v>na</v>
      </c>
      <c r="E74" s="670" t="str">
        <f>Param!AD74</f>
        <v>na</v>
      </c>
      <c r="F74" s="684" t="str">
        <f>IF(C74="na","na",C74*Eqtn!$D$111/E74)</f>
        <v>na</v>
      </c>
      <c r="G74" s="684" t="str">
        <f>IF(D74="na","na",Eqtn!$D$132/(D74*E74))</f>
        <v>na</v>
      </c>
      <c r="H74" s="694" t="str">
        <f>IF(C74="na","na",C74*Eqtn!$D$153/E74)</f>
        <v>na</v>
      </c>
      <c r="I74" s="132" t="str">
        <f>IF(D74="na","na",Eqtn!$D$174/(D74*E74))</f>
        <v>na</v>
      </c>
      <c r="K74" s="1062"/>
    </row>
    <row r="75" spans="1:11" ht="13.9" customHeight="1" x14ac:dyDescent="0.25">
      <c r="A75" s="847">
        <f>Chem!A75</f>
        <v>73</v>
      </c>
      <c r="B75" s="855" t="str">
        <f>Chem!B75</f>
        <v>Total HPAHs</v>
      </c>
      <c r="C75" s="552" t="str">
        <f>Param!O75</f>
        <v>na</v>
      </c>
      <c r="D75" s="552" t="str">
        <f>Param!V75</f>
        <v>na</v>
      </c>
      <c r="E75" s="670" t="str">
        <f>Param!AD75</f>
        <v>na</v>
      </c>
      <c r="F75" s="684" t="str">
        <f>IF(C75="na","na",C75*Eqtn!$D$111/E75)</f>
        <v>na</v>
      </c>
      <c r="G75" s="684" t="str">
        <f>IF(D75="na","na",Eqtn!$D$132/(D75*E75))</f>
        <v>na</v>
      </c>
      <c r="H75" s="694" t="str">
        <f>IF(C75="na","na",C75*Eqtn!$D$153/E75)</f>
        <v>na</v>
      </c>
      <c r="I75" s="132" t="str">
        <f>IF(D75="na","na",Eqtn!$D$174/(D75*E75))</f>
        <v>na</v>
      </c>
      <c r="K75" s="1062"/>
    </row>
    <row r="76" spans="1:11" ht="13.9" customHeight="1" x14ac:dyDescent="0.25">
      <c r="A76" s="842">
        <f>Chem!A76</f>
        <v>74</v>
      </c>
      <c r="B76" s="855" t="str">
        <f>Chem!B76</f>
        <v>Total PAHs</v>
      </c>
      <c r="C76" s="552" t="str">
        <f>Param!O76</f>
        <v>na</v>
      </c>
      <c r="D76" s="552" t="str">
        <f>Param!V76</f>
        <v>na</v>
      </c>
      <c r="E76" s="670" t="str">
        <f>Param!AD76</f>
        <v>na</v>
      </c>
      <c r="F76" s="684" t="str">
        <f>IF(C76="na","na",C76*Eqtn!$D$111/E76)</f>
        <v>na</v>
      </c>
      <c r="G76" s="684" t="str">
        <f>IF(D76="na","na",Eqtn!$D$132/(D76*E76))</f>
        <v>na</v>
      </c>
      <c r="H76" s="694" t="str">
        <f>IF(C76="na","na",C76*Eqtn!$D$153/E76)</f>
        <v>na</v>
      </c>
      <c r="I76" s="132" t="str">
        <f>IF(D76="na","na",Eqtn!$D$174/(D76*E76))</f>
        <v>na</v>
      </c>
      <c r="K76" s="1062"/>
    </row>
    <row r="77" spans="1:11" ht="13.9" customHeight="1" x14ac:dyDescent="0.25">
      <c r="A77" s="844">
        <f>Chem!A77</f>
        <v>75</v>
      </c>
      <c r="B77" s="1849" t="str">
        <f>Chem!B77</f>
        <v>Total cPAH TEQ</v>
      </c>
      <c r="C77" s="589" t="str">
        <f>Param!O77</f>
        <v>na</v>
      </c>
      <c r="D77" s="589">
        <f>Param!V77</f>
        <v>1</v>
      </c>
      <c r="E77" s="671">
        <f>Param!AD77</f>
        <v>1</v>
      </c>
      <c r="F77" s="685" t="str">
        <f>IF(C77="na","na",C77*Eqtn!$D$111/E77)</f>
        <v>na</v>
      </c>
      <c r="G77" s="694">
        <v>0.1875</v>
      </c>
      <c r="H77" s="707" t="str">
        <f>IF(C77="na","na",C77*Eqtn!$D$153/E77)</f>
        <v>na</v>
      </c>
      <c r="I77" s="702" t="str">
        <f>I61</f>
        <v>na</v>
      </c>
      <c r="K77" s="1062"/>
    </row>
    <row r="78" spans="1:11" ht="13.9" customHeight="1" x14ac:dyDescent="0.25">
      <c r="A78" s="906">
        <f>Chem!A78</f>
        <v>76</v>
      </c>
      <c r="B78" s="850" t="str">
        <f>Chem!B78</f>
        <v>Other SVOCs</v>
      </c>
      <c r="C78" s="127"/>
      <c r="D78" s="127"/>
      <c r="E78" s="2363"/>
      <c r="F78" s="127"/>
      <c r="G78" s="127"/>
      <c r="H78" s="127"/>
      <c r="I78" s="2364"/>
      <c r="K78" s="1063"/>
    </row>
    <row r="79" spans="1:11" ht="13.9" customHeight="1" x14ac:dyDescent="0.25">
      <c r="A79" s="846">
        <f>Chem!A79</f>
        <v>77</v>
      </c>
      <c r="B79" s="860" t="str">
        <f>Chem!B79</f>
        <v>Aniline</v>
      </c>
      <c r="C79" s="591">
        <f>Param!O79</f>
        <v>7.0000000000000001E-3</v>
      </c>
      <c r="D79" s="591">
        <f>Param!V79</f>
        <v>5.7000000000000002E-3</v>
      </c>
      <c r="E79" s="672">
        <f>Param!AD79</f>
        <v>1</v>
      </c>
      <c r="F79" s="686">
        <f>IF(C79="na","na",C79*Eqtn!$D$111/E79)</f>
        <v>560</v>
      </c>
      <c r="G79" s="686">
        <f>IF(D79="na","na",Eqtn!$D$132/(D79*E79))</f>
        <v>175.43859649122805</v>
      </c>
      <c r="H79" s="706">
        <f>IF(C79="na","na",C79*Eqtn!$D$153/E79)</f>
        <v>24500</v>
      </c>
      <c r="I79" s="704">
        <f>IF(D79="na","na",Eqtn!$D$174/(D79*E79))</f>
        <v>23026.315789473687</v>
      </c>
      <c r="K79" s="1062"/>
    </row>
    <row r="80" spans="1:11" ht="13.9" customHeight="1" x14ac:dyDescent="0.25">
      <c r="A80" s="847">
        <f>Chem!A80</f>
        <v>78</v>
      </c>
      <c r="B80" s="855" t="str">
        <f>Chem!B80</f>
        <v>Azobenzene</v>
      </c>
      <c r="C80" s="552" t="str">
        <f>Param!O80</f>
        <v>na</v>
      </c>
      <c r="D80" s="552">
        <f>Param!V80</f>
        <v>0.11</v>
      </c>
      <c r="E80" s="670">
        <f>Param!AD80</f>
        <v>1</v>
      </c>
      <c r="F80" s="684" t="str">
        <f>IF(C80="na","na",C80*Eqtn!$D$111/E80)</f>
        <v>na</v>
      </c>
      <c r="G80" s="684">
        <f>IF(D80="na","na",Eqtn!$D$132/(D80*E80))</f>
        <v>9.0909090909090917</v>
      </c>
      <c r="H80" s="694" t="str">
        <f>IF(C80="na","na",C80*Eqtn!$D$153/E80)</f>
        <v>na</v>
      </c>
      <c r="I80" s="132">
        <f>IF(D80="na","na",Eqtn!$D$174/(D80*E80))</f>
        <v>1193.1818181818185</v>
      </c>
      <c r="K80" s="1062"/>
    </row>
    <row r="81" spans="1:11" ht="13.9" customHeight="1" x14ac:dyDescent="0.25">
      <c r="A81" s="847">
        <f>Chem!A81</f>
        <v>79</v>
      </c>
      <c r="B81" s="1848" t="str">
        <f>Chem!B81</f>
        <v>Benzidine</v>
      </c>
      <c r="C81" s="552">
        <f>Param!O81</f>
        <v>3.0000000000000001E-3</v>
      </c>
      <c r="D81" s="552">
        <f>Param!V81</f>
        <v>230</v>
      </c>
      <c r="E81" s="670">
        <f>Param!AD81</f>
        <v>1</v>
      </c>
      <c r="F81" s="684">
        <f>IF(C81="na","na",C81*Eqtn!$D$111/E81)</f>
        <v>240</v>
      </c>
      <c r="G81" s="694">
        <v>8.1999999999999998E-4</v>
      </c>
      <c r="H81" s="694">
        <f>IF(C81="na","na",C81*Eqtn!$D$153/E81)</f>
        <v>10500</v>
      </c>
      <c r="I81" s="132">
        <f>IF(D81="na","na",Eqtn!$D$174/(D81*E81))</f>
        <v>0.57065217391304357</v>
      </c>
      <c r="K81" s="1062"/>
    </row>
    <row r="82" spans="1:11" ht="13.9" customHeight="1" x14ac:dyDescent="0.25">
      <c r="A82" s="847">
        <f>Chem!A82</f>
        <v>80</v>
      </c>
      <c r="B82" s="855" t="str">
        <f>Chem!B82</f>
        <v>Benzoic acid</v>
      </c>
      <c r="C82" s="552">
        <f>Param!O82</f>
        <v>4</v>
      </c>
      <c r="D82" s="552" t="str">
        <f>Param!V82</f>
        <v>na</v>
      </c>
      <c r="E82" s="670">
        <f>Param!AD82</f>
        <v>1</v>
      </c>
      <c r="F82" s="684">
        <f>IF(C82="na","na",C82*Eqtn!$D$111/E82)</f>
        <v>320000</v>
      </c>
      <c r="G82" s="684" t="str">
        <f>IF(D82="na","na",Eqtn!$D$132/(D82*E82))</f>
        <v>na</v>
      </c>
      <c r="H82" s="694">
        <f>IF(C82="na","na",C82*Eqtn!$D$153/E82)</f>
        <v>14000000</v>
      </c>
      <c r="I82" s="132" t="str">
        <f>IF(D82="na","na",Eqtn!$D$174/(D82*E82))</f>
        <v>na</v>
      </c>
      <c r="K82" s="1062"/>
    </row>
    <row r="83" spans="1:11" ht="13.9" customHeight="1" x14ac:dyDescent="0.25">
      <c r="A83" s="847">
        <f>Chem!A83</f>
        <v>81</v>
      </c>
      <c r="B83" s="855" t="str">
        <f>Chem!B83</f>
        <v>Benzyl alcohol</v>
      </c>
      <c r="C83" s="552">
        <f>Param!O83</f>
        <v>0.1</v>
      </c>
      <c r="D83" s="552" t="str">
        <f>Param!V83</f>
        <v>na</v>
      </c>
      <c r="E83" s="670">
        <f>Param!AD83</f>
        <v>1</v>
      </c>
      <c r="F83" s="684">
        <f>IF(C83="na","na",C83*Eqtn!$D$111/E83)</f>
        <v>8000</v>
      </c>
      <c r="G83" s="684" t="str">
        <f>IF(D83="na","na",Eqtn!$D$132/(D83*E83))</f>
        <v>na</v>
      </c>
      <c r="H83" s="694">
        <f>IF(C83="na","na",C83*Eqtn!$D$153/E83)</f>
        <v>350000</v>
      </c>
      <c r="I83" s="132" t="str">
        <f>IF(D83="na","na",Eqtn!$D$174/(D83*E83))</f>
        <v>na</v>
      </c>
      <c r="K83" s="1062"/>
    </row>
    <row r="84" spans="1:11" ht="13.9" customHeight="1" x14ac:dyDescent="0.25">
      <c r="A84" s="847">
        <f>Chem!A84</f>
        <v>82</v>
      </c>
      <c r="B84" s="855" t="str">
        <f>Chem!B84</f>
        <v>Bis(2-chloroethoxy)methane</v>
      </c>
      <c r="C84" s="552">
        <f>Param!O84</f>
        <v>3.0000000000000001E-3</v>
      </c>
      <c r="D84" s="552" t="str">
        <f>Param!V84</f>
        <v>na</v>
      </c>
      <c r="E84" s="670">
        <f>Param!AD84</f>
        <v>1</v>
      </c>
      <c r="F84" s="684">
        <f>IF(C84="na","na",C84*Eqtn!$D$111/E84)</f>
        <v>240</v>
      </c>
      <c r="G84" s="684" t="str">
        <f>IF(D84="na","na",Eqtn!$D$132/(D84*E84))</f>
        <v>na</v>
      </c>
      <c r="H84" s="694">
        <f>IF(C84="na","na",C84*Eqtn!$D$153/E84)</f>
        <v>10500</v>
      </c>
      <c r="I84" s="132" t="str">
        <f>IF(D84="na","na",Eqtn!$D$174/(D84*E84))</f>
        <v>na</v>
      </c>
      <c r="K84" s="1062"/>
    </row>
    <row r="85" spans="1:11" ht="13.9" customHeight="1" x14ac:dyDescent="0.25">
      <c r="A85" s="847">
        <f>Chem!A85</f>
        <v>83</v>
      </c>
      <c r="B85" s="855" t="str">
        <f>Chem!B85</f>
        <v>Bis(2-chloroethyl)ether</v>
      </c>
      <c r="C85" s="552" t="str">
        <f>Param!O85</f>
        <v>na</v>
      </c>
      <c r="D85" s="552">
        <f>Param!V85</f>
        <v>1.1000000000000001</v>
      </c>
      <c r="E85" s="670">
        <f>Param!AD85</f>
        <v>1</v>
      </c>
      <c r="F85" s="684" t="str">
        <f>IF(C85="na","na",C85*Eqtn!$D$111/E85)</f>
        <v>na</v>
      </c>
      <c r="G85" s="684">
        <f>IF(D85="na","na",Eqtn!$D$132/(D85*E85))</f>
        <v>0.90909090909090906</v>
      </c>
      <c r="H85" s="694" t="str">
        <f>IF(C85="na","na",C85*Eqtn!$D$153/E85)</f>
        <v>na</v>
      </c>
      <c r="I85" s="132">
        <f>IF(D85="na","na",Eqtn!$D$174/(D85*E85))</f>
        <v>119.31818181818184</v>
      </c>
      <c r="K85" s="1062"/>
    </row>
    <row r="86" spans="1:11" ht="13.9" customHeight="1" x14ac:dyDescent="0.25">
      <c r="A86" s="847">
        <f>Chem!A86</f>
        <v>84</v>
      </c>
      <c r="B86" s="855" t="str">
        <f>Chem!B86</f>
        <v>Bis(chloromethyl)ether</v>
      </c>
      <c r="C86" s="552" t="str">
        <f>Param!O86</f>
        <v>na</v>
      </c>
      <c r="D86" s="552">
        <f>Param!V86</f>
        <v>220</v>
      </c>
      <c r="E86" s="670">
        <f>Param!AD86</f>
        <v>1</v>
      </c>
      <c r="F86" s="684" t="str">
        <f>IF(C86="na","na",C86*Eqtn!$D$111/E86)</f>
        <v>na</v>
      </c>
      <c r="G86" s="684">
        <f>IF(D86="na","na",Eqtn!$D$132/(D86*E86))</f>
        <v>4.5454545454545452E-3</v>
      </c>
      <c r="H86" s="694" t="str">
        <f>IF(C86="na","na",C86*Eqtn!$D$153/E86)</f>
        <v>na</v>
      </c>
      <c r="I86" s="132">
        <f>IF(D86="na","na",Eqtn!$D$174/(D86*E86))</f>
        <v>0.59659090909090917</v>
      </c>
      <c r="K86" s="1062"/>
    </row>
    <row r="87" spans="1:11" ht="13.9" customHeight="1" x14ac:dyDescent="0.25">
      <c r="A87" s="847">
        <f>Chem!A87</f>
        <v>85</v>
      </c>
      <c r="B87" s="855" t="str">
        <f>Chem!B87</f>
        <v xml:space="preserve">Bis(2-chloro-1-methylethyl)ether </v>
      </c>
      <c r="C87" s="552">
        <f>Param!O87</f>
        <v>0.04</v>
      </c>
      <c r="D87" s="552">
        <f>Param!V87</f>
        <v>7.0000000000000007E-2</v>
      </c>
      <c r="E87" s="670">
        <f>Param!AD87</f>
        <v>1</v>
      </c>
      <c r="F87" s="684">
        <f>IF(C87="na","na",C87*Eqtn!$D$111/E87)</f>
        <v>3200</v>
      </c>
      <c r="G87" s="684">
        <f>IF(D87="na","na",Eqtn!$D$132/(D87*E87))</f>
        <v>14.285714285714285</v>
      </c>
      <c r="H87" s="694">
        <f>IF(C87="na","na",C87*Eqtn!$D$153/E87)</f>
        <v>140000</v>
      </c>
      <c r="I87" s="132">
        <f>IF(D87="na","na",Eqtn!$D$174/(D87*E87))</f>
        <v>1875.0000000000002</v>
      </c>
      <c r="K87" s="1062"/>
    </row>
    <row r="88" spans="1:11" ht="13.9" customHeight="1" x14ac:dyDescent="0.25">
      <c r="A88" s="847">
        <f>Chem!A88</f>
        <v>86</v>
      </c>
      <c r="B88" s="855" t="str">
        <f>Chem!B88</f>
        <v>2,6-Bis(1,1-dimethylethyl) phenol</v>
      </c>
      <c r="C88" s="552" t="str">
        <f>Param!O88</f>
        <v>na</v>
      </c>
      <c r="D88" s="552" t="str">
        <f>Param!V88</f>
        <v>na</v>
      </c>
      <c r="E88" s="670" t="str">
        <f>Param!AD88</f>
        <v>na</v>
      </c>
      <c r="F88" s="684" t="str">
        <f>IF(C88="na","na",C88*Eqtn!$D$111/E88)</f>
        <v>na</v>
      </c>
      <c r="G88" s="684" t="str">
        <f>IF(D88="na","na",Eqtn!$D$132/(D88*E88))</f>
        <v>na</v>
      </c>
      <c r="H88" s="694" t="str">
        <f>IF(C88="na","na",C88*Eqtn!$D$153/E88)</f>
        <v>na</v>
      </c>
      <c r="I88" s="132" t="str">
        <f>IF(D88="na","na",Eqtn!$D$174/(D88*E88))</f>
        <v>na</v>
      </c>
      <c r="K88" s="1062"/>
    </row>
    <row r="89" spans="1:11" ht="13.9" customHeight="1" x14ac:dyDescent="0.25">
      <c r="A89" s="847">
        <f>Chem!A89</f>
        <v>87</v>
      </c>
      <c r="B89" s="855" t="str">
        <f>Chem!B89</f>
        <v>Bis(2-ethylhexyl) phthalate</v>
      </c>
      <c r="C89" s="552">
        <f>Param!O89</f>
        <v>0.02</v>
      </c>
      <c r="D89" s="552">
        <f>Param!V89</f>
        <v>1.4E-2</v>
      </c>
      <c r="E89" s="670">
        <f>Param!AD89</f>
        <v>1</v>
      </c>
      <c r="F89" s="684">
        <f>IF(C89="na","na",C89*Eqtn!$D$111/E89)</f>
        <v>1600</v>
      </c>
      <c r="G89" s="684">
        <f>IF(D89="na","na",Eqtn!$D$132/(D89*E89))</f>
        <v>71.428571428571431</v>
      </c>
      <c r="H89" s="694">
        <f>IF(C89="na","na",C89*Eqtn!$D$153/E89)</f>
        <v>70000</v>
      </c>
      <c r="I89" s="132">
        <f>IF(D89="na","na",Eqtn!$D$174/(D89*E89))</f>
        <v>9375.0000000000018</v>
      </c>
      <c r="K89" s="1062"/>
    </row>
    <row r="90" spans="1:11" ht="13.9" customHeight="1" x14ac:dyDescent="0.25">
      <c r="A90" s="847">
        <f>Chem!A90</f>
        <v>88</v>
      </c>
      <c r="B90" s="855" t="str">
        <f>Chem!B90</f>
        <v>4-Bromophenyl phenyl ether</v>
      </c>
      <c r="C90" s="552" t="str">
        <f>Param!O90</f>
        <v>na</v>
      </c>
      <c r="D90" s="552" t="str">
        <f>Param!V90</f>
        <v>na</v>
      </c>
      <c r="E90" s="670" t="str">
        <f>Param!AD90</f>
        <v>na</v>
      </c>
      <c r="F90" s="684" t="str">
        <f>IF(C90="na","na",C90*Eqtn!$D$111/E90)</f>
        <v>na</v>
      </c>
      <c r="G90" s="684" t="str">
        <f>IF(D90="na","na",Eqtn!$D$132/(D90*E90))</f>
        <v>na</v>
      </c>
      <c r="H90" s="694" t="str">
        <f>IF(C90="na","na",C90*Eqtn!$D$153/E90)</f>
        <v>na</v>
      </c>
      <c r="I90" s="132" t="str">
        <f>IF(D90="na","na",Eqtn!$D$174/(D90*E90))</f>
        <v>na</v>
      </c>
      <c r="K90" s="1062"/>
    </row>
    <row r="91" spans="1:11" ht="13.9" customHeight="1" x14ac:dyDescent="0.25">
      <c r="A91" s="847">
        <f>Chem!A91</f>
        <v>89</v>
      </c>
      <c r="B91" s="855" t="str">
        <f>Chem!B91</f>
        <v>Butyl benzyl phthalate</v>
      </c>
      <c r="C91" s="552">
        <f>Param!O91</f>
        <v>0.2</v>
      </c>
      <c r="D91" s="552">
        <f>Param!V91</f>
        <v>1.9E-3</v>
      </c>
      <c r="E91" s="670">
        <f>Param!AD91</f>
        <v>1</v>
      </c>
      <c r="F91" s="684">
        <f>IF(C91="na","na",C91*Eqtn!$D$111/E91)</f>
        <v>16000</v>
      </c>
      <c r="G91" s="684">
        <f>IF(D91="na","na",Eqtn!$D$132/(D91*E91))</f>
        <v>526.31578947368416</v>
      </c>
      <c r="H91" s="694">
        <f>IF(C91="na","na",C91*Eqtn!$D$153/E91)</f>
        <v>700000</v>
      </c>
      <c r="I91" s="132">
        <f>IF(D91="na","na",Eqtn!$D$174/(D91*E91))</f>
        <v>69078.947368421068</v>
      </c>
      <c r="K91" s="1062"/>
    </row>
    <row r="92" spans="1:11" ht="13.9" customHeight="1" x14ac:dyDescent="0.25">
      <c r="A92" s="847">
        <f>Chem!A92</f>
        <v>90</v>
      </c>
      <c r="B92" s="855" t="str">
        <f>Chem!B92</f>
        <v>Butyl diphenyl phosphate</v>
      </c>
      <c r="C92" s="552" t="str">
        <f>Param!O92</f>
        <v>na</v>
      </c>
      <c r="D92" s="552" t="str">
        <f>Param!V92</f>
        <v>na</v>
      </c>
      <c r="E92" s="670" t="str">
        <f>Param!AD92</f>
        <v>na</v>
      </c>
      <c r="F92" s="684" t="str">
        <f>IF(C92="na","na",C92*Eqtn!$D$111/E92)</f>
        <v>na</v>
      </c>
      <c r="G92" s="684" t="str">
        <f>IF(D92="na","na",Eqtn!$D$132/(D92*E92))</f>
        <v>na</v>
      </c>
      <c r="H92" s="694" t="str">
        <f>IF(C92="na","na",C92*Eqtn!$D$153/E92)</f>
        <v>na</v>
      </c>
      <c r="I92" s="132" t="str">
        <f>IF(D92="na","na",Eqtn!$D$174/(D92*E92))</f>
        <v>na</v>
      </c>
      <c r="K92" s="1062"/>
    </row>
    <row r="93" spans="1:11" ht="13.9" customHeight="1" x14ac:dyDescent="0.25">
      <c r="A93" s="847">
        <f>Chem!A93</f>
        <v>91</v>
      </c>
      <c r="B93" s="855" t="str">
        <f>Chem!B93</f>
        <v>Carbazole</v>
      </c>
      <c r="C93" s="552" t="str">
        <f>Param!O93</f>
        <v>na</v>
      </c>
      <c r="D93" s="552" t="str">
        <f>Param!V93</f>
        <v>na</v>
      </c>
      <c r="E93" s="670" t="str">
        <f>Param!AD93</f>
        <v>na</v>
      </c>
      <c r="F93" s="684" t="str">
        <f>IF(C93="na","na",C93*Eqtn!$D$111/E93)</f>
        <v>na</v>
      </c>
      <c r="G93" s="684" t="str">
        <f>IF(D93="na","na",Eqtn!$D$132/(D93*E93))</f>
        <v>na</v>
      </c>
      <c r="H93" s="694" t="str">
        <f>IF(C93="na","na",C93*Eqtn!$D$153/E93)</f>
        <v>na</v>
      </c>
      <c r="I93" s="132" t="str">
        <f>IF(D93="na","na",Eqtn!$D$174/(D93*E93))</f>
        <v>na</v>
      </c>
      <c r="K93" s="1062"/>
    </row>
    <row r="94" spans="1:11" ht="13.9" customHeight="1" x14ac:dyDescent="0.25">
      <c r="A94" s="847">
        <f>Chem!A94</f>
        <v>92</v>
      </c>
      <c r="B94" s="855" t="str">
        <f>Chem!B94</f>
        <v>4-Chloroaniline</v>
      </c>
      <c r="C94" s="552">
        <f>Param!O94</f>
        <v>4.0000000000000001E-3</v>
      </c>
      <c r="D94" s="552">
        <f>Param!V94</f>
        <v>0.2</v>
      </c>
      <c r="E94" s="670">
        <f>Param!AD94</f>
        <v>1</v>
      </c>
      <c r="F94" s="684">
        <f>IF(C94="na","na",C94*Eqtn!$D$111/E94)</f>
        <v>320</v>
      </c>
      <c r="G94" s="684">
        <f>IF(D94="na","na",Eqtn!$D$132/(D94*E94))</f>
        <v>5</v>
      </c>
      <c r="H94" s="694">
        <f>IF(C94="na","na",C94*Eqtn!$D$153/E94)</f>
        <v>14000</v>
      </c>
      <c r="I94" s="132">
        <f>IF(D94="na","na",Eqtn!$D$174/(D94*E94))</f>
        <v>656.25000000000011</v>
      </c>
      <c r="K94" s="1062"/>
    </row>
    <row r="95" spans="1:11" ht="13.9" customHeight="1" x14ac:dyDescent="0.25">
      <c r="A95" s="847">
        <f>Chem!A95</f>
        <v>93</v>
      </c>
      <c r="B95" s="855" t="str">
        <f>Chem!B95</f>
        <v>4-Chloro-3-methylphenol (chlorocresol)</v>
      </c>
      <c r="C95" s="552">
        <f>Param!O95</f>
        <v>0.1</v>
      </c>
      <c r="D95" s="552" t="str">
        <f>Param!V95</f>
        <v>na</v>
      </c>
      <c r="E95" s="670">
        <f>Param!AD95</f>
        <v>1</v>
      </c>
      <c r="F95" s="684">
        <f>IF(C95="na","na",C95*Eqtn!$D$111/E95)</f>
        <v>8000</v>
      </c>
      <c r="G95" s="684" t="str">
        <f>IF(D95="na","na",Eqtn!$D$132/(D95*E95))</f>
        <v>na</v>
      </c>
      <c r="H95" s="694">
        <f>IF(C95="na","na",C95*Eqtn!$D$153/E95)</f>
        <v>350000</v>
      </c>
      <c r="I95" s="132" t="str">
        <f>IF(D95="na","na",Eqtn!$D$174/(D95*E95))</f>
        <v>na</v>
      </c>
      <c r="K95" s="1062"/>
    </row>
    <row r="96" spans="1:11" ht="13.9" customHeight="1" x14ac:dyDescent="0.25">
      <c r="A96" s="847">
        <f>Chem!A96</f>
        <v>94</v>
      </c>
      <c r="B96" s="855" t="str">
        <f>Chem!B96</f>
        <v>2-Chloronaphthalene (beta-)</v>
      </c>
      <c r="C96" s="552">
        <f>Param!O96</f>
        <v>0.08</v>
      </c>
      <c r="D96" s="552" t="str">
        <f>Param!V96</f>
        <v>na</v>
      </c>
      <c r="E96" s="670">
        <f>Param!AD96</f>
        <v>1</v>
      </c>
      <c r="F96" s="684">
        <f>IF(C96="na","na",C96*Eqtn!$D$111/E96)</f>
        <v>6400</v>
      </c>
      <c r="G96" s="684" t="str">
        <f>IF(D96="na","na",Eqtn!$D$132/(D96*E96))</f>
        <v>na</v>
      </c>
      <c r="H96" s="694">
        <f>IF(C96="na","na",C96*Eqtn!$D$153/E96)</f>
        <v>280000</v>
      </c>
      <c r="I96" s="132" t="str">
        <f>IF(D96="na","na",Eqtn!$D$174/(D96*E96))</f>
        <v>na</v>
      </c>
      <c r="K96" s="1062"/>
    </row>
    <row r="97" spans="1:11" ht="13.9" customHeight="1" x14ac:dyDescent="0.25">
      <c r="A97" s="847">
        <f>Chem!A97</f>
        <v>95</v>
      </c>
      <c r="B97" s="855" t="str">
        <f>Chem!B97</f>
        <v>2-Chlorophenol</v>
      </c>
      <c r="C97" s="552">
        <f>Param!O97</f>
        <v>5.0000000000000001E-3</v>
      </c>
      <c r="D97" s="552" t="str">
        <f>Param!V97</f>
        <v>na</v>
      </c>
      <c r="E97" s="670">
        <f>Param!AD97</f>
        <v>1</v>
      </c>
      <c r="F97" s="684">
        <f>IF(C97="na","na",C97*Eqtn!$D$111/E97)</f>
        <v>400</v>
      </c>
      <c r="G97" s="684" t="str">
        <f>IF(D97="na","na",Eqtn!$D$132/(D97*E97))</f>
        <v>na</v>
      </c>
      <c r="H97" s="694">
        <f>IF(C97="na","na",C97*Eqtn!$D$153/E97)</f>
        <v>17500</v>
      </c>
      <c r="I97" s="132" t="str">
        <f>IF(D97="na","na",Eqtn!$D$174/(D97*E97))</f>
        <v>na</v>
      </c>
      <c r="K97" s="1062"/>
    </row>
    <row r="98" spans="1:11" ht="13.9" customHeight="1" x14ac:dyDescent="0.25">
      <c r="A98" s="847">
        <f>Chem!A98</f>
        <v>96</v>
      </c>
      <c r="B98" s="855" t="str">
        <f>Chem!B98</f>
        <v>4-Chlorophenyl phenyl ether</v>
      </c>
      <c r="C98" s="552" t="str">
        <f>Param!O98</f>
        <v>na</v>
      </c>
      <c r="D98" s="552" t="str">
        <f>Param!V98</f>
        <v>na</v>
      </c>
      <c r="E98" s="670" t="str">
        <f>Param!AD98</f>
        <v>na</v>
      </c>
      <c r="F98" s="684" t="str">
        <f>IF(C98="na","na",C98*Eqtn!$D$111/E98)</f>
        <v>na</v>
      </c>
      <c r="G98" s="684" t="str">
        <f>IF(D98="na","na",Eqtn!$D$132/(D98*E98))</f>
        <v>na</v>
      </c>
      <c r="H98" s="694" t="str">
        <f>IF(C98="na","na",C98*Eqtn!$D$153/E98)</f>
        <v>na</v>
      </c>
      <c r="I98" s="132" t="str">
        <f>IF(D98="na","na",Eqtn!$D$174/(D98*E98))</f>
        <v>na</v>
      </c>
      <c r="K98" s="1062"/>
    </row>
    <row r="99" spans="1:11" ht="13.9" customHeight="1" x14ac:dyDescent="0.25">
      <c r="A99" s="847">
        <f>Chem!A99</f>
        <v>97</v>
      </c>
      <c r="B99" s="855" t="str">
        <f>Chem!B99</f>
        <v>Dibutyl phthalate</v>
      </c>
      <c r="C99" s="552">
        <f>Param!O99</f>
        <v>0.1</v>
      </c>
      <c r="D99" s="552" t="str">
        <f>Param!V99</f>
        <v>na</v>
      </c>
      <c r="E99" s="670">
        <f>Param!AD99</f>
        <v>1</v>
      </c>
      <c r="F99" s="684">
        <f>IF(C99="na","na",C99*Eqtn!$D$111/E99)</f>
        <v>8000</v>
      </c>
      <c r="G99" s="684" t="str">
        <f>IF(D99="na","na",Eqtn!$D$132/(D99*E99))</f>
        <v>na</v>
      </c>
      <c r="H99" s="694">
        <f>IF(C99="na","na",C99*Eqtn!$D$153/E99)</f>
        <v>350000</v>
      </c>
      <c r="I99" s="132" t="str">
        <f>IF(D99="na","na",Eqtn!$D$174/(D99*E99))</f>
        <v>na</v>
      </c>
      <c r="K99" s="1062"/>
    </row>
    <row r="100" spans="1:11" ht="13.9" customHeight="1" x14ac:dyDescent="0.25">
      <c r="A100" s="847">
        <f>Chem!A100</f>
        <v>98</v>
      </c>
      <c r="B100" s="855" t="str">
        <f>Chem!B100</f>
        <v>Dibutyl phenyl phosphate</v>
      </c>
      <c r="C100" s="552" t="str">
        <f>Param!O100</f>
        <v>na</v>
      </c>
      <c r="D100" s="552" t="str">
        <f>Param!V100</f>
        <v>na</v>
      </c>
      <c r="E100" s="670" t="str">
        <f>Param!AD100</f>
        <v>na</v>
      </c>
      <c r="F100" s="684" t="str">
        <f>IF(C100="na","na",C100*Eqtn!$D$111/E100)</f>
        <v>na</v>
      </c>
      <c r="G100" s="684" t="str">
        <f>IF(D100="na","na",Eqtn!$D$132/(D100*E100))</f>
        <v>na</v>
      </c>
      <c r="H100" s="694" t="str">
        <f>IF(C100="na","na",C100*Eqtn!$D$153/E100)</f>
        <v>na</v>
      </c>
      <c r="I100" s="132" t="str">
        <f>IF(D100="na","na",Eqtn!$D$174/(D100*E100))</f>
        <v>na</v>
      </c>
      <c r="K100" s="1062"/>
    </row>
    <row r="101" spans="1:11" ht="13.9" customHeight="1" x14ac:dyDescent="0.25">
      <c r="A101" s="847">
        <f>Chem!A101</f>
        <v>99</v>
      </c>
      <c r="B101" s="855" t="str">
        <f>Chem!B101</f>
        <v>1,2-Dichlorobenzene</v>
      </c>
      <c r="C101" s="552">
        <f>Param!O101</f>
        <v>0.09</v>
      </c>
      <c r="D101" s="552" t="str">
        <f>Param!V101</f>
        <v>na</v>
      </c>
      <c r="E101" s="670">
        <f>Param!AD101</f>
        <v>1</v>
      </c>
      <c r="F101" s="684">
        <f>IF(C101="na","na",C101*Eqtn!$D$111/E101)</f>
        <v>7200</v>
      </c>
      <c r="G101" s="684" t="str">
        <f>IF(D101="na","na",Eqtn!$D$132/(D101*E101))</f>
        <v>na</v>
      </c>
      <c r="H101" s="694">
        <f>IF(C101="na","na",C101*Eqtn!$D$153/E101)</f>
        <v>315000</v>
      </c>
      <c r="I101" s="132" t="str">
        <f>IF(D101="na","na",Eqtn!$D$174/(D101*E101))</f>
        <v>na</v>
      </c>
      <c r="K101" s="1062"/>
    </row>
    <row r="102" spans="1:11" ht="13.9" customHeight="1" x14ac:dyDescent="0.25">
      <c r="A102" s="847">
        <f>Chem!A102</f>
        <v>100</v>
      </c>
      <c r="B102" s="855" t="str">
        <f>Chem!B102</f>
        <v>1,3-Dichlorobenzene</v>
      </c>
      <c r="C102" s="552" t="str">
        <f>Param!O102</f>
        <v>na</v>
      </c>
      <c r="D102" s="552" t="str">
        <f>Param!V102</f>
        <v>na</v>
      </c>
      <c r="E102" s="670">
        <f>Param!AD102</f>
        <v>1</v>
      </c>
      <c r="F102" s="684" t="str">
        <f>IF(C102="na","na",C102*Eqtn!$D$111/E102)</f>
        <v>na</v>
      </c>
      <c r="G102" s="684" t="str">
        <f>IF(D102="na","na",Eqtn!$D$132/(D102*E102))</f>
        <v>na</v>
      </c>
      <c r="H102" s="694" t="str">
        <f>IF(C102="na","na",C102*Eqtn!$D$153/E102)</f>
        <v>na</v>
      </c>
      <c r="I102" s="132" t="str">
        <f>IF(D102="na","na",Eqtn!$D$174/(D102*E102))</f>
        <v>na</v>
      </c>
      <c r="K102" s="1062"/>
    </row>
    <row r="103" spans="1:11" ht="13.9" customHeight="1" x14ac:dyDescent="0.25">
      <c r="A103" s="847">
        <f>Chem!A103</f>
        <v>101</v>
      </c>
      <c r="B103" s="855" t="str">
        <f>Chem!B103</f>
        <v>1,4-Dichlorobenzene</v>
      </c>
      <c r="C103" s="552">
        <f>Param!O103</f>
        <v>7.0000000000000007E-2</v>
      </c>
      <c r="D103" s="552">
        <f>Param!V103</f>
        <v>5.4000000000000003E-3</v>
      </c>
      <c r="E103" s="670">
        <f>Param!AD103</f>
        <v>1</v>
      </c>
      <c r="F103" s="684">
        <f>IF(C103="na","na",C103*Eqtn!$D$111/E103)</f>
        <v>5600.0000000000009</v>
      </c>
      <c r="G103" s="684">
        <f>IF(D103="na","na",Eqtn!$D$132/(D103*E103))</f>
        <v>185.18518518518516</v>
      </c>
      <c r="H103" s="694">
        <f>IF(C103="na","na",C103*Eqtn!$D$153/E103)</f>
        <v>245000.00000000003</v>
      </c>
      <c r="I103" s="132">
        <f>IF(D103="na","na",Eqtn!$D$174/(D103*E103))</f>
        <v>24305.555555555558</v>
      </c>
      <c r="K103" s="1062"/>
    </row>
    <row r="104" spans="1:11" ht="13.9" customHeight="1" x14ac:dyDescent="0.25">
      <c r="A104" s="847">
        <f>Chem!A104</f>
        <v>102</v>
      </c>
      <c r="B104" s="855" t="str">
        <f>Chem!B104</f>
        <v>3,3'-Dichlorobenzidine</v>
      </c>
      <c r="C104" s="552" t="str">
        <f>Param!O104</f>
        <v>na</v>
      </c>
      <c r="D104" s="552">
        <f>Param!V104</f>
        <v>0.45</v>
      </c>
      <c r="E104" s="670">
        <f>Param!AD104</f>
        <v>1</v>
      </c>
      <c r="F104" s="684" t="str">
        <f>IF(C104="na","na",C104*Eqtn!$D$111/E104)</f>
        <v>na</v>
      </c>
      <c r="G104" s="684">
        <f>IF(D104="na","na",Eqtn!$D$132/(D104*E104))</f>
        <v>2.2222222222222223</v>
      </c>
      <c r="H104" s="694" t="str">
        <f>IF(C104="na","na",C104*Eqtn!$D$153/E104)</f>
        <v>na</v>
      </c>
      <c r="I104" s="132">
        <f>IF(D104="na","na",Eqtn!$D$174/(D104*E104))</f>
        <v>291.66666666666674</v>
      </c>
      <c r="K104" s="1062"/>
    </row>
    <row r="105" spans="1:11" ht="13.9" customHeight="1" x14ac:dyDescent="0.25">
      <c r="A105" s="847">
        <f>Chem!A105</f>
        <v>103</v>
      </c>
      <c r="B105" s="855" t="str">
        <f>Chem!B105</f>
        <v>2,4-Dichlorophenol</v>
      </c>
      <c r="C105" s="552">
        <f>Param!O105</f>
        <v>3.0000000000000001E-3</v>
      </c>
      <c r="D105" s="552" t="str">
        <f>Param!V105</f>
        <v>na</v>
      </c>
      <c r="E105" s="670">
        <f>Param!AD105</f>
        <v>1</v>
      </c>
      <c r="F105" s="684">
        <f>IF(C105="na","na",C105*Eqtn!$D$111/E105)</f>
        <v>240</v>
      </c>
      <c r="G105" s="684" t="str">
        <f>IF(D105="na","na",Eqtn!$D$132/(D105*E105))</f>
        <v>na</v>
      </c>
      <c r="H105" s="694">
        <f>IF(C105="na","na",C105*Eqtn!$D$153/E105)</f>
        <v>10500</v>
      </c>
      <c r="I105" s="132" t="str">
        <f>IF(D105="na","na",Eqtn!$D$174/(D105*E105))</f>
        <v>na</v>
      </c>
      <c r="K105" s="1062"/>
    </row>
    <row r="106" spans="1:11" ht="13.9" customHeight="1" x14ac:dyDescent="0.25">
      <c r="A106" s="846">
        <f>Chem!A106</f>
        <v>104</v>
      </c>
      <c r="B106" s="855" t="str">
        <f>Chem!B106</f>
        <v>Di(2-ethylhexyl)adipate</v>
      </c>
      <c r="C106" s="552">
        <f>Param!O106</f>
        <v>0.6</v>
      </c>
      <c r="D106" s="552">
        <f>Param!V106</f>
        <v>1.1999999999999999E-3</v>
      </c>
      <c r="E106" s="670">
        <f>Param!AD106</f>
        <v>1</v>
      </c>
      <c r="F106" s="684">
        <f>IF(C106="na","na",C106*Eqtn!$D$111/E106)</f>
        <v>48000</v>
      </c>
      <c r="G106" s="684">
        <f>IF(D106="na","na",Eqtn!$D$132/(D106*E106))</f>
        <v>833.33333333333337</v>
      </c>
      <c r="H106" s="694">
        <f>IF(C106="na","na",C106*Eqtn!$D$153/E106)</f>
        <v>2100000</v>
      </c>
      <c r="I106" s="132">
        <f>IF(D106="na","na",Eqtn!$D$174/(D106*E106))</f>
        <v>109375.00000000003</v>
      </c>
      <c r="K106" s="1062"/>
    </row>
    <row r="107" spans="1:11" ht="13.9" customHeight="1" x14ac:dyDescent="0.25">
      <c r="A107" s="846">
        <f>Chem!A107</f>
        <v>105</v>
      </c>
      <c r="B107" s="855" t="str">
        <f>Chem!B107</f>
        <v>Diethyl phthalate</v>
      </c>
      <c r="C107" s="552">
        <f>Param!O107</f>
        <v>0.8</v>
      </c>
      <c r="D107" s="552" t="str">
        <f>Param!V107</f>
        <v>na</v>
      </c>
      <c r="E107" s="670">
        <f>Param!AD107</f>
        <v>1</v>
      </c>
      <c r="F107" s="684">
        <f>IF(C107="na","na",C107*Eqtn!$D$111/E107)</f>
        <v>64000</v>
      </c>
      <c r="G107" s="684" t="str">
        <f>IF(D107="na","na",Eqtn!$D$132/(D107*E107))</f>
        <v>na</v>
      </c>
      <c r="H107" s="694">
        <f>IF(C107="na","na",C107*Eqtn!$D$153/E107)</f>
        <v>2800000</v>
      </c>
      <c r="I107" s="132" t="str">
        <f>IF(D107="na","na",Eqtn!$D$174/(D107*E107))</f>
        <v>na</v>
      </c>
      <c r="K107" s="1062"/>
    </row>
    <row r="108" spans="1:11" ht="13.9" customHeight="1" x14ac:dyDescent="0.25">
      <c r="A108" s="847">
        <f>Chem!A108</f>
        <v>106</v>
      </c>
      <c r="B108" s="855" t="str">
        <f>Chem!B108</f>
        <v>Dimethyl phthalate</v>
      </c>
      <c r="C108" s="552" t="str">
        <f>Param!O108</f>
        <v>na</v>
      </c>
      <c r="D108" s="552" t="str">
        <f>Param!V108</f>
        <v>na</v>
      </c>
      <c r="E108" s="670">
        <f>Param!AD108</f>
        <v>1</v>
      </c>
      <c r="F108" s="684" t="str">
        <f>IF(C108="na","na",C108*Eqtn!$D$111/E108)</f>
        <v>na</v>
      </c>
      <c r="G108" s="684" t="str">
        <f>IF(D108="na","na",Eqtn!$D$132/(D108*E108))</f>
        <v>na</v>
      </c>
      <c r="H108" s="694" t="str">
        <f>IF(C108="na","na",C108*Eqtn!$D$153/E108)</f>
        <v>na</v>
      </c>
      <c r="I108" s="132" t="str">
        <f>IF(D108="na","na",Eqtn!$D$174/(D108*E108))</f>
        <v>na</v>
      </c>
      <c r="K108" s="1062"/>
    </row>
    <row r="109" spans="1:11" ht="13.9" customHeight="1" x14ac:dyDescent="0.25">
      <c r="A109" s="847">
        <f>Chem!A109</f>
        <v>107</v>
      </c>
      <c r="B109" s="855" t="str">
        <f>Chem!B109</f>
        <v>2,4-Dimethylphenol</v>
      </c>
      <c r="C109" s="552">
        <f>Param!O109</f>
        <v>0.02</v>
      </c>
      <c r="D109" s="552" t="str">
        <f>Param!V109</f>
        <v>na</v>
      </c>
      <c r="E109" s="670">
        <f>Param!AD109</f>
        <v>1</v>
      </c>
      <c r="F109" s="684">
        <f>IF(C109="na","na",C109*Eqtn!$D$111/E109)</f>
        <v>1600</v>
      </c>
      <c r="G109" s="684" t="str">
        <f>IF(D109="na","na",Eqtn!$D$132/(D109*E109))</f>
        <v>na</v>
      </c>
      <c r="H109" s="694">
        <f>IF(C109="na","na",C109*Eqtn!$D$153/E109)</f>
        <v>70000</v>
      </c>
      <c r="I109" s="132" t="str">
        <f>IF(D109="na","na",Eqtn!$D$174/(D109*E109))</f>
        <v>na</v>
      </c>
      <c r="K109" s="1062"/>
    </row>
    <row r="110" spans="1:11" ht="13.9" customHeight="1" x14ac:dyDescent="0.25">
      <c r="A110" s="847">
        <f>Chem!A110</f>
        <v>108</v>
      </c>
      <c r="B110" s="855" t="str">
        <f>Chem!B110</f>
        <v>1,2-Dinitrobenzene</v>
      </c>
      <c r="C110" s="552">
        <f>Param!O110</f>
        <v>1E-4</v>
      </c>
      <c r="D110" s="552" t="str">
        <f>Param!V110</f>
        <v>na</v>
      </c>
      <c r="E110" s="670">
        <f>Param!AD110</f>
        <v>1</v>
      </c>
      <c r="F110" s="684">
        <f>IF(C110="na","na",C110*Eqtn!$D$111/E110)</f>
        <v>8</v>
      </c>
      <c r="G110" s="684" t="str">
        <f>IF(D110="na","na",Eqtn!$D$132/(D110*E110))</f>
        <v>na</v>
      </c>
      <c r="H110" s="694">
        <f>IF(C110="na","na",C110*Eqtn!$D$153/E110)</f>
        <v>350</v>
      </c>
      <c r="I110" s="132" t="str">
        <f>IF(D110="na","na",Eqtn!$D$174/(D110*E110))</f>
        <v>na</v>
      </c>
      <c r="K110" s="1062"/>
    </row>
    <row r="111" spans="1:11" ht="13.9" customHeight="1" x14ac:dyDescent="0.25">
      <c r="A111" s="847">
        <f>Chem!A111</f>
        <v>109</v>
      </c>
      <c r="B111" s="855" t="str">
        <f>Chem!B111</f>
        <v>1,3-Dinitrobenzene</v>
      </c>
      <c r="C111" s="552">
        <f>Param!O111</f>
        <v>1E-4</v>
      </c>
      <c r="D111" s="552" t="str">
        <f>Param!V111</f>
        <v>na</v>
      </c>
      <c r="E111" s="670">
        <f>Param!AD111</f>
        <v>1</v>
      </c>
      <c r="F111" s="684">
        <f>IF(C111="na","na",C111*Eqtn!$D$111/E111)</f>
        <v>8</v>
      </c>
      <c r="G111" s="684" t="str">
        <f>IF(D111="na","na",Eqtn!$D$132/(D111*E111))</f>
        <v>na</v>
      </c>
      <c r="H111" s="694">
        <f>IF(C111="na","na",C111*Eqtn!$D$153/E111)</f>
        <v>350</v>
      </c>
      <c r="I111" s="132" t="str">
        <f>IF(D111="na","na",Eqtn!$D$174/(D111*E111))</f>
        <v>na</v>
      </c>
      <c r="K111" s="1062"/>
    </row>
    <row r="112" spans="1:11" ht="13.9" customHeight="1" x14ac:dyDescent="0.25">
      <c r="A112" s="847">
        <f>Chem!A112</f>
        <v>110</v>
      </c>
      <c r="B112" s="855" t="str">
        <f>Chem!B112</f>
        <v>1,4-Dinitrobenzene</v>
      </c>
      <c r="C112" s="552">
        <f>Param!O112</f>
        <v>1E-4</v>
      </c>
      <c r="D112" s="552" t="str">
        <f>Param!V112</f>
        <v>na</v>
      </c>
      <c r="E112" s="670">
        <f>Param!AD112</f>
        <v>1</v>
      </c>
      <c r="F112" s="684">
        <f>IF(C112="na","na",C112*Eqtn!$D$111/E112)</f>
        <v>8</v>
      </c>
      <c r="G112" s="684" t="str">
        <f>IF(D112="na","na",Eqtn!$D$132/(D112*E112))</f>
        <v>na</v>
      </c>
      <c r="H112" s="694">
        <f>IF(C112="na","na",C112*Eqtn!$D$153/E112)</f>
        <v>350</v>
      </c>
      <c r="I112" s="132" t="str">
        <f>IF(D112="na","na",Eqtn!$D$174/(D112*E112))</f>
        <v>na</v>
      </c>
      <c r="K112" s="1062"/>
    </row>
    <row r="113" spans="1:11" ht="13.9" customHeight="1" x14ac:dyDescent="0.25">
      <c r="A113" s="847">
        <f>Chem!A113</f>
        <v>111</v>
      </c>
      <c r="B113" s="855" t="str">
        <f>Chem!B113</f>
        <v>4,6-Dinitro-o-cresol (DNOC)</v>
      </c>
      <c r="C113" s="552">
        <f>Param!O113</f>
        <v>8.0000000000000007E-5</v>
      </c>
      <c r="D113" s="552" t="str">
        <f>Param!V113</f>
        <v>na</v>
      </c>
      <c r="E113" s="670">
        <f>Param!AD113</f>
        <v>1</v>
      </c>
      <c r="F113" s="684">
        <f>IF(C113="na","na",C113*Eqtn!$D$111/E113)</f>
        <v>6.4</v>
      </c>
      <c r="G113" s="684" t="str">
        <f>IF(D113="na","na",Eqtn!$D$132/(D113*E113))</f>
        <v>na</v>
      </c>
      <c r="H113" s="694">
        <f>IF(C113="na","na",C113*Eqtn!$D$153/E113)</f>
        <v>280</v>
      </c>
      <c r="I113" s="132" t="str">
        <f>IF(D113="na","na",Eqtn!$D$174/(D113*E113))</f>
        <v>na</v>
      </c>
      <c r="K113" s="1062"/>
    </row>
    <row r="114" spans="1:11" ht="13.9" customHeight="1" x14ac:dyDescent="0.25">
      <c r="A114" s="847">
        <f>Chem!A114</f>
        <v>112</v>
      </c>
      <c r="B114" s="855" t="str">
        <f>Chem!B114</f>
        <v>2,4-Dinitrophenol</v>
      </c>
      <c r="C114" s="552">
        <f>Param!O114</f>
        <v>2E-3</v>
      </c>
      <c r="D114" s="552" t="str">
        <f>Param!V114</f>
        <v>na</v>
      </c>
      <c r="E114" s="670">
        <f>Param!AD114</f>
        <v>1</v>
      </c>
      <c r="F114" s="684">
        <f>IF(C114="na","na",C114*Eqtn!$D$111/E114)</f>
        <v>160</v>
      </c>
      <c r="G114" s="684" t="str">
        <f>IF(D114="na","na",Eqtn!$D$132/(D114*E114))</f>
        <v>na</v>
      </c>
      <c r="H114" s="694">
        <f>IF(C114="na","na",C114*Eqtn!$D$153/E114)</f>
        <v>7000</v>
      </c>
      <c r="I114" s="132" t="str">
        <f>IF(D114="na","na",Eqtn!$D$174/(D114*E114))</f>
        <v>na</v>
      </c>
      <c r="K114" s="1062"/>
    </row>
    <row r="115" spans="1:11" ht="13.9" customHeight="1" x14ac:dyDescent="0.25">
      <c r="A115" s="847">
        <f>Chem!A115</f>
        <v>113</v>
      </c>
      <c r="B115" s="855" t="str">
        <f>Chem!B115</f>
        <v>2,4-Dinitrotoluene</v>
      </c>
      <c r="C115" s="552">
        <f>Param!O115</f>
        <v>2E-3</v>
      </c>
      <c r="D115" s="552">
        <f>Param!V115</f>
        <v>0.31</v>
      </c>
      <c r="E115" s="670">
        <f>Param!AD115</f>
        <v>1</v>
      </c>
      <c r="F115" s="684">
        <f>IF(C115="na","na",C115*Eqtn!$D$111/E115)</f>
        <v>160</v>
      </c>
      <c r="G115" s="684">
        <f>IF(D115="na","na",Eqtn!$D$132/(D115*E115))</f>
        <v>3.2258064516129035</v>
      </c>
      <c r="H115" s="694">
        <f>IF(C115="na","na",C115*Eqtn!$D$153/E115)</f>
        <v>7000</v>
      </c>
      <c r="I115" s="132">
        <f>IF(D115="na","na",Eqtn!$D$174/(D115*E115))</f>
        <v>423.38709677419365</v>
      </c>
      <c r="K115" s="1062"/>
    </row>
    <row r="116" spans="1:11" ht="13.9" customHeight="1" x14ac:dyDescent="0.25">
      <c r="A116" s="842">
        <f>Chem!A116</f>
        <v>114</v>
      </c>
      <c r="B116" s="855" t="str">
        <f>Chem!B116</f>
        <v>2,6-Dinitrotoluene</v>
      </c>
      <c r="C116" s="552">
        <f>Param!O116</f>
        <v>2.9999999999999997E-4</v>
      </c>
      <c r="D116" s="552">
        <f>Param!V116</f>
        <v>1.5</v>
      </c>
      <c r="E116" s="670">
        <f>Param!AD116</f>
        <v>1</v>
      </c>
      <c r="F116" s="684">
        <f>IF(C116="na","na",C116*Eqtn!$D$111/E116)</f>
        <v>23.999999999999996</v>
      </c>
      <c r="G116" s="684">
        <f>IF(D116="na","na",Eqtn!$D$132/(D116*E116))</f>
        <v>0.66666666666666663</v>
      </c>
      <c r="H116" s="694">
        <f>IF(C116="na","na",C116*Eqtn!$D$153/E116)</f>
        <v>1050</v>
      </c>
      <c r="I116" s="132">
        <f>IF(D116="na","na",Eqtn!$D$174/(D116*E116))</f>
        <v>87.500000000000014</v>
      </c>
      <c r="K116" s="1062"/>
    </row>
    <row r="117" spans="1:11" ht="13.9" customHeight="1" x14ac:dyDescent="0.25">
      <c r="A117" s="847">
        <f>Chem!A117</f>
        <v>115</v>
      </c>
      <c r="B117" s="855" t="str">
        <f>Chem!B117</f>
        <v>Di-n-octyl phthalate</v>
      </c>
      <c r="C117" s="552">
        <f>Param!O117</f>
        <v>0.01</v>
      </c>
      <c r="D117" s="552" t="str">
        <f>Param!V117</f>
        <v>na</v>
      </c>
      <c r="E117" s="670">
        <f>Param!AD117</f>
        <v>1</v>
      </c>
      <c r="F117" s="684">
        <f>IF(C117="na","na",C117*Eqtn!$D$111/E117)</f>
        <v>800</v>
      </c>
      <c r="G117" s="684" t="str">
        <f>IF(D117="na","na",Eqtn!$D$132/(D117*E117))</f>
        <v>na</v>
      </c>
      <c r="H117" s="694">
        <f>IF(C117="na","na",C117*Eqtn!$D$153/E117)</f>
        <v>35000</v>
      </c>
      <c r="I117" s="132" t="str">
        <f>IF(D117="na","na",Eqtn!$D$174/(D117*E117))</f>
        <v>na</v>
      </c>
      <c r="K117" s="1062"/>
    </row>
    <row r="118" spans="1:11" ht="13.9" customHeight="1" x14ac:dyDescent="0.25">
      <c r="A118" s="848">
        <f>Chem!A118</f>
        <v>116</v>
      </c>
      <c r="B118" s="856" t="str">
        <f>Chem!B118</f>
        <v>1,4-Dioxane</v>
      </c>
      <c r="C118" s="552">
        <f>Param!O118</f>
        <v>0.03</v>
      </c>
      <c r="D118" s="552">
        <f>Param!V118</f>
        <v>0.1</v>
      </c>
      <c r="E118" s="670">
        <f>Param!AD118</f>
        <v>1</v>
      </c>
      <c r="F118" s="684">
        <f>IF(C118="na","na",C118*Eqtn!$D$111/E118)</f>
        <v>2400</v>
      </c>
      <c r="G118" s="684">
        <f>IF(D118="na","na",Eqtn!$D$132/(D118*E118))</f>
        <v>10</v>
      </c>
      <c r="H118" s="694">
        <f>IF(C118="na","na",C118*Eqtn!$D$153/E118)</f>
        <v>105000</v>
      </c>
      <c r="I118" s="132">
        <f>IF(D118="na","na",Eqtn!$D$174/(D118*E118))</f>
        <v>1312.5000000000002</v>
      </c>
      <c r="K118" s="1062"/>
    </row>
    <row r="119" spans="1:11" ht="13.9" customHeight="1" x14ac:dyDescent="0.25">
      <c r="A119" s="848">
        <f>Chem!A119</f>
        <v>117</v>
      </c>
      <c r="B119" s="856" t="str">
        <f>Chem!B119</f>
        <v>1,2-Diphenylhydrazine</v>
      </c>
      <c r="C119" s="552" t="str">
        <f>Param!O119</f>
        <v>na</v>
      </c>
      <c r="D119" s="552">
        <f>Param!V119</f>
        <v>0.8</v>
      </c>
      <c r="E119" s="670">
        <f>Param!AD119</f>
        <v>1</v>
      </c>
      <c r="F119" s="684" t="str">
        <f>IF(C119="na","na",C119*Eqtn!$D$111/E119)</f>
        <v>na</v>
      </c>
      <c r="G119" s="684">
        <f>IF(D119="na","na",Eqtn!$D$132/(D119*E119))</f>
        <v>1.25</v>
      </c>
      <c r="H119" s="694" t="str">
        <f>IF(C119="na","na",C119*Eqtn!$D$153/E119)</f>
        <v>na</v>
      </c>
      <c r="I119" s="132">
        <f>IF(D119="na","na",Eqtn!$D$174/(D119*E119))</f>
        <v>164.06250000000003</v>
      </c>
      <c r="K119" s="1062"/>
    </row>
    <row r="120" spans="1:11" ht="13.9" customHeight="1" x14ac:dyDescent="0.25">
      <c r="A120" s="847">
        <f>Chem!A120</f>
        <v>118</v>
      </c>
      <c r="B120" s="855" t="str">
        <f>Chem!B120</f>
        <v>Hexachlorobenzene</v>
      </c>
      <c r="C120" s="552">
        <f>Param!O120</f>
        <v>8.0000000000000004E-4</v>
      </c>
      <c r="D120" s="552">
        <f>Param!V120</f>
        <v>1.6</v>
      </c>
      <c r="E120" s="670">
        <f>Param!AD120</f>
        <v>1</v>
      </c>
      <c r="F120" s="684">
        <f>IF(C120="na","na",C120*Eqtn!$D$111/E120)</f>
        <v>64</v>
      </c>
      <c r="G120" s="684">
        <f>IF(D120="na","na",Eqtn!$D$132/(D120*E120))</f>
        <v>0.625</v>
      </c>
      <c r="H120" s="694">
        <f>IF(C120="na","na",C120*Eqtn!$D$153/E120)</f>
        <v>2800</v>
      </c>
      <c r="I120" s="132">
        <f>IF(D120="na","na",Eqtn!$D$174/(D120*E120))</f>
        <v>82.031250000000014</v>
      </c>
      <c r="K120" s="1062"/>
    </row>
    <row r="121" spans="1:11" ht="13.9" customHeight="1" x14ac:dyDescent="0.25">
      <c r="A121" s="847">
        <f>Chem!A121</f>
        <v>119</v>
      </c>
      <c r="B121" s="855" t="str">
        <f>Chem!B121</f>
        <v>Hexachlorobutadiene</v>
      </c>
      <c r="C121" s="552">
        <f>Param!O121</f>
        <v>1E-3</v>
      </c>
      <c r="D121" s="552">
        <f>Param!V121</f>
        <v>7.8E-2</v>
      </c>
      <c r="E121" s="670">
        <f>Param!AD121</f>
        <v>1</v>
      </c>
      <c r="F121" s="684">
        <f>IF(C121="na","na",C121*Eqtn!$D$111/E121)</f>
        <v>80</v>
      </c>
      <c r="G121" s="684">
        <f>IF(D121="na","na",Eqtn!$D$132/(D121*E121))</f>
        <v>12.820512820512821</v>
      </c>
      <c r="H121" s="694">
        <f>IF(C121="na","na",C121*Eqtn!$D$153/E121)</f>
        <v>3500</v>
      </c>
      <c r="I121" s="132">
        <f>IF(D121="na","na",Eqtn!$D$174/(D121*E121))</f>
        <v>1682.6923076923081</v>
      </c>
      <c r="K121" s="1062"/>
    </row>
    <row r="122" spans="1:11" ht="13.9" customHeight="1" x14ac:dyDescent="0.25">
      <c r="A122" s="847">
        <f>Chem!A122</f>
        <v>120</v>
      </c>
      <c r="B122" s="855" t="str">
        <f>Chem!B122</f>
        <v>Hexachlorocyclopentadiene</v>
      </c>
      <c r="C122" s="552">
        <f>Param!O122</f>
        <v>6.0000000000000001E-3</v>
      </c>
      <c r="D122" s="552" t="str">
        <f>Param!V122</f>
        <v>na</v>
      </c>
      <c r="E122" s="670">
        <f>Param!AD122</f>
        <v>1</v>
      </c>
      <c r="F122" s="684">
        <f>IF(C122="na","na",C122*Eqtn!$D$111/E122)</f>
        <v>480</v>
      </c>
      <c r="G122" s="684" t="str">
        <f>IF(D122="na","na",Eqtn!$D$132/(D122*E122))</f>
        <v>na</v>
      </c>
      <c r="H122" s="694">
        <f>IF(C122="na","na",C122*Eqtn!$D$153/E122)</f>
        <v>21000</v>
      </c>
      <c r="I122" s="132" t="str">
        <f>IF(D122="na","na",Eqtn!$D$174/(D122*E122))</f>
        <v>na</v>
      </c>
      <c r="K122" s="1062"/>
    </row>
    <row r="123" spans="1:11" ht="13.9" customHeight="1" x14ac:dyDescent="0.25">
      <c r="A123" s="847">
        <f>Chem!A123</f>
        <v>121</v>
      </c>
      <c r="B123" s="855" t="str">
        <f>Chem!B123</f>
        <v>Hexachloroethane</v>
      </c>
      <c r="C123" s="552">
        <f>Param!O123</f>
        <v>6.9999999999999999E-4</v>
      </c>
      <c r="D123" s="552">
        <f>Param!V123</f>
        <v>0.04</v>
      </c>
      <c r="E123" s="670">
        <f>Param!AD123</f>
        <v>1</v>
      </c>
      <c r="F123" s="684">
        <f>IF(C123="na","na",C123*Eqtn!$D$111/E123)</f>
        <v>56</v>
      </c>
      <c r="G123" s="684">
        <f>IF(D123="na","na",Eqtn!$D$132/(D123*E123))</f>
        <v>25</v>
      </c>
      <c r="H123" s="694">
        <f>IF(C123="na","na",C123*Eqtn!$D$153/E123)</f>
        <v>2450</v>
      </c>
      <c r="I123" s="132">
        <f>IF(D123="na","na",Eqtn!$D$174/(D123*E123))</f>
        <v>3281.2500000000005</v>
      </c>
      <c r="K123" s="1062"/>
    </row>
    <row r="124" spans="1:11" ht="13.9" customHeight="1" x14ac:dyDescent="0.25">
      <c r="A124" s="847">
        <f>Chem!A124</f>
        <v>122</v>
      </c>
      <c r="B124" s="855" t="str">
        <f>Chem!B124</f>
        <v>Isophorone</v>
      </c>
      <c r="C124" s="552">
        <f>Param!O124</f>
        <v>0.2</v>
      </c>
      <c r="D124" s="552">
        <f>Param!V124</f>
        <v>9.5E-4</v>
      </c>
      <c r="E124" s="670">
        <f>Param!AD124</f>
        <v>1</v>
      </c>
      <c r="F124" s="684">
        <f>IF(C124="na","na",C124*Eqtn!$D$111/E124)</f>
        <v>16000</v>
      </c>
      <c r="G124" s="684">
        <f>IF(D124="na","na",Eqtn!$D$132/(D124*E124))</f>
        <v>1052.6315789473683</v>
      </c>
      <c r="H124" s="694">
        <f>IF(C124="na","na",C124*Eqtn!$D$153/E124)</f>
        <v>700000</v>
      </c>
      <c r="I124" s="132">
        <f>IF(D124="na","na",Eqtn!$D$174/(D124*E124))</f>
        <v>138157.89473684214</v>
      </c>
      <c r="K124" s="1062"/>
    </row>
    <row r="125" spans="1:11" ht="13.9" customHeight="1" x14ac:dyDescent="0.25">
      <c r="A125" s="847">
        <f>Chem!A125</f>
        <v>123</v>
      </c>
      <c r="B125" s="855" t="str">
        <f>Chem!B125</f>
        <v>2-Methoxynaphthalene</v>
      </c>
      <c r="C125" s="552" t="str">
        <f>Param!O125</f>
        <v>na</v>
      </c>
      <c r="D125" s="552" t="str">
        <f>Param!V125</f>
        <v>na</v>
      </c>
      <c r="E125" s="670" t="str">
        <f>Param!AD125</f>
        <v>na</v>
      </c>
      <c r="F125" s="684" t="str">
        <f>IF(C125="na","na",C125*Eqtn!$D$111/E125)</f>
        <v>na</v>
      </c>
      <c r="G125" s="684" t="str">
        <f>IF(D125="na","na",Eqtn!$D$132/(D125*E125))</f>
        <v>na</v>
      </c>
      <c r="H125" s="694" t="str">
        <f>IF(C125="na","na",C125*Eqtn!$D$153/E125)</f>
        <v>na</v>
      </c>
      <c r="I125" s="132" t="str">
        <f>IF(D125="na","na",Eqtn!$D$174/(D125*E125))</f>
        <v>na</v>
      </c>
      <c r="K125" s="1062"/>
    </row>
    <row r="126" spans="1:11" ht="13.9" customHeight="1" x14ac:dyDescent="0.25">
      <c r="A126" s="847">
        <f>Chem!A126</f>
        <v>124</v>
      </c>
      <c r="B126" s="855" t="str">
        <f>Chem!B126</f>
        <v>2-Methylphenol (o-cresol)</v>
      </c>
      <c r="C126" s="552">
        <f>Param!O126</f>
        <v>0.05</v>
      </c>
      <c r="D126" s="552" t="str">
        <f>Param!V126</f>
        <v>na</v>
      </c>
      <c r="E126" s="670">
        <f>Param!AD126</f>
        <v>1</v>
      </c>
      <c r="F126" s="684">
        <f>IF(C126="na","na",C126*Eqtn!$D$111/E126)</f>
        <v>4000</v>
      </c>
      <c r="G126" s="684" t="str">
        <f>IF(D126="na","na",Eqtn!$D$132/(D126*E126))</f>
        <v>na</v>
      </c>
      <c r="H126" s="694">
        <f>IF(C126="na","na",C126*Eqtn!$D$153/E126)</f>
        <v>175000</v>
      </c>
      <c r="I126" s="132" t="str">
        <f>IF(D126="na","na",Eqtn!$D$174/(D126*E126))</f>
        <v>na</v>
      </c>
      <c r="K126" s="1062"/>
    </row>
    <row r="127" spans="1:11" ht="13.9" customHeight="1" x14ac:dyDescent="0.25">
      <c r="A127" s="847">
        <f>Chem!A127</f>
        <v>125</v>
      </c>
      <c r="B127" s="855" t="str">
        <f>Chem!B127</f>
        <v>3-Methylphenol (m-cresol)</v>
      </c>
      <c r="C127" s="552">
        <f>Param!O127</f>
        <v>0.05</v>
      </c>
      <c r="D127" s="552" t="str">
        <f>Param!V127</f>
        <v>na</v>
      </c>
      <c r="E127" s="670">
        <f>Param!AD127</f>
        <v>1</v>
      </c>
      <c r="F127" s="684">
        <f>IF(C127="na","na",C127*Eqtn!$D$111/E127)</f>
        <v>4000</v>
      </c>
      <c r="G127" s="684" t="str">
        <f>IF(D127="na","na",Eqtn!$D$132/(D127*E127))</f>
        <v>na</v>
      </c>
      <c r="H127" s="694">
        <f>IF(C127="na","na",C127*Eqtn!$D$153/E127)</f>
        <v>175000</v>
      </c>
      <c r="I127" s="132" t="str">
        <f>IF(D127="na","na",Eqtn!$D$174/(D127*E127))</f>
        <v>na</v>
      </c>
      <c r="K127" s="1062"/>
    </row>
    <row r="128" spans="1:11" ht="13.9" customHeight="1" x14ac:dyDescent="0.25">
      <c r="A128" s="847">
        <f>Chem!A128</f>
        <v>126</v>
      </c>
      <c r="B128" s="855" t="str">
        <f>Chem!B128</f>
        <v>4-Methylphenol (p-cresol)</v>
      </c>
      <c r="C128" s="552">
        <f>Param!O128</f>
        <v>0.1</v>
      </c>
      <c r="D128" s="552" t="str">
        <f>Param!V128</f>
        <v>na</v>
      </c>
      <c r="E128" s="670">
        <f>Param!AD128</f>
        <v>1</v>
      </c>
      <c r="F128" s="684">
        <f>IF(C128="na","na",C128*Eqtn!$D$111/E128)</f>
        <v>8000</v>
      </c>
      <c r="G128" s="684" t="str">
        <f>IF(D128="na","na",Eqtn!$D$132/(D128*E128))</f>
        <v>na</v>
      </c>
      <c r="H128" s="694">
        <f>IF(C128="na","na",C128*Eqtn!$D$153/E128)</f>
        <v>350000</v>
      </c>
      <c r="I128" s="132" t="str">
        <f>IF(D128="na","na",Eqtn!$D$174/(D128*E128))</f>
        <v>na</v>
      </c>
      <c r="K128" s="1062"/>
    </row>
    <row r="129" spans="1:11" ht="13.9" customHeight="1" x14ac:dyDescent="0.25">
      <c r="A129" s="847">
        <f>Chem!A129</f>
        <v>127</v>
      </c>
      <c r="B129" s="855" t="str">
        <f>Chem!B129</f>
        <v>2-Nitroaniline</v>
      </c>
      <c r="C129" s="552">
        <f>Param!O129</f>
        <v>0.01</v>
      </c>
      <c r="D129" s="552" t="str">
        <f>Param!V129</f>
        <v>na</v>
      </c>
      <c r="E129" s="670">
        <f>Param!AD129</f>
        <v>1</v>
      </c>
      <c r="F129" s="684">
        <f>IF(C129="na","na",C129*Eqtn!$D$111/E129)</f>
        <v>800</v>
      </c>
      <c r="G129" s="684" t="str">
        <f>IF(D129="na","na",Eqtn!$D$132/(D129*E129))</f>
        <v>na</v>
      </c>
      <c r="H129" s="694">
        <f>IF(C129="na","na",C129*Eqtn!$D$153/E129)</f>
        <v>35000</v>
      </c>
      <c r="I129" s="132" t="str">
        <f>IF(D129="na","na",Eqtn!$D$174/(D129*E129))</f>
        <v>na</v>
      </c>
      <c r="K129" s="1062"/>
    </row>
    <row r="130" spans="1:11" ht="13.9" customHeight="1" x14ac:dyDescent="0.25">
      <c r="A130" s="847">
        <f>Chem!A130</f>
        <v>128</v>
      </c>
      <c r="B130" s="855" t="str">
        <f>Chem!B130</f>
        <v>3-Nitroaniline</v>
      </c>
      <c r="C130" s="552" t="str">
        <f>Param!O130</f>
        <v>na</v>
      </c>
      <c r="D130" s="552" t="str">
        <f>Param!V130</f>
        <v>na</v>
      </c>
      <c r="E130" s="670" t="str">
        <f>Param!AD130</f>
        <v>na</v>
      </c>
      <c r="F130" s="684" t="str">
        <f>IF(C130="na","na",C130*Eqtn!$D$111/E130)</f>
        <v>na</v>
      </c>
      <c r="G130" s="684" t="str">
        <f>IF(D130="na","na",Eqtn!$D$132/(D130*E130))</f>
        <v>na</v>
      </c>
      <c r="H130" s="694" t="str">
        <f>IF(C130="na","na",C130*Eqtn!$D$153/E130)</f>
        <v>na</v>
      </c>
      <c r="I130" s="132" t="str">
        <f>IF(D130="na","na",Eqtn!$D$174/(D130*E130))</f>
        <v>na</v>
      </c>
      <c r="K130" s="1062"/>
    </row>
    <row r="131" spans="1:11" ht="13.9" customHeight="1" x14ac:dyDescent="0.25">
      <c r="A131" s="847">
        <f>Chem!A131</f>
        <v>129</v>
      </c>
      <c r="B131" s="855" t="str">
        <f>Chem!B131</f>
        <v>4-Nitroaniline</v>
      </c>
      <c r="C131" s="552">
        <f>Param!O131</f>
        <v>4.0000000000000001E-3</v>
      </c>
      <c r="D131" s="552">
        <f>Param!V131</f>
        <v>0.02</v>
      </c>
      <c r="E131" s="670">
        <f>Param!AD131</f>
        <v>1</v>
      </c>
      <c r="F131" s="684">
        <f>IF(C131="na","na",C131*Eqtn!$D$111/E131)</f>
        <v>320</v>
      </c>
      <c r="G131" s="684">
        <f>IF(D131="na","na",Eqtn!$D$132/(D131*E131))</f>
        <v>50</v>
      </c>
      <c r="H131" s="694">
        <f>IF(C131="na","na",C131*Eqtn!$D$153/E131)</f>
        <v>14000</v>
      </c>
      <c r="I131" s="132">
        <f>IF(D131="na","na",Eqtn!$D$174/(D131*E131))</f>
        <v>6562.5000000000009</v>
      </c>
      <c r="K131" s="1062"/>
    </row>
    <row r="132" spans="1:11" ht="13.9" customHeight="1" x14ac:dyDescent="0.25">
      <c r="A132" s="847">
        <f>Chem!A132</f>
        <v>130</v>
      </c>
      <c r="B132" s="855" t="str">
        <f>Chem!B132</f>
        <v>Nitrobenzene</v>
      </c>
      <c r="C132" s="552">
        <f>Param!O132</f>
        <v>2E-3</v>
      </c>
      <c r="D132" s="552" t="str">
        <f>Param!V132</f>
        <v>na</v>
      </c>
      <c r="E132" s="670">
        <f>Param!AD132</f>
        <v>1</v>
      </c>
      <c r="F132" s="684">
        <f>IF(C132="na","na",C132*Eqtn!$D$111/E132)</f>
        <v>160</v>
      </c>
      <c r="G132" s="684" t="str">
        <f>IF(D132="na","na",Eqtn!$D$132/(D132*E132))</f>
        <v>na</v>
      </c>
      <c r="H132" s="694">
        <f>IF(C132="na","na",C132*Eqtn!$D$153/E132)</f>
        <v>7000</v>
      </c>
      <c r="I132" s="132" t="str">
        <f>IF(D132="na","na",Eqtn!$D$174/(D132*E132))</f>
        <v>na</v>
      </c>
      <c r="K132" s="1062"/>
    </row>
    <row r="133" spans="1:11" ht="13.9" customHeight="1" x14ac:dyDescent="0.25">
      <c r="A133" s="847">
        <f>Chem!A133</f>
        <v>131</v>
      </c>
      <c r="B133" s="855" t="str">
        <f>Chem!B133</f>
        <v>2-Nitrophenol</v>
      </c>
      <c r="C133" s="552" t="str">
        <f>Param!O133</f>
        <v>na</v>
      </c>
      <c r="D133" s="552" t="str">
        <f>Param!V133</f>
        <v>na</v>
      </c>
      <c r="E133" s="670" t="str">
        <f>Param!AD133</f>
        <v>na</v>
      </c>
      <c r="F133" s="684" t="str">
        <f>IF(C133="na","na",C133*Eqtn!$D$111/E133)</f>
        <v>na</v>
      </c>
      <c r="G133" s="684" t="str">
        <f>IF(D133="na","na",Eqtn!$D$132/(D133*E133))</f>
        <v>na</v>
      </c>
      <c r="H133" s="694" t="str">
        <f>IF(C133="na","na",C133*Eqtn!$D$153/E133)</f>
        <v>na</v>
      </c>
      <c r="I133" s="132" t="str">
        <f>IF(D133="na","na",Eqtn!$D$174/(D133*E133))</f>
        <v>na</v>
      </c>
      <c r="K133" s="1062"/>
    </row>
    <row r="134" spans="1:11" ht="13.9" customHeight="1" x14ac:dyDescent="0.25">
      <c r="A134" s="847">
        <f>Chem!A134</f>
        <v>132</v>
      </c>
      <c r="B134" s="855" t="str">
        <f>Chem!B134</f>
        <v>4-Nitrophenol</v>
      </c>
      <c r="C134" s="552" t="str">
        <f>Param!O134</f>
        <v>na</v>
      </c>
      <c r="D134" s="552" t="str">
        <f>Param!V134</f>
        <v>na</v>
      </c>
      <c r="E134" s="670" t="str">
        <f>Param!AD134</f>
        <v>na</v>
      </c>
      <c r="F134" s="684" t="str">
        <f>IF(C134="na","na",C134*Eqtn!$D$111/E134)</f>
        <v>na</v>
      </c>
      <c r="G134" s="684" t="str">
        <f>IF(D134="na","na",Eqtn!$D$132/(D134*E134))</f>
        <v>na</v>
      </c>
      <c r="H134" s="694" t="str">
        <f>IF(C134="na","na",C134*Eqtn!$D$153/E134)</f>
        <v>na</v>
      </c>
      <c r="I134" s="132" t="str">
        <f>IF(D134="na","na",Eqtn!$D$174/(D134*E134))</f>
        <v>na</v>
      </c>
      <c r="K134" s="1062"/>
    </row>
    <row r="135" spans="1:11" ht="13.9" customHeight="1" x14ac:dyDescent="0.25">
      <c r="A135" s="847">
        <f>Chem!A135</f>
        <v>133</v>
      </c>
      <c r="B135" s="1848" t="str">
        <f>Chem!B135</f>
        <v>n-Nitrosodimethylamine</v>
      </c>
      <c r="C135" s="552">
        <f>Param!O135</f>
        <v>7.9999999999999996E-6</v>
      </c>
      <c r="D135" s="552">
        <f>Param!V135</f>
        <v>51</v>
      </c>
      <c r="E135" s="670">
        <f>Param!AD135</f>
        <v>1</v>
      </c>
      <c r="F135" s="684">
        <f>IF(C135="na","na",C135*Eqtn!$D$111/E135)</f>
        <v>0.64</v>
      </c>
      <c r="G135" s="694">
        <v>3.7000000000000002E-3</v>
      </c>
      <c r="H135" s="694">
        <f>IF(C135="na","na",C135*Eqtn!$D$153/E135)</f>
        <v>28</v>
      </c>
      <c r="I135" s="132">
        <f>IF(D135="na","na",Eqtn!$D$174/(D135*E135))</f>
        <v>2.5735294117647065</v>
      </c>
      <c r="K135" s="1062"/>
    </row>
    <row r="136" spans="1:11" ht="13.9" customHeight="1" x14ac:dyDescent="0.25">
      <c r="A136" s="847">
        <f>Chem!A136</f>
        <v>134</v>
      </c>
      <c r="B136" s="855" t="str">
        <f>Chem!B136</f>
        <v>n-Nitrosodiphenylamine</v>
      </c>
      <c r="C136" s="552" t="str">
        <f>Param!O136</f>
        <v>na</v>
      </c>
      <c r="D136" s="552">
        <f>Param!V136</f>
        <v>4.8999999999999998E-3</v>
      </c>
      <c r="E136" s="670">
        <f>Param!AD136</f>
        <v>1</v>
      </c>
      <c r="F136" s="684" t="str">
        <f>IF(C136="na","na",C136*Eqtn!$D$111/E136)</f>
        <v>na</v>
      </c>
      <c r="G136" s="684">
        <f>IF(D136="na","na",Eqtn!$D$132/(D136*E136))</f>
        <v>204.08163265306123</v>
      </c>
      <c r="H136" s="694" t="str">
        <f>IF(C136="na","na",C136*Eqtn!$D$153/E136)</f>
        <v>na</v>
      </c>
      <c r="I136" s="132">
        <f>IF(D136="na","na",Eqtn!$D$174/(D136*E136))</f>
        <v>26785.714285714294</v>
      </c>
      <c r="K136" s="1062"/>
    </row>
    <row r="137" spans="1:11" ht="13.9" customHeight="1" x14ac:dyDescent="0.25">
      <c r="A137" s="847">
        <f>Chem!A137</f>
        <v>135</v>
      </c>
      <c r="B137" s="855" t="str">
        <f>Chem!B137</f>
        <v>n-Nitrosodi-n-propylamine</v>
      </c>
      <c r="C137" s="552" t="str">
        <f>Param!O137</f>
        <v>na</v>
      </c>
      <c r="D137" s="552">
        <f>Param!V137</f>
        <v>7</v>
      </c>
      <c r="E137" s="670">
        <f>Param!AD137</f>
        <v>1</v>
      </c>
      <c r="F137" s="684" t="str">
        <f>IF(C137="na","na",C137*Eqtn!$D$111/E137)</f>
        <v>na</v>
      </c>
      <c r="G137" s="684">
        <f>IF(D137="na","na",Eqtn!$D$132/(D137*E137))</f>
        <v>0.14285714285714285</v>
      </c>
      <c r="H137" s="694" t="str">
        <f>IF(C137="na","na",C137*Eqtn!$D$153/E137)</f>
        <v>na</v>
      </c>
      <c r="I137" s="132">
        <f>IF(D137="na","na",Eqtn!$D$174/(D137*E137))</f>
        <v>18.750000000000004</v>
      </c>
      <c r="K137" s="1062"/>
    </row>
    <row r="138" spans="1:11" ht="13.9" customHeight="1" x14ac:dyDescent="0.25">
      <c r="A138" s="847">
        <f>Chem!A138</f>
        <v>136</v>
      </c>
      <c r="B138" s="855" t="str">
        <f>Chem!B138</f>
        <v>Pentachlorophenol</v>
      </c>
      <c r="C138" s="552">
        <f>Param!O138</f>
        <v>5.0000000000000001E-3</v>
      </c>
      <c r="D138" s="552">
        <f>Param!V138</f>
        <v>0.4</v>
      </c>
      <c r="E138" s="670">
        <f>Param!AD138</f>
        <v>1</v>
      </c>
      <c r="F138" s="684">
        <f>IF(C138="na","na",C138*Eqtn!$D$111/E138)</f>
        <v>400</v>
      </c>
      <c r="G138" s="684">
        <f>IF(D138="na","na",Eqtn!$D$132/(D138*E138))</f>
        <v>2.5</v>
      </c>
      <c r="H138" s="694">
        <f>IF(C138="na","na",C138*Eqtn!$D$153/E138)</f>
        <v>17500</v>
      </c>
      <c r="I138" s="132">
        <f>IF(D138="na","na",Eqtn!$D$174/(D138*E138))</f>
        <v>328.12500000000006</v>
      </c>
      <c r="K138" s="1062"/>
    </row>
    <row r="139" spans="1:11" ht="13.9" customHeight="1" x14ac:dyDescent="0.25">
      <c r="A139" s="847">
        <f>Chem!A139</f>
        <v>137</v>
      </c>
      <c r="B139" s="855" t="str">
        <f>Chem!B139</f>
        <v>Phenol</v>
      </c>
      <c r="C139" s="552">
        <f>Param!O139</f>
        <v>0.3</v>
      </c>
      <c r="D139" s="552" t="str">
        <f>Param!V139</f>
        <v>na</v>
      </c>
      <c r="E139" s="670">
        <f>Param!AD139</f>
        <v>1</v>
      </c>
      <c r="F139" s="684">
        <f>IF(C139="na","na",C139*Eqtn!$D$111/E139)</f>
        <v>24000</v>
      </c>
      <c r="G139" s="684" t="str">
        <f>IF(D139="na","na",Eqtn!$D$132/(D139*E139))</f>
        <v>na</v>
      </c>
      <c r="H139" s="694">
        <f>IF(C139="na","na",C139*Eqtn!$D$153/E139)</f>
        <v>1050000</v>
      </c>
      <c r="I139" s="132" t="str">
        <f>IF(D139="na","na",Eqtn!$D$174/(D139*E139))</f>
        <v>na</v>
      </c>
      <c r="K139" s="1062"/>
    </row>
    <row r="140" spans="1:11" ht="13.9" customHeight="1" x14ac:dyDescent="0.25">
      <c r="A140" s="847">
        <f>Chem!A140</f>
        <v>138</v>
      </c>
      <c r="B140" s="855" t="str">
        <f>Chem!B140</f>
        <v>Pyridine</v>
      </c>
      <c r="C140" s="552">
        <f>Param!O140</f>
        <v>1E-3</v>
      </c>
      <c r="D140" s="552" t="str">
        <f>Param!V140</f>
        <v>na</v>
      </c>
      <c r="E140" s="670">
        <f>Param!AD140</f>
        <v>1</v>
      </c>
      <c r="F140" s="684">
        <f>IF(C140="na","na",C140*Eqtn!$D$111/E140)</f>
        <v>80</v>
      </c>
      <c r="G140" s="684" t="str">
        <f>IF(D140="na","na",Eqtn!$D$132/(D140*E140))</f>
        <v>na</v>
      </c>
      <c r="H140" s="694">
        <f>IF(C140="na","na",C140*Eqtn!$D$153/E140)</f>
        <v>3500</v>
      </c>
      <c r="I140" s="132" t="str">
        <f>IF(D140="na","na",Eqtn!$D$174/(D140*E140))</f>
        <v>na</v>
      </c>
      <c r="K140" s="1062"/>
    </row>
    <row r="141" spans="1:11" ht="13.9" customHeight="1" x14ac:dyDescent="0.25">
      <c r="A141" s="847">
        <f>Chem!A141</f>
        <v>139</v>
      </c>
      <c r="B141" s="855" t="str">
        <f>Chem!B141</f>
        <v>2,3,4,5-Tetrachlorophenol</v>
      </c>
      <c r="C141" s="552" t="str">
        <f>Param!O141</f>
        <v>na</v>
      </c>
      <c r="D141" s="552" t="str">
        <f>Param!V141</f>
        <v>na</v>
      </c>
      <c r="E141" s="670" t="str">
        <f>Param!AD141</f>
        <v>na</v>
      </c>
      <c r="F141" s="684" t="str">
        <f>IF(C141="na","na",C141*Eqtn!$D$111/E141)</f>
        <v>na</v>
      </c>
      <c r="G141" s="684" t="str">
        <f>IF(D141="na","na",Eqtn!$D$132/(D141*E141))</f>
        <v>na</v>
      </c>
      <c r="H141" s="694" t="str">
        <f>IF(C141="na","na",C141*Eqtn!$D$153/E141)</f>
        <v>na</v>
      </c>
      <c r="I141" s="132" t="str">
        <f>IF(D141="na","na",Eqtn!$D$174/(D141*E141))</f>
        <v>na</v>
      </c>
      <c r="K141" s="1062"/>
    </row>
    <row r="142" spans="1:11" ht="13.9" customHeight="1" x14ac:dyDescent="0.25">
      <c r="A142" s="847">
        <f>Chem!A142</f>
        <v>140</v>
      </c>
      <c r="B142" s="855" t="str">
        <f>Chem!B142</f>
        <v>2,3,4,6-Tetrachlorophenol</v>
      </c>
      <c r="C142" s="552">
        <f>Param!O142</f>
        <v>0.03</v>
      </c>
      <c r="D142" s="552" t="str">
        <f>Param!V142</f>
        <v>na</v>
      </c>
      <c r="E142" s="670">
        <f>Param!AD142</f>
        <v>1</v>
      </c>
      <c r="F142" s="684">
        <f>IF(C142="na","na",C142*Eqtn!$D$111/E142)</f>
        <v>2400</v>
      </c>
      <c r="G142" s="684" t="str">
        <f>IF(D142="na","na",Eqtn!$D$132/(D142*E142))</f>
        <v>na</v>
      </c>
      <c r="H142" s="694">
        <f>IF(C142="na","na",C142*Eqtn!$D$153/E142)</f>
        <v>105000</v>
      </c>
      <c r="I142" s="132" t="str">
        <f>IF(D142="na","na",Eqtn!$D$174/(D142*E142))</f>
        <v>na</v>
      </c>
      <c r="K142" s="1062"/>
    </row>
    <row r="143" spans="1:11" ht="13.9" customHeight="1" x14ac:dyDescent="0.25">
      <c r="A143" s="847">
        <f>Chem!A143</f>
        <v>141</v>
      </c>
      <c r="B143" s="855" t="str">
        <f>Chem!B143</f>
        <v>1,2,4-Trichlorobenzene</v>
      </c>
      <c r="C143" s="552">
        <f>Param!O143</f>
        <v>0.01</v>
      </c>
      <c r="D143" s="552">
        <f>Param!V143</f>
        <v>2.9000000000000001E-2</v>
      </c>
      <c r="E143" s="670">
        <f>Param!AD143</f>
        <v>1</v>
      </c>
      <c r="F143" s="684">
        <f>IF(C143="na","na",C143*Eqtn!$D$111/E143)</f>
        <v>800</v>
      </c>
      <c r="G143" s="684">
        <f>IF(D143="na","na",Eqtn!$D$132/(D143*E143))</f>
        <v>34.482758620689651</v>
      </c>
      <c r="H143" s="694">
        <f>IF(C143="na","na",C143*Eqtn!$D$153/E143)</f>
        <v>35000</v>
      </c>
      <c r="I143" s="132">
        <f>IF(D143="na","na",Eqtn!$D$174/(D143*E143))</f>
        <v>4525.8620689655181</v>
      </c>
      <c r="K143" s="1062"/>
    </row>
    <row r="144" spans="1:11" ht="13.9" customHeight="1" x14ac:dyDescent="0.25">
      <c r="A144" s="847">
        <f>Chem!A144</f>
        <v>142</v>
      </c>
      <c r="B144" s="855" t="str">
        <f>Chem!B144</f>
        <v>2,4,5-Trichlorophenol</v>
      </c>
      <c r="C144" s="552">
        <f>Param!O144</f>
        <v>0.1</v>
      </c>
      <c r="D144" s="552" t="str">
        <f>Param!V144</f>
        <v>na</v>
      </c>
      <c r="E144" s="670">
        <f>Param!AD144</f>
        <v>1</v>
      </c>
      <c r="F144" s="684">
        <f>IF(C144="na","na",C144*Eqtn!$D$111/E144)</f>
        <v>8000</v>
      </c>
      <c r="G144" s="684" t="str">
        <f>IF(D144="na","na",Eqtn!$D$132/(D144*E144))</f>
        <v>na</v>
      </c>
      <c r="H144" s="694">
        <f>IF(C144="na","na",C144*Eqtn!$D$153/E144)</f>
        <v>350000</v>
      </c>
      <c r="I144" s="132" t="str">
        <f>IF(D144="na","na",Eqtn!$D$174/(D144*E144))</f>
        <v>na</v>
      </c>
      <c r="K144" s="1062"/>
    </row>
    <row r="145" spans="1:11" ht="13.9" customHeight="1" x14ac:dyDescent="0.25">
      <c r="A145" s="842">
        <f>Chem!A145</f>
        <v>143</v>
      </c>
      <c r="B145" s="885" t="str">
        <f>Chem!B145</f>
        <v>2,4,6-Trichlorophenol</v>
      </c>
      <c r="C145" s="589">
        <f>Param!O145</f>
        <v>1E-3</v>
      </c>
      <c r="D145" s="589">
        <f>Param!V145</f>
        <v>1.0999999999999999E-2</v>
      </c>
      <c r="E145" s="671">
        <f>Param!AD145</f>
        <v>1</v>
      </c>
      <c r="F145" s="685">
        <f>IF(C145="na","na",C145*Eqtn!$D$111/E145)</f>
        <v>80</v>
      </c>
      <c r="G145" s="685">
        <f>IF(D145="na","na",Eqtn!$D$132/(D145*E145))</f>
        <v>90.909090909090921</v>
      </c>
      <c r="H145" s="707">
        <f>IF(C145="na","na",C145*Eqtn!$D$153/E145)</f>
        <v>3500</v>
      </c>
      <c r="I145" s="702">
        <f>IF(D145="na","na",Eqtn!$D$174/(D145*E145))</f>
        <v>11931.818181818186</v>
      </c>
      <c r="K145" s="1062"/>
    </row>
    <row r="146" spans="1:11" ht="13.9" customHeight="1" x14ac:dyDescent="0.25">
      <c r="A146" s="1197">
        <f>Chem!A146</f>
        <v>144</v>
      </c>
      <c r="B146" s="850" t="str">
        <f>Chem!B146</f>
        <v>Volatile Organic Compounds</v>
      </c>
      <c r="C146" s="127"/>
      <c r="D146" s="127"/>
      <c r="E146" s="2363"/>
      <c r="F146" s="127"/>
      <c r="G146" s="127"/>
      <c r="H146" s="127"/>
      <c r="I146" s="2364"/>
      <c r="K146" s="1063"/>
    </row>
    <row r="147" spans="1:11" ht="13.9" customHeight="1" x14ac:dyDescent="0.25">
      <c r="A147" s="846">
        <f>Chem!A147</f>
        <v>145</v>
      </c>
      <c r="B147" s="860" t="str">
        <f>Chem!B147</f>
        <v>Acetone</v>
      </c>
      <c r="C147" s="591">
        <f>Param!O147</f>
        <v>0.9</v>
      </c>
      <c r="D147" s="591" t="str">
        <f>Param!V147</f>
        <v>na</v>
      </c>
      <c r="E147" s="672">
        <f>Param!AD147</f>
        <v>1</v>
      </c>
      <c r="F147" s="686">
        <f>IF(C147="na","na",C147*Eqtn!$D$111/E147)</f>
        <v>72000</v>
      </c>
      <c r="G147" s="686" t="str">
        <f>IF(D147="na","na",Eqtn!$D$132/(D147*E147))</f>
        <v>na</v>
      </c>
      <c r="H147" s="706">
        <f>IF(C147="na","na",C147*Eqtn!$D$153/E147)</f>
        <v>3150000</v>
      </c>
      <c r="I147" s="704" t="str">
        <f>IF(D147="na","na",Eqtn!$D$174/(D147*E147))</f>
        <v>na</v>
      </c>
      <c r="K147" s="1062"/>
    </row>
    <row r="148" spans="1:11" ht="13.9" customHeight="1" x14ac:dyDescent="0.25">
      <c r="A148" s="846">
        <f>Chem!A148</f>
        <v>146</v>
      </c>
      <c r="B148" s="855" t="str">
        <f>Chem!B148</f>
        <v>Acetaldehyde</v>
      </c>
      <c r="C148" s="552" t="str">
        <f>Param!O148</f>
        <v>na</v>
      </c>
      <c r="D148" s="552" t="str">
        <f>Param!V148</f>
        <v>na</v>
      </c>
      <c r="E148" s="670">
        <f>Param!AD148</f>
        <v>1</v>
      </c>
      <c r="F148" s="684" t="str">
        <f>IF(C148="na","na",C148*Eqtn!$D$111/E148)</f>
        <v>na</v>
      </c>
      <c r="G148" s="684" t="str">
        <f>IF(D148="na","na",Eqtn!$D$132/(D148*E148))</f>
        <v>na</v>
      </c>
      <c r="H148" s="694" t="str">
        <f>IF(C148="na","na",C148*Eqtn!$D$153/E148)</f>
        <v>na</v>
      </c>
      <c r="I148" s="132" t="str">
        <f>IF(D148="na","na",Eqtn!$D$174/(D148*E148))</f>
        <v>na</v>
      </c>
      <c r="K148" s="1062"/>
    </row>
    <row r="149" spans="1:11" ht="13.9" customHeight="1" x14ac:dyDescent="0.25">
      <c r="A149" s="846">
        <f>Chem!A149</f>
        <v>147</v>
      </c>
      <c r="B149" s="855" t="str">
        <f>Chem!B149</f>
        <v>Acrolein</v>
      </c>
      <c r="C149" s="552">
        <f>Param!O149</f>
        <v>5.0000000000000001E-4</v>
      </c>
      <c r="D149" s="552" t="str">
        <f>Param!V149</f>
        <v>na</v>
      </c>
      <c r="E149" s="670">
        <f>Param!AD149</f>
        <v>1</v>
      </c>
      <c r="F149" s="684">
        <f>IF(C149="na","na",C149*Eqtn!$D$111/E149)</f>
        <v>40</v>
      </c>
      <c r="G149" s="684" t="str">
        <f>IF(D149="na","na",Eqtn!$D$132/(D149*E149))</f>
        <v>na</v>
      </c>
      <c r="H149" s="694">
        <f>IF(C149="na","na",C149*Eqtn!$D$153/E149)</f>
        <v>1750</v>
      </c>
      <c r="I149" s="132" t="str">
        <f>IF(D149="na","na",Eqtn!$D$174/(D149*E149))</f>
        <v>na</v>
      </c>
      <c r="K149" s="1062"/>
    </row>
    <row r="150" spans="1:11" ht="13.9" customHeight="1" x14ac:dyDescent="0.25">
      <c r="A150" s="846">
        <f>Chem!A150</f>
        <v>148</v>
      </c>
      <c r="B150" s="855" t="str">
        <f>Chem!B150</f>
        <v>Acrylonitrile</v>
      </c>
      <c r="C150" s="552">
        <f>Param!O150</f>
        <v>1E-3</v>
      </c>
      <c r="D150" s="552">
        <f>Param!V150</f>
        <v>0.54</v>
      </c>
      <c r="E150" s="670">
        <f>Param!AD150</f>
        <v>1</v>
      </c>
      <c r="F150" s="684">
        <f>IF(C150="na","na",C150*Eqtn!$D$111/E150)</f>
        <v>80</v>
      </c>
      <c r="G150" s="684">
        <f>IF(D150="na","na",Eqtn!$D$132/(D150*E150))</f>
        <v>1.8518518518518516</v>
      </c>
      <c r="H150" s="694">
        <f>IF(C150="na","na",C150*Eqtn!$D$153/E150)</f>
        <v>3500</v>
      </c>
      <c r="I150" s="132">
        <f>IF(D150="na","na",Eqtn!$D$174/(D150*E150))</f>
        <v>243.0555555555556</v>
      </c>
      <c r="K150" s="1062"/>
    </row>
    <row r="151" spans="1:11" ht="13.9" customHeight="1" x14ac:dyDescent="0.25">
      <c r="A151" s="846">
        <f>Chem!A151</f>
        <v>149</v>
      </c>
      <c r="B151" s="856" t="str">
        <f>Chem!B151</f>
        <v>Benzaldehyde</v>
      </c>
      <c r="C151" s="552">
        <f>Param!O151</f>
        <v>0.1</v>
      </c>
      <c r="D151" s="552">
        <f>Param!V151</f>
        <v>4.0000000000000001E-3</v>
      </c>
      <c r="E151" s="670">
        <f>Param!AD151</f>
        <v>1</v>
      </c>
      <c r="F151" s="684">
        <f>IF(C151="na","na",C151*Eqtn!$D$111/E151)</f>
        <v>8000</v>
      </c>
      <c r="G151" s="684">
        <f>IF(D151="na","na",Eqtn!$D$132/(D151*E151))</f>
        <v>250</v>
      </c>
      <c r="H151" s="694">
        <f>IF(C151="na","na",C151*Eqtn!$D$153/E151)</f>
        <v>350000</v>
      </c>
      <c r="I151" s="132">
        <f>IF(D151="na","na",Eqtn!$D$174/(D151*E151))</f>
        <v>32812.500000000007</v>
      </c>
      <c r="K151" s="1062"/>
    </row>
    <row r="152" spans="1:11" ht="13.9" customHeight="1" x14ac:dyDescent="0.25">
      <c r="A152" s="846">
        <f>Chem!A152</f>
        <v>150</v>
      </c>
      <c r="B152" s="855" t="str">
        <f>Chem!B152</f>
        <v>Benzene</v>
      </c>
      <c r="C152" s="552">
        <f>Param!O152</f>
        <v>4.0000000000000001E-3</v>
      </c>
      <c r="D152" s="552">
        <f>Param!V152</f>
        <v>5.5E-2</v>
      </c>
      <c r="E152" s="670">
        <f>Param!AD152</f>
        <v>1</v>
      </c>
      <c r="F152" s="684">
        <f>IF(C152="na","na",C152*Eqtn!$D$111/E152)</f>
        <v>320</v>
      </c>
      <c r="G152" s="684">
        <f>IF(D152="na","na",Eqtn!$D$132/(D152*E152))</f>
        <v>18.181818181818183</v>
      </c>
      <c r="H152" s="694">
        <f>IF(C152="na","na",C152*Eqtn!$D$153/E152)</f>
        <v>14000</v>
      </c>
      <c r="I152" s="132">
        <f>IF(D152="na","na",Eqtn!$D$174/(D152*E152))</f>
        <v>2386.3636363636369</v>
      </c>
      <c r="K152" s="1062"/>
    </row>
    <row r="153" spans="1:11" ht="13.9" customHeight="1" x14ac:dyDescent="0.25">
      <c r="A153" s="846">
        <f>Chem!A153</f>
        <v>151</v>
      </c>
      <c r="B153" s="855" t="str">
        <f>Chem!B153</f>
        <v>Bromobenzene</v>
      </c>
      <c r="C153" s="552">
        <f>Param!O153</f>
        <v>8.0000000000000002E-3</v>
      </c>
      <c r="D153" s="552" t="str">
        <f>Param!V153</f>
        <v>na</v>
      </c>
      <c r="E153" s="670">
        <f>Param!AD153</f>
        <v>1</v>
      </c>
      <c r="F153" s="684">
        <f>IF(C153="na","na",C153*Eqtn!$D$111/E153)</f>
        <v>640</v>
      </c>
      <c r="G153" s="684" t="str">
        <f>IF(D153="na","na",Eqtn!$D$132/(D153*E153))</f>
        <v>na</v>
      </c>
      <c r="H153" s="694">
        <f>IF(C153="na","na",C153*Eqtn!$D$153/E153)</f>
        <v>28000</v>
      </c>
      <c r="I153" s="132" t="str">
        <f>IF(D153="na","na",Eqtn!$D$174/(D153*E153))</f>
        <v>na</v>
      </c>
      <c r="K153" s="1062"/>
    </row>
    <row r="154" spans="1:11" ht="13.9" customHeight="1" x14ac:dyDescent="0.25">
      <c r="A154" s="846">
        <f>Chem!A154</f>
        <v>152</v>
      </c>
      <c r="B154" s="855" t="str">
        <f>Chem!B154</f>
        <v>Bromochloromethane</v>
      </c>
      <c r="C154" s="552" t="str">
        <f>Param!O154</f>
        <v>na</v>
      </c>
      <c r="D154" s="552" t="str">
        <f>Param!V154</f>
        <v>na</v>
      </c>
      <c r="E154" s="670">
        <f>Param!AD154</f>
        <v>1</v>
      </c>
      <c r="F154" s="684" t="str">
        <f>IF(C154="na","na",C154*Eqtn!$D$111/E154)</f>
        <v>na</v>
      </c>
      <c r="G154" s="684" t="str">
        <f>IF(D154="na","na",Eqtn!$D$132/(D154*E154))</f>
        <v>na</v>
      </c>
      <c r="H154" s="694" t="str">
        <f>IF(C154="na","na",C154*Eqtn!$D$153/E154)</f>
        <v>na</v>
      </c>
      <c r="I154" s="132" t="str">
        <f>IF(D154="na","na",Eqtn!$D$174/(D154*E154))</f>
        <v>na</v>
      </c>
      <c r="K154" s="1062"/>
    </row>
    <row r="155" spans="1:11" ht="13.9" customHeight="1" x14ac:dyDescent="0.25">
      <c r="A155" s="846">
        <f>Chem!A155</f>
        <v>153</v>
      </c>
      <c r="B155" s="855" t="str">
        <f>Chem!B155</f>
        <v>Bromoethane</v>
      </c>
      <c r="C155" s="552" t="str">
        <f>Param!O155</f>
        <v>na</v>
      </c>
      <c r="D155" s="552" t="str">
        <f>Param!V155</f>
        <v>na</v>
      </c>
      <c r="E155" s="670" t="str">
        <f>Param!AD155</f>
        <v>na</v>
      </c>
      <c r="F155" s="684" t="str">
        <f>IF(C155="na","na",C155*Eqtn!$D$111/E155)</f>
        <v>na</v>
      </c>
      <c r="G155" s="684" t="str">
        <f>IF(D155="na","na",Eqtn!$D$132/(D155*E155))</f>
        <v>na</v>
      </c>
      <c r="H155" s="694" t="str">
        <f>IF(C155="na","na",C155*Eqtn!$D$153/E155)</f>
        <v>na</v>
      </c>
      <c r="I155" s="132" t="str">
        <f>IF(D155="na","na",Eqtn!$D$174/(D155*E155))</f>
        <v>na</v>
      </c>
      <c r="K155" s="1062"/>
    </row>
    <row r="156" spans="1:11" ht="13.9" customHeight="1" x14ac:dyDescent="0.25">
      <c r="A156" s="846">
        <f>Chem!A156</f>
        <v>154</v>
      </c>
      <c r="B156" s="855" t="str">
        <f>Chem!B156</f>
        <v>Bromoform</v>
      </c>
      <c r="C156" s="552">
        <f>Param!O156</f>
        <v>0.02</v>
      </c>
      <c r="D156" s="552">
        <f>Param!V156</f>
        <v>7.9000000000000008E-3</v>
      </c>
      <c r="E156" s="670">
        <f>Param!AD156</f>
        <v>1</v>
      </c>
      <c r="F156" s="684">
        <f>IF(C156="na","na",C156*Eqtn!$D$111/E156)</f>
        <v>1600</v>
      </c>
      <c r="G156" s="684">
        <f>IF(D156="na","na",Eqtn!$D$132/(D156*E156))</f>
        <v>126.58227848101265</v>
      </c>
      <c r="H156" s="694">
        <f>IF(C156="na","na",C156*Eqtn!$D$153/E156)</f>
        <v>70000</v>
      </c>
      <c r="I156" s="132">
        <f>IF(D156="na","na",Eqtn!$D$174/(D156*E156))</f>
        <v>16613.924050632915</v>
      </c>
      <c r="K156" s="1062"/>
    </row>
    <row r="157" spans="1:11" ht="13.9" customHeight="1" x14ac:dyDescent="0.25">
      <c r="A157" s="846">
        <f>Chem!A157</f>
        <v>155</v>
      </c>
      <c r="B157" s="855" t="str">
        <f>Chem!B157</f>
        <v>Bromomethane</v>
      </c>
      <c r="C157" s="552">
        <f>Param!O157</f>
        <v>1.4E-3</v>
      </c>
      <c r="D157" s="552" t="str">
        <f>Param!V157</f>
        <v>na</v>
      </c>
      <c r="E157" s="670">
        <f>Param!AD157</f>
        <v>1</v>
      </c>
      <c r="F157" s="684">
        <f>IF(C157="na","na",C157*Eqtn!$D$111/E157)</f>
        <v>112</v>
      </c>
      <c r="G157" s="684" t="str">
        <f>IF(D157="na","na",Eqtn!$D$132/(D157*E157))</f>
        <v>na</v>
      </c>
      <c r="H157" s="694">
        <f>IF(C157="na","na",C157*Eqtn!$D$153/E157)</f>
        <v>4900</v>
      </c>
      <c r="I157" s="132" t="str">
        <f>IF(D157="na","na",Eqtn!$D$174/(D157*E157))</f>
        <v>na</v>
      </c>
      <c r="K157" s="1062"/>
    </row>
    <row r="158" spans="1:11" ht="13.9" customHeight="1" x14ac:dyDescent="0.25">
      <c r="A158" s="846">
        <f>Chem!A158</f>
        <v>156</v>
      </c>
      <c r="B158" s="855" t="str">
        <f>Chem!B158</f>
        <v>2-Butoxyethanol (EGBE)</v>
      </c>
      <c r="C158" s="552">
        <f>Param!O158</f>
        <v>0.1</v>
      </c>
      <c r="D158" s="552" t="str">
        <f>Param!V158</f>
        <v>na</v>
      </c>
      <c r="E158" s="670">
        <f>Param!AD158</f>
        <v>1</v>
      </c>
      <c r="F158" s="684">
        <f>IF(C158="na","na",C158*Eqtn!$D$111/E158)</f>
        <v>8000</v>
      </c>
      <c r="G158" s="684" t="str">
        <f>IF(D158="na","na",Eqtn!$D$132/(D158*E158))</f>
        <v>na</v>
      </c>
      <c r="H158" s="694">
        <f>IF(C158="na","na",C158*Eqtn!$D$153/E158)</f>
        <v>350000</v>
      </c>
      <c r="I158" s="132" t="str">
        <f>IF(D158="na","na",Eqtn!$D$174/(D158*E158))</f>
        <v>na</v>
      </c>
      <c r="K158" s="1062"/>
    </row>
    <row r="159" spans="1:11" ht="13.9" customHeight="1" x14ac:dyDescent="0.25">
      <c r="A159" s="846">
        <f>Chem!A159</f>
        <v>157</v>
      </c>
      <c r="B159" s="855" t="str">
        <f>Chem!B159</f>
        <v>n-Butylbenzene</v>
      </c>
      <c r="C159" s="552">
        <f>Param!O159</f>
        <v>0.05</v>
      </c>
      <c r="D159" s="552" t="str">
        <f>Param!V159</f>
        <v>na</v>
      </c>
      <c r="E159" s="670">
        <f>Param!AD159</f>
        <v>1</v>
      </c>
      <c r="F159" s="684">
        <f>IF(C159="na","na",C159*Eqtn!$D$111/E159)</f>
        <v>4000</v>
      </c>
      <c r="G159" s="684" t="str">
        <f>IF(D159="na","na",Eqtn!$D$132/(D159*E159))</f>
        <v>na</v>
      </c>
      <c r="H159" s="694">
        <f>IF(C159="na","na",C159*Eqtn!$D$153/E159)</f>
        <v>175000</v>
      </c>
      <c r="I159" s="132" t="str">
        <f>IF(D159="na","na",Eqtn!$D$174/(D159*E159))</f>
        <v>na</v>
      </c>
      <c r="K159" s="1062"/>
    </row>
    <row r="160" spans="1:11" ht="13.9" customHeight="1" x14ac:dyDescent="0.25">
      <c r="A160" s="846">
        <f>Chem!A160</f>
        <v>158</v>
      </c>
      <c r="B160" s="855" t="str">
        <f>Chem!B160</f>
        <v>sec-Butylbenzene</v>
      </c>
      <c r="C160" s="552">
        <f>Param!O160</f>
        <v>0.1</v>
      </c>
      <c r="D160" s="552" t="str">
        <f>Param!V160</f>
        <v>na</v>
      </c>
      <c r="E160" s="670">
        <f>Param!AD160</f>
        <v>1</v>
      </c>
      <c r="F160" s="684">
        <f>IF(C160="na","na",C160*Eqtn!$D$111/E160)</f>
        <v>8000</v>
      </c>
      <c r="G160" s="684" t="str">
        <f>IF(D160="na","na",Eqtn!$D$132/(D160*E160))</f>
        <v>na</v>
      </c>
      <c r="H160" s="694">
        <f>IF(C160="na","na",C160*Eqtn!$D$153/E160)</f>
        <v>350000</v>
      </c>
      <c r="I160" s="132" t="str">
        <f>IF(D160="na","na",Eqtn!$D$174/(D160*E160))</f>
        <v>na</v>
      </c>
      <c r="K160" s="1062"/>
    </row>
    <row r="161" spans="1:11" ht="13.9" customHeight="1" x14ac:dyDescent="0.25">
      <c r="A161" s="846">
        <f>Chem!A161</f>
        <v>159</v>
      </c>
      <c r="B161" s="855" t="str">
        <f>Chem!B161</f>
        <v>tert-Butylbenzene</v>
      </c>
      <c r="C161" s="552">
        <f>Param!O161</f>
        <v>0.1</v>
      </c>
      <c r="D161" s="552" t="str">
        <f>Param!V161</f>
        <v>na</v>
      </c>
      <c r="E161" s="670">
        <f>Param!AD161</f>
        <v>1</v>
      </c>
      <c r="F161" s="684">
        <f>IF(C161="na","na",C161*Eqtn!$D$111/E161)</f>
        <v>8000</v>
      </c>
      <c r="G161" s="684" t="str">
        <f>IF(D161="na","na",Eqtn!$D$132/(D161*E161))</f>
        <v>na</v>
      </c>
      <c r="H161" s="694">
        <f>IF(C161="na","na",C161*Eqtn!$D$153/E161)</f>
        <v>350000</v>
      </c>
      <c r="I161" s="132" t="str">
        <f>IF(D161="na","na",Eqtn!$D$174/(D161*E161))</f>
        <v>na</v>
      </c>
      <c r="K161" s="1062"/>
    </row>
    <row r="162" spans="1:11" ht="13.9" customHeight="1" x14ac:dyDescent="0.25">
      <c r="A162" s="846">
        <f>Chem!A162</f>
        <v>160</v>
      </c>
      <c r="B162" s="855" t="str">
        <f>Chem!B162</f>
        <v>Carbon disulfide</v>
      </c>
      <c r="C162" s="552">
        <f>Param!O162</f>
        <v>0.1</v>
      </c>
      <c r="D162" s="552" t="str">
        <f>Param!V162</f>
        <v>na</v>
      </c>
      <c r="E162" s="670">
        <f>Param!AD162</f>
        <v>1</v>
      </c>
      <c r="F162" s="684">
        <f>IF(C162="na","na",C162*Eqtn!$D$111/E162)</f>
        <v>8000</v>
      </c>
      <c r="G162" s="684" t="str">
        <f>IF(D162="na","na",Eqtn!$D$132/(D162*E162))</f>
        <v>na</v>
      </c>
      <c r="H162" s="694">
        <f>IF(C162="na","na",C162*Eqtn!$D$153/E162)</f>
        <v>350000</v>
      </c>
      <c r="I162" s="132" t="str">
        <f>IF(D162="na","na",Eqtn!$D$174/(D162*E162))</f>
        <v>na</v>
      </c>
      <c r="K162" s="1062"/>
    </row>
    <row r="163" spans="1:11" ht="13.9" customHeight="1" x14ac:dyDescent="0.25">
      <c r="A163" s="846">
        <f>Chem!A163</f>
        <v>161</v>
      </c>
      <c r="B163" s="855" t="str">
        <f>Chem!B163</f>
        <v>Carbon tetrachloride</v>
      </c>
      <c r="C163" s="552">
        <f>Param!O163</f>
        <v>4.0000000000000001E-3</v>
      </c>
      <c r="D163" s="552">
        <f>Param!V163</f>
        <v>7.0000000000000007E-2</v>
      </c>
      <c r="E163" s="670">
        <f>Param!AD163</f>
        <v>1</v>
      </c>
      <c r="F163" s="684">
        <f>IF(C163="na","na",C163*Eqtn!$D$111/E163)</f>
        <v>320</v>
      </c>
      <c r="G163" s="684">
        <f>IF(D163="na","na",Eqtn!$D$132/(D163*E163))</f>
        <v>14.285714285714285</v>
      </c>
      <c r="H163" s="694">
        <f>IF(C163="na","na",C163*Eqtn!$D$153/E163)</f>
        <v>14000</v>
      </c>
      <c r="I163" s="132">
        <f>IF(D163="na","na",Eqtn!$D$174/(D163*E163))</f>
        <v>1875.0000000000002</v>
      </c>
      <c r="K163" s="1062"/>
    </row>
    <row r="164" spans="1:11" ht="13.9" customHeight="1" x14ac:dyDescent="0.25">
      <c r="A164" s="846">
        <f>Chem!A164</f>
        <v>162</v>
      </c>
      <c r="B164" s="855" t="str">
        <f>Chem!B164</f>
        <v>Chlorobenzene</v>
      </c>
      <c r="C164" s="552">
        <f>Param!O164</f>
        <v>0.02</v>
      </c>
      <c r="D164" s="552" t="str">
        <f>Param!V164</f>
        <v>na</v>
      </c>
      <c r="E164" s="670">
        <f>Param!AD164</f>
        <v>1</v>
      </c>
      <c r="F164" s="684">
        <f>IF(C164="na","na",C164*Eqtn!$D$111/E164)</f>
        <v>1600</v>
      </c>
      <c r="G164" s="684" t="str">
        <f>IF(D164="na","na",Eqtn!$D$132/(D164*E164))</f>
        <v>na</v>
      </c>
      <c r="H164" s="694">
        <f>IF(C164="na","na",C164*Eqtn!$D$153/E164)</f>
        <v>70000</v>
      </c>
      <c r="I164" s="132" t="str">
        <f>IF(D164="na","na",Eqtn!$D$174/(D164*E164))</f>
        <v>na</v>
      </c>
      <c r="K164" s="1062"/>
    </row>
    <row r="165" spans="1:11" ht="13.9" customHeight="1" x14ac:dyDescent="0.25">
      <c r="A165" s="846">
        <f>Chem!A165</f>
        <v>163</v>
      </c>
      <c r="B165" s="855" t="str">
        <f>Chem!B165</f>
        <v>Chloroethane</v>
      </c>
      <c r="C165" s="552" t="str">
        <f>Param!O165</f>
        <v>na</v>
      </c>
      <c r="D165" s="552" t="str">
        <f>Param!V165</f>
        <v>na</v>
      </c>
      <c r="E165" s="670">
        <f>Param!AD165</f>
        <v>1</v>
      </c>
      <c r="F165" s="684" t="str">
        <f>IF(C165="na","na",C165*Eqtn!$D$111/E165)</f>
        <v>na</v>
      </c>
      <c r="G165" s="684" t="str">
        <f>IF(D165="na","na",Eqtn!$D$132/(D165*E165))</f>
        <v>na</v>
      </c>
      <c r="H165" s="694" t="str">
        <f>IF(C165="na","na",C165*Eqtn!$D$153/E165)</f>
        <v>na</v>
      </c>
      <c r="I165" s="132" t="str">
        <f>IF(D165="na","na",Eqtn!$D$174/(D165*E165))</f>
        <v>na</v>
      </c>
      <c r="K165" s="1062"/>
    </row>
    <row r="166" spans="1:11" ht="13.9" customHeight="1" x14ac:dyDescent="0.25">
      <c r="A166" s="846">
        <f>Chem!A166</f>
        <v>164</v>
      </c>
      <c r="B166" s="855" t="str">
        <f>Chem!B166</f>
        <v>2-Chloroethyl vinyl ether</v>
      </c>
      <c r="C166" s="552" t="str">
        <f>Param!O166</f>
        <v>na</v>
      </c>
      <c r="D166" s="552" t="str">
        <f>Param!V166</f>
        <v>na</v>
      </c>
      <c r="E166" s="670" t="str">
        <f>Param!AD166</f>
        <v>na</v>
      </c>
      <c r="F166" s="684" t="str">
        <f>IF(C166="na","na",C166*Eqtn!$D$111/E166)</f>
        <v>na</v>
      </c>
      <c r="G166" s="684" t="str">
        <f>IF(D166="na","na",Eqtn!$D$132/(D166*E166))</f>
        <v>na</v>
      </c>
      <c r="H166" s="694" t="str">
        <f>IF(C166="na","na",C166*Eqtn!$D$153/E166)</f>
        <v>na</v>
      </c>
      <c r="I166" s="132" t="str">
        <f>IF(D166="na","na",Eqtn!$D$174/(D166*E166))</f>
        <v>na</v>
      </c>
      <c r="K166" s="1062"/>
    </row>
    <row r="167" spans="1:11" ht="13.9" customHeight="1" x14ac:dyDescent="0.25">
      <c r="A167" s="846">
        <f>Chem!A167</f>
        <v>165</v>
      </c>
      <c r="B167" s="855" t="str">
        <f>Chem!B167</f>
        <v>Chloroform</v>
      </c>
      <c r="C167" s="552">
        <f>Param!O167</f>
        <v>0.01</v>
      </c>
      <c r="D167" s="552">
        <f>Param!V167</f>
        <v>3.1E-2</v>
      </c>
      <c r="E167" s="670">
        <f>Param!AD167</f>
        <v>1</v>
      </c>
      <c r="F167" s="684">
        <f>IF(C167="na","na",C167*Eqtn!$D$111/E167)</f>
        <v>800</v>
      </c>
      <c r="G167" s="684">
        <f>IF(D167="na","na",Eqtn!$D$132/(D167*E167))</f>
        <v>32.258064516129032</v>
      </c>
      <c r="H167" s="694">
        <f>IF(C167="na","na",C167*Eqtn!$D$153/E167)</f>
        <v>35000</v>
      </c>
      <c r="I167" s="132">
        <f>IF(D167="na","na",Eqtn!$D$174/(D167*E167))</f>
        <v>4233.8709677419365</v>
      </c>
      <c r="K167" s="1062"/>
    </row>
    <row r="168" spans="1:11" ht="13.9" customHeight="1" x14ac:dyDescent="0.25">
      <c r="A168" s="846">
        <f>Chem!A168</f>
        <v>166</v>
      </c>
      <c r="B168" s="855" t="str">
        <f>Chem!B168</f>
        <v>Chloromethane</v>
      </c>
      <c r="C168" s="552" t="str">
        <f>Param!O168</f>
        <v>na</v>
      </c>
      <c r="D168" s="552" t="str">
        <f>Param!V168</f>
        <v>na</v>
      </c>
      <c r="E168" s="670">
        <f>Param!AD168</f>
        <v>1</v>
      </c>
      <c r="F168" s="684" t="str">
        <f>IF(C168="na","na",C168*Eqtn!$D$111/E168)</f>
        <v>na</v>
      </c>
      <c r="G168" s="684" t="str">
        <f>IF(D168="na","na",Eqtn!$D$132/(D168*E168))</f>
        <v>na</v>
      </c>
      <c r="H168" s="694" t="str">
        <f>IF(C168="na","na",C168*Eqtn!$D$153/E168)</f>
        <v>na</v>
      </c>
      <c r="I168" s="132" t="str">
        <f>IF(D168="na","na",Eqtn!$D$174/(D168*E168))</f>
        <v>na</v>
      </c>
      <c r="K168" s="1062"/>
    </row>
    <row r="169" spans="1:11" ht="13.9" customHeight="1" x14ac:dyDescent="0.25">
      <c r="A169" s="846">
        <f>Chem!A169</f>
        <v>167</v>
      </c>
      <c r="B169" s="855" t="str">
        <f>Chem!B169</f>
        <v>3-Chloro-1-propene (allyl chloride)</v>
      </c>
      <c r="C169" s="552" t="str">
        <f>Param!O169</f>
        <v>na</v>
      </c>
      <c r="D169" s="552">
        <f>Param!V169</f>
        <v>2.1000000000000001E-2</v>
      </c>
      <c r="E169" s="670">
        <f>Param!AD169</f>
        <v>1</v>
      </c>
      <c r="F169" s="684" t="str">
        <f>IF(C169="na","na",C169*Eqtn!$D$111/E169)</f>
        <v>na</v>
      </c>
      <c r="G169" s="684">
        <f>IF(D169="na","na",Eqtn!$D$132/(D169*E169))</f>
        <v>47.619047619047613</v>
      </c>
      <c r="H169" s="694" t="str">
        <f>IF(C169="na","na",C169*Eqtn!$D$153/E169)</f>
        <v>na</v>
      </c>
      <c r="I169" s="132">
        <f>IF(D169="na","na",Eqtn!$D$174/(D169*E169))</f>
        <v>6250.0000000000009</v>
      </c>
      <c r="K169" s="1062"/>
    </row>
    <row r="170" spans="1:11" ht="13.9" customHeight="1" x14ac:dyDescent="0.25">
      <c r="A170" s="846">
        <f>Chem!A170</f>
        <v>168</v>
      </c>
      <c r="B170" s="855" t="str">
        <f>Chem!B170</f>
        <v>2-Chlorotoluene</v>
      </c>
      <c r="C170" s="552">
        <f>Param!O170</f>
        <v>0.02</v>
      </c>
      <c r="D170" s="552" t="str">
        <f>Param!V170</f>
        <v>na</v>
      </c>
      <c r="E170" s="670">
        <f>Param!AD170</f>
        <v>1</v>
      </c>
      <c r="F170" s="684">
        <f>IF(C170="na","na",C170*Eqtn!$D$111/E170)</f>
        <v>1600</v>
      </c>
      <c r="G170" s="684" t="str">
        <f>IF(D170="na","na",Eqtn!$D$132/(D170*E170))</f>
        <v>na</v>
      </c>
      <c r="H170" s="694">
        <f>IF(C170="na","na",C170*Eqtn!$D$153/E170)</f>
        <v>70000</v>
      </c>
      <c r="I170" s="132" t="str">
        <f>IF(D170="na","na",Eqtn!$D$174/(D170*E170))</f>
        <v>na</v>
      </c>
      <c r="K170" s="1062"/>
    </row>
    <row r="171" spans="1:11" ht="13.9" customHeight="1" x14ac:dyDescent="0.25">
      <c r="A171" s="846">
        <f>Chem!A171</f>
        <v>169</v>
      </c>
      <c r="B171" s="855" t="str">
        <f>Chem!B171</f>
        <v>4-Chlorotoluene</v>
      </c>
      <c r="C171" s="552">
        <f>Param!O171</f>
        <v>0.02</v>
      </c>
      <c r="D171" s="552" t="str">
        <f>Param!V171</f>
        <v>na</v>
      </c>
      <c r="E171" s="670">
        <f>Param!AD171</f>
        <v>1</v>
      </c>
      <c r="F171" s="684">
        <f>IF(C171="na","na",C171*Eqtn!$D$111/E171)</f>
        <v>1600</v>
      </c>
      <c r="G171" s="684" t="str">
        <f>IF(D171="na","na",Eqtn!$D$132/(D171*E171))</f>
        <v>na</v>
      </c>
      <c r="H171" s="694">
        <f>IF(C171="na","na",C171*Eqtn!$D$153/E171)</f>
        <v>70000</v>
      </c>
      <c r="I171" s="132" t="str">
        <f>IF(D171="na","na",Eqtn!$D$174/(D171*E171))</f>
        <v>na</v>
      </c>
      <c r="K171" s="1062"/>
    </row>
    <row r="172" spans="1:11" ht="13.9" customHeight="1" x14ac:dyDescent="0.25">
      <c r="A172" s="846">
        <f>Chem!A172</f>
        <v>170</v>
      </c>
      <c r="B172" s="855" t="str">
        <f>Chem!B172</f>
        <v>Dibromochloromethane</v>
      </c>
      <c r="C172" s="552">
        <f>Param!O172</f>
        <v>0.02</v>
      </c>
      <c r="D172" s="552">
        <f>Param!V172</f>
        <v>8.4000000000000005E-2</v>
      </c>
      <c r="E172" s="670">
        <f>Param!AD172</f>
        <v>1</v>
      </c>
      <c r="F172" s="684">
        <f>IF(C172="na","na",C172*Eqtn!$D$111/E172)</f>
        <v>1600</v>
      </c>
      <c r="G172" s="684">
        <f>IF(D172="na","na",Eqtn!$D$132/(D172*E172))</f>
        <v>11.904761904761903</v>
      </c>
      <c r="H172" s="694">
        <f>IF(C172="na","na",C172*Eqtn!$D$153/E172)</f>
        <v>70000</v>
      </c>
      <c r="I172" s="132">
        <f>IF(D172="na","na",Eqtn!$D$174/(D172*E172))</f>
        <v>1562.5000000000002</v>
      </c>
      <c r="K172" s="1062"/>
    </row>
    <row r="173" spans="1:11" ht="13.9" customHeight="1" x14ac:dyDescent="0.25">
      <c r="A173" s="846">
        <f>Chem!A173</f>
        <v>171</v>
      </c>
      <c r="B173" s="1848" t="str">
        <f>Chem!B173</f>
        <v>1,2-Dibromo-3-chloropropane</v>
      </c>
      <c r="C173" s="552">
        <f>Param!O173</f>
        <v>2.0000000000000001E-4</v>
      </c>
      <c r="D173" s="552">
        <f>Param!V173</f>
        <v>0.8</v>
      </c>
      <c r="E173" s="670">
        <f>Param!AD173</f>
        <v>1</v>
      </c>
      <c r="F173" s="684">
        <f>IF(C173="na","na",C173*Eqtn!$D$111/E173)</f>
        <v>16</v>
      </c>
      <c r="G173" s="694">
        <v>0.23</v>
      </c>
      <c r="H173" s="694">
        <f>IF(C173="na","na",C173*Eqtn!$D$153/E173)</f>
        <v>700</v>
      </c>
      <c r="I173" s="132">
        <f>IF(D173="na","na",Eqtn!$D$174/(D173*E173))</f>
        <v>164.06250000000003</v>
      </c>
      <c r="K173" s="1062"/>
    </row>
    <row r="174" spans="1:11" ht="13.9" customHeight="1" x14ac:dyDescent="0.25">
      <c r="A174" s="846">
        <f>Chem!A174</f>
        <v>172</v>
      </c>
      <c r="B174" s="855" t="str">
        <f>Chem!B174</f>
        <v>Dibromomethane</v>
      </c>
      <c r="C174" s="552">
        <f>Param!O174</f>
        <v>0.01</v>
      </c>
      <c r="D174" s="552" t="str">
        <f>Param!V174</f>
        <v>na</v>
      </c>
      <c r="E174" s="670">
        <f>Param!AD174</f>
        <v>1</v>
      </c>
      <c r="F174" s="684">
        <f>IF(C174="na","na",C174*Eqtn!$D$111/E174)</f>
        <v>800</v>
      </c>
      <c r="G174" s="684" t="str">
        <f>IF(D174="na","na",Eqtn!$D$132/(D174*E174))</f>
        <v>na</v>
      </c>
      <c r="H174" s="694">
        <f>IF(C174="na","na",C174*Eqtn!$D$153/E174)</f>
        <v>35000</v>
      </c>
      <c r="I174" s="132" t="str">
        <f>IF(D174="na","na",Eqtn!$D$174/(D174*E174))</f>
        <v>na</v>
      </c>
      <c r="K174" s="1062"/>
    </row>
    <row r="175" spans="1:11" ht="13.9" customHeight="1" x14ac:dyDescent="0.25">
      <c r="A175" s="846">
        <f>Chem!A175</f>
        <v>173</v>
      </c>
      <c r="B175" s="855" t="str">
        <f>Chem!B175</f>
        <v>Dichlorobromomethane</v>
      </c>
      <c r="C175" s="552">
        <f>Param!O175</f>
        <v>0.02</v>
      </c>
      <c r="D175" s="552">
        <f>Param!V175</f>
        <v>6.2E-2</v>
      </c>
      <c r="E175" s="670">
        <f>Param!AD175</f>
        <v>1</v>
      </c>
      <c r="F175" s="684">
        <f>IF(C175="na","na",C175*Eqtn!$D$111/E175)</f>
        <v>1600</v>
      </c>
      <c r="G175" s="684">
        <f>IF(D175="na","na",Eqtn!$D$132/(D175*E175))</f>
        <v>16.129032258064516</v>
      </c>
      <c r="H175" s="694">
        <f>IF(C175="na","na",C175*Eqtn!$D$153/E175)</f>
        <v>70000</v>
      </c>
      <c r="I175" s="132">
        <f>IF(D175="na","na",Eqtn!$D$174/(D175*E175))</f>
        <v>2116.9354838709683</v>
      </c>
      <c r="K175" s="1062"/>
    </row>
    <row r="176" spans="1:11" ht="13.9" customHeight="1" x14ac:dyDescent="0.25">
      <c r="A176" s="846">
        <f>Chem!A176</f>
        <v>174</v>
      </c>
      <c r="B176" s="855" t="str">
        <f>Chem!B176</f>
        <v>trans-1,4-Dichloro-2-butene</v>
      </c>
      <c r="C176" s="552" t="str">
        <f>Param!O176</f>
        <v>na</v>
      </c>
      <c r="D176" s="552" t="str">
        <f>Param!V176</f>
        <v>na</v>
      </c>
      <c r="E176" s="670">
        <f>Param!AD176</f>
        <v>1</v>
      </c>
      <c r="F176" s="684" t="str">
        <f>IF(C176="na","na",C176*Eqtn!$D$111/E176)</f>
        <v>na</v>
      </c>
      <c r="G176" s="684" t="str">
        <f>IF(D176="na","na",Eqtn!$D$132/(D176*E176))</f>
        <v>na</v>
      </c>
      <c r="H176" s="694" t="str">
        <f>IF(C176="na","na",C176*Eqtn!$D$153/E176)</f>
        <v>na</v>
      </c>
      <c r="I176" s="132" t="str">
        <f>IF(D176="na","na",Eqtn!$D$174/(D176*E176))</f>
        <v>na</v>
      </c>
      <c r="K176" s="1062"/>
    </row>
    <row r="177" spans="1:11" ht="13.9" customHeight="1" x14ac:dyDescent="0.25">
      <c r="A177" s="846">
        <f>Chem!A177</f>
        <v>175</v>
      </c>
      <c r="B177" s="856" t="str">
        <f>Chem!B177</f>
        <v>Dichlorodifluoromethane</v>
      </c>
      <c r="C177" s="552">
        <f>Param!O177</f>
        <v>0.2</v>
      </c>
      <c r="D177" s="552" t="str">
        <f>Param!V177</f>
        <v>na</v>
      </c>
      <c r="E177" s="670">
        <f>Param!AD177</f>
        <v>1</v>
      </c>
      <c r="F177" s="684">
        <f>IF(C177="na","na",C177*Eqtn!$D$111/E177)</f>
        <v>16000</v>
      </c>
      <c r="G177" s="684" t="str">
        <f>IF(D177="na","na",Eqtn!$D$132/(D177*E177))</f>
        <v>na</v>
      </c>
      <c r="H177" s="694">
        <f>IF(C177="na","na",C177*Eqtn!$D$153/E177)</f>
        <v>700000</v>
      </c>
      <c r="I177" s="132" t="str">
        <f>IF(D177="na","na",Eqtn!$D$174/(D177*E177))</f>
        <v>na</v>
      </c>
      <c r="K177" s="1062"/>
    </row>
    <row r="178" spans="1:11" ht="13.9" customHeight="1" x14ac:dyDescent="0.25">
      <c r="A178" s="846">
        <f>Chem!A178</f>
        <v>176</v>
      </c>
      <c r="B178" s="855" t="str">
        <f>Chem!B178</f>
        <v>1,1-Dichloroethane</v>
      </c>
      <c r="C178" s="552">
        <f>Param!O178</f>
        <v>0.2</v>
      </c>
      <c r="D178" s="552">
        <f>Param!V178</f>
        <v>5.7000000000000002E-3</v>
      </c>
      <c r="E178" s="670">
        <f>Param!AD178</f>
        <v>1</v>
      </c>
      <c r="F178" s="684">
        <f>IF(C178="na","na",C178*Eqtn!$D$111/E178)</f>
        <v>16000</v>
      </c>
      <c r="G178" s="684">
        <f>IF(D178="na","na",Eqtn!$D$132/(D178*E178))</f>
        <v>175.43859649122805</v>
      </c>
      <c r="H178" s="694">
        <f>IF(C178="na","na",C178*Eqtn!$D$153/E178)</f>
        <v>700000</v>
      </c>
      <c r="I178" s="132">
        <f>IF(D178="na","na",Eqtn!$D$174/(D178*E178))</f>
        <v>23026.315789473687</v>
      </c>
      <c r="K178" s="1062"/>
    </row>
    <row r="179" spans="1:11" ht="13.9" customHeight="1" x14ac:dyDescent="0.25">
      <c r="A179" s="846">
        <f>Chem!A179</f>
        <v>177</v>
      </c>
      <c r="B179" s="855" t="str">
        <f>Chem!B179</f>
        <v>1,2-Dichloroethane (EDC)</v>
      </c>
      <c r="C179" s="552">
        <f>Param!O179</f>
        <v>6.0000000000000001E-3</v>
      </c>
      <c r="D179" s="552">
        <f>Param!V179</f>
        <v>9.0999999999999998E-2</v>
      </c>
      <c r="E179" s="670">
        <f>Param!AD179</f>
        <v>1</v>
      </c>
      <c r="F179" s="684">
        <f>IF(C179="na","na",C179*Eqtn!$D$111/E179)</f>
        <v>480</v>
      </c>
      <c r="G179" s="684">
        <f>IF(D179="na","na",Eqtn!$D$132/(D179*E179))</f>
        <v>10.989010989010989</v>
      </c>
      <c r="H179" s="694">
        <f>IF(C179="na","na",C179*Eqtn!$D$153/E179)</f>
        <v>21000</v>
      </c>
      <c r="I179" s="132">
        <f>IF(D179="na","na",Eqtn!$D$174/(D179*E179))</f>
        <v>1442.3076923076926</v>
      </c>
      <c r="K179" s="1062"/>
    </row>
    <row r="180" spans="1:11" ht="13.9" customHeight="1" x14ac:dyDescent="0.25">
      <c r="A180" s="846">
        <f>Chem!A180</f>
        <v>178</v>
      </c>
      <c r="B180" s="855" t="str">
        <f>Chem!B180</f>
        <v>1,1-Dichloroethylene</v>
      </c>
      <c r="C180" s="552">
        <f>Param!O180</f>
        <v>0.05</v>
      </c>
      <c r="D180" s="552" t="str">
        <f>Param!V180</f>
        <v>na</v>
      </c>
      <c r="E180" s="670">
        <f>Param!AD180</f>
        <v>1</v>
      </c>
      <c r="F180" s="684">
        <f>IF(C180="na","na",C180*Eqtn!$D$111/E180)</f>
        <v>4000</v>
      </c>
      <c r="G180" s="684" t="str">
        <f>IF(D180="na","na",Eqtn!$D$132/(D180*E180))</f>
        <v>na</v>
      </c>
      <c r="H180" s="694">
        <f>IF(C180="na","na",C180*Eqtn!$D$153/E180)</f>
        <v>175000</v>
      </c>
      <c r="I180" s="132" t="str">
        <f>IF(D180="na","na",Eqtn!$D$174/(D180*E180))</f>
        <v>na</v>
      </c>
      <c r="K180" s="1062"/>
    </row>
    <row r="181" spans="1:11" ht="13.9" customHeight="1" x14ac:dyDescent="0.25">
      <c r="A181" s="846">
        <f>Chem!A181</f>
        <v>179</v>
      </c>
      <c r="B181" s="855" t="str">
        <f>Chem!B181</f>
        <v>cis-1,2-Dichloroethylene</v>
      </c>
      <c r="C181" s="552">
        <f>Param!O181</f>
        <v>2E-3</v>
      </c>
      <c r="D181" s="552" t="str">
        <f>Param!V181</f>
        <v>na</v>
      </c>
      <c r="E181" s="670">
        <f>Param!AD181</f>
        <v>1</v>
      </c>
      <c r="F181" s="684">
        <f>IF(C181="na","na",C181*Eqtn!$D$111/E181)</f>
        <v>160</v>
      </c>
      <c r="G181" s="684" t="str">
        <f>IF(D181="na","na",Eqtn!$D$132/(D181*E181))</f>
        <v>na</v>
      </c>
      <c r="H181" s="694">
        <f>IF(C181="na","na",C181*Eqtn!$D$153/E181)</f>
        <v>7000</v>
      </c>
      <c r="I181" s="132" t="str">
        <f>IF(D181="na","na",Eqtn!$D$174/(D181*E181))</f>
        <v>na</v>
      </c>
      <c r="K181" s="1062"/>
    </row>
    <row r="182" spans="1:11" ht="13.9" customHeight="1" x14ac:dyDescent="0.25">
      <c r="A182" s="846">
        <f>Chem!A182</f>
        <v>180</v>
      </c>
      <c r="B182" s="855" t="str">
        <f>Chem!B182</f>
        <v>trans-1,2-Dichloroethylene</v>
      </c>
      <c r="C182" s="552">
        <f>Param!O182</f>
        <v>0.02</v>
      </c>
      <c r="D182" s="552" t="str">
        <f>Param!V182</f>
        <v>na</v>
      </c>
      <c r="E182" s="670">
        <f>Param!AD182</f>
        <v>1</v>
      </c>
      <c r="F182" s="684">
        <f>IF(C182="na","na",C182*Eqtn!$D$111/E182)</f>
        <v>1600</v>
      </c>
      <c r="G182" s="684" t="str">
        <f>IF(D182="na","na",Eqtn!$D$132/(D182*E182))</f>
        <v>na</v>
      </c>
      <c r="H182" s="694">
        <f>IF(C182="na","na",C182*Eqtn!$D$153/E182)</f>
        <v>70000</v>
      </c>
      <c r="I182" s="132" t="str">
        <f>IF(D182="na","na",Eqtn!$D$174/(D182*E182))</f>
        <v>na</v>
      </c>
      <c r="K182" s="1062"/>
    </row>
    <row r="183" spans="1:11" ht="13.9" customHeight="1" x14ac:dyDescent="0.25">
      <c r="A183" s="846">
        <f>Chem!A183</f>
        <v>181</v>
      </c>
      <c r="B183" s="855" t="str">
        <f>Chem!B183</f>
        <v>1,2-Dichloroethylene (mixed isomers)</v>
      </c>
      <c r="C183" s="552" t="str">
        <f>Param!O183</f>
        <v>na</v>
      </c>
      <c r="D183" s="552" t="str">
        <f>Param!V183</f>
        <v>na</v>
      </c>
      <c r="E183" s="670" t="str">
        <f>Param!AD183</f>
        <v>na</v>
      </c>
      <c r="F183" s="684" t="str">
        <f>IF(C183="na","na",C183*Eqtn!$D$111/E183)</f>
        <v>na</v>
      </c>
      <c r="G183" s="684" t="str">
        <f>IF(D183="na","na",Eqtn!$D$132/(D183*E183))</f>
        <v>na</v>
      </c>
      <c r="H183" s="694" t="str">
        <f>IF(C183="na","na",C183*Eqtn!$D$153/E183)</f>
        <v>na</v>
      </c>
      <c r="I183" s="132" t="str">
        <f>IF(D183="na","na",Eqtn!$D$174/(D183*E183))</f>
        <v>na</v>
      </c>
      <c r="K183" s="1062"/>
    </row>
    <row r="184" spans="1:11" ht="13.9" customHeight="1" x14ac:dyDescent="0.25">
      <c r="A184" s="846">
        <f>Chem!A184</f>
        <v>182</v>
      </c>
      <c r="B184" s="855" t="str">
        <f>Chem!B184</f>
        <v>1,2-Dichloropropane</v>
      </c>
      <c r="C184" s="552">
        <f>Param!O184</f>
        <v>0.04</v>
      </c>
      <c r="D184" s="552">
        <f>Param!V184</f>
        <v>3.6999999999999998E-2</v>
      </c>
      <c r="E184" s="670">
        <f>Param!AD184</f>
        <v>1</v>
      </c>
      <c r="F184" s="684">
        <f>IF(C184="na","na",C184*Eqtn!$D$111/E184)</f>
        <v>3200</v>
      </c>
      <c r="G184" s="684">
        <f>IF(D184="na","na",Eqtn!$D$132/(D184*E184))</f>
        <v>27.027027027027028</v>
      </c>
      <c r="H184" s="694">
        <f>IF(C184="na","na",C184*Eqtn!$D$153/E184)</f>
        <v>140000</v>
      </c>
      <c r="I184" s="132">
        <f>IF(D184="na","na",Eqtn!$D$174/(D184*E184))</f>
        <v>3547.2972972972984</v>
      </c>
      <c r="K184" s="1062"/>
    </row>
    <row r="185" spans="1:11" ht="13.9" customHeight="1" x14ac:dyDescent="0.25">
      <c r="A185" s="846">
        <f>Chem!A185</f>
        <v>183</v>
      </c>
      <c r="B185" s="855" t="str">
        <f>Chem!B185</f>
        <v>1,3-Dichloropropane</v>
      </c>
      <c r="C185" s="552">
        <f>Param!O185</f>
        <v>0.02</v>
      </c>
      <c r="D185" s="552" t="str">
        <f>Param!V185</f>
        <v>na</v>
      </c>
      <c r="E185" s="670">
        <f>Param!AD185</f>
        <v>1</v>
      </c>
      <c r="F185" s="684">
        <f>IF(C185="na","na",C185*Eqtn!$D$111/E185)</f>
        <v>1600</v>
      </c>
      <c r="G185" s="684" t="str">
        <f>IF(D185="na","na",Eqtn!$D$132/(D185*E185))</f>
        <v>na</v>
      </c>
      <c r="H185" s="694">
        <f>IF(C185="na","na",C185*Eqtn!$D$153/E185)</f>
        <v>70000</v>
      </c>
      <c r="I185" s="132" t="str">
        <f>IF(D185="na","na",Eqtn!$D$174/(D185*E185))</f>
        <v>na</v>
      </c>
      <c r="K185" s="1062"/>
    </row>
    <row r="186" spans="1:11" ht="13.9" customHeight="1" x14ac:dyDescent="0.25">
      <c r="A186" s="846">
        <f>Chem!A186</f>
        <v>184</v>
      </c>
      <c r="B186" s="855" t="str">
        <f>Chem!B186</f>
        <v>2,2-Dichloropropane</v>
      </c>
      <c r="C186" s="552" t="str">
        <f>Param!O186</f>
        <v>na</v>
      </c>
      <c r="D186" s="552" t="str">
        <f>Param!V186</f>
        <v>na</v>
      </c>
      <c r="E186" s="670" t="str">
        <f>Param!AD186</f>
        <v>na</v>
      </c>
      <c r="F186" s="684" t="str">
        <f>IF(C186="na","na",C186*Eqtn!$D$111/E186)</f>
        <v>na</v>
      </c>
      <c r="G186" s="684" t="str">
        <f>IF(D186="na","na",Eqtn!$D$132/(D186*E186))</f>
        <v>na</v>
      </c>
      <c r="H186" s="694" t="str">
        <f>IF(C186="na","na",C186*Eqtn!$D$153/E186)</f>
        <v>na</v>
      </c>
      <c r="I186" s="132" t="str">
        <f>IF(D186="na","na",Eqtn!$D$174/(D186*E186))</f>
        <v>na</v>
      </c>
      <c r="K186" s="1062"/>
    </row>
    <row r="187" spans="1:11" ht="13.9" customHeight="1" x14ac:dyDescent="0.25">
      <c r="A187" s="846">
        <f>Chem!A187</f>
        <v>185</v>
      </c>
      <c r="B187" s="855" t="str">
        <f>Chem!B187</f>
        <v>1,1-Dichloropropene</v>
      </c>
      <c r="C187" s="552" t="str">
        <f>Param!O187</f>
        <v>na</v>
      </c>
      <c r="D187" s="552" t="str">
        <f>Param!V187</f>
        <v>na</v>
      </c>
      <c r="E187" s="670" t="str">
        <f>Param!AD187</f>
        <v>na</v>
      </c>
      <c r="F187" s="684" t="str">
        <f>IF(C187="na","na",C187*Eqtn!$D$111/E187)</f>
        <v>na</v>
      </c>
      <c r="G187" s="684" t="str">
        <f>IF(D187="na","na",Eqtn!$D$132/(D187*E187))</f>
        <v>na</v>
      </c>
      <c r="H187" s="694" t="str">
        <f>IF(C187="na","na",C187*Eqtn!$D$153/E187)</f>
        <v>na</v>
      </c>
      <c r="I187" s="132" t="str">
        <f>IF(D187="na","na",Eqtn!$D$174/(D187*E187))</f>
        <v>na</v>
      </c>
      <c r="K187" s="1062"/>
    </row>
    <row r="188" spans="1:11" ht="13.9" customHeight="1" x14ac:dyDescent="0.25">
      <c r="A188" s="846">
        <f>Chem!A188</f>
        <v>186</v>
      </c>
      <c r="B188" s="855" t="str">
        <f>Chem!B188</f>
        <v>cis-1,3-Dichloropropene</v>
      </c>
      <c r="C188" s="552">
        <f>Param!O188</f>
        <v>0.03</v>
      </c>
      <c r="D188" s="552">
        <f>Param!V188</f>
        <v>0.1</v>
      </c>
      <c r="E188" s="670">
        <f>Param!AD188</f>
        <v>1</v>
      </c>
      <c r="F188" s="684">
        <f>IF(C188="na","na",C188*Eqtn!$D$111/E188)</f>
        <v>2400</v>
      </c>
      <c r="G188" s="684">
        <f>IF(D188="na","na",Eqtn!$D$132/(D188*E188))</f>
        <v>10</v>
      </c>
      <c r="H188" s="694">
        <f>IF(C188="na","na",C188*Eqtn!$D$153/E188)</f>
        <v>105000</v>
      </c>
      <c r="I188" s="132">
        <f>IF(D188="na","na",Eqtn!$D$174/(D188*E188))</f>
        <v>1312.5000000000002</v>
      </c>
      <c r="K188" s="1062"/>
    </row>
    <row r="189" spans="1:11" ht="13.9" customHeight="1" x14ac:dyDescent="0.25">
      <c r="A189" s="846">
        <f>Chem!A189</f>
        <v>187</v>
      </c>
      <c r="B189" s="855" t="str">
        <f>Chem!B189</f>
        <v>trans-1,3-Dichloropropene</v>
      </c>
      <c r="C189" s="552">
        <f>Param!O189</f>
        <v>0.03</v>
      </c>
      <c r="D189" s="552">
        <f>Param!V189</f>
        <v>0.1</v>
      </c>
      <c r="E189" s="670">
        <f>Param!AD189</f>
        <v>1</v>
      </c>
      <c r="F189" s="684">
        <f>IF(C189="na","na",C189*Eqtn!$D$111/E189)</f>
        <v>2400</v>
      </c>
      <c r="G189" s="684">
        <f>IF(D189="na","na",Eqtn!$D$132/(D189*E189))</f>
        <v>10</v>
      </c>
      <c r="H189" s="694">
        <f>IF(C189="na","na",C189*Eqtn!$D$153/E189)</f>
        <v>105000</v>
      </c>
      <c r="I189" s="132">
        <f>IF(D189="na","na",Eqtn!$D$174/(D189*E189))</f>
        <v>1312.5000000000002</v>
      </c>
      <c r="K189" s="1062"/>
    </row>
    <row r="190" spans="1:11" ht="13.9" customHeight="1" x14ac:dyDescent="0.25">
      <c r="A190" s="846">
        <f>Chem!A190</f>
        <v>188</v>
      </c>
      <c r="B190" s="855" t="str">
        <f>Chem!B190</f>
        <v>Diisopropyl ether</v>
      </c>
      <c r="C190" s="552" t="str">
        <f>Param!O190</f>
        <v>na</v>
      </c>
      <c r="D190" s="552" t="str">
        <f>Param!V190</f>
        <v>na</v>
      </c>
      <c r="E190" s="670">
        <f>Param!AD190</f>
        <v>1</v>
      </c>
      <c r="F190" s="684" t="str">
        <f>IF(C190="na","na",C190*Eqtn!$D$111/E190)</f>
        <v>na</v>
      </c>
      <c r="G190" s="684" t="str">
        <f>IF(D190="na","na",Eqtn!$D$132/(D190*E190))</f>
        <v>na</v>
      </c>
      <c r="H190" s="694" t="str">
        <f>IF(C190="na","na",C190*Eqtn!$D$153/E190)</f>
        <v>na</v>
      </c>
      <c r="I190" s="132" t="str">
        <f>IF(D190="na","na",Eqtn!$D$174/(D190*E190))</f>
        <v>na</v>
      </c>
      <c r="K190" s="1062"/>
    </row>
    <row r="191" spans="1:11" ht="13.9" customHeight="1" x14ac:dyDescent="0.25">
      <c r="A191" s="846">
        <f>Chem!A191</f>
        <v>189</v>
      </c>
      <c r="B191" s="856" t="str">
        <f>Chem!B191</f>
        <v>Ethane</v>
      </c>
      <c r="C191" s="552" t="str">
        <f>Param!O191</f>
        <v>na</v>
      </c>
      <c r="D191" s="552" t="str">
        <f>Param!V191</f>
        <v>na</v>
      </c>
      <c r="E191" s="670" t="str">
        <f>Param!AD191</f>
        <v>na</v>
      </c>
      <c r="F191" s="684" t="str">
        <f>IF(C191="na","na",C191*Eqtn!$D$111/E191)</f>
        <v>na</v>
      </c>
      <c r="G191" s="684" t="str">
        <f>IF(D191="na","na",Eqtn!$D$132/(D191*E191))</f>
        <v>na</v>
      </c>
      <c r="H191" s="694" t="str">
        <f>IF(C191="na","na",C191*Eqtn!$D$153/E191)</f>
        <v>na</v>
      </c>
      <c r="I191" s="132" t="str">
        <f>IF(D191="na","na",Eqtn!$D$174/(D191*E191))</f>
        <v>na</v>
      </c>
      <c r="K191" s="1062"/>
    </row>
    <row r="192" spans="1:11" ht="13.9" customHeight="1" x14ac:dyDescent="0.25">
      <c r="A192" s="846">
        <f>Chem!A192</f>
        <v>190</v>
      </c>
      <c r="B192" s="855" t="str">
        <f>Chem!B192</f>
        <v>Ethylbenzene</v>
      </c>
      <c r="C192" s="552">
        <f>Param!O192</f>
        <v>0.1</v>
      </c>
      <c r="D192" s="552" t="str">
        <f>Param!V192</f>
        <v>na</v>
      </c>
      <c r="E192" s="670">
        <f>Param!AD192</f>
        <v>1</v>
      </c>
      <c r="F192" s="684">
        <f>IF(C192="na","na",C192*Eqtn!$D$111/E192)</f>
        <v>8000</v>
      </c>
      <c r="G192" s="684" t="str">
        <f>IF(D192="na","na",Eqtn!$D$132/(D192*E192))</f>
        <v>na</v>
      </c>
      <c r="H192" s="694">
        <f>IF(C192="na","na",C192*Eqtn!$D$153/E192)</f>
        <v>350000</v>
      </c>
      <c r="I192" s="132" t="str">
        <f>IF(D192="na","na",Eqtn!$D$174/(D192*E192))</f>
        <v>na</v>
      </c>
      <c r="K192" s="1062"/>
    </row>
    <row r="193" spans="1:11" ht="13.9" customHeight="1" x14ac:dyDescent="0.25">
      <c r="A193" s="846">
        <f>Chem!A193</f>
        <v>191</v>
      </c>
      <c r="B193" s="1850" t="str">
        <f>Chem!B193</f>
        <v>Ethylene oxide</v>
      </c>
      <c r="C193" s="552" t="str">
        <f>Param!O193</f>
        <v>na</v>
      </c>
      <c r="D193" s="552">
        <f>Param!V193</f>
        <v>0.31</v>
      </c>
      <c r="E193" s="670">
        <f>Param!AD193</f>
        <v>1</v>
      </c>
      <c r="F193" s="684" t="str">
        <f>IF(C193="na","na",C193*Eqtn!$D$111/E193)</f>
        <v>na</v>
      </c>
      <c r="G193" s="694">
        <v>0.6</v>
      </c>
      <c r="H193" s="694" t="str">
        <f>IF(C193="na","na",C193*Eqtn!$D$153/E193)</f>
        <v>na</v>
      </c>
      <c r="I193" s="132">
        <f>IF(D193="na","na",Eqtn!$D$174/(D193*E193))</f>
        <v>423.38709677419365</v>
      </c>
      <c r="K193" s="1062"/>
    </row>
    <row r="194" spans="1:11" ht="13.9" customHeight="1" x14ac:dyDescent="0.25">
      <c r="A194" s="846">
        <f>Chem!A194</f>
        <v>192</v>
      </c>
      <c r="B194" s="855" t="str">
        <f>Chem!B194</f>
        <v>Ethyl ether</v>
      </c>
      <c r="C194" s="552">
        <f>Param!O194</f>
        <v>0.2</v>
      </c>
      <c r="D194" s="552" t="str">
        <f>Param!V194</f>
        <v>na</v>
      </c>
      <c r="E194" s="670">
        <f>Param!AD194</f>
        <v>1</v>
      </c>
      <c r="F194" s="684">
        <f>IF(C194="na","na",C194*Eqtn!$D$111/E194)</f>
        <v>16000</v>
      </c>
      <c r="G194" s="684" t="str">
        <f>IF(D194="na","na",Eqtn!$D$132/(D194*E194))</f>
        <v>na</v>
      </c>
      <c r="H194" s="694">
        <f>IF(C194="na","na",C194*Eqtn!$D$153/E194)</f>
        <v>700000</v>
      </c>
      <c r="I194" s="132" t="str">
        <f>IF(D194="na","na",Eqtn!$D$174/(D194*E194))</f>
        <v>na</v>
      </c>
      <c r="K194" s="1062"/>
    </row>
    <row r="195" spans="1:11" ht="13.9" customHeight="1" x14ac:dyDescent="0.25">
      <c r="A195" s="846">
        <f>Chem!A195</f>
        <v>193</v>
      </c>
      <c r="B195" s="855" t="str">
        <f>Chem!B195</f>
        <v>Ethylene dibromide (EDB)</v>
      </c>
      <c r="C195" s="552">
        <f>Param!O195</f>
        <v>8.9999999999999993E-3</v>
      </c>
      <c r="D195" s="552">
        <f>Param!V195</f>
        <v>2</v>
      </c>
      <c r="E195" s="670">
        <f>Param!AD195</f>
        <v>1</v>
      </c>
      <c r="F195" s="684">
        <f>IF(C195="na","na",C195*Eqtn!$D$111/E195)</f>
        <v>720</v>
      </c>
      <c r="G195" s="684">
        <f>IF(D195="na","na",Eqtn!$D$132/(D195*E195))</f>
        <v>0.5</v>
      </c>
      <c r="H195" s="694">
        <f>IF(C195="na","na",C195*Eqtn!$D$153/E195)</f>
        <v>31499.999999999996</v>
      </c>
      <c r="I195" s="132">
        <f>IF(D195="na","na",Eqtn!$D$174/(D195*E195))</f>
        <v>65.625000000000014</v>
      </c>
      <c r="K195" s="1062"/>
    </row>
    <row r="196" spans="1:11" ht="13.9" customHeight="1" x14ac:dyDescent="0.25">
      <c r="A196" s="846">
        <f>Chem!A196</f>
        <v>194</v>
      </c>
      <c r="B196" s="1848" t="str">
        <f>Chem!B196</f>
        <v>Formaldehyde</v>
      </c>
      <c r="C196" s="552">
        <f>Param!O196</f>
        <v>0.2</v>
      </c>
      <c r="D196" s="552">
        <f>Param!V196</f>
        <v>2.1000000000000001E-2</v>
      </c>
      <c r="E196" s="670">
        <f>Param!AD196</f>
        <v>1</v>
      </c>
      <c r="F196" s="684">
        <f>IF(C196="na","na",C196*Eqtn!$D$111/E196)</f>
        <v>16000</v>
      </c>
      <c r="G196" s="694">
        <v>8.9</v>
      </c>
      <c r="H196" s="694">
        <f>IF(C196="na","na",C196*Eqtn!$D$153/E196)</f>
        <v>700000</v>
      </c>
      <c r="I196" s="132">
        <f>IF(D196="na","na",Eqtn!$D$174/(D196*E196))</f>
        <v>6250.0000000000009</v>
      </c>
      <c r="K196" s="1062"/>
    </row>
    <row r="197" spans="1:11" ht="13.9" customHeight="1" x14ac:dyDescent="0.25">
      <c r="A197" s="846">
        <f>Chem!A197</f>
        <v>195</v>
      </c>
      <c r="B197" s="855" t="str">
        <f>Chem!B197</f>
        <v>n-Hexane</v>
      </c>
      <c r="C197" s="552">
        <f>Param!O197</f>
        <v>0.06</v>
      </c>
      <c r="D197" s="552" t="str">
        <f>Param!V197</f>
        <v>na</v>
      </c>
      <c r="E197" s="670">
        <f>Param!AD197</f>
        <v>1</v>
      </c>
      <c r="F197" s="684">
        <f>IF(C197="na","na",C197*Eqtn!$D$111/E197)</f>
        <v>4800</v>
      </c>
      <c r="G197" s="684" t="str">
        <f>IF(D197="na","na",Eqtn!$D$132/(D197*E197))</f>
        <v>na</v>
      </c>
      <c r="H197" s="694">
        <f>IF(C197="na","na",C197*Eqtn!$D$153/E197)</f>
        <v>210000</v>
      </c>
      <c r="I197" s="132" t="str">
        <f>IF(D197="na","na",Eqtn!$D$174/(D197*E197))</f>
        <v>na</v>
      </c>
      <c r="K197" s="1062"/>
    </row>
    <row r="198" spans="1:11" ht="13.9" customHeight="1" x14ac:dyDescent="0.25">
      <c r="A198" s="846">
        <f>Chem!A198</f>
        <v>196</v>
      </c>
      <c r="B198" s="855" t="str">
        <f>Chem!B198</f>
        <v>2-Hexanone</v>
      </c>
      <c r="C198" s="552">
        <f>Param!O198</f>
        <v>5.0000000000000001E-3</v>
      </c>
      <c r="D198" s="552" t="str">
        <f>Param!V198</f>
        <v>na</v>
      </c>
      <c r="E198" s="670">
        <f>Param!AD198</f>
        <v>1</v>
      </c>
      <c r="F198" s="684">
        <f>IF(C198="na","na",C198*Eqtn!$D$111/E198)</f>
        <v>400</v>
      </c>
      <c r="G198" s="684" t="str">
        <f>IF(D198="na","na",Eqtn!$D$132/(D198*E198))</f>
        <v>na</v>
      </c>
      <c r="H198" s="694">
        <f>IF(C198="na","na",C198*Eqtn!$D$153/E198)</f>
        <v>17500</v>
      </c>
      <c r="I198" s="132" t="str">
        <f>IF(D198="na","na",Eqtn!$D$174/(D198*E198))</f>
        <v>na</v>
      </c>
      <c r="J198" s="313"/>
      <c r="K198" s="1062"/>
    </row>
    <row r="199" spans="1:11" ht="13.9" customHeight="1" x14ac:dyDescent="0.25">
      <c r="A199" s="846">
        <f>Chem!A199</f>
        <v>197</v>
      </c>
      <c r="B199" s="855" t="str">
        <f>Chem!B199</f>
        <v>Isopropylbenzene (cumene)</v>
      </c>
      <c r="C199" s="552">
        <f>Param!O199</f>
        <v>0.1</v>
      </c>
      <c r="D199" s="552" t="str">
        <f>Param!V199</f>
        <v>na</v>
      </c>
      <c r="E199" s="670">
        <f>Param!AD199</f>
        <v>1</v>
      </c>
      <c r="F199" s="684">
        <f>IF(C199="na","na",C199*Eqtn!$D$111/E199)</f>
        <v>8000</v>
      </c>
      <c r="G199" s="684" t="str">
        <f>IF(D199="na","na",Eqtn!$D$132/(D199*E199))</f>
        <v>na</v>
      </c>
      <c r="H199" s="694">
        <f>IF(C199="na","na",C199*Eqtn!$D$153/E199)</f>
        <v>350000</v>
      </c>
      <c r="I199" s="132" t="str">
        <f>IF(D199="na","na",Eqtn!$D$174/(D199*E199))</f>
        <v>na</v>
      </c>
      <c r="K199" s="1062"/>
    </row>
    <row r="200" spans="1:11" ht="13.9" customHeight="1" x14ac:dyDescent="0.25">
      <c r="A200" s="846">
        <f>Chem!A200</f>
        <v>198</v>
      </c>
      <c r="B200" s="855" t="str">
        <f>Chem!B200</f>
        <v>4-Isopropyltoluene (p-isopropyltoluene)</v>
      </c>
      <c r="C200" s="552">
        <f>Param!O200</f>
        <v>4.0000000000000001E-3</v>
      </c>
      <c r="D200" s="552" t="str">
        <f>Param!V200</f>
        <v>na</v>
      </c>
      <c r="E200" s="670">
        <f>Param!AD200</f>
        <v>1</v>
      </c>
      <c r="F200" s="684">
        <f>IF(C200="na","na",C200*Eqtn!$D$111/E200)</f>
        <v>320</v>
      </c>
      <c r="G200" s="684" t="str">
        <f>IF(D200="na","na",Eqtn!$D$132/(D200*E200))</f>
        <v>na</v>
      </c>
      <c r="H200" s="694">
        <f>IF(C200="na","na",C200*Eqtn!$D$153/E200)</f>
        <v>14000</v>
      </c>
      <c r="I200" s="132" t="str">
        <f>IF(D200="na","na",Eqtn!$D$174/(D200*E200))</f>
        <v>na</v>
      </c>
      <c r="K200" s="1062"/>
    </row>
    <row r="201" spans="1:11" ht="13.9" customHeight="1" x14ac:dyDescent="0.25">
      <c r="A201" s="846">
        <f>Chem!A201</f>
        <v>199</v>
      </c>
      <c r="B201" s="856" t="str">
        <f>Chem!B201</f>
        <v>Methane</v>
      </c>
      <c r="C201" s="552" t="str">
        <f>Param!O201</f>
        <v>na</v>
      </c>
      <c r="D201" s="552" t="str">
        <f>Param!V201</f>
        <v>na</v>
      </c>
      <c r="E201" s="670" t="str">
        <f>Param!AD201</f>
        <v>na</v>
      </c>
      <c r="F201" s="684" t="str">
        <f>IF(C201="na","na",C201*Eqtn!$D$111/E201)</f>
        <v>na</v>
      </c>
      <c r="G201" s="684" t="str">
        <f>IF(D201="na","na",Eqtn!$D$132/(D201*E201))</f>
        <v>na</v>
      </c>
      <c r="H201" s="694" t="str">
        <f>IF(C201="na","na",C201*Eqtn!$D$153/E201)</f>
        <v>na</v>
      </c>
      <c r="I201" s="132" t="str">
        <f>IF(D201="na","na",Eqtn!$D$174/(D201*E201))</f>
        <v>na</v>
      </c>
      <c r="K201" s="1062"/>
    </row>
    <row r="202" spans="1:11" ht="13.9" customHeight="1" x14ac:dyDescent="0.25">
      <c r="A202" s="846">
        <f>Chem!A202</f>
        <v>200</v>
      </c>
      <c r="B202" s="855" t="str">
        <f>Chem!B202</f>
        <v>Methyl ethyl ketone (2-butanone)</v>
      </c>
      <c r="C202" s="552">
        <f>Param!O202</f>
        <v>0.6</v>
      </c>
      <c r="D202" s="552" t="str">
        <f>Param!V202</f>
        <v>na</v>
      </c>
      <c r="E202" s="670">
        <f>Param!AD202</f>
        <v>1</v>
      </c>
      <c r="F202" s="684">
        <f>IF(C202="na","na",C202*Eqtn!$D$111/E202)</f>
        <v>48000</v>
      </c>
      <c r="G202" s="684" t="str">
        <f>IF(D202="na","na",Eqtn!$D$132/(D202*E202))</f>
        <v>na</v>
      </c>
      <c r="H202" s="694">
        <f>IF(C202="na","na",C202*Eqtn!$D$153/E202)</f>
        <v>2100000</v>
      </c>
      <c r="I202" s="132" t="str">
        <f>IF(D202="na","na",Eqtn!$D$174/(D202*E202))</f>
        <v>na</v>
      </c>
      <c r="K202" s="1062"/>
    </row>
    <row r="203" spans="1:11" ht="13.9" customHeight="1" x14ac:dyDescent="0.25">
      <c r="A203" s="846">
        <f>Chem!A203</f>
        <v>201</v>
      </c>
      <c r="B203" s="855" t="str">
        <f>Chem!B203</f>
        <v>Methyl iodide</v>
      </c>
      <c r="C203" s="552" t="str">
        <f>Param!O203</f>
        <v>na</v>
      </c>
      <c r="D203" s="552" t="str">
        <f>Param!V203</f>
        <v>na</v>
      </c>
      <c r="E203" s="670" t="str">
        <f>Param!AD203</f>
        <v>na</v>
      </c>
      <c r="F203" s="684" t="str">
        <f>IF(C203="na","na",C203*Eqtn!$D$111/E203)</f>
        <v>na</v>
      </c>
      <c r="G203" s="684" t="str">
        <f>IF(D203="na","na",Eqtn!$D$132/(D203*E203))</f>
        <v>na</v>
      </c>
      <c r="H203" s="694" t="str">
        <f>IF(C203="na","na",C203*Eqtn!$D$153/E203)</f>
        <v>na</v>
      </c>
      <c r="I203" s="132" t="str">
        <f>IF(D203="na","na",Eqtn!$D$174/(D203*E203))</f>
        <v>na</v>
      </c>
      <c r="K203" s="1062"/>
    </row>
    <row r="204" spans="1:11" ht="13.9" customHeight="1" x14ac:dyDescent="0.25">
      <c r="A204" s="846">
        <f>Chem!A204</f>
        <v>202</v>
      </c>
      <c r="B204" s="855" t="str">
        <f>Chem!B204</f>
        <v>Methyl isobutyl ketone</v>
      </c>
      <c r="C204" s="552">
        <f>Param!O204</f>
        <v>0.08</v>
      </c>
      <c r="D204" s="552" t="str">
        <f>Param!V204</f>
        <v>na</v>
      </c>
      <c r="E204" s="670">
        <f>Param!AD204</f>
        <v>1</v>
      </c>
      <c r="F204" s="684">
        <f>IF(C204="na","na",C204*Eqtn!$D$111/E204)</f>
        <v>6400</v>
      </c>
      <c r="G204" s="684" t="str">
        <f>IF(D204="na","na",Eqtn!$D$132/(D204*E204))</f>
        <v>na</v>
      </c>
      <c r="H204" s="694">
        <f>IF(C204="na","na",C204*Eqtn!$D$153/E204)</f>
        <v>280000</v>
      </c>
      <c r="I204" s="132" t="str">
        <f>IF(D204="na","na",Eqtn!$D$174/(D204*E204))</f>
        <v>na</v>
      </c>
      <c r="K204" s="1062"/>
    </row>
    <row r="205" spans="1:11" ht="13.9" customHeight="1" x14ac:dyDescent="0.25">
      <c r="A205" s="846">
        <f>Chem!A205</f>
        <v>203</v>
      </c>
      <c r="B205" s="855" t="str">
        <f>Chem!B205</f>
        <v>Methyl tert-butyl ether (MTBE)</v>
      </c>
      <c r="C205" s="552" t="str">
        <f>Param!O205</f>
        <v>na</v>
      </c>
      <c r="D205" s="552">
        <f>Param!V205</f>
        <v>1.8E-3</v>
      </c>
      <c r="E205" s="670">
        <f>Param!AD205</f>
        <v>1</v>
      </c>
      <c r="F205" s="684" t="str">
        <f>IF(C205="na","na",C205*Eqtn!$D$111/E205)</f>
        <v>na</v>
      </c>
      <c r="G205" s="684">
        <f>IF(D205="na","na",Eqtn!$D$132/(D205*E205))</f>
        <v>555.55555555555554</v>
      </c>
      <c r="H205" s="694" t="str">
        <f>IF(C205="na","na",C205*Eqtn!$D$153/E205)</f>
        <v>na</v>
      </c>
      <c r="I205" s="132">
        <f>IF(D205="na","na",Eqtn!$D$174/(D205*E205))</f>
        <v>72916.666666666686</v>
      </c>
      <c r="K205" s="1062"/>
    </row>
    <row r="206" spans="1:11" ht="13.9" customHeight="1" x14ac:dyDescent="0.25">
      <c r="A206" s="846">
        <f>Chem!A206</f>
        <v>204</v>
      </c>
      <c r="B206" s="1848" t="str">
        <f>Chem!B206</f>
        <v>Methylene chloride</v>
      </c>
      <c r="C206" s="552">
        <f>Param!O206</f>
        <v>6.0000000000000001E-3</v>
      </c>
      <c r="D206" s="552">
        <f>Param!V206</f>
        <v>2E-3</v>
      </c>
      <c r="E206" s="670">
        <f>Param!AD206</f>
        <v>1</v>
      </c>
      <c r="F206" s="684">
        <f>IF(C206="na","na",C206*Eqtn!$D$111/E206)</f>
        <v>480</v>
      </c>
      <c r="G206" s="694">
        <v>94</v>
      </c>
      <c r="H206" s="694">
        <f>IF(C206="na","na",C206*Eqtn!$D$153/E206)</f>
        <v>21000</v>
      </c>
      <c r="I206" s="132">
        <f>IF(D206="na","na",Eqtn!$D$174/(D206*E206))</f>
        <v>65625.000000000015</v>
      </c>
      <c r="K206" s="1062"/>
    </row>
    <row r="207" spans="1:11" ht="13.9" customHeight="1" x14ac:dyDescent="0.25">
      <c r="A207" s="846">
        <f>Chem!A207</f>
        <v>205</v>
      </c>
      <c r="B207" s="855" t="str">
        <f>Chem!B207</f>
        <v>2-Pentanone</v>
      </c>
      <c r="C207" s="552" t="str">
        <f>Param!O207</f>
        <v>na</v>
      </c>
      <c r="D207" s="552" t="str">
        <f>Param!V207</f>
        <v>na</v>
      </c>
      <c r="E207" s="670" t="str">
        <f>Param!AD207</f>
        <v>na</v>
      </c>
      <c r="F207" s="684" t="str">
        <f>IF(C207="na","na",C207*Eqtn!$D$111/E207)</f>
        <v>na</v>
      </c>
      <c r="G207" s="684" t="str">
        <f>IF(D207="na","na",Eqtn!$D$132/(D207*E207))</f>
        <v>na</v>
      </c>
      <c r="H207" s="694" t="str">
        <f>IF(C207="na","na",C207*Eqtn!$D$153/E207)</f>
        <v>na</v>
      </c>
      <c r="I207" s="132" t="str">
        <f>IF(D207="na","na",Eqtn!$D$174/(D207*E207))</f>
        <v>na</v>
      </c>
      <c r="K207" s="1062"/>
    </row>
    <row r="208" spans="1:11" ht="13.9" customHeight="1" x14ac:dyDescent="0.25">
      <c r="A208" s="846">
        <f>Chem!A208</f>
        <v>206</v>
      </c>
      <c r="B208" s="855" t="str">
        <f>Chem!B208</f>
        <v>n-Propylbenzene</v>
      </c>
      <c r="C208" s="552">
        <f>Param!O208</f>
        <v>0.1</v>
      </c>
      <c r="D208" s="552" t="str">
        <f>Param!V208</f>
        <v>na</v>
      </c>
      <c r="E208" s="670">
        <f>Param!AD208</f>
        <v>1</v>
      </c>
      <c r="F208" s="684">
        <f>IF(C208="na","na",C208*Eqtn!$D$111/E208)</f>
        <v>8000</v>
      </c>
      <c r="G208" s="684" t="str">
        <f>IF(D208="na","na",Eqtn!$D$132/(D208*E208))</f>
        <v>na</v>
      </c>
      <c r="H208" s="694">
        <f>IF(C208="na","na",C208*Eqtn!$D$153/E208)</f>
        <v>350000</v>
      </c>
      <c r="I208" s="132" t="str">
        <f>IF(D208="na","na",Eqtn!$D$174/(D208*E208))</f>
        <v>na</v>
      </c>
      <c r="K208" s="1062"/>
    </row>
    <row r="209" spans="1:11" ht="13.9" customHeight="1" x14ac:dyDescent="0.25">
      <c r="A209" s="846">
        <f>Chem!A209</f>
        <v>207</v>
      </c>
      <c r="B209" s="855" t="str">
        <f>Chem!B209</f>
        <v>Styrene</v>
      </c>
      <c r="C209" s="552">
        <f>Param!O209</f>
        <v>0.2</v>
      </c>
      <c r="D209" s="552" t="str">
        <f>Param!V209</f>
        <v>na</v>
      </c>
      <c r="E209" s="670">
        <f>Param!AD209</f>
        <v>1</v>
      </c>
      <c r="F209" s="684">
        <f>IF(C209="na","na",C209*Eqtn!$D$111/E209)</f>
        <v>16000</v>
      </c>
      <c r="G209" s="684" t="str">
        <f>IF(D209="na","na",Eqtn!$D$132/(D209*E209))</f>
        <v>na</v>
      </c>
      <c r="H209" s="694">
        <f>IF(C209="na","na",C209*Eqtn!$D$153/E209)</f>
        <v>700000</v>
      </c>
      <c r="I209" s="132" t="str">
        <f>IF(D209="na","na",Eqtn!$D$174/(D209*E209))</f>
        <v>na</v>
      </c>
      <c r="K209" s="1062"/>
    </row>
    <row r="210" spans="1:11" ht="13.9" customHeight="1" x14ac:dyDescent="0.25">
      <c r="A210" s="846">
        <f>Chem!A210</f>
        <v>208</v>
      </c>
      <c r="B210" s="855" t="str">
        <f>Chem!B210</f>
        <v>1,1,1,2-Tetrachloroethane</v>
      </c>
      <c r="C210" s="552">
        <f>Param!O210</f>
        <v>0.03</v>
      </c>
      <c r="D210" s="552">
        <f>Param!V210</f>
        <v>2.5999999999999999E-2</v>
      </c>
      <c r="E210" s="670">
        <f>Param!AD210</f>
        <v>1</v>
      </c>
      <c r="F210" s="684">
        <f>IF(C210="na","na",C210*Eqtn!$D$111/E210)</f>
        <v>2400</v>
      </c>
      <c r="G210" s="684">
        <f>IF(D210="na","na",Eqtn!$D$132/(D210*E210))</f>
        <v>38.46153846153846</v>
      </c>
      <c r="H210" s="694">
        <f>IF(C210="na","na",C210*Eqtn!$D$153/E210)</f>
        <v>105000</v>
      </c>
      <c r="I210" s="132">
        <f>IF(D210="na","na",Eqtn!$D$174/(D210*E210))</f>
        <v>5048.0769230769247</v>
      </c>
      <c r="K210" s="1062"/>
    </row>
    <row r="211" spans="1:11" ht="13.9" customHeight="1" x14ac:dyDescent="0.25">
      <c r="A211" s="846">
        <f>Chem!A211</f>
        <v>209</v>
      </c>
      <c r="B211" s="855" t="str">
        <f>Chem!B211</f>
        <v>1,1,2,2-Tetrachloroethane</v>
      </c>
      <c r="C211" s="552">
        <f>Param!O211</f>
        <v>0.02</v>
      </c>
      <c r="D211" s="552">
        <f>Param!V211</f>
        <v>0.2</v>
      </c>
      <c r="E211" s="670">
        <f>Param!AD211</f>
        <v>1</v>
      </c>
      <c r="F211" s="684">
        <f>IF(C211="na","na",C211*Eqtn!$D$111/E211)</f>
        <v>1600</v>
      </c>
      <c r="G211" s="684">
        <f>IF(D211="na","na",Eqtn!$D$132/(D211*E211))</f>
        <v>5</v>
      </c>
      <c r="H211" s="694">
        <f>IF(C211="na","na",C211*Eqtn!$D$153/E211)</f>
        <v>70000</v>
      </c>
      <c r="I211" s="132">
        <f>IF(D211="na","na",Eqtn!$D$174/(D211*E211))</f>
        <v>656.25000000000011</v>
      </c>
      <c r="K211" s="1062"/>
    </row>
    <row r="212" spans="1:11" ht="13.9" customHeight="1" x14ac:dyDescent="0.25">
      <c r="A212" s="846">
        <f>Chem!A212</f>
        <v>210</v>
      </c>
      <c r="B212" s="855" t="str">
        <f>Chem!B212</f>
        <v>Tetrachloroethylene (PCE)</v>
      </c>
      <c r="C212" s="552">
        <f>Param!O212</f>
        <v>6.0000000000000001E-3</v>
      </c>
      <c r="D212" s="552">
        <f>Param!V212</f>
        <v>2.0999999999999999E-3</v>
      </c>
      <c r="E212" s="670">
        <f>Param!AD212</f>
        <v>1</v>
      </c>
      <c r="F212" s="684">
        <f>IF(C212="na","na",C212*Eqtn!$D$111/E212)</f>
        <v>480</v>
      </c>
      <c r="G212" s="684">
        <f>IF(D212="na","na",Eqtn!$D$132/(D212*E212))</f>
        <v>476.1904761904762</v>
      </c>
      <c r="H212" s="694">
        <f>IF(C212="na","na",C212*Eqtn!$D$153/E212)</f>
        <v>21000</v>
      </c>
      <c r="I212" s="132">
        <f>IF(D212="na","na",Eqtn!$D$174/(D212*E212))</f>
        <v>62500.000000000015</v>
      </c>
      <c r="J212" s="314"/>
      <c r="K212" s="1062"/>
    </row>
    <row r="213" spans="1:11" ht="13.9" customHeight="1" x14ac:dyDescent="0.25">
      <c r="A213" s="846">
        <f>Chem!A213</f>
        <v>211</v>
      </c>
      <c r="B213" s="855" t="str">
        <f>Chem!B213</f>
        <v>Tetrahydrofuran</v>
      </c>
      <c r="C213" s="552">
        <f>Param!O213</f>
        <v>0.9</v>
      </c>
      <c r="D213" s="552" t="str">
        <f>Param!V213</f>
        <v>na</v>
      </c>
      <c r="E213" s="670">
        <f>Param!AD213</f>
        <v>1</v>
      </c>
      <c r="F213" s="684">
        <f>IF(C213="na","na",C213*Eqtn!$D$111/E213)</f>
        <v>72000</v>
      </c>
      <c r="G213" s="684" t="str">
        <f>IF(D213="na","na",Eqtn!$D$132/(D213*E213))</f>
        <v>na</v>
      </c>
      <c r="H213" s="694">
        <f>IF(C213="na","na",C213*Eqtn!$D$153/E213)</f>
        <v>3150000</v>
      </c>
      <c r="I213" s="132" t="str">
        <f>IF(D213="na","na",Eqtn!$D$174/(D213*E213))</f>
        <v>na</v>
      </c>
      <c r="J213" s="314"/>
      <c r="K213" s="1062"/>
    </row>
    <row r="214" spans="1:11" ht="13.9" customHeight="1" x14ac:dyDescent="0.25">
      <c r="A214" s="846">
        <f>Chem!A214</f>
        <v>212</v>
      </c>
      <c r="B214" s="855" t="str">
        <f>Chem!B214</f>
        <v>Toluene</v>
      </c>
      <c r="C214" s="552">
        <f>Param!O214</f>
        <v>0.08</v>
      </c>
      <c r="D214" s="552" t="str">
        <f>Param!V214</f>
        <v>na</v>
      </c>
      <c r="E214" s="670">
        <f>Param!AD214</f>
        <v>1</v>
      </c>
      <c r="F214" s="684">
        <f>IF(C214="na","na",C214*Eqtn!$D$111/E214)</f>
        <v>6400</v>
      </c>
      <c r="G214" s="684" t="str">
        <f>IF(D214="na","na",Eqtn!$D$132/(D214*E214))</f>
        <v>na</v>
      </c>
      <c r="H214" s="694">
        <f>IF(C214="na","na",C214*Eqtn!$D$153/E214)</f>
        <v>280000</v>
      </c>
      <c r="I214" s="132" t="str">
        <f>IF(D214="na","na",Eqtn!$D$174/(D214*E214))</f>
        <v>na</v>
      </c>
      <c r="K214" s="1062"/>
    </row>
    <row r="215" spans="1:11" ht="13.9" customHeight="1" x14ac:dyDescent="0.25">
      <c r="A215" s="846">
        <f>Chem!A215</f>
        <v>213</v>
      </c>
      <c r="B215" s="855" t="str">
        <f>Chem!B215</f>
        <v>1,2,3-Trichlorobenzene</v>
      </c>
      <c r="C215" s="552">
        <f>Param!O215</f>
        <v>8.0000000000000004E-4</v>
      </c>
      <c r="D215" s="552" t="str">
        <f>Param!V215</f>
        <v>na</v>
      </c>
      <c r="E215" s="670">
        <f>Param!AD215</f>
        <v>1</v>
      </c>
      <c r="F215" s="684">
        <f>IF(C215="na","na",C215*Eqtn!$D$111/E215)</f>
        <v>64</v>
      </c>
      <c r="G215" s="684" t="str">
        <f>IF(D215="na","na",Eqtn!$D$132/(D215*E215))</f>
        <v>na</v>
      </c>
      <c r="H215" s="694">
        <f>IF(C215="na","na",C215*Eqtn!$D$153/E215)</f>
        <v>2800</v>
      </c>
      <c r="I215" s="132" t="str">
        <f>IF(D215="na","na",Eqtn!$D$174/(D215*E215))</f>
        <v>na</v>
      </c>
      <c r="K215" s="1062"/>
    </row>
    <row r="216" spans="1:11" ht="13.9" customHeight="1" x14ac:dyDescent="0.25">
      <c r="A216" s="846">
        <f>Chem!A216</f>
        <v>214</v>
      </c>
      <c r="B216" s="855" t="str">
        <f>Chem!B216</f>
        <v>1,1,1-Trichloroethane</v>
      </c>
      <c r="C216" s="552">
        <f>Param!O216</f>
        <v>2</v>
      </c>
      <c r="D216" s="552" t="str">
        <f>Param!V216</f>
        <v>na</v>
      </c>
      <c r="E216" s="670">
        <f>Param!AD216</f>
        <v>1</v>
      </c>
      <c r="F216" s="684">
        <f>IF(C216="na","na",C216*Eqtn!$D$111/E216)</f>
        <v>160000</v>
      </c>
      <c r="G216" s="684" t="str">
        <f>IF(D216="na","na",Eqtn!$D$132/(D216*E216))</f>
        <v>na</v>
      </c>
      <c r="H216" s="694">
        <f>IF(C216="na","na",C216*Eqtn!$D$153/E216)</f>
        <v>7000000</v>
      </c>
      <c r="I216" s="132" t="str">
        <f>IF(D216="na","na",Eqtn!$D$174/(D216*E216))</f>
        <v>na</v>
      </c>
      <c r="K216" s="1062"/>
    </row>
    <row r="217" spans="1:11" ht="13.9" customHeight="1" x14ac:dyDescent="0.25">
      <c r="A217" s="846">
        <f>Chem!A217</f>
        <v>215</v>
      </c>
      <c r="B217" s="855" t="str">
        <f>Chem!B217</f>
        <v>1,1,2-Trichloroethane</v>
      </c>
      <c r="C217" s="552">
        <f>Param!O217</f>
        <v>4.0000000000000001E-3</v>
      </c>
      <c r="D217" s="552">
        <f>Param!V217</f>
        <v>5.7000000000000002E-2</v>
      </c>
      <c r="E217" s="670">
        <f>Param!AD217</f>
        <v>1</v>
      </c>
      <c r="F217" s="684">
        <f>IF(C217="na","na",C217*Eqtn!$D$111/E217)</f>
        <v>320</v>
      </c>
      <c r="G217" s="684">
        <f>IF(D217="na","na",Eqtn!$D$132/(D217*E217))</f>
        <v>17.543859649122805</v>
      </c>
      <c r="H217" s="694">
        <f>IF(C217="na","na",C217*Eqtn!$D$153/E217)</f>
        <v>14000</v>
      </c>
      <c r="I217" s="132">
        <f>IF(D217="na","na",Eqtn!$D$174/(D217*E217))</f>
        <v>2302.6315789473688</v>
      </c>
      <c r="K217" s="1062"/>
    </row>
    <row r="218" spans="1:11" ht="13.9" customHeight="1" x14ac:dyDescent="0.25">
      <c r="A218" s="846">
        <f>Chem!A218</f>
        <v>216</v>
      </c>
      <c r="B218" s="1848" t="str">
        <f>Chem!B218</f>
        <v>Trichloroethylene (TCE)</v>
      </c>
      <c r="C218" s="552">
        <f>Param!O218</f>
        <v>5.0000000000000001E-4</v>
      </c>
      <c r="D218" s="552">
        <f>Param!V218</f>
        <v>4.5999999999999999E-2</v>
      </c>
      <c r="E218" s="670">
        <f>Param!AD218</f>
        <v>1</v>
      </c>
      <c r="F218" s="684">
        <v>40</v>
      </c>
      <c r="G218" s="694">
        <v>12</v>
      </c>
      <c r="H218" s="694">
        <v>1800</v>
      </c>
      <c r="I218" s="132">
        <v>2900</v>
      </c>
      <c r="K218" s="1062"/>
    </row>
    <row r="219" spans="1:11" ht="13.9" customHeight="1" x14ac:dyDescent="0.25">
      <c r="A219" s="846">
        <f>Chem!A219</f>
        <v>217</v>
      </c>
      <c r="B219" s="855" t="str">
        <f>Chem!B219</f>
        <v>Trichlorofluoroethane</v>
      </c>
      <c r="C219" s="552" t="str">
        <f>Param!O219</f>
        <v>na</v>
      </c>
      <c r="D219" s="552" t="str">
        <f>Param!V219</f>
        <v>na</v>
      </c>
      <c r="E219" s="670" t="str">
        <f>Param!AD219</f>
        <v>na</v>
      </c>
      <c r="F219" s="684" t="str">
        <f>IF(C219="na","na",C219*Eqtn!$D$111/E219)</f>
        <v>na</v>
      </c>
      <c r="G219" s="684" t="str">
        <f>IF(D219="na","na",Eqtn!$D$132/(D219*E219))</f>
        <v>na</v>
      </c>
      <c r="H219" s="694" t="str">
        <f>IF(C219="na","na",C219*Eqtn!$D$153/E219)</f>
        <v>na</v>
      </c>
      <c r="I219" s="132" t="str">
        <f>IF(D219="na","na",Eqtn!$D$174/(D219*E219))</f>
        <v>na</v>
      </c>
      <c r="K219" s="1062"/>
    </row>
    <row r="220" spans="1:11" ht="13.9" customHeight="1" x14ac:dyDescent="0.25">
      <c r="A220" s="846">
        <f>Chem!A220</f>
        <v>218</v>
      </c>
      <c r="B220" s="855" t="str">
        <f>Chem!B220</f>
        <v>Trichlorofluoromethane</v>
      </c>
      <c r="C220" s="552">
        <f>Param!O220</f>
        <v>0.3</v>
      </c>
      <c r="D220" s="552" t="str">
        <f>Param!V220</f>
        <v>na</v>
      </c>
      <c r="E220" s="670">
        <f>Param!AD220</f>
        <v>1</v>
      </c>
      <c r="F220" s="684">
        <f>IF(C220="na","na",C220*Eqtn!$D$111/E220)</f>
        <v>24000</v>
      </c>
      <c r="G220" s="684" t="str">
        <f>IF(D220="na","na",Eqtn!$D$132/(D220*E220))</f>
        <v>na</v>
      </c>
      <c r="H220" s="694">
        <f>IF(C220="na","na",C220*Eqtn!$D$153/E220)</f>
        <v>1050000</v>
      </c>
      <c r="I220" s="132" t="str">
        <f>IF(D220="na","na",Eqtn!$D$174/(D220*E220))</f>
        <v>na</v>
      </c>
      <c r="K220" s="1062"/>
    </row>
    <row r="221" spans="1:11" ht="13.9" customHeight="1" x14ac:dyDescent="0.25">
      <c r="A221" s="846">
        <f>Chem!A221</f>
        <v>219</v>
      </c>
      <c r="B221" s="1848" t="str">
        <f>Chem!B221</f>
        <v>1,2,3-Trichloropropane</v>
      </c>
      <c r="C221" s="552">
        <f>Param!O221</f>
        <v>4.0000000000000001E-3</v>
      </c>
      <c r="D221" s="552">
        <f>Param!V221</f>
        <v>30</v>
      </c>
      <c r="E221" s="670">
        <f>Param!AD221</f>
        <v>1</v>
      </c>
      <c r="F221" s="684">
        <f>IF(C221="na","na",C221*Eqtn!$D$111/E221)</f>
        <v>320</v>
      </c>
      <c r="G221" s="694">
        <v>6.3E-3</v>
      </c>
      <c r="H221" s="694">
        <f>IF(C221="na","na",C221*Eqtn!$D$153/E221)</f>
        <v>14000</v>
      </c>
      <c r="I221" s="132">
        <f>IF(D221="na","na",Eqtn!$D$174/(D221*E221))</f>
        <v>4.3750000000000009</v>
      </c>
      <c r="K221" s="1062"/>
    </row>
    <row r="222" spans="1:11" ht="13.9" customHeight="1" x14ac:dyDescent="0.25">
      <c r="A222" s="846">
        <f>Chem!A222</f>
        <v>220</v>
      </c>
      <c r="B222" s="855" t="str">
        <f>Chem!B222</f>
        <v>Trichlorotrifluoroethane</v>
      </c>
      <c r="C222" s="552">
        <f>Param!O222</f>
        <v>30</v>
      </c>
      <c r="D222" s="552" t="str">
        <f>Param!V222</f>
        <v>na</v>
      </c>
      <c r="E222" s="670">
        <f>Param!AD222</f>
        <v>1</v>
      </c>
      <c r="F222" s="684">
        <f>IF(C222="na","na",C222*Eqtn!$D$111/E222)</f>
        <v>2400000</v>
      </c>
      <c r="G222" s="684" t="str">
        <f>IF(D222="na","na",Eqtn!$D$132/(D222*E222))</f>
        <v>na</v>
      </c>
      <c r="H222" s="694">
        <f>IF(C222="na","na",C222*Eqtn!$D$153/E222)</f>
        <v>105000000</v>
      </c>
      <c r="I222" s="132" t="str">
        <f>IF(D222="na","na",Eqtn!$D$174/(D222*E222))</f>
        <v>na</v>
      </c>
      <c r="K222" s="1062"/>
    </row>
    <row r="223" spans="1:11" ht="13.9" customHeight="1" x14ac:dyDescent="0.25">
      <c r="A223" s="846">
        <f>Chem!A223</f>
        <v>221</v>
      </c>
      <c r="B223" s="856" t="str">
        <f>Chem!B223</f>
        <v>1,2,3-Trimethylbenzene</v>
      </c>
      <c r="C223" s="552">
        <f>Param!O223</f>
        <v>0.01</v>
      </c>
      <c r="D223" s="552" t="str">
        <f>Param!V223</f>
        <v>na</v>
      </c>
      <c r="E223" s="670">
        <f>Param!AD223</f>
        <v>1</v>
      </c>
      <c r="F223" s="684">
        <f>IF(C223="na","na",C223*Eqtn!$D$111/E223)</f>
        <v>800</v>
      </c>
      <c r="G223" s="684" t="str">
        <f>IF(D223="na","na",Eqtn!$D$132/(D223*E223))</f>
        <v>na</v>
      </c>
      <c r="H223" s="694">
        <f>IF(C223="na","na",C223*Eqtn!$D$153/E223)</f>
        <v>35000</v>
      </c>
      <c r="I223" s="132" t="str">
        <f>IF(D223="na","na",Eqtn!$D$174/(D223*E223))</f>
        <v>na</v>
      </c>
      <c r="K223" s="1062"/>
    </row>
    <row r="224" spans="1:11" ht="13.9" customHeight="1" x14ac:dyDescent="0.25">
      <c r="A224" s="846">
        <f>Chem!A224</f>
        <v>222</v>
      </c>
      <c r="B224" s="855" t="str">
        <f>Chem!B224</f>
        <v>1,2,4-Trimethylbenzene</v>
      </c>
      <c r="C224" s="552">
        <f>Param!O224</f>
        <v>0.01</v>
      </c>
      <c r="D224" s="552" t="str">
        <f>Param!V224</f>
        <v>na</v>
      </c>
      <c r="E224" s="670">
        <f>Param!AD224</f>
        <v>1</v>
      </c>
      <c r="F224" s="684">
        <f>IF(C224="na","na",C224*Eqtn!$D$111/E224)</f>
        <v>800</v>
      </c>
      <c r="G224" s="684" t="str">
        <f>IF(D224="na","na",Eqtn!$D$132/(D224*E224))</f>
        <v>na</v>
      </c>
      <c r="H224" s="694">
        <f>IF(C224="na","na",C224*Eqtn!$D$153/E224)</f>
        <v>35000</v>
      </c>
      <c r="I224" s="132" t="str">
        <f>IF(D224="na","na",Eqtn!$D$174/(D224*E224))</f>
        <v>na</v>
      </c>
      <c r="K224" s="1062"/>
    </row>
    <row r="225" spans="1:11" ht="13.9" customHeight="1" x14ac:dyDescent="0.25">
      <c r="A225" s="846">
        <f>Chem!A225</f>
        <v>223</v>
      </c>
      <c r="B225" s="855" t="str">
        <f>Chem!B225</f>
        <v>1,3,5-Trimethylbenzene</v>
      </c>
      <c r="C225" s="552">
        <f>Param!O225</f>
        <v>0.01</v>
      </c>
      <c r="D225" s="552" t="str">
        <f>Param!V225</f>
        <v>na</v>
      </c>
      <c r="E225" s="670">
        <f>Param!AD225</f>
        <v>1</v>
      </c>
      <c r="F225" s="684">
        <f>IF(C225="na","na",C225*Eqtn!$D$111/E225)</f>
        <v>800</v>
      </c>
      <c r="G225" s="684" t="str">
        <f>IF(D225="na","na",Eqtn!$D$132/(D225*E225))</f>
        <v>na</v>
      </c>
      <c r="H225" s="694">
        <f>IF(C225="na","na",C225*Eqtn!$D$153/E225)</f>
        <v>35000</v>
      </c>
      <c r="I225" s="132" t="str">
        <f>IF(D225="na","na",Eqtn!$D$174/(D225*E225))</f>
        <v>na</v>
      </c>
      <c r="K225" s="1062"/>
    </row>
    <row r="226" spans="1:11" ht="13.9" customHeight="1" x14ac:dyDescent="0.25">
      <c r="A226" s="846">
        <f>Chem!A226</f>
        <v>224</v>
      </c>
      <c r="B226" s="855" t="str">
        <f>Chem!B226</f>
        <v>Vinyl acetate</v>
      </c>
      <c r="C226" s="552">
        <f>Param!O226</f>
        <v>1</v>
      </c>
      <c r="D226" s="552" t="str">
        <f>Param!V226</f>
        <v>na</v>
      </c>
      <c r="E226" s="670">
        <f>Param!AD226</f>
        <v>1</v>
      </c>
      <c r="F226" s="684">
        <f>IF(C226="na","na",C226*Eqtn!$D$111/E226)</f>
        <v>80000</v>
      </c>
      <c r="G226" s="684" t="str">
        <f>IF(D226="na","na",Eqtn!$D$132/(D226*E226))</f>
        <v>na</v>
      </c>
      <c r="H226" s="694">
        <f>IF(C226="na","na",C226*Eqtn!$D$153/E226)</f>
        <v>3500000</v>
      </c>
      <c r="I226" s="132" t="str">
        <f>IF(D226="na","na",Eqtn!$D$174/(D226*E226))</f>
        <v>na</v>
      </c>
      <c r="K226" s="1062"/>
    </row>
    <row r="227" spans="1:11" ht="13.9" customHeight="1" x14ac:dyDescent="0.25">
      <c r="A227" s="846">
        <f>Chem!A227</f>
        <v>225</v>
      </c>
      <c r="B227" s="1848" t="str">
        <f>Chem!B227</f>
        <v>Vinyl chloride</v>
      </c>
      <c r="C227" s="552">
        <f>Param!O227</f>
        <v>3.0000000000000001E-3</v>
      </c>
      <c r="D227" s="552">
        <f>Param!V227</f>
        <v>1.5</v>
      </c>
      <c r="E227" s="670">
        <f>Param!AD227</f>
        <v>1</v>
      </c>
      <c r="F227" s="684">
        <f>IF(C227="na","na",C227*Eqtn!$D$111/E227)</f>
        <v>240</v>
      </c>
      <c r="G227" s="684">
        <f>IF(D227="na","na",Eqtn!$D$132/(D227*E227))</f>
        <v>0.66666666666666663</v>
      </c>
      <c r="H227" s="694">
        <f>IF(C227="na","na",C227*Eqtn!$D$153/E227)</f>
        <v>10500</v>
      </c>
      <c r="I227" s="132">
        <f>IF(D227="na","na",Eqtn!$D$174/(D227*E227))</f>
        <v>87.500000000000014</v>
      </c>
      <c r="K227" s="1062"/>
    </row>
    <row r="228" spans="1:11" ht="13.9" customHeight="1" x14ac:dyDescent="0.25">
      <c r="A228" s="1661">
        <f>Chem!A228</f>
        <v>226</v>
      </c>
      <c r="B228" s="885" t="str">
        <f>Chem!B228</f>
        <v>Total xylenes</v>
      </c>
      <c r="C228" s="589">
        <f>Param!O228</f>
        <v>0.2</v>
      </c>
      <c r="D228" s="589" t="str">
        <f>Param!V228</f>
        <v>na</v>
      </c>
      <c r="E228" s="671">
        <f>Param!AD228</f>
        <v>1</v>
      </c>
      <c r="F228" s="685">
        <f>IF(C228="na","na",C228*Eqtn!$D$111/E228)</f>
        <v>16000</v>
      </c>
      <c r="G228" s="685" t="str">
        <f>IF(D228="na","na",Eqtn!$D$132/(D228*E228))</f>
        <v>na</v>
      </c>
      <c r="H228" s="707">
        <f>IF(C228="na","na",C228*Eqtn!$D$153/E228)</f>
        <v>700000</v>
      </c>
      <c r="I228" s="702" t="str">
        <f>IF(D228="na","na",Eqtn!$D$174/(D228*E228))</f>
        <v>na</v>
      </c>
      <c r="K228" s="1062"/>
    </row>
    <row r="229" spans="1:11" ht="13.9" customHeight="1" x14ac:dyDescent="0.25">
      <c r="A229" s="1197">
        <f>Chem!A229</f>
        <v>227</v>
      </c>
      <c r="B229" s="850" t="str">
        <f>Chem!B229</f>
        <v>PFAS</v>
      </c>
      <c r="C229" s="127"/>
      <c r="D229" s="127"/>
      <c r="E229" s="2363"/>
      <c r="F229" s="127"/>
      <c r="G229" s="127"/>
      <c r="H229" s="127"/>
      <c r="I229" s="2364"/>
      <c r="K229" s="1063"/>
    </row>
    <row r="230" spans="1:11" ht="13.9" customHeight="1" x14ac:dyDescent="0.25">
      <c r="A230" s="2251">
        <f>Chem!A230</f>
        <v>228</v>
      </c>
      <c r="B230" s="883" t="str">
        <f>Chem!B230</f>
        <v>6:2 Fluorotelomer sulfonic acid (6:2 FTS)</v>
      </c>
      <c r="C230" s="683">
        <f>Param!O230</f>
        <v>2.0000000000000001E-4</v>
      </c>
      <c r="D230" s="683" t="str">
        <f>Param!V230</f>
        <v>na</v>
      </c>
      <c r="E230" s="2252">
        <f>Param!AD230</f>
        <v>1</v>
      </c>
      <c r="F230" s="691">
        <f>IF(C230="na","na",C230*Eqtn!$D$111/E230)</f>
        <v>16</v>
      </c>
      <c r="G230" s="691" t="str">
        <f>IF(D230="na","na",Eqtn!$D$132/(D230*E230))</f>
        <v>na</v>
      </c>
      <c r="H230" s="822">
        <f>IF(C230="na","na",C230*Eqtn!$D$153/E230)</f>
        <v>700</v>
      </c>
      <c r="I230" s="1535" t="str">
        <f>IF(D230="na","na",Eqtn!$D$174/(D230*E230))</f>
        <v>na</v>
      </c>
      <c r="K230" s="1062"/>
    </row>
    <row r="231" spans="1:11" ht="13.9" customHeight="1" x14ac:dyDescent="0.25">
      <c r="A231" s="846">
        <f>Chem!A231</f>
        <v>229</v>
      </c>
      <c r="B231" s="905" t="str">
        <f>Chem!B231</f>
        <v>GenX (HFPO-DA)</v>
      </c>
      <c r="C231" s="1119">
        <f>Param!O231</f>
        <v>3.0000000000000001E-6</v>
      </c>
      <c r="D231" s="1119" t="str">
        <f>Param!V231</f>
        <v>na</v>
      </c>
      <c r="E231" s="1612">
        <f>Param!AD231</f>
        <v>1</v>
      </c>
      <c r="F231" s="1326">
        <f>IF(C231="na","na",C231*Eqtn!$D$111/E231)</f>
        <v>0.24000000000000002</v>
      </c>
      <c r="G231" s="1326" t="str">
        <f>IF(D231="na","na",Eqtn!$D$132/(D231*E231))</f>
        <v>na</v>
      </c>
      <c r="H231" s="1328">
        <f>IF(C231="na","na",C231*Eqtn!$D$153/E231)</f>
        <v>10.5</v>
      </c>
      <c r="I231" s="1613" t="str">
        <f>IF(D231="na","na",Eqtn!$D$174/(D231*E231))</f>
        <v>na</v>
      </c>
      <c r="K231" s="1062"/>
    </row>
    <row r="232" spans="1:11" ht="13.9" customHeight="1" x14ac:dyDescent="0.25">
      <c r="A232" s="846">
        <f>Chem!A232</f>
        <v>230</v>
      </c>
      <c r="B232" s="905" t="str">
        <f>Chem!B232</f>
        <v>Perfluorobutanoic acid (PFBA)</v>
      </c>
      <c r="C232" s="1119">
        <f>Param!O232</f>
        <v>1E-3</v>
      </c>
      <c r="D232" s="1119" t="str">
        <f>Param!V232</f>
        <v>na</v>
      </c>
      <c r="E232" s="1612">
        <f>Param!AD232</f>
        <v>1</v>
      </c>
      <c r="F232" s="1326">
        <f>IF(C232="na","na",C232*Eqtn!$D$111/E232)</f>
        <v>80</v>
      </c>
      <c r="G232" s="1326" t="str">
        <f>IF(D232="na","na",Eqtn!$D$132/(D232*E232))</f>
        <v>na</v>
      </c>
      <c r="H232" s="1328">
        <f>IF(C232="na","na",C232*Eqtn!$D$153/E232)</f>
        <v>3500</v>
      </c>
      <c r="I232" s="1613" t="str">
        <f>IF(D232="na","na",Eqtn!$D$174/(D232*E232))</f>
        <v>na</v>
      </c>
      <c r="K232" s="1062"/>
    </row>
    <row r="233" spans="1:11" ht="13.9" customHeight="1" x14ac:dyDescent="0.25">
      <c r="A233" s="846">
        <f>Chem!A233</f>
        <v>231</v>
      </c>
      <c r="B233" s="855" t="str">
        <f>Chem!B233</f>
        <v>Perfluorobutanesulfonic acid (PFBS)</v>
      </c>
      <c r="C233" s="552">
        <f>Param!O233</f>
        <v>2.9999999999999997E-4</v>
      </c>
      <c r="D233" s="552" t="str">
        <f>Param!V233</f>
        <v>na</v>
      </c>
      <c r="E233" s="1140">
        <f>Param!AD233</f>
        <v>1</v>
      </c>
      <c r="F233" s="602">
        <f>IF(C233="na","na",C233*Eqtn!$D$111/E233)</f>
        <v>23.999999999999996</v>
      </c>
      <c r="G233" s="602" t="str">
        <f>IF(D233="na","na",Eqtn!$D$132/(D233*E233))</f>
        <v>na</v>
      </c>
      <c r="H233" s="17">
        <f>IF(C233="na","na",C233*Eqtn!$D$153/E233)</f>
        <v>1050</v>
      </c>
      <c r="I233" s="132" t="str">
        <f>IF(D233="na","na",Eqtn!$D$174/(D233*E233))</f>
        <v>na</v>
      </c>
      <c r="K233" s="1062"/>
    </row>
    <row r="234" spans="1:11" ht="13.9" customHeight="1" x14ac:dyDescent="0.25">
      <c r="A234" s="846">
        <f>Chem!A234</f>
        <v>232</v>
      </c>
      <c r="B234" s="855" t="str">
        <f>Chem!B234</f>
        <v>Perfluorodecanoic acid (PFDA)</v>
      </c>
      <c r="C234" s="552">
        <f>Param!O234</f>
        <v>2.0000000000000001E-9</v>
      </c>
      <c r="D234" s="552" t="str">
        <f>Param!V234</f>
        <v>na</v>
      </c>
      <c r="E234" s="1140">
        <f>Param!AD234</f>
        <v>1</v>
      </c>
      <c r="F234" s="602">
        <f>IF(C234="na","na",C234*Eqtn!$D$111/E234)</f>
        <v>1.6000000000000001E-4</v>
      </c>
      <c r="G234" s="602" t="str">
        <f>IF(D234="na","na",Eqtn!$D$132/(D234*E234))</f>
        <v>na</v>
      </c>
      <c r="H234" s="17">
        <f>IF(C234="na","na",C234*Eqtn!$D$153/E234)</f>
        <v>7.0000000000000001E-3</v>
      </c>
      <c r="I234" s="132" t="str">
        <f>IF(D234="na","na",Eqtn!$D$174/(D234*E234))</f>
        <v>na</v>
      </c>
      <c r="K234" s="1062"/>
    </row>
    <row r="235" spans="1:11" ht="13.9" customHeight="1" x14ac:dyDescent="0.25">
      <c r="A235" s="846">
        <f>Chem!A235</f>
        <v>233</v>
      </c>
      <c r="B235" s="855" t="str">
        <f>Chem!B235</f>
        <v>Perfluorohexanoic acid (PFHxA)</v>
      </c>
      <c r="C235" s="552">
        <f>Param!O235</f>
        <v>5.0000000000000001E-4</v>
      </c>
      <c r="D235" s="552" t="str">
        <f>Param!V235</f>
        <v>na</v>
      </c>
      <c r="E235" s="1140">
        <f>Param!AD235</f>
        <v>1</v>
      </c>
      <c r="F235" s="602">
        <f>IF(C235="na","na",C235*Eqtn!$D$111/E235)</f>
        <v>40</v>
      </c>
      <c r="G235" s="602" t="str">
        <f>IF(D235="na","na",Eqtn!$D$132/(D235*E235))</f>
        <v>na</v>
      </c>
      <c r="H235" s="17">
        <f>IF(C235="na","na",C235*Eqtn!$D$153/E235)</f>
        <v>1750</v>
      </c>
      <c r="I235" s="132" t="str">
        <f>IF(D235="na","na",Eqtn!$D$174/(D235*E235))</f>
        <v>na</v>
      </c>
      <c r="K235" s="1062"/>
    </row>
    <row r="236" spans="1:11" ht="13.9" customHeight="1" x14ac:dyDescent="0.25">
      <c r="A236" s="846">
        <f>Chem!A236</f>
        <v>234</v>
      </c>
      <c r="B236" s="855" t="str">
        <f>Chem!B236</f>
        <v>Perfluorohexanesulfonic acid (PFHxS)</v>
      </c>
      <c r="C236" s="552">
        <f>Param!O236</f>
        <v>4.0000000000000001E-10</v>
      </c>
      <c r="D236" s="552" t="str">
        <f>Param!V236</f>
        <v>na</v>
      </c>
      <c r="E236" s="1140">
        <f>Param!AD236</f>
        <v>1</v>
      </c>
      <c r="F236" s="602">
        <f>IF(C236="na","na",C236*Eqtn!$D$111/E236)</f>
        <v>3.1999999999999999E-5</v>
      </c>
      <c r="G236" s="602" t="str">
        <f>IF(D236="na","na",Eqtn!$D$132/(D236*E236))</f>
        <v>na</v>
      </c>
      <c r="H236" s="17">
        <f>IF(C236="na","na",C236*Eqtn!$D$153/E236)</f>
        <v>1.4E-3</v>
      </c>
      <c r="I236" s="132" t="str">
        <f>IF(D236="na","na",Eqtn!$D$174/(D236*E236))</f>
        <v>na</v>
      </c>
      <c r="K236" s="1062"/>
    </row>
    <row r="237" spans="1:11" ht="13.9" customHeight="1" x14ac:dyDescent="0.25">
      <c r="A237" s="846">
        <f>Chem!A237</f>
        <v>235</v>
      </c>
      <c r="B237" s="855" t="str">
        <f>Chem!B237</f>
        <v>Perfluorononanoic acid (PFNA)</v>
      </c>
      <c r="C237" s="552">
        <f>Param!O237</f>
        <v>2.5000000000000002E-6</v>
      </c>
      <c r="D237" s="552" t="str">
        <f>Param!V237</f>
        <v>na</v>
      </c>
      <c r="E237" s="1140">
        <f>Param!AD237</f>
        <v>1</v>
      </c>
      <c r="F237" s="602">
        <f>IF(C237="na","na",C237*Eqtn!$D$111/E237)</f>
        <v>0.2</v>
      </c>
      <c r="G237" s="602" t="str">
        <f>IF(D237="na","na",Eqtn!$D$132/(D237*E237))</f>
        <v>na</v>
      </c>
      <c r="H237" s="17">
        <f>IF(C237="na","na",C237*Eqtn!$D$153/E237)</f>
        <v>8.75</v>
      </c>
      <c r="I237" s="132" t="str">
        <f>IF(D237="na","na",Eqtn!$D$174/(D237*E237))</f>
        <v>na</v>
      </c>
      <c r="K237" s="1062"/>
    </row>
    <row r="238" spans="1:11" ht="13.9" customHeight="1" x14ac:dyDescent="0.25">
      <c r="A238" s="846">
        <f>Chem!A238</f>
        <v>236</v>
      </c>
      <c r="B238" s="855" t="str">
        <f>Chem!B238</f>
        <v>Perfluorooctanesulfonic acid (PFOS)</v>
      </c>
      <c r="C238" s="552">
        <f>Param!O238</f>
        <v>9.9999999999999995E-8</v>
      </c>
      <c r="D238" s="552">
        <f>Param!V238</f>
        <v>39.5</v>
      </c>
      <c r="E238" s="1140">
        <f>Param!AD238</f>
        <v>1</v>
      </c>
      <c r="F238" s="602">
        <f>IF(C238="na","na",C238*Eqtn!$D$111/E238)</f>
        <v>8.0000000000000002E-3</v>
      </c>
      <c r="G238" s="602">
        <f>IF(D238="na","na",Eqtn!$D$132/(D238*E238))</f>
        <v>2.5316455696202531E-2</v>
      </c>
      <c r="H238" s="17">
        <f>IF(C238="na","na",C238*Eqtn!$D$153/E238)</f>
        <v>0.35</v>
      </c>
      <c r="I238" s="132">
        <f>IF(D238="na","na",Eqtn!$D$174/(D238*E238))</f>
        <v>3.3227848101265831</v>
      </c>
      <c r="K238" s="1062"/>
    </row>
    <row r="239" spans="1:11" ht="13.9" customHeight="1" x14ac:dyDescent="0.25">
      <c r="A239" s="1661">
        <f>Chem!A239</f>
        <v>237</v>
      </c>
      <c r="B239" s="885" t="str">
        <f>Chem!B239</f>
        <v>Perfluorooctanoic acid (PFOA)</v>
      </c>
      <c r="C239" s="589">
        <f>Param!O239</f>
        <v>2.9999999999999997E-8</v>
      </c>
      <c r="D239" s="589">
        <f>Param!V239</f>
        <v>29300</v>
      </c>
      <c r="E239" s="1540">
        <f>Param!AD239</f>
        <v>1</v>
      </c>
      <c r="F239" s="609">
        <f>IF(C239="na","na",C239*Eqtn!$D$111/E239)</f>
        <v>2.3999999999999998E-3</v>
      </c>
      <c r="G239" s="609">
        <f>IF(D239="na","na",Eqtn!$D$132/(D239*E239))</f>
        <v>3.4129692832764505E-5</v>
      </c>
      <c r="H239" s="820">
        <f>IF(C239="na","na",C239*Eqtn!$D$153/E239)</f>
        <v>0.105</v>
      </c>
      <c r="I239" s="702">
        <f>IF(D239="na","na",Eqtn!$D$174/(D239*E239))</f>
        <v>4.479522184300342E-3</v>
      </c>
      <c r="K239" s="1062"/>
    </row>
    <row r="240" spans="1:11" ht="13.9" customHeight="1" x14ac:dyDescent="0.25">
      <c r="A240" s="1197">
        <f>Chem!A240</f>
        <v>238</v>
      </c>
      <c r="B240" s="850" t="str">
        <f>Chem!B240</f>
        <v>Petroleum Hydrocarbons</v>
      </c>
      <c r="C240" s="127"/>
      <c r="D240" s="127"/>
      <c r="E240" s="2363"/>
      <c r="F240" s="127"/>
      <c r="G240" s="127"/>
      <c r="H240" s="127"/>
      <c r="I240" s="2364"/>
      <c r="K240" s="1063"/>
    </row>
    <row r="241" spans="1:11" ht="13.9" customHeight="1" x14ac:dyDescent="0.25">
      <c r="A241" s="846">
        <f>Chem!A241</f>
        <v>239</v>
      </c>
      <c r="B241" s="861" t="str">
        <f>Chem!B241</f>
        <v>Gasoline range hydrocarbons, fresh</v>
      </c>
      <c r="C241" s="591" t="str">
        <f>Param!O241</f>
        <v>na</v>
      </c>
      <c r="D241" s="591" t="str">
        <f>Param!V241</f>
        <v>na</v>
      </c>
      <c r="E241" s="672">
        <f>Param!AD241</f>
        <v>1</v>
      </c>
      <c r="F241" s="686">
        <v>1500</v>
      </c>
      <c r="G241" s="686" t="str">
        <f>IF(D241="na","na",Eqtn!$D$132/(D241*E241))</f>
        <v>na</v>
      </c>
      <c r="H241" s="706">
        <v>29000</v>
      </c>
      <c r="I241" s="704" t="str">
        <f>IF(D241="na","na",Eqtn!$D$174/(D241*E241))</f>
        <v>na</v>
      </c>
      <c r="K241" s="1062"/>
    </row>
    <row r="242" spans="1:11" ht="13.9" customHeight="1" x14ac:dyDescent="0.25">
      <c r="A242" s="846">
        <f>Chem!A242</f>
        <v>240</v>
      </c>
      <c r="B242" s="862" t="str">
        <f>Chem!B242</f>
        <v>Gasoline range hydrocarbons, weathered</v>
      </c>
      <c r="C242" s="552" t="str">
        <f>Param!O242</f>
        <v>na</v>
      </c>
      <c r="D242" s="552" t="str">
        <f>Param!V242</f>
        <v>na</v>
      </c>
      <c r="E242" s="670">
        <f>Param!AD242</f>
        <v>1</v>
      </c>
      <c r="F242" s="684">
        <v>1501</v>
      </c>
      <c r="G242" s="684" t="str">
        <f>IF(D242="na","na",Eqtn!$D$132/(D242*E242))</f>
        <v>na</v>
      </c>
      <c r="H242" s="694">
        <v>29001</v>
      </c>
      <c r="I242" s="132" t="str">
        <f>IF(D242="na","na",Eqtn!$D$174/(D242*E242))</f>
        <v>na</v>
      </c>
      <c r="K242" s="1062"/>
    </row>
    <row r="243" spans="1:11" ht="13.9" customHeight="1" x14ac:dyDescent="0.25">
      <c r="A243" s="846">
        <f>Chem!A243</f>
        <v>241</v>
      </c>
      <c r="B243" s="862" t="str">
        <f>Chem!B243</f>
        <v>Diesel range hydrocarbons, fresh</v>
      </c>
      <c r="C243" s="552" t="str">
        <f>Param!O243</f>
        <v>na</v>
      </c>
      <c r="D243" s="552" t="str">
        <f>Param!V243</f>
        <v>na</v>
      </c>
      <c r="E243" s="670">
        <f>Param!AD243</f>
        <v>1</v>
      </c>
      <c r="F243" s="689" t="s">
        <v>232</v>
      </c>
      <c r="G243" s="684" t="str">
        <f>IF(D243="na","na",Eqtn!$D$132/(D243*E243))</f>
        <v>na</v>
      </c>
      <c r="H243" s="694">
        <v>29000</v>
      </c>
      <c r="I243" s="132" t="str">
        <f>IF(D243="na","na",Eqtn!$D$174/(D243*E243))</f>
        <v>na</v>
      </c>
      <c r="K243" s="1062"/>
    </row>
    <row r="244" spans="1:11" ht="13.9" customHeight="1" x14ac:dyDescent="0.25">
      <c r="A244" s="846">
        <f>Chem!A244</f>
        <v>242</v>
      </c>
      <c r="B244" s="862" t="str">
        <f>Chem!B244</f>
        <v>Diesel range hydrocarbons, weathered</v>
      </c>
      <c r="C244" s="552" t="str">
        <f>Param!O244</f>
        <v>na</v>
      </c>
      <c r="D244" s="552" t="str">
        <f>Param!V244</f>
        <v>na</v>
      </c>
      <c r="E244" s="670">
        <f>Param!AD244</f>
        <v>1</v>
      </c>
      <c r="F244" s="689" t="s">
        <v>232</v>
      </c>
      <c r="G244" s="684" t="str">
        <f>IF(D244="na","na",Eqtn!$D$132/(D244*E244))</f>
        <v>na</v>
      </c>
      <c r="H244" s="694">
        <v>29000</v>
      </c>
      <c r="I244" s="132" t="str">
        <f>IF(D244="na","na",Eqtn!$D$174/(D244*E244))</f>
        <v>na</v>
      </c>
      <c r="K244" s="1062"/>
    </row>
    <row r="245" spans="1:11" ht="13.9" customHeight="1" x14ac:dyDescent="0.25">
      <c r="A245" s="846">
        <f>Chem!A245</f>
        <v>243</v>
      </c>
      <c r="B245" s="862" t="str">
        <f>Chem!B245</f>
        <v>Oil range hydrocarbons</v>
      </c>
      <c r="C245" s="552" t="str">
        <f>Param!O245</f>
        <v>na</v>
      </c>
      <c r="D245" s="552" t="str">
        <f>Param!V245</f>
        <v>na</v>
      </c>
      <c r="E245" s="670">
        <f>Param!AD245</f>
        <v>1</v>
      </c>
      <c r="F245" s="689" t="s">
        <v>232</v>
      </c>
      <c r="G245" s="684" t="str">
        <f>IF(D245="na","na",Eqtn!$D$132/(D245*E245))</f>
        <v>na</v>
      </c>
      <c r="H245" s="694">
        <v>29000</v>
      </c>
      <c r="I245" s="132" t="str">
        <f>IF(D245="na","na",Eqtn!$D$174/(D245*E245))</f>
        <v>na</v>
      </c>
      <c r="K245" s="1062"/>
    </row>
    <row r="246" spans="1:11" ht="13.9" customHeight="1" x14ac:dyDescent="0.25">
      <c r="A246" s="1661">
        <f>Chem!A246</f>
        <v>244</v>
      </c>
      <c r="B246" s="996" t="str">
        <f>Chem!B246</f>
        <v>Total diesel &amp; oil range hydrocarbons</v>
      </c>
      <c r="C246" s="997" t="str">
        <f>Param!O246</f>
        <v>na</v>
      </c>
      <c r="D246" s="997" t="str">
        <f>Param!V246</f>
        <v>na</v>
      </c>
      <c r="E246" s="998" t="str">
        <f>Param!AD246</f>
        <v>na</v>
      </c>
      <c r="F246" s="1030" t="s">
        <v>232</v>
      </c>
      <c r="G246" s="999" t="str">
        <f>IF(D246="na","na",Eqtn!$D$132/(D246*E246))</f>
        <v>na</v>
      </c>
      <c r="H246" s="1000">
        <v>29000</v>
      </c>
      <c r="I246" s="1001" t="str">
        <f>IF(D246="na","na",Eqtn!$D$174/(D246*E246))</f>
        <v>na</v>
      </c>
      <c r="K246" s="1062"/>
    </row>
    <row r="247" spans="1:11" ht="13.9" customHeight="1" x14ac:dyDescent="0.25">
      <c r="A247" s="1197">
        <f>Chem!A247</f>
        <v>245</v>
      </c>
      <c r="B247" s="850" t="str">
        <f>Chem!B247</f>
        <v>Pesticides</v>
      </c>
      <c r="C247" s="127"/>
      <c r="D247" s="127"/>
      <c r="E247" s="2363"/>
      <c r="F247" s="127"/>
      <c r="G247" s="127"/>
      <c r="H247" s="127"/>
      <c r="I247" s="2364"/>
      <c r="K247" s="1063"/>
    </row>
    <row r="248" spans="1:11" ht="13.9" customHeight="1" x14ac:dyDescent="0.25">
      <c r="A248" s="846">
        <f>Chem!A248</f>
        <v>246</v>
      </c>
      <c r="B248" s="861" t="str">
        <f>Chem!B248</f>
        <v>Aldrin</v>
      </c>
      <c r="C248" s="591">
        <f>Param!O248</f>
        <v>3.0000000000000001E-5</v>
      </c>
      <c r="D248" s="591">
        <f>Param!V248</f>
        <v>17</v>
      </c>
      <c r="E248" s="672">
        <f>Param!AD248</f>
        <v>1</v>
      </c>
      <c r="F248" s="686">
        <f>IF(C248="na","na",C248*Eqtn!$D$111/E248)</f>
        <v>2.4</v>
      </c>
      <c r="G248" s="686">
        <f>IF(D248="na","na",Eqtn!$D$132/(D248*E248))</f>
        <v>5.8823529411764705E-2</v>
      </c>
      <c r="H248" s="706">
        <f>IF(C248="na","na",C248*Eqtn!$D$153/E248)</f>
        <v>105</v>
      </c>
      <c r="I248" s="704">
        <f>IF(D248="na","na",Eqtn!$D$174/(D248*E248))</f>
        <v>7.7205882352941195</v>
      </c>
      <c r="K248" s="1062"/>
    </row>
    <row r="249" spans="1:11" ht="13.9" customHeight="1" x14ac:dyDescent="0.25">
      <c r="A249" s="846">
        <f>Chem!A249</f>
        <v>247</v>
      </c>
      <c r="B249" s="855" t="str">
        <f>Chem!B249</f>
        <v>alpha-BHC (alpha-HCH)</v>
      </c>
      <c r="C249" s="552">
        <f>Param!O249</f>
        <v>8.9999999999999998E-4</v>
      </c>
      <c r="D249" s="552">
        <f>Param!V249</f>
        <v>6.3</v>
      </c>
      <c r="E249" s="670">
        <f>Param!AD249</f>
        <v>1</v>
      </c>
      <c r="F249" s="684">
        <f>IF(C249="na","na",C249*Eqtn!$D$111/E249)</f>
        <v>72</v>
      </c>
      <c r="G249" s="684">
        <f>IF(D249="na","na",Eqtn!$D$132/(D249*E249))</f>
        <v>0.15873015873015872</v>
      </c>
      <c r="H249" s="694">
        <f>IF(C249="na","na",C249*Eqtn!$D$153/E249)</f>
        <v>3150</v>
      </c>
      <c r="I249" s="132">
        <f>IF(D249="na","na",Eqtn!$D$174/(D249*E249))</f>
        <v>20.833333333333339</v>
      </c>
      <c r="K249" s="1062"/>
    </row>
    <row r="250" spans="1:11" ht="13.9" customHeight="1" x14ac:dyDescent="0.25">
      <c r="A250" s="846">
        <f>Chem!A250</f>
        <v>248</v>
      </c>
      <c r="B250" s="855" t="str">
        <f>Chem!B250</f>
        <v>beta-BHC (beta-HCH)</v>
      </c>
      <c r="C250" s="552" t="str">
        <f>Param!O250</f>
        <v>na</v>
      </c>
      <c r="D250" s="552">
        <f>Param!V250</f>
        <v>1.8</v>
      </c>
      <c r="E250" s="670">
        <f>Param!AD250</f>
        <v>1</v>
      </c>
      <c r="F250" s="684" t="str">
        <f>IF(C250="na","na",C250*Eqtn!$D$111/E250)</f>
        <v>na</v>
      </c>
      <c r="G250" s="684">
        <f>IF(D250="na","na",Eqtn!$D$132/(D250*E250))</f>
        <v>0.55555555555555558</v>
      </c>
      <c r="H250" s="694" t="str">
        <f>IF(C250="na","na",C250*Eqtn!$D$153/E250)</f>
        <v>na</v>
      </c>
      <c r="I250" s="132">
        <f>IF(D250="na","na",Eqtn!$D$174/(D250*E250))</f>
        <v>72.916666666666686</v>
      </c>
      <c r="K250" s="1062"/>
    </row>
    <row r="251" spans="1:11" ht="13.9" customHeight="1" x14ac:dyDescent="0.25">
      <c r="A251" s="846">
        <f>Chem!A251</f>
        <v>249</v>
      </c>
      <c r="B251" s="855" t="str">
        <f>Chem!B251</f>
        <v>delta-BHC (delta-HCH)</v>
      </c>
      <c r="C251" s="552">
        <f>Param!O251</f>
        <v>5.9999999999999995E-8</v>
      </c>
      <c r="D251" s="552" t="str">
        <f>Param!V251</f>
        <v>na</v>
      </c>
      <c r="E251" s="670">
        <f>Param!AD251</f>
        <v>1</v>
      </c>
      <c r="F251" s="684">
        <f>IF(C251="na","na",C251*Eqtn!$D$111/E251)</f>
        <v>4.7999999999999996E-3</v>
      </c>
      <c r="G251" s="684" t="str">
        <f>IF(D251="na","na",Eqtn!$D$132/(D251*E251))</f>
        <v>na</v>
      </c>
      <c r="H251" s="694">
        <f>IF(C251="na","na",C251*Eqtn!$D$153/E251)</f>
        <v>0.21</v>
      </c>
      <c r="I251" s="132" t="str">
        <f>IF(D251="na","na",Eqtn!$D$174/(D251*E251))</f>
        <v>na</v>
      </c>
      <c r="K251" s="1062"/>
    </row>
    <row r="252" spans="1:11" ht="13.9" customHeight="1" x14ac:dyDescent="0.25">
      <c r="A252" s="846">
        <f>Chem!A252</f>
        <v>250</v>
      </c>
      <c r="B252" s="855" t="str">
        <f>Chem!B252</f>
        <v>Carbaryl</v>
      </c>
      <c r="C252" s="552">
        <f>Param!O252</f>
        <v>0.1</v>
      </c>
      <c r="D252" s="552" t="str">
        <f>Param!V252</f>
        <v>na</v>
      </c>
      <c r="E252" s="670">
        <f>Param!AD252</f>
        <v>1</v>
      </c>
      <c r="F252" s="684">
        <f>IF(C252="na","na",C252*Eqtn!$D$111/E252)</f>
        <v>8000</v>
      </c>
      <c r="G252" s="684" t="str">
        <f>IF(D252="na","na",Eqtn!$D$132/(D252*E252))</f>
        <v>na</v>
      </c>
      <c r="H252" s="694">
        <f>IF(C252="na","na",C252*Eqtn!$D$153/E252)</f>
        <v>350000</v>
      </c>
      <c r="I252" s="132" t="str">
        <f>IF(D252="na","na",Eqtn!$D$174/(D252*E252))</f>
        <v>na</v>
      </c>
      <c r="K252" s="1062"/>
    </row>
    <row r="253" spans="1:11" ht="13.9" customHeight="1" x14ac:dyDescent="0.25">
      <c r="A253" s="846">
        <f>Chem!A253</f>
        <v>251</v>
      </c>
      <c r="B253" s="855" t="str">
        <f>Chem!B253</f>
        <v>cis-Chlordane (alpha)</v>
      </c>
      <c r="C253" s="552">
        <f>Param!O253</f>
        <v>5.0000000000000001E-4</v>
      </c>
      <c r="D253" s="552" t="str">
        <f>Param!V253</f>
        <v>na</v>
      </c>
      <c r="E253" s="670">
        <f>Param!AD253</f>
        <v>1</v>
      </c>
      <c r="F253" s="684">
        <f>IF(C253="na","na",C253*Eqtn!$D$111/E253)</f>
        <v>40</v>
      </c>
      <c r="G253" s="684" t="str">
        <f>IF(D253="na","na",Eqtn!$D$132/(D253*E253))</f>
        <v>na</v>
      </c>
      <c r="H253" s="694">
        <f>IF(C253="na","na",C253*Eqtn!$D$153/E253)</f>
        <v>1750</v>
      </c>
      <c r="I253" s="132" t="str">
        <f>IF(D253="na","na",Eqtn!$D$174/(D253*E253))</f>
        <v>na</v>
      </c>
      <c r="K253" s="1062"/>
    </row>
    <row r="254" spans="1:11" ht="13.9" customHeight="1" x14ac:dyDescent="0.25">
      <c r="A254" s="846">
        <f>Chem!A254</f>
        <v>252</v>
      </c>
      <c r="B254" s="855" t="str">
        <f>Chem!B254</f>
        <v>trans-Chlordane (gamma)</v>
      </c>
      <c r="C254" s="552">
        <f>Param!O254</f>
        <v>5.0000000000000001E-4</v>
      </c>
      <c r="D254" s="552" t="str">
        <f>Param!V254</f>
        <v>na</v>
      </c>
      <c r="E254" s="670">
        <f>Param!AD254</f>
        <v>1</v>
      </c>
      <c r="F254" s="684">
        <f>IF(C254="na","na",C254*Eqtn!$D$111/E254)</f>
        <v>40</v>
      </c>
      <c r="G254" s="684" t="str">
        <f>IF(D254="na","na",Eqtn!$D$132/(D254*E254))</f>
        <v>na</v>
      </c>
      <c r="H254" s="694">
        <f>IF(C254="na","na",C254*Eqtn!$D$153/E254)</f>
        <v>1750</v>
      </c>
      <c r="I254" s="132" t="str">
        <f>IF(D254="na","na",Eqtn!$D$174/(D254*E254))</f>
        <v>na</v>
      </c>
      <c r="K254" s="1062"/>
    </row>
    <row r="255" spans="1:11" ht="13.9" customHeight="1" x14ac:dyDescent="0.25">
      <c r="A255" s="846">
        <f>Chem!A255</f>
        <v>253</v>
      </c>
      <c r="B255" s="855" t="str">
        <f>Chem!B255</f>
        <v>Chlordane</v>
      </c>
      <c r="C255" s="552">
        <f>Param!O255</f>
        <v>5.0000000000000001E-4</v>
      </c>
      <c r="D255" s="552">
        <f>Param!V255</f>
        <v>0.35</v>
      </c>
      <c r="E255" s="670">
        <f>Param!AD255</f>
        <v>1</v>
      </c>
      <c r="F255" s="684">
        <f>IF(C255="na","na",C255*Eqtn!$D$111/E255)</f>
        <v>40</v>
      </c>
      <c r="G255" s="684">
        <f>IF(D255="na","na",Eqtn!$D$132/(D255*E255))</f>
        <v>2.8571428571428572</v>
      </c>
      <c r="H255" s="694">
        <f>IF(C255="na","na",C255*Eqtn!$D$153/E255)</f>
        <v>1750</v>
      </c>
      <c r="I255" s="132">
        <f>IF(D255="na","na",Eqtn!$D$174/(D255*E255))</f>
        <v>375.00000000000011</v>
      </c>
      <c r="K255" s="1062"/>
    </row>
    <row r="256" spans="1:11" ht="13.9" customHeight="1" x14ac:dyDescent="0.25">
      <c r="A256" s="846">
        <f>Chem!A256</f>
        <v>254</v>
      </c>
      <c r="B256" s="855" t="str">
        <f>Chem!B256</f>
        <v>Chlorpyrifos</v>
      </c>
      <c r="C256" s="552">
        <f>Param!O256</f>
        <v>1E-3</v>
      </c>
      <c r="D256" s="552" t="str">
        <f>Param!V256</f>
        <v>na</v>
      </c>
      <c r="E256" s="670">
        <f>Param!AD256</f>
        <v>1</v>
      </c>
      <c r="F256" s="684">
        <f>IF(C256="na","na",C256*Eqtn!$D$111/E256)</f>
        <v>80</v>
      </c>
      <c r="G256" s="684" t="str">
        <f>IF(D256="na","na",Eqtn!$D$132/(D256*E256))</f>
        <v>na</v>
      </c>
      <c r="H256" s="694">
        <f>IF(C256="na","na",C256*Eqtn!$D$153/E256)</f>
        <v>3500</v>
      </c>
      <c r="I256" s="132" t="str">
        <f>IF(D256="na","na",Eqtn!$D$174/(D256*E256))</f>
        <v>na</v>
      </c>
      <c r="K256" s="1062"/>
    </row>
    <row r="257" spans="1:11" ht="13.9" customHeight="1" x14ac:dyDescent="0.25">
      <c r="A257" s="846">
        <f>Chem!A257</f>
        <v>255</v>
      </c>
      <c r="B257" s="855" t="str">
        <f>Chem!B257</f>
        <v>4,4'-DDD</v>
      </c>
      <c r="C257" s="552">
        <f>Param!O257</f>
        <v>5.0000000000000001E-4</v>
      </c>
      <c r="D257" s="552">
        <f>Param!V257</f>
        <v>0.24</v>
      </c>
      <c r="E257" s="670">
        <f>Param!AD257</f>
        <v>1</v>
      </c>
      <c r="F257" s="684">
        <f>IF(C257="na","na",C257*Eqtn!$D$111/E257)</f>
        <v>40</v>
      </c>
      <c r="G257" s="684">
        <f>IF(D257="na","na",Eqtn!$D$132/(D257*E257))</f>
        <v>4.166666666666667</v>
      </c>
      <c r="H257" s="694">
        <f>IF(C257="na","na",C257*Eqtn!$D$153/E257)</f>
        <v>1750</v>
      </c>
      <c r="I257" s="132">
        <f>IF(D257="na","na",Eqtn!$D$174/(D257*E257))</f>
        <v>546.87500000000011</v>
      </c>
      <c r="K257" s="1062"/>
    </row>
    <row r="258" spans="1:11" ht="13.9" customHeight="1" x14ac:dyDescent="0.25">
      <c r="A258" s="846">
        <f>Chem!A258</f>
        <v>256</v>
      </c>
      <c r="B258" s="855" t="str">
        <f>Chem!B258</f>
        <v>4,4'-DDE</v>
      </c>
      <c r="C258" s="552">
        <f>Param!O258</f>
        <v>5.0000000000000001E-4</v>
      </c>
      <c r="D258" s="552">
        <f>Param!V258</f>
        <v>0.34</v>
      </c>
      <c r="E258" s="670">
        <f>Param!AD258</f>
        <v>1</v>
      </c>
      <c r="F258" s="684">
        <f>IF(C258="na","na",C258*Eqtn!$D$111/E258)</f>
        <v>40</v>
      </c>
      <c r="G258" s="684">
        <f>IF(D258="na","na",Eqtn!$D$132/(D258*E258))</f>
        <v>2.9411764705882351</v>
      </c>
      <c r="H258" s="694">
        <f>IF(C258="na","na",C258*Eqtn!$D$153/E258)</f>
        <v>1750</v>
      </c>
      <c r="I258" s="132">
        <f>IF(D258="na","na",Eqtn!$D$174/(D258*E258))</f>
        <v>386.02941176470591</v>
      </c>
      <c r="K258" s="1062"/>
    </row>
    <row r="259" spans="1:11" ht="13.9" customHeight="1" x14ac:dyDescent="0.25">
      <c r="A259" s="846">
        <f>Chem!A259</f>
        <v>257</v>
      </c>
      <c r="B259" s="855" t="str">
        <f>Chem!B259</f>
        <v>4,4'-DDT</v>
      </c>
      <c r="C259" s="552">
        <f>Param!O259</f>
        <v>5.0000000000000001E-4</v>
      </c>
      <c r="D259" s="552">
        <f>Param!V259</f>
        <v>0.34</v>
      </c>
      <c r="E259" s="670">
        <f>Param!AD259</f>
        <v>1</v>
      </c>
      <c r="F259" s="684">
        <f>IF(C259="na","na",C259*Eqtn!$D$111/E259)</f>
        <v>40</v>
      </c>
      <c r="G259" s="684">
        <f>IF(D259="na","na",Eqtn!$D$132/(D259*E259))</f>
        <v>2.9411764705882351</v>
      </c>
      <c r="H259" s="694">
        <f>IF(C259="na","na",C259*Eqtn!$D$153/E259)</f>
        <v>1750</v>
      </c>
      <c r="I259" s="132">
        <f>IF(D259="na","na",Eqtn!$D$174/(D259*E259))</f>
        <v>386.02941176470591</v>
      </c>
      <c r="K259" s="1062"/>
    </row>
    <row r="260" spans="1:11" ht="13.9" customHeight="1" x14ac:dyDescent="0.25">
      <c r="A260" s="846">
        <f>Chem!A260</f>
        <v>258</v>
      </c>
      <c r="B260" s="855" t="str">
        <f>Chem!B260</f>
        <v xml:space="preserve">Total DDD </v>
      </c>
      <c r="C260" s="552">
        <f>Param!O260</f>
        <v>5.0000000000000001E-4</v>
      </c>
      <c r="D260" s="552">
        <f>Param!V260</f>
        <v>0.24</v>
      </c>
      <c r="E260" s="670">
        <f>Param!AD260</f>
        <v>1</v>
      </c>
      <c r="F260" s="684">
        <f>IF(C260="na","na",C260*Eqtn!$D$111/E260)</f>
        <v>40</v>
      </c>
      <c r="G260" s="684">
        <f>IF(D260="na","na",Eqtn!$D$132/(D260*E260))</f>
        <v>4.166666666666667</v>
      </c>
      <c r="H260" s="694">
        <f>IF(C260="na","na",C260*Eqtn!$D$153/E260)</f>
        <v>1750</v>
      </c>
      <c r="I260" s="132">
        <f>IF(D260="na","na",Eqtn!$D$174/(D260*E260))</f>
        <v>546.87500000000011</v>
      </c>
      <c r="K260" s="1062"/>
    </row>
    <row r="261" spans="1:11" ht="13.9" customHeight="1" x14ac:dyDescent="0.25">
      <c r="A261" s="846">
        <f>Chem!A261</f>
        <v>259</v>
      </c>
      <c r="B261" s="855" t="str">
        <f>Chem!B261</f>
        <v>Total DDE</v>
      </c>
      <c r="C261" s="552">
        <f>Param!O261</f>
        <v>5.0000000000000001E-4</v>
      </c>
      <c r="D261" s="552">
        <f>Param!V261</f>
        <v>0.34</v>
      </c>
      <c r="E261" s="670">
        <f>Param!AD261</f>
        <v>1</v>
      </c>
      <c r="F261" s="684">
        <f>IF(C261="na","na",C261*Eqtn!$D$111/E261)</f>
        <v>40</v>
      </c>
      <c r="G261" s="684">
        <f>IF(D261="na","na",Eqtn!$D$132/(D261*E261))</f>
        <v>2.9411764705882351</v>
      </c>
      <c r="H261" s="694">
        <f>IF(C261="na","na",C261*Eqtn!$D$153/E261)</f>
        <v>1750</v>
      </c>
      <c r="I261" s="132">
        <f>IF(D261="na","na",Eqtn!$D$174/(D261*E261))</f>
        <v>386.02941176470591</v>
      </c>
      <c r="K261" s="1062"/>
    </row>
    <row r="262" spans="1:11" ht="13.9" customHeight="1" x14ac:dyDescent="0.25">
      <c r="A262" s="846">
        <f>Chem!A262</f>
        <v>260</v>
      </c>
      <c r="B262" s="855" t="str">
        <f>Chem!B262</f>
        <v>Total DDT</v>
      </c>
      <c r="C262" s="552">
        <f>Param!O262</f>
        <v>5.0000000000000001E-4</v>
      </c>
      <c r="D262" s="552">
        <f>Param!V262</f>
        <v>0.34</v>
      </c>
      <c r="E262" s="670">
        <f>Param!AD262</f>
        <v>1</v>
      </c>
      <c r="F262" s="684">
        <f>IF(C262="na","na",C262*Eqtn!$D$111/E262)</f>
        <v>40</v>
      </c>
      <c r="G262" s="684">
        <f>IF(D262="na","na",Eqtn!$D$132/(D262*E262))</f>
        <v>2.9411764705882351</v>
      </c>
      <c r="H262" s="694">
        <f>IF(C262="na","na",C262*Eqtn!$D$153/E262)</f>
        <v>1750</v>
      </c>
      <c r="I262" s="132">
        <f>IF(D262="na","na",Eqtn!$D$174/(D262*E262))</f>
        <v>386.02941176470591</v>
      </c>
      <c r="K262" s="1062"/>
    </row>
    <row r="263" spans="1:11" ht="13.9" customHeight="1" x14ac:dyDescent="0.25">
      <c r="A263" s="846">
        <f>Chem!A263</f>
        <v>261</v>
      </c>
      <c r="B263" s="855" t="str">
        <f>Chem!B263</f>
        <v>Diazinon</v>
      </c>
      <c r="C263" s="552">
        <f>Param!O263</f>
        <v>6.9999999999999999E-4</v>
      </c>
      <c r="D263" s="552" t="str">
        <f>Param!V263</f>
        <v>na</v>
      </c>
      <c r="E263" s="670">
        <f>Param!AD263</f>
        <v>1</v>
      </c>
      <c r="F263" s="684">
        <f>IF(C263="na","na",C263*Eqtn!$D$111/E263)</f>
        <v>56</v>
      </c>
      <c r="G263" s="684" t="str">
        <f>IF(D263="na","na",Eqtn!$D$132/(D263*E263))</f>
        <v>na</v>
      </c>
      <c r="H263" s="694">
        <f>IF(C263="na","na",C263*Eqtn!$D$153/E263)</f>
        <v>2450</v>
      </c>
      <c r="I263" s="132" t="str">
        <f>IF(D263="na","na",Eqtn!$D$174/(D263*E263))</f>
        <v>na</v>
      </c>
      <c r="K263" s="1062"/>
    </row>
    <row r="264" spans="1:11" ht="13.9" customHeight="1" x14ac:dyDescent="0.25">
      <c r="A264" s="846">
        <f>Chem!A264</f>
        <v>262</v>
      </c>
      <c r="B264" s="855" t="str">
        <f>Chem!B264</f>
        <v>Dieldrin</v>
      </c>
      <c r="C264" s="552">
        <f>Param!O264</f>
        <v>5.0000000000000002E-5</v>
      </c>
      <c r="D264" s="552">
        <f>Param!V264</f>
        <v>16</v>
      </c>
      <c r="E264" s="670">
        <f>Param!AD264</f>
        <v>1</v>
      </c>
      <c r="F264" s="684">
        <f>IF(C264="na","na",C264*Eqtn!$D$111/E264)</f>
        <v>4</v>
      </c>
      <c r="G264" s="684">
        <f>IF(D264="na","na",Eqtn!$D$132/(D264*E264))</f>
        <v>6.25E-2</v>
      </c>
      <c r="H264" s="694">
        <f>IF(C264="na","na",C264*Eqtn!$D$153/E264)</f>
        <v>175</v>
      </c>
      <c r="I264" s="132">
        <f>IF(D264="na","na",Eqtn!$D$174/(D264*E264))</f>
        <v>8.2031250000000018</v>
      </c>
      <c r="K264" s="1062"/>
    </row>
    <row r="265" spans="1:11" ht="13.9" customHeight="1" x14ac:dyDescent="0.25">
      <c r="A265" s="846">
        <f>Chem!A265</f>
        <v>263</v>
      </c>
      <c r="B265" s="855" t="str">
        <f>Chem!B265</f>
        <v>alpha-Endosulfan</v>
      </c>
      <c r="C265" s="552" t="str">
        <f>Param!O265</f>
        <v>na</v>
      </c>
      <c r="D265" s="552" t="str">
        <f>Param!V265</f>
        <v>na</v>
      </c>
      <c r="E265" s="670">
        <f>Param!AD265</f>
        <v>1</v>
      </c>
      <c r="F265" s="684" t="str">
        <f>IF(C265="na","na",C265*Eqtn!$D$111/E265)</f>
        <v>na</v>
      </c>
      <c r="G265" s="684" t="str">
        <f>IF(D265="na","na",Eqtn!$D$132/(D265*E265))</f>
        <v>na</v>
      </c>
      <c r="H265" s="694" t="str">
        <f>IF(C265="na","na",C265*Eqtn!$D$153/E265)</f>
        <v>na</v>
      </c>
      <c r="I265" s="132" t="str">
        <f>IF(D265="na","na",Eqtn!$D$174/(D265*E265))</f>
        <v>na</v>
      </c>
      <c r="K265" s="1062"/>
    </row>
    <row r="266" spans="1:11" ht="13.9" customHeight="1" x14ac:dyDescent="0.25">
      <c r="A266" s="846">
        <f>Chem!A266</f>
        <v>264</v>
      </c>
      <c r="B266" s="855" t="str">
        <f>Chem!B266</f>
        <v>beta-Endosulfan</v>
      </c>
      <c r="C266" s="552" t="str">
        <f>Param!O266</f>
        <v>na</v>
      </c>
      <c r="D266" s="552" t="str">
        <f>Param!V266</f>
        <v>na</v>
      </c>
      <c r="E266" s="670">
        <f>Param!AD266</f>
        <v>1</v>
      </c>
      <c r="F266" s="684" t="str">
        <f>IF(C266="na","na",C266*Eqtn!$D$111/E266)</f>
        <v>na</v>
      </c>
      <c r="G266" s="684" t="str">
        <f>IF(D266="na","na",Eqtn!$D$132/(D266*E266))</f>
        <v>na</v>
      </c>
      <c r="H266" s="694" t="str">
        <f>IF(C266="na","na",C266*Eqtn!$D$153/E266)</f>
        <v>na</v>
      </c>
      <c r="I266" s="132" t="str">
        <f>IF(D266="na","na",Eqtn!$D$174/(D266*E266))</f>
        <v>na</v>
      </c>
      <c r="K266" s="1062"/>
    </row>
    <row r="267" spans="1:11" ht="13.9" customHeight="1" x14ac:dyDescent="0.25">
      <c r="A267" s="846">
        <f>Chem!A267</f>
        <v>265</v>
      </c>
      <c r="B267" s="855" t="str">
        <f>Chem!B267</f>
        <v>Sum of alpha and beta endosuflan</v>
      </c>
      <c r="C267" s="552">
        <f>Param!O267</f>
        <v>6.0000000000000001E-3</v>
      </c>
      <c r="D267" s="552" t="str">
        <f>Param!V267</f>
        <v>na</v>
      </c>
      <c r="E267" s="670">
        <f>Param!AD267</f>
        <v>1</v>
      </c>
      <c r="F267" s="684">
        <f>IF(C267="na","na",C267*Eqtn!$D$111/E267)</f>
        <v>480</v>
      </c>
      <c r="G267" s="684" t="str">
        <f>IF(D267="na","na",Eqtn!$D$132/(D267*E267))</f>
        <v>na</v>
      </c>
      <c r="H267" s="694">
        <f>IF(C267="na","na",C267*Eqtn!$D$153/E267)</f>
        <v>21000</v>
      </c>
      <c r="I267" s="132" t="str">
        <f>IF(D267="na","na",Eqtn!$D$174/(D267*E267))</f>
        <v>na</v>
      </c>
      <c r="K267" s="1062"/>
    </row>
    <row r="268" spans="1:11" ht="13.9" customHeight="1" x14ac:dyDescent="0.25">
      <c r="A268" s="846">
        <f>Chem!A268</f>
        <v>266</v>
      </c>
      <c r="B268" s="855" t="str">
        <f>Chem!B268</f>
        <v>Endosulfan sulfate</v>
      </c>
      <c r="C268" s="552">
        <f>Param!O268</f>
        <v>6.0000000000000001E-3</v>
      </c>
      <c r="D268" s="552" t="str">
        <f>Param!V268</f>
        <v>na</v>
      </c>
      <c r="E268" s="670">
        <f>Param!AD268</f>
        <v>1</v>
      </c>
      <c r="F268" s="684">
        <f>IF(C268="na","na",C268*Eqtn!$D$111/E268)</f>
        <v>480</v>
      </c>
      <c r="G268" s="684" t="str">
        <f>IF(D268="na","na",Eqtn!$D$132/(D268*E268))</f>
        <v>na</v>
      </c>
      <c r="H268" s="694">
        <f>IF(C268="na","na",C268*Eqtn!$D$153/E268)</f>
        <v>21000</v>
      </c>
      <c r="I268" s="132" t="str">
        <f>IF(D268="na","na",Eqtn!$D$174/(D268*E268))</f>
        <v>na</v>
      </c>
      <c r="K268" s="1062"/>
    </row>
    <row r="269" spans="1:11" ht="13.9" customHeight="1" x14ac:dyDescent="0.25">
      <c r="A269" s="846">
        <f>Chem!A269</f>
        <v>267</v>
      </c>
      <c r="B269" s="855" t="str">
        <f>Chem!B269</f>
        <v>Sum of alpha, beta, and endosulfan sulfate</v>
      </c>
      <c r="C269" s="552">
        <f>Param!O269</f>
        <v>6.0000000000000001E-3</v>
      </c>
      <c r="D269" s="552" t="str">
        <f>Param!V269</f>
        <v>na</v>
      </c>
      <c r="E269" s="670">
        <f>Param!AD269</f>
        <v>1</v>
      </c>
      <c r="F269" s="684">
        <f>IF(C269="na","na",C269*Eqtn!$D$111/E269)</f>
        <v>480</v>
      </c>
      <c r="G269" s="684" t="str">
        <f>IF(D269="na","na",Eqtn!$D$132/(D269*E269))</f>
        <v>na</v>
      </c>
      <c r="H269" s="694">
        <f>IF(C269="na","na",C269*Eqtn!$D$153/E269)</f>
        <v>21000</v>
      </c>
      <c r="I269" s="132" t="str">
        <f>IF(D269="na","na",Eqtn!$D$174/(D269*E269))</f>
        <v>na</v>
      </c>
      <c r="K269" s="1062"/>
    </row>
    <row r="270" spans="1:11" ht="13.9" customHeight="1" x14ac:dyDescent="0.25">
      <c r="A270" s="846">
        <f>Chem!A270</f>
        <v>268</v>
      </c>
      <c r="B270" s="855" t="str">
        <f>Chem!B270</f>
        <v>Endrin</v>
      </c>
      <c r="C270" s="552">
        <f>Param!O270</f>
        <v>2.9999999999999997E-4</v>
      </c>
      <c r="D270" s="552" t="str">
        <f>Param!V270</f>
        <v>na</v>
      </c>
      <c r="E270" s="670">
        <f>Param!AD270</f>
        <v>1</v>
      </c>
      <c r="F270" s="684">
        <f>IF(C270="na","na",C270*Eqtn!$D$111/E270)</f>
        <v>23.999999999999996</v>
      </c>
      <c r="G270" s="684" t="str">
        <f>IF(D270="na","na",Eqtn!$D$132/(D270*E270))</f>
        <v>na</v>
      </c>
      <c r="H270" s="694">
        <f>IF(C270="na","na",C270*Eqtn!$D$153/E270)</f>
        <v>1050</v>
      </c>
      <c r="I270" s="132" t="str">
        <f>IF(D270="na","na",Eqtn!$D$174/(D270*E270))</f>
        <v>na</v>
      </c>
      <c r="K270" s="1062"/>
    </row>
    <row r="271" spans="1:11" ht="13.9" customHeight="1" x14ac:dyDescent="0.25">
      <c r="A271" s="846">
        <f>Chem!A271</f>
        <v>269</v>
      </c>
      <c r="B271" s="855" t="str">
        <f>Chem!B271</f>
        <v>Endrin aldehyde</v>
      </c>
      <c r="C271" s="552" t="str">
        <f>Param!O271</f>
        <v>na</v>
      </c>
      <c r="D271" s="552" t="str">
        <f>Param!V271</f>
        <v>na</v>
      </c>
      <c r="E271" s="670">
        <f>Param!AD271</f>
        <v>1</v>
      </c>
      <c r="F271" s="684" t="str">
        <f>IF(C271="na","na",C271*Eqtn!$D$111/E271)</f>
        <v>na</v>
      </c>
      <c r="G271" s="684" t="str">
        <f>IF(D271="na","na",Eqtn!$D$132/(D271*E271))</f>
        <v>na</v>
      </c>
      <c r="H271" s="694" t="str">
        <f>IF(C271="na","na",C271*Eqtn!$D$153/E271)</f>
        <v>na</v>
      </c>
      <c r="I271" s="132" t="str">
        <f>IF(D271="na","na",Eqtn!$D$174/(D271*E271))</f>
        <v>na</v>
      </c>
      <c r="K271" s="1062"/>
    </row>
    <row r="272" spans="1:11" ht="13.9" customHeight="1" x14ac:dyDescent="0.25">
      <c r="A272" s="846">
        <f>Chem!A272</f>
        <v>270</v>
      </c>
      <c r="B272" s="855" t="str">
        <f>Chem!B272</f>
        <v>Endrin ketone</v>
      </c>
      <c r="C272" s="552" t="str">
        <f>Param!O272</f>
        <v>na</v>
      </c>
      <c r="D272" s="552" t="str">
        <f>Param!V272</f>
        <v>na</v>
      </c>
      <c r="E272" s="670" t="str">
        <f>Param!AD272</f>
        <v>na</v>
      </c>
      <c r="F272" s="684" t="str">
        <f>IF(C272="na","na",C272*Eqtn!$D$111/E272)</f>
        <v>na</v>
      </c>
      <c r="G272" s="684" t="str">
        <f>IF(D272="na","na",Eqtn!$D$132/(D272*E272))</f>
        <v>na</v>
      </c>
      <c r="H272" s="694" t="str">
        <f>IF(C272="na","na",C272*Eqtn!$D$153/E272)</f>
        <v>na</v>
      </c>
      <c r="I272" s="132" t="str">
        <f>IF(D272="na","na",Eqtn!$D$174/(D272*E272))</f>
        <v>na</v>
      </c>
      <c r="K272" s="1062"/>
    </row>
    <row r="273" spans="1:11" ht="13.9" customHeight="1" x14ac:dyDescent="0.25">
      <c r="A273" s="846">
        <f>Chem!A273</f>
        <v>271</v>
      </c>
      <c r="B273" s="855" t="str">
        <f>Chem!B273</f>
        <v>Heptachlor</v>
      </c>
      <c r="C273" s="552">
        <f>Param!O273</f>
        <v>5.0000000000000001E-4</v>
      </c>
      <c r="D273" s="552">
        <f>Param!V273</f>
        <v>4.5</v>
      </c>
      <c r="E273" s="670">
        <f>Param!AD273</f>
        <v>1</v>
      </c>
      <c r="F273" s="684">
        <f>IF(C273="na","na",C273*Eqtn!$D$111/E273)</f>
        <v>40</v>
      </c>
      <c r="G273" s="684">
        <f>IF(D273="na","na",Eqtn!$D$132/(D273*E273))</f>
        <v>0.22222222222222221</v>
      </c>
      <c r="H273" s="694">
        <f>IF(C273="na","na",C273*Eqtn!$D$153/E273)</f>
        <v>1750</v>
      </c>
      <c r="I273" s="132">
        <f>IF(D273="na","na",Eqtn!$D$174/(D273*E273))</f>
        <v>29.166666666666671</v>
      </c>
      <c r="K273" s="1062"/>
    </row>
    <row r="274" spans="1:11" ht="13.9" customHeight="1" x14ac:dyDescent="0.25">
      <c r="A274" s="846">
        <f>Chem!A274</f>
        <v>272</v>
      </c>
      <c r="B274" s="855" t="str">
        <f>Chem!B274</f>
        <v>Heptachlor epoxide</v>
      </c>
      <c r="C274" s="552">
        <f>Param!O274</f>
        <v>1.2999999999999999E-5</v>
      </c>
      <c r="D274" s="552">
        <f>Param!V274</f>
        <v>9.1</v>
      </c>
      <c r="E274" s="670">
        <f>Param!AD274</f>
        <v>1</v>
      </c>
      <c r="F274" s="684">
        <f>IF(C274="na","na",C274*Eqtn!$D$111/E274)</f>
        <v>1.04</v>
      </c>
      <c r="G274" s="684">
        <f>IF(D274="na","na",Eqtn!$D$132/(D274*E274))</f>
        <v>0.10989010989010989</v>
      </c>
      <c r="H274" s="694">
        <f>IF(C274="na","na",C274*Eqtn!$D$153/E274)</f>
        <v>45.5</v>
      </c>
      <c r="I274" s="132">
        <f>IF(D274="na","na",Eqtn!$D$174/(D274*E274))</f>
        <v>14.423076923076927</v>
      </c>
      <c r="K274" s="1062"/>
    </row>
    <row r="275" spans="1:11" ht="13.9" customHeight="1" x14ac:dyDescent="0.25">
      <c r="A275" s="846">
        <f>Chem!A275</f>
        <v>273</v>
      </c>
      <c r="B275" s="855" t="str">
        <f>Chem!B275</f>
        <v>Lindane (gamma-BHC)</v>
      </c>
      <c r="C275" s="552">
        <f>Param!O275</f>
        <v>2.9999999999999997E-4</v>
      </c>
      <c r="D275" s="552">
        <f>Param!V275</f>
        <v>1.1000000000000001</v>
      </c>
      <c r="E275" s="670">
        <f>Param!AD275</f>
        <v>1</v>
      </c>
      <c r="F275" s="684">
        <f>IF(C275="na","na",C275*Eqtn!$D$111/E275)</f>
        <v>23.999999999999996</v>
      </c>
      <c r="G275" s="684">
        <f>IF(D275="na","na",Eqtn!$D$132/(D275*E275))</f>
        <v>0.90909090909090906</v>
      </c>
      <c r="H275" s="694">
        <f>IF(C275="na","na",C275*Eqtn!$D$153/E275)</f>
        <v>1050</v>
      </c>
      <c r="I275" s="132">
        <f>IF(D275="na","na",Eqtn!$D$174/(D275*E275))</f>
        <v>119.31818181818184</v>
      </c>
      <c r="K275" s="1062"/>
    </row>
    <row r="276" spans="1:11" ht="13.9" customHeight="1" x14ac:dyDescent="0.25">
      <c r="A276" s="846">
        <f>Chem!A276</f>
        <v>274</v>
      </c>
      <c r="B276" s="855" t="str">
        <f>Chem!B276</f>
        <v>Malathion</v>
      </c>
      <c r="C276" s="552">
        <f>Param!O276</f>
        <v>0.02</v>
      </c>
      <c r="D276" s="552" t="str">
        <f>Param!V276</f>
        <v>na</v>
      </c>
      <c r="E276" s="670">
        <f>Param!AD276</f>
        <v>1</v>
      </c>
      <c r="F276" s="684">
        <f>IF(C276="na","na",C276*Eqtn!$D$111/E276)</f>
        <v>1600</v>
      </c>
      <c r="G276" s="684" t="str">
        <f>IF(D276="na","na",Eqtn!$D$132/(D276*E276))</f>
        <v>na</v>
      </c>
      <c r="H276" s="694">
        <f>IF(C276="na","na",C276*Eqtn!$D$153/E276)</f>
        <v>70000</v>
      </c>
      <c r="I276" s="132" t="str">
        <f>IF(D276="na","na",Eqtn!$D$174/(D276*E276))</f>
        <v>na</v>
      </c>
      <c r="K276" s="1062"/>
    </row>
    <row r="277" spans="1:11" ht="13.9" customHeight="1" x14ac:dyDescent="0.25">
      <c r="A277" s="846">
        <f>Chem!A277</f>
        <v>275</v>
      </c>
      <c r="B277" s="855" t="str">
        <f>Chem!B277</f>
        <v>Methoxychlor</v>
      </c>
      <c r="C277" s="552">
        <f>Param!O277</f>
        <v>5.0000000000000001E-3</v>
      </c>
      <c r="D277" s="552" t="str">
        <f>Param!V277</f>
        <v>na</v>
      </c>
      <c r="E277" s="670">
        <f>Param!AD277</f>
        <v>1</v>
      </c>
      <c r="F277" s="684">
        <f>IF(C277="na","na",C277*Eqtn!$D$111/E277)</f>
        <v>400</v>
      </c>
      <c r="G277" s="684" t="str">
        <f>IF(D277="na","na",Eqtn!$D$132/(D277*E277))</f>
        <v>na</v>
      </c>
      <c r="H277" s="694">
        <f>IF(C277="na","na",C277*Eqtn!$D$153/E277)</f>
        <v>17500</v>
      </c>
      <c r="I277" s="132" t="str">
        <f>IF(D277="na","na",Eqtn!$D$174/(D277*E277))</f>
        <v>na</v>
      </c>
      <c r="K277" s="1062"/>
    </row>
    <row r="278" spans="1:11" ht="13.9" customHeight="1" x14ac:dyDescent="0.25">
      <c r="A278" s="846">
        <f>Chem!A278</f>
        <v>276</v>
      </c>
      <c r="B278" s="855" t="str">
        <f>Chem!B278</f>
        <v>Mirex</v>
      </c>
      <c r="C278" s="552">
        <f>Param!O278</f>
        <v>2.0000000000000001E-4</v>
      </c>
      <c r="D278" s="552">
        <f>Param!V278</f>
        <v>18</v>
      </c>
      <c r="E278" s="670">
        <f>Param!AD278</f>
        <v>1</v>
      </c>
      <c r="F278" s="684">
        <f>IF(C278="na","na",C278*Eqtn!$D$111/E278)</f>
        <v>16</v>
      </c>
      <c r="G278" s="684">
        <f>IF(D278="na","na",Eqtn!$D$132/(D278*E278))</f>
        <v>5.5555555555555552E-2</v>
      </c>
      <c r="H278" s="694">
        <f>IF(C278="na","na",C278*Eqtn!$D$153/E278)</f>
        <v>700</v>
      </c>
      <c r="I278" s="132">
        <f>IF(D278="na","na",Eqtn!$D$174/(D278*E278))</f>
        <v>7.2916666666666679</v>
      </c>
      <c r="K278" s="1062"/>
    </row>
    <row r="279" spans="1:11" ht="13.9" customHeight="1" x14ac:dyDescent="0.25">
      <c r="A279" s="846">
        <f>Chem!A279</f>
        <v>277</v>
      </c>
      <c r="B279" s="855" t="str">
        <f>Chem!B279</f>
        <v>Nonachlor</v>
      </c>
      <c r="C279" s="552" t="str">
        <f>Param!O279</f>
        <v>na</v>
      </c>
      <c r="D279" s="552" t="str">
        <f>Param!V279</f>
        <v>na</v>
      </c>
      <c r="E279" s="670" t="str">
        <f>Param!AD279</f>
        <v>na</v>
      </c>
      <c r="F279" s="684" t="str">
        <f>IF(C279="na","na",C279*Eqtn!$D$111/E279)</f>
        <v>na</v>
      </c>
      <c r="G279" s="684" t="str">
        <f>IF(D279="na","na",Eqtn!$D$132/(D279*E279))</f>
        <v>na</v>
      </c>
      <c r="H279" s="694" t="str">
        <f>IF(C279="na","na",C279*Eqtn!$D$153/E279)</f>
        <v>na</v>
      </c>
      <c r="I279" s="132" t="str">
        <f>IF(D279="na","na",Eqtn!$D$174/(D279*E279))</f>
        <v>na</v>
      </c>
      <c r="K279" s="1062"/>
    </row>
    <row r="280" spans="1:11" ht="13.9" customHeight="1" x14ac:dyDescent="0.25">
      <c r="A280" s="1661">
        <f>Chem!A280</f>
        <v>278</v>
      </c>
      <c r="B280" s="885" t="str">
        <f>Chem!B280</f>
        <v>Toxaphene</v>
      </c>
      <c r="C280" s="589">
        <f>Param!O280</f>
        <v>9.0000000000000006E-5</v>
      </c>
      <c r="D280" s="589">
        <f>Param!V280</f>
        <v>1.1000000000000001</v>
      </c>
      <c r="E280" s="671">
        <f>Param!AD280</f>
        <v>1</v>
      </c>
      <c r="F280" s="685">
        <f>IF(C280="na","na",C280*Eqtn!$D$111/E280)</f>
        <v>7.2</v>
      </c>
      <c r="G280" s="685">
        <f>IF(D280="na","na",Eqtn!$D$132/(D280*E280))</f>
        <v>0.90909090909090906</v>
      </c>
      <c r="H280" s="707">
        <f>IF(C280="na","na",C280*Eqtn!$D$153/E280)</f>
        <v>315</v>
      </c>
      <c r="I280" s="702">
        <f>IF(D280="na","na",Eqtn!$D$174/(D280*E280))</f>
        <v>119.31818181818184</v>
      </c>
      <c r="K280" s="1137"/>
    </row>
    <row r="281" spans="1:11" ht="13.9" customHeight="1" x14ac:dyDescent="0.25">
      <c r="A281" s="1197">
        <f>Chem!A281</f>
        <v>279</v>
      </c>
      <c r="B281" s="1138" t="str">
        <f>Chem!B281</f>
        <v>Herbicides</v>
      </c>
      <c r="C281" s="127"/>
      <c r="D281" s="127"/>
      <c r="E281" s="2363"/>
      <c r="F281" s="127"/>
      <c r="G281" s="127"/>
      <c r="H281" s="127"/>
      <c r="I281" s="2364"/>
      <c r="K281" s="1063"/>
    </row>
    <row r="282" spans="1:11" ht="13.9" customHeight="1" x14ac:dyDescent="0.25">
      <c r="A282" s="846">
        <f>Chem!A282</f>
        <v>280</v>
      </c>
      <c r="B282" s="1695" t="str">
        <f>Chem!B282</f>
        <v>2,4-Dichlorophenoxyacetic acid (2,4-D)</v>
      </c>
      <c r="C282" s="911">
        <f>Param!O282</f>
        <v>0.01</v>
      </c>
      <c r="D282" s="591" t="str">
        <f>Param!V282</f>
        <v>na</v>
      </c>
      <c r="E282" s="1139">
        <f>Param!AD282</f>
        <v>1</v>
      </c>
      <c r="F282" s="607">
        <f>IF(C282="na","na",C282*Eqtn!$D$111/E282)</f>
        <v>800</v>
      </c>
      <c r="G282" s="607" t="str">
        <f>IF(D282="na","na",Eqtn!$D$132/(D282*E282))</f>
        <v>na</v>
      </c>
      <c r="H282" s="1229">
        <f>IF(C282="na","na",C282*Eqtn!$D$153/E282)</f>
        <v>35000</v>
      </c>
      <c r="I282" s="704" t="str">
        <f>IF(D282="na","na",Eqtn!$D$174/(D282*E282))</f>
        <v>na</v>
      </c>
      <c r="K282" s="1062"/>
    </row>
    <row r="283" spans="1:11" ht="13.9" customHeight="1" x14ac:dyDescent="0.25">
      <c r="A283" s="846">
        <f>Chem!A283</f>
        <v>281</v>
      </c>
      <c r="B283" s="1696" t="str">
        <f>Chem!B283</f>
        <v>4-(2,4-Dichlorophenoxy)butanoic acid 2,4-DB</v>
      </c>
      <c r="C283" s="909" t="str">
        <f>Param!O283</f>
        <v>na</v>
      </c>
      <c r="D283" s="552" t="str">
        <f>Param!V283</f>
        <v>na</v>
      </c>
      <c r="E283" s="1140" t="str">
        <f>Param!AD283</f>
        <v>na</v>
      </c>
      <c r="F283" s="602" t="str">
        <f>IF(C283="na","na",C283*Eqtn!$D$111/E283)</f>
        <v>na</v>
      </c>
      <c r="G283" s="602" t="str">
        <f>IF(D283="na","na",Eqtn!$D$132/(D283*E283))</f>
        <v>na</v>
      </c>
      <c r="H283" s="1230" t="str">
        <f>IF(C283="na","na",C283*Eqtn!$D$153/E283)</f>
        <v>na</v>
      </c>
      <c r="I283" s="132" t="str">
        <f>IF(D283="na","na",Eqtn!$D$174/(D283*E283))</f>
        <v>na</v>
      </c>
      <c r="K283" s="1062"/>
    </row>
    <row r="284" spans="1:11" ht="13.9" customHeight="1" x14ac:dyDescent="0.25">
      <c r="A284" s="846">
        <f>Chem!A284</f>
        <v>282</v>
      </c>
      <c r="B284" s="1696" t="str">
        <f>Chem!B284</f>
        <v>2-(2,4,5-Trichlorophenoxy)propionic acid (2,4,5-TP)</v>
      </c>
      <c r="C284" s="909">
        <f>Param!O284</f>
        <v>8.0000000000000002E-3</v>
      </c>
      <c r="D284" s="552" t="str">
        <f>Param!V284</f>
        <v>na</v>
      </c>
      <c r="E284" s="1140">
        <f>Param!AD284</f>
        <v>1</v>
      </c>
      <c r="F284" s="602">
        <f>IF(C284="na","na",C284*Eqtn!$D$111/E284)</f>
        <v>640</v>
      </c>
      <c r="G284" s="602" t="str">
        <f>IF(D284="na","na",Eqtn!$D$132/(D284*E284))</f>
        <v>na</v>
      </c>
      <c r="H284" s="1230">
        <f>IF(C284="na","na",C284*Eqtn!$D$153/E284)</f>
        <v>28000</v>
      </c>
      <c r="I284" s="132" t="str">
        <f>IF(D284="na","na",Eqtn!$D$174/(D284*E284))</f>
        <v>na</v>
      </c>
      <c r="K284" s="1062"/>
    </row>
    <row r="285" spans="1:11" ht="13.9" customHeight="1" x14ac:dyDescent="0.25">
      <c r="A285" s="846">
        <f>Chem!A285</f>
        <v>283</v>
      </c>
      <c r="B285" s="1696" t="str">
        <f>Chem!B285</f>
        <v>2,4,5-Trichlorophenoxyacetic acid (2,4,5-T)</v>
      </c>
      <c r="C285" s="909">
        <f>Param!O285</f>
        <v>0.01</v>
      </c>
      <c r="D285" s="552" t="str">
        <f>Param!V285</f>
        <v>na</v>
      </c>
      <c r="E285" s="1140">
        <f>Param!AD285</f>
        <v>1</v>
      </c>
      <c r="F285" s="602">
        <f>IF(C285="na","na",C285*Eqtn!$D$111/E285)</f>
        <v>800</v>
      </c>
      <c r="G285" s="602" t="str">
        <f>IF(D285="na","na",Eqtn!$D$132/(D285*E285))</f>
        <v>na</v>
      </c>
      <c r="H285" s="1230">
        <f>IF(C285="na","na",C285*Eqtn!$D$153/E285)</f>
        <v>35000</v>
      </c>
      <c r="I285" s="132" t="str">
        <f>IF(D285="na","na",Eqtn!$D$174/(D285*E285))</f>
        <v>na</v>
      </c>
      <c r="K285" s="1062"/>
    </row>
    <row r="286" spans="1:11" ht="13.9" customHeight="1" x14ac:dyDescent="0.25">
      <c r="A286" s="846">
        <f>Chem!A286</f>
        <v>284</v>
      </c>
      <c r="B286" s="1696" t="str">
        <f>Chem!B286</f>
        <v>Dalapon</v>
      </c>
      <c r="C286" s="909">
        <f>Param!O286</f>
        <v>0.03</v>
      </c>
      <c r="D286" s="552" t="str">
        <f>Param!V286</f>
        <v>na</v>
      </c>
      <c r="E286" s="1140">
        <f>Param!AD286</f>
        <v>1</v>
      </c>
      <c r="F286" s="602">
        <f>IF(C286="na","na",C286*Eqtn!$D$111/E286)</f>
        <v>2400</v>
      </c>
      <c r="G286" s="602" t="str">
        <f>IF(D286="na","na",Eqtn!$D$132/(D286*E286))</f>
        <v>na</v>
      </c>
      <c r="H286" s="1230">
        <f>IF(C286="na","na",C286*Eqtn!$D$153/E286)</f>
        <v>105000</v>
      </c>
      <c r="I286" s="132" t="str">
        <f>IF(D286="na","na",Eqtn!$D$174/(D286*E286))</f>
        <v>na</v>
      </c>
      <c r="K286" s="1062"/>
    </row>
    <row r="287" spans="1:11" ht="13.9" customHeight="1" x14ac:dyDescent="0.25">
      <c r="A287" s="846">
        <f>Chem!A287</f>
        <v>285</v>
      </c>
      <c r="B287" s="1696" t="str">
        <f>Chem!B287</f>
        <v>Dicamba</v>
      </c>
      <c r="C287" s="909">
        <f>Param!O287</f>
        <v>0.03</v>
      </c>
      <c r="D287" s="552" t="str">
        <f>Param!V287</f>
        <v>na</v>
      </c>
      <c r="E287" s="1140">
        <f>Param!AD287</f>
        <v>1</v>
      </c>
      <c r="F287" s="602">
        <f>IF(C287="na","na",C287*Eqtn!$D$111/E287)</f>
        <v>2400</v>
      </c>
      <c r="G287" s="602" t="str">
        <f>IF(D287="na","na",Eqtn!$D$132/(D287*E287))</f>
        <v>na</v>
      </c>
      <c r="H287" s="1230">
        <f>IF(C287="na","na",C287*Eqtn!$D$153/E287)</f>
        <v>105000</v>
      </c>
      <c r="I287" s="132" t="str">
        <f>IF(D287="na","na",Eqtn!$D$174/(D287*E287))</f>
        <v>na</v>
      </c>
      <c r="K287" s="1062"/>
    </row>
    <row r="288" spans="1:11" ht="13.9" customHeight="1" x14ac:dyDescent="0.25">
      <c r="A288" s="846">
        <f>Chem!A288</f>
        <v>286</v>
      </c>
      <c r="B288" s="1696" t="str">
        <f>Chem!B288</f>
        <v>Dichloroprop</v>
      </c>
      <c r="C288" s="909" t="str">
        <f>Param!O288</f>
        <v>na</v>
      </c>
      <c r="D288" s="552" t="str">
        <f>Param!V288</f>
        <v>na</v>
      </c>
      <c r="E288" s="1140" t="str">
        <f>Param!AD288</f>
        <v>na</v>
      </c>
      <c r="F288" s="602" t="str">
        <f>IF(C288="na","na",C288*Eqtn!$D$111/E288)</f>
        <v>na</v>
      </c>
      <c r="G288" s="602" t="str">
        <f>IF(D288="na","na",Eqtn!$D$132/(D288*E288))</f>
        <v>na</v>
      </c>
      <c r="H288" s="1230" t="str">
        <f>IF(C288="na","na",C288*Eqtn!$D$153/E288)</f>
        <v>na</v>
      </c>
      <c r="I288" s="132" t="str">
        <f>IF(D288="na","na",Eqtn!$D$174/(D288*E288))</f>
        <v>na</v>
      </c>
      <c r="K288" s="1062"/>
    </row>
    <row r="289" spans="1:11" ht="13.9" customHeight="1" x14ac:dyDescent="0.25">
      <c r="A289" s="846">
        <f>Chem!A289</f>
        <v>287</v>
      </c>
      <c r="B289" s="1696" t="str">
        <f>Chem!B289</f>
        <v>Dinoseb</v>
      </c>
      <c r="C289" s="909">
        <f>Param!O289</f>
        <v>1E-3</v>
      </c>
      <c r="D289" s="552" t="str">
        <f>Param!V289</f>
        <v>na</v>
      </c>
      <c r="E289" s="1140">
        <f>Param!AD289</f>
        <v>1</v>
      </c>
      <c r="F289" s="602">
        <f>IF(C289="na","na",C289*Eqtn!$D$111/E289)</f>
        <v>80</v>
      </c>
      <c r="G289" s="602" t="str">
        <f>IF(D289="na","na",Eqtn!$D$132/(D289*E289))</f>
        <v>na</v>
      </c>
      <c r="H289" s="1230">
        <f>IF(C289="na","na",C289*Eqtn!$D$153/E289)</f>
        <v>3500</v>
      </c>
      <c r="I289" s="132" t="str">
        <f>IF(D289="na","na",Eqtn!$D$174/(D289*E289))</f>
        <v>na</v>
      </c>
      <c r="K289" s="1062"/>
    </row>
    <row r="290" spans="1:11" ht="13.9" customHeight="1" x14ac:dyDescent="0.25">
      <c r="A290" s="846">
        <f>Chem!A290</f>
        <v>288</v>
      </c>
      <c r="B290" s="1586" t="str">
        <f>Chem!B290</f>
        <v>2-Methyl-4-chlorophenoxy acetic acid (MCPA)</v>
      </c>
      <c r="C290" s="909">
        <f>Param!O290</f>
        <v>5.0000000000000001E-4</v>
      </c>
      <c r="D290" s="552" t="str">
        <f>Param!V290</f>
        <v>na</v>
      </c>
      <c r="E290" s="1140">
        <f>Param!AD290</f>
        <v>1</v>
      </c>
      <c r="F290" s="602">
        <f>IF(C290="na","na",C290*Eqtn!$D$111/E290)</f>
        <v>40</v>
      </c>
      <c r="G290" s="602" t="str">
        <f>IF(D290="na","na",Eqtn!$D$132/(D290*E290))</f>
        <v>na</v>
      </c>
      <c r="H290" s="1230">
        <f>IF(C290="na","na",C290*Eqtn!$D$153/E290)</f>
        <v>1750</v>
      </c>
      <c r="I290" s="132" t="str">
        <f>IF(D290="na","na",Eqtn!$D$174/(D290*E290))</f>
        <v>na</v>
      </c>
      <c r="K290" s="1062"/>
    </row>
    <row r="291" spans="1:11" ht="13.9" customHeight="1" thickBot="1" x14ac:dyDescent="0.3">
      <c r="A291" s="1199">
        <f>Chem!A291</f>
        <v>289</v>
      </c>
      <c r="B291" s="1587" t="str">
        <f>Chem!B291</f>
        <v>(2-Methyl-4-chlorophenol)2-propionic acid (MCPP)</v>
      </c>
      <c r="C291" s="915">
        <f>Param!O291</f>
        <v>1E-3</v>
      </c>
      <c r="D291" s="561" t="str">
        <f>Param!V291</f>
        <v>na</v>
      </c>
      <c r="E291" s="1141">
        <f>Param!AD291</f>
        <v>1</v>
      </c>
      <c r="F291" s="610">
        <f>IF(C291="na","na",C291*Eqtn!$D$111/E291)</f>
        <v>80</v>
      </c>
      <c r="G291" s="610" t="str">
        <f>IF(D291="na","na",Eqtn!$D$132/(D291*E291))</f>
        <v>na</v>
      </c>
      <c r="H291" s="1231">
        <f>IF(C291="na","na",C291*Eqtn!$D$153/E291)</f>
        <v>3500</v>
      </c>
      <c r="I291" s="1232" t="str">
        <f>IF(D291="na","na",Eqtn!$D$174/(D291*E291))</f>
        <v>na</v>
      </c>
      <c r="K291" s="1065"/>
    </row>
    <row r="292" spans="1:11" ht="15.75" thickTop="1" x14ac:dyDescent="0.2">
      <c r="B292" s="280"/>
      <c r="K292" s="968">
        <f>COUNTA(K4:K291)</f>
        <v>0</v>
      </c>
    </row>
    <row r="293" spans="1:11" x14ac:dyDescent="0.25">
      <c r="B293" s="280"/>
    </row>
    <row r="294" spans="1:11" x14ac:dyDescent="0.25">
      <c r="B294" s="280"/>
    </row>
    <row r="295" spans="1:11" x14ac:dyDescent="0.25">
      <c r="B295" s="277"/>
    </row>
    <row r="296" spans="1:11" s="124" customFormat="1" x14ac:dyDescent="0.25">
      <c r="A296" s="882"/>
      <c r="B296" s="280"/>
      <c r="E296" s="349"/>
    </row>
    <row r="297" spans="1:11" s="124" customFormat="1" x14ac:dyDescent="0.25">
      <c r="A297" s="882"/>
      <c r="B297" s="315"/>
      <c r="E297" s="349"/>
    </row>
    <row r="298" spans="1:11" s="124" customFormat="1" x14ac:dyDescent="0.25">
      <c r="A298" s="882"/>
      <c r="B298" s="280"/>
      <c r="E298" s="349"/>
    </row>
    <row r="299" spans="1:11" s="124" customFormat="1" x14ac:dyDescent="0.25">
      <c r="A299" s="882"/>
      <c r="B299" s="280"/>
      <c r="E299" s="349"/>
    </row>
    <row r="300" spans="1:11" s="124" customFormat="1" x14ac:dyDescent="0.25">
      <c r="A300" s="882"/>
      <c r="B300" s="280"/>
      <c r="E300" s="349"/>
    </row>
    <row r="301" spans="1:11" s="124" customFormat="1" x14ac:dyDescent="0.25">
      <c r="A301" s="882"/>
      <c r="B301" s="280"/>
      <c r="E301" s="349"/>
    </row>
    <row r="302" spans="1:11" s="124" customFormat="1" x14ac:dyDescent="0.25">
      <c r="A302" s="882"/>
      <c r="B302" s="280"/>
      <c r="E302" s="349"/>
    </row>
    <row r="303" spans="1:11" s="124" customFormat="1" x14ac:dyDescent="0.25">
      <c r="A303" s="882"/>
      <c r="B303" s="280"/>
      <c r="E303" s="349"/>
    </row>
    <row r="304" spans="1:11" s="124" customFormat="1" x14ac:dyDescent="0.25">
      <c r="A304" s="882"/>
      <c r="B304" s="280"/>
      <c r="E304" s="349"/>
    </row>
    <row r="305" spans="1:5" s="124" customFormat="1" x14ac:dyDescent="0.25">
      <c r="A305" s="882"/>
      <c r="B305" s="280"/>
      <c r="E305" s="349"/>
    </row>
    <row r="306" spans="1:5" s="124" customFormat="1" x14ac:dyDescent="0.25">
      <c r="A306" s="882"/>
      <c r="B306" s="280"/>
      <c r="E306" s="349"/>
    </row>
    <row r="307" spans="1:5" s="124" customFormat="1" x14ac:dyDescent="0.25">
      <c r="A307" s="882"/>
      <c r="B307" s="280"/>
      <c r="E307" s="349"/>
    </row>
    <row r="308" spans="1:5" s="124" customFormat="1" x14ac:dyDescent="0.25">
      <c r="A308" s="882"/>
      <c r="B308" s="280"/>
      <c r="E308" s="349"/>
    </row>
    <row r="309" spans="1:5" s="124" customFormat="1" x14ac:dyDescent="0.25">
      <c r="A309" s="882"/>
      <c r="B309" s="280"/>
      <c r="E309" s="349"/>
    </row>
    <row r="310" spans="1:5" s="124" customFormat="1" x14ac:dyDescent="0.25">
      <c r="A310" s="882"/>
      <c r="B310" s="280"/>
      <c r="E310" s="349"/>
    </row>
    <row r="311" spans="1:5" s="124" customFormat="1" x14ac:dyDescent="0.25">
      <c r="A311" s="882"/>
      <c r="B311" s="280"/>
      <c r="E311" s="349"/>
    </row>
    <row r="312" spans="1:5" s="124" customFormat="1" x14ac:dyDescent="0.25">
      <c r="A312" s="882"/>
      <c r="B312" s="280"/>
      <c r="E312" s="349"/>
    </row>
    <row r="313" spans="1:5" s="124" customFormat="1" x14ac:dyDescent="0.25">
      <c r="A313" s="882"/>
      <c r="B313" s="280"/>
      <c r="E313" s="349"/>
    </row>
    <row r="314" spans="1:5" s="124" customFormat="1" x14ac:dyDescent="0.25">
      <c r="A314" s="882"/>
      <c r="B314" s="280"/>
      <c r="E314" s="349"/>
    </row>
    <row r="315" spans="1:5" s="124" customFormat="1" x14ac:dyDescent="0.25">
      <c r="A315" s="882"/>
      <c r="B315" s="280"/>
      <c r="E315" s="349"/>
    </row>
    <row r="316" spans="1:5" s="124" customFormat="1" x14ac:dyDescent="0.25">
      <c r="A316" s="882"/>
      <c r="B316" s="280"/>
      <c r="E316" s="349"/>
    </row>
  </sheetData>
  <autoFilter ref="A2:L2" xr:uid="{00000000-0009-0000-0000-00000A000000}"/>
  <printOptions horizontalCentered="1"/>
  <pageMargins left="0.7" right="0.7" top="0.75" bottom="0.75" header="0.3" footer="0.3"/>
  <pageSetup orientation="portrait" horizontalDpi="1200" verticalDpi="1200" r:id="rId1"/>
  <headerFooter scaleWithDoc="0">
    <oddFooter>&amp;R&amp;"Arial,Regular"&amp;9Page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F"/>
  </sheetPr>
  <dimension ref="A1:R292"/>
  <sheetViews>
    <sheetView zoomScaleNormal="100" workbookViewId="0">
      <pane xSplit="2" ySplit="2" topLeftCell="C263" activePane="bottomRight" state="frozen"/>
      <selection activeCell="B1" sqref="B1"/>
      <selection pane="topRight" activeCell="C1" sqref="C1"/>
      <selection pane="bottomLeft" activeCell="B3" sqref="B3"/>
      <selection pane="bottomRight" activeCell="E268" sqref="E268"/>
    </sheetView>
  </sheetViews>
  <sheetFormatPr defaultColWidth="8.85546875" defaultRowHeight="12" x14ac:dyDescent="0.2"/>
  <cols>
    <col min="1" max="1" width="5.7109375" style="358" customWidth="1"/>
    <col min="2" max="2" width="34.42578125" style="889" customWidth="1"/>
    <col min="3" max="3" width="12.28515625" style="357" customWidth="1"/>
    <col min="4" max="4" width="11.85546875" style="357" customWidth="1"/>
    <col min="5" max="5" width="14.28515625" style="357" customWidth="1"/>
    <col min="6" max="6" width="13.28515625" style="357" customWidth="1"/>
    <col min="7" max="7" width="14.140625" style="357" customWidth="1"/>
    <col min="8" max="8" width="14.28515625" style="283" customWidth="1"/>
    <col min="9" max="9" width="13.85546875" style="296" customWidth="1"/>
    <col min="10" max="10" width="14.28515625" style="296" customWidth="1"/>
    <col min="11" max="13" width="15.28515625" style="296" customWidth="1"/>
    <col min="14" max="15" width="13.7109375" style="296" customWidth="1"/>
    <col min="16" max="16" width="13.85546875" style="296" customWidth="1"/>
    <col min="17" max="17" width="5.7109375" style="357" customWidth="1"/>
    <col min="18" max="18" width="10.7109375" style="357" customWidth="1"/>
    <col min="19" max="16384" width="8.85546875" style="358"/>
  </cols>
  <sheetData>
    <row r="1" spans="1:18" ht="12.75" thickBot="1" x14ac:dyDescent="0.25">
      <c r="B1" s="248" t="s">
        <v>1694</v>
      </c>
    </row>
    <row r="2" spans="1:18" ht="85.5" thickTop="1" thickBot="1" x14ac:dyDescent="0.25">
      <c r="A2" s="1709" t="s">
        <v>445</v>
      </c>
      <c r="B2" s="1738" t="s">
        <v>0</v>
      </c>
      <c r="C2" s="1738" t="s">
        <v>238</v>
      </c>
      <c r="D2" s="1738" t="s">
        <v>239</v>
      </c>
      <c r="E2" s="1738" t="s">
        <v>635</v>
      </c>
      <c r="F2" s="1738" t="s">
        <v>426</v>
      </c>
      <c r="G2" s="1738" t="s">
        <v>427</v>
      </c>
      <c r="H2" s="1738" t="s">
        <v>593</v>
      </c>
      <c r="I2" s="1738" t="s">
        <v>428</v>
      </c>
      <c r="J2" s="1738" t="s">
        <v>429</v>
      </c>
      <c r="K2" s="1738" t="s">
        <v>594</v>
      </c>
      <c r="L2" s="1738" t="s">
        <v>1705</v>
      </c>
      <c r="M2" s="1738" t="s">
        <v>1706</v>
      </c>
      <c r="N2" s="1738" t="s">
        <v>494</v>
      </c>
      <c r="O2" s="1738" t="s">
        <v>421</v>
      </c>
      <c r="P2" s="1743" t="s">
        <v>422</v>
      </c>
      <c r="Q2" s="128"/>
      <c r="R2" s="1724" t="s">
        <v>465</v>
      </c>
    </row>
    <row r="3" spans="1:18" ht="13.9" customHeight="1" thickTop="1" x14ac:dyDescent="0.25">
      <c r="A3" s="907">
        <f>Chem!A3</f>
        <v>1</v>
      </c>
      <c r="B3" s="886" t="str">
        <f>Chem!B3</f>
        <v>PCBs</v>
      </c>
      <c r="C3" s="120"/>
      <c r="D3" s="120"/>
      <c r="E3" s="120"/>
      <c r="F3" s="120"/>
      <c r="G3" s="120"/>
      <c r="H3" s="321"/>
      <c r="I3" s="120"/>
      <c r="J3" s="120"/>
      <c r="K3" s="120"/>
      <c r="L3" s="120"/>
      <c r="M3" s="120"/>
      <c r="N3" s="120"/>
      <c r="O3" s="120"/>
      <c r="P3" s="654"/>
      <c r="Q3" s="129"/>
      <c r="R3" s="1061"/>
    </row>
    <row r="4" spans="1:18" ht="13.9" customHeight="1" x14ac:dyDescent="0.25">
      <c r="A4" s="842">
        <f>Chem!A4</f>
        <v>2</v>
      </c>
      <c r="B4" s="890" t="str">
        <f>Chem!B4</f>
        <v>Total PCB Aroclors</v>
      </c>
      <c r="C4" s="652">
        <f>Param!F4</f>
        <v>78.100000000000009</v>
      </c>
      <c r="D4" s="652">
        <f>Param!M4</f>
        <v>1.6966475878986101E-2</v>
      </c>
      <c r="E4" s="458">
        <f>PW!O4</f>
        <v>0.21874999999999994</v>
      </c>
      <c r="F4" s="458">
        <f>IF(E4="na","na",IF($C4="na","na",(E4*Eqtn!$D$202*($C4+Eqtn!$D$203+(Eqtn!$D$204*$D4)))))</f>
        <v>0.34256893312210407</v>
      </c>
      <c r="G4" s="458">
        <f>IF(E4="na","na",IF($C4="na","na",((E4*Eqtn!$D$205)*($C4+Eqtn!$D$206))))</f>
        <v>1.714708333333333E-2</v>
      </c>
      <c r="H4" s="254">
        <f>SW!R4</f>
        <v>6.9999999999999999E-6</v>
      </c>
      <c r="I4" s="621">
        <f>IF(H4="na","na",IF($C4="na","na",(H4*Eqtn!$D$202*($C4+Eqtn!$D$203+(Eqtn!$D$204*$D4)))))</f>
        <v>1.0962205859907333E-5</v>
      </c>
      <c r="J4" s="621">
        <f>IF(H4="na","na",IF($C4="na","na",((H4*Eqtn!$D$205)*($C4+Eqtn!$D$206))))</f>
        <v>5.4870666666666668E-7</v>
      </c>
      <c r="K4" s="653">
        <f>Partit!E4</f>
        <v>1.3472522987492349E-3</v>
      </c>
      <c r="L4" s="653">
        <f>IF(K4="na","na",IF(K4="TBD","TBD",IF($C4="na","na",(K4*Eqtn!$D$202*($C4+Eqtn!$D$203+(Eqtn!$D$204*$D4))))))</f>
        <v>2.109836720588927E-3</v>
      </c>
      <c r="M4" s="653">
        <f>IF(K4="na","na",IF(K4="TBD","TBD",IF($C4="na","na",((K4*Eqtn!$D$205)*($C4+Eqtn!$D$206)))))</f>
        <v>1.056066168579567E-4</v>
      </c>
      <c r="N4" s="721"/>
      <c r="O4" s="721">
        <f>IF(N4="na","na",IF(N4="TBD","TBD",IF($C4="na","na",(N4*Eqtn!$D$202*($C4+Eqtn!$D$203+(Eqtn!$D$204*$D4))))))</f>
        <v>0</v>
      </c>
      <c r="P4" s="722">
        <f>IF(N4="na","na",IF(N4="TBD","TBD",IF($C4="na","na",((N4*Eqtn!$D$205)*($C4+Eqtn!$D$206)))))</f>
        <v>0</v>
      </c>
      <c r="R4" s="1062"/>
    </row>
    <row r="5" spans="1:18" ht="13.9" customHeight="1" x14ac:dyDescent="0.25">
      <c r="A5" s="842">
        <f>Chem!A5</f>
        <v>3</v>
      </c>
      <c r="B5" s="891" t="str">
        <f>Chem!B5</f>
        <v>Total PCB congeners</v>
      </c>
      <c r="C5" s="423">
        <f>Param!F5</f>
        <v>78.100000000000009</v>
      </c>
      <c r="D5" s="423">
        <f>Param!M5</f>
        <v>1.6966475878986101E-2</v>
      </c>
      <c r="E5" s="461">
        <f>PW!O5</f>
        <v>0.21874999999999994</v>
      </c>
      <c r="F5" s="461">
        <f>IF(E5="na","na",IF($C5="na","na",(E5*Eqtn!$D$202*($C5+Eqtn!$D$203+(Eqtn!$D$204*$D5)))))</f>
        <v>0.34256893312210407</v>
      </c>
      <c r="G5" s="461">
        <f>IF(E5="na","na",IF($C5="na","na",((E5*Eqtn!$D$205)*($C5+Eqtn!$D$206))))</f>
        <v>1.714708333333333E-2</v>
      </c>
      <c r="H5" s="221">
        <f>SW!R5</f>
        <v>6.9999999999999999E-6</v>
      </c>
      <c r="I5" s="289">
        <f>IF(H5="na","na",IF($C5="na","na",(H5*Eqtn!$D$202*($C5+Eqtn!$D$203+(Eqtn!$D$204*$D5)))))</f>
        <v>1.0962205859907333E-5</v>
      </c>
      <c r="J5" s="289">
        <f>IF(H5="na","na",IF($C5="na","na",((H5*Eqtn!$D$205)*($C5+Eqtn!$D$206))))</f>
        <v>5.4870666666666668E-7</v>
      </c>
      <c r="K5" s="584">
        <f>Partit!E5</f>
        <v>2.3576915228111614E-3</v>
      </c>
      <c r="L5" s="584">
        <f>IF(K5="na","na",IF(K5="TBD","TBD",IF($C5="na","na",(K5*Eqtn!$D$202*($C5+Eqtn!$D$203+(Eqtn!$D$204*$D5))))))</f>
        <v>3.6922142610306226E-3</v>
      </c>
      <c r="M5" s="584">
        <f>IF(K5="na","na",IF(K5="TBD","TBD",IF($C5="na","na",((K5*Eqtn!$D$205)*($C5+Eqtn!$D$206)))))</f>
        <v>1.8481157950142425E-4</v>
      </c>
      <c r="N5" s="348"/>
      <c r="O5" s="348">
        <f>IF(N5="na","na",IF(N5="TBD","TBD",IF($C5="na","na",(N5*Eqtn!$D$202*($C5+Eqtn!$D$203+(Eqtn!$D$204*$D5))))))</f>
        <v>0</v>
      </c>
      <c r="P5" s="367">
        <f>IF(N5="na","na",IF(N5="TBD","TBD",IF($C5="na","na",((N5*Eqtn!$D$205)*($C5+Eqtn!$D$206)))))</f>
        <v>0</v>
      </c>
      <c r="R5" s="1062"/>
    </row>
    <row r="6" spans="1:18" ht="13.9" customHeight="1" x14ac:dyDescent="0.25">
      <c r="A6" s="842">
        <f>Chem!A6</f>
        <v>4</v>
      </c>
      <c r="B6" s="892" t="str">
        <f>Chem!B6</f>
        <v>Total PCB TEQ</v>
      </c>
      <c r="C6" s="422">
        <f>Param!F6</f>
        <v>78.100000000000009</v>
      </c>
      <c r="D6" s="422">
        <f>Param!M6</f>
        <v>1.6966475878986101E-2</v>
      </c>
      <c r="E6" s="460">
        <f>PW!O6</f>
        <v>3.365384615384615E-6</v>
      </c>
      <c r="F6" s="460">
        <f>IF(E6="na","na",IF($C6="na","na",(E6*Eqtn!$D$202*($C6+Eqtn!$D$203+(Eqtn!$D$204*$D6)))))</f>
        <v>5.2702912788016024E-6</v>
      </c>
      <c r="G6" s="460">
        <f>IF(E6="na","na",IF($C6="na","na",((E6*Eqtn!$D$205)*($C6+Eqtn!$D$206))))</f>
        <v>2.6380128205128203E-7</v>
      </c>
      <c r="H6" s="256">
        <f>SW!R6</f>
        <v>4.4252263187174422E-9</v>
      </c>
      <c r="I6" s="580">
        <f>IF(H6="na","na",IF($C6="na","na",(H6*Eqtn!$D$202*($C6+Eqtn!$D$203+(Eqtn!$D$204*$D6)))))</f>
        <v>6.9300345546372152E-9</v>
      </c>
      <c r="J6" s="580">
        <f>IF(H6="na","na",IF($C6="na","na",((H6*Eqtn!$D$205)*($C6+Eqtn!$D$206))))</f>
        <v>3.4687874036986457E-10</v>
      </c>
      <c r="K6" s="585">
        <f>Partit!E6</f>
        <v>4.7153830456223224E-7</v>
      </c>
      <c r="L6" s="585">
        <f>IF(K6="na","na",IF(K6="TBD","TBD",IF($C6="na","na",(K6*Eqtn!$D$202*($C6+Eqtn!$D$203+(Eqtn!$D$204*$D6))))))</f>
        <v>7.3844285220612452E-7</v>
      </c>
      <c r="M6" s="585">
        <f>IF(K6="na","na",IF(K6="TBD","TBD",IF($C6="na","na",((K6*Eqtn!$D$205)*($C6+Eqtn!$D$206)))))</f>
        <v>3.6962315900284845E-8</v>
      </c>
      <c r="N6" s="723"/>
      <c r="O6" s="723">
        <f>IF(N6="na","na",IF(N6="TBD","TBD",IF($C6="na","na",(N6*Eqtn!$D$202*($C6+Eqtn!$D$203+(Eqtn!$D$204*$D6))))))</f>
        <v>0</v>
      </c>
      <c r="P6" s="724">
        <f>IF(N6="na","na",IF(N6="TBD","TBD",IF($C6="na","na",((N6*Eqtn!$D$205)*($C6+Eqtn!$D$206)))))</f>
        <v>0</v>
      </c>
      <c r="R6" s="1062"/>
    </row>
    <row r="7" spans="1:18" ht="13.9" customHeight="1" x14ac:dyDescent="0.25">
      <c r="A7" s="906">
        <f>Chem!A7</f>
        <v>5</v>
      </c>
      <c r="B7" s="887" t="str">
        <f>Chem!B7</f>
        <v xml:space="preserve">Dioxins/Furans </v>
      </c>
      <c r="C7" s="31"/>
      <c r="D7" s="31"/>
      <c r="E7" s="31"/>
      <c r="F7" s="31"/>
      <c r="G7" s="31"/>
      <c r="H7" s="259"/>
      <c r="I7" s="31"/>
      <c r="J7" s="31"/>
      <c r="K7" s="31"/>
      <c r="L7" s="31"/>
      <c r="M7" s="31"/>
      <c r="N7" s="31"/>
      <c r="O7" s="31"/>
      <c r="P7" s="648"/>
      <c r="Q7" s="129"/>
      <c r="R7" s="1063"/>
    </row>
    <row r="8" spans="1:18" ht="13.9" customHeight="1" x14ac:dyDescent="0.25">
      <c r="A8" s="844">
        <f>Chem!A8</f>
        <v>6</v>
      </c>
      <c r="B8" s="891" t="str">
        <f>Chem!B8</f>
        <v>Total dioxin/furan TEQ</v>
      </c>
      <c r="C8" s="423">
        <f>Param!F8</f>
        <v>249.1</v>
      </c>
      <c r="D8" s="423">
        <f>Param!M8</f>
        <v>2.04415372035977E-3</v>
      </c>
      <c r="E8" s="461">
        <f>PW!O8</f>
        <v>3.365384615384615E-6</v>
      </c>
      <c r="F8" s="461">
        <f>IF(E8="na","na",IF($C8="na","na",(E8*Eqtn!$D$202*($C8+Eqtn!$D$203+(Eqtn!$D$204*$D8)))))</f>
        <v>1.6779819616537725E-5</v>
      </c>
      <c r="G8" s="461">
        <f>IF(E8="na","na",IF($C8="na","na",((E8*Eqtn!$D$205)*($C8+Eqtn!$D$206))))</f>
        <v>8.3928205128205124E-7</v>
      </c>
      <c r="H8" s="221">
        <f>SW!R8</f>
        <v>5.1000000000000002E-9</v>
      </c>
      <c r="I8" s="289">
        <f>IF(H8="na","na",IF($C8="na","na",(H8*Eqtn!$D$202*($C8+Eqtn!$D$203+(Eqtn!$D$204*$D8)))))</f>
        <v>2.5428618070318888E-8</v>
      </c>
      <c r="J8" s="289">
        <f>IF(H8="na","na",IF($C8="na","na",((H8*Eqtn!$D$205)*($C8+Eqtn!$D$206))))</f>
        <v>1.2718720000000001E-9</v>
      </c>
      <c r="K8" s="584">
        <f>Partit!E8</f>
        <v>4.2252007125676739E-7</v>
      </c>
      <c r="L8" s="584">
        <f>IF(K8="na","na",IF(K8="TBD","TBD",IF($C8="na","na",(K8*Eqtn!$D$202*($C8+Eqtn!$D$203+(Eqtn!$D$204*$D8))))))</f>
        <v>2.1066865723592666E-6</v>
      </c>
      <c r="M8" s="584">
        <f>IF(K8="na","na",IF(K8="TBD","TBD",IF($C8="na","na",((K8*Eqtn!$D$205)*($C8+Eqtn!$D$206)))))</f>
        <v>1.0537087217048769E-7</v>
      </c>
      <c r="N8" s="348"/>
      <c r="O8" s="348">
        <f>IF(N8="na","na",IF(N8="TBD","TBD",IF($C8="na","na",(N8*Eqtn!$D$202*($C8+Eqtn!$D$203+(Eqtn!$D$204*$D8))))))</f>
        <v>0</v>
      </c>
      <c r="P8" s="367">
        <f>IF(N8="na","na",IF(N8="TBD","TBD",IF($C8="na","na",((N8*Eqtn!$D$205)*($C8+Eqtn!$D$206)))))</f>
        <v>0</v>
      </c>
      <c r="R8" s="1062"/>
    </row>
    <row r="9" spans="1:18" ht="13.9" customHeight="1" x14ac:dyDescent="0.25">
      <c r="A9" s="845">
        <f>Chem!A9</f>
        <v>7</v>
      </c>
      <c r="B9" s="891" t="str">
        <f>Chem!B9</f>
        <v>2,3,7,8-TCDD</v>
      </c>
      <c r="C9" s="423">
        <f>Param!F9</f>
        <v>249.1</v>
      </c>
      <c r="D9" s="423">
        <f>Param!M9</f>
        <v>2.04415372035977E-3</v>
      </c>
      <c r="E9" s="461">
        <f>PW!O9</f>
        <v>3.365384615384615E-6</v>
      </c>
      <c r="F9" s="461">
        <f>IF(E9="na","na",IF($C9="na","na",(E9*Eqtn!$D$202*($C9+Eqtn!$D$203+(Eqtn!$D$204*$D9)))))</f>
        <v>1.6779819616537725E-5</v>
      </c>
      <c r="G9" s="461">
        <f>IF(E9="na","na",IF($C9="na","na",((E9*Eqtn!$D$205)*($C9+Eqtn!$D$206))))</f>
        <v>8.3928205128205124E-7</v>
      </c>
      <c r="H9" s="221">
        <f>SW!R9</f>
        <v>5.1000000000000002E-9</v>
      </c>
      <c r="I9" s="289">
        <f>IF(H9="na","na",IF($C9="na","na",(H9*Eqtn!$D$202*($C9+Eqtn!$D$203+(Eqtn!$D$204*$D9)))))</f>
        <v>2.5428618070318888E-8</v>
      </c>
      <c r="J9" s="289">
        <f>IF(H9="na","na",IF($C9="na","na",((H9*Eqtn!$D$205)*($C9+Eqtn!$D$206))))</f>
        <v>1.2718720000000001E-9</v>
      </c>
      <c r="K9" s="584">
        <f>Partit!E9</f>
        <v>4.9233940168957463E-6</v>
      </c>
      <c r="L9" s="584">
        <f>IF(K9="na","na",IF(K9="TBD","TBD",IF($C9="na","na",(K9*Eqtn!$D$202*($C9+Eqtn!$D$203+(Eqtn!$D$204*$D9))))))</f>
        <v>2.4548060012810801E-5</v>
      </c>
      <c r="M9" s="584">
        <f>IF(K9="na","na",IF(K9="TBD","TBD",IF($C9="na","na",((K9*Eqtn!$D$205)*($C9+Eqtn!$D$206)))))</f>
        <v>1.2278288225602406E-6</v>
      </c>
      <c r="N9" s="348"/>
      <c r="O9" s="348">
        <f>IF(N9="na","na",IF(N9="TBD","TBD",IF($C9="na","na",(N9*Eqtn!$D$202*($C9+Eqtn!$D$203+(Eqtn!$D$204*$D9))))))</f>
        <v>0</v>
      </c>
      <c r="P9" s="367">
        <f>IF(N9="na","na",IF(N9="TBD","TBD",IF($C9="na","na",((N9*Eqtn!$D$205)*($C9+Eqtn!$D$206)))))</f>
        <v>0</v>
      </c>
      <c r="R9" s="1062"/>
    </row>
    <row r="10" spans="1:18" ht="13.9" customHeight="1" x14ac:dyDescent="0.2">
      <c r="A10" s="845">
        <f>Chem!A10</f>
        <v>8</v>
      </c>
      <c r="B10" s="891" t="str">
        <f>Chem!B10</f>
        <v>Total chlorinated dioxins</v>
      </c>
      <c r="C10" s="423">
        <f>Param!F10</f>
        <v>249.1</v>
      </c>
      <c r="D10" s="423">
        <f>Param!M10</f>
        <v>2.04415372035977E-3</v>
      </c>
      <c r="E10" s="461" t="str">
        <f>PW!O10</f>
        <v>na</v>
      </c>
      <c r="F10" s="461" t="str">
        <f>IF(E10="na","na",IF($C10="na","na",(E10*Eqtn!$D$202*($C10+Eqtn!$D$203+(Eqtn!$D$204*$D10)))))</f>
        <v>na</v>
      </c>
      <c r="G10" s="461" t="str">
        <f>IF(E10="na","na",IF($C10="na","na",((E10*Eqtn!$D$205)*($C10+Eqtn!$D$206))))</f>
        <v>na</v>
      </c>
      <c r="H10" s="221" t="str">
        <f>SW!R10</f>
        <v>na</v>
      </c>
      <c r="I10" s="289" t="str">
        <f>IF(H10="na","na",IF($C10="na","na",(H10*Eqtn!$D$202*($C10+Eqtn!$D$203+(Eqtn!$D$204*$D10)))))</f>
        <v>na</v>
      </c>
      <c r="J10" s="289" t="str">
        <f>IF(H10="na","na",IF($C10="na","na",((H10*Eqtn!$D$205)*($C10+Eqtn!$D$206))))</f>
        <v>na</v>
      </c>
      <c r="K10" s="584" t="str">
        <f>Partit!E10</f>
        <v>na</v>
      </c>
      <c r="L10" s="584" t="str">
        <f>IF(K10="na","na",IF(K10="TBD","TBD",IF($C10="na","na",(K10*Eqtn!$D$202*($C10+Eqtn!$D$203+(Eqtn!$D$204*$D10))))))</f>
        <v>na</v>
      </c>
      <c r="M10" s="584" t="str">
        <f>IF(K10="na","na",IF(K10="TBD","TBD",IF($C10="na","na",((K10*Eqtn!$D$205)*($C10+Eqtn!$D$206)))))</f>
        <v>na</v>
      </c>
      <c r="N10" s="348"/>
      <c r="O10" s="348">
        <f>IF(N10="na","na",IF(N10="TBD","TBD",IF($C10="na","na",(N10*Eqtn!$D$202*($C10+Eqtn!$D$203+(Eqtn!$D$204*$D10))))))</f>
        <v>0</v>
      </c>
      <c r="P10" s="367">
        <f>IF(N10="na","na",IF(N10="TBD","TBD",IF($C10="na","na",((N10*Eqtn!$D$205)*($C10+Eqtn!$D$206)))))</f>
        <v>0</v>
      </c>
      <c r="R10" s="1064"/>
    </row>
    <row r="11" spans="1:18" ht="13.9" customHeight="1" x14ac:dyDescent="0.2">
      <c r="A11" s="845">
        <f>Chem!A11</f>
        <v>9</v>
      </c>
      <c r="B11" s="892" t="str">
        <f>Chem!B11</f>
        <v>Total chlorinated furans</v>
      </c>
      <c r="C11" s="422">
        <f>Param!F11</f>
        <v>249.1</v>
      </c>
      <c r="D11" s="422">
        <f>Param!M11</f>
        <v>2.04415372035977E-3</v>
      </c>
      <c r="E11" s="460" t="str">
        <f>PW!O11</f>
        <v>na</v>
      </c>
      <c r="F11" s="460" t="str">
        <f>IF(E11="na","na",IF($C11="na","na",(E11*Eqtn!$D$202*($C11+Eqtn!$D$203+(Eqtn!$D$204*$D11)))))</f>
        <v>na</v>
      </c>
      <c r="G11" s="460" t="str">
        <f>IF(E11="na","na",IF($C11="na","na",((E11*Eqtn!$D$205)*($C11+Eqtn!$D$206))))</f>
        <v>na</v>
      </c>
      <c r="H11" s="256" t="str">
        <f>SW!R11</f>
        <v>na</v>
      </c>
      <c r="I11" s="580" t="str">
        <f>IF(H11="na","na",IF($C11="na","na",(H11*Eqtn!$D$202*($C11+Eqtn!$D$203+(Eqtn!$D$204*$D11)))))</f>
        <v>na</v>
      </c>
      <c r="J11" s="580" t="str">
        <f>IF(H11="na","na",IF($C11="na","na",((H11*Eqtn!$D$205)*($C11+Eqtn!$D$206))))</f>
        <v>na</v>
      </c>
      <c r="K11" s="585" t="str">
        <f>Partit!E11</f>
        <v>na</v>
      </c>
      <c r="L11" s="585" t="str">
        <f>IF(K11="na","na",IF(K11="TBD","TBD",IF($C11="na","na",(K11*Eqtn!$D$202*($C11+Eqtn!$D$203+(Eqtn!$D$204*$D11))))))</f>
        <v>na</v>
      </c>
      <c r="M11" s="585" t="str">
        <f>IF(K11="na","na",IF(K11="TBD","TBD",IF($C11="na","na",((K11*Eqtn!$D$205)*($C11+Eqtn!$D$206)))))</f>
        <v>na</v>
      </c>
      <c r="N11" s="723"/>
      <c r="O11" s="723">
        <f>IF(N11="na","na",IF(N11="TBD","TBD",IF($C11="na","na",(N11*Eqtn!$D$202*($C11+Eqtn!$D$203+(Eqtn!$D$204*$D11))))))</f>
        <v>0</v>
      </c>
      <c r="P11" s="724">
        <f>IF(N11="na","na",IF(N11="TBD","TBD",IF($C11="na","na",((N11*Eqtn!$D$205)*($C11+Eqtn!$D$206)))))</f>
        <v>0</v>
      </c>
      <c r="R11" s="1064"/>
    </row>
    <row r="12" spans="1:18" ht="13.9" customHeight="1" x14ac:dyDescent="0.25">
      <c r="A12" s="906">
        <f>Chem!A12</f>
        <v>10</v>
      </c>
      <c r="B12" s="887" t="str">
        <f>Chem!B12</f>
        <v>Inorganics</v>
      </c>
      <c r="C12" s="31"/>
      <c r="D12" s="31"/>
      <c r="E12" s="31"/>
      <c r="F12" s="31"/>
      <c r="G12" s="31"/>
      <c r="H12" s="259"/>
      <c r="I12" s="31"/>
      <c r="J12" s="31"/>
      <c r="K12" s="31"/>
      <c r="L12" s="31"/>
      <c r="M12" s="31"/>
      <c r="N12" s="31"/>
      <c r="O12" s="31"/>
      <c r="P12" s="648"/>
      <c r="Q12" s="129"/>
      <c r="R12" s="1063"/>
    </row>
    <row r="13" spans="1:18" ht="13.9" customHeight="1" x14ac:dyDescent="0.25">
      <c r="A13" s="2076">
        <f>Chem!A13</f>
        <v>11</v>
      </c>
      <c r="B13" s="2118" t="str">
        <f>Chem!B13</f>
        <v>Ammonia</v>
      </c>
      <c r="C13" s="683" t="str">
        <f>Param!F13</f>
        <v>na</v>
      </c>
      <c r="D13" s="683">
        <f>Param!M13</f>
        <v>4.8070209917321235E-4</v>
      </c>
      <c r="E13" s="691" t="str">
        <f>PW!O13</f>
        <v>na</v>
      </c>
      <c r="F13" s="691" t="str">
        <f>IF(E13="na","na",IF($C13="na","na",(E13*Eqtn!$D$202*($C13+Eqtn!$D$203+(Eqtn!$D$204*$D13)))))</f>
        <v>na</v>
      </c>
      <c r="G13" s="691" t="str">
        <f>IF(E13="na","na",IF($C13="na","na",((E13*Eqtn!$D$205)*($C13+Eqtn!$D$206))))</f>
        <v>na</v>
      </c>
      <c r="H13" s="2094">
        <f>SW!R13</f>
        <v>35</v>
      </c>
      <c r="I13" s="1565" t="str">
        <f>IF(H13="na","na",IF($C13="na","na",(H13*Eqtn!$D$202*($C13+Eqtn!$D$203+(Eqtn!$D$204*$D13)))))</f>
        <v>na</v>
      </c>
      <c r="J13" s="1565" t="str">
        <f>IF(H13="na","na",IF($C13="na","na",((H13*Eqtn!$D$205)*($C13+Eqtn!$D$206))))</f>
        <v>na</v>
      </c>
      <c r="K13" s="1566" t="str">
        <f>Partit!E13</f>
        <v>na</v>
      </c>
      <c r="L13" s="1566" t="str">
        <f>IF(K13="na","na",IF(K13="TBD","TBD",IF($C13="na","na",(K13*Eqtn!$D$202*($C13+Eqtn!$D$203+(Eqtn!$D$204*$D13))))))</f>
        <v>na</v>
      </c>
      <c r="M13" s="1566" t="str">
        <f>IF(K13="na","na",IF(K13="TBD","TBD",IF($C13="na","na",((K13*Eqtn!$D$205)*($C13+Eqtn!$D$206)))))</f>
        <v>na</v>
      </c>
      <c r="N13" s="822"/>
      <c r="O13" s="822" t="str">
        <f>IF(N13="na","na",IF(N13="TBD","TBD",IF($C13="na","na",(N13*Eqtn!$D$202*($C13+Eqtn!$D$203+(Eqtn!$D$204*$D13))))))</f>
        <v>na</v>
      </c>
      <c r="P13" s="1535" t="str">
        <f>IF(N13="na","na",IF(N13="TBD","TBD",IF($C13="na","na",((N13*Eqtn!$D$205)*($C13+Eqtn!$D$206)))))</f>
        <v>na</v>
      </c>
      <c r="Q13" s="267"/>
      <c r="R13" s="2107"/>
    </row>
    <row r="14" spans="1:18" ht="13.9" customHeight="1" x14ac:dyDescent="0.25">
      <c r="A14" s="2079">
        <f>Chem!A14</f>
        <v>12</v>
      </c>
      <c r="B14" s="2119" t="str">
        <f>Chem!B14</f>
        <v>Chloride</v>
      </c>
      <c r="C14" s="557" t="str">
        <f>Param!F14</f>
        <v>na</v>
      </c>
      <c r="D14" s="557">
        <f>Param!M14</f>
        <v>0</v>
      </c>
      <c r="E14" s="582">
        <f>PW!O14</f>
        <v>250000</v>
      </c>
      <c r="F14" s="582" t="str">
        <f>IF(E14="na","na",IF($C14="na","na",(E14*Eqtn!$D$202*($C14+Eqtn!$D$203+(Eqtn!$D$204*$D14)))))</f>
        <v>na</v>
      </c>
      <c r="G14" s="582" t="str">
        <f>IF(E14="na","na",IF($C14="na","na",((E14*Eqtn!$D$205)*($C14+Eqtn!$D$206))))</f>
        <v>na</v>
      </c>
      <c r="H14" s="2095" t="str">
        <f>SW!R14</f>
        <v>na</v>
      </c>
      <c r="I14" s="289" t="str">
        <f>IF(H14="na","na",IF($C14="na","na",(H14*Eqtn!$D$202*($C14+Eqtn!$D$203+(Eqtn!$D$204*$D14)))))</f>
        <v>na</v>
      </c>
      <c r="J14" s="289" t="str">
        <f>IF(H14="na","na",IF($C14="na","na",((H14*Eqtn!$D$205)*($C14+Eqtn!$D$206))))</f>
        <v>na</v>
      </c>
      <c r="K14" s="584" t="str">
        <f>Partit!E14</f>
        <v>na</v>
      </c>
      <c r="L14" s="584" t="str">
        <f>IF(K14="na","na",IF(K14="TBD","TBD",IF($C14="na","na",(K14*Eqtn!$D$202*($C14+Eqtn!$D$203+(Eqtn!$D$204*$D14))))))</f>
        <v>na</v>
      </c>
      <c r="M14" s="584" t="str">
        <f>IF(K14="na","na",IF(K14="TBD","TBD",IF($C14="na","na",((K14*Eqtn!$D$205)*($C14+Eqtn!$D$206)))))</f>
        <v>na</v>
      </c>
      <c r="N14" s="348"/>
      <c r="O14" s="348" t="str">
        <f>IF(N14="na","na",IF(N14="TBD","TBD",IF($C14="na","na",(N14*Eqtn!$D$202*($C14+Eqtn!$D$203+(Eqtn!$D$204*$D14))))))</f>
        <v>na</v>
      </c>
      <c r="P14" s="367" t="str">
        <f>IF(N14="na","na",IF(N14="TBD","TBD",IF($C14="na","na",((N14*Eqtn!$D$205)*($C14+Eqtn!$D$206)))))</f>
        <v>na</v>
      </c>
      <c r="Q14" s="267"/>
      <c r="R14" s="2107"/>
    </row>
    <row r="15" spans="1:18" ht="13.9" customHeight="1" x14ac:dyDescent="0.2">
      <c r="A15" s="843">
        <f>Chem!A15</f>
        <v>13</v>
      </c>
      <c r="B15" s="1190" t="str">
        <f>Chem!B15</f>
        <v>Cyanide (multiple forms, see notes)</v>
      </c>
      <c r="C15" s="652">
        <f>Param!F15</f>
        <v>9.9</v>
      </c>
      <c r="D15" s="652">
        <f>Param!M15</f>
        <v>4.15E-3</v>
      </c>
      <c r="E15" s="458">
        <f>PW!O15</f>
        <v>5.04</v>
      </c>
      <c r="F15" s="458">
        <f>IF(E15="na","na",IF($C15="na","na",(E15*Eqtn!$D$202*($C15+Eqtn!$D$203+(Eqtn!$D$204*$D15)))))</f>
        <v>1.0181162544</v>
      </c>
      <c r="G15" s="458">
        <f>IF(E15="na","na",IF($C15="na","na",((E15*Eqtn!$D$205)*($C15+Eqtn!$D$206))))</f>
        <v>5.1340800000000006E-2</v>
      </c>
      <c r="H15" s="254">
        <f>SW!R15</f>
        <v>1</v>
      </c>
      <c r="I15" s="621">
        <f>IF(H15="na","na",IF($C15="na","na",(H15*Eqtn!$D$202*($C15+Eqtn!$D$203+(Eqtn!$D$204*$D15)))))</f>
        <v>0.20200719333333333</v>
      </c>
      <c r="J15" s="621">
        <f>IF(H15="na","na",IF($C15="na","na",((H15*Eqtn!$D$205)*($C15+Eqtn!$D$206))))</f>
        <v>1.0186666666666667E-2</v>
      </c>
      <c r="K15" s="653" t="str">
        <f>Partit!E15</f>
        <v>na</v>
      </c>
      <c r="L15" s="653" t="str">
        <f>IF(K15="na","na",IF(K15="TBD","TBD",IF($C15="na","na",(K15*Eqtn!$D$202*($C15+Eqtn!$D$203+(Eqtn!$D$204*$D15))))))</f>
        <v>na</v>
      </c>
      <c r="M15" s="653" t="str">
        <f>IF(K15="na","na",IF(K15="TBD","TBD",IF($C15="na","na",((K15*Eqtn!$D$205)*($C15+Eqtn!$D$206)))))</f>
        <v>na</v>
      </c>
      <c r="N15" s="721"/>
      <c r="O15" s="721">
        <f>IF(N15="na","na",IF(N15="TBD","TBD",IF($C15="na","na",(N15*Eqtn!$D$202*($C15+Eqtn!$D$203+(Eqtn!$D$204*$D15))))))</f>
        <v>0</v>
      </c>
      <c r="P15" s="722">
        <f>IF(N15="na","na",IF(N15="TBD","TBD",IF($C15="na","na",((N15*Eqtn!$D$205)*($C15+Eqtn!$D$206)))))</f>
        <v>0</v>
      </c>
      <c r="R15" s="1064"/>
    </row>
    <row r="16" spans="1:18" ht="13.9" customHeight="1" x14ac:dyDescent="0.2">
      <c r="A16" s="843">
        <f>Chem!A16</f>
        <v>14</v>
      </c>
      <c r="B16" s="891" t="str">
        <f>Chem!B16</f>
        <v>Fluoride</v>
      </c>
      <c r="C16" s="423">
        <f>Param!F16</f>
        <v>150</v>
      </c>
      <c r="D16" s="423">
        <f>Param!M16</f>
        <v>0</v>
      </c>
      <c r="E16" s="461">
        <f>PW!O16</f>
        <v>960</v>
      </c>
      <c r="F16" s="461">
        <f>IF(E16="na","na",IF($C16="na","na",(E16*Eqtn!$D$202*($C16+Eqtn!$D$203+(Eqtn!$D$204*$D16)))))</f>
        <v>2883.8399999999997</v>
      </c>
      <c r="G16" s="461">
        <f>IF(E16="na","na",IF($C16="na","na",((E16*Eqtn!$D$205)*($C16+Eqtn!$D$206))))</f>
        <v>144.27519999999998</v>
      </c>
      <c r="H16" s="221" t="str">
        <f>SW!R16</f>
        <v>na</v>
      </c>
      <c r="I16" s="289" t="str">
        <f>IF(H16="na","na",IF($C16="na","na",(H16*Eqtn!$D$202*($C16+Eqtn!$D$203+(Eqtn!$D$204*$D16)))))</f>
        <v>na</v>
      </c>
      <c r="J16" s="289" t="str">
        <f>IF(H16="na","na",IF($C16="na","na",((H16*Eqtn!$D$205)*($C16+Eqtn!$D$206))))</f>
        <v>na</v>
      </c>
      <c r="K16" s="584" t="str">
        <f>Partit!E16</f>
        <v>na</v>
      </c>
      <c r="L16" s="584" t="str">
        <f>IF(K16="na","na",IF(K16="TBD","TBD",IF($C16="na","na",(K16*Eqtn!$D$202*($C16+Eqtn!$D$203+(Eqtn!$D$204*$D16))))))</f>
        <v>na</v>
      </c>
      <c r="M16" s="584" t="str">
        <f>IF(K16="na","na",IF(K16="TBD","TBD",IF($C16="na","na",((K16*Eqtn!$D$205)*($C16+Eqtn!$D$206)))))</f>
        <v>na</v>
      </c>
      <c r="N16" s="348"/>
      <c r="O16" s="348">
        <f>IF(N16="na","na",IF(N16="TBD","TBD",IF($C16="na","na",(N16*Eqtn!$D$202*($C16+Eqtn!$D$203+(Eqtn!$D$204*$D16))))))</f>
        <v>0</v>
      </c>
      <c r="P16" s="367">
        <f>IF(N16="na","na",IF(N16="TBD","TBD",IF($C16="na","na",((N16*Eqtn!$D$205)*($C16+Eqtn!$D$206)))))</f>
        <v>0</v>
      </c>
      <c r="R16" s="1064"/>
    </row>
    <row r="17" spans="1:18" ht="13.9" customHeight="1" x14ac:dyDescent="0.2">
      <c r="A17" s="1069">
        <f>Chem!A17</f>
        <v>15</v>
      </c>
      <c r="B17" s="891" t="str">
        <f>Chem!B17</f>
        <v>Nitrate</v>
      </c>
      <c r="C17" s="423" t="str">
        <f>Param!F17</f>
        <v>na</v>
      </c>
      <c r="D17" s="423">
        <f>Param!M17</f>
        <v>0</v>
      </c>
      <c r="E17" s="461">
        <f>PW!O17</f>
        <v>10000</v>
      </c>
      <c r="F17" s="461" t="str">
        <f>IF(E17="na","na",IF($C17="na","na",(E17*Eqtn!$D$202*($C17+Eqtn!$D$203+(Eqtn!$D$204*$D17)))))</f>
        <v>na</v>
      </c>
      <c r="G17" s="461" t="str">
        <f>IF(E17="na","na",IF($C17="na","na",((E17*Eqtn!$D$205)*($C17+Eqtn!$D$206))))</f>
        <v>na</v>
      </c>
      <c r="H17" s="221" t="str">
        <f>SW!R17</f>
        <v>na</v>
      </c>
      <c r="I17" s="289" t="str">
        <f>IF(H17="na","na",IF($C17="na","na",(H17*Eqtn!$D$202*($C17+Eqtn!$D$203+(Eqtn!$D$204*$D17)))))</f>
        <v>na</v>
      </c>
      <c r="J17" s="289" t="str">
        <f>IF(H17="na","na",IF($C17="na","na",((H17*Eqtn!$D$205)*($C17+Eqtn!$D$206))))</f>
        <v>na</v>
      </c>
      <c r="K17" s="584" t="str">
        <f>Partit!E17</f>
        <v>na</v>
      </c>
      <c r="L17" s="584" t="str">
        <f>IF(K17="na","na",IF(K17="TBD","TBD",IF($C17="na","na",(K17*Eqtn!$D$202*($C17+Eqtn!$D$203+(Eqtn!$D$204*$D17))))))</f>
        <v>na</v>
      </c>
      <c r="M17" s="584" t="str">
        <f>IF(K17="na","na",IF(K17="TBD","TBD",IF($C17="na","na",((K17*Eqtn!$D$205)*($C17+Eqtn!$D$206)))))</f>
        <v>na</v>
      </c>
      <c r="N17" s="348"/>
      <c r="O17" s="348" t="str">
        <f>IF(N17="na","na",IF(N17="TBD","TBD",IF($C17="na","na",(N17*Eqtn!$D$202*($C17+Eqtn!$D$203+(Eqtn!$D$204*$D17))))))</f>
        <v>na</v>
      </c>
      <c r="P17" s="367" t="str">
        <f>IF(N17="na","na",IF(N17="TBD","TBD",IF($C17="na","na",((N17*Eqtn!$D$205)*($C17+Eqtn!$D$206)))))</f>
        <v>na</v>
      </c>
      <c r="R17" s="1064"/>
    </row>
    <row r="18" spans="1:18" ht="13.9" customHeight="1" x14ac:dyDescent="0.2">
      <c r="A18" s="844">
        <f>Chem!A18</f>
        <v>16</v>
      </c>
      <c r="B18" s="891" t="str">
        <f>Chem!B18</f>
        <v>Nitrite</v>
      </c>
      <c r="C18" s="423" t="str">
        <f>Param!F18</f>
        <v>na</v>
      </c>
      <c r="D18" s="423">
        <f>Param!M18</f>
        <v>0</v>
      </c>
      <c r="E18" s="461">
        <f>PW!O18</f>
        <v>1000</v>
      </c>
      <c r="F18" s="461" t="str">
        <f>IF(E18="na","na",IF($C18="na","na",(E18*Eqtn!$D$202*($C18+Eqtn!$D$203+(Eqtn!$D$204*$D18)))))</f>
        <v>na</v>
      </c>
      <c r="G18" s="461" t="str">
        <f>IF(E18="na","na",IF($C18="na","na",((E18*Eqtn!$D$205)*($C18+Eqtn!$D$206))))</f>
        <v>na</v>
      </c>
      <c r="H18" s="221" t="str">
        <f>SW!R18</f>
        <v>na</v>
      </c>
      <c r="I18" s="289" t="str">
        <f>IF(H18="na","na",IF($C18="na","na",(H18*Eqtn!$D$202*($C18+Eqtn!$D$203+(Eqtn!$D$204*$D18)))))</f>
        <v>na</v>
      </c>
      <c r="J18" s="289" t="str">
        <f>IF(H18="na","na",IF($C18="na","na",((H18*Eqtn!$D$205)*($C18+Eqtn!$D$206))))</f>
        <v>na</v>
      </c>
      <c r="K18" s="584" t="str">
        <f>Partit!E18</f>
        <v>na</v>
      </c>
      <c r="L18" s="584" t="str">
        <f>IF(K18="na","na",IF(K18="TBD","TBD",IF($C18="na","na",(K18*Eqtn!$D$202*($C18+Eqtn!$D$203+(Eqtn!$D$204*$D18))))))</f>
        <v>na</v>
      </c>
      <c r="M18" s="584" t="str">
        <f>IF(K18="na","na",IF(K18="TBD","TBD",IF($C18="na","na",((K18*Eqtn!$D$205)*($C18+Eqtn!$D$206)))))</f>
        <v>na</v>
      </c>
      <c r="N18" s="348"/>
      <c r="O18" s="348" t="str">
        <f>IF(N18="na","na",IF(N18="TBD","TBD",IF($C18="na","na",(N18*Eqtn!$D$202*($C18+Eqtn!$D$203+(Eqtn!$D$204*$D18))))))</f>
        <v>na</v>
      </c>
      <c r="P18" s="367" t="str">
        <f>IF(N18="na","na",IF(N18="TBD","TBD",IF($C18="na","na",((N18*Eqtn!$D$205)*($C18+Eqtn!$D$206)))))</f>
        <v>na</v>
      </c>
      <c r="R18" s="1064"/>
    </row>
    <row r="19" spans="1:18" ht="13.9" customHeight="1" x14ac:dyDescent="0.2">
      <c r="A19" s="1321">
        <f>Chem!A19</f>
        <v>17</v>
      </c>
      <c r="B19" s="891" t="str">
        <f>Chem!B19</f>
        <v>Sulfate</v>
      </c>
      <c r="C19" s="423" t="str">
        <f>Param!F19</f>
        <v>na</v>
      </c>
      <c r="D19" s="423">
        <f>Param!M19</f>
        <v>0</v>
      </c>
      <c r="E19" s="461">
        <f>PW!O19</f>
        <v>250000</v>
      </c>
      <c r="F19" s="461" t="str">
        <f>IF(E19="na","na",IF($C19="na","na",(E19*Eqtn!$D$202*($C19+Eqtn!$D$203+(Eqtn!$D$204*$D19)))))</f>
        <v>na</v>
      </c>
      <c r="G19" s="461" t="str">
        <f>IF(E19="na","na",IF($C19="na","na",((E19*Eqtn!$D$205)*($C19+Eqtn!$D$206))))</f>
        <v>na</v>
      </c>
      <c r="H19" s="221" t="str">
        <f>SW!R19</f>
        <v>na</v>
      </c>
      <c r="I19" s="289" t="str">
        <f>IF(H19="na","na",IF($C19="na","na",(H19*Eqtn!$D$202*($C19+Eqtn!$D$203+(Eqtn!$D$204*$D19)))))</f>
        <v>na</v>
      </c>
      <c r="J19" s="289" t="str">
        <f>IF(H19="na","na",IF($C19="na","na",((H19*Eqtn!$D$205)*($C19+Eqtn!$D$206))))</f>
        <v>na</v>
      </c>
      <c r="K19" s="584" t="str">
        <f>Partit!E19</f>
        <v>na</v>
      </c>
      <c r="L19" s="584" t="str">
        <f>IF(K19="na","na",IF(K19="TBD","TBD",IF($C19="na","na",(K19*Eqtn!$D$202*($C19+Eqtn!$D$203+(Eqtn!$D$204*$D19))))))</f>
        <v>na</v>
      </c>
      <c r="M19" s="584" t="str">
        <f>IF(K19="na","na",IF(K19="TBD","TBD",IF($C19="na","na",((K19*Eqtn!$D$205)*($C19+Eqtn!$D$206)))))</f>
        <v>na</v>
      </c>
      <c r="N19" s="348"/>
      <c r="O19" s="348" t="str">
        <f>IF(N19="na","na",IF(N19="TBD","TBD",IF($C19="na","na",(N19*Eqtn!$D$202*($C19+Eqtn!$D$203+(Eqtn!$D$204*$D19))))))</f>
        <v>na</v>
      </c>
      <c r="P19" s="367" t="str">
        <f>IF(N19="na","na",IF(N19="TBD","TBD",IF($C19="na","na",((N19*Eqtn!$D$205)*($C19+Eqtn!$D$206)))))</f>
        <v>na</v>
      </c>
      <c r="R19" s="1064"/>
    </row>
    <row r="20" spans="1:18" ht="13.9" customHeight="1" x14ac:dyDescent="0.2">
      <c r="A20" s="1322">
        <f>Chem!A20</f>
        <v>18</v>
      </c>
      <c r="B20" s="1186" t="str">
        <f>Chem!B20</f>
        <v>Sulfide</v>
      </c>
      <c r="C20" s="1187" t="str">
        <f>Param!F20</f>
        <v>na</v>
      </c>
      <c r="D20" s="1187">
        <f>Param!M20</f>
        <v>0</v>
      </c>
      <c r="E20" s="579" t="str">
        <f>PW!O20</f>
        <v>na</v>
      </c>
      <c r="F20" s="579" t="str">
        <f>IF(E20="na","na",IF($C20="na","na",(E20*Eqtn!$D$202*($C20+Eqtn!$D$203+(Eqtn!$D$204*$D20)))))</f>
        <v>na</v>
      </c>
      <c r="G20" s="579" t="str">
        <f>IF(E20="na","na",IF($C20="na","na",((E20*Eqtn!$D$205)*($C20+Eqtn!$D$206))))</f>
        <v>na</v>
      </c>
      <c r="H20" s="257" t="str">
        <f>SW!R20</f>
        <v>na</v>
      </c>
      <c r="I20" s="1188" t="str">
        <f>IF(H20="na","na",IF($C20="na","na",(H20*Eqtn!$D$202*($C20+Eqtn!$D$203+(Eqtn!$D$204*$D20)))))</f>
        <v>na</v>
      </c>
      <c r="J20" s="1188" t="str">
        <f>IF(H20="na","na",IF($C20="na","na",((H20*Eqtn!$D$205)*($C20+Eqtn!$D$206))))</f>
        <v>na</v>
      </c>
      <c r="K20" s="1189" t="str">
        <f>Partit!E20</f>
        <v>na</v>
      </c>
      <c r="L20" s="1189" t="str">
        <f>IF(K20="na","na",IF(K20="TBD","TBD",IF($C20="na","na",(K20*Eqtn!$D$202*($C20+Eqtn!$D$203+(Eqtn!$D$204*$D20))))))</f>
        <v>na</v>
      </c>
      <c r="M20" s="1189" t="str">
        <f>IF(K20="na","na",IF(K20="TBD","TBD",IF($C20="na","na",((K20*Eqtn!$D$205)*($C20+Eqtn!$D$206)))))</f>
        <v>na</v>
      </c>
      <c r="N20" s="737"/>
      <c r="O20" s="737" t="str">
        <f>IF(N20="na","na",IF(N20="TBD","TBD",IF($C20="na","na",(N20*Eqtn!$D$202*($C20+Eqtn!$D$203+(Eqtn!$D$204*$D20))))))</f>
        <v>na</v>
      </c>
      <c r="P20" s="740" t="str">
        <f>IF(N20="na","na",IF(N20="TBD","TBD",IF($C20="na","na",((N20*Eqtn!$D$205)*($C20+Eqtn!$D$206)))))</f>
        <v>na</v>
      </c>
      <c r="R20" s="1064"/>
    </row>
    <row r="21" spans="1:18" ht="13.9" customHeight="1" x14ac:dyDescent="0.25">
      <c r="A21" s="906">
        <f>Chem!A21</f>
        <v>19</v>
      </c>
      <c r="B21" s="887" t="str">
        <f>Chem!B21</f>
        <v>Metals</v>
      </c>
      <c r="C21" s="31"/>
      <c r="D21" s="31"/>
      <c r="E21" s="31"/>
      <c r="F21" s="31"/>
      <c r="G21" s="31"/>
      <c r="H21" s="259"/>
      <c r="I21" s="31"/>
      <c r="J21" s="31"/>
      <c r="K21" s="31"/>
      <c r="L21" s="31"/>
      <c r="M21" s="31"/>
      <c r="N21" s="31"/>
      <c r="O21" s="31"/>
      <c r="P21" s="648"/>
      <c r="Q21" s="129"/>
      <c r="R21" s="1063"/>
    </row>
    <row r="22" spans="1:18" ht="13.9" customHeight="1" x14ac:dyDescent="0.25">
      <c r="A22" s="846">
        <f>Chem!A22</f>
        <v>20</v>
      </c>
      <c r="B22" s="890" t="str">
        <f>Chem!B22</f>
        <v>Aluminum</v>
      </c>
      <c r="C22" s="652">
        <f>Param!F22</f>
        <v>1500</v>
      </c>
      <c r="D22" s="652">
        <f>Param!M22</f>
        <v>0</v>
      </c>
      <c r="E22" s="458">
        <f>PW!O22</f>
        <v>16000</v>
      </c>
      <c r="F22" s="458">
        <f>IF(E22="na","na",IF($C22="na","na",(E22*Eqtn!$D$202*($C22+Eqtn!$D$203+(Eqtn!$D$204*$D22)))))</f>
        <v>480064</v>
      </c>
      <c r="G22" s="458">
        <f>IF(E22="na","na",IF($C22="na","na",((E22*Eqtn!$D$205)*($C22+Eqtn!$D$206))))</f>
        <v>24004.586666666666</v>
      </c>
      <c r="H22" s="254" t="str">
        <f>SW!R22</f>
        <v>na</v>
      </c>
      <c r="I22" s="621" t="str">
        <f>IF(H22="na","na",IF($C22="na","na",(H22*Eqtn!$D$202*($C22+Eqtn!$D$203+(Eqtn!$D$204*$D22)))))</f>
        <v>na</v>
      </c>
      <c r="J22" s="621" t="str">
        <f>IF(H22="na","na",IF($C22="na","na",((H22*Eqtn!$D$205)*($C22+Eqtn!$D$206))))</f>
        <v>na</v>
      </c>
      <c r="K22" s="653" t="str">
        <f>Partit!E22</f>
        <v>na</v>
      </c>
      <c r="L22" s="653" t="str">
        <f>IF(K22="na","na",IF(K22="TBD","TBD",IF($C22="na","na",(K22*Eqtn!$D$202*($C22+Eqtn!$D$203+(Eqtn!$D$204*$D22))))))</f>
        <v>na</v>
      </c>
      <c r="M22" s="653" t="str">
        <f>IF(K22="na","na",IF(K22="TBD","TBD",IF($C22="na","na",((K22*Eqtn!$D$205)*($C22+Eqtn!$D$206)))))</f>
        <v>na</v>
      </c>
      <c r="N22" s="721"/>
      <c r="O22" s="721">
        <f>IF(N22="na","na",IF(N22="TBD","TBD",IF($C22="na","na",(N22*Eqtn!$D$202*($C22+Eqtn!$D$203+(Eqtn!$D$204*$D22))))))</f>
        <v>0</v>
      </c>
      <c r="P22" s="722">
        <f>IF(N22="na","na",IF(N22="TBD","TBD",IF($C22="na","na",((N22*Eqtn!$D$205)*($C22+Eqtn!$D$206)))))</f>
        <v>0</v>
      </c>
      <c r="R22" s="1062"/>
    </row>
    <row r="23" spans="1:18" ht="13.9" customHeight="1" x14ac:dyDescent="0.25">
      <c r="A23" s="847">
        <f>Chem!A23</f>
        <v>21</v>
      </c>
      <c r="B23" s="891" t="str">
        <f>Chem!B23</f>
        <v>Antimony</v>
      </c>
      <c r="C23" s="423">
        <f>Param!F23</f>
        <v>45</v>
      </c>
      <c r="D23" s="423">
        <f>Param!M23</f>
        <v>0</v>
      </c>
      <c r="E23" s="461">
        <f>PW!O23</f>
        <v>6</v>
      </c>
      <c r="F23" s="461">
        <f>IF(E23="na","na",IF($C23="na","na",(E23*Eqtn!$D$202*($C23+Eqtn!$D$203+(Eqtn!$D$204*$D23)))))</f>
        <v>5.4240000000000004</v>
      </c>
      <c r="G23" s="461">
        <f>IF(E23="na","na",IF($C23="na","na",((E23*Eqtn!$D$205)*($C23+Eqtn!$D$206))))</f>
        <v>0.27172000000000002</v>
      </c>
      <c r="H23" s="221">
        <f>SW!R23</f>
        <v>90</v>
      </c>
      <c r="I23" s="289">
        <f>IF(H23="na","na",IF($C23="na","na",(H23*Eqtn!$D$202*($C23+Eqtn!$D$203+(Eqtn!$D$204*$D23)))))</f>
        <v>81.360000000000014</v>
      </c>
      <c r="J23" s="289">
        <f>IF(H23="na","na",IF($C23="na","na",((H23*Eqtn!$D$205)*($C23+Eqtn!$D$206))))</f>
        <v>4.0758000000000001</v>
      </c>
      <c r="K23" s="584" t="str">
        <f>Partit!E23</f>
        <v>na</v>
      </c>
      <c r="L23" s="584" t="str">
        <f>IF(K23="na","na",IF(K23="TBD","TBD",IF($C23="na","na",(K23*Eqtn!$D$202*($C23+Eqtn!$D$203+(Eqtn!$D$204*$D23))))))</f>
        <v>na</v>
      </c>
      <c r="M23" s="584" t="str">
        <f>IF(K23="na","na",IF(K23="TBD","TBD",IF($C23="na","na",((K23*Eqtn!$D$205)*($C23+Eqtn!$D$206)))))</f>
        <v>na</v>
      </c>
      <c r="N23" s="348"/>
      <c r="O23" s="348">
        <f>IF(N23="na","na",IF(N23="TBD","TBD",IF($C23="na","na",(N23*Eqtn!$D$202*($C23+Eqtn!$D$203+(Eqtn!$D$204*$D23))))))</f>
        <v>0</v>
      </c>
      <c r="P23" s="367">
        <f>IF(N23="na","na",IF(N23="TBD","TBD",IF($C23="na","na",((N23*Eqtn!$D$205)*($C23+Eqtn!$D$206)))))</f>
        <v>0</v>
      </c>
      <c r="R23" s="1062"/>
    </row>
    <row r="24" spans="1:18" ht="13.9" customHeight="1" x14ac:dyDescent="0.25">
      <c r="A24" s="847">
        <f>Chem!A24</f>
        <v>22</v>
      </c>
      <c r="B24" s="891" t="str">
        <f>Chem!B24</f>
        <v>Arsenic</v>
      </c>
      <c r="C24" s="423">
        <f>Param!F24</f>
        <v>29</v>
      </c>
      <c r="D24" s="423">
        <f>Param!M24</f>
        <v>0</v>
      </c>
      <c r="E24" s="461">
        <f>PW!O24</f>
        <v>2.7343749999999993E-2</v>
      </c>
      <c r="F24" s="461">
        <f>IF(E24="na","na",IF($C24="na","na",(E24*Eqtn!$D$202*($C24+Eqtn!$D$203+(Eqtn!$D$204*$D24)))))</f>
        <v>1.5968749999999993E-2</v>
      </c>
      <c r="G24" s="461">
        <f>IF(E24="na","na",IF($C24="na","na",((E24*Eqtn!$D$205)*($C24+Eqtn!$D$206))))</f>
        <v>8.0080729166666646E-4</v>
      </c>
      <c r="H24" s="221">
        <f>SW!R24</f>
        <v>1.2747668997668996E-2</v>
      </c>
      <c r="I24" s="289">
        <f>IF(H24="na","na",IF($C24="na","na",(H24*Eqtn!$D$202*($C24+Eqtn!$D$203+(Eqtn!$D$204*$D24)))))</f>
        <v>7.4446386946386937E-3</v>
      </c>
      <c r="J24" s="289">
        <f>IF(H24="na","na",IF($C24="na","na",((H24*Eqtn!$D$205)*($C24+Eqtn!$D$206))))</f>
        <v>3.7333673271173264E-4</v>
      </c>
      <c r="K24" s="584">
        <f>Partit!E24</f>
        <v>221.49837133550486</v>
      </c>
      <c r="L24" s="584">
        <f>IF(K24="na","na",IF(K24="TBD","TBD",IF($C24="na","na",(K24*Eqtn!$D$202*($C24+Eqtn!$D$203+(Eqtn!$D$204*$D24))))))</f>
        <v>129.35504885993484</v>
      </c>
      <c r="M24" s="584">
        <f>IF(K24="na","na",IF(K24="TBD","TBD",IF($C24="na","na",((K24*Eqtn!$D$205)*($C24+Eqtn!$D$206)))))</f>
        <v>6.4869489685124861</v>
      </c>
      <c r="N24" s="348">
        <v>8</v>
      </c>
      <c r="O24" s="348">
        <f>IF(N24="na","na",IF(N24="TBD","TBD",IF($C24="na","na",(N24*Eqtn!$D$202*($C24+Eqtn!$D$203+(Eqtn!$D$204*$D24))))))</f>
        <v>4.6719999999999997</v>
      </c>
      <c r="P24" s="367">
        <f>IF(N24="na","na",IF(N24="TBD","TBD",IF($C24="na","na",((N24*Eqtn!$D$205)*($C24+Eqtn!$D$206)))))</f>
        <v>0.23429333333333333</v>
      </c>
      <c r="R24" s="1062"/>
    </row>
    <row r="25" spans="1:18" ht="13.9" customHeight="1" x14ac:dyDescent="0.25">
      <c r="A25" s="847">
        <f>Chem!A25</f>
        <v>23</v>
      </c>
      <c r="B25" s="891" t="str">
        <f>Chem!B25</f>
        <v>Barium</v>
      </c>
      <c r="C25" s="423">
        <f>Param!F25</f>
        <v>41</v>
      </c>
      <c r="D25" s="423">
        <f>Param!M25</f>
        <v>0</v>
      </c>
      <c r="E25" s="461">
        <f>PW!O25</f>
        <v>2000</v>
      </c>
      <c r="F25" s="461">
        <f>IF(E25="na","na",IF($C25="na","na",(E25*Eqtn!$D$202*($C25+Eqtn!$D$203+(Eqtn!$D$204*$D25)))))</f>
        <v>1648</v>
      </c>
      <c r="G25" s="461">
        <f>IF(E25="na","na",IF($C25="na","na",((E25*Eqtn!$D$205)*($C25+Eqtn!$D$206))))</f>
        <v>82.573333333333338</v>
      </c>
      <c r="H25" s="221">
        <f>SW!R25</f>
        <v>200</v>
      </c>
      <c r="I25" s="289">
        <f>IF(H25="na","na",IF($C25="na","na",(H25*Eqtn!$D$202*($C25+Eqtn!$D$203+(Eqtn!$D$204*$D25)))))</f>
        <v>164.8</v>
      </c>
      <c r="J25" s="289">
        <f>IF(H25="na","na",IF($C25="na","na",((H25*Eqtn!$D$205)*($C25+Eqtn!$D$206))))</f>
        <v>8.2573333333333334</v>
      </c>
      <c r="K25" s="584" t="str">
        <f>Partit!E25</f>
        <v>na</v>
      </c>
      <c r="L25" s="584" t="str">
        <f>IF(K25="na","na",IF(K25="TBD","TBD",IF($C25="na","na",(K25*Eqtn!$D$202*($C25+Eqtn!$D$203+(Eqtn!$D$204*$D25))))))</f>
        <v>na</v>
      </c>
      <c r="M25" s="584" t="str">
        <f>IF(K25="na","na",IF(K25="TBD","TBD",IF($C25="na","na",((K25*Eqtn!$D$205)*($C25+Eqtn!$D$206)))))</f>
        <v>na</v>
      </c>
      <c r="N25" s="348"/>
      <c r="O25" s="348">
        <f>IF(N25="na","na",IF(N25="TBD","TBD",IF($C25="na","na",(N25*Eqtn!$D$202*($C25+Eqtn!$D$203+(Eqtn!$D$204*$D25))))))</f>
        <v>0</v>
      </c>
      <c r="P25" s="367">
        <f>IF(N25="na","na",IF(N25="TBD","TBD",IF($C25="na","na",((N25*Eqtn!$D$205)*($C25+Eqtn!$D$206)))))</f>
        <v>0</v>
      </c>
      <c r="R25" s="1062"/>
    </row>
    <row r="26" spans="1:18" ht="13.9" customHeight="1" x14ac:dyDescent="0.25">
      <c r="A26" s="847">
        <f>Chem!A26</f>
        <v>24</v>
      </c>
      <c r="B26" s="891" t="str">
        <f>Chem!B26</f>
        <v>Beryllium</v>
      </c>
      <c r="C26" s="423">
        <f>Param!F26</f>
        <v>790</v>
      </c>
      <c r="D26" s="423">
        <f>Param!M26</f>
        <v>0</v>
      </c>
      <c r="E26" s="461">
        <f>PW!O26</f>
        <v>4</v>
      </c>
      <c r="F26" s="461">
        <f>IF(E26="na","na",IF($C26="na","na",(E26*Eqtn!$D$202*($C26+Eqtn!$D$203+(Eqtn!$D$204*$D26)))))</f>
        <v>63.216000000000008</v>
      </c>
      <c r="G26" s="461">
        <f>IF(E26="na","na",IF($C26="na","na",((E26*Eqtn!$D$205)*($C26+Eqtn!$D$206))))</f>
        <v>3.1611466666666668</v>
      </c>
      <c r="H26" s="221">
        <f>SW!R26</f>
        <v>75.573549257759794</v>
      </c>
      <c r="I26" s="289">
        <f>IF(H26="na","na",IF($C26="na","na",(H26*Eqtn!$D$202*($C26+Eqtn!$D$203+(Eqtn!$D$204*$D26)))))</f>
        <v>1194.364372469636</v>
      </c>
      <c r="J26" s="289">
        <f>IF(H26="na","na",IF($C26="na","na",((H26*Eqtn!$D$205)*($C26+Eqtn!$D$206))))</f>
        <v>59.724768331084121</v>
      </c>
      <c r="K26" s="584" t="str">
        <f>Partit!E26</f>
        <v>na</v>
      </c>
      <c r="L26" s="584" t="str">
        <f>IF(K26="na","na",IF(K26="TBD","TBD",IF($C26="na","na",(K26*Eqtn!$D$202*($C26+Eqtn!$D$203+(Eqtn!$D$204*$D26))))))</f>
        <v>na</v>
      </c>
      <c r="M26" s="584" t="str">
        <f>IF(K26="na","na",IF(K26="TBD","TBD",IF($C26="na","na",((K26*Eqtn!$D$205)*($C26+Eqtn!$D$206)))))</f>
        <v>na</v>
      </c>
      <c r="N26" s="348"/>
      <c r="O26" s="348">
        <f>IF(N26="na","na",IF(N26="TBD","TBD",IF($C26="na","na",(N26*Eqtn!$D$202*($C26+Eqtn!$D$203+(Eqtn!$D$204*$D26))))))</f>
        <v>0</v>
      </c>
      <c r="P26" s="367">
        <f>IF(N26="na","na",IF(N26="TBD","TBD",IF($C26="na","na",((N26*Eqtn!$D$205)*($C26+Eqtn!$D$206)))))</f>
        <v>0</v>
      </c>
      <c r="R26" s="1062"/>
    </row>
    <row r="27" spans="1:18" ht="13.9" customHeight="1" x14ac:dyDescent="0.25">
      <c r="A27" s="847">
        <f>Chem!A27</f>
        <v>25</v>
      </c>
      <c r="B27" s="891" t="str">
        <f>Chem!B27</f>
        <v>Cadmium</v>
      </c>
      <c r="C27" s="423">
        <f>Param!F27</f>
        <v>6.7</v>
      </c>
      <c r="D27" s="423">
        <f>Param!M27</f>
        <v>0</v>
      </c>
      <c r="E27" s="461">
        <f>PW!O27</f>
        <v>5</v>
      </c>
      <c r="F27" s="461">
        <f>IF(E27="na","na",IF($C27="na","na",(E27*Eqtn!$D$202*($C27+Eqtn!$D$203+(Eqtn!$D$204*$D27)))))</f>
        <v>0.69000000000000006</v>
      </c>
      <c r="G27" s="461">
        <f>IF(E27="na","na",IF($C27="na","na",((E27*Eqtn!$D$205)*($C27+Eqtn!$D$206))))</f>
        <v>3.4933333333333337E-2</v>
      </c>
      <c r="H27" s="221">
        <f>SW!R27</f>
        <v>7.9</v>
      </c>
      <c r="I27" s="289">
        <f>IF(H27="na","na",IF($C27="na","na",(H27*Eqtn!$D$202*($C27+Eqtn!$D$203+(Eqtn!$D$204*$D27)))))</f>
        <v>1.0902000000000001</v>
      </c>
      <c r="J27" s="289">
        <f>IF(H27="na","na",IF($C27="na","na",((H27*Eqtn!$D$205)*($C27+Eqtn!$D$206))))</f>
        <v>5.5194666666666677E-2</v>
      </c>
      <c r="K27" s="584">
        <f>Partit!E27</f>
        <v>1.1858802288324823</v>
      </c>
      <c r="L27" s="584">
        <f>IF(K27="na","na",IF(K27="TBD","TBD",IF($C27="na","na",(K27*Eqtn!$D$202*($C27+Eqtn!$D$203+(Eqtn!$D$204*$D27))))))</f>
        <v>0.16365147157888257</v>
      </c>
      <c r="M27" s="584">
        <f>IF(K27="na","na",IF(K27="TBD","TBD",IF($C27="na","na",((K27*Eqtn!$D$205)*($C27+Eqtn!$D$206)))))</f>
        <v>8.2853498654429439E-3</v>
      </c>
      <c r="N27" s="348"/>
      <c r="O27" s="348">
        <f>IF(N27="na","na",IF(N27="TBD","TBD",IF($C27="na","na",(N27*Eqtn!$D$202*($C27+Eqtn!$D$203+(Eqtn!$D$204*$D27))))))</f>
        <v>0</v>
      </c>
      <c r="P27" s="367">
        <f>IF(N27="na","na",IF(N27="TBD","TBD",IF($C27="na","na",((N27*Eqtn!$D$205)*($C27+Eqtn!$D$206)))))</f>
        <v>0</v>
      </c>
      <c r="R27" s="1062"/>
    </row>
    <row r="28" spans="1:18" ht="13.9" customHeight="1" x14ac:dyDescent="0.25">
      <c r="A28" s="847">
        <f>Chem!A28</f>
        <v>26</v>
      </c>
      <c r="B28" s="891" t="str">
        <f>Chem!B28</f>
        <v>Chromium, total</v>
      </c>
      <c r="C28" s="423">
        <f>Param!F28</f>
        <v>1000</v>
      </c>
      <c r="D28" s="423">
        <f>Param!M28</f>
        <v>0</v>
      </c>
      <c r="E28" s="461">
        <f>PW!O28</f>
        <v>100</v>
      </c>
      <c r="F28" s="461">
        <f>IF(E28="na","na",IF($C28="na","na",(E28*Eqtn!$D$202*($C28+Eqtn!$D$203+(Eqtn!$D$204*$D28)))))</f>
        <v>2000.4</v>
      </c>
      <c r="G28" s="461">
        <f>IF(E28="na","na",IF($C28="na","na",((E28*Eqtn!$D$205)*($C28+Eqtn!$D$206))))</f>
        <v>100.02866666666667</v>
      </c>
      <c r="H28" s="221" t="str">
        <f>SW!R28</f>
        <v>na</v>
      </c>
      <c r="I28" s="289" t="str">
        <f>IF(H28="na","na",IF($C28="na","na",(H28*Eqtn!$D$202*($C28+Eqtn!$D$203+(Eqtn!$D$204*$D28)))))</f>
        <v>na</v>
      </c>
      <c r="J28" s="289" t="str">
        <f>IF(H28="na","na",IF($C28="na","na",((H28*Eqtn!$D$205)*($C28+Eqtn!$D$206))))</f>
        <v>na</v>
      </c>
      <c r="K28" s="584" t="str">
        <f>Partit!E28</f>
        <v>na</v>
      </c>
      <c r="L28" s="584" t="str">
        <f>IF(K28="na","na",IF(K28="TBD","TBD",IF($C28="na","na",(K28*Eqtn!$D$202*($C28+Eqtn!$D$203+(Eqtn!$D$204*$D28))))))</f>
        <v>na</v>
      </c>
      <c r="M28" s="584" t="str">
        <f>IF(K28="na","na",IF(K28="TBD","TBD",IF($C28="na","na",((K28*Eqtn!$D$205)*($C28+Eqtn!$D$206)))))</f>
        <v>na</v>
      </c>
      <c r="N28" s="348"/>
      <c r="O28" s="348">
        <f>IF(N28="na","na",IF(N28="TBD","TBD",IF($C28="na","na",(N28*Eqtn!$D$202*($C28+Eqtn!$D$203+(Eqtn!$D$204*$D28))))))</f>
        <v>0</v>
      </c>
      <c r="P28" s="367">
        <f>IF(N28="na","na",IF(N28="TBD","TBD",IF($C28="na","na",((N28*Eqtn!$D$205)*($C28+Eqtn!$D$206)))))</f>
        <v>0</v>
      </c>
      <c r="R28" s="1062"/>
    </row>
    <row r="29" spans="1:18" ht="13.9" customHeight="1" x14ac:dyDescent="0.25">
      <c r="A29" s="847">
        <f>Chem!A29</f>
        <v>27</v>
      </c>
      <c r="B29" s="891" t="str">
        <f>Chem!B29</f>
        <v>Chromium, trivalent</v>
      </c>
      <c r="C29" s="423">
        <f>Param!F29</f>
        <v>1000</v>
      </c>
      <c r="D29" s="423">
        <f>Param!M29</f>
        <v>0</v>
      </c>
      <c r="E29" s="461">
        <f>PW!O29</f>
        <v>24000</v>
      </c>
      <c r="F29" s="715">
        <f>F28</f>
        <v>2000.4</v>
      </c>
      <c r="G29" s="715">
        <f>G28</f>
        <v>100.02866666666667</v>
      </c>
      <c r="H29" s="221">
        <f>SW!R29</f>
        <v>27.4</v>
      </c>
      <c r="I29" s="289">
        <f>IF(H29="na","na",IF($C29="na","na",(H29*Eqtn!$D$202*($C29+Eqtn!$D$203+(Eqtn!$D$204*$D29)))))</f>
        <v>548.1096</v>
      </c>
      <c r="J29" s="289">
        <f>IF(H29="na","na",IF($C29="na","na",((H29*Eqtn!$D$205)*($C29+Eqtn!$D$206))))</f>
        <v>27.407854666666665</v>
      </c>
      <c r="K29" s="584" t="str">
        <f>Partit!E29</f>
        <v>na</v>
      </c>
      <c r="L29" s="584" t="str">
        <f>IF(K29="na","na",IF(K29="TBD","TBD",IF($C29="na","na",(K29*Eqtn!$D$202*($C29+Eqtn!$D$203+(Eqtn!$D$204*$D29))))))</f>
        <v>na</v>
      </c>
      <c r="M29" s="584" t="str">
        <f>IF(K29="na","na",IF(K29="TBD","TBD",IF($C29="na","na",((K29*Eqtn!$D$205)*($C29+Eqtn!$D$206)))))</f>
        <v>na</v>
      </c>
      <c r="N29" s="348"/>
      <c r="O29" s="348">
        <f>IF(N29="na","na",IF(N29="TBD","TBD",IF($C29="na","na",(N29*Eqtn!$D$202*($C29+Eqtn!$D$203+(Eqtn!$D$204*$D29))))))</f>
        <v>0</v>
      </c>
      <c r="P29" s="367">
        <f>IF(N29="na","na",IF(N29="TBD","TBD",IF($C29="na","na",((N29*Eqtn!$D$205)*($C29+Eqtn!$D$206)))))</f>
        <v>0</v>
      </c>
      <c r="R29" s="1062"/>
    </row>
    <row r="30" spans="1:18" ht="13.9" customHeight="1" x14ac:dyDescent="0.25">
      <c r="A30" s="847">
        <f>Chem!A30</f>
        <v>28</v>
      </c>
      <c r="B30" s="891" t="str">
        <f>Chem!B30</f>
        <v>Chromium, hexavalent</v>
      </c>
      <c r="C30" s="423">
        <f>Param!F30</f>
        <v>19</v>
      </c>
      <c r="D30" s="423">
        <f>Param!M30</f>
        <v>0</v>
      </c>
      <c r="E30" s="461">
        <f>PW!O30</f>
        <v>1.4</v>
      </c>
      <c r="F30" s="461">
        <f>IF(E30="na","na",IF($C30="na","na",(E30*Eqtn!$D$202*($C30+Eqtn!$D$203+(Eqtn!$D$204*$D30)))))</f>
        <v>0.53759999999999997</v>
      </c>
      <c r="G30" s="461">
        <f>IF(E30="na","na",IF($C30="na","na",((E30*Eqtn!$D$205)*($C30+Eqtn!$D$206))))</f>
        <v>2.7001333333333332E-2</v>
      </c>
      <c r="H30" s="221">
        <f>SW!R30</f>
        <v>1.6151726557700139</v>
      </c>
      <c r="I30" s="289">
        <f>IF(H30="na","na",IF($C30="na","na",(H30*Eqtn!$D$202*($C30+Eqtn!$D$203+(Eqtn!$D$204*$D30)))))</f>
        <v>0.62022629981568522</v>
      </c>
      <c r="J30" s="289">
        <f>IF(H30="na","na",IF($C30="na","na",((H30*Eqtn!$D$205)*($C30+Eqtn!$D$206))))</f>
        <v>3.1151296620951001E-2</v>
      </c>
      <c r="K30" s="584" t="str">
        <f>Partit!E30</f>
        <v>na</v>
      </c>
      <c r="L30" s="584" t="str">
        <f>IF(K30="na","na",IF(K30="TBD","TBD",IF($C30="na","na",(K30*Eqtn!$D$202*($C30+Eqtn!$D$203+(Eqtn!$D$204*$D30))))))</f>
        <v>na</v>
      </c>
      <c r="M30" s="584" t="str">
        <f>IF(K30="na","na",IF(K30="TBD","TBD",IF($C30="na","na",((K30*Eqtn!$D$205)*($C30+Eqtn!$D$206)))))</f>
        <v>na</v>
      </c>
      <c r="N30" s="348"/>
      <c r="O30" s="348">
        <f>IF(N30="na","na",IF(N30="TBD","TBD",IF($C30="na","na",(N30*Eqtn!$D$202*($C30+Eqtn!$D$203+(Eqtn!$D$204*$D30))))))</f>
        <v>0</v>
      </c>
      <c r="P30" s="367">
        <f>IF(N30="na","na",IF(N30="TBD","TBD",IF($C30="na","na",((N30*Eqtn!$D$205)*($C30+Eqtn!$D$206)))))</f>
        <v>0</v>
      </c>
      <c r="R30" s="1062"/>
    </row>
    <row r="31" spans="1:18" ht="13.9" customHeight="1" x14ac:dyDescent="0.25">
      <c r="A31" s="847">
        <f>Chem!A31</f>
        <v>29</v>
      </c>
      <c r="B31" s="891" t="str">
        <f>Chem!B31</f>
        <v>Cobalt</v>
      </c>
      <c r="C31" s="423">
        <f>Param!F31</f>
        <v>45</v>
      </c>
      <c r="D31" s="423">
        <f>Param!M31</f>
        <v>0</v>
      </c>
      <c r="E31" s="461">
        <f>PW!O31</f>
        <v>4.8</v>
      </c>
      <c r="F31" s="461">
        <f>IF(E31="na","na",IF($C31="na","na",(E31*Eqtn!$D$202*($C31+Eqtn!$D$203+(Eqtn!$D$204*$D31)))))</f>
        <v>4.3391999999999999</v>
      </c>
      <c r="G31" s="461">
        <f>IF(E31="na","na",IF($C31="na","na",((E31*Eqtn!$D$205)*($C31+Eqtn!$D$206))))</f>
        <v>0.21737599999999999</v>
      </c>
      <c r="H31" s="221" t="str">
        <f>SW!R31</f>
        <v>na</v>
      </c>
      <c r="I31" s="289" t="str">
        <f>IF(H31="na","na",IF($C31="na","na",(H31*Eqtn!$D$202*($C31+Eqtn!$D$203+(Eqtn!$D$204*$D31)))))</f>
        <v>na</v>
      </c>
      <c r="J31" s="289" t="str">
        <f>IF(H31="na","na",IF($C31="na","na",((H31*Eqtn!$D$205)*($C31+Eqtn!$D$206))))</f>
        <v>na</v>
      </c>
      <c r="K31" s="584" t="str">
        <f>Partit!E31</f>
        <v>na</v>
      </c>
      <c r="L31" s="584" t="str">
        <f>IF(K31="na","na",IF(K31="TBD","TBD",IF($C31="na","na",(K31*Eqtn!$D$202*($C31+Eqtn!$D$203+(Eqtn!$D$204*$D31))))))</f>
        <v>na</v>
      </c>
      <c r="M31" s="584" t="str">
        <f>IF(K31="na","na",IF(K31="TBD","TBD",IF($C31="na","na",((K31*Eqtn!$D$205)*($C31+Eqtn!$D$206)))))</f>
        <v>na</v>
      </c>
      <c r="N31" s="348"/>
      <c r="O31" s="348">
        <f>IF(N31="na","na",IF(N31="TBD","TBD",IF($C31="na","na",(N31*Eqtn!$D$202*($C31+Eqtn!$D$203+(Eqtn!$D$204*$D31))))))</f>
        <v>0</v>
      </c>
      <c r="P31" s="367">
        <f>IF(N31="na","na",IF(N31="TBD","TBD",IF($C31="na","na",((N31*Eqtn!$D$205)*($C31+Eqtn!$D$206)))))</f>
        <v>0</v>
      </c>
      <c r="R31" s="1062"/>
    </row>
    <row r="32" spans="1:18" ht="13.9" customHeight="1" x14ac:dyDescent="0.25">
      <c r="A32" s="847">
        <f>Chem!A32</f>
        <v>30</v>
      </c>
      <c r="B32" s="891" t="str">
        <f>Chem!B32</f>
        <v>Copper</v>
      </c>
      <c r="C32" s="423">
        <f>Param!F32</f>
        <v>22</v>
      </c>
      <c r="D32" s="423">
        <f>Param!M32</f>
        <v>0</v>
      </c>
      <c r="E32" s="461">
        <f>PW!O32</f>
        <v>640</v>
      </c>
      <c r="F32" s="461">
        <f>IF(E32="na","na",IF($C32="na","na",(E32*Eqtn!$D$202*($C32+Eqtn!$D$203+(Eqtn!$D$204*$D32)))))</f>
        <v>284.16000000000003</v>
      </c>
      <c r="G32" s="461">
        <f>IF(E32="na","na",IF($C32="na","na",((E32*Eqtn!$D$205)*($C32+Eqtn!$D$206))))</f>
        <v>14.263466666666666</v>
      </c>
      <c r="H32" s="221">
        <f>SW!R32</f>
        <v>3.1</v>
      </c>
      <c r="I32" s="289">
        <f>IF(H32="na","na",IF($C32="na","na",(H32*Eqtn!$D$202*($C32+Eqtn!$D$203+(Eqtn!$D$204*$D32)))))</f>
        <v>1.3764000000000001</v>
      </c>
      <c r="J32" s="289">
        <f>IF(H32="na","na",IF($C32="na","na",((H32*Eqtn!$D$205)*($C32+Eqtn!$D$206))))</f>
        <v>6.9088666666666673E-2</v>
      </c>
      <c r="K32" s="584">
        <f>Partit!E32</f>
        <v>13.6839210315984</v>
      </c>
      <c r="L32" s="584">
        <f>IF(K32="na","na",IF(K32="TBD","TBD",IF($C32="na","na",(K32*Eqtn!$D$202*($C32+Eqtn!$D$203+(Eqtn!$D$204*$D32))))))</f>
        <v>6.0756609380296895</v>
      </c>
      <c r="M32" s="584">
        <f>IF(K32="na","na",IF(K32="TBD","TBD",IF($C32="na","na",((K32*Eqtn!$D$205)*($C32+Eqtn!$D$206)))))</f>
        <v>0.30496898672422301</v>
      </c>
      <c r="N32" s="348"/>
      <c r="O32" s="348">
        <f>IF(N32="na","na",IF(N32="TBD","TBD",IF($C32="na","na",(N32*Eqtn!$D$202*($C32+Eqtn!$D$203+(Eqtn!$D$204*$D32))))))</f>
        <v>0</v>
      </c>
      <c r="P32" s="367">
        <f>IF(N32="na","na",IF(N32="TBD","TBD",IF($C32="na","na",((N32*Eqtn!$D$205)*($C32+Eqtn!$D$206)))))</f>
        <v>0</v>
      </c>
      <c r="R32" s="1062"/>
    </row>
    <row r="33" spans="1:18" ht="13.9" customHeight="1" x14ac:dyDescent="0.25">
      <c r="A33" s="847">
        <f>Chem!A33</f>
        <v>31</v>
      </c>
      <c r="B33" s="891" t="str">
        <f>Chem!B33</f>
        <v>Iron</v>
      </c>
      <c r="C33" s="423">
        <f>Param!F33</f>
        <v>25</v>
      </c>
      <c r="D33" s="423">
        <f>Param!M33</f>
        <v>0</v>
      </c>
      <c r="E33" s="461">
        <f>PW!O33</f>
        <v>300</v>
      </c>
      <c r="F33" s="461">
        <f>IF(E33="na","na",IF($C33="na","na",(E33*Eqtn!$D$202*($C33+Eqtn!$D$203+(Eqtn!$D$204*$D33)))))</f>
        <v>151.19999999999999</v>
      </c>
      <c r="G33" s="461">
        <f>IF(E33="na","na",IF($C33="na","na",((E33*Eqtn!$D$205)*($C33+Eqtn!$D$206))))</f>
        <v>7.5859999999999994</v>
      </c>
      <c r="H33" s="221" t="str">
        <f>SW!R33</f>
        <v>na</v>
      </c>
      <c r="I33" s="289" t="str">
        <f>IF(H33="na","na",IF($C33="na","na",(H33*Eqtn!$D$202*($C33+Eqtn!$D$203+(Eqtn!$D$204*$D33)))))</f>
        <v>na</v>
      </c>
      <c r="J33" s="289" t="str">
        <f>IF(H33="na","na",IF($C33="na","na",((H33*Eqtn!$D$205)*($C33+Eqtn!$D$206))))</f>
        <v>na</v>
      </c>
      <c r="K33" s="584" t="str">
        <f>Partit!E33</f>
        <v>na</v>
      </c>
      <c r="L33" s="584" t="str">
        <f>IF(K33="na","na",IF(K33="TBD","TBD",IF($C33="na","na",(K33*Eqtn!$D$202*($C33+Eqtn!$D$203+(Eqtn!$D$204*$D33))))))</f>
        <v>na</v>
      </c>
      <c r="M33" s="584" t="str">
        <f>IF(K33="na","na",IF(K33="TBD","TBD",IF($C33="na","na",((K33*Eqtn!$D$205)*($C33+Eqtn!$D$206)))))</f>
        <v>na</v>
      </c>
      <c r="N33" s="348"/>
      <c r="O33" s="348">
        <f>IF(N33="na","na",IF(N33="TBD","TBD",IF($C33="na","na",(N33*Eqtn!$D$202*($C33+Eqtn!$D$203+(Eqtn!$D$204*$D33))))))</f>
        <v>0</v>
      </c>
      <c r="P33" s="367">
        <f>IF(N33="na","na",IF(N33="TBD","TBD",IF($C33="na","na",((N33*Eqtn!$D$205)*($C33+Eqtn!$D$206)))))</f>
        <v>0</v>
      </c>
      <c r="R33" s="1062"/>
    </row>
    <row r="34" spans="1:18" ht="13.9" customHeight="1" x14ac:dyDescent="0.25">
      <c r="A34" s="847">
        <f>Chem!A34</f>
        <v>32</v>
      </c>
      <c r="B34" s="891" t="str">
        <f>Chem!B34</f>
        <v>Lead</v>
      </c>
      <c r="C34" s="423">
        <f>Param!F34</f>
        <v>10000</v>
      </c>
      <c r="D34" s="423">
        <f>Param!M34</f>
        <v>0</v>
      </c>
      <c r="E34" s="461">
        <f>PW!O34</f>
        <v>10</v>
      </c>
      <c r="F34" s="461">
        <f>IF(E34="na","na",IF($C34="na","na",(E34*Eqtn!$D$202*($C34+Eqtn!$D$203+(Eqtn!$D$204*$D34)))))</f>
        <v>2000.0400000000002</v>
      </c>
      <c r="G34" s="461">
        <f>IF(E34="na","na",IF($C34="na","na",((E34*Eqtn!$D$205)*($C34+Eqtn!$D$206))))</f>
        <v>100.00286666666668</v>
      </c>
      <c r="H34" s="221">
        <f>SW!R34</f>
        <v>8.1</v>
      </c>
      <c r="I34" s="289">
        <f>IF(H34="na","na",IF($C34="na","na",(H34*Eqtn!$D$202*($C34+Eqtn!$D$203+(Eqtn!$D$204*$D34)))))</f>
        <v>1620.0324000000003</v>
      </c>
      <c r="J34" s="289">
        <f>IF(H34="na","na",IF($C34="na","na",((H34*Eqtn!$D$205)*($C34+Eqtn!$D$206))))</f>
        <v>81.002321999999992</v>
      </c>
      <c r="K34" s="584">
        <f>Partit!E34</f>
        <v>19.337702643008942</v>
      </c>
      <c r="L34" s="584">
        <f>IF(K34="na","na",IF(K34="TBD","TBD",IF($C34="na","na",(K34*Eqtn!$D$202*($C34+Eqtn!$D$203+(Eqtn!$D$204*$D34))))))</f>
        <v>3867.6178794123607</v>
      </c>
      <c r="M34" s="584">
        <f>IF(K34="na","na",IF(K34="TBD","TBD",IF($C34="na","na",((K34*Eqtn!$D$205)*($C34+Eqtn!$D$206)))))</f>
        <v>193.38256990484709</v>
      </c>
      <c r="N34" s="348"/>
      <c r="O34" s="348">
        <f>IF(N34="na","na",IF(N34="TBD","TBD",IF($C34="na","na",(N34*Eqtn!$D$202*($C34+Eqtn!$D$203+(Eqtn!$D$204*$D34))))))</f>
        <v>0</v>
      </c>
      <c r="P34" s="367">
        <f>IF(N34="na","na",IF(N34="TBD","TBD",IF($C34="na","na",((N34*Eqtn!$D$205)*($C34+Eqtn!$D$206)))))</f>
        <v>0</v>
      </c>
      <c r="R34" s="1062"/>
    </row>
    <row r="35" spans="1:18" ht="13.9" customHeight="1" x14ac:dyDescent="0.25">
      <c r="A35" s="847">
        <f>Chem!A35</f>
        <v>33</v>
      </c>
      <c r="B35" s="891" t="str">
        <f>Chem!B35</f>
        <v>Manganese</v>
      </c>
      <c r="C35" s="423">
        <f>Param!F35</f>
        <v>65</v>
      </c>
      <c r="D35" s="423">
        <f>Param!M35</f>
        <v>0</v>
      </c>
      <c r="E35" s="461">
        <f>PW!O35</f>
        <v>50</v>
      </c>
      <c r="F35" s="461">
        <f>IF(E35="na","na",IF($C35="na","na",(E35*Eqtn!$D$202*($C35+Eqtn!$D$203+(Eqtn!$D$204*$D35)))))</f>
        <v>65.2</v>
      </c>
      <c r="G35" s="461">
        <f>IF(E35="na","na",IF($C35="na","na",((E35*Eqtn!$D$205)*($C35+Eqtn!$D$206))))</f>
        <v>3.2643333333333331</v>
      </c>
      <c r="H35" s="221">
        <f>SW!R35</f>
        <v>100</v>
      </c>
      <c r="I35" s="289">
        <f>IF(H35="na","na",IF($C35="na","na",(H35*Eqtn!$D$202*($C35+Eqtn!$D$203+(Eqtn!$D$204*$D35)))))</f>
        <v>130.4</v>
      </c>
      <c r="J35" s="289">
        <f>IF(H35="na","na",IF($C35="na","na",((H35*Eqtn!$D$205)*($C35+Eqtn!$D$206))))</f>
        <v>6.5286666666666662</v>
      </c>
      <c r="K35" s="584" t="str">
        <f>Partit!E35</f>
        <v>na</v>
      </c>
      <c r="L35" s="584" t="str">
        <f>IF(K35="na","na",IF(K35="TBD","TBD",IF($C35="na","na",(K35*Eqtn!$D$202*($C35+Eqtn!$D$203+(Eqtn!$D$204*$D35))))))</f>
        <v>na</v>
      </c>
      <c r="M35" s="584" t="str">
        <f>IF(K35="na","na",IF(K35="TBD","TBD",IF($C35="na","na",((K35*Eqtn!$D$205)*($C35+Eqtn!$D$206)))))</f>
        <v>na</v>
      </c>
      <c r="N35" s="348"/>
      <c r="O35" s="348">
        <f>IF(N35="na","na",IF(N35="TBD","TBD",IF($C35="na","na",(N35*Eqtn!$D$202*($C35+Eqtn!$D$203+(Eqtn!$D$204*$D35))))))</f>
        <v>0</v>
      </c>
      <c r="P35" s="367">
        <f>IF(N35="na","na",IF(N35="TBD","TBD",IF($C35="na","na",((N35*Eqtn!$D$205)*($C35+Eqtn!$D$206)))))</f>
        <v>0</v>
      </c>
      <c r="R35" s="1062"/>
    </row>
    <row r="36" spans="1:18" ht="13.9" customHeight="1" x14ac:dyDescent="0.25">
      <c r="A36" s="847">
        <f>Chem!A36</f>
        <v>34</v>
      </c>
      <c r="B36" s="891" t="str">
        <f>Chem!B36</f>
        <v>Mercury, inorganic</v>
      </c>
      <c r="C36" s="423">
        <f>Param!F36</f>
        <v>52</v>
      </c>
      <c r="D36" s="423">
        <f>Param!M36</f>
        <v>0.16573713573395538</v>
      </c>
      <c r="E36" s="461">
        <f>PW!O36</f>
        <v>2</v>
      </c>
      <c r="F36" s="461">
        <f>IF(E36="na","na",IF($C36="na","na",(E36*Eqtn!$D$202*($C36+Eqtn!$D$203+(Eqtn!$D$204*$D36)))))</f>
        <v>2.0885745554038779</v>
      </c>
      <c r="G36" s="461">
        <f>IF(E36="na","na",IF($C36="na","na",((E36*Eqtn!$D$205)*($C36+Eqtn!$D$206))))</f>
        <v>0.10457333333333334</v>
      </c>
      <c r="H36" s="221">
        <f>SW!R36</f>
        <v>2.5000000000000001E-2</v>
      </c>
      <c r="I36" s="289">
        <f>IF(H36="na","na",IF($C36="na","na",(H36*Eqtn!$D$202*($C36+Eqtn!$D$203+(Eqtn!$D$204*$D36)))))</f>
        <v>2.6107181942548473E-2</v>
      </c>
      <c r="J36" s="289">
        <f>IF(H36="na","na",IF($C36="na","na",((H36*Eqtn!$D$205)*($C36+Eqtn!$D$206))))</f>
        <v>1.3071666666666668E-3</v>
      </c>
      <c r="K36" s="584">
        <f>Partit!E36</f>
        <v>2.0438384282677222</v>
      </c>
      <c r="L36" s="584">
        <f>IF(K36="na","na",IF(K36="TBD","TBD",IF($C36="na","na",(K36*Eqtn!$D$202*($C36+Eqtn!$D$203+(Eqtn!$D$204*$D36))))))</f>
        <v>2.1343544683183091</v>
      </c>
      <c r="M36" s="584">
        <f>IF(K36="na","na",IF(K36="TBD","TBD",IF($C36="na","na",((K36*Eqtn!$D$205)*($C36+Eqtn!$D$206)))))</f>
        <v>0.1068654986193583</v>
      </c>
      <c r="N36" s="348"/>
      <c r="O36" s="348">
        <f>IF(N36="na","na",IF(N36="TBD","TBD",IF($C36="na","na",(N36*Eqtn!$D$202*($C36+Eqtn!$D$203+(Eqtn!$D$204*$D36))))))</f>
        <v>0</v>
      </c>
      <c r="P36" s="367">
        <f>IF(N36="na","na",IF(N36="TBD","TBD",IF($C36="na","na",((N36*Eqtn!$D$205)*($C36+Eqtn!$D$206)))))</f>
        <v>0</v>
      </c>
      <c r="R36" s="1062"/>
    </row>
    <row r="37" spans="1:18" ht="13.9" customHeight="1" x14ac:dyDescent="0.25">
      <c r="A37" s="847">
        <f>Chem!A37</f>
        <v>35</v>
      </c>
      <c r="B37" s="891" t="str">
        <f>Chem!B37</f>
        <v>Methylmercury</v>
      </c>
      <c r="C37" s="423">
        <f>Param!F37</f>
        <v>7000</v>
      </c>
      <c r="D37" s="423">
        <f>Param!M37</f>
        <v>0</v>
      </c>
      <c r="E37" s="461">
        <f>PW!O37</f>
        <v>1.6</v>
      </c>
      <c r="F37" s="461">
        <f>IF(E37="na","na",IF($C37="na","na",(E37*Eqtn!$D$202*($C37+Eqtn!$D$203+(Eqtn!$D$204*$D37)))))</f>
        <v>224.00639999999999</v>
      </c>
      <c r="G37" s="461">
        <f>IF(E37="na","na",IF($C37="na","na",((E37*Eqtn!$D$205)*($C37+Eqtn!$D$206))))</f>
        <v>11.200458666666668</v>
      </c>
      <c r="H37" s="221" t="str">
        <f>SW!R37</f>
        <v>na</v>
      </c>
      <c r="I37" s="289" t="str">
        <f>IF(H37="na","na",IF($C37="na","na",(H37*Eqtn!$D$202*($C37+Eqtn!$D$203+(Eqtn!$D$204*$D37)))))</f>
        <v>na</v>
      </c>
      <c r="J37" s="289" t="str">
        <f>IF(H37="na","na",IF($C37="na","na",((H37*Eqtn!$D$205)*($C37+Eqtn!$D$206))))</f>
        <v>na</v>
      </c>
      <c r="K37" s="584" t="str">
        <f>Partit!E37</f>
        <v>na</v>
      </c>
      <c r="L37" s="584" t="str">
        <f>IF(K37="na","na",IF(K37="TBD","TBD",IF($C37="na","na",(K37*Eqtn!$D$202*($C37+Eqtn!$D$203+(Eqtn!$D$204*$D37))))))</f>
        <v>na</v>
      </c>
      <c r="M37" s="584" t="str">
        <f>IF(K37="na","na",IF(K37="TBD","TBD",IF($C37="na","na",((K37*Eqtn!$D$205)*($C37+Eqtn!$D$206)))))</f>
        <v>na</v>
      </c>
      <c r="N37" s="348"/>
      <c r="O37" s="348">
        <f>IF(N37="na","na",IF(N37="TBD","TBD",IF($C37="na","na",(N37*Eqtn!$D$202*($C37+Eqtn!$D$203+(Eqtn!$D$204*$D37))))))</f>
        <v>0</v>
      </c>
      <c r="P37" s="367">
        <f>IF(N37="na","na",IF(N37="TBD","TBD",IF($C37="na","na",((N37*Eqtn!$D$205)*($C37+Eqtn!$D$206)))))</f>
        <v>0</v>
      </c>
      <c r="R37" s="1062"/>
    </row>
    <row r="38" spans="1:18" ht="13.9" customHeight="1" x14ac:dyDescent="0.25">
      <c r="A38" s="847">
        <f>Chem!A38</f>
        <v>36</v>
      </c>
      <c r="B38" s="891" t="str">
        <f>Chem!B38</f>
        <v>Molybdenum</v>
      </c>
      <c r="C38" s="423">
        <f>Param!F38</f>
        <v>20</v>
      </c>
      <c r="D38" s="423">
        <f>Param!M38</f>
        <v>0</v>
      </c>
      <c r="E38" s="461">
        <f>PW!O38</f>
        <v>80</v>
      </c>
      <c r="F38" s="461">
        <f>IF(E38="na","na",IF($C38="na","na",(E38*Eqtn!$D$202*($C38+Eqtn!$D$203+(Eqtn!$D$204*$D38)))))</f>
        <v>32.32</v>
      </c>
      <c r="G38" s="461">
        <f>IF(E38="na","na",IF($C38="na","na",((E38*Eqtn!$D$205)*($C38+Eqtn!$D$206))))</f>
        <v>1.6229333333333333</v>
      </c>
      <c r="H38" s="221" t="str">
        <f>SW!R38</f>
        <v>na</v>
      </c>
      <c r="I38" s="289" t="str">
        <f>IF(H38="na","na",IF($C38="na","na",(H38*Eqtn!$D$202*($C38+Eqtn!$D$203+(Eqtn!$D$204*$D38)))))</f>
        <v>na</v>
      </c>
      <c r="J38" s="289" t="str">
        <f>IF(H38="na","na",IF($C38="na","na",((H38*Eqtn!$D$205)*($C38+Eqtn!$D$206))))</f>
        <v>na</v>
      </c>
      <c r="K38" s="584" t="str">
        <f>Partit!E38</f>
        <v>na</v>
      </c>
      <c r="L38" s="584" t="str">
        <f>IF(K38="na","na",IF(K38="TBD","TBD",IF($C38="na","na",(K38*Eqtn!$D$202*($C38+Eqtn!$D$203+(Eqtn!$D$204*$D38))))))</f>
        <v>na</v>
      </c>
      <c r="M38" s="584" t="str">
        <f>IF(K38="na","na",IF(K38="TBD","TBD",IF($C38="na","na",((K38*Eqtn!$D$205)*($C38+Eqtn!$D$206)))))</f>
        <v>na</v>
      </c>
      <c r="N38" s="348"/>
      <c r="O38" s="348">
        <f>IF(N38="na","na",IF(N38="TBD","TBD",IF($C38="na","na",(N38*Eqtn!$D$202*($C38+Eqtn!$D$203+(Eqtn!$D$204*$D38))))))</f>
        <v>0</v>
      </c>
      <c r="P38" s="367">
        <f>IF(N38="na","na",IF(N38="TBD","TBD",IF($C38="na","na",((N38*Eqtn!$D$205)*($C38+Eqtn!$D$206)))))</f>
        <v>0</v>
      </c>
      <c r="R38" s="1062"/>
    </row>
    <row r="39" spans="1:18" ht="13.9" customHeight="1" x14ac:dyDescent="0.25">
      <c r="A39" s="847">
        <f>Chem!A39</f>
        <v>37</v>
      </c>
      <c r="B39" s="891" t="str">
        <f>Chem!B39</f>
        <v>Nickel</v>
      </c>
      <c r="C39" s="423">
        <f>Param!F39</f>
        <v>65</v>
      </c>
      <c r="D39" s="423">
        <f>Param!M39</f>
        <v>0</v>
      </c>
      <c r="E39" s="461">
        <f>PW!O39</f>
        <v>320</v>
      </c>
      <c r="F39" s="461">
        <f>IF(E39="na","na",IF($C39="na","na",(E39*Eqtn!$D$202*($C39+Eqtn!$D$203+(Eqtn!$D$204*$D39)))))</f>
        <v>417.28000000000003</v>
      </c>
      <c r="G39" s="461">
        <f>IF(E39="na","na",IF($C39="na","na",((E39*Eqtn!$D$205)*($C39+Eqtn!$D$206))))</f>
        <v>20.891733333333331</v>
      </c>
      <c r="H39" s="221">
        <f>SW!R39</f>
        <v>8.1999999999999993</v>
      </c>
      <c r="I39" s="289">
        <f>IF(H39="na","na",IF($C39="na","na",(H39*Eqtn!$D$202*($C39+Eqtn!$D$203+(Eqtn!$D$204*$D39)))))</f>
        <v>10.692799999999998</v>
      </c>
      <c r="J39" s="289">
        <f>IF(H39="na","na",IF($C39="na","na",((H39*Eqtn!$D$205)*($C39+Eqtn!$D$206))))</f>
        <v>0.53535066666666653</v>
      </c>
      <c r="K39" s="584" t="str">
        <f>Partit!E39</f>
        <v>na</v>
      </c>
      <c r="L39" s="584" t="str">
        <f>IF(K39="na","na",IF(K39="TBD","TBD",IF($C39="na","na",(K39*Eqtn!$D$202*($C39+Eqtn!$D$203+(Eqtn!$D$204*$D39))))))</f>
        <v>na</v>
      </c>
      <c r="M39" s="584" t="str">
        <f>IF(K39="na","na",IF(K39="TBD","TBD",IF($C39="na","na",((K39*Eqtn!$D$205)*($C39+Eqtn!$D$206)))))</f>
        <v>na</v>
      </c>
      <c r="N39" s="348"/>
      <c r="O39" s="348">
        <f>IF(N39="na","na",IF(N39="TBD","TBD",IF($C39="na","na",(N39*Eqtn!$D$202*($C39+Eqtn!$D$203+(Eqtn!$D$204*$D39))))))</f>
        <v>0</v>
      </c>
      <c r="P39" s="367">
        <f>IF(N39="na","na",IF(N39="TBD","TBD",IF($C39="na","na",((N39*Eqtn!$D$205)*($C39+Eqtn!$D$206)))))</f>
        <v>0</v>
      </c>
      <c r="R39" s="1062"/>
    </row>
    <row r="40" spans="1:18" ht="13.9" customHeight="1" x14ac:dyDescent="0.25">
      <c r="A40" s="847">
        <f>Chem!A40</f>
        <v>38</v>
      </c>
      <c r="B40" s="891" t="str">
        <f>Chem!B40</f>
        <v>Selenium</v>
      </c>
      <c r="C40" s="423">
        <f>Param!F40</f>
        <v>5</v>
      </c>
      <c r="D40" s="423">
        <f>Param!M40</f>
        <v>0</v>
      </c>
      <c r="E40" s="461">
        <f>PW!O40</f>
        <v>50</v>
      </c>
      <c r="F40" s="461">
        <f>IF(E40="na","na",IF($C40="na","na",(E40*Eqtn!$D$202*($C40+Eqtn!$D$203+(Eqtn!$D$204*$D40)))))</f>
        <v>5.2</v>
      </c>
      <c r="G40" s="461">
        <f>IF(E40="na","na",IF($C40="na","na",((E40*Eqtn!$D$205)*($C40+Eqtn!$D$206))))</f>
        <v>0.26433333333333336</v>
      </c>
      <c r="H40" s="221">
        <f>SW!R40</f>
        <v>71</v>
      </c>
      <c r="I40" s="289">
        <f>IF(H40="na","na",IF($C40="na","na",(H40*Eqtn!$D$202*($C40+Eqtn!$D$203+(Eqtn!$D$204*$D40)))))</f>
        <v>7.3839999999999995</v>
      </c>
      <c r="J40" s="289">
        <f>IF(H40="na","na",IF($C40="na","na",((H40*Eqtn!$D$205)*($C40+Eqtn!$D$206))))</f>
        <v>0.37535333333333343</v>
      </c>
      <c r="K40" s="584" t="str">
        <f>Partit!E40</f>
        <v>na</v>
      </c>
      <c r="L40" s="584" t="str">
        <f>IF(K40="na","na",IF(K40="TBD","TBD",IF($C40="na","na",(K40*Eqtn!$D$202*($C40+Eqtn!$D$203+(Eqtn!$D$204*$D40))))))</f>
        <v>na</v>
      </c>
      <c r="M40" s="584" t="str">
        <f>IF(K40="na","na",IF(K40="TBD","TBD",IF($C40="na","na",((K40*Eqtn!$D$205)*($C40+Eqtn!$D$206)))))</f>
        <v>na</v>
      </c>
      <c r="N40" s="348"/>
      <c r="O40" s="348">
        <f>IF(N40="na","na",IF(N40="TBD","TBD",IF($C40="na","na",(N40*Eqtn!$D$202*($C40+Eqtn!$D$203+(Eqtn!$D$204*$D40))))))</f>
        <v>0</v>
      </c>
      <c r="P40" s="367">
        <f>IF(N40="na","na",IF(N40="TBD","TBD",IF($C40="na","na",((N40*Eqtn!$D$205)*($C40+Eqtn!$D$206)))))</f>
        <v>0</v>
      </c>
      <c r="R40" s="1062"/>
    </row>
    <row r="41" spans="1:18" ht="13.9" customHeight="1" x14ac:dyDescent="0.25">
      <c r="A41" s="847">
        <f>Chem!A41</f>
        <v>39</v>
      </c>
      <c r="B41" s="891" t="str">
        <f>Chem!B41</f>
        <v>Silver</v>
      </c>
      <c r="C41" s="423">
        <f>Param!F41</f>
        <v>8.3000000000000007</v>
      </c>
      <c r="D41" s="423">
        <f>Param!M41</f>
        <v>0</v>
      </c>
      <c r="E41" s="461">
        <f>PW!O41</f>
        <v>80</v>
      </c>
      <c r="F41" s="461">
        <f>IF(E41="na","na",IF($C41="na","na",(E41*Eqtn!$D$202*($C41+Eqtn!$D$203+(Eqtn!$D$204*$D41)))))</f>
        <v>13.600000000000001</v>
      </c>
      <c r="G41" s="461">
        <f>IF(E41="na","na",IF($C41="na","na",((E41*Eqtn!$D$205)*($C41+Eqtn!$D$206))))</f>
        <v>0.6869333333333334</v>
      </c>
      <c r="H41" s="221">
        <f>SW!R41</f>
        <v>0.91</v>
      </c>
      <c r="I41" s="289">
        <f>IF(H41="na","na",IF($C41="na","na",(H41*Eqtn!$D$202*($C41+Eqtn!$D$203+(Eqtn!$D$204*$D41)))))</f>
        <v>0.1547</v>
      </c>
      <c r="J41" s="289">
        <f>IF(H41="na","na",IF($C41="na","na",((H41*Eqtn!$D$205)*($C41+Eqtn!$D$206))))</f>
        <v>7.8138666666666672E-3</v>
      </c>
      <c r="K41" s="584">
        <f>Partit!E41</f>
        <v>55.152240393564675</v>
      </c>
      <c r="L41" s="584">
        <f>IF(K41="na","na",IF(K41="TBD","TBD",IF($C41="na","na",(K41*Eqtn!$D$202*($C41+Eqtn!$D$203+(Eqtn!$D$204*$D41))))))</f>
        <v>9.3758808669059945</v>
      </c>
      <c r="M41" s="584">
        <f>IF(K41="na","na",IF(K41="TBD","TBD",IF($C41="na","na",((K41*Eqtn!$D$205)*($C41+Eqtn!$D$206)))))</f>
        <v>0.47357390417940876</v>
      </c>
      <c r="N41" s="348"/>
      <c r="O41" s="348">
        <f>IF(N41="na","na",IF(N41="TBD","TBD",IF($C41="na","na",(N41*Eqtn!$D$202*($C41+Eqtn!$D$203+(Eqtn!$D$204*$D41))))))</f>
        <v>0</v>
      </c>
      <c r="P41" s="367">
        <f>IF(N41="na","na",IF(N41="TBD","TBD",IF($C41="na","na",((N41*Eqtn!$D$205)*($C41+Eqtn!$D$206)))))</f>
        <v>0</v>
      </c>
      <c r="R41" s="1062"/>
    </row>
    <row r="42" spans="1:18" ht="13.9" customHeight="1" x14ac:dyDescent="0.25">
      <c r="A42" s="847">
        <f>Chem!A42</f>
        <v>40</v>
      </c>
      <c r="B42" s="891" t="str">
        <f>Chem!B42</f>
        <v>Thallium</v>
      </c>
      <c r="C42" s="423">
        <f>Param!F42</f>
        <v>71</v>
      </c>
      <c r="D42" s="423">
        <f>Param!M42</f>
        <v>0</v>
      </c>
      <c r="E42" s="461">
        <f>PW!O42</f>
        <v>0.16</v>
      </c>
      <c r="F42" s="461">
        <f>IF(E42="na","na",IF($C42="na","na",(E42*Eqtn!$D$202*($C42+Eqtn!$D$203+(Eqtn!$D$204*$D42)))))</f>
        <v>0.22784000000000001</v>
      </c>
      <c r="G42" s="461">
        <f>IF(E42="na","na",IF($C42="na","na",((E42*Eqtn!$D$205)*($C42+Eqtn!$D$206))))</f>
        <v>1.1405866666666667E-2</v>
      </c>
      <c r="H42" s="221">
        <f>SW!R42</f>
        <v>6.1892130857648109E-2</v>
      </c>
      <c r="I42" s="289">
        <f>IF(H42="na","na",IF($C42="na","na",(H42*Eqtn!$D$202*($C42+Eqtn!$D$203+(Eqtn!$D$204*$D42)))))</f>
        <v>8.8134394341290917E-2</v>
      </c>
      <c r="J42" s="289">
        <f>IF(H42="na","na",IF($C42="na","na",((H42*Eqtn!$D$205)*($C42+Eqtn!$D$206))))</f>
        <v>4.4120837017388743E-3</v>
      </c>
      <c r="K42" s="584" t="str">
        <f>Partit!E42</f>
        <v>na</v>
      </c>
      <c r="L42" s="584" t="str">
        <f>IF(K42="na","na",IF(K42="TBD","TBD",IF($C42="na","na",(K42*Eqtn!$D$202*($C42+Eqtn!$D$203+(Eqtn!$D$204*$D42))))))</f>
        <v>na</v>
      </c>
      <c r="M42" s="584" t="str">
        <f>IF(K42="na","na",IF(K42="TBD","TBD",IF($C42="na","na",((K42*Eqtn!$D$205)*($C42+Eqtn!$D$206)))))</f>
        <v>na</v>
      </c>
      <c r="N42" s="348"/>
      <c r="O42" s="348">
        <f>IF(N42="na","na",IF(N42="TBD","TBD",IF($C42="na","na",(N42*Eqtn!$D$202*($C42+Eqtn!$D$203+(Eqtn!$D$204*$D42))))))</f>
        <v>0</v>
      </c>
      <c r="P42" s="367">
        <f>IF(N42="na","na",IF(N42="TBD","TBD",IF($C42="na","na",((N42*Eqtn!$D$205)*($C42+Eqtn!$D$206)))))</f>
        <v>0</v>
      </c>
      <c r="R42" s="1062"/>
    </row>
    <row r="43" spans="1:18" ht="13.9" customHeight="1" x14ac:dyDescent="0.25">
      <c r="A43" s="847">
        <f>Chem!A43</f>
        <v>41</v>
      </c>
      <c r="B43" s="891" t="str">
        <f>Chem!B43</f>
        <v>Tin</v>
      </c>
      <c r="C43" s="423">
        <f>Param!F43</f>
        <v>250</v>
      </c>
      <c r="D43" s="423">
        <f>Param!M43</f>
        <v>0</v>
      </c>
      <c r="E43" s="461">
        <f>PW!O43</f>
        <v>9600</v>
      </c>
      <c r="F43" s="461">
        <f>IF(E43="na","na",IF($C43="na","na",(E43*Eqtn!$D$202*($C43+Eqtn!$D$203+(Eqtn!$D$204*$D43)))))</f>
        <v>48038.399999999994</v>
      </c>
      <c r="G43" s="461">
        <f>IF(E43="na","na",IF($C43="na","na",((E43*Eqtn!$D$205)*($C43+Eqtn!$D$206))))</f>
        <v>2402.752</v>
      </c>
      <c r="H43" s="221" t="str">
        <f>SW!R43</f>
        <v>na</v>
      </c>
      <c r="I43" s="289" t="str">
        <f>IF(H43="na","na",IF($C43="na","na",(H43*Eqtn!$D$202*($C43+Eqtn!$D$203+(Eqtn!$D$204*$D43)))))</f>
        <v>na</v>
      </c>
      <c r="J43" s="289" t="str">
        <f>IF(H43="na","na",IF($C43="na","na",((H43*Eqtn!$D$205)*($C43+Eqtn!$D$206))))</f>
        <v>na</v>
      </c>
      <c r="K43" s="584" t="str">
        <f>Partit!E43</f>
        <v>na</v>
      </c>
      <c r="L43" s="584" t="str">
        <f>IF(K43="na","na",IF(K43="TBD","TBD",IF($C43="na","na",(K43*Eqtn!$D$202*($C43+Eqtn!$D$203+(Eqtn!$D$204*$D43))))))</f>
        <v>na</v>
      </c>
      <c r="M43" s="584" t="str">
        <f>IF(K43="na","na",IF(K43="TBD","TBD",IF($C43="na","na",((K43*Eqtn!$D$205)*($C43+Eqtn!$D$206)))))</f>
        <v>na</v>
      </c>
      <c r="N43" s="348"/>
      <c r="O43" s="348">
        <f>IF(N43="na","na",IF(N43="TBD","TBD",IF($C43="na","na",(N43*Eqtn!$D$202*($C43+Eqtn!$D$203+(Eqtn!$D$204*$D43))))))</f>
        <v>0</v>
      </c>
      <c r="P43" s="367">
        <f>IF(N43="na","na",IF(N43="TBD","TBD",IF($C43="na","na",((N43*Eqtn!$D$205)*($C43+Eqtn!$D$206)))))</f>
        <v>0</v>
      </c>
      <c r="R43" s="1062"/>
    </row>
    <row r="44" spans="1:18" ht="13.9" customHeight="1" x14ac:dyDescent="0.25">
      <c r="A44" s="847">
        <f>Chem!A44</f>
        <v>42</v>
      </c>
      <c r="B44" s="891" t="str">
        <f>Chem!B44</f>
        <v>Vanadium</v>
      </c>
      <c r="C44" s="423">
        <f>Param!F44</f>
        <v>1000</v>
      </c>
      <c r="D44" s="423">
        <f>Param!M44</f>
        <v>0</v>
      </c>
      <c r="E44" s="461">
        <f>PW!O44</f>
        <v>80</v>
      </c>
      <c r="F44" s="461">
        <f>IF(E44="na","na",IF($C44="na","na",(E44*Eqtn!$D$202*($C44+Eqtn!$D$203+(Eqtn!$D$204*$D44)))))</f>
        <v>1600.3200000000002</v>
      </c>
      <c r="G44" s="461">
        <f>IF(E44="na","na",IF($C44="na","na",((E44*Eqtn!$D$205)*($C44+Eqtn!$D$206))))</f>
        <v>80.022933333333327</v>
      </c>
      <c r="H44" s="221" t="str">
        <f>SW!R44</f>
        <v>na</v>
      </c>
      <c r="I44" s="289" t="str">
        <f>IF(H44="na","na",IF($C44="na","na",(H44*Eqtn!$D$202*($C44+Eqtn!$D$203+(Eqtn!$D$204*$D44)))))</f>
        <v>na</v>
      </c>
      <c r="J44" s="289" t="str">
        <f>IF(H44="na","na",IF($C44="na","na",((H44*Eqtn!$D$205)*($C44+Eqtn!$D$206))))</f>
        <v>na</v>
      </c>
      <c r="K44" s="584" t="str">
        <f>Partit!E44</f>
        <v>na</v>
      </c>
      <c r="L44" s="584" t="str">
        <f>IF(K44="na","na",IF(K44="TBD","TBD",IF($C44="na","na",(K44*Eqtn!$D$202*($C44+Eqtn!$D$203+(Eqtn!$D$204*$D44))))))</f>
        <v>na</v>
      </c>
      <c r="M44" s="584" t="str">
        <f>IF(K44="na","na",IF(K44="TBD","TBD",IF($C44="na","na",((K44*Eqtn!$D$205)*($C44+Eqtn!$D$206)))))</f>
        <v>na</v>
      </c>
      <c r="N44" s="348"/>
      <c r="O44" s="348">
        <f>IF(N44="na","na",IF(N44="TBD","TBD",IF($C44="na","na",(N44*Eqtn!$D$202*($C44+Eqtn!$D$203+(Eqtn!$D$204*$D44))))))</f>
        <v>0</v>
      </c>
      <c r="P44" s="367">
        <f>IF(N44="na","na",IF(N44="TBD","TBD",IF($C44="na","na",((N44*Eqtn!$D$205)*($C44+Eqtn!$D$206)))))</f>
        <v>0</v>
      </c>
      <c r="R44" s="1062"/>
    </row>
    <row r="45" spans="1:18" ht="13.9" customHeight="1" x14ac:dyDescent="0.25">
      <c r="A45" s="844">
        <f>Chem!A45</f>
        <v>43</v>
      </c>
      <c r="B45" s="892" t="str">
        <f>Chem!B45</f>
        <v>Zinc</v>
      </c>
      <c r="C45" s="422">
        <f>Param!F45</f>
        <v>62</v>
      </c>
      <c r="D45" s="422">
        <f>Param!M45</f>
        <v>0</v>
      </c>
      <c r="E45" s="460">
        <f>PW!O45</f>
        <v>4800</v>
      </c>
      <c r="F45" s="460">
        <f>IF(E45="na","na",IF($C45="na","na",(E45*Eqtn!$D$202*($C45+Eqtn!$D$203+(Eqtn!$D$204*$D45)))))</f>
        <v>5971.2000000000007</v>
      </c>
      <c r="G45" s="460">
        <f>IF(E45="na","na",IF($C45="na","na",((E45*Eqtn!$D$205)*($C45+Eqtn!$D$206))))</f>
        <v>298.976</v>
      </c>
      <c r="H45" s="256">
        <f>SW!R45</f>
        <v>81</v>
      </c>
      <c r="I45" s="580">
        <f>IF(H45="na","na",IF($C45="na","na",(H45*Eqtn!$D$202*($C45+Eqtn!$D$203+(Eqtn!$D$204*$D45)))))</f>
        <v>100.76400000000001</v>
      </c>
      <c r="J45" s="580">
        <f>IF(H45="na","na",IF($C45="na","na",((H45*Eqtn!$D$205)*($C45+Eqtn!$D$206))))</f>
        <v>5.0452200000000005</v>
      </c>
      <c r="K45" s="585">
        <f>Partit!E45</f>
        <v>772.70585626784168</v>
      </c>
      <c r="L45" s="585">
        <f>IF(K45="na","na",IF(K45="TBD","TBD",IF($C45="na","na",(K45*Eqtn!$D$202*($C45+Eqtn!$D$203+(Eqtn!$D$204*$D45))))))</f>
        <v>961.24608519719516</v>
      </c>
      <c r="M45" s="585">
        <f>IF(K45="na","na",IF(K45="TBD","TBD",IF($C45="na","na",((K45*Eqtn!$D$205)*($C45+Eqtn!$D$206)))))</f>
        <v>48.129272100736301</v>
      </c>
      <c r="N45" s="723"/>
      <c r="O45" s="723">
        <f>IF(N45="na","na",IF(N45="TBD","TBD",IF($C45="na","na",(N45*Eqtn!$D$202*($C45+Eqtn!$D$203+(Eqtn!$D$204*$D45))))))</f>
        <v>0</v>
      </c>
      <c r="P45" s="724">
        <f>IF(N45="na","na",IF(N45="TBD","TBD",IF($C45="na","na",((N45*Eqtn!$D$205)*($C45+Eqtn!$D$206)))))</f>
        <v>0</v>
      </c>
      <c r="R45" s="1062"/>
    </row>
    <row r="46" spans="1:18" ht="13.9" customHeight="1" x14ac:dyDescent="0.25">
      <c r="A46" s="906">
        <f>Chem!A46</f>
        <v>44</v>
      </c>
      <c r="B46" s="887" t="str">
        <f>Chem!B46</f>
        <v>Metals - Butyltins</v>
      </c>
      <c r="C46" s="31"/>
      <c r="D46" s="31"/>
      <c r="E46" s="31"/>
      <c r="F46" s="31"/>
      <c r="G46" s="31"/>
      <c r="H46" s="259"/>
      <c r="I46" s="31"/>
      <c r="J46" s="31"/>
      <c r="K46" s="31"/>
      <c r="L46" s="31"/>
      <c r="M46" s="31"/>
      <c r="N46" s="31"/>
      <c r="O46" s="31"/>
      <c r="P46" s="648"/>
      <c r="Q46" s="129"/>
      <c r="R46" s="1063"/>
    </row>
    <row r="47" spans="1:18" ht="13.9" customHeight="1" x14ac:dyDescent="0.25">
      <c r="A47" s="847">
        <f>Chem!A47</f>
        <v>45</v>
      </c>
      <c r="B47" s="890" t="str">
        <f>Chem!B47</f>
        <v>Monobutyltin</v>
      </c>
      <c r="C47" s="652" t="str">
        <f>Param!F47</f>
        <v>na</v>
      </c>
      <c r="D47" s="652">
        <f>Param!M47</f>
        <v>0</v>
      </c>
      <c r="E47" s="458" t="str">
        <f>PW!O47</f>
        <v>na</v>
      </c>
      <c r="F47" s="458" t="str">
        <f>IF(E47="na","na",IF($C47="na","na",(E47*Eqtn!$D$202*($C47+Eqtn!$D$203+(Eqtn!$D$204*$D47)))))</f>
        <v>na</v>
      </c>
      <c r="G47" s="458" t="str">
        <f>IF(E47="na","na",IF($C47="na","na",((E47*Eqtn!$D$205)*($C47+Eqtn!$D$206))))</f>
        <v>na</v>
      </c>
      <c r="H47" s="254" t="str">
        <f>SW!R47</f>
        <v>na</v>
      </c>
      <c r="I47" s="621" t="str">
        <f>IF(H47="na","na",IF($C47="na","na",(H47*Eqtn!$D$202*($C47+Eqtn!$D$203+(Eqtn!$D$204*$D47)))))</f>
        <v>na</v>
      </c>
      <c r="J47" s="621" t="str">
        <f>IF(H47="na","na",IF($C47="na","na",((H47*Eqtn!$D$205)*($C47+Eqtn!$D$206))))</f>
        <v>na</v>
      </c>
      <c r="K47" s="653" t="str">
        <f>Partit!E47</f>
        <v>na</v>
      </c>
      <c r="L47" s="653" t="str">
        <f>IF(K47="na","na",IF(K47="TBD","TBD",IF($C47="na","na",(K47*Eqtn!$D$202*($C47+Eqtn!$D$203+(Eqtn!$D$204*$D47))))))</f>
        <v>na</v>
      </c>
      <c r="M47" s="653" t="str">
        <f>IF(K47="na","na",IF(K47="TBD","TBD",IF($C47="na","na",((K47*Eqtn!$D$205)*($C47+Eqtn!$D$206)))))</f>
        <v>na</v>
      </c>
      <c r="N47" s="721"/>
      <c r="O47" s="721" t="str">
        <f>IF(N47="na","na",IF(N47="TBD","TBD",IF($C47="na","na",(N47*Eqtn!$D$202*($C47+Eqtn!$D$203+(Eqtn!$D$204*$D47))))))</f>
        <v>na</v>
      </c>
      <c r="P47" s="722" t="str">
        <f>IF(N47="na","na",IF(N47="TBD","TBD",IF($C47="na","na",((N47*Eqtn!$D$205)*($C47+Eqtn!$D$206)))))</f>
        <v>na</v>
      </c>
      <c r="R47" s="1062"/>
    </row>
    <row r="48" spans="1:18" ht="13.9" customHeight="1" x14ac:dyDescent="0.25">
      <c r="A48" s="847">
        <f>Chem!A48</f>
        <v>46</v>
      </c>
      <c r="B48" s="891" t="str">
        <f>Chem!B48</f>
        <v>Dibutyltin</v>
      </c>
      <c r="C48" s="423" t="str">
        <f>Param!F48</f>
        <v>na</v>
      </c>
      <c r="D48" s="423">
        <f>Param!M48</f>
        <v>0</v>
      </c>
      <c r="E48" s="461" t="str">
        <f>PW!O48</f>
        <v>na</v>
      </c>
      <c r="F48" s="461" t="str">
        <f>IF(E48="na","na",IF($C48="na","na",(E48*Eqtn!$D$202*($C48+Eqtn!$D$203+(Eqtn!$D$204*$D48)))))</f>
        <v>na</v>
      </c>
      <c r="G48" s="461" t="str">
        <f>IF(E48="na","na",IF($C48="na","na",((E48*Eqtn!$D$205)*($C48+Eqtn!$D$206))))</f>
        <v>na</v>
      </c>
      <c r="H48" s="221" t="str">
        <f>SW!R48</f>
        <v>na</v>
      </c>
      <c r="I48" s="289" t="str">
        <f>IF(H48="na","na",IF($C48="na","na",(H48*Eqtn!$D$202*($C48+Eqtn!$D$203+(Eqtn!$D$204*$D48)))))</f>
        <v>na</v>
      </c>
      <c r="J48" s="289" t="str">
        <f>IF(H48="na","na",IF($C48="na","na",((H48*Eqtn!$D$205)*($C48+Eqtn!$D$206))))</f>
        <v>na</v>
      </c>
      <c r="K48" s="584" t="str">
        <f>Partit!E48</f>
        <v>na</v>
      </c>
      <c r="L48" s="584" t="str">
        <f>IF(K48="na","na",IF(K48="TBD","TBD",IF($C48="na","na",(K48*Eqtn!$D$202*($C48+Eqtn!$D$203+(Eqtn!$D$204*$D48))))))</f>
        <v>na</v>
      </c>
      <c r="M48" s="584" t="str">
        <f>IF(K48="na","na",IF(K48="TBD","TBD",IF($C48="na","na",((K48*Eqtn!$D$205)*($C48+Eqtn!$D$206)))))</f>
        <v>na</v>
      </c>
      <c r="N48" s="348"/>
      <c r="O48" s="348" t="str">
        <f>IF(N48="na","na",IF(N48="TBD","TBD",IF($C48="na","na",(N48*Eqtn!$D$202*($C48+Eqtn!$D$203+(Eqtn!$D$204*$D48))))))</f>
        <v>na</v>
      </c>
      <c r="P48" s="367" t="str">
        <f>IF(N48="na","na",IF(N48="TBD","TBD",IF($C48="na","na",((N48*Eqtn!$D$205)*($C48+Eqtn!$D$206)))))</f>
        <v>na</v>
      </c>
      <c r="R48" s="1062"/>
    </row>
    <row r="49" spans="1:18" ht="13.9" customHeight="1" x14ac:dyDescent="0.25">
      <c r="A49" s="847">
        <f>Chem!A49</f>
        <v>47</v>
      </c>
      <c r="B49" s="891" t="str">
        <f>Chem!B49</f>
        <v>Tributyl tin</v>
      </c>
      <c r="C49" s="423">
        <f>Param!F49</f>
        <v>8.09</v>
      </c>
      <c r="D49" s="423">
        <f>Param!M49</f>
        <v>36.5</v>
      </c>
      <c r="E49" s="461" t="str">
        <f>PW!O49</f>
        <v>na</v>
      </c>
      <c r="F49" s="461" t="str">
        <f>IF(E49="na","na",IF($C49="na","na",(E49*Eqtn!$D$202*($C49+Eqtn!$D$203+(Eqtn!$D$204*$D49)))))</f>
        <v>na</v>
      </c>
      <c r="G49" s="461" t="str">
        <f>IF(E49="na","na",IF($C49="na","na",((E49*Eqtn!$D$205)*($C49+Eqtn!$D$206))))</f>
        <v>na</v>
      </c>
      <c r="H49" s="221">
        <f>SW!R49</f>
        <v>7.4000000000000003E-3</v>
      </c>
      <c r="I49" s="289">
        <f>IF(H49="na","na",IF($C49="na","na",(H49*Eqtn!$D$202*($C49+Eqtn!$D$203+(Eqtn!$D$204*$D49)))))</f>
        <v>1.6950933333333335E-3</v>
      </c>
      <c r="J49" s="289">
        <f>IF(H49="na","na",IF($C49="na","na",((H49*Eqtn!$D$205)*($C49+Eqtn!$D$206))))</f>
        <v>6.1987333333333335E-5</v>
      </c>
      <c r="K49" s="584" t="str">
        <f>Partit!E49</f>
        <v>na</v>
      </c>
      <c r="L49" s="584" t="str">
        <f>IF(K49="na","na",IF(K49="TBD","TBD",IF($C49="na","na",(K49*Eqtn!$D$202*($C49+Eqtn!$D$203+(Eqtn!$D$204*$D49))))))</f>
        <v>na</v>
      </c>
      <c r="M49" s="584" t="str">
        <f>IF(K49="na","na",IF(K49="TBD","TBD",IF($C49="na","na",((K49*Eqtn!$D$205)*($C49+Eqtn!$D$206)))))</f>
        <v>na</v>
      </c>
      <c r="N49" s="348"/>
      <c r="O49" s="348">
        <f>IF(N49="na","na",IF(N49="TBD","TBD",IF($C49="na","na",(N49*Eqtn!$D$202*($C49+Eqtn!$D$203+(Eqtn!$D$204*$D49))))))</f>
        <v>0</v>
      </c>
      <c r="P49" s="367">
        <f>IF(N49="na","na",IF(N49="TBD","TBD",IF($C49="na","na",((N49*Eqtn!$D$205)*($C49+Eqtn!$D$206)))))</f>
        <v>0</v>
      </c>
      <c r="R49" s="1062"/>
    </row>
    <row r="50" spans="1:18" ht="13.9" customHeight="1" x14ac:dyDescent="0.25">
      <c r="A50" s="847">
        <f>Chem!A50</f>
        <v>48</v>
      </c>
      <c r="B50" s="891" t="str">
        <f>Chem!B50</f>
        <v>Tributyltin oxide</v>
      </c>
      <c r="C50" s="423">
        <f>Param!F50</f>
        <v>25900</v>
      </c>
      <c r="D50" s="423">
        <f>Param!M50</f>
        <v>1.2346688470972999E-5</v>
      </c>
      <c r="E50" s="461">
        <f>PW!O50</f>
        <v>4.8</v>
      </c>
      <c r="F50" s="461">
        <f>IF(E50="na","na",IF($C50="na","na",(E50*Eqtn!$D$202*($C50+Eqtn!$D$203+(Eqtn!$D$204*$D50)))))</f>
        <v>2486.4192001027245</v>
      </c>
      <c r="G50" s="461">
        <f>IF(E50="na","na",IF($C50="na","na",((E50*Eqtn!$D$205)*($C50+Eqtn!$D$206))))</f>
        <v>124.32137599999999</v>
      </c>
      <c r="H50" s="221" t="str">
        <f>SW!R50</f>
        <v>na</v>
      </c>
      <c r="I50" s="289" t="str">
        <f>IF(H50="na","na",IF($C50="na","na",(H50*Eqtn!$D$202*($C50+Eqtn!$D$203+(Eqtn!$D$204*$D50)))))</f>
        <v>na</v>
      </c>
      <c r="J50" s="289" t="str">
        <f>IF(H50="na","na",IF($C50="na","na",((H50*Eqtn!$D$205)*($C50+Eqtn!$D$206))))</f>
        <v>na</v>
      </c>
      <c r="K50" s="584">
        <f>Partit!E50</f>
        <v>4.2674200914381415E-6</v>
      </c>
      <c r="L50" s="584">
        <f>IF(K50="na","na",IF(K50="TBD","TBD",IF($C50="na","na",(K50*Eqtn!$D$202*($C50+Eqtn!$D$203+(Eqtn!$D$204*$D50))))))</f>
        <v>2.2105406771366501E-3</v>
      </c>
      <c r="M50" s="584">
        <f>IF(K50="na","na",IF(K50="TBD","TBD",IF($C50="na","na",((K50*Eqtn!$D$205)*($C50+Eqtn!$D$206)))))</f>
        <v>1.1052740369534074E-4</v>
      </c>
      <c r="N50" s="348"/>
      <c r="O50" s="348">
        <f>IF(N50="na","na",IF(N50="TBD","TBD",IF($C50="na","na",(N50*Eqtn!$D$202*($C50+Eqtn!$D$203+(Eqtn!$D$204*$D50))))))</f>
        <v>0</v>
      </c>
      <c r="P50" s="367">
        <f>IF(N50="na","na",IF(N50="TBD","TBD",IF($C50="na","na",((N50*Eqtn!$D$205)*($C50+Eqtn!$D$206)))))</f>
        <v>0</v>
      </c>
      <c r="R50" s="1062"/>
    </row>
    <row r="51" spans="1:18" ht="13.9" customHeight="1" x14ac:dyDescent="0.25">
      <c r="A51" s="847">
        <f>Chem!A51</f>
        <v>49</v>
      </c>
      <c r="B51" s="892" t="str">
        <f>Chem!B51</f>
        <v>Tetrabutyltin</v>
      </c>
      <c r="C51" s="422" t="str">
        <f>Param!F51</f>
        <v>na</v>
      </c>
      <c r="D51" s="422">
        <f>Param!M51</f>
        <v>0</v>
      </c>
      <c r="E51" s="460" t="str">
        <f>PW!O51</f>
        <v>na</v>
      </c>
      <c r="F51" s="460" t="str">
        <f>IF(E51="na","na",IF($C51="na","na",(E51*Eqtn!$D$202*($C51+Eqtn!$D$203+(Eqtn!$D$204*$D51)))))</f>
        <v>na</v>
      </c>
      <c r="G51" s="460" t="str">
        <f>IF(E51="na","na",IF($C51="na","na",((E51*Eqtn!$D$205)*($C51+Eqtn!$D$206))))</f>
        <v>na</v>
      </c>
      <c r="H51" s="256" t="str">
        <f>SW!R51</f>
        <v>na</v>
      </c>
      <c r="I51" s="580" t="str">
        <f>IF(H51="na","na",IF($C51="na","na",(H51*Eqtn!$D$202*($C51+Eqtn!$D$203+(Eqtn!$D$204*$D51)))))</f>
        <v>na</v>
      </c>
      <c r="J51" s="580" t="str">
        <f>IF(H51="na","na",IF($C51="na","na",((H51*Eqtn!$D$205)*($C51+Eqtn!$D$206))))</f>
        <v>na</v>
      </c>
      <c r="K51" s="585" t="str">
        <f>Partit!E51</f>
        <v>na</v>
      </c>
      <c r="L51" s="585" t="str">
        <f>IF(K51="na","na",IF(K51="TBD","TBD",IF($C51="na","na",(K51*Eqtn!$D$202*($C51+Eqtn!$D$203+(Eqtn!$D$204*$D51))))))</f>
        <v>na</v>
      </c>
      <c r="M51" s="585" t="str">
        <f>IF(K51="na","na",IF(K51="TBD","TBD",IF($C51="na","na",((K51*Eqtn!$D$205)*($C51+Eqtn!$D$206)))))</f>
        <v>na</v>
      </c>
      <c r="N51" s="723"/>
      <c r="O51" s="723" t="str">
        <f>IF(N51="na","na",IF(N51="TBD","TBD",IF($C51="na","na",(N51*Eqtn!$D$202*($C51+Eqtn!$D$203+(Eqtn!$D$204*$D51))))))</f>
        <v>na</v>
      </c>
      <c r="P51" s="724" t="str">
        <f>IF(N51="na","na",IF(N51="TBD","TBD",IF($C51="na","na",((N51*Eqtn!$D$205)*($C51+Eqtn!$D$206)))))</f>
        <v>na</v>
      </c>
      <c r="R51" s="1062"/>
    </row>
    <row r="52" spans="1:18" ht="13.9" customHeight="1" x14ac:dyDescent="0.25">
      <c r="A52" s="906">
        <f>Chem!A52</f>
        <v>50</v>
      </c>
      <c r="B52" s="887" t="str">
        <f>Chem!B52</f>
        <v>SVOCs - PAHs</v>
      </c>
      <c r="C52" s="31"/>
      <c r="D52" s="31"/>
      <c r="E52" s="31"/>
      <c r="F52" s="31"/>
      <c r="G52" s="31"/>
      <c r="H52" s="259"/>
      <c r="I52" s="31"/>
      <c r="J52" s="31"/>
      <c r="K52" s="31"/>
      <c r="L52" s="31"/>
      <c r="M52" s="31"/>
      <c r="N52" s="31"/>
      <c r="O52" s="31"/>
      <c r="P52" s="648"/>
      <c r="Q52" s="129"/>
      <c r="R52" s="1063"/>
    </row>
    <row r="53" spans="1:18" ht="13.9" customHeight="1" x14ac:dyDescent="0.25">
      <c r="A53" s="846">
        <f>Chem!A53</f>
        <v>51</v>
      </c>
      <c r="B53" s="890" t="str">
        <f>Chem!B53</f>
        <v>Acenaphthene</v>
      </c>
      <c r="C53" s="652">
        <f>Param!F53</f>
        <v>4.9000000000000004</v>
      </c>
      <c r="D53" s="652">
        <f>Param!M53</f>
        <v>2.4976001562642815E-3</v>
      </c>
      <c r="E53" s="458">
        <f>PW!O53</f>
        <v>480</v>
      </c>
      <c r="F53" s="458">
        <f>IF(E53="na","na",IF($C53="na","na",(E53*Eqtn!$D$202*($C53+Eqtn!$D$203+(Eqtn!$D$204*$D53)))))</f>
        <v>48.962078003330014</v>
      </c>
      <c r="G53" s="458">
        <f>IF(E53="na","na",IF($C53="na","na",((E53*Eqtn!$D$205)*($C53+Eqtn!$D$206))))</f>
        <v>2.4896000000000003</v>
      </c>
      <c r="H53" s="254">
        <f>SW!R53</f>
        <v>30</v>
      </c>
      <c r="I53" s="621">
        <f>IF(H53="na","na",IF($C53="na","na",(H53*Eqtn!$D$202*($C53+Eqtn!$D$203+(Eqtn!$D$204*$D53)))))</f>
        <v>3.0601298752081258</v>
      </c>
      <c r="J53" s="621">
        <f>IF(H53="na","na",IF($C53="na","na",((H53*Eqtn!$D$205)*($C53+Eqtn!$D$206))))</f>
        <v>0.15560000000000002</v>
      </c>
      <c r="K53" s="653">
        <f>Partit!E53</f>
        <v>5.3360118020025737</v>
      </c>
      <c r="L53" s="653">
        <f>IF(K53="na","na",IF(K53="TBD","TBD",IF($C53="na","na",(K53*Eqtn!$D$202*($C53+Eqtn!$D$203+(Eqtn!$D$204*$D53))))))</f>
        <v>0.54429630432570741</v>
      </c>
      <c r="M53" s="653">
        <f>IF(K53="na","na",IF(K53="TBD","TBD",IF($C53="na","na",((K53*Eqtn!$D$205)*($C53+Eqtn!$D$206)))))</f>
        <v>2.7676114546386684E-2</v>
      </c>
      <c r="N53" s="721"/>
      <c r="O53" s="721">
        <f>IF(N53="na","na",IF(N53="TBD","TBD",IF($C53="na","na",(N53*Eqtn!$D$202*($C53+Eqtn!$D$203+(Eqtn!$D$204*$D53))))))</f>
        <v>0</v>
      </c>
      <c r="P53" s="722">
        <f>IF(N53="na","na",IF(N53="TBD","TBD",IF($C53="na","na",((N53*Eqtn!$D$205)*($C53+Eqtn!$D$206)))))</f>
        <v>0</v>
      </c>
      <c r="R53" s="1062"/>
    </row>
    <row r="54" spans="1:18" ht="13.9" customHeight="1" x14ac:dyDescent="0.25">
      <c r="A54" s="847">
        <f>Chem!A54</f>
        <v>52</v>
      </c>
      <c r="B54" s="891" t="str">
        <f>Chem!B54</f>
        <v>Acenaphthylene</v>
      </c>
      <c r="C54" s="423" t="str">
        <f>Param!F54</f>
        <v>na</v>
      </c>
      <c r="D54" s="423">
        <f>Param!M54</f>
        <v>0</v>
      </c>
      <c r="E54" s="461" t="str">
        <f>PW!O54</f>
        <v>na</v>
      </c>
      <c r="F54" s="461" t="str">
        <f>IF(E54="na","na",IF($C54="na","na",(E54*Eqtn!$D$202*($C54+Eqtn!$D$203+(Eqtn!$D$204*$D54)))))</f>
        <v>na</v>
      </c>
      <c r="G54" s="461" t="str">
        <f>IF(E54="na","na",IF($C54="na","na",((E54*Eqtn!$D$205)*($C54+Eqtn!$D$206))))</f>
        <v>na</v>
      </c>
      <c r="H54" s="221" t="str">
        <f>SW!R54</f>
        <v>na</v>
      </c>
      <c r="I54" s="289" t="str">
        <f>IF(H54="na","na",IF($C54="na","na",(H54*Eqtn!$D$202*($C54+Eqtn!$D$203+(Eqtn!$D$204*$D54)))))</f>
        <v>na</v>
      </c>
      <c r="J54" s="289" t="str">
        <f>IF(H54="na","na",IF($C54="na","na",((H54*Eqtn!$D$205)*($C54+Eqtn!$D$206))))</f>
        <v>na</v>
      </c>
      <c r="K54" s="584" t="str">
        <f>Partit!E54</f>
        <v>na</v>
      </c>
      <c r="L54" s="584" t="str">
        <f>IF(K54="na","na",IF(K54="TBD","TBD",IF($C54="na","na",(K54*Eqtn!$D$202*($C54+Eqtn!$D$203+(Eqtn!$D$204*$D54))))))</f>
        <v>na</v>
      </c>
      <c r="M54" s="584" t="str">
        <f>IF(K54="na","na",IF(K54="TBD","TBD",IF($C54="na","na",((K54*Eqtn!$D$205)*($C54+Eqtn!$D$206)))))</f>
        <v>na</v>
      </c>
      <c r="N54" s="348"/>
      <c r="O54" s="348" t="str">
        <f>IF(N54="na","na",IF(N54="TBD","TBD",IF($C54="na","na",(N54*Eqtn!$D$202*($C54+Eqtn!$D$203+(Eqtn!$D$204*$D54))))))</f>
        <v>na</v>
      </c>
      <c r="P54" s="367" t="str">
        <f>IF(N54="na","na",IF(N54="TBD","TBD",IF($C54="na","na",((N54*Eqtn!$D$205)*($C54+Eqtn!$D$206)))))</f>
        <v>na</v>
      </c>
      <c r="R54" s="1062"/>
    </row>
    <row r="55" spans="1:18" ht="13.9" customHeight="1" x14ac:dyDescent="0.25">
      <c r="A55" s="847">
        <f>Chem!A55</f>
        <v>53</v>
      </c>
      <c r="B55" s="891" t="str">
        <f>Chem!B55</f>
        <v>Anthracene</v>
      </c>
      <c r="C55" s="423">
        <f>Param!F55</f>
        <v>23.5</v>
      </c>
      <c r="D55" s="423">
        <f>Param!M55</f>
        <v>6.5113963722621029E-4</v>
      </c>
      <c r="E55" s="461">
        <f>PW!O55</f>
        <v>2400</v>
      </c>
      <c r="F55" s="461">
        <f>IF(E55="na","na",IF($C55="na","na",(E55*Eqtn!$D$202*($C55+Eqtn!$D$203+(Eqtn!$D$204*$D55)))))</f>
        <v>1137.6027087408909</v>
      </c>
      <c r="G55" s="461">
        <f>IF(E55="na","na",IF($C55="na","na",((E55*Eqtn!$D$205)*($C55+Eqtn!$D$206))))</f>
        <v>57.087999999999994</v>
      </c>
      <c r="H55" s="221">
        <f>SW!R55</f>
        <v>100</v>
      </c>
      <c r="I55" s="289">
        <f>IF(H55="na","na",IF($C55="na","na",(H55*Eqtn!$D$202*($C55+Eqtn!$D$203+(Eqtn!$D$204*$D55)))))</f>
        <v>47.400112864203784</v>
      </c>
      <c r="J55" s="289">
        <f>IF(H55="na","na",IF($C55="na","na",((H55*Eqtn!$D$205)*($C55+Eqtn!$D$206))))</f>
        <v>2.3786666666666667</v>
      </c>
      <c r="K55" s="584">
        <f>Partit!E55</f>
        <v>2.1471565306055322</v>
      </c>
      <c r="L55" s="584">
        <f>IF(K55="na","na",IF(K55="TBD","TBD",IF($C55="na","na",(K55*Eqtn!$D$202*($C55+Eqtn!$D$203+(Eqtn!$D$204*$D55))))))</f>
        <v>1.0177546188781446</v>
      </c>
      <c r="M55" s="584">
        <f>IF(K55="na","na",IF(K55="TBD","TBD",IF($C55="na","na",((K55*Eqtn!$D$205)*($C55+Eqtn!$D$206)))))</f>
        <v>5.1073696674670266E-2</v>
      </c>
      <c r="N55" s="348"/>
      <c r="O55" s="348">
        <f>IF(N55="na","na",IF(N55="TBD","TBD",IF($C55="na","na",(N55*Eqtn!$D$202*($C55+Eqtn!$D$203+(Eqtn!$D$204*$D55))))))</f>
        <v>0</v>
      </c>
      <c r="P55" s="367">
        <f>IF(N55="na","na",IF(N55="TBD","TBD",IF($C55="na","na",((N55*Eqtn!$D$205)*($C55+Eqtn!$D$206)))))</f>
        <v>0</v>
      </c>
      <c r="R55" s="1062"/>
    </row>
    <row r="56" spans="1:18" ht="13.9" customHeight="1" x14ac:dyDescent="0.25">
      <c r="A56" s="847">
        <f>Chem!A56</f>
        <v>54</v>
      </c>
      <c r="B56" s="891" t="str">
        <f>Chem!B56</f>
        <v>Benzo(a)anthracene</v>
      </c>
      <c r="C56" s="423">
        <f>Param!F56</f>
        <v>357.53700000000003</v>
      </c>
      <c r="D56" s="423">
        <f>Param!M56</f>
        <v>9.5974778022468905E-5</v>
      </c>
      <c r="E56" s="461" t="str">
        <f>PW!O56</f>
        <v>na</v>
      </c>
      <c r="F56" s="461" t="str">
        <f>IF(E56="na","na",IF($C56="na","na",(E56*Eqtn!$D$202*($C56+Eqtn!$D$203+(Eqtn!$D$204*$D56)))))</f>
        <v>na</v>
      </c>
      <c r="G56" s="461" t="str">
        <f>IF(E56="na","na",IF($C56="na","na",((E56*Eqtn!$D$205)*($C56+Eqtn!$D$206))))</f>
        <v>na</v>
      </c>
      <c r="H56" s="221">
        <f>SW!R56</f>
        <v>1.6000000000000001E-4</v>
      </c>
      <c r="I56" s="289">
        <f>IF(H56="na","na",IF($C56="na","na",(H56*Eqtn!$D$202*($C56+Eqtn!$D$203+(Eqtn!$D$204*$D56)))))</f>
        <v>1.1447584266170052E-3</v>
      </c>
      <c r="J56" s="289">
        <f>IF(H56="na","na",IF($C56="na","na",((H56*Eqtn!$D$205)*($C56+Eqtn!$D$206))))</f>
        <v>5.7251786666666674E-5</v>
      </c>
      <c r="K56" s="584">
        <f>Partit!E56</f>
        <v>0.19135077028339165</v>
      </c>
      <c r="L56" s="584">
        <f>IF(K56="na","na",IF(K56="TBD","TBD",IF($C56="na","na",(K56*Eqtn!$D$202*($C56+Eqtn!$D$203+(Eqtn!$D$204*$D56))))))</f>
        <v>1.3690650420097963</v>
      </c>
      <c r="M56" s="584">
        <f>IF(K56="na","na",IF(K56="TBD","TBD",IF($C56="na","na",((K56*Eqtn!$D$205)*($C56+Eqtn!$D$206)))))</f>
        <v>6.8469834242294247E-2</v>
      </c>
      <c r="N56" s="348"/>
      <c r="O56" s="348">
        <f>IF(N56="na","na",IF(N56="TBD","TBD",IF($C56="na","na",(N56*Eqtn!$D$202*($C56+Eqtn!$D$203+(Eqtn!$D$204*$D56))))))</f>
        <v>0</v>
      </c>
      <c r="P56" s="367">
        <f>IF(N56="na","na",IF(N56="TBD","TBD",IF($C56="na","na",((N56*Eqtn!$D$205)*($C56+Eqtn!$D$206)))))</f>
        <v>0</v>
      </c>
      <c r="R56" s="1062"/>
    </row>
    <row r="57" spans="1:18" ht="13.9" customHeight="1" x14ac:dyDescent="0.25">
      <c r="A57" s="847">
        <f>Chem!A57</f>
        <v>55</v>
      </c>
      <c r="B57" s="891" t="str">
        <f>Chem!B57</f>
        <v>Benzo(b)fluoranthene</v>
      </c>
      <c r="C57" s="423">
        <f>Param!F57</f>
        <v>599</v>
      </c>
      <c r="D57" s="423">
        <f>Param!M57</f>
        <v>6.0395683826469744E-6</v>
      </c>
      <c r="E57" s="461" t="str">
        <f>PW!O57</f>
        <v>na</v>
      </c>
      <c r="F57" s="461" t="str">
        <f>IF(E57="na","na",IF($C57="na","na",(E57*Eqtn!$D$202*($C57+Eqtn!$D$203+(Eqtn!$D$204*$D57)))))</f>
        <v>na</v>
      </c>
      <c r="G57" s="461" t="str">
        <f>IF(E57="na","na",IF($C57="na","na",((E57*Eqtn!$D$205)*($C57+Eqtn!$D$206))))</f>
        <v>na</v>
      </c>
      <c r="H57" s="221">
        <f>SW!R57</f>
        <v>1.6000000000000001E-4</v>
      </c>
      <c r="I57" s="289">
        <f>IF(H57="na","na",IF($C57="na","na",(H57*Eqtn!$D$202*($C57+Eqtn!$D$203+(Eqtn!$D$204*$D57)))))</f>
        <v>1.9174400016749738E-3</v>
      </c>
      <c r="J57" s="289">
        <f>IF(H57="na","na",IF($C57="na","na",((H57*Eqtn!$D$205)*($C57+Eqtn!$D$206))))</f>
        <v>9.5885866666666663E-5</v>
      </c>
      <c r="K57" s="584" t="str">
        <f>Partit!E57</f>
        <v>na</v>
      </c>
      <c r="L57" s="584" t="str">
        <f>IF(K57="na","na",IF(K57="TBD","TBD",IF($C57="na","na",(K57*Eqtn!$D$202*($C57+Eqtn!$D$203+(Eqtn!$D$204*$D57))))))</f>
        <v>na</v>
      </c>
      <c r="M57" s="584" t="str">
        <f>IF(K57="na","na",IF(K57="TBD","TBD",IF($C57="na","na",((K57*Eqtn!$D$205)*($C57+Eqtn!$D$206)))))</f>
        <v>na</v>
      </c>
      <c r="N57" s="348"/>
      <c r="O57" s="348">
        <f>IF(N57="na","na",IF(N57="TBD","TBD",IF($C57="na","na",(N57*Eqtn!$D$202*($C57+Eqtn!$D$203+(Eqtn!$D$204*$D57))))))</f>
        <v>0</v>
      </c>
      <c r="P57" s="367">
        <f>IF(N57="na","na",IF(N57="TBD","TBD",IF($C57="na","na",((N57*Eqtn!$D$205)*($C57+Eqtn!$D$206)))))</f>
        <v>0</v>
      </c>
      <c r="R57" s="1062"/>
    </row>
    <row r="58" spans="1:18" ht="13.9" customHeight="1" x14ac:dyDescent="0.25">
      <c r="A58" s="847">
        <f>Chem!A58</f>
        <v>56</v>
      </c>
      <c r="B58" s="891" t="str">
        <f>Chem!B58</f>
        <v>Benzo(k)fluoranthene</v>
      </c>
      <c r="C58" s="423">
        <f>Param!F58</f>
        <v>587</v>
      </c>
      <c r="D58" s="423">
        <f>Param!M58</f>
        <v>4.2760559257760598E-6</v>
      </c>
      <c r="E58" s="461" t="str">
        <f>PW!O58</f>
        <v>na</v>
      </c>
      <c r="F58" s="461" t="str">
        <f>IF(E58="na","na",IF($C58="na","na",(E58*Eqtn!$D$202*($C58+Eqtn!$D$203+(Eqtn!$D$204*$D58)))))</f>
        <v>na</v>
      </c>
      <c r="G58" s="461" t="str">
        <f>IF(E58="na","na",IF($C58="na","na",((E58*Eqtn!$D$205)*($C58+Eqtn!$D$206))))</f>
        <v>na</v>
      </c>
      <c r="H58" s="221">
        <f>SW!R58</f>
        <v>1.6000000000000001E-3</v>
      </c>
      <c r="I58" s="289">
        <f>IF(H58="na","na",IF($C58="na","na",(H58*Eqtn!$D$202*($C58+Eqtn!$D$203+(Eqtn!$D$204*$D58)))))</f>
        <v>1.8790400011858933E-2</v>
      </c>
      <c r="J58" s="289">
        <f>IF(H58="na","na",IF($C58="na","na",((H58*Eqtn!$D$205)*($C58+Eqtn!$D$206))))</f>
        <v>9.3965866666666665E-4</v>
      </c>
      <c r="K58" s="584" t="str">
        <f>Partit!E58</f>
        <v>na</v>
      </c>
      <c r="L58" s="584" t="str">
        <f>IF(K58="na","na",IF(K58="TBD","TBD",IF($C58="na","na",(K58*Eqtn!$D$202*($C58+Eqtn!$D$203+(Eqtn!$D$204*$D58))))))</f>
        <v>na</v>
      </c>
      <c r="M58" s="584" t="str">
        <f>IF(K58="na","na",IF(K58="TBD","TBD",IF($C58="na","na",((K58*Eqtn!$D$205)*($C58+Eqtn!$D$206)))))</f>
        <v>na</v>
      </c>
      <c r="N58" s="348"/>
      <c r="O58" s="348">
        <f>IF(N58="na","na",IF(N58="TBD","TBD",IF($C58="na","na",(N58*Eqtn!$D$202*($C58+Eqtn!$D$203+(Eqtn!$D$204*$D58))))))</f>
        <v>0</v>
      </c>
      <c r="P58" s="367">
        <f>IF(N58="na","na",IF(N58="TBD","TBD",IF($C58="na","na",((N58*Eqtn!$D$205)*($C58+Eqtn!$D$206)))))</f>
        <v>0</v>
      </c>
      <c r="R58" s="1062"/>
    </row>
    <row r="59" spans="1:18" ht="13.9" customHeight="1" x14ac:dyDescent="0.25">
      <c r="A59" s="847">
        <f>Chem!A59</f>
        <v>57</v>
      </c>
      <c r="B59" s="891" t="str">
        <f>Chem!B59</f>
        <v>Total benzofluoranthenes</v>
      </c>
      <c r="C59" s="423" t="str">
        <f>Param!F59</f>
        <v>na</v>
      </c>
      <c r="D59" s="423">
        <f>Param!M59</f>
        <v>0</v>
      </c>
      <c r="E59" s="461" t="str">
        <f>PW!O59</f>
        <v>na</v>
      </c>
      <c r="F59" s="461" t="str">
        <f>IF(E59="na","na",IF($C59="na","na",(E59*Eqtn!$D$202*($C59+Eqtn!$D$203+(Eqtn!$D$204*$D59)))))</f>
        <v>na</v>
      </c>
      <c r="G59" s="461" t="str">
        <f>IF(E59="na","na",IF($C59="na","na",((E59*Eqtn!$D$205)*($C59+Eqtn!$D$206))))</f>
        <v>na</v>
      </c>
      <c r="H59" s="221" t="str">
        <f>SW!R59</f>
        <v>na</v>
      </c>
      <c r="I59" s="289" t="str">
        <f>IF(H59="na","na",IF($C59="na","na",(H59*Eqtn!$D$202*($C59+Eqtn!$D$203+(Eqtn!$D$204*$D59)))))</f>
        <v>na</v>
      </c>
      <c r="J59" s="289" t="str">
        <f>IF(H59="na","na",IF($C59="na","na",((H59*Eqtn!$D$205)*($C59+Eqtn!$D$206))))</f>
        <v>na</v>
      </c>
      <c r="K59" s="584" t="str">
        <f>Partit!E59</f>
        <v>na</v>
      </c>
      <c r="L59" s="584" t="str">
        <f>IF(K59="na","na",IF(K59="TBD","TBD",IF($C59="na","na",(K59*Eqtn!$D$202*($C59+Eqtn!$D$203+(Eqtn!$D$204*$D59))))))</f>
        <v>na</v>
      </c>
      <c r="M59" s="584" t="str">
        <f>IF(K59="na","na",IF(K59="TBD","TBD",IF($C59="na","na",((K59*Eqtn!$D$205)*($C59+Eqtn!$D$206)))))</f>
        <v>na</v>
      </c>
      <c r="N59" s="348"/>
      <c r="O59" s="348" t="str">
        <f>IF(N59="na","na",IF(N59="TBD","TBD",IF($C59="na","na",(N59*Eqtn!$D$202*($C59+Eqtn!$D$203+(Eqtn!$D$204*$D59))))))</f>
        <v>na</v>
      </c>
      <c r="P59" s="367" t="str">
        <f>IF(N59="na","na",IF(N59="TBD","TBD",IF($C59="na","na",((N59*Eqtn!$D$205)*($C59+Eqtn!$D$206)))))</f>
        <v>na</v>
      </c>
      <c r="R59" s="1062"/>
    </row>
    <row r="60" spans="1:18" ht="13.9" customHeight="1" x14ac:dyDescent="0.25">
      <c r="A60" s="847">
        <f>Chem!A60</f>
        <v>58</v>
      </c>
      <c r="B60" s="891" t="str">
        <f>Chem!B60</f>
        <v>Benzo(g,h,i)perylene</v>
      </c>
      <c r="C60" s="423" t="str">
        <f>Param!F60</f>
        <v>na</v>
      </c>
      <c r="D60" s="423">
        <f>Param!M60</f>
        <v>0</v>
      </c>
      <c r="E60" s="461" t="str">
        <f>PW!O60</f>
        <v>na</v>
      </c>
      <c r="F60" s="461" t="str">
        <f>IF(E60="na","na",IF($C60="na","na",(E60*Eqtn!$D$202*($C60+Eqtn!$D$203+(Eqtn!$D$204*$D60)))))</f>
        <v>na</v>
      </c>
      <c r="G60" s="461" t="str">
        <f>IF(E60="na","na",IF($C60="na","na",((E60*Eqtn!$D$205)*($C60+Eqtn!$D$206))))</f>
        <v>na</v>
      </c>
      <c r="H60" s="221" t="str">
        <f>SW!R60</f>
        <v>na</v>
      </c>
      <c r="I60" s="289" t="str">
        <f>IF(H60="na","na",IF($C60="na","na",(H60*Eqtn!$D$202*($C60+Eqtn!$D$203+(Eqtn!$D$204*$D60)))))</f>
        <v>na</v>
      </c>
      <c r="J60" s="289" t="str">
        <f>IF(H60="na","na",IF($C60="na","na",((H60*Eqtn!$D$205)*($C60+Eqtn!$D$206))))</f>
        <v>na</v>
      </c>
      <c r="K60" s="584" t="str">
        <f>Partit!E60</f>
        <v>na</v>
      </c>
      <c r="L60" s="584" t="str">
        <f>IF(K60="na","na",IF(K60="TBD","TBD",IF($C60="na","na",(K60*Eqtn!$D$202*($C60+Eqtn!$D$203+(Eqtn!$D$204*$D60))))))</f>
        <v>na</v>
      </c>
      <c r="M60" s="584" t="str">
        <f>IF(K60="na","na",IF(K60="TBD","TBD",IF($C60="na","na",((K60*Eqtn!$D$205)*($C60+Eqtn!$D$206)))))</f>
        <v>na</v>
      </c>
      <c r="N60" s="348"/>
      <c r="O60" s="348" t="str">
        <f>IF(N60="na","na",IF(N60="TBD","TBD",IF($C60="na","na",(N60*Eqtn!$D$202*($C60+Eqtn!$D$203+(Eqtn!$D$204*$D60))))))</f>
        <v>na</v>
      </c>
      <c r="P60" s="367" t="str">
        <f>IF(N60="na","na",IF(N60="TBD","TBD",IF($C60="na","na",((N60*Eqtn!$D$205)*($C60+Eqtn!$D$206)))))</f>
        <v>na</v>
      </c>
      <c r="R60" s="1062"/>
    </row>
    <row r="61" spans="1:18" ht="13.9" customHeight="1" x14ac:dyDescent="0.25">
      <c r="A61" s="847">
        <f>Chem!A61</f>
        <v>59</v>
      </c>
      <c r="B61" s="891" t="str">
        <f>Chem!B61</f>
        <v>Benzo(a)pyrene</v>
      </c>
      <c r="C61" s="423">
        <f>Param!F61</f>
        <v>968.774</v>
      </c>
      <c r="D61" s="423">
        <f>Param!M61</f>
        <v>3.6074792186225586E-6</v>
      </c>
      <c r="E61" s="461">
        <f>PW!O61</f>
        <v>0.2</v>
      </c>
      <c r="F61" s="461">
        <f>IF(E61="na","na",IF($C61="na","na",(E61*Eqtn!$D$202*($C61+Eqtn!$D$203+(Eqtn!$D$204*$D61)))))</f>
        <v>3.8758960012505934</v>
      </c>
      <c r="G61" s="461">
        <f>IF(E61="na","na",IF($C61="na","na",((E61*Eqtn!$D$205)*($C61+Eqtn!$D$206))))</f>
        <v>0.19381213333333333</v>
      </c>
      <c r="H61" s="221">
        <f>SW!R61</f>
        <v>1.5999999999999999E-5</v>
      </c>
      <c r="I61" s="289">
        <f>IF(H61="na","na",IF($C61="na","na",(H61*Eqtn!$D$202*($C61+Eqtn!$D$203+(Eqtn!$D$204*$D61)))))</f>
        <v>3.1007168010004744E-4</v>
      </c>
      <c r="J61" s="289">
        <f>IF(H61="na","na",IF($C61="na","na",((H61*Eqtn!$D$205)*($C61+Eqtn!$D$206))))</f>
        <v>1.5504970666666666E-5</v>
      </c>
      <c r="K61" s="584">
        <f>Partit!E61</f>
        <v>8.6921994144448733E-2</v>
      </c>
      <c r="L61" s="584">
        <f>IF(K61="na","na",IF(K61="TBD","TBD",IF($C61="na","na",(K61*Eqtn!$D$202*($C61+Eqtn!$D$203+(Eqtn!$D$204*$D61))))))</f>
        <v>1.6845030476259815</v>
      </c>
      <c r="M61" s="584">
        <f>IF(K61="na","na",IF(K61="TBD","TBD",IF($C61="na","na",((K61*Eqtn!$D$205)*($C61+Eqtn!$D$206)))))</f>
        <v>8.4232685593615589E-2</v>
      </c>
      <c r="N61" s="348"/>
      <c r="O61" s="348">
        <f>IF(N61="na","na",IF(N61="TBD","TBD",IF($C61="na","na",(N61*Eqtn!$D$202*($C61+Eqtn!$D$203+(Eqtn!$D$204*$D61))))))</f>
        <v>0</v>
      </c>
      <c r="P61" s="367">
        <f>IF(N61="na","na",IF(N61="TBD","TBD",IF($C61="na","na",((N61*Eqtn!$D$205)*($C61+Eqtn!$D$206)))))</f>
        <v>0</v>
      </c>
      <c r="R61" s="1062"/>
    </row>
    <row r="62" spans="1:18" ht="13.9" customHeight="1" x14ac:dyDescent="0.25">
      <c r="A62" s="847">
        <f>Chem!A62</f>
        <v>60</v>
      </c>
      <c r="B62" s="891" t="str">
        <f>Chem!B62</f>
        <v>Chrysene</v>
      </c>
      <c r="C62" s="423">
        <f>Param!F62</f>
        <v>183</v>
      </c>
      <c r="D62" s="423">
        <f>Param!M62</f>
        <v>3.8728215206098689E-5</v>
      </c>
      <c r="E62" s="461" t="str">
        <f>PW!O62</f>
        <v>na</v>
      </c>
      <c r="F62" s="461" t="str">
        <f>IF(E62="na","na",IF($C62="na","na",(E62*Eqtn!$D$202*($C62+Eqtn!$D$203+(Eqtn!$D$204*$D62)))))</f>
        <v>na</v>
      </c>
      <c r="G62" s="461" t="str">
        <f>IF(E62="na","na",IF($C62="na","na",((E62*Eqtn!$D$205)*($C62+Eqtn!$D$206))))</f>
        <v>na</v>
      </c>
      <c r="H62" s="221">
        <f>SW!R62</f>
        <v>1.6E-2</v>
      </c>
      <c r="I62" s="289">
        <f>IF(H62="na","na",IF($C62="na","na",(H62*Eqtn!$D$202*($C62+Eqtn!$D$203+(Eqtn!$D$204*$D62)))))</f>
        <v>5.8624001074062501E-2</v>
      </c>
      <c r="J62" s="289">
        <f>IF(H62="na","na",IF($C62="na","na",((H62*Eqtn!$D$205)*($C62+Eqtn!$D$206))))</f>
        <v>2.9325866666666664E-3</v>
      </c>
      <c r="K62" s="584">
        <f>Partit!E62</f>
        <v>0.40257614905466493</v>
      </c>
      <c r="L62" s="584">
        <f>IF(K62="na","na",IF(K62="TBD","TBD",IF($C62="na","na",(K62*Eqtn!$D$202*($C62+Eqtn!$D$203+(Eqtn!$D$204*$D62))))))</f>
        <v>1.4750390371607889</v>
      </c>
      <c r="M62" s="584">
        <f>IF(K62="na","na",IF(K62="TBD","TBD",IF($C62="na","na",((K62*Eqtn!$D$205)*($C62+Eqtn!$D$206)))))</f>
        <v>7.3786840439732687E-2</v>
      </c>
      <c r="N62" s="348"/>
      <c r="O62" s="348">
        <f>IF(N62="na","na",IF(N62="TBD","TBD",IF($C62="na","na",(N62*Eqtn!$D$202*($C62+Eqtn!$D$203+(Eqtn!$D$204*$D62))))))</f>
        <v>0</v>
      </c>
      <c r="P62" s="367">
        <f>IF(N62="na","na",IF(N62="TBD","TBD",IF($C62="na","na",((N62*Eqtn!$D$205)*($C62+Eqtn!$D$206)))))</f>
        <v>0</v>
      </c>
      <c r="R62" s="1062"/>
    </row>
    <row r="63" spans="1:18" ht="13.9" customHeight="1" x14ac:dyDescent="0.25">
      <c r="A63" s="847">
        <f>Chem!A63</f>
        <v>61</v>
      </c>
      <c r="B63" s="891" t="str">
        <f>Chem!B63</f>
        <v>Dibenz(a,h)anthracene</v>
      </c>
      <c r="C63" s="423">
        <f>Param!F63</f>
        <v>1789.1010000000001</v>
      </c>
      <c r="D63" s="423">
        <f>Param!M63</f>
        <v>7.4461727660409132E-7</v>
      </c>
      <c r="E63" s="461" t="str">
        <f>PW!O63</f>
        <v>na</v>
      </c>
      <c r="F63" s="461" t="str">
        <f>IF(E63="na","na",IF($C63="na","na",(E63*Eqtn!$D$202*($C63+Eqtn!$D$203+(Eqtn!$D$204*$D63)))))</f>
        <v>na</v>
      </c>
      <c r="G63" s="461" t="str">
        <f>IF(E63="na","na",IF($C63="na","na",((E63*Eqtn!$D$205)*($C63+Eqtn!$D$206))))</f>
        <v>na</v>
      </c>
      <c r="H63" s="221">
        <f>SW!R63</f>
        <v>1.5999999999999999E-5</v>
      </c>
      <c r="I63" s="289">
        <f>IF(H63="na","na",IF($C63="na","na",(H63*Eqtn!$D$202*($C63+Eqtn!$D$203+(Eqtn!$D$204*$D63)))))</f>
        <v>5.7257632002065081E-4</v>
      </c>
      <c r="J63" s="289">
        <f>IF(H63="na","na",IF($C63="na","na",((H63*Eqtn!$D$205)*($C63+Eqtn!$D$206))))</f>
        <v>2.8630202666666671E-5</v>
      </c>
      <c r="K63" s="584">
        <f>Partit!E63</f>
        <v>6.7659950151090472E-3</v>
      </c>
      <c r="L63" s="584">
        <f>IF(K63="na","na",IF(K63="TBD","TBD",IF($C63="na","na",(K63*Eqtn!$D$202*($C63+Eqtn!$D$203+(Eqtn!$D$204*$D63))))))</f>
        <v>0.24212803293932533</v>
      </c>
      <c r="M63" s="584">
        <f>IF(K63="na","na",IF(K63="TBD","TBD",IF($C63="na","na",((K63*Eqtn!$D$205)*($C63+Eqtn!$D$206)))))</f>
        <v>1.2106988032764276E-2</v>
      </c>
      <c r="N63" s="348"/>
      <c r="O63" s="348">
        <f>IF(N63="na","na",IF(N63="TBD","TBD",IF($C63="na","na",(N63*Eqtn!$D$202*($C63+Eqtn!$D$203+(Eqtn!$D$204*$D63))))))</f>
        <v>0</v>
      </c>
      <c r="P63" s="367">
        <f>IF(N63="na","na",IF(N63="TBD","TBD",IF($C63="na","na",((N63*Eqtn!$D$205)*($C63+Eqtn!$D$206)))))</f>
        <v>0</v>
      </c>
      <c r="R63" s="1062"/>
    </row>
    <row r="64" spans="1:18" ht="13.9" customHeight="1" x14ac:dyDescent="0.25">
      <c r="A64" s="847">
        <f>Chem!A64</f>
        <v>62</v>
      </c>
      <c r="B64" s="891" t="str">
        <f>Chem!B64</f>
        <v>Dibenzofuran</v>
      </c>
      <c r="C64" s="423">
        <f>Param!F64</f>
        <v>9.16</v>
      </c>
      <c r="D64" s="423">
        <f>Param!M64</f>
        <v>1.8446636375594245E-5</v>
      </c>
      <c r="E64" s="461">
        <f>PW!O64</f>
        <v>8</v>
      </c>
      <c r="F64" s="461">
        <f>IF(E64="na","na",IF($C64="na","na",(E64*Eqtn!$D$202*($C64+Eqtn!$D$203+(Eqtn!$D$204*$D64)))))</f>
        <v>1.4976002557933579</v>
      </c>
      <c r="G64" s="461">
        <f>IF(E64="na","na",IF($C64="na","na",((E64*Eqtn!$D$205)*($C64+Eqtn!$D$206))))</f>
        <v>7.557333333333334E-2</v>
      </c>
      <c r="H64" s="221" t="str">
        <f>SW!R64</f>
        <v>na</v>
      </c>
      <c r="I64" s="289" t="str">
        <f>IF(H64="na","na",IF($C64="na","na",(H64*Eqtn!$D$202*($C64+Eqtn!$D$203+(Eqtn!$D$204*$D64)))))</f>
        <v>na</v>
      </c>
      <c r="J64" s="289" t="str">
        <f>IF(H64="na","na",IF($C64="na","na",((H64*Eqtn!$D$205)*($C64+Eqtn!$D$206))))</f>
        <v>na</v>
      </c>
      <c r="K64" s="584">
        <f>Partit!E64</f>
        <v>3.0920230520760006</v>
      </c>
      <c r="L64" s="584">
        <f>IF(K64="na","na",IF(K64="TBD","TBD",IF($C64="na","na",(K64*Eqtn!$D$202*($C64+Eqtn!$D$203+(Eqtn!$D$204*$D64))))))</f>
        <v>0.57882681421349724</v>
      </c>
      <c r="M64" s="584">
        <f>IF(K64="na","na",IF(K64="TBD","TBD",IF($C64="na","na",((K64*Eqtn!$D$205)*($C64+Eqtn!$D$206)))))</f>
        <v>2.9209311098611287E-2</v>
      </c>
      <c r="N64" s="348"/>
      <c r="O64" s="348">
        <f>IF(N64="na","na",IF(N64="TBD","TBD",IF($C64="na","na",(N64*Eqtn!$D$202*($C64+Eqtn!$D$203+(Eqtn!$D$204*$D64))))))</f>
        <v>0</v>
      </c>
      <c r="P64" s="367">
        <f>IF(N64="na","na",IF(N64="TBD","TBD",IF($C64="na","na",((N64*Eqtn!$D$205)*($C64+Eqtn!$D$206)))))</f>
        <v>0</v>
      </c>
      <c r="R64" s="1062"/>
    </row>
    <row r="65" spans="1:18" ht="13.9" customHeight="1" x14ac:dyDescent="0.25">
      <c r="A65" s="847">
        <f>Chem!A65</f>
        <v>63</v>
      </c>
      <c r="B65" s="891" t="str">
        <f>Chem!B65</f>
        <v>Fluoranthene</v>
      </c>
      <c r="C65" s="423">
        <f>Param!F65</f>
        <v>49.1</v>
      </c>
      <c r="D65" s="423">
        <f>Param!M65</f>
        <v>9.1381595381835005E-5</v>
      </c>
      <c r="E65" s="461">
        <f>PW!O65</f>
        <v>640</v>
      </c>
      <c r="F65" s="461">
        <f>IF(E65="na","na",IF($C65="na","na",(E65*Eqtn!$D$202*($C65+Eqtn!$D$203+(Eqtn!$D$204*$D65)))))</f>
        <v>631.04010137264993</v>
      </c>
      <c r="G65" s="461">
        <f>IF(E65="na","na",IF($C65="na","na",((E65*Eqtn!$D$205)*($C65+Eqtn!$D$206))))</f>
        <v>31.607466666666671</v>
      </c>
      <c r="H65" s="221">
        <f>SW!R65</f>
        <v>6</v>
      </c>
      <c r="I65" s="289">
        <f>IF(H65="na","na",IF($C65="na","na",(H65*Eqtn!$D$202*($C65+Eqtn!$D$203+(Eqtn!$D$204*$D65)))))</f>
        <v>5.9160009503685922</v>
      </c>
      <c r="J65" s="289">
        <f>IF(H65="na","na",IF($C65="na","na",((H65*Eqtn!$D$205)*($C65+Eqtn!$D$206))))</f>
        <v>0.29632000000000003</v>
      </c>
      <c r="K65" s="584">
        <f>Partit!E65</f>
        <v>1.8210976366689666</v>
      </c>
      <c r="L65" s="584">
        <f>IF(K65="na","na",IF(K65="TBD","TBD",IF($C65="na","na",(K65*Eqtn!$D$202*($C65+Eqtn!$D$203+(Eqtn!$D$204*$D65))))))</f>
        <v>1.795602558207934</v>
      </c>
      <c r="M65" s="584">
        <f>IF(K65="na","na",IF(K65="TBD","TBD",IF($C65="na","na",((K65*Eqtn!$D$205)*($C65+Eqtn!$D$206)))))</f>
        <v>8.9937941949624706E-2</v>
      </c>
      <c r="N65" s="348"/>
      <c r="O65" s="348">
        <f>IF(N65="na","na",IF(N65="TBD","TBD",IF($C65="na","na",(N65*Eqtn!$D$202*($C65+Eqtn!$D$203+(Eqtn!$D$204*$D65))))))</f>
        <v>0</v>
      </c>
      <c r="P65" s="367">
        <f>IF(N65="na","na",IF(N65="TBD","TBD",IF($C65="na","na",((N65*Eqtn!$D$205)*($C65+Eqtn!$D$206)))))</f>
        <v>0</v>
      </c>
      <c r="R65" s="1062"/>
    </row>
    <row r="66" spans="1:18" ht="13.9" customHeight="1" x14ac:dyDescent="0.25">
      <c r="A66" s="847">
        <f>Chem!A66</f>
        <v>64</v>
      </c>
      <c r="B66" s="891" t="str">
        <f>Chem!B66</f>
        <v>Fluorene</v>
      </c>
      <c r="C66" s="423">
        <f>Param!F66</f>
        <v>7.71</v>
      </c>
      <c r="D66" s="423">
        <f>Param!M66</f>
        <v>1.2347144718559023E-3</v>
      </c>
      <c r="E66" s="461">
        <f>PW!O66</f>
        <v>320</v>
      </c>
      <c r="F66" s="461">
        <f>IF(E66="na","na",IF($C66="na","na",(E66*Eqtn!$D$202*($C66+Eqtn!$D$203+(Eqtn!$D$204*$D66)))))</f>
        <v>50.624684854960392</v>
      </c>
      <c r="G66" s="461">
        <f>IF(E66="na","na",IF($C66="na","na",((E66*Eqtn!$D$205)*($C66+Eqtn!$D$206))))</f>
        <v>2.5589333333333335</v>
      </c>
      <c r="H66" s="221">
        <f>SW!R66</f>
        <v>10</v>
      </c>
      <c r="I66" s="289">
        <f>IF(H66="na","na",IF($C66="na","na",(H66*Eqtn!$D$202*($C66+Eqtn!$D$203+(Eqtn!$D$204*$D66)))))</f>
        <v>1.5820214017175123</v>
      </c>
      <c r="J66" s="289">
        <f>IF(H66="na","na",IF($C66="na","na",((H66*Eqtn!$D$205)*($C66+Eqtn!$D$206))))</f>
        <v>7.9966666666666672E-2</v>
      </c>
      <c r="K66" s="584">
        <f>Partit!E66</f>
        <v>3.6711482935958859</v>
      </c>
      <c r="L66" s="584">
        <f>IF(K66="na","na",IF(K66="TBD","TBD",IF($C66="na","na",(K66*Eqtn!$D$202*($C66+Eqtn!$D$203+(Eqtn!$D$204*$D66))))))</f>
        <v>0.58078351693474173</v>
      </c>
      <c r="M66" s="584">
        <f>IF(K66="na","na",IF(K66="TBD","TBD",IF($C66="na","na",((K66*Eqtn!$D$205)*($C66+Eqtn!$D$206)))))</f>
        <v>2.9356949187788434E-2</v>
      </c>
      <c r="N66" s="348"/>
      <c r="O66" s="348">
        <f>IF(N66="na","na",IF(N66="TBD","TBD",IF($C66="na","na",(N66*Eqtn!$D$202*($C66+Eqtn!$D$203+(Eqtn!$D$204*$D66))))))</f>
        <v>0</v>
      </c>
      <c r="P66" s="367">
        <f>IF(N66="na","na",IF(N66="TBD","TBD",IF($C66="na","na",((N66*Eqtn!$D$205)*($C66+Eqtn!$D$206)))))</f>
        <v>0</v>
      </c>
      <c r="R66" s="1062"/>
    </row>
    <row r="67" spans="1:18" ht="13.9" customHeight="1" x14ac:dyDescent="0.25">
      <c r="A67" s="847">
        <f>Chem!A67</f>
        <v>65</v>
      </c>
      <c r="B67" s="891" t="str">
        <f>Chem!B67</f>
        <v>Indeno(1,2,3-cd)pyrene</v>
      </c>
      <c r="C67" s="423">
        <f>Param!F67</f>
        <v>1950</v>
      </c>
      <c r="D67" s="423">
        <f>Param!M67</f>
        <v>2.0933003177472789E-6</v>
      </c>
      <c r="E67" s="461" t="str">
        <f>PW!O67</f>
        <v>na</v>
      </c>
      <c r="F67" s="461" t="str">
        <f>IF(E67="na","na",IF($C67="na","na",(E67*Eqtn!$D$202*($C67+Eqtn!$D$203+(Eqtn!$D$204*$D67)))))</f>
        <v>na</v>
      </c>
      <c r="G67" s="461" t="str">
        <f>IF(E67="na","na",IF($C67="na","na",((E67*Eqtn!$D$205)*($C67+Eqtn!$D$206))))</f>
        <v>na</v>
      </c>
      <c r="H67" s="221">
        <f>SW!R67</f>
        <v>1.6000000000000001E-4</v>
      </c>
      <c r="I67" s="289">
        <f>IF(H67="na","na",IF($C67="na","na",(H67*Eqtn!$D$202*($C67+Eqtn!$D$203+(Eqtn!$D$204*$D67)))))</f>
        <v>6.240640000580543E-3</v>
      </c>
      <c r="J67" s="289">
        <f>IF(H67="na","na",IF($C67="na","na",((H67*Eqtn!$D$205)*($C67+Eqtn!$D$206))))</f>
        <v>3.1204586666666665E-4</v>
      </c>
      <c r="K67" s="584">
        <f>Partit!E67</f>
        <v>1.6194068446135471E-2</v>
      </c>
      <c r="L67" s="584">
        <f>IF(K67="na","na",IF(K67="TBD","TBD",IF($C67="na","na",(K67*Eqtn!$D$202*($C67+Eqtn!$D$203+(Eqtn!$D$204*$D67))))))</f>
        <v>0.63163344573182634</v>
      </c>
      <c r="M67" s="584">
        <f>IF(K67="na","na",IF(K67="TBD","TBD",IF($C67="na","na",((K67*Eqtn!$D$205)*($C67+Eqtn!$D$206)))))</f>
        <v>3.1583075769585398E-2</v>
      </c>
      <c r="N67" s="348"/>
      <c r="O67" s="348">
        <f>IF(N67="na","na",IF(N67="TBD","TBD",IF($C67="na","na",(N67*Eqtn!$D$202*($C67+Eqtn!$D$203+(Eqtn!$D$204*$D67))))))</f>
        <v>0</v>
      </c>
      <c r="P67" s="367">
        <f>IF(N67="na","na",IF(N67="TBD","TBD",IF($C67="na","na",((N67*Eqtn!$D$205)*($C67+Eqtn!$D$206)))))</f>
        <v>0</v>
      </c>
      <c r="R67" s="1062"/>
    </row>
    <row r="68" spans="1:18" ht="13.9" customHeight="1" x14ac:dyDescent="0.25">
      <c r="A68" s="847">
        <f>Chem!A68</f>
        <v>66</v>
      </c>
      <c r="B68" s="891" t="str">
        <f>Chem!B68</f>
        <v>Methyl isopropyl phenanthrene (retene)</v>
      </c>
      <c r="C68" s="423" t="str">
        <f>Param!F68</f>
        <v>na</v>
      </c>
      <c r="D68" s="423">
        <f>Param!M68</f>
        <v>0</v>
      </c>
      <c r="E68" s="461" t="str">
        <f>PW!O68</f>
        <v>na</v>
      </c>
      <c r="F68" s="461" t="str">
        <f>IF(E68="na","na",IF($C68="na","na",(E68*Eqtn!$D$202*($C68+Eqtn!$D$203+(Eqtn!$D$204*$D68)))))</f>
        <v>na</v>
      </c>
      <c r="G68" s="461" t="str">
        <f>IF(E68="na","na",IF($C68="na","na",((E68*Eqtn!$D$205)*($C68+Eqtn!$D$206))))</f>
        <v>na</v>
      </c>
      <c r="H68" s="221" t="str">
        <f>SW!R68</f>
        <v>na</v>
      </c>
      <c r="I68" s="289" t="str">
        <f>IF(H68="na","na",IF($C68="na","na",(H68*Eqtn!$D$202*($C68+Eqtn!$D$203+(Eqtn!$D$204*$D68)))))</f>
        <v>na</v>
      </c>
      <c r="J68" s="289" t="str">
        <f>IF(H68="na","na",IF($C68="na","na",((H68*Eqtn!$D$205)*($C68+Eqtn!$D$206))))</f>
        <v>na</v>
      </c>
      <c r="K68" s="584" t="str">
        <f>Partit!E68</f>
        <v>na</v>
      </c>
      <c r="L68" s="584" t="str">
        <f>IF(K68="na","na",IF(K68="TBD","TBD",IF($C68="na","na",(K68*Eqtn!$D$202*($C68+Eqtn!$D$203+(Eqtn!$D$204*$D68))))))</f>
        <v>na</v>
      </c>
      <c r="M68" s="584" t="str">
        <f>IF(K68="na","na",IF(K68="TBD","TBD",IF($C68="na","na",((K68*Eqtn!$D$205)*($C68+Eqtn!$D$206)))))</f>
        <v>na</v>
      </c>
      <c r="N68" s="348"/>
      <c r="O68" s="348" t="str">
        <f>IF(N68="na","na",IF(N68="TBD","TBD",IF($C68="na","na",(N68*Eqtn!$D$202*($C68+Eqtn!$D$203+(Eqtn!$D$204*$D68))))))</f>
        <v>na</v>
      </c>
      <c r="P68" s="367" t="str">
        <f>IF(N68="na","na",IF(N68="TBD","TBD",IF($C68="na","na",((N68*Eqtn!$D$205)*($C68+Eqtn!$D$206)))))</f>
        <v>na</v>
      </c>
      <c r="R68" s="1062"/>
    </row>
    <row r="69" spans="1:18" ht="13.9" customHeight="1" x14ac:dyDescent="0.25">
      <c r="A69" s="847">
        <f>Chem!A69</f>
        <v>67</v>
      </c>
      <c r="B69" s="891" t="str">
        <f>Chem!B69</f>
        <v>1-Methylnaphthalene</v>
      </c>
      <c r="C69" s="423">
        <f>Param!F69</f>
        <v>2.5300000000000002</v>
      </c>
      <c r="D69" s="423">
        <f>Param!M69</f>
        <v>8.1617787988793912E-3</v>
      </c>
      <c r="E69" s="461">
        <f>PW!O69</f>
        <v>0.8578431372549018</v>
      </c>
      <c r="F69" s="461">
        <f>IF(E69="na","na",IF($C69="na","na",(E69*Eqtn!$D$202*($C69+Eqtn!$D$203+(Eqtn!$D$204*$D69)))))</f>
        <v>4.685037127239703E-2</v>
      </c>
      <c r="G69" s="461">
        <f>IF(E69="na","na",IF($C69="na","na",((E69*Eqtn!$D$205)*($C69+Eqtn!$D$206))))</f>
        <v>2.4162581699346403E-3</v>
      </c>
      <c r="H69" s="221" t="str">
        <f>SW!R69</f>
        <v>na</v>
      </c>
      <c r="I69" s="289" t="str">
        <f>IF(H69="na","na",IF($C69="na","na",(H69*Eqtn!$D$202*($C69+Eqtn!$D$203+(Eqtn!$D$204*$D69)))))</f>
        <v>na</v>
      </c>
      <c r="J69" s="289" t="str">
        <f>IF(H69="na","na",IF($C69="na","na",((H69*Eqtn!$D$205)*($C69+Eqtn!$D$206))))</f>
        <v>na</v>
      </c>
      <c r="K69" s="584" t="str">
        <f>Partit!E69</f>
        <v>na</v>
      </c>
      <c r="L69" s="584" t="str">
        <f>IF(K69="na","na",IF(K69="TBD","TBD",IF($C69="na","na",(K69*Eqtn!$D$202*($C69+Eqtn!$D$203+(Eqtn!$D$204*$D69))))))</f>
        <v>na</v>
      </c>
      <c r="M69" s="584" t="str">
        <f>IF(K69="na","na",IF(K69="TBD","TBD",IF($C69="na","na",((K69*Eqtn!$D$205)*($C69+Eqtn!$D$206)))))</f>
        <v>na</v>
      </c>
      <c r="N69" s="348"/>
      <c r="O69" s="348">
        <f>IF(N69="na","na",IF(N69="TBD","TBD",IF($C69="na","na",(N69*Eqtn!$D$202*($C69+Eqtn!$D$203+(Eqtn!$D$204*$D69))))))</f>
        <v>0</v>
      </c>
      <c r="P69" s="367">
        <f>IF(N69="na","na",IF(N69="TBD","TBD",IF($C69="na","na",((N69*Eqtn!$D$205)*($C69+Eqtn!$D$206)))))</f>
        <v>0</v>
      </c>
      <c r="R69" s="1062"/>
    </row>
    <row r="70" spans="1:18" ht="13.9" customHeight="1" x14ac:dyDescent="0.25">
      <c r="A70" s="847">
        <f>Chem!A70</f>
        <v>68</v>
      </c>
      <c r="B70" s="891" t="str">
        <f>Chem!B70</f>
        <v>2-Methylnaphthalene</v>
      </c>
      <c r="C70" s="423">
        <f>Param!F70</f>
        <v>2.48</v>
      </c>
      <c r="D70" s="423">
        <f>Param!M70</f>
        <v>7.0024121452667443E-3</v>
      </c>
      <c r="E70" s="461">
        <f>PW!O70</f>
        <v>32</v>
      </c>
      <c r="F70" s="461">
        <f>IF(E70="na","na",IF($C70="na","na",(E70*Eqtn!$D$202*($C70+Eqtn!$D$203+(Eqtn!$D$204*$D70)))))</f>
        <v>1.7155884004603243</v>
      </c>
      <c r="G70" s="461">
        <f>IF(E70="na","na",IF($C70="na","na",((E70*Eqtn!$D$205)*($C70+Eqtn!$D$206))))</f>
        <v>8.8533333333333339E-2</v>
      </c>
      <c r="H70" s="221" t="str">
        <f>SW!R70</f>
        <v>na</v>
      </c>
      <c r="I70" s="289" t="str">
        <f>IF(H70="na","na",IF($C70="na","na",(H70*Eqtn!$D$202*($C70+Eqtn!$D$203+(Eqtn!$D$204*$D70)))))</f>
        <v>na</v>
      </c>
      <c r="J70" s="289" t="str">
        <f>IF(H70="na","na",IF($C70="na","na",((H70*Eqtn!$D$205)*($C70+Eqtn!$D$206))))</f>
        <v>na</v>
      </c>
      <c r="K70" s="584">
        <f>Partit!E70</f>
        <v>14.039369399351651</v>
      </c>
      <c r="L70" s="584">
        <f>IF(K70="na","na",IF(K70="TBD","TBD",IF($C70="na","na",(K70*Eqtn!$D$202*($C70+Eqtn!$D$203+(Eqtn!$D$204*$D70))))))</f>
        <v>0.7526806028532913</v>
      </c>
      <c r="M70" s="584">
        <f>IF(K70="na","na",IF(K70="TBD","TBD",IF($C70="na","na",((K70*Eqtn!$D$205)*($C70+Eqtn!$D$206)))))</f>
        <v>3.8842255338206233E-2</v>
      </c>
      <c r="N70" s="348"/>
      <c r="O70" s="348">
        <f>IF(N70="na","na",IF(N70="TBD","TBD",IF($C70="na","na",(N70*Eqtn!$D$202*($C70+Eqtn!$D$203+(Eqtn!$D$204*$D70))))))</f>
        <v>0</v>
      </c>
      <c r="P70" s="367">
        <f>IF(N70="na","na",IF(N70="TBD","TBD",IF($C70="na","na",((N70*Eqtn!$D$205)*($C70+Eqtn!$D$206)))))</f>
        <v>0</v>
      </c>
      <c r="R70" s="1062"/>
    </row>
    <row r="71" spans="1:18" ht="13.9" customHeight="1" x14ac:dyDescent="0.25">
      <c r="A71" s="847">
        <f>Chem!A71</f>
        <v>69</v>
      </c>
      <c r="B71" s="891" t="str">
        <f>Chem!B71</f>
        <v>Naphthalene</v>
      </c>
      <c r="C71" s="423">
        <f>Param!F71</f>
        <v>1.19</v>
      </c>
      <c r="D71" s="423">
        <f>Param!M71</f>
        <v>8.318994175196404E-3</v>
      </c>
      <c r="E71" s="461">
        <f>PW!O71</f>
        <v>160</v>
      </c>
      <c r="F71" s="461">
        <f>IF(E71="na","na",IF($C71="na","na",(E71*Eqtn!$D$202*($C71+Eqtn!$D$203+(Eqtn!$D$204*$D71)))))</f>
        <v>4.4503071343845875</v>
      </c>
      <c r="G71" s="461">
        <f>IF(E71="na","na",IF($C71="na","na",((E71*Eqtn!$D$205)*($C71+Eqtn!$D$206))))</f>
        <v>0.23626666666666665</v>
      </c>
      <c r="H71" s="221">
        <f>SW!R71</f>
        <v>1.4</v>
      </c>
      <c r="I71" s="289">
        <f>IF(H71="na","na",IF($C71="na","na",(H71*Eqtn!$D$202*($C71+Eqtn!$D$203+(Eqtn!$D$204*$D71)))))</f>
        <v>3.8940187425865136E-2</v>
      </c>
      <c r="J71" s="289">
        <f>IF(H71="na","na",IF($C71="na","na",((H71*Eqtn!$D$205)*($C71+Eqtn!$D$206))))</f>
        <v>2.0673333333333333E-3</v>
      </c>
      <c r="K71" s="584">
        <f>Partit!E71</f>
        <v>90.466778166337249</v>
      </c>
      <c r="L71" s="584">
        <f>IF(K71="na","na",IF(K71="TBD","TBD",IF($C71="na","na",(K71*Eqtn!$D$202*($C71+Eqtn!$D$203+(Eqtn!$D$204*$D71))))))</f>
        <v>2.5162809268652406</v>
      </c>
      <c r="M71" s="584">
        <f>IF(K71="na","na",IF(K71="TBD","TBD",IF($C71="na","na",((K71*Eqtn!$D$205)*($C71+Eqtn!$D$206)))))</f>
        <v>0.13358927575895799</v>
      </c>
      <c r="N71" s="348"/>
      <c r="O71" s="348">
        <f>IF(N71="na","na",IF(N71="TBD","TBD",IF($C71="na","na",(N71*Eqtn!$D$202*($C71+Eqtn!$D$203+(Eqtn!$D$204*$D71))))))</f>
        <v>0</v>
      </c>
      <c r="P71" s="367">
        <f>IF(N71="na","na",IF(N71="TBD","TBD",IF($C71="na","na",((N71*Eqtn!$D$205)*($C71+Eqtn!$D$206)))))</f>
        <v>0</v>
      </c>
      <c r="R71" s="1062"/>
    </row>
    <row r="72" spans="1:18" ht="13.9" customHeight="1" x14ac:dyDescent="0.25">
      <c r="A72" s="847">
        <f>Chem!A72</f>
        <v>70</v>
      </c>
      <c r="B72" s="891" t="str">
        <f>Chem!B72</f>
        <v>Phenanthrene</v>
      </c>
      <c r="C72" s="423" t="str">
        <f>Param!F72</f>
        <v>na</v>
      </c>
      <c r="D72" s="423">
        <f>Param!M72</f>
        <v>0</v>
      </c>
      <c r="E72" s="461" t="str">
        <f>PW!O72</f>
        <v>na</v>
      </c>
      <c r="F72" s="461" t="str">
        <f>IF(E72="na","na",IF($C72="na","na",(E72*Eqtn!$D$202*($C72+Eqtn!$D$203+(Eqtn!$D$204*$D72)))))</f>
        <v>na</v>
      </c>
      <c r="G72" s="461" t="str">
        <f>IF(E72="na","na",IF($C72="na","na",((E72*Eqtn!$D$205)*($C72+Eqtn!$D$206))))</f>
        <v>na</v>
      </c>
      <c r="H72" s="221" t="str">
        <f>SW!R72</f>
        <v>na</v>
      </c>
      <c r="I72" s="289" t="str">
        <f>IF(H72="na","na",IF($C72="na","na",(H72*Eqtn!$D$202*($C72+Eqtn!$D$203+(Eqtn!$D$204*$D72)))))</f>
        <v>na</v>
      </c>
      <c r="J72" s="289" t="str">
        <f>IF(H72="na","na",IF($C72="na","na",((H72*Eqtn!$D$205)*($C72+Eqtn!$D$206))))</f>
        <v>na</v>
      </c>
      <c r="K72" s="584" t="str">
        <f>Partit!E72</f>
        <v>na</v>
      </c>
      <c r="L72" s="584" t="str">
        <f>IF(K72="na","na",IF(K72="TBD","TBD",IF($C72="na","na",(K72*Eqtn!$D$202*($C72+Eqtn!$D$203+(Eqtn!$D$204*$D72))))))</f>
        <v>na</v>
      </c>
      <c r="M72" s="584" t="str">
        <f>IF(K72="na","na",IF(K72="TBD","TBD",IF($C72="na","na",((K72*Eqtn!$D$205)*($C72+Eqtn!$D$206)))))</f>
        <v>na</v>
      </c>
      <c r="N72" s="348"/>
      <c r="O72" s="348" t="str">
        <f>IF(N72="na","na",IF(N72="TBD","TBD",IF($C72="na","na",(N72*Eqtn!$D$202*($C72+Eqtn!$D$203+(Eqtn!$D$204*$D72))))))</f>
        <v>na</v>
      </c>
      <c r="P72" s="367" t="str">
        <f>IF(N72="na","na",IF(N72="TBD","TBD",IF($C72="na","na",((N72*Eqtn!$D$205)*($C72+Eqtn!$D$206)))))</f>
        <v>na</v>
      </c>
      <c r="R72" s="1062"/>
    </row>
    <row r="73" spans="1:18" ht="13.9" customHeight="1" x14ac:dyDescent="0.25">
      <c r="A73" s="847">
        <f>Chem!A73</f>
        <v>71</v>
      </c>
      <c r="B73" s="891" t="str">
        <f>Chem!B73</f>
        <v>Pyrene</v>
      </c>
      <c r="C73" s="423">
        <f>Param!F73</f>
        <v>68</v>
      </c>
      <c r="D73" s="423">
        <f>Param!M73</f>
        <v>1.1483911961661917E-4</v>
      </c>
      <c r="E73" s="461">
        <f>PW!O73</f>
        <v>240</v>
      </c>
      <c r="F73" s="461">
        <f>IF(E73="na","na",IF($C73="na","na",(E73*Eqtn!$D$202*($C73+Eqtn!$D$203+(Eqtn!$D$204*$D73)))))</f>
        <v>327.36004777307375</v>
      </c>
      <c r="G73" s="461">
        <f>IF(E73="na","na",IF($C73="na","na",((E73*Eqtn!$D$205)*($C73+Eqtn!$D$206))))</f>
        <v>16.3888</v>
      </c>
      <c r="H73" s="221">
        <f>SW!R73</f>
        <v>8</v>
      </c>
      <c r="I73" s="289">
        <f>IF(H73="na","na",IF($C73="na","na",(H73*Eqtn!$D$202*($C73+Eqtn!$D$203+(Eqtn!$D$204*$D73)))))</f>
        <v>10.912001592435793</v>
      </c>
      <c r="J73" s="289">
        <f>IF(H73="na","na",IF($C73="na","na",((H73*Eqtn!$D$205)*($C73+Eqtn!$D$206))))</f>
        <v>0.5462933333333333</v>
      </c>
      <c r="K73" s="584">
        <f>Partit!E73</f>
        <v>2.0114452142849015</v>
      </c>
      <c r="L73" s="584">
        <f>IF(K73="na","na",IF(K73="TBD","TBD",IF($C73="na","na",(K73*Eqtn!$D$202*($C73+Eqtn!$D$203+(Eqtn!$D$204*$D73))))))</f>
        <v>2.7436116726717747</v>
      </c>
      <c r="M73" s="584">
        <f>IF(K73="na","na",IF(K73="TBD","TBD",IF($C73="na","na",((K73*Eqtn!$D$205)*($C73+Eqtn!$D$206)))))</f>
        <v>0.13735488886613498</v>
      </c>
      <c r="N73" s="348"/>
      <c r="O73" s="348">
        <f>IF(N73="na","na",IF(N73="TBD","TBD",IF($C73="na","na",(N73*Eqtn!$D$202*($C73+Eqtn!$D$203+(Eqtn!$D$204*$D73))))))</f>
        <v>0</v>
      </c>
      <c r="P73" s="367">
        <f>IF(N73="na","na",IF(N73="TBD","TBD",IF($C73="na","na",((N73*Eqtn!$D$205)*($C73+Eqtn!$D$206)))))</f>
        <v>0</v>
      </c>
      <c r="R73" s="1062"/>
    </row>
    <row r="74" spans="1:18" ht="13.9" customHeight="1" x14ac:dyDescent="0.25">
      <c r="A74" s="847">
        <f>Chem!A74</f>
        <v>72</v>
      </c>
      <c r="B74" s="891" t="str">
        <f>Chem!B74</f>
        <v>Total LPAHs</v>
      </c>
      <c r="C74" s="423" t="str">
        <f>Param!F74</f>
        <v>na</v>
      </c>
      <c r="D74" s="423">
        <f>Param!M74</f>
        <v>0</v>
      </c>
      <c r="E74" s="461" t="str">
        <f>PW!O74</f>
        <v>na</v>
      </c>
      <c r="F74" s="461" t="str">
        <f>IF(E74="na","na",IF($C74="na","na",(E74*Eqtn!$D$202*($C74+Eqtn!$D$203+(Eqtn!$D$204*$D74)))))</f>
        <v>na</v>
      </c>
      <c r="G74" s="461" t="str">
        <f>IF(E74="na","na",IF($C74="na","na",((E74*Eqtn!$D$205)*($C74+Eqtn!$D$206))))</f>
        <v>na</v>
      </c>
      <c r="H74" s="221" t="str">
        <f>SW!R74</f>
        <v>na</v>
      </c>
      <c r="I74" s="289" t="str">
        <f>IF(H74="na","na",IF($C74="na","na",(H74*Eqtn!$D$202*($C74+Eqtn!$D$203+(Eqtn!$D$204*$D74)))))</f>
        <v>na</v>
      </c>
      <c r="J74" s="289" t="str">
        <f>IF(H74="na","na",IF($C74="na","na",((H74*Eqtn!$D$205)*($C74+Eqtn!$D$206))))</f>
        <v>na</v>
      </c>
      <c r="K74" s="584" t="str">
        <f>Partit!E74</f>
        <v>na</v>
      </c>
      <c r="L74" s="584" t="str">
        <f>IF(K74="na","na",IF(K74="TBD","TBD",IF($C74="na","na",(K74*Eqtn!$D$202*($C74+Eqtn!$D$203+(Eqtn!$D$204*$D74))))))</f>
        <v>na</v>
      </c>
      <c r="M74" s="584" t="str">
        <f>IF(K74="na","na",IF(K74="TBD","TBD",IF($C74="na","na",((K74*Eqtn!$D$205)*($C74+Eqtn!$D$206)))))</f>
        <v>na</v>
      </c>
      <c r="N74" s="348"/>
      <c r="O74" s="348" t="str">
        <f>IF(N74="na","na",IF(N74="TBD","TBD",IF($C74="na","na",(N74*Eqtn!$D$202*($C74+Eqtn!$D$203+(Eqtn!$D$204*$D74))))))</f>
        <v>na</v>
      </c>
      <c r="P74" s="367" t="str">
        <f>IF(N74="na","na",IF(N74="TBD","TBD",IF($C74="na","na",((N74*Eqtn!$D$205)*($C74+Eqtn!$D$206)))))</f>
        <v>na</v>
      </c>
      <c r="R74" s="1062"/>
    </row>
    <row r="75" spans="1:18" ht="13.9" customHeight="1" x14ac:dyDescent="0.25">
      <c r="A75" s="847">
        <f>Chem!A75</f>
        <v>73</v>
      </c>
      <c r="B75" s="891" t="str">
        <f>Chem!B75</f>
        <v>Total HPAHs</v>
      </c>
      <c r="C75" s="423" t="str">
        <f>Param!F75</f>
        <v>na</v>
      </c>
      <c r="D75" s="423">
        <f>Param!M75</f>
        <v>0</v>
      </c>
      <c r="E75" s="461" t="str">
        <f>PW!O75</f>
        <v>na</v>
      </c>
      <c r="F75" s="461" t="str">
        <f>IF(E75="na","na",IF($C75="na","na",(E75*Eqtn!$D$202*($C75+Eqtn!$D$203+(Eqtn!$D$204*$D75)))))</f>
        <v>na</v>
      </c>
      <c r="G75" s="461" t="str">
        <f>IF(E75="na","na",IF($C75="na","na",((E75*Eqtn!$D$205)*($C75+Eqtn!$D$206))))</f>
        <v>na</v>
      </c>
      <c r="H75" s="221" t="str">
        <f>SW!R75</f>
        <v>na</v>
      </c>
      <c r="I75" s="289" t="str">
        <f>IF(H75="na","na",IF($C75="na","na",(H75*Eqtn!$D$202*($C75+Eqtn!$D$203+(Eqtn!$D$204*$D75)))))</f>
        <v>na</v>
      </c>
      <c r="J75" s="289" t="str">
        <f>IF(H75="na","na",IF($C75="na","na",((H75*Eqtn!$D$205)*($C75+Eqtn!$D$206))))</f>
        <v>na</v>
      </c>
      <c r="K75" s="584" t="str">
        <f>Partit!E75</f>
        <v>na</v>
      </c>
      <c r="L75" s="584" t="str">
        <f>IF(K75="na","na",IF(K75="TBD","TBD",IF($C75="na","na",(K75*Eqtn!$D$202*($C75+Eqtn!$D$203+(Eqtn!$D$204*$D75))))))</f>
        <v>na</v>
      </c>
      <c r="M75" s="584" t="str">
        <f>IF(K75="na","na",IF(K75="TBD","TBD",IF($C75="na","na",((K75*Eqtn!$D$205)*($C75+Eqtn!$D$206)))))</f>
        <v>na</v>
      </c>
      <c r="N75" s="348"/>
      <c r="O75" s="348" t="str">
        <f>IF(N75="na","na",IF(N75="TBD","TBD",IF($C75="na","na",(N75*Eqtn!$D$202*($C75+Eqtn!$D$203+(Eqtn!$D$204*$D75))))))</f>
        <v>na</v>
      </c>
      <c r="P75" s="367" t="str">
        <f>IF(N75="na","na",IF(N75="TBD","TBD",IF($C75="na","na",((N75*Eqtn!$D$205)*($C75+Eqtn!$D$206)))))</f>
        <v>na</v>
      </c>
      <c r="R75" s="1062"/>
    </row>
    <row r="76" spans="1:18" ht="13.9" customHeight="1" x14ac:dyDescent="0.25">
      <c r="A76" s="842">
        <f>Chem!A76</f>
        <v>74</v>
      </c>
      <c r="B76" s="891" t="str">
        <f>Chem!B76</f>
        <v>Total PAHs</v>
      </c>
      <c r="C76" s="423" t="str">
        <f>Param!F76</f>
        <v>na</v>
      </c>
      <c r="D76" s="423">
        <f>Param!M76</f>
        <v>0</v>
      </c>
      <c r="E76" s="461" t="str">
        <f>PW!O76</f>
        <v>na</v>
      </c>
      <c r="F76" s="461" t="str">
        <f>IF(E76="na","na",IF($C76="na","na",(E76*Eqtn!$D$202*($C76+Eqtn!$D$203+(Eqtn!$D$204*$D76)))))</f>
        <v>na</v>
      </c>
      <c r="G76" s="461" t="str">
        <f>IF(E76="na","na",IF($C76="na","na",((E76*Eqtn!$D$205)*($C76+Eqtn!$D$206))))</f>
        <v>na</v>
      </c>
      <c r="H76" s="221" t="str">
        <f>SW!R76</f>
        <v>na</v>
      </c>
      <c r="I76" s="289" t="str">
        <f>IF(H76="na","na",IF($C76="na","na",(H76*Eqtn!$D$202*($C76+Eqtn!$D$203+(Eqtn!$D$204*$D76)))))</f>
        <v>na</v>
      </c>
      <c r="J76" s="289" t="str">
        <f>IF(H76="na","na",IF($C76="na","na",((H76*Eqtn!$D$205)*($C76+Eqtn!$D$206))))</f>
        <v>na</v>
      </c>
      <c r="K76" s="584" t="str">
        <f>Partit!E76</f>
        <v>na</v>
      </c>
      <c r="L76" s="584" t="str">
        <f>IF(K76="na","na",IF(K76="TBD","TBD",IF($C76="na","na",(K76*Eqtn!$D$202*($C76+Eqtn!$D$203+(Eqtn!$D$204*$D76))))))</f>
        <v>na</v>
      </c>
      <c r="M76" s="584" t="str">
        <f>IF(K76="na","na",IF(K76="TBD","TBD",IF($C76="na","na",((K76*Eqtn!$D$205)*($C76+Eqtn!$D$206)))))</f>
        <v>na</v>
      </c>
      <c r="N76" s="348"/>
      <c r="O76" s="348" t="str">
        <f>IF(N76="na","na",IF(N76="TBD","TBD",IF($C76="na","na",(N76*Eqtn!$D$202*($C76+Eqtn!$D$203+(Eqtn!$D$204*$D76))))))</f>
        <v>na</v>
      </c>
      <c r="P76" s="367" t="str">
        <f>IF(N76="na","na",IF(N76="TBD","TBD",IF($C76="na","na",((N76*Eqtn!$D$205)*($C76+Eqtn!$D$206)))))</f>
        <v>na</v>
      </c>
      <c r="R76" s="1062"/>
    </row>
    <row r="77" spans="1:18" ht="13.9" customHeight="1" x14ac:dyDescent="0.25">
      <c r="A77" s="844">
        <f>Chem!A77</f>
        <v>75</v>
      </c>
      <c r="B77" s="892" t="str">
        <f>Chem!B77</f>
        <v>Total cPAH TEQ</v>
      </c>
      <c r="C77" s="422">
        <f>Param!F77</f>
        <v>968.774</v>
      </c>
      <c r="D77" s="422">
        <f>Param!M77</f>
        <v>3.6074792186225586E-6</v>
      </c>
      <c r="E77" s="461">
        <f>PW!O77</f>
        <v>0.2</v>
      </c>
      <c r="F77" s="460">
        <f>IF(E77="na","na",IF($C77="na","na",(E77*Eqtn!$D$202*($C77+Eqtn!$D$203+(Eqtn!$D$204*$D77)))))</f>
        <v>3.8758960012505934</v>
      </c>
      <c r="G77" s="460">
        <f>IF(E77="na","na",IF($C77="na","na",((E77*Eqtn!$D$205)*($C77+Eqtn!$D$206))))</f>
        <v>0.19381213333333333</v>
      </c>
      <c r="H77" s="221">
        <f>SW!R77</f>
        <v>1.5999999999999999E-5</v>
      </c>
      <c r="I77" s="580">
        <f>IF(H77="na","na",IF($C77="na","na",(H77*Eqtn!$D$202*($C77+Eqtn!$D$203+(Eqtn!$D$204*$D77)))))</f>
        <v>3.1007168010004744E-4</v>
      </c>
      <c r="J77" s="580">
        <f>IF(H77="na","na",IF($C77="na","na",((H77*Eqtn!$D$205)*($C77+Eqtn!$D$206))))</f>
        <v>1.5504970666666666E-5</v>
      </c>
      <c r="K77" s="585">
        <f>Partit!E77</f>
        <v>3.205248534076547E-2</v>
      </c>
      <c r="L77" s="585">
        <f>IF(K77="na","na",IF(K77="TBD","TBD",IF($C77="na","na",(K77*Eqtn!$D$202*($C77+Eqtn!$D$203+(Eqtn!$D$204*$D77))))))</f>
        <v>0.62116049881208069</v>
      </c>
      <c r="M77" s="585">
        <f>IF(K77="na","na",IF(K77="TBD","TBD",IF($C77="na","na",((K77*Eqtn!$D$205)*($C77+Eqtn!$D$206)))))</f>
        <v>3.1060802812645748E-2</v>
      </c>
      <c r="N77" s="723"/>
      <c r="O77" s="723">
        <f>IF(N77="na","na",IF(N77="TBD","TBD",IF($C77="na","na",(N77*Eqtn!$D$202*($C77+Eqtn!$D$203+(Eqtn!$D$204*$D77))))))</f>
        <v>0</v>
      </c>
      <c r="P77" s="724">
        <f>IF(N77="na","na",IF(N77="TBD","TBD",IF($C77="na","na",((N77*Eqtn!$D$205)*($C77+Eqtn!$D$206)))))</f>
        <v>0</v>
      </c>
      <c r="R77" s="1062"/>
    </row>
    <row r="78" spans="1:18" ht="13.9" customHeight="1" x14ac:dyDescent="0.25">
      <c r="A78" s="906">
        <f>Chem!A78</f>
        <v>76</v>
      </c>
      <c r="B78" s="887" t="str">
        <f>Chem!B78</f>
        <v>Other SVOCs</v>
      </c>
      <c r="C78" s="31"/>
      <c r="D78" s="31"/>
      <c r="E78" s="31"/>
      <c r="F78" s="31"/>
      <c r="G78" s="31"/>
      <c r="H78" s="259"/>
      <c r="I78" s="31"/>
      <c r="J78" s="31"/>
      <c r="K78" s="31"/>
      <c r="L78" s="31"/>
      <c r="M78" s="31"/>
      <c r="N78" s="31"/>
      <c r="O78" s="31"/>
      <c r="P78" s="648"/>
      <c r="Q78" s="129"/>
      <c r="R78" s="1063"/>
    </row>
    <row r="79" spans="1:18" ht="13.9" customHeight="1" x14ac:dyDescent="0.25">
      <c r="A79" s="846">
        <f>Chem!A79</f>
        <v>77</v>
      </c>
      <c r="B79" s="890" t="str">
        <f>Chem!B79</f>
        <v>Aniline</v>
      </c>
      <c r="C79" s="652">
        <f>Param!F79</f>
        <v>7.0199999999999999E-2</v>
      </c>
      <c r="D79" s="652">
        <f>Param!M79</f>
        <v>3.6020560358502435E-5</v>
      </c>
      <c r="E79" s="458">
        <f>PW!O79</f>
        <v>15.350877192982452</v>
      </c>
      <c r="F79" s="458">
        <f>IF(E79="na","na",IF($C79="na","na",(E79*Eqtn!$D$202*($C79+Eqtn!$D$203+(Eqtn!$D$204*$D79)))))</f>
        <v>8.2957098792687881E-2</v>
      </c>
      <c r="G79" s="458">
        <f>IF(E79="na","na",IF($C79="na","na",((E79*Eqtn!$D$205)*($C79+Eqtn!$D$206))))</f>
        <v>5.478216374269004E-3</v>
      </c>
      <c r="H79" s="254" t="str">
        <f>SW!R79</f>
        <v>na</v>
      </c>
      <c r="I79" s="621" t="str">
        <f>IF(H79="na","na",IF($C79="na","na",(H79*Eqtn!$D$202*($C79+Eqtn!$D$203+(Eqtn!$D$204*$D79)))))</f>
        <v>na</v>
      </c>
      <c r="J79" s="621" t="str">
        <f>IF(H79="na","na",IF($C79="na","na",((H79*Eqtn!$D$205)*($C79+Eqtn!$D$206))))</f>
        <v>na</v>
      </c>
      <c r="K79" s="653" t="str">
        <f>Partit!E79</f>
        <v>na</v>
      </c>
      <c r="L79" s="653" t="str">
        <f>IF(K79="na","na",IF(K79="TBD","TBD",IF($C79="na","na",(K79*Eqtn!$D$202*($C79+Eqtn!$D$203+(Eqtn!$D$204*$D79))))))</f>
        <v>na</v>
      </c>
      <c r="M79" s="653" t="str">
        <f>IF(K79="na","na",IF(K79="TBD","TBD",IF($C79="na","na",((K79*Eqtn!$D$205)*($C79+Eqtn!$D$206)))))</f>
        <v>na</v>
      </c>
      <c r="N79" s="721"/>
      <c r="O79" s="721">
        <f>IF(N79="na","na",IF(N79="TBD","TBD",IF($C79="na","na",(N79*Eqtn!$D$202*($C79+Eqtn!$D$203+(Eqtn!$D$204*$D79))))))</f>
        <v>0</v>
      </c>
      <c r="P79" s="722">
        <f>IF(N79="na","na",IF(N79="TBD","TBD",IF($C79="na","na",((N79*Eqtn!$D$205)*($C79+Eqtn!$D$206)))))</f>
        <v>0</v>
      </c>
      <c r="R79" s="1062"/>
    </row>
    <row r="80" spans="1:18" ht="13.9" customHeight="1" x14ac:dyDescent="0.25">
      <c r="A80" s="847">
        <f>Chem!A80</f>
        <v>78</v>
      </c>
      <c r="B80" s="891" t="str">
        <f>Chem!B80</f>
        <v>Azobenzene</v>
      </c>
      <c r="C80" s="423">
        <f>Param!F80</f>
        <v>3.7589999999999999</v>
      </c>
      <c r="D80" s="423">
        <f>Param!M80</f>
        <v>1.907213710501841E-4</v>
      </c>
      <c r="E80" s="461">
        <f>PW!O80</f>
        <v>0.39772727272727265</v>
      </c>
      <c r="F80" s="461">
        <f>IF(E80="na","na",IF($C80="na","na",(E80*Eqtn!$D$202*($C80+Eqtn!$D$203+(Eqtn!$D$204*$D80)))))</f>
        <v>3.1492176936702768E-2</v>
      </c>
      <c r="G80" s="461">
        <f>IF(E80="na","na",IF($C80="na","na",((E80*Eqtn!$D$205)*($C80+Eqtn!$D$206))))</f>
        <v>1.6090719696969695E-3</v>
      </c>
      <c r="H80" s="221" t="str">
        <f>SW!R80</f>
        <v>na</v>
      </c>
      <c r="I80" s="289" t="str">
        <f>IF(H80="na","na",IF($C80="na","na",(H80*Eqtn!$D$202*($C80+Eqtn!$D$203+(Eqtn!$D$204*$D80)))))</f>
        <v>na</v>
      </c>
      <c r="J80" s="289" t="str">
        <f>IF(H80="na","na",IF($C80="na","na",((H80*Eqtn!$D$205)*($C80+Eqtn!$D$206))))</f>
        <v>na</v>
      </c>
      <c r="K80" s="584" t="str">
        <f>Partit!E80</f>
        <v>na</v>
      </c>
      <c r="L80" s="584" t="str">
        <f>IF(K80="na","na",IF(K80="TBD","TBD",IF($C80="na","na",(K80*Eqtn!$D$202*($C80+Eqtn!$D$203+(Eqtn!$D$204*$D80))))))</f>
        <v>na</v>
      </c>
      <c r="M80" s="584" t="str">
        <f>IF(K80="na","na",IF(K80="TBD","TBD",IF($C80="na","na",((K80*Eqtn!$D$205)*($C80+Eqtn!$D$206)))))</f>
        <v>na</v>
      </c>
      <c r="N80" s="348"/>
      <c r="O80" s="348">
        <f>IF(N80="na","na",IF(N80="TBD","TBD",IF($C80="na","na",(N80*Eqtn!$D$202*($C80+Eqtn!$D$203+(Eqtn!$D$204*$D80))))))</f>
        <v>0</v>
      </c>
      <c r="P80" s="367">
        <f>IF(N80="na","na",IF(N80="TBD","TBD",IF($C80="na","na",((N80*Eqtn!$D$205)*($C80+Eqtn!$D$206)))))</f>
        <v>0</v>
      </c>
      <c r="R80" s="1062"/>
    </row>
    <row r="81" spans="1:18" ht="13.9" customHeight="1" x14ac:dyDescent="0.25">
      <c r="A81" s="847">
        <f>Chem!A81</f>
        <v>79</v>
      </c>
      <c r="B81" s="891" t="str">
        <f>Chem!B81</f>
        <v>Benzidine</v>
      </c>
      <c r="C81" s="423">
        <f>Param!F81</f>
        <v>1.19</v>
      </c>
      <c r="D81" s="423">
        <f>Param!M81</f>
        <v>4.886965518098135E-10</v>
      </c>
      <c r="E81" s="461">
        <f>PW!O81</f>
        <v>1E-4</v>
      </c>
      <c r="F81" s="461">
        <f>IF(E81="na","na",IF($C81="na","na",(E81*Eqtn!$D$202*($C81+Eqtn!$D$203+(Eqtn!$D$204*$D81)))))</f>
        <v>2.7800000000847076E-6</v>
      </c>
      <c r="G81" s="461">
        <f>IF(E81="na","na",IF($C81="na","na",((E81*Eqtn!$D$205)*($C81+Eqtn!$D$206))))</f>
        <v>1.4766666666666668E-7</v>
      </c>
      <c r="H81" s="221">
        <f>SW!R81</f>
        <v>2.3E-5</v>
      </c>
      <c r="I81" s="289">
        <f>IF(H81="na","na",IF($C81="na","na",(H81*Eqtn!$D$202*($C81+Eqtn!$D$203+(Eqtn!$D$204*$D81)))))</f>
        <v>6.3940000001948268E-7</v>
      </c>
      <c r="J81" s="289">
        <f>IF(H81="na","na",IF($C81="na","na",((H81*Eqtn!$D$205)*($C81+Eqtn!$D$206))))</f>
        <v>3.3963333333333334E-8</v>
      </c>
      <c r="K81" s="584" t="str">
        <f>Partit!E81</f>
        <v>na</v>
      </c>
      <c r="L81" s="584" t="str">
        <f>IF(K81="na","na",IF(K81="TBD","TBD",IF($C81="na","na",(K81*Eqtn!$D$202*($C81+Eqtn!$D$203+(Eqtn!$D$204*$D81))))))</f>
        <v>na</v>
      </c>
      <c r="M81" s="584" t="str">
        <f>IF(K81="na","na",IF(K81="TBD","TBD",IF($C81="na","na",((K81*Eqtn!$D$205)*($C81+Eqtn!$D$206)))))</f>
        <v>na</v>
      </c>
      <c r="N81" s="348"/>
      <c r="O81" s="348">
        <f>IF(N81="na","na",IF(N81="TBD","TBD",IF($C81="na","na",(N81*Eqtn!$D$202*($C81+Eqtn!$D$203+(Eqtn!$D$204*$D81))))))</f>
        <v>0</v>
      </c>
      <c r="P81" s="367">
        <f>IF(N81="na","na",IF(N81="TBD","TBD",IF($C81="na","na",((N81*Eqtn!$D$205)*($C81+Eqtn!$D$206)))))</f>
        <v>0</v>
      </c>
      <c r="R81" s="1062"/>
    </row>
    <row r="82" spans="1:18" ht="13.9" customHeight="1" x14ac:dyDescent="0.25">
      <c r="A82" s="847">
        <f>Chem!A82</f>
        <v>80</v>
      </c>
      <c r="B82" s="891" t="str">
        <f>Chem!B82</f>
        <v>Benzoic acid</v>
      </c>
      <c r="C82" s="423">
        <f>Param!F82</f>
        <v>5.9999999999999995E-4</v>
      </c>
      <c r="D82" s="423">
        <f>Param!M82</f>
        <v>5.2039108103926725E-7</v>
      </c>
      <c r="E82" s="461">
        <f>PW!O82</f>
        <v>64000</v>
      </c>
      <c r="F82" s="461">
        <f>IF(E82="na","na",IF($C82="na","na",(E82*Eqtn!$D$202*($C82+Eqtn!$D$203+(Eqtn!$D$204*$D82)))))</f>
        <v>256.76805772871722</v>
      </c>
      <c r="G82" s="461">
        <f>IF(E82="na","na",IF($C82="na","na",((E82*Eqtn!$D$205)*($C82+Eqtn!$D$206))))</f>
        <v>18.385066666666667</v>
      </c>
      <c r="H82" s="221" t="str">
        <f>SW!R82</f>
        <v>na</v>
      </c>
      <c r="I82" s="289" t="str">
        <f>IF(H82="na","na",IF($C82="na","na",(H82*Eqtn!$D$202*($C82+Eqtn!$D$203+(Eqtn!$D$204*$D82)))))</f>
        <v>na</v>
      </c>
      <c r="J82" s="289" t="str">
        <f>IF(H82="na","na",IF($C82="na","na",((H82*Eqtn!$D$205)*($C82+Eqtn!$D$206))))</f>
        <v>na</v>
      </c>
      <c r="K82" s="584">
        <f>Partit!E82</f>
        <v>1061.1288990245105</v>
      </c>
      <c r="L82" s="584">
        <f>IF(K82="na","na",IF(K82="TBD","TBD",IF($C82="na","na",(K82*Eqtn!$D$202*($C82+Eqtn!$D$203+(Eqtn!$D$204*$D82))))))</f>
        <v>4.2572501000364955</v>
      </c>
      <c r="M82" s="584">
        <f>IF(K82="na","na",IF(K82="TBD","TBD",IF($C82="na","na",((K82*Eqtn!$D$205)*($C82+Eqtn!$D$206)))))</f>
        <v>0.30482696172644103</v>
      </c>
      <c r="N82" s="348"/>
      <c r="O82" s="348">
        <f>IF(N82="na","na",IF(N82="TBD","TBD",IF($C82="na","na",(N82*Eqtn!$D$202*($C82+Eqtn!$D$203+(Eqtn!$D$204*$D82))))))</f>
        <v>0</v>
      </c>
      <c r="P82" s="367">
        <f>IF(N82="na","na",IF(N82="TBD","TBD",IF($C82="na","na",((N82*Eqtn!$D$205)*($C82+Eqtn!$D$206)))))</f>
        <v>0</v>
      </c>
      <c r="R82" s="1062"/>
    </row>
    <row r="83" spans="1:18" ht="13.9" customHeight="1" x14ac:dyDescent="0.25">
      <c r="A83" s="847">
        <f>Chem!A83</f>
        <v>81</v>
      </c>
      <c r="B83" s="891" t="str">
        <f>Chem!B83</f>
        <v>Benzyl alcohol</v>
      </c>
      <c r="C83" s="423">
        <f>Param!F83</f>
        <v>2.1500000000000002E-2</v>
      </c>
      <c r="D83" s="423">
        <f>Param!M83</f>
        <v>4.919075438828267E-6</v>
      </c>
      <c r="E83" s="461">
        <f>PW!O83</f>
        <v>1600</v>
      </c>
      <c r="F83" s="461">
        <f>IF(E83="na","na",IF($C83="na","na",(E83*Eqtn!$D$202*($C83+Eqtn!$D$203+(Eqtn!$D$204*$D83)))))</f>
        <v>7.0880136422358833</v>
      </c>
      <c r="G83" s="461">
        <f>IF(E83="na","na",IF($C83="na","na",((E83*Eqtn!$D$205)*($C83+Eqtn!$D$206))))</f>
        <v>0.49306666666666676</v>
      </c>
      <c r="H83" s="221" t="str">
        <f>SW!R83</f>
        <v>na</v>
      </c>
      <c r="I83" s="289" t="str">
        <f>IF(H83="na","na",IF($C83="na","na",(H83*Eqtn!$D$202*($C83+Eqtn!$D$203+(Eqtn!$D$204*$D83)))))</f>
        <v>na</v>
      </c>
      <c r="J83" s="289" t="str">
        <f>IF(H83="na","na",IF($C83="na","na",((H83*Eqtn!$D$205)*($C83+Eqtn!$D$206))))</f>
        <v>na</v>
      </c>
      <c r="K83" s="584">
        <f>Partit!E83</f>
        <v>56.355229870016579</v>
      </c>
      <c r="L83" s="584">
        <f>IF(K83="na","na",IF(K83="TBD","TBD",IF($C83="na","na",(K83*Eqtn!$D$202*($C83+Eqtn!$D$203+(Eqtn!$D$204*$D83))))))</f>
        <v>0.24965414883126039</v>
      </c>
      <c r="M83" s="584">
        <f>IF(K83="na","na",IF(K83="TBD","TBD",IF($C83="na","na",((K83*Eqtn!$D$205)*($C83+Eqtn!$D$206)))))</f>
        <v>1.7366803338276778E-2</v>
      </c>
      <c r="N83" s="348"/>
      <c r="O83" s="348">
        <f>IF(N83="na","na",IF(N83="TBD","TBD",IF($C83="na","na",(N83*Eqtn!$D$202*($C83+Eqtn!$D$203+(Eqtn!$D$204*$D83))))))</f>
        <v>0</v>
      </c>
      <c r="P83" s="367">
        <f>IF(N83="na","na",IF(N83="TBD","TBD",IF($C83="na","na",((N83*Eqtn!$D$205)*($C83+Eqtn!$D$206)))))</f>
        <v>0</v>
      </c>
      <c r="R83" s="1062"/>
    </row>
    <row r="84" spans="1:18" ht="13.9" customHeight="1" x14ac:dyDescent="0.25">
      <c r="A84" s="847">
        <f>Chem!A84</f>
        <v>82</v>
      </c>
      <c r="B84" s="891" t="str">
        <f>Chem!B84</f>
        <v>Bis(2-chloroethoxy)methane</v>
      </c>
      <c r="C84" s="423">
        <f>Param!F84</f>
        <v>1.4400000000000001E-2</v>
      </c>
      <c r="D84" s="423">
        <f>Param!M84</f>
        <v>6.5646037131180564E-5</v>
      </c>
      <c r="E84" s="461">
        <f>PW!O84</f>
        <v>48</v>
      </c>
      <c r="F84" s="461">
        <f>IF(E84="na","na",IF($C84="na","na",(E84*Eqtn!$D$202*($C84+Eqtn!$D$203+(Eqtn!$D$204*$D84)))))</f>
        <v>0.20582946175028929</v>
      </c>
      <c r="G84" s="461">
        <f>IF(E84="na","na",IF($C84="na","na",((E84*Eqtn!$D$205)*($C84+Eqtn!$D$206))))</f>
        <v>1.4451200000000003E-2</v>
      </c>
      <c r="H84" s="221" t="str">
        <f>SW!R84</f>
        <v>na</v>
      </c>
      <c r="I84" s="289" t="str">
        <f>IF(H84="na","na",IF($C84="na","na",(H84*Eqtn!$D$202*($C84+Eqtn!$D$203+(Eqtn!$D$204*$D84)))))</f>
        <v>na</v>
      </c>
      <c r="J84" s="289" t="str">
        <f>IF(H84="na","na",IF($C84="na","na",((H84*Eqtn!$D$205)*($C84+Eqtn!$D$206))))</f>
        <v>na</v>
      </c>
      <c r="K84" s="584" t="str">
        <f>Partit!E84</f>
        <v>na</v>
      </c>
      <c r="L84" s="584" t="str">
        <f>IF(K84="na","na",IF(K84="TBD","TBD",IF($C84="na","na",(K84*Eqtn!$D$202*($C84+Eqtn!$D$203+(Eqtn!$D$204*$D84))))))</f>
        <v>na</v>
      </c>
      <c r="M84" s="584" t="str">
        <f>IF(K84="na","na",IF(K84="TBD","TBD",IF($C84="na","na",((K84*Eqtn!$D$205)*($C84+Eqtn!$D$206)))))</f>
        <v>na</v>
      </c>
      <c r="N84" s="348"/>
      <c r="O84" s="348">
        <f>IF(N84="na","na",IF(N84="TBD","TBD",IF($C84="na","na",(N84*Eqtn!$D$202*($C84+Eqtn!$D$203+(Eqtn!$D$204*$D84))))))</f>
        <v>0</v>
      </c>
      <c r="P84" s="367">
        <f>IF(N84="na","na",IF(N84="TBD","TBD",IF($C84="na","na",((N84*Eqtn!$D$205)*($C84+Eqtn!$D$206)))))</f>
        <v>0</v>
      </c>
      <c r="R84" s="1062"/>
    </row>
    <row r="85" spans="1:18" ht="13.9" customHeight="1" x14ac:dyDescent="0.25">
      <c r="A85" s="847">
        <f>Chem!A85</f>
        <v>83</v>
      </c>
      <c r="B85" s="891" t="str">
        <f>Chem!B85</f>
        <v>Bis(2-chloroethyl)ether</v>
      </c>
      <c r="C85" s="423">
        <f>Param!F85</f>
        <v>7.5999999999999998E-2</v>
      </c>
      <c r="D85" s="423">
        <f>Param!M85</f>
        <v>2.7884751232172631E-4</v>
      </c>
      <c r="E85" s="461">
        <f>PW!O85</f>
        <v>3.9772727272727258E-2</v>
      </c>
      <c r="F85" s="461">
        <f>IF(E85="na","na",IF($C85="na","na",(E85*Eqtn!$D$202*($C85+Eqtn!$D$203+(Eqtn!$D$204*$D85)))))</f>
        <v>2.195646781239554E-4</v>
      </c>
      <c r="G85" s="461">
        <f>IF(E85="na","na",IF($C85="na","na",((E85*Eqtn!$D$205)*($C85+Eqtn!$D$206))))</f>
        <v>1.4424242424242421E-5</v>
      </c>
      <c r="H85" s="221">
        <f>SW!R85</f>
        <v>0.06</v>
      </c>
      <c r="I85" s="289">
        <f>IF(H85="na","na",IF($C85="na","na",(H85*Eqtn!$D$202*($C85+Eqtn!$D$203+(Eqtn!$D$204*$D85)))))</f>
        <v>3.3122900014128135E-4</v>
      </c>
      <c r="J85" s="289">
        <f>IF(H85="na","na",IF($C85="na","na",((H85*Eqtn!$D$205)*($C85+Eqtn!$D$206))))</f>
        <v>2.1760000000000002E-5</v>
      </c>
      <c r="K85" s="584" t="str">
        <f>Partit!E85</f>
        <v>na</v>
      </c>
      <c r="L85" s="584" t="str">
        <f>IF(K85="na","na",IF(K85="TBD","TBD",IF($C85="na","na",(K85*Eqtn!$D$202*($C85+Eqtn!$D$203+(Eqtn!$D$204*$D85))))))</f>
        <v>na</v>
      </c>
      <c r="M85" s="584" t="str">
        <f>IF(K85="na","na",IF(K85="TBD","TBD",IF($C85="na","na",((K85*Eqtn!$D$205)*($C85+Eqtn!$D$206)))))</f>
        <v>na</v>
      </c>
      <c r="N85" s="348"/>
      <c r="O85" s="348">
        <f>IF(N85="na","na",IF(N85="TBD","TBD",IF($C85="na","na",(N85*Eqtn!$D$202*($C85+Eqtn!$D$203+(Eqtn!$D$204*$D85))))))</f>
        <v>0</v>
      </c>
      <c r="P85" s="367">
        <f>IF(N85="na","na",IF(N85="TBD","TBD",IF($C85="na","na",((N85*Eqtn!$D$205)*($C85+Eqtn!$D$206)))))</f>
        <v>0</v>
      </c>
      <c r="R85" s="1062"/>
    </row>
    <row r="86" spans="1:18" ht="13.9" customHeight="1" x14ac:dyDescent="0.25">
      <c r="A86" s="847">
        <f>Chem!A86</f>
        <v>84</v>
      </c>
      <c r="B86" s="891" t="str">
        <f>Chem!B86</f>
        <v>Bis(chloromethyl)ether</v>
      </c>
      <c r="C86" s="423">
        <f>Param!F86</f>
        <v>9.7000000000000003E-3</v>
      </c>
      <c r="D86" s="423">
        <f>Param!M86</f>
        <v>9.4140346558596294E-2</v>
      </c>
      <c r="E86" s="461">
        <f>PW!O86</f>
        <v>1.9886363636363632E-4</v>
      </c>
      <c r="F86" s="461">
        <f>IF(E86="na","na",IF($C86="na","na",(E86*Eqtn!$D$202*($C86+Eqtn!$D$203+(Eqtn!$D$204*$D86)))))</f>
        <v>8.6648398309406143E-7</v>
      </c>
      <c r="G86" s="461">
        <f>IF(E86="na","na",IF($C86="na","na",((E86*Eqtn!$D$205)*($C86+Eqtn!$D$206))))</f>
        <v>5.8936553030303021E-8</v>
      </c>
      <c r="H86" s="221">
        <f>SW!R86</f>
        <v>1.7000000000000001E-2</v>
      </c>
      <c r="I86" s="289">
        <f>IF(H86="na","na",IF($C86="na","na",(H86*Eqtn!$D$202*($C86+Eqtn!$D$203+(Eqtn!$D$204*$D86)))))</f>
        <v>7.4072002211926638E-5</v>
      </c>
      <c r="J86" s="289">
        <f>IF(H86="na","na",IF($C86="na","na",((H86*Eqtn!$D$205)*($C86+Eqtn!$D$206))))</f>
        <v>5.0382333333333346E-6</v>
      </c>
      <c r="K86" s="584" t="str">
        <f>Partit!E86</f>
        <v>na</v>
      </c>
      <c r="L86" s="584" t="str">
        <f>IF(K86="na","na",IF(K86="TBD","TBD",IF($C86="na","na",(K86*Eqtn!$D$202*($C86+Eqtn!$D$203+(Eqtn!$D$204*$D86))))))</f>
        <v>na</v>
      </c>
      <c r="M86" s="584" t="str">
        <f>IF(K86="na","na",IF(K86="TBD","TBD",IF($C86="na","na",((K86*Eqtn!$D$205)*($C86+Eqtn!$D$206)))))</f>
        <v>na</v>
      </c>
      <c r="N86" s="348"/>
      <c r="O86" s="348">
        <f>IF(N86="na","na",IF(N86="TBD","TBD",IF($C86="na","na",(N86*Eqtn!$D$202*($C86+Eqtn!$D$203+(Eqtn!$D$204*$D86))))))</f>
        <v>0</v>
      </c>
      <c r="P86" s="367">
        <f>IF(N86="na","na",IF(N86="TBD","TBD",IF($C86="na","na",((N86*Eqtn!$D$205)*($C86+Eqtn!$D$206)))))</f>
        <v>0</v>
      </c>
      <c r="R86" s="1062"/>
    </row>
    <row r="87" spans="1:18" ht="13.9" customHeight="1" x14ac:dyDescent="0.25">
      <c r="A87" s="847">
        <f>Chem!A87</f>
        <v>85</v>
      </c>
      <c r="B87" s="891" t="str">
        <f>Chem!B87</f>
        <v xml:space="preserve">Bis(2-chloro-1-methylethyl)ether </v>
      </c>
      <c r="C87" s="423">
        <f>Param!F87</f>
        <v>8.2900000000000001E-2</v>
      </c>
      <c r="D87" s="423">
        <f>Param!M87</f>
        <v>1.3515082062352801E-3</v>
      </c>
      <c r="E87" s="461">
        <f>PW!O87</f>
        <v>0.62499999999999978</v>
      </c>
      <c r="F87" s="461">
        <f>IF(E87="na","na",IF($C87="na","na",(E87*Eqtn!$D$202*($C87+Eqtn!$D$203+(Eqtn!$D$204*$D87)))))</f>
        <v>3.5377141338900869E-3</v>
      </c>
      <c r="G87" s="461">
        <f>IF(E87="na","na",IF($C87="na","na",((E87*Eqtn!$D$205)*($C87+Eqtn!$D$206))))</f>
        <v>2.3097916666666663E-4</v>
      </c>
      <c r="H87" s="221">
        <f>SW!R87</f>
        <v>103.80982040901065</v>
      </c>
      <c r="I87" s="289">
        <f>IF(H87="na","na",IF($C87="na","na",(H87*Eqtn!$D$202*($C87+Eqtn!$D$203+(Eqtn!$D$204*$D87)))))</f>
        <v>0.58759915023607789</v>
      </c>
      <c r="J87" s="289">
        <f>IF(H87="na","na",IF($C87="na","na",((H87*Eqtn!$D$205)*($C87+Eqtn!$D$206))))</f>
        <v>3.8364649295823373E-2</v>
      </c>
      <c r="K87" s="584" t="str">
        <f>Partit!E87</f>
        <v>na</v>
      </c>
      <c r="L87" s="584" t="str">
        <f>IF(K87="na","na",IF(K87="TBD","TBD",IF($C87="na","na",(K87*Eqtn!$D$202*($C87+Eqtn!$D$203+(Eqtn!$D$204*$D87))))))</f>
        <v>na</v>
      </c>
      <c r="M87" s="584" t="str">
        <f>IF(K87="na","na",IF(K87="TBD","TBD",IF($C87="na","na",((K87*Eqtn!$D$205)*($C87+Eqtn!$D$206)))))</f>
        <v>na</v>
      </c>
      <c r="N87" s="348"/>
      <c r="O87" s="348">
        <f>IF(N87="na","na",IF(N87="TBD","TBD",IF($C87="na","na",(N87*Eqtn!$D$202*($C87+Eqtn!$D$203+(Eqtn!$D$204*$D87))))))</f>
        <v>0</v>
      </c>
      <c r="P87" s="367">
        <f>IF(N87="na","na",IF(N87="TBD","TBD",IF($C87="na","na",((N87*Eqtn!$D$205)*($C87+Eqtn!$D$206)))))</f>
        <v>0</v>
      </c>
      <c r="R87" s="1062"/>
    </row>
    <row r="88" spans="1:18" ht="13.9" customHeight="1" x14ac:dyDescent="0.25">
      <c r="A88" s="847">
        <f>Chem!A88</f>
        <v>86</v>
      </c>
      <c r="B88" s="891" t="str">
        <f>Chem!B88</f>
        <v>2,6-Bis(1,1-dimethylethyl) phenol</v>
      </c>
      <c r="C88" s="423" t="str">
        <f>Param!F88</f>
        <v>na</v>
      </c>
      <c r="D88" s="423">
        <f>Param!M88</f>
        <v>0</v>
      </c>
      <c r="E88" s="461" t="str">
        <f>PW!O88</f>
        <v>na</v>
      </c>
      <c r="F88" s="461" t="str">
        <f>IF(E88="na","na",IF($C88="na","na",(E88*Eqtn!$D$202*($C88+Eqtn!$D$203+(Eqtn!$D$204*$D88)))))</f>
        <v>na</v>
      </c>
      <c r="G88" s="461" t="str">
        <f>IF(E88="na","na",IF($C88="na","na",((E88*Eqtn!$D$205)*($C88+Eqtn!$D$206))))</f>
        <v>na</v>
      </c>
      <c r="H88" s="221" t="str">
        <f>SW!R88</f>
        <v>na</v>
      </c>
      <c r="I88" s="289" t="str">
        <f>IF(H88="na","na",IF($C88="na","na",(H88*Eqtn!$D$202*($C88+Eqtn!$D$203+(Eqtn!$D$204*$D88)))))</f>
        <v>na</v>
      </c>
      <c r="J88" s="289" t="str">
        <f>IF(H88="na","na",IF($C88="na","na",((H88*Eqtn!$D$205)*($C88+Eqtn!$D$206))))</f>
        <v>na</v>
      </c>
      <c r="K88" s="584" t="str">
        <f>Partit!E88</f>
        <v>na</v>
      </c>
      <c r="L88" s="584" t="str">
        <f>IF(K88="na","na",IF(K88="TBD","TBD",IF($C88="na","na",(K88*Eqtn!$D$202*($C88+Eqtn!$D$203+(Eqtn!$D$204*$D88))))))</f>
        <v>na</v>
      </c>
      <c r="M88" s="584" t="str">
        <f>IF(K88="na","na",IF(K88="TBD","TBD",IF($C88="na","na",((K88*Eqtn!$D$205)*($C88+Eqtn!$D$206)))))</f>
        <v>na</v>
      </c>
      <c r="N88" s="348"/>
      <c r="O88" s="348" t="str">
        <f>IF(N88="na","na",IF(N88="TBD","TBD",IF($C88="na","na",(N88*Eqtn!$D$202*($C88+Eqtn!$D$203+(Eqtn!$D$204*$D88))))))</f>
        <v>na</v>
      </c>
      <c r="P88" s="367" t="str">
        <f>IF(N88="na","na",IF(N88="TBD","TBD",IF($C88="na","na",((N88*Eqtn!$D$205)*($C88+Eqtn!$D$206)))))</f>
        <v>na</v>
      </c>
      <c r="R88" s="1062"/>
    </row>
    <row r="89" spans="1:18" ht="13.9" customHeight="1" x14ac:dyDescent="0.25">
      <c r="A89" s="847">
        <f>Chem!A89</f>
        <v>87</v>
      </c>
      <c r="B89" s="891" t="str">
        <f>Chem!B89</f>
        <v>Bis(2-ethylhexyl) phthalate</v>
      </c>
      <c r="C89" s="423">
        <f>Param!F89</f>
        <v>111</v>
      </c>
      <c r="D89" s="423">
        <f>Param!M89</f>
        <v>2.3446563586162589E-6</v>
      </c>
      <c r="E89" s="461">
        <f>PW!O89</f>
        <v>6</v>
      </c>
      <c r="F89" s="461">
        <f>IF(E89="na","na",IF($C89="na","na",(E89*Eqtn!$D$202*($C89+Eqtn!$D$203+(Eqtn!$D$204*$D89)))))</f>
        <v>13.344000024384426</v>
      </c>
      <c r="G89" s="461">
        <f>IF(E89="na","na",IF($C89="na","na",((E89*Eqtn!$D$205)*($C89+Eqtn!$D$206))))</f>
        <v>0.66771999999999998</v>
      </c>
      <c r="H89" s="221">
        <f>SW!R89</f>
        <v>4.5999999999999999E-2</v>
      </c>
      <c r="I89" s="289">
        <f>IF(H89="na","na",IF($C89="na","na",(H89*Eqtn!$D$202*($C89+Eqtn!$D$203+(Eqtn!$D$204*$D89)))))</f>
        <v>0.10230400018694728</v>
      </c>
      <c r="J89" s="289">
        <f>IF(H89="na","na",IF($C89="na","na",((H89*Eqtn!$D$205)*($C89+Eqtn!$D$206))))</f>
        <v>5.1191866666666667E-3</v>
      </c>
      <c r="K89" s="584">
        <f>Partit!E89</f>
        <v>0.61622970589670478</v>
      </c>
      <c r="L89" s="584">
        <f>IF(K89="na","na",IF(K89="TBD","TBD",IF($C89="na","na",(K89*Eqtn!$D$202*($C89+Eqtn!$D$203+(Eqtn!$D$204*$D89))))))</f>
        <v>1.3704948684186729</v>
      </c>
      <c r="M89" s="584">
        <f>IF(K89="na","na",IF(K89="TBD","TBD",IF($C89="na","na",((K89*Eqtn!$D$205)*($C89+Eqtn!$D$206)))))</f>
        <v>6.8578149870224619E-2</v>
      </c>
      <c r="N89" s="348"/>
      <c r="O89" s="348">
        <f>IF(N89="na","na",IF(N89="TBD","TBD",IF($C89="na","na",(N89*Eqtn!$D$202*($C89+Eqtn!$D$203+(Eqtn!$D$204*$D89))))))</f>
        <v>0</v>
      </c>
      <c r="P89" s="367">
        <f>IF(N89="na","na",IF(N89="TBD","TBD",IF($C89="na","na",((N89*Eqtn!$D$205)*($C89+Eqtn!$D$206)))))</f>
        <v>0</v>
      </c>
      <c r="R89" s="1062"/>
    </row>
    <row r="90" spans="1:18" ht="13.9" customHeight="1" x14ac:dyDescent="0.25">
      <c r="A90" s="847">
        <f>Chem!A90</f>
        <v>88</v>
      </c>
      <c r="B90" s="891" t="str">
        <f>Chem!B90</f>
        <v>4-Bromophenyl phenyl ether</v>
      </c>
      <c r="C90" s="423" t="str">
        <f>Param!F90</f>
        <v>na</v>
      </c>
      <c r="D90" s="423">
        <f>Param!M90</f>
        <v>0</v>
      </c>
      <c r="E90" s="461" t="str">
        <f>PW!O90</f>
        <v>na</v>
      </c>
      <c r="F90" s="461" t="str">
        <f>IF(E90="na","na",IF($C90="na","na",(E90*Eqtn!$D$202*($C90+Eqtn!$D$203+(Eqtn!$D$204*$D90)))))</f>
        <v>na</v>
      </c>
      <c r="G90" s="461" t="str">
        <f>IF(E90="na","na",IF($C90="na","na",((E90*Eqtn!$D$205)*($C90+Eqtn!$D$206))))</f>
        <v>na</v>
      </c>
      <c r="H90" s="221" t="str">
        <f>SW!R90</f>
        <v>na</v>
      </c>
      <c r="I90" s="289" t="str">
        <f>IF(H90="na","na",IF($C90="na","na",(H90*Eqtn!$D$202*($C90+Eqtn!$D$203+(Eqtn!$D$204*$D90)))))</f>
        <v>na</v>
      </c>
      <c r="J90" s="289" t="str">
        <f>IF(H90="na","na",IF($C90="na","na",((H90*Eqtn!$D$205)*($C90+Eqtn!$D$206))))</f>
        <v>na</v>
      </c>
      <c r="K90" s="584" t="str">
        <f>Partit!E90</f>
        <v>na</v>
      </c>
      <c r="L90" s="584" t="str">
        <f>IF(K90="na","na",IF(K90="TBD","TBD",IF($C90="na","na",(K90*Eqtn!$D$202*($C90+Eqtn!$D$203+(Eqtn!$D$204*$D90))))))</f>
        <v>na</v>
      </c>
      <c r="M90" s="584" t="str">
        <f>IF(K90="na","na",IF(K90="TBD","TBD",IF($C90="na","na",((K90*Eqtn!$D$205)*($C90+Eqtn!$D$206)))))</f>
        <v>na</v>
      </c>
      <c r="N90" s="348"/>
      <c r="O90" s="348" t="str">
        <f>IF(N90="na","na",IF(N90="TBD","TBD",IF($C90="na","na",(N90*Eqtn!$D$202*($C90+Eqtn!$D$203+(Eqtn!$D$204*$D90))))))</f>
        <v>na</v>
      </c>
      <c r="P90" s="367" t="str">
        <f>IF(N90="na","na",IF(N90="TBD","TBD",IF($C90="na","na",((N90*Eqtn!$D$205)*($C90+Eqtn!$D$206)))))</f>
        <v>na</v>
      </c>
      <c r="R90" s="1062"/>
    </row>
    <row r="91" spans="1:18" ht="13.9" customHeight="1" x14ac:dyDescent="0.25">
      <c r="A91" s="847">
        <f>Chem!A91</f>
        <v>89</v>
      </c>
      <c r="B91" s="891" t="str">
        <f>Chem!B91</f>
        <v>Butyl benzyl phthalate</v>
      </c>
      <c r="C91" s="423">
        <f>Param!F91</f>
        <v>13.700000000000001</v>
      </c>
      <c r="D91" s="423">
        <f>Param!M91</f>
        <v>1.4670792367413567E-5</v>
      </c>
      <c r="E91" s="461">
        <f>PW!O91</f>
        <v>46.052631578947356</v>
      </c>
      <c r="F91" s="461">
        <f>IF(E91="na","na",IF($C91="na","na",(E91*Eqtn!$D$202*($C91+Eqtn!$D$203+(Eqtn!$D$204*$D91)))))</f>
        <v>12.802632750036933</v>
      </c>
      <c r="G91" s="461">
        <f>IF(E91="na","na",IF($C91="na","na",((E91*Eqtn!$D$205)*($C91+Eqtn!$D$206))))</f>
        <v>0.64412280701754376</v>
      </c>
      <c r="H91" s="221">
        <f>SW!R91</f>
        <v>1.2999999999999999E-2</v>
      </c>
      <c r="I91" s="289">
        <f>IF(H91="na","na",IF($C91="na","na",(H91*Eqtn!$D$202*($C91+Eqtn!$D$203+(Eqtn!$D$204*$D91)))))</f>
        <v>3.6140003305818545E-3</v>
      </c>
      <c r="J91" s="289">
        <f>IF(H91="na","na",IF($C91="na","na",((H91*Eqtn!$D$205)*($C91+Eqtn!$D$206))))</f>
        <v>1.8182666666666667E-4</v>
      </c>
      <c r="K91" s="584">
        <f>Partit!E91</f>
        <v>0.24146910615847675</v>
      </c>
      <c r="L91" s="584">
        <f>IF(K91="na","na",IF(K91="TBD","TBD",IF($C91="na","na",(K91*Eqtn!$D$202*($C91+Eqtn!$D$203+(Eqtn!$D$204*$D91))))))</f>
        <v>6.712841765246462E-2</v>
      </c>
      <c r="M91" s="584">
        <f>IF(K91="na","na",IF(K91="TBD","TBD",IF($C91="na","na",((K91*Eqtn!$D$205)*($C91+Eqtn!$D$206)))))</f>
        <v>3.3773478981365618E-3</v>
      </c>
      <c r="N91" s="348"/>
      <c r="O91" s="348">
        <f>IF(N91="na","na",IF(N91="TBD","TBD",IF($C91="na","na",(N91*Eqtn!$D$202*($C91+Eqtn!$D$203+(Eqtn!$D$204*$D91))))))</f>
        <v>0</v>
      </c>
      <c r="P91" s="367">
        <f>IF(N91="na","na",IF(N91="TBD","TBD",IF($C91="na","na",((N91*Eqtn!$D$205)*($C91+Eqtn!$D$206)))))</f>
        <v>0</v>
      </c>
      <c r="R91" s="1062"/>
    </row>
    <row r="92" spans="1:18" ht="13.9" customHeight="1" x14ac:dyDescent="0.25">
      <c r="A92" s="847">
        <f>Chem!A92</f>
        <v>90</v>
      </c>
      <c r="B92" s="891" t="str">
        <f>Chem!B92</f>
        <v>Butyl diphenyl phosphate</v>
      </c>
      <c r="C92" s="423" t="str">
        <f>Param!F92</f>
        <v>na</v>
      </c>
      <c r="D92" s="423">
        <f>Param!M92</f>
        <v>0</v>
      </c>
      <c r="E92" s="461" t="str">
        <f>PW!O92</f>
        <v>na</v>
      </c>
      <c r="F92" s="461" t="str">
        <f>IF(E92="na","na",IF($C92="na","na",(E92*Eqtn!$D$202*($C92+Eqtn!$D$203+(Eqtn!$D$204*$D92)))))</f>
        <v>na</v>
      </c>
      <c r="G92" s="461" t="str">
        <f>IF(E92="na","na",IF($C92="na","na",((E92*Eqtn!$D$205)*($C92+Eqtn!$D$206))))</f>
        <v>na</v>
      </c>
      <c r="H92" s="221" t="str">
        <f>SW!R92</f>
        <v>na</v>
      </c>
      <c r="I92" s="289" t="str">
        <f>IF(H92="na","na",IF($C92="na","na",(H92*Eqtn!$D$202*($C92+Eqtn!$D$203+(Eqtn!$D$204*$D92)))))</f>
        <v>na</v>
      </c>
      <c r="J92" s="289" t="str">
        <f>IF(H92="na","na",IF($C92="na","na",((H92*Eqtn!$D$205)*($C92+Eqtn!$D$206))))</f>
        <v>na</v>
      </c>
      <c r="K92" s="584" t="str">
        <f>Partit!E92</f>
        <v>na</v>
      </c>
      <c r="L92" s="584" t="str">
        <f>IF(K92="na","na",IF(K92="TBD","TBD",IF($C92="na","na",(K92*Eqtn!$D$202*($C92+Eqtn!$D$203+(Eqtn!$D$204*$D92))))))</f>
        <v>na</v>
      </c>
      <c r="M92" s="584" t="str">
        <f>IF(K92="na","na",IF(K92="TBD","TBD",IF($C92="na","na",((K92*Eqtn!$D$205)*($C92+Eqtn!$D$206)))))</f>
        <v>na</v>
      </c>
      <c r="N92" s="348"/>
      <c r="O92" s="348" t="str">
        <f>IF(N92="na","na",IF(N92="TBD","TBD",IF($C92="na","na",(N92*Eqtn!$D$202*($C92+Eqtn!$D$203+(Eqtn!$D$204*$D92))))))</f>
        <v>na</v>
      </c>
      <c r="P92" s="367" t="str">
        <f>IF(N92="na","na",IF(N92="TBD","TBD",IF($C92="na","na",((N92*Eqtn!$D$205)*($C92+Eqtn!$D$206)))))</f>
        <v>na</v>
      </c>
      <c r="R92" s="1062"/>
    </row>
    <row r="93" spans="1:18" ht="13.9" customHeight="1" x14ac:dyDescent="0.25">
      <c r="A93" s="847">
        <f>Chem!A93</f>
        <v>91</v>
      </c>
      <c r="B93" s="891" t="str">
        <f>Chem!B93</f>
        <v>Carbazole</v>
      </c>
      <c r="C93" s="423" t="str">
        <f>Param!F93</f>
        <v>na</v>
      </c>
      <c r="D93" s="423">
        <f>Param!M93</f>
        <v>0</v>
      </c>
      <c r="E93" s="461" t="str">
        <f>PW!O93</f>
        <v>na</v>
      </c>
      <c r="F93" s="461" t="str">
        <f>IF(E93="na","na",IF($C93="na","na",(E93*Eqtn!$D$202*($C93+Eqtn!$D$203+(Eqtn!$D$204*$D93)))))</f>
        <v>na</v>
      </c>
      <c r="G93" s="461" t="str">
        <f>IF(E93="na","na",IF($C93="na","na",((E93*Eqtn!$D$205)*($C93+Eqtn!$D$206))))</f>
        <v>na</v>
      </c>
      <c r="H93" s="221" t="str">
        <f>SW!R93</f>
        <v>na</v>
      </c>
      <c r="I93" s="289" t="str">
        <f>IF(H93="na","na",IF($C93="na","na",(H93*Eqtn!$D$202*($C93+Eqtn!$D$203+(Eqtn!$D$204*$D93)))))</f>
        <v>na</v>
      </c>
      <c r="J93" s="289" t="str">
        <f>IF(H93="na","na",IF($C93="na","na",((H93*Eqtn!$D$205)*($C93+Eqtn!$D$206))))</f>
        <v>na</v>
      </c>
      <c r="K93" s="584" t="str">
        <f>Partit!E93</f>
        <v>na</v>
      </c>
      <c r="L93" s="584" t="str">
        <f>IF(K93="na","na",IF(K93="TBD","TBD",IF($C93="na","na",(K93*Eqtn!$D$202*($C93+Eqtn!$D$203+(Eqtn!$D$204*$D93))))))</f>
        <v>na</v>
      </c>
      <c r="M93" s="584" t="str">
        <f>IF(K93="na","na",IF(K93="TBD","TBD",IF($C93="na","na",((K93*Eqtn!$D$205)*($C93+Eqtn!$D$206)))))</f>
        <v>na</v>
      </c>
      <c r="N93" s="348"/>
      <c r="O93" s="348" t="str">
        <f>IF(N93="na","na",IF(N93="TBD","TBD",IF($C93="na","na",(N93*Eqtn!$D$202*($C93+Eqtn!$D$203+(Eqtn!$D$204*$D93))))))</f>
        <v>na</v>
      </c>
      <c r="P93" s="367" t="str">
        <f>IF(N93="na","na",IF(N93="TBD","TBD",IF($C93="na","na",((N93*Eqtn!$D$205)*($C93+Eqtn!$D$206)))))</f>
        <v>na</v>
      </c>
      <c r="R93" s="1062"/>
    </row>
    <row r="94" spans="1:18" ht="13.9" customHeight="1" x14ac:dyDescent="0.25">
      <c r="A94" s="847">
        <f>Chem!A94</f>
        <v>92</v>
      </c>
      <c r="B94" s="891" t="str">
        <f>Chem!B94</f>
        <v>4-Chloroaniline</v>
      </c>
      <c r="C94" s="423">
        <f>Param!F94</f>
        <v>0.113</v>
      </c>
      <c r="D94" s="423">
        <f>Param!M94</f>
        <v>1.7324746352589265E-5</v>
      </c>
      <c r="E94" s="461">
        <f>PW!O94</f>
        <v>0.43749999999999989</v>
      </c>
      <c r="F94" s="461">
        <f>IF(E94="na","na",IF($C94="na","na",(E94*Eqtn!$D$202*($C94+Eqtn!$D$203+(Eqtn!$D$204*$D94)))))</f>
        <v>2.7387631379326501E-3</v>
      </c>
      <c r="G94" s="461">
        <f>IF(E94="na","na",IF($C94="na","na",((E94*Eqtn!$D$205)*($C94+Eqtn!$D$206))))</f>
        <v>1.7485416666666664E-4</v>
      </c>
      <c r="H94" s="221" t="str">
        <f>SW!R94</f>
        <v>na</v>
      </c>
      <c r="I94" s="289" t="str">
        <f>IF(H94="na","na",IF($C94="na","na",(H94*Eqtn!$D$202*($C94+Eqtn!$D$203+(Eqtn!$D$204*$D94)))))</f>
        <v>na</v>
      </c>
      <c r="J94" s="289" t="str">
        <f>IF(H94="na","na",IF($C94="na","na",((H94*Eqtn!$D$205)*($C94+Eqtn!$D$206))))</f>
        <v>na</v>
      </c>
      <c r="K94" s="584" t="str">
        <f>Partit!E94</f>
        <v>na</v>
      </c>
      <c r="L94" s="584" t="str">
        <f>IF(K94="na","na",IF(K94="TBD","TBD",IF($C94="na","na",(K94*Eqtn!$D$202*($C94+Eqtn!$D$203+(Eqtn!$D$204*$D94))))))</f>
        <v>na</v>
      </c>
      <c r="M94" s="584" t="str">
        <f>IF(K94="na","na",IF(K94="TBD","TBD",IF($C94="na","na",((K94*Eqtn!$D$205)*($C94+Eqtn!$D$206)))))</f>
        <v>na</v>
      </c>
      <c r="N94" s="348"/>
      <c r="O94" s="348">
        <f>IF(N94="na","na",IF(N94="TBD","TBD",IF($C94="na","na",(N94*Eqtn!$D$202*($C94+Eqtn!$D$203+(Eqtn!$D$204*$D94))))))</f>
        <v>0</v>
      </c>
      <c r="P94" s="367">
        <f>IF(N94="na","na",IF(N94="TBD","TBD",IF($C94="na","na",((N94*Eqtn!$D$205)*($C94+Eqtn!$D$206)))))</f>
        <v>0</v>
      </c>
      <c r="R94" s="1062"/>
    </row>
    <row r="95" spans="1:18" ht="13.9" customHeight="1" x14ac:dyDescent="0.25">
      <c r="A95" s="847">
        <f>Chem!A95</f>
        <v>93</v>
      </c>
      <c r="B95" s="891" t="str">
        <f>Chem!B95</f>
        <v>4-Chloro-3-methylphenol (chlorocresol)</v>
      </c>
      <c r="C95" s="423">
        <f>Param!F95</f>
        <v>0.49199999999999999</v>
      </c>
      <c r="D95" s="423">
        <f>Param!M95</f>
        <v>4.0021445292526819E-5</v>
      </c>
      <c r="E95" s="461">
        <f>PW!O95</f>
        <v>1600</v>
      </c>
      <c r="F95" s="461">
        <f>IF(E95="na","na",IF($C95="na","na",(E95*Eqtn!$D$202*($C95+Eqtn!$D$203+(Eqtn!$D$204*$D95)))))</f>
        <v>22.144110992808276</v>
      </c>
      <c r="G95" s="461">
        <f>IF(E95="na","na",IF($C95="na","na",((E95*Eqtn!$D$205)*($C95+Eqtn!$D$206))))</f>
        <v>1.2458666666666667</v>
      </c>
      <c r="H95" s="221">
        <f>SW!R95</f>
        <v>36</v>
      </c>
      <c r="I95" s="289">
        <f>IF(H95="na","na",IF($C95="na","na",(H95*Eqtn!$D$202*($C95+Eqtn!$D$203+(Eqtn!$D$204*$D95)))))</f>
        <v>0.49824249733818621</v>
      </c>
      <c r="J95" s="289">
        <f>IF(H95="na","na",IF($C95="na","na",((H95*Eqtn!$D$205)*($C95+Eqtn!$D$206))))</f>
        <v>2.8032000000000001E-2</v>
      </c>
      <c r="K95" s="584" t="str">
        <f>Partit!E95</f>
        <v>na</v>
      </c>
      <c r="L95" s="584" t="str">
        <f>IF(K95="na","na",IF(K95="TBD","TBD",IF($C95="na","na",(K95*Eqtn!$D$202*($C95+Eqtn!$D$203+(Eqtn!$D$204*$D95))))))</f>
        <v>na</v>
      </c>
      <c r="M95" s="584" t="str">
        <f>IF(K95="na","na",IF(K95="TBD","TBD",IF($C95="na","na",((K95*Eqtn!$D$205)*($C95+Eqtn!$D$206)))))</f>
        <v>na</v>
      </c>
      <c r="N95" s="348"/>
      <c r="O95" s="348">
        <f>IF(N95="na","na",IF(N95="TBD","TBD",IF($C95="na","na",(N95*Eqtn!$D$202*($C95+Eqtn!$D$203+(Eqtn!$D$204*$D95))))))</f>
        <v>0</v>
      </c>
      <c r="P95" s="367">
        <f>IF(N95="na","na",IF(N95="TBD","TBD",IF($C95="na","na",((N95*Eqtn!$D$205)*($C95+Eqtn!$D$206)))))</f>
        <v>0</v>
      </c>
      <c r="R95" s="1062"/>
    </row>
    <row r="96" spans="1:18" ht="13.9" customHeight="1" x14ac:dyDescent="0.25">
      <c r="A96" s="847">
        <f>Chem!A96</f>
        <v>94</v>
      </c>
      <c r="B96" s="891" t="str">
        <f>Chem!B96</f>
        <v>2-Chloronaphthalene (beta-)</v>
      </c>
      <c r="C96" s="423">
        <f>Param!F96</f>
        <v>2.48</v>
      </c>
      <c r="D96" s="423">
        <f>Param!M96</f>
        <v>4.8434873288390676E-3</v>
      </c>
      <c r="E96" s="461">
        <f>PW!O96</f>
        <v>640</v>
      </c>
      <c r="F96" s="461">
        <f>IF(E96="na","na",IF($C96="na","na",(E96*Eqtn!$D$202*($C96+Eqtn!$D$203+(Eqtn!$D$204*$D96)))))</f>
        <v>34.309373041943466</v>
      </c>
      <c r="G96" s="461">
        <f>IF(E96="na","na",IF($C96="na","na",((E96*Eqtn!$D$205)*($C96+Eqtn!$D$206))))</f>
        <v>1.7706666666666666</v>
      </c>
      <c r="H96" s="221">
        <f>SW!R96</f>
        <v>100</v>
      </c>
      <c r="I96" s="289">
        <f>IF(H96="na","na",IF($C96="na","na",(H96*Eqtn!$D$202*($C96+Eqtn!$D$203+(Eqtn!$D$204*$D96)))))</f>
        <v>5.360839537803666</v>
      </c>
      <c r="J96" s="289">
        <f>IF(H96="na","na",IF($C96="na","na",((H96*Eqtn!$D$205)*($C96+Eqtn!$D$206))))</f>
        <v>0.27666666666666667</v>
      </c>
      <c r="K96" s="584" t="str">
        <f>Partit!E96</f>
        <v>na</v>
      </c>
      <c r="L96" s="584" t="str">
        <f>IF(K96="na","na",IF(K96="TBD","TBD",IF($C96="na","na",(K96*Eqtn!$D$202*($C96+Eqtn!$D$203+(Eqtn!$D$204*$D96))))))</f>
        <v>na</v>
      </c>
      <c r="M96" s="584" t="str">
        <f>IF(K96="na","na",IF(K96="TBD","TBD",IF($C96="na","na",((K96*Eqtn!$D$205)*($C96+Eqtn!$D$206)))))</f>
        <v>na</v>
      </c>
      <c r="N96" s="348"/>
      <c r="O96" s="348">
        <f>IF(N96="na","na",IF(N96="TBD","TBD",IF($C96="na","na",(N96*Eqtn!$D$202*($C96+Eqtn!$D$203+(Eqtn!$D$204*$D96))))))</f>
        <v>0</v>
      </c>
      <c r="P96" s="367">
        <f>IF(N96="na","na",IF(N96="TBD","TBD",IF($C96="na","na",((N96*Eqtn!$D$205)*($C96+Eqtn!$D$206)))))</f>
        <v>0</v>
      </c>
      <c r="R96" s="1062"/>
    </row>
    <row r="97" spans="1:18" ht="13.9" customHeight="1" x14ac:dyDescent="0.25">
      <c r="A97" s="847">
        <f>Chem!A97</f>
        <v>95</v>
      </c>
      <c r="B97" s="891" t="str">
        <f>Chem!B97</f>
        <v>2-Chlorophenol</v>
      </c>
      <c r="C97" s="423">
        <f>Param!F97</f>
        <v>0.38800000000000001</v>
      </c>
      <c r="D97" s="423">
        <f>Param!M97</f>
        <v>2.0806611950115379E-4</v>
      </c>
      <c r="E97" s="461">
        <f>PW!O97</f>
        <v>40</v>
      </c>
      <c r="F97" s="461">
        <f>IF(E97="na","na",IF($C97="na","na",(E97*Eqtn!$D$202*($C97+Eqtn!$D$203+(Eqtn!$D$204*$D97)))))</f>
        <v>0.47041442591761878</v>
      </c>
      <c r="G97" s="461">
        <f>IF(E97="na","na",IF($C97="na","na",((E97*Eqtn!$D$205)*($C97+Eqtn!$D$206))))</f>
        <v>2.6986666666666669E-2</v>
      </c>
      <c r="H97" s="221">
        <f>SW!R97</f>
        <v>17</v>
      </c>
      <c r="I97" s="289">
        <f>IF(H97="na","na",IF($C97="na","na",(H97*Eqtn!$D$202*($C97+Eqtn!$D$203+(Eqtn!$D$204*$D97)))))</f>
        <v>0.19992613101498799</v>
      </c>
      <c r="J97" s="289">
        <f>IF(H97="na","na",IF($C97="na","na",((H97*Eqtn!$D$205)*($C97+Eqtn!$D$206))))</f>
        <v>1.1469333333333335E-2</v>
      </c>
      <c r="K97" s="584" t="str">
        <f>Partit!E97</f>
        <v>na</v>
      </c>
      <c r="L97" s="584" t="str">
        <f>IF(K97="na","na",IF(K97="TBD","TBD",IF($C97="na","na",(K97*Eqtn!$D$202*($C97+Eqtn!$D$203+(Eqtn!$D$204*$D97))))))</f>
        <v>na</v>
      </c>
      <c r="M97" s="584" t="str">
        <f>IF(K97="na","na",IF(K97="TBD","TBD",IF($C97="na","na",((K97*Eqtn!$D$205)*($C97+Eqtn!$D$206)))))</f>
        <v>na</v>
      </c>
      <c r="N97" s="348"/>
      <c r="O97" s="348">
        <f>IF(N97="na","na",IF(N97="TBD","TBD",IF($C97="na","na",(N97*Eqtn!$D$202*($C97+Eqtn!$D$203+(Eqtn!$D$204*$D97))))))</f>
        <v>0</v>
      </c>
      <c r="P97" s="367">
        <f>IF(N97="na","na",IF(N97="TBD","TBD",IF($C97="na","na",((N97*Eqtn!$D$205)*($C97+Eqtn!$D$206)))))</f>
        <v>0</v>
      </c>
      <c r="R97" s="1062"/>
    </row>
    <row r="98" spans="1:18" ht="13.9" customHeight="1" x14ac:dyDescent="0.25">
      <c r="A98" s="847">
        <f>Chem!A98</f>
        <v>96</v>
      </c>
      <c r="B98" s="891" t="str">
        <f>Chem!B98</f>
        <v>4-Chlorophenyl phenyl ether</v>
      </c>
      <c r="C98" s="423" t="str">
        <f>Param!F98</f>
        <v>na</v>
      </c>
      <c r="D98" s="423">
        <f>Param!M98</f>
        <v>0</v>
      </c>
      <c r="E98" s="461" t="str">
        <f>PW!O98</f>
        <v>na</v>
      </c>
      <c r="F98" s="461" t="str">
        <f>IF(E98="na","na",IF($C98="na","na",(E98*Eqtn!$D$202*($C98+Eqtn!$D$203+(Eqtn!$D$204*$D98)))))</f>
        <v>na</v>
      </c>
      <c r="G98" s="461" t="str">
        <f>IF(E98="na","na",IF($C98="na","na",((E98*Eqtn!$D$205)*($C98+Eqtn!$D$206))))</f>
        <v>na</v>
      </c>
      <c r="H98" s="221" t="str">
        <f>SW!R98</f>
        <v>na</v>
      </c>
      <c r="I98" s="289" t="str">
        <f>IF(H98="na","na",IF($C98="na","na",(H98*Eqtn!$D$202*($C98+Eqtn!$D$203+(Eqtn!$D$204*$D98)))))</f>
        <v>na</v>
      </c>
      <c r="J98" s="289" t="str">
        <f>IF(H98="na","na",IF($C98="na","na",((H98*Eqtn!$D$205)*($C98+Eqtn!$D$206))))</f>
        <v>na</v>
      </c>
      <c r="K98" s="584" t="str">
        <f>Partit!E98</f>
        <v>na</v>
      </c>
      <c r="L98" s="584" t="str">
        <f>IF(K98="na","na",IF(K98="TBD","TBD",IF($C98="na","na",(K98*Eqtn!$D$202*($C98+Eqtn!$D$203+(Eqtn!$D$204*$D98))))))</f>
        <v>na</v>
      </c>
      <c r="M98" s="584" t="str">
        <f>IF(K98="na","na",IF(K98="TBD","TBD",IF($C98="na","na",((K98*Eqtn!$D$205)*($C98+Eqtn!$D$206)))))</f>
        <v>na</v>
      </c>
      <c r="N98" s="348"/>
      <c r="O98" s="348" t="str">
        <f>IF(N98="na","na",IF(N98="TBD","TBD",IF($C98="na","na",(N98*Eqtn!$D$202*($C98+Eqtn!$D$203+(Eqtn!$D$204*$D98))))))</f>
        <v>na</v>
      </c>
      <c r="P98" s="367" t="str">
        <f>IF(N98="na","na",IF(N98="TBD","TBD",IF($C98="na","na",((N98*Eqtn!$D$205)*($C98+Eqtn!$D$206)))))</f>
        <v>na</v>
      </c>
      <c r="R98" s="1062"/>
    </row>
    <row r="99" spans="1:18" ht="13.9" customHeight="1" x14ac:dyDescent="0.25">
      <c r="A99" s="847">
        <f>Chem!A99</f>
        <v>97</v>
      </c>
      <c r="B99" s="891" t="str">
        <f>Chem!B99</f>
        <v>Dibutyl phthalate</v>
      </c>
      <c r="C99" s="423">
        <f>Param!F99</f>
        <v>1.57</v>
      </c>
      <c r="D99" s="423">
        <f>Param!M99</f>
        <v>1.0034007668623438E-5</v>
      </c>
      <c r="E99" s="461">
        <f>PW!O99</f>
        <v>1600</v>
      </c>
      <c r="F99" s="461">
        <f>IF(E99="na","na",IF($C99="na","na",(E99*Eqtn!$D$202*($C99+Eqtn!$D$203+(Eqtn!$D$204*$D99)))))</f>
        <v>56.640027827647934</v>
      </c>
      <c r="G99" s="461">
        <f>IF(E99="na","na",IF($C99="na","na",((E99*Eqtn!$D$205)*($C99+Eqtn!$D$206))))</f>
        <v>2.9706666666666668</v>
      </c>
      <c r="H99" s="221">
        <f>SW!R99</f>
        <v>8</v>
      </c>
      <c r="I99" s="289">
        <f>IF(H99="na","na",IF($C99="na","na",(H99*Eqtn!$D$202*($C99+Eqtn!$D$203+(Eqtn!$D$204*$D99)))))</f>
        <v>0.28320013913823966</v>
      </c>
      <c r="J99" s="289">
        <f>IF(H99="na","na",IF($C99="na","na",((H99*Eqtn!$D$205)*($C99+Eqtn!$D$206))))</f>
        <v>1.4853333333333333E-2</v>
      </c>
      <c r="K99" s="584">
        <f>Partit!E99</f>
        <v>46.00278336168239</v>
      </c>
      <c r="L99" s="584">
        <f>IF(K99="na","na",IF(K99="TBD","TBD",IF($C99="na","na",(K99*Eqtn!$D$202*($C99+Eqtn!$D$203+(Eqtn!$D$204*$D99))))))</f>
        <v>1.6284993310968439</v>
      </c>
      <c r="M99" s="584">
        <f>IF(K99="na","na",IF(K99="TBD","TBD",IF($C99="na","na",((K99*Eqtn!$D$205)*($C99+Eqtn!$D$206)))))</f>
        <v>8.5411834441523643E-2</v>
      </c>
      <c r="N99" s="348"/>
      <c r="O99" s="348">
        <f>IF(N99="na","na",IF(N99="TBD","TBD",IF($C99="na","na",(N99*Eqtn!$D$202*($C99+Eqtn!$D$203+(Eqtn!$D$204*$D99))))))</f>
        <v>0</v>
      </c>
      <c r="P99" s="367">
        <f>IF(N99="na","na",IF(N99="TBD","TBD",IF($C99="na","na",((N99*Eqtn!$D$205)*($C99+Eqtn!$D$206)))))</f>
        <v>0</v>
      </c>
      <c r="R99" s="1062"/>
    </row>
    <row r="100" spans="1:18" ht="13.9" customHeight="1" x14ac:dyDescent="0.25">
      <c r="A100" s="847">
        <f>Chem!A100</f>
        <v>98</v>
      </c>
      <c r="B100" s="891" t="str">
        <f>Chem!B100</f>
        <v>Dibutyl phenyl phosphate</v>
      </c>
      <c r="C100" s="423" t="str">
        <f>Param!F100</f>
        <v>na</v>
      </c>
      <c r="D100" s="423">
        <f>Param!M100</f>
        <v>0</v>
      </c>
      <c r="E100" s="461" t="str">
        <f>PW!O100</f>
        <v>na</v>
      </c>
      <c r="F100" s="461" t="str">
        <f>IF(E100="na","na",IF($C100="na","na",(E100*Eqtn!$D$202*($C100+Eqtn!$D$203+(Eqtn!$D$204*$D100)))))</f>
        <v>na</v>
      </c>
      <c r="G100" s="461" t="str">
        <f>IF(E100="na","na",IF($C100="na","na",((E100*Eqtn!$D$205)*($C100+Eqtn!$D$206))))</f>
        <v>na</v>
      </c>
      <c r="H100" s="221" t="str">
        <f>SW!R100</f>
        <v>na</v>
      </c>
      <c r="I100" s="289" t="str">
        <f>IF(H100="na","na",IF($C100="na","na",(H100*Eqtn!$D$202*($C100+Eqtn!$D$203+(Eqtn!$D$204*$D100)))))</f>
        <v>na</v>
      </c>
      <c r="J100" s="289" t="str">
        <f>IF(H100="na","na",IF($C100="na","na",((H100*Eqtn!$D$205)*($C100+Eqtn!$D$206))))</f>
        <v>na</v>
      </c>
      <c r="K100" s="584" t="str">
        <f>Partit!E100</f>
        <v>na</v>
      </c>
      <c r="L100" s="584" t="str">
        <f>IF(K100="na","na",IF(K100="TBD","TBD",IF($C100="na","na",(K100*Eqtn!$D$202*($C100+Eqtn!$D$203+(Eqtn!$D$204*$D100))))))</f>
        <v>na</v>
      </c>
      <c r="M100" s="584" t="str">
        <f>IF(K100="na","na",IF(K100="TBD","TBD",IF($C100="na","na",((K100*Eqtn!$D$205)*($C100+Eqtn!$D$206)))))</f>
        <v>na</v>
      </c>
      <c r="N100" s="348"/>
      <c r="O100" s="348" t="str">
        <f>IF(N100="na","na",IF(N100="TBD","TBD",IF($C100="na","na",(N100*Eqtn!$D$202*($C100+Eqtn!$D$203+(Eqtn!$D$204*$D100))))))</f>
        <v>na</v>
      </c>
      <c r="P100" s="367" t="str">
        <f>IF(N100="na","na",IF(N100="TBD","TBD",IF($C100="na","na",((N100*Eqtn!$D$205)*($C100+Eqtn!$D$206)))))</f>
        <v>na</v>
      </c>
      <c r="R100" s="1062"/>
    </row>
    <row r="101" spans="1:18" ht="13.9" customHeight="1" x14ac:dyDescent="0.25">
      <c r="A101" s="847">
        <f>Chem!A101</f>
        <v>99</v>
      </c>
      <c r="B101" s="891" t="str">
        <f>Chem!B101</f>
        <v>1,2-Dichlorobenzene</v>
      </c>
      <c r="C101" s="423">
        <f>Param!F101</f>
        <v>0.379</v>
      </c>
      <c r="D101" s="423">
        <f>Param!M101</f>
        <v>3.6521062257743146E-2</v>
      </c>
      <c r="E101" s="461">
        <f>PW!O101</f>
        <v>600</v>
      </c>
      <c r="F101" s="461">
        <f>IF(E101="na","na",IF($C101="na","na",(E101*Eqtn!$D$202*($C101+Eqtn!$D$203+(Eqtn!$D$204*$D101)))))</f>
        <v>6.9859819047480514</v>
      </c>
      <c r="G101" s="461">
        <f>IF(E101="na","na",IF($C101="na","na",((E101*Eqtn!$D$205)*($C101+Eqtn!$D$206))))</f>
        <v>0.39939999999999998</v>
      </c>
      <c r="H101" s="221">
        <f>SW!R101</f>
        <v>800</v>
      </c>
      <c r="I101" s="289">
        <f>IF(H101="na","na",IF($C101="na","na",(H101*Eqtn!$D$202*($C101+Eqtn!$D$203+(Eqtn!$D$204*$D101)))))</f>
        <v>9.3146425396640691</v>
      </c>
      <c r="J101" s="289">
        <f>IF(H101="na","na",IF($C101="na","na",((H101*Eqtn!$D$205)*($C101+Eqtn!$D$206))))</f>
        <v>0.5325333333333333</v>
      </c>
      <c r="K101" s="584">
        <f>Partit!E101</f>
        <v>4.48491335448906</v>
      </c>
      <c r="L101" s="584">
        <f>IF(K101="na","na",IF(K101="TBD","TBD",IF($C101="na","na",(K101*Eqtn!$D$202*($C101+Eqtn!$D$203+(Eqtn!$D$204*$D101))))))</f>
        <v>5.2219205898039099E-2</v>
      </c>
      <c r="M101" s="584">
        <f>IF(K101="na","na",IF(K101="TBD","TBD",IF($C101="na","na",((K101*Eqtn!$D$205)*($C101+Eqtn!$D$206)))))</f>
        <v>2.9854573229715505E-3</v>
      </c>
      <c r="N101" s="348"/>
      <c r="O101" s="348">
        <f>IF(N101="na","na",IF(N101="TBD","TBD",IF($C101="na","na",(N101*Eqtn!$D$202*($C101+Eqtn!$D$203+(Eqtn!$D$204*$D101))))))</f>
        <v>0</v>
      </c>
      <c r="P101" s="367">
        <f>IF(N101="na","na",IF(N101="TBD","TBD",IF($C101="na","na",((N101*Eqtn!$D$205)*($C101+Eqtn!$D$206)))))</f>
        <v>0</v>
      </c>
      <c r="R101" s="1062"/>
    </row>
    <row r="102" spans="1:18" ht="13.9" customHeight="1" x14ac:dyDescent="0.25">
      <c r="A102" s="847">
        <f>Chem!A102</f>
        <v>100</v>
      </c>
      <c r="B102" s="891" t="str">
        <f>Chem!B102</f>
        <v>1,3-Dichlorobenzene</v>
      </c>
      <c r="C102" s="423">
        <f>Param!F102</f>
        <v>0.375</v>
      </c>
      <c r="D102" s="423">
        <f>Param!M102</f>
        <v>5.0933576999831615E-2</v>
      </c>
      <c r="E102" s="461" t="str">
        <f>PW!O102</f>
        <v>na</v>
      </c>
      <c r="F102" s="461" t="str">
        <f>IF(E102="na","na",IF($C102="na","na",(E102*Eqtn!$D$202*($C102+Eqtn!$D$203+(Eqtn!$D$204*$D102)))))</f>
        <v>na</v>
      </c>
      <c r="G102" s="461" t="str">
        <f>IF(E102="na","na",IF($C102="na","na",((E102*Eqtn!$D$205)*($C102+Eqtn!$D$206))))</f>
        <v>na</v>
      </c>
      <c r="H102" s="221">
        <f>SW!R102</f>
        <v>2</v>
      </c>
      <c r="I102" s="289">
        <f>IF(H102="na","na",IF($C102="na","na",(H102*Eqtn!$D$202*($C102+Eqtn!$D$203+(Eqtn!$D$204*$D102)))))</f>
        <v>2.3176569733599415E-2</v>
      </c>
      <c r="J102" s="289">
        <f>IF(H102="na","na",IF($C102="na","na",((H102*Eqtn!$D$205)*($C102+Eqtn!$D$206))))</f>
        <v>1.3233333333333333E-3</v>
      </c>
      <c r="K102" s="584" t="str">
        <f>Partit!E102</f>
        <v>na</v>
      </c>
      <c r="L102" s="584" t="str">
        <f>IF(K102="na","na",IF(K102="TBD","TBD",IF($C102="na","na",(K102*Eqtn!$D$202*($C102+Eqtn!$D$203+(Eqtn!$D$204*$D102))))))</f>
        <v>na</v>
      </c>
      <c r="M102" s="584" t="str">
        <f>IF(K102="na","na",IF(K102="TBD","TBD",IF($C102="na","na",((K102*Eqtn!$D$205)*($C102+Eqtn!$D$206)))))</f>
        <v>na</v>
      </c>
      <c r="N102" s="348"/>
      <c r="O102" s="348">
        <f>IF(N102="na","na",IF(N102="TBD","TBD",IF($C102="na","na",(N102*Eqtn!$D$202*($C102+Eqtn!$D$203+(Eqtn!$D$204*$D102))))))</f>
        <v>0</v>
      </c>
      <c r="P102" s="367">
        <f>IF(N102="na","na",IF(N102="TBD","TBD",IF($C102="na","na",((N102*Eqtn!$D$205)*($C102+Eqtn!$D$206)))))</f>
        <v>0</v>
      </c>
      <c r="R102" s="1062"/>
    </row>
    <row r="103" spans="1:18" ht="13.9" customHeight="1" x14ac:dyDescent="0.25">
      <c r="A103" s="847">
        <f>Chem!A103</f>
        <v>101</v>
      </c>
      <c r="B103" s="891" t="str">
        <f>Chem!B103</f>
        <v>1,4-Dichlorobenzene</v>
      </c>
      <c r="C103" s="423">
        <f>Param!F103</f>
        <v>0.61599999999999999</v>
      </c>
      <c r="D103" s="423">
        <f>Param!M103</f>
        <v>4.5786926067774833E-2</v>
      </c>
      <c r="E103" s="461">
        <f>PW!O103</f>
        <v>75</v>
      </c>
      <c r="F103" s="461">
        <f>IF(E103="na","na",IF($C103="na","na",(E103*Eqtn!$D$202*($C103+Eqtn!$D$203+(Eqtn!$D$204*$D103)))))</f>
        <v>1.2299523003888106</v>
      </c>
      <c r="G103" s="461">
        <f>IF(E103="na","na",IF($C103="na","na",((E103*Eqtn!$D$205)*($C103+Eqtn!$D$206))))</f>
        <v>6.7699999999999996E-2</v>
      </c>
      <c r="H103" s="221">
        <f>SW!R103</f>
        <v>59.781234841186865</v>
      </c>
      <c r="I103" s="289">
        <f>IF(H103="na","na",IF($C103="na","na",(H103*Eqtn!$D$202*($C103+Eqtn!$D$203+(Eqtn!$D$204*$D103)))))</f>
        <v>0.98037423084002018</v>
      </c>
      <c r="J103" s="289">
        <f>IF(H103="na","na",IF($C103="na","na",((H103*Eqtn!$D$205)*($C103+Eqtn!$D$206))))</f>
        <v>5.3962527983311345E-2</v>
      </c>
      <c r="K103" s="584">
        <f>Partit!E103</f>
        <v>8.9380454836581933</v>
      </c>
      <c r="L103" s="584">
        <f>IF(K103="na","na",IF(K103="TBD","TBD",IF($C103="na","na",(K103*Eqtn!$D$202*($C103+Eqtn!$D$203+(Eqtn!$D$204*$D103))))))</f>
        <v>0.14657826138140287</v>
      </c>
      <c r="M103" s="584">
        <f>IF(K103="na","na",IF(K103="TBD","TBD",IF($C103="na","na",((K103*Eqtn!$D$205)*($C103+Eqtn!$D$206)))))</f>
        <v>8.0680757232487969E-3</v>
      </c>
      <c r="N103" s="348"/>
      <c r="O103" s="348">
        <f>IF(N103="na","na",IF(N103="TBD","TBD",IF($C103="na","na",(N103*Eqtn!$D$202*($C103+Eqtn!$D$203+(Eqtn!$D$204*$D103))))))</f>
        <v>0</v>
      </c>
      <c r="P103" s="367">
        <f>IF(N103="na","na",IF(N103="TBD","TBD",IF($C103="na","na",((N103*Eqtn!$D$205)*($C103+Eqtn!$D$206)))))</f>
        <v>0</v>
      </c>
      <c r="R103" s="1062"/>
    </row>
    <row r="104" spans="1:18" ht="13.9" customHeight="1" x14ac:dyDescent="0.25">
      <c r="A104" s="847">
        <f>Chem!A104</f>
        <v>102</v>
      </c>
      <c r="B104" s="891" t="str">
        <f>Chem!B104</f>
        <v>3,3'-Dichlorobenzidine</v>
      </c>
      <c r="C104" s="423">
        <f>Param!F104</f>
        <v>3.19</v>
      </c>
      <c r="D104" s="423">
        <f>Param!M104</f>
        <v>1.16107931316435E-9</v>
      </c>
      <c r="E104" s="461">
        <f>PW!O104</f>
        <v>0.19444444444444439</v>
      </c>
      <c r="F104" s="461">
        <f>IF(E104="na","na",IF($C104="na","na",(E104*Eqtn!$D$202*($C104+Eqtn!$D$203+(Eqtn!$D$204*$D104)))))</f>
        <v>1.3183333333724657E-2</v>
      </c>
      <c r="G104" s="461">
        <f>IF(E104="na","na",IF($C104="na","na",((E104*Eqtn!$D$205)*($C104+Eqtn!$D$206))))</f>
        <v>6.760185185185184E-4</v>
      </c>
      <c r="H104" s="221">
        <f>SW!R104</f>
        <v>3.3E-3</v>
      </c>
      <c r="I104" s="289">
        <f>IF(H104="na","na",IF($C104="na","na",(H104*Eqtn!$D$202*($C104+Eqtn!$D$203+(Eqtn!$D$204*$D104)))))</f>
        <v>2.2374000000664141E-4</v>
      </c>
      <c r="J104" s="289">
        <f>IF(H104="na","na",IF($C104="na","na",((H104*Eqtn!$D$205)*($C104+Eqtn!$D$206))))</f>
        <v>1.1473E-5</v>
      </c>
      <c r="K104" s="584" t="str">
        <f>Partit!E104</f>
        <v>na</v>
      </c>
      <c r="L104" s="584" t="str">
        <f>IF(K104="na","na",IF(K104="TBD","TBD",IF($C104="na","na",(K104*Eqtn!$D$202*($C104+Eqtn!$D$203+(Eqtn!$D$204*$D104))))))</f>
        <v>na</v>
      </c>
      <c r="M104" s="584" t="str">
        <f>IF(K104="na","na",IF(K104="TBD","TBD",IF($C104="na","na",((K104*Eqtn!$D$205)*($C104+Eqtn!$D$206)))))</f>
        <v>na</v>
      </c>
      <c r="N104" s="348"/>
      <c r="O104" s="348">
        <f>IF(N104="na","na",IF(N104="TBD","TBD",IF($C104="na","na",(N104*Eqtn!$D$202*($C104+Eqtn!$D$203+(Eqtn!$D$204*$D104))))))</f>
        <v>0</v>
      </c>
      <c r="P104" s="367">
        <f>IF(N104="na","na",IF(N104="TBD","TBD",IF($C104="na","na",((N104*Eqtn!$D$205)*($C104+Eqtn!$D$206)))))</f>
        <v>0</v>
      </c>
      <c r="R104" s="1062"/>
    </row>
    <row r="105" spans="1:18" ht="13.9" customHeight="1" x14ac:dyDescent="0.25">
      <c r="A105" s="847">
        <f>Chem!A105</f>
        <v>103</v>
      </c>
      <c r="B105" s="891" t="str">
        <f>Chem!B105</f>
        <v>2,4-Dichlorophenol</v>
      </c>
      <c r="C105" s="423">
        <f>Param!F105</f>
        <v>0.14699999999999999</v>
      </c>
      <c r="D105" s="423">
        <f>Param!M105</f>
        <v>7.4579966955433521E-5</v>
      </c>
      <c r="E105" s="461">
        <f>PW!O105</f>
        <v>48</v>
      </c>
      <c r="F105" s="461">
        <f>IF(E105="na","na",IF($C105="na","na",(E105*Eqtn!$D$202*($C105+Eqtn!$D$203+(Eqtn!$D$204*$D105)))))</f>
        <v>0.33312620505325063</v>
      </c>
      <c r="G105" s="461">
        <f>IF(E105="na","na",IF($C105="na","na",((E105*Eqtn!$D$205)*($C105+Eqtn!$D$206))))</f>
        <v>2.0815999999999998E-2</v>
      </c>
      <c r="H105" s="221">
        <f>SW!R105</f>
        <v>10</v>
      </c>
      <c r="I105" s="289">
        <f>IF(H105="na","na",IF($C105="na","na",(H105*Eqtn!$D$202*($C105+Eqtn!$D$203+(Eqtn!$D$204*$D105)))))</f>
        <v>6.9401292719427229E-2</v>
      </c>
      <c r="J105" s="289">
        <f>IF(H105="na","na",IF($C105="na","na",((H105*Eqtn!$D$205)*($C105+Eqtn!$D$206))))</f>
        <v>4.3366666666666666E-3</v>
      </c>
      <c r="K105" s="584" t="str">
        <f>Partit!E105</f>
        <v>na</v>
      </c>
      <c r="L105" s="584" t="str">
        <f>IF(K105="na","na",IF(K105="TBD","TBD",IF($C105="na","na",(K105*Eqtn!$D$202*($C105+Eqtn!$D$203+(Eqtn!$D$204*$D105))))))</f>
        <v>na</v>
      </c>
      <c r="M105" s="584" t="str">
        <f>IF(K105="na","na",IF(K105="TBD","TBD",IF($C105="na","na",((K105*Eqtn!$D$205)*($C105+Eqtn!$D$206)))))</f>
        <v>na</v>
      </c>
      <c r="N105" s="348"/>
      <c r="O105" s="348">
        <f>IF(N105="na","na",IF(N105="TBD","TBD",IF($C105="na","na",(N105*Eqtn!$D$202*($C105+Eqtn!$D$203+(Eqtn!$D$204*$D105))))))</f>
        <v>0</v>
      </c>
      <c r="P105" s="367">
        <f>IF(N105="na","na",IF(N105="TBD","TBD",IF($C105="na","na",((N105*Eqtn!$D$205)*($C105+Eqtn!$D$206)))))</f>
        <v>0</v>
      </c>
      <c r="R105" s="1062"/>
    </row>
    <row r="106" spans="1:18" ht="13.9" customHeight="1" x14ac:dyDescent="0.25">
      <c r="A106" s="846">
        <f>Chem!A106</f>
        <v>104</v>
      </c>
      <c r="B106" s="891" t="str">
        <f>Chem!B106</f>
        <v>Di(2-ethylhexyl)adipate</v>
      </c>
      <c r="C106" s="423">
        <f>Param!F106</f>
        <v>36</v>
      </c>
      <c r="D106" s="423">
        <f>Param!M106</f>
        <v>3.6287582225625749E-6</v>
      </c>
      <c r="E106" s="461">
        <f>PW!O106</f>
        <v>400</v>
      </c>
      <c r="F106" s="461">
        <f>IF(E106="na","na",IF($C106="na","na",(E106*Eqtn!$D$202*($C106+Eqtn!$D$203+(Eqtn!$D$204*$D106)))))</f>
        <v>289.60000251593908</v>
      </c>
      <c r="G106" s="461">
        <f>IF(E106="na","na",IF($C106="na","na",((E106*Eqtn!$D$205)*($C106+Eqtn!$D$206))))</f>
        <v>14.514666666666669</v>
      </c>
      <c r="H106" s="221" t="str">
        <f>SW!R106</f>
        <v>na</v>
      </c>
      <c r="I106" s="289" t="str">
        <f>IF(H106="na","na",IF($C106="na","na",(H106*Eqtn!$D$202*($C106+Eqtn!$D$203+(Eqtn!$D$204*$D106)))))</f>
        <v>na</v>
      </c>
      <c r="J106" s="289" t="str">
        <f>IF(H106="na","na",IF($C106="na","na",((H106*Eqtn!$D$205)*($C106+Eqtn!$D$206))))</f>
        <v>na</v>
      </c>
      <c r="K106" s="584" t="str">
        <f>Partit!E106</f>
        <v>na</v>
      </c>
      <c r="L106" s="584" t="str">
        <f>IF(K106="na","na",IF(K106="TBD","TBD",IF($C106="na","na",(K106*Eqtn!$D$202*($C106+Eqtn!$D$203+(Eqtn!$D$204*$D106))))))</f>
        <v>na</v>
      </c>
      <c r="M106" s="584" t="str">
        <f>IF(K106="na","na",IF(K106="TBD","TBD",IF($C106="na","na",((K106*Eqtn!$D$205)*($C106+Eqtn!$D$206)))))</f>
        <v>na</v>
      </c>
      <c r="N106" s="348"/>
      <c r="O106" s="348">
        <f>IF(N106="na","na",IF(N106="TBD","TBD",IF($C106="na","na",(N106*Eqtn!$D$202*($C106+Eqtn!$D$203+(Eqtn!$D$204*$D106))))))</f>
        <v>0</v>
      </c>
      <c r="P106" s="367">
        <f>IF(N106="na","na",IF(N106="TBD","TBD",IF($C106="na","na",((N106*Eqtn!$D$205)*($C106+Eqtn!$D$206)))))</f>
        <v>0</v>
      </c>
      <c r="R106" s="1062"/>
    </row>
    <row r="107" spans="1:18" ht="13.9" customHeight="1" x14ac:dyDescent="0.25">
      <c r="A107" s="846">
        <f>Chem!A107</f>
        <v>105</v>
      </c>
      <c r="B107" s="891" t="str">
        <f>Chem!B107</f>
        <v>Diethyl phthalate</v>
      </c>
      <c r="C107" s="423">
        <f>Param!F107</f>
        <v>8.2000000000000003E-2</v>
      </c>
      <c r="D107" s="423">
        <f>Param!M107</f>
        <v>6.5248141196191936E-6</v>
      </c>
      <c r="E107" s="461">
        <f>PW!O107</f>
        <v>12800</v>
      </c>
      <c r="F107" s="461">
        <f>IF(E107="na","na",IF($C107="na","na",(E107*Eqtn!$D$202*($C107+Eqtn!$D$203+(Eqtn!$D$204*$D107)))))</f>
        <v>72.19214476387593</v>
      </c>
      <c r="G107" s="461">
        <f>IF(E107="na","na",IF($C107="na","na",((E107*Eqtn!$D$205)*($C107+Eqtn!$D$206))))</f>
        <v>4.7189333333333341</v>
      </c>
      <c r="H107" s="221">
        <f>SW!R107</f>
        <v>200</v>
      </c>
      <c r="I107" s="289">
        <f>IF(H107="na","na",IF($C107="na","na",(H107*Eqtn!$D$202*($C107+Eqtn!$D$203+(Eqtn!$D$204*$D107)))))</f>
        <v>1.1280022619355614</v>
      </c>
      <c r="J107" s="289">
        <f>IF(H107="na","na",IF($C107="na","na",((H107*Eqtn!$D$205)*($C107+Eqtn!$D$206))))</f>
        <v>7.3733333333333345E-2</v>
      </c>
      <c r="K107" s="584">
        <f>Partit!E107</f>
        <v>92.552264808362381</v>
      </c>
      <c r="L107" s="584">
        <f>IF(K107="na","na",IF(K107="TBD","TBD",IF($C107="na","na",(K107*Eqtn!$D$202*($C107+Eqtn!$D$203+(Eqtn!$D$204*$D107))))))</f>
        <v>0.5219958202554591</v>
      </c>
      <c r="M107" s="584">
        <f>IF(K107="na","na",IF(K107="TBD","TBD",IF($C107="na","na",((K107*Eqtn!$D$205)*($C107+Eqtn!$D$206)))))</f>
        <v>3.4120934959349605E-2</v>
      </c>
      <c r="N107" s="348"/>
      <c r="O107" s="348">
        <f>IF(N107="na","na",IF(N107="TBD","TBD",IF($C107="na","na",(N107*Eqtn!$D$202*($C107+Eqtn!$D$203+(Eqtn!$D$204*$D107))))))</f>
        <v>0</v>
      </c>
      <c r="P107" s="367">
        <f>IF(N107="na","na",IF(N107="TBD","TBD",IF($C107="na","na",((N107*Eqtn!$D$205)*($C107+Eqtn!$D$206)))))</f>
        <v>0</v>
      </c>
      <c r="R107" s="1062"/>
    </row>
    <row r="108" spans="1:18" ht="13.9" customHeight="1" x14ac:dyDescent="0.25">
      <c r="A108" s="847">
        <f>Chem!A108</f>
        <v>106</v>
      </c>
      <c r="B108" s="891" t="str">
        <f>Chem!B108</f>
        <v>Dimethyl phthalate</v>
      </c>
      <c r="C108" s="423">
        <f>Param!F108</f>
        <v>3.1600000000000003E-2</v>
      </c>
      <c r="D108" s="423">
        <f>Param!M108</f>
        <v>2.2859456222679018E-6</v>
      </c>
      <c r="E108" s="461" t="str">
        <f>PW!O108</f>
        <v>na</v>
      </c>
      <c r="F108" s="461" t="str">
        <f>IF(E108="na","na",IF($C108="na","na",(E108*Eqtn!$D$202*($C108+Eqtn!$D$203+(Eqtn!$D$204*$D108)))))</f>
        <v>na</v>
      </c>
      <c r="G108" s="461" t="str">
        <f>IF(E108="na","na",IF($C108="na","na",((E108*Eqtn!$D$205)*($C108+Eqtn!$D$206))))</f>
        <v>na</v>
      </c>
      <c r="H108" s="221">
        <f>SW!R108</f>
        <v>600</v>
      </c>
      <c r="I108" s="289">
        <f>IF(H108="na","na",IF($C108="na","na",(H108*Eqtn!$D$202*($C108+Eqtn!$D$203+(Eqtn!$D$204*$D108)))))</f>
        <v>2.7792023773834469</v>
      </c>
      <c r="J108" s="289">
        <f>IF(H108="na","na",IF($C108="na","na",((H108*Eqtn!$D$205)*($C108+Eqtn!$D$206))))</f>
        <v>0.19096000000000002</v>
      </c>
      <c r="K108" s="584">
        <f>Partit!E108</f>
        <v>59.002385514841023</v>
      </c>
      <c r="L108" s="584">
        <f>IF(K108="na","na",IF(K108="TBD","TBD",IF($C108="na","na",(K108*Eqtn!$D$202*($C108+Eqtn!$D$203+(Eqtn!$D$204*$D108))))))</f>
        <v>0.27329928349023469</v>
      </c>
      <c r="M108" s="584">
        <f>IF(K108="na","na",IF(K108="TBD","TBD",IF($C108="na","na",((K108*Eqtn!$D$205)*($C108+Eqtn!$D$206)))))</f>
        <v>1.8778492563190072E-2</v>
      </c>
      <c r="N108" s="348"/>
      <c r="O108" s="348">
        <f>IF(N108="na","na",IF(N108="TBD","TBD",IF($C108="na","na",(N108*Eqtn!$D$202*($C108+Eqtn!$D$203+(Eqtn!$D$204*$D108))))))</f>
        <v>0</v>
      </c>
      <c r="P108" s="367">
        <f>IF(N108="na","na",IF(N108="TBD","TBD",IF($C108="na","na",((N108*Eqtn!$D$205)*($C108+Eqtn!$D$206)))))</f>
        <v>0</v>
      </c>
      <c r="R108" s="1062"/>
    </row>
    <row r="109" spans="1:18" ht="13.9" customHeight="1" x14ac:dyDescent="0.25">
      <c r="A109" s="847">
        <f>Chem!A109</f>
        <v>107</v>
      </c>
      <c r="B109" s="891" t="str">
        <f>Chem!B109</f>
        <v>2,4-Dimethylphenol</v>
      </c>
      <c r="C109" s="423">
        <f>Param!F109</f>
        <v>0.49199999999999999</v>
      </c>
      <c r="D109" s="423">
        <f>Param!M109</f>
        <v>1.4076840573291404E-5</v>
      </c>
      <c r="E109" s="461">
        <f>PW!O109</f>
        <v>320</v>
      </c>
      <c r="F109" s="461">
        <f>IF(E109="na","na",IF($C109="na","na",(E109*Eqtn!$D$202*($C109+Eqtn!$D$203+(Eqtn!$D$204*$D109)))))</f>
        <v>4.4288078079542377</v>
      </c>
      <c r="G109" s="461">
        <f>IF(E109="na","na",IF($C109="na","na",((E109*Eqtn!$D$205)*($C109+Eqtn!$D$206))))</f>
        <v>0.24917333333333333</v>
      </c>
      <c r="H109" s="221">
        <f>SW!R109</f>
        <v>97</v>
      </c>
      <c r="I109" s="289">
        <f>IF(H109="na","na",IF($C109="na","na",(H109*Eqtn!$D$202*($C109+Eqtn!$D$203+(Eqtn!$D$204*$D109)))))</f>
        <v>1.3424823667861281</v>
      </c>
      <c r="J109" s="289">
        <f>IF(H109="na","na",IF($C109="na","na",((H109*Eqtn!$D$205)*($C109+Eqtn!$D$206))))</f>
        <v>7.5530666666666663E-2</v>
      </c>
      <c r="K109" s="584">
        <f>Partit!E109</f>
        <v>2.9142971992007851</v>
      </c>
      <c r="L109" s="584">
        <f>IF(K109="na","na",IF(K109="TBD","TBD",IF($C109="na","na",(K109*Eqtn!$D$202*($C109+Eqtn!$D$203+(Eqtn!$D$204*$D109))))))</f>
        <v>4.0333944345373754E-2</v>
      </c>
      <c r="M109" s="584">
        <f>IF(K109="na","na",IF(K109="TBD","TBD",IF($C109="na","na",((K109*Eqtn!$D$205)*($C109+Eqtn!$D$206)))))</f>
        <v>2.2692660857776782E-3</v>
      </c>
      <c r="N109" s="348"/>
      <c r="O109" s="348">
        <f>IF(N109="na","na",IF(N109="TBD","TBD",IF($C109="na","na",(N109*Eqtn!$D$202*($C109+Eqtn!$D$203+(Eqtn!$D$204*$D109))))))</f>
        <v>0</v>
      </c>
      <c r="P109" s="367">
        <f>IF(N109="na","na",IF(N109="TBD","TBD",IF($C109="na","na",((N109*Eqtn!$D$205)*($C109+Eqtn!$D$206)))))</f>
        <v>0</v>
      </c>
      <c r="R109" s="1062"/>
    </row>
    <row r="110" spans="1:18" ht="13.9" customHeight="1" x14ac:dyDescent="0.25">
      <c r="A110" s="847">
        <f>Chem!A110</f>
        <v>108</v>
      </c>
      <c r="B110" s="891" t="str">
        <f>Chem!B110</f>
        <v>1,2-Dinitrobenzene</v>
      </c>
      <c r="C110" s="423">
        <f>Param!F110</f>
        <v>0.35899999999999999</v>
      </c>
      <c r="D110" s="423">
        <f>Param!M110</f>
        <v>5.0029317929481896E-7</v>
      </c>
      <c r="E110" s="461">
        <f>PW!O110</f>
        <v>1.6</v>
      </c>
      <c r="F110" s="461">
        <f>IF(E110="na","na",IF($C110="na","na",(E110*Eqtn!$D$202*($C110+Eqtn!$D$203+(Eqtn!$D$204*$D110)))))</f>
        <v>1.7888001387479747E-2</v>
      </c>
      <c r="G110" s="461">
        <f>IF(E110="na","na",IF($C110="na","na",((E110*Eqtn!$D$205)*($C110+Eqtn!$D$206))))</f>
        <v>1.0330666666666666E-3</v>
      </c>
      <c r="H110" s="221" t="str">
        <f>SW!R110</f>
        <v>na</v>
      </c>
      <c r="I110" s="289" t="str">
        <f>IF(H110="na","na",IF($C110="na","na",(H110*Eqtn!$D$202*($C110+Eqtn!$D$203+(Eqtn!$D$204*$D110)))))</f>
        <v>na</v>
      </c>
      <c r="J110" s="289" t="str">
        <f>IF(H110="na","na",IF($C110="na","na",((H110*Eqtn!$D$205)*($C110+Eqtn!$D$206))))</f>
        <v>na</v>
      </c>
      <c r="K110" s="584" t="str">
        <f>Partit!E110</f>
        <v>na</v>
      </c>
      <c r="L110" s="584" t="str">
        <f>IF(K110="na","na",IF(K110="TBD","TBD",IF($C110="na","na",(K110*Eqtn!$D$202*($C110+Eqtn!$D$203+(Eqtn!$D$204*$D110))))))</f>
        <v>na</v>
      </c>
      <c r="M110" s="584" t="str">
        <f>IF(K110="na","na",IF(K110="TBD","TBD",IF($C110="na","na",((K110*Eqtn!$D$205)*($C110+Eqtn!$D$206)))))</f>
        <v>na</v>
      </c>
      <c r="N110" s="348"/>
      <c r="O110" s="348">
        <f>IF(N110="na","na",IF(N110="TBD","TBD",IF($C110="na","na",(N110*Eqtn!$D$202*($C110+Eqtn!$D$203+(Eqtn!$D$204*$D110))))))</f>
        <v>0</v>
      </c>
      <c r="P110" s="367">
        <f>IF(N110="na","na",IF(N110="TBD","TBD",IF($C110="na","na",((N110*Eqtn!$D$205)*($C110+Eqtn!$D$206)))))</f>
        <v>0</v>
      </c>
      <c r="R110" s="1062"/>
    </row>
    <row r="111" spans="1:18" ht="13.9" customHeight="1" x14ac:dyDescent="0.25">
      <c r="A111" s="847">
        <f>Chem!A111</f>
        <v>109</v>
      </c>
      <c r="B111" s="891" t="str">
        <f>Chem!B111</f>
        <v>1,3-Dinitrobenzene</v>
      </c>
      <c r="C111" s="423">
        <f>Param!F111</f>
        <v>0.35199999999999998</v>
      </c>
      <c r="D111" s="423">
        <f>Param!M111</f>
        <v>5.0630855024459349E-7</v>
      </c>
      <c r="E111" s="461">
        <f>PW!O111</f>
        <v>1.6</v>
      </c>
      <c r="F111" s="461">
        <f>IF(E111="na","na",IF($C111="na","na",(E111*Eqtn!$D$202*($C111+Eqtn!$D$203+(Eqtn!$D$204*$D111)))))</f>
        <v>1.7664001404162379E-2</v>
      </c>
      <c r="G111" s="461">
        <f>IF(E111="na","na",IF($C111="na","na",((E111*Eqtn!$D$205)*($C111+Eqtn!$D$206))))</f>
        <v>1.0218666666666667E-3</v>
      </c>
      <c r="H111" s="221" t="str">
        <f>SW!R111</f>
        <v>na</v>
      </c>
      <c r="I111" s="289" t="str">
        <f>IF(H111="na","na",IF($C111="na","na",(H111*Eqtn!$D$202*($C111+Eqtn!$D$203+(Eqtn!$D$204*$D111)))))</f>
        <v>na</v>
      </c>
      <c r="J111" s="289" t="str">
        <f>IF(H111="na","na",IF($C111="na","na",((H111*Eqtn!$D$205)*($C111+Eqtn!$D$206))))</f>
        <v>na</v>
      </c>
      <c r="K111" s="584" t="str">
        <f>Partit!E111</f>
        <v>na</v>
      </c>
      <c r="L111" s="584" t="str">
        <f>IF(K111="na","na",IF(K111="TBD","TBD",IF($C111="na","na",(K111*Eqtn!$D$202*($C111+Eqtn!$D$203+(Eqtn!$D$204*$D111))))))</f>
        <v>na</v>
      </c>
      <c r="M111" s="584" t="str">
        <f>IF(K111="na","na",IF(K111="TBD","TBD",IF($C111="na","na",((K111*Eqtn!$D$205)*($C111+Eqtn!$D$206)))))</f>
        <v>na</v>
      </c>
      <c r="N111" s="348"/>
      <c r="O111" s="348">
        <f>IF(N111="na","na",IF(N111="TBD","TBD",IF($C111="na","na",(N111*Eqtn!$D$202*($C111+Eqtn!$D$203+(Eqtn!$D$204*$D111))))))</f>
        <v>0</v>
      </c>
      <c r="P111" s="367">
        <f>IF(N111="na","na",IF(N111="TBD","TBD",IF($C111="na","na",((N111*Eqtn!$D$205)*($C111+Eqtn!$D$206)))))</f>
        <v>0</v>
      </c>
      <c r="R111" s="1062"/>
    </row>
    <row r="112" spans="1:18" ht="13.9" customHeight="1" x14ac:dyDescent="0.25">
      <c r="A112" s="847">
        <f>Chem!A112</f>
        <v>110</v>
      </c>
      <c r="B112" s="891" t="str">
        <f>Chem!B112</f>
        <v>1,4-Dinitrobenzene</v>
      </c>
      <c r="C112" s="423">
        <f>Param!F112</f>
        <v>0.35199999999999998</v>
      </c>
      <c r="D112" s="423">
        <f>Param!M112</f>
        <v>8.4222522539131311E-7</v>
      </c>
      <c r="E112" s="461">
        <f>PW!O112</f>
        <v>1.6</v>
      </c>
      <c r="F112" s="461">
        <f>IF(E112="na","na",IF($C112="na","na",(E112*Eqtn!$D$202*($C112+Eqtn!$D$203+(Eqtn!$D$204*$D112)))))</f>
        <v>1.7664002335771291E-2</v>
      </c>
      <c r="G112" s="461">
        <f>IF(E112="na","na",IF($C112="na","na",((E112*Eqtn!$D$205)*($C112+Eqtn!$D$206))))</f>
        <v>1.0218666666666667E-3</v>
      </c>
      <c r="H112" s="221" t="str">
        <f>SW!R112</f>
        <v>na</v>
      </c>
      <c r="I112" s="289" t="str">
        <f>IF(H112="na","na",IF($C112="na","na",(H112*Eqtn!$D$202*($C112+Eqtn!$D$203+(Eqtn!$D$204*$D112)))))</f>
        <v>na</v>
      </c>
      <c r="J112" s="289" t="str">
        <f>IF(H112="na","na",IF($C112="na","na",((H112*Eqtn!$D$205)*($C112+Eqtn!$D$206))))</f>
        <v>na</v>
      </c>
      <c r="K112" s="584" t="str">
        <f>Partit!E112</f>
        <v>na</v>
      </c>
      <c r="L112" s="584" t="str">
        <f>IF(K112="na","na",IF(K112="TBD","TBD",IF($C112="na","na",(K112*Eqtn!$D$202*($C112+Eqtn!$D$203+(Eqtn!$D$204*$D112))))))</f>
        <v>na</v>
      </c>
      <c r="M112" s="584" t="str">
        <f>IF(K112="na","na",IF(K112="TBD","TBD",IF($C112="na","na",((K112*Eqtn!$D$205)*($C112+Eqtn!$D$206)))))</f>
        <v>na</v>
      </c>
      <c r="N112" s="348"/>
      <c r="O112" s="348">
        <f>IF(N112="na","na",IF(N112="TBD","TBD",IF($C112="na","na",(N112*Eqtn!$D$202*($C112+Eqtn!$D$203+(Eqtn!$D$204*$D112))))))</f>
        <v>0</v>
      </c>
      <c r="P112" s="367">
        <f>IF(N112="na","na",IF(N112="TBD","TBD",IF($C112="na","na",((N112*Eqtn!$D$205)*($C112+Eqtn!$D$206)))))</f>
        <v>0</v>
      </c>
      <c r="R112" s="1062"/>
    </row>
    <row r="113" spans="1:18" ht="13.9" customHeight="1" x14ac:dyDescent="0.25">
      <c r="A113" s="847">
        <f>Chem!A113</f>
        <v>111</v>
      </c>
      <c r="B113" s="891" t="str">
        <f>Chem!B113</f>
        <v>4,6-Dinitro-o-cresol (DNOC)</v>
      </c>
      <c r="C113" s="423">
        <f>Param!F113</f>
        <v>0.754</v>
      </c>
      <c r="D113" s="423">
        <f>Param!M113</f>
        <v>5.7236304170073601E-5</v>
      </c>
      <c r="E113" s="461">
        <f>PW!O113</f>
        <v>1.28</v>
      </c>
      <c r="F113" s="461">
        <f>IF(E113="na","na",IF($C113="na","na",(E113*Eqtn!$D$202*($C113+Eqtn!$D$203+(Eqtn!$D$204*$D113)))))</f>
        <v>2.4422526988280187E-2</v>
      </c>
      <c r="G113" s="461">
        <f>IF(E113="na","na",IF($C113="na","na",((E113*Eqtn!$D$205)*($C113+Eqtn!$D$206))))</f>
        <v>1.3320533333333333E-3</v>
      </c>
      <c r="H113" s="221">
        <f>SW!R113</f>
        <v>7</v>
      </c>
      <c r="I113" s="289">
        <f>IF(H113="na","na",IF($C113="na","na",(H113*Eqtn!$D$202*($C113+Eqtn!$D$203+(Eqtn!$D$204*$D113)))))</f>
        <v>0.13356069446715726</v>
      </c>
      <c r="J113" s="289">
        <f>IF(H113="na","na",IF($C113="na","na",((H113*Eqtn!$D$205)*($C113+Eqtn!$D$206))))</f>
        <v>7.2846666666666667E-3</v>
      </c>
      <c r="K113" s="584" t="str">
        <f>Partit!E113</f>
        <v>na</v>
      </c>
      <c r="L113" s="584" t="str">
        <f>IF(K113="na","na",IF(K113="TBD","TBD",IF($C113="na","na",(K113*Eqtn!$D$202*($C113+Eqtn!$D$203+(Eqtn!$D$204*$D113))))))</f>
        <v>na</v>
      </c>
      <c r="M113" s="584" t="str">
        <f>IF(K113="na","na",IF(K113="TBD","TBD",IF($C113="na","na",((K113*Eqtn!$D$205)*($C113+Eqtn!$D$206)))))</f>
        <v>na</v>
      </c>
      <c r="N113" s="348"/>
      <c r="O113" s="348">
        <f>IF(N113="na","na",IF(N113="TBD","TBD",IF($C113="na","na",(N113*Eqtn!$D$202*($C113+Eqtn!$D$203+(Eqtn!$D$204*$D113))))))</f>
        <v>0</v>
      </c>
      <c r="P113" s="367">
        <f>IF(N113="na","na",IF(N113="TBD","TBD",IF($C113="na","na",((N113*Eqtn!$D$205)*($C113+Eqtn!$D$206)))))</f>
        <v>0</v>
      </c>
      <c r="R113" s="1062"/>
    </row>
    <row r="114" spans="1:18" ht="13.9" customHeight="1" x14ac:dyDescent="0.25">
      <c r="A114" s="847">
        <f>Chem!A114</f>
        <v>112</v>
      </c>
      <c r="B114" s="891" t="str">
        <f>Chem!B114</f>
        <v>2,4-Dinitrophenol</v>
      </c>
      <c r="C114" s="423">
        <f>Param!F114</f>
        <v>1.0000000000000001E-5</v>
      </c>
      <c r="D114" s="423">
        <f>Param!M114</f>
        <v>3.5159443990188099E-6</v>
      </c>
      <c r="E114" s="461">
        <f>PW!O114</f>
        <v>32</v>
      </c>
      <c r="F114" s="461">
        <f>IF(E114="na","na",IF($C114="na","na",(E114*Eqtn!$D$202*($C114+Eqtn!$D$203+(Eqtn!$D$204*$D114)))))</f>
        <v>0.128006595017716</v>
      </c>
      <c r="G114" s="461">
        <f>IF(E114="na","na",IF($C114="na","na",((E114*Eqtn!$D$205)*($C114+Eqtn!$D$206))))</f>
        <v>9.1736533333333335E-3</v>
      </c>
      <c r="H114" s="221">
        <f>SW!R114</f>
        <v>100</v>
      </c>
      <c r="I114" s="289">
        <f>IF(H114="na","na",IF($C114="na","na",(H114*Eqtn!$D$202*($C114+Eqtn!$D$203+(Eqtn!$D$204*$D114)))))</f>
        <v>0.40002060943036249</v>
      </c>
      <c r="J114" s="289">
        <f>IF(H114="na","na",IF($C114="na","na",((H114*Eqtn!$D$205)*($C114+Eqtn!$D$206))))</f>
        <v>2.8667666666666671E-2</v>
      </c>
      <c r="K114" s="584" t="str">
        <f>Partit!E114</f>
        <v>na</v>
      </c>
      <c r="L114" s="584" t="str">
        <f>IF(K114="na","na",IF(K114="TBD","TBD",IF($C114="na","na",(K114*Eqtn!$D$202*($C114+Eqtn!$D$203+(Eqtn!$D$204*$D114))))))</f>
        <v>na</v>
      </c>
      <c r="M114" s="584" t="str">
        <f>IF(K114="na","na",IF(K114="TBD","TBD",IF($C114="na","na",((K114*Eqtn!$D$205)*($C114+Eqtn!$D$206)))))</f>
        <v>na</v>
      </c>
      <c r="N114" s="348"/>
      <c r="O114" s="348">
        <f>IF(N114="na","na",IF(N114="TBD","TBD",IF($C114="na","na",(N114*Eqtn!$D$202*($C114+Eqtn!$D$203+(Eqtn!$D$204*$D114))))))</f>
        <v>0</v>
      </c>
      <c r="P114" s="367">
        <f>IF(N114="na","na",IF(N114="TBD","TBD",IF($C114="na","na",((N114*Eqtn!$D$205)*($C114+Eqtn!$D$206)))))</f>
        <v>0</v>
      </c>
      <c r="R114" s="1062"/>
    </row>
    <row r="115" spans="1:18" ht="13.9" customHeight="1" x14ac:dyDescent="0.25">
      <c r="A115" s="847">
        <f>Chem!A115</f>
        <v>113</v>
      </c>
      <c r="B115" s="891" t="str">
        <f>Chem!B115</f>
        <v>2,4-Dinitrotoluene</v>
      </c>
      <c r="C115" s="423">
        <f>Param!F115</f>
        <v>0.57600000000000007</v>
      </c>
      <c r="D115" s="423">
        <f>Param!M115</f>
        <v>4.8258826502931966E-7</v>
      </c>
      <c r="E115" s="461">
        <f>PW!O115</f>
        <v>0.28225806451612895</v>
      </c>
      <c r="F115" s="461">
        <f>IF(E115="na","na",IF($C115="na","na",(E115*Eqtn!$D$202*($C115+Eqtn!$D$203+(Eqtn!$D$204*$D115)))))</f>
        <v>4.3806453973953335E-3</v>
      </c>
      <c r="G115" s="461">
        <f>IF(E115="na","na",IF($C115="na","na",((E115*Eqtn!$D$205)*($C115+Eqtn!$D$206))))</f>
        <v>2.4349462365591391E-4</v>
      </c>
      <c r="H115" s="221">
        <f>SW!R115</f>
        <v>0.18</v>
      </c>
      <c r="I115" s="289">
        <f>IF(H115="na","na",IF($C115="na","na",(H115*Eqtn!$D$202*($C115+Eqtn!$D$203+(Eqtn!$D$204*$D115)))))</f>
        <v>2.7936001505675387E-3</v>
      </c>
      <c r="J115" s="289">
        <f>IF(H115="na","na",IF($C115="na","na",((H115*Eqtn!$D$205)*($C115+Eqtn!$D$206))))</f>
        <v>1.5527999999999999E-4</v>
      </c>
      <c r="K115" s="584" t="str">
        <f>Partit!E115</f>
        <v>na</v>
      </c>
      <c r="L115" s="584" t="str">
        <f>IF(K115="na","na",IF(K115="TBD","TBD",IF($C115="na","na",(K115*Eqtn!$D$202*($C115+Eqtn!$D$203+(Eqtn!$D$204*$D115))))))</f>
        <v>na</v>
      </c>
      <c r="M115" s="584" t="str">
        <f>IF(K115="na","na",IF(K115="TBD","TBD",IF($C115="na","na",((K115*Eqtn!$D$205)*($C115+Eqtn!$D$206)))))</f>
        <v>na</v>
      </c>
      <c r="N115" s="348"/>
      <c r="O115" s="348">
        <f>IF(N115="na","na",IF(N115="TBD","TBD",IF($C115="na","na",(N115*Eqtn!$D$202*($C115+Eqtn!$D$203+(Eqtn!$D$204*$D115))))))</f>
        <v>0</v>
      </c>
      <c r="P115" s="367">
        <f>IF(N115="na","na",IF(N115="TBD","TBD",IF($C115="na","na",((N115*Eqtn!$D$205)*($C115+Eqtn!$D$206)))))</f>
        <v>0</v>
      </c>
      <c r="R115" s="1062"/>
    </row>
    <row r="116" spans="1:18" ht="13.9" customHeight="1" x14ac:dyDescent="0.25">
      <c r="A116" s="842">
        <f>Chem!A116</f>
        <v>114</v>
      </c>
      <c r="B116" s="891" t="str">
        <f>Chem!B116</f>
        <v>2,6-Dinitrotoluene</v>
      </c>
      <c r="C116" s="423">
        <f>Param!F116</f>
        <v>0.58699999999999997</v>
      </c>
      <c r="D116" s="423">
        <f>Param!M116</f>
        <v>7.2603608447526589E-6</v>
      </c>
      <c r="E116" s="461">
        <f>PW!O116</f>
        <v>5.833333333333332E-2</v>
      </c>
      <c r="F116" s="461">
        <f>IF(E116="na","na",IF($C116="na","na",(E116*Eqtn!$D$202*($C116+Eqtn!$D$203+(Eqtn!$D$204*$D116)))))</f>
        <v>9.1816740076981838E-4</v>
      </c>
      <c r="G116" s="461">
        <f>IF(E116="na","na",IF($C116="na","na",((E116*Eqtn!$D$205)*($C116+Eqtn!$D$206))))</f>
        <v>5.0963888888888873E-5</v>
      </c>
      <c r="H116" s="221" t="str">
        <f>SW!R116</f>
        <v>na</v>
      </c>
      <c r="I116" s="289" t="str">
        <f>IF(H116="na","na",IF($C116="na","na",(H116*Eqtn!$D$202*($C116+Eqtn!$D$203+(Eqtn!$D$204*$D116)))))</f>
        <v>na</v>
      </c>
      <c r="J116" s="289" t="str">
        <f>IF(H116="na","na",IF($C116="na","na",((H116*Eqtn!$D$205)*($C116+Eqtn!$D$206))))</f>
        <v>na</v>
      </c>
      <c r="K116" s="584" t="str">
        <f>Partit!E116</f>
        <v>na</v>
      </c>
      <c r="L116" s="584" t="str">
        <f>IF(K116="na","na",IF(K116="TBD","TBD",IF($C116="na","na",(K116*Eqtn!$D$202*($C116+Eqtn!$D$203+(Eqtn!$D$204*$D116))))))</f>
        <v>na</v>
      </c>
      <c r="M116" s="584" t="str">
        <f>IF(K116="na","na",IF(K116="TBD","TBD",IF($C116="na","na",((K116*Eqtn!$D$205)*($C116+Eqtn!$D$206)))))</f>
        <v>na</v>
      </c>
      <c r="N116" s="348"/>
      <c r="O116" s="348">
        <f>IF(N116="na","na",IF(N116="TBD","TBD",IF($C116="na","na",(N116*Eqtn!$D$202*($C116+Eqtn!$D$203+(Eqtn!$D$204*$D116))))))</f>
        <v>0</v>
      </c>
      <c r="P116" s="367">
        <f>IF(N116="na","na",IF(N116="TBD","TBD",IF($C116="na","na",((N116*Eqtn!$D$205)*($C116+Eqtn!$D$206)))))</f>
        <v>0</v>
      </c>
      <c r="R116" s="1062"/>
    </row>
    <row r="117" spans="1:18" ht="13.9" customHeight="1" x14ac:dyDescent="0.25">
      <c r="A117" s="847">
        <f>Chem!A117</f>
        <v>115</v>
      </c>
      <c r="B117" s="891" t="str">
        <f>Chem!B117</f>
        <v>Di-n-octyl phthalate</v>
      </c>
      <c r="C117" s="423">
        <f>Param!F117</f>
        <v>141</v>
      </c>
      <c r="D117" s="423">
        <f>Param!M117</f>
        <v>1.4933990270240736E-5</v>
      </c>
      <c r="E117" s="461">
        <f>PW!O117</f>
        <v>160</v>
      </c>
      <c r="F117" s="461">
        <f>IF(E117="na","na",IF($C117="na","na",(E117*Eqtn!$D$202*($C117+Eqtn!$D$203+(Eqtn!$D$204*$D117)))))</f>
        <v>451.84000414169327</v>
      </c>
      <c r="G117" s="461">
        <f>IF(E117="na","na",IF($C117="na","na",((E117*Eqtn!$D$205)*($C117+Eqtn!$D$206))))</f>
        <v>22.605866666666667</v>
      </c>
      <c r="H117" s="221" t="str">
        <f>SW!R117</f>
        <v>na</v>
      </c>
      <c r="I117" s="289" t="str">
        <f>IF(H117="na","na",IF($C117="na","na",(H117*Eqtn!$D$202*($C117+Eqtn!$D$203+(Eqtn!$D$204*$D117)))))</f>
        <v>na</v>
      </c>
      <c r="J117" s="289" t="str">
        <f>IF(H117="na","na",IF($C117="na","na",((H117*Eqtn!$D$205)*($C117+Eqtn!$D$206))))</f>
        <v>na</v>
      </c>
      <c r="K117" s="584">
        <f>Partit!E117</f>
        <v>2.3137756362059787</v>
      </c>
      <c r="L117" s="584">
        <f>IF(K117="na","na",IF(K117="TBD","TBD",IF($C117="na","na",(K117*Eqtn!$D$202*($C117+Eqtn!$D$203+(Eqtn!$D$204*$D117))))))</f>
        <v>6.5341024565391148</v>
      </c>
      <c r="M117" s="584">
        <f>IF(K117="na","na",IF(K117="TBD","TBD",IF($C117="na","na",((K117*Eqtn!$D$205)*($C117+Eqtn!$D$206)))))</f>
        <v>0.3269056470540887</v>
      </c>
      <c r="N117" s="348"/>
      <c r="O117" s="348">
        <f>IF(N117="na","na",IF(N117="TBD","TBD",IF($C117="na","na",(N117*Eqtn!$D$202*($C117+Eqtn!$D$203+(Eqtn!$D$204*$D117))))))</f>
        <v>0</v>
      </c>
      <c r="P117" s="367">
        <f>IF(N117="na","na",IF(N117="TBD","TBD",IF($C117="na","na",((N117*Eqtn!$D$205)*($C117+Eqtn!$D$206)))))</f>
        <v>0</v>
      </c>
      <c r="R117" s="1062"/>
    </row>
    <row r="118" spans="1:18" ht="13.9" customHeight="1" x14ac:dyDescent="0.25">
      <c r="A118" s="848">
        <f>Chem!A118</f>
        <v>116</v>
      </c>
      <c r="B118" s="891" t="str">
        <f>Chem!B118</f>
        <v>1,4-Dioxane</v>
      </c>
      <c r="C118" s="423">
        <f>Param!F118</f>
        <v>2.63E-3</v>
      </c>
      <c r="D118" s="423">
        <f>Param!M118</f>
        <v>1.0625393533353386E-4</v>
      </c>
      <c r="E118" s="461">
        <f>PW!O118</f>
        <v>0.43749999999999989</v>
      </c>
      <c r="F118" s="461">
        <f>IF(E118="na","na",IF($C118="na","na",(E118*Eqtn!$D$202*($C118+Eqtn!$D$203+(Eqtn!$D$204*$D118)))))</f>
        <v>1.7730930759009605E-3</v>
      </c>
      <c r="G118" s="461">
        <f>IF(E118="na","na",IF($C118="na","na",((E118*Eqtn!$D$205)*($C118+Eqtn!$D$206))))</f>
        <v>1.2656729166666666E-4</v>
      </c>
      <c r="H118" s="219" t="str">
        <f>SW!R118</f>
        <v>na</v>
      </c>
      <c r="I118" s="289" t="str">
        <f>IF(H118="na","na",IF($C118="na","na",(H118*Eqtn!$D$202*($C118+Eqtn!$D$203+(Eqtn!$D$204*$D118)))))</f>
        <v>na</v>
      </c>
      <c r="J118" s="289" t="str">
        <f>IF(H118="na","na",IF($C118="na","na",((H118*Eqtn!$D$205)*($C118+Eqtn!$D$206))))</f>
        <v>na</v>
      </c>
      <c r="K118" s="584" t="str">
        <f>Partit!E118</f>
        <v>na</v>
      </c>
      <c r="L118" s="584" t="str">
        <f>IF(K118="na","na",IF(K118="TBD","TBD",IF($C118="na","na",(K118*Eqtn!$D$202*($C118+Eqtn!$D$203+(Eqtn!$D$204*$D118))))))</f>
        <v>na</v>
      </c>
      <c r="M118" s="584" t="str">
        <f>IF(K118="na","na",IF(K118="TBD","TBD",IF($C118="na","na",((K118*Eqtn!$D$205)*($C118+Eqtn!$D$206)))))</f>
        <v>na</v>
      </c>
      <c r="N118" s="348"/>
      <c r="O118" s="348">
        <f>IF(N118="na","na",IF(N118="TBD","TBD",IF($C118="na","na",(N118*Eqtn!$D$202*($C118+Eqtn!$D$203+(Eqtn!$D$204*$D118))))))</f>
        <v>0</v>
      </c>
      <c r="P118" s="367">
        <f>IF(N118="na","na",IF(N118="TBD","TBD",IF($C118="na","na",((N118*Eqtn!$D$205)*($C118+Eqtn!$D$206)))))</f>
        <v>0</v>
      </c>
      <c r="R118" s="1062"/>
    </row>
    <row r="119" spans="1:18" ht="13.9" customHeight="1" x14ac:dyDescent="0.25">
      <c r="A119" s="848">
        <f>Chem!A119</f>
        <v>117</v>
      </c>
      <c r="B119" s="891" t="str">
        <f>Chem!B119</f>
        <v>1,2-Diphenylhydrazine</v>
      </c>
      <c r="C119" s="423">
        <f>Param!F119</f>
        <v>1.51</v>
      </c>
      <c r="D119" s="423">
        <f>Param!M119</f>
        <v>5.8982463628769713E-6</v>
      </c>
      <c r="E119" s="461">
        <f>PW!O119</f>
        <v>0.10937499999999997</v>
      </c>
      <c r="F119" s="461">
        <f>IF(E119="na","na",IF($C119="na","na",(E119*Eqtn!$D$202*($C119+Eqtn!$D$203+(Eqtn!$D$204*$D119)))))</f>
        <v>3.7406261182092049E-3</v>
      </c>
      <c r="G119" s="461">
        <f>IF(E119="na","na",IF($C119="na","na",((E119*Eqtn!$D$205)*($C119+Eqtn!$D$206))))</f>
        <v>1.9651041666666661E-4</v>
      </c>
      <c r="H119" s="219">
        <f>SW!R119</f>
        <v>0.02</v>
      </c>
      <c r="I119" s="289">
        <f>IF(H119="na","na",IF($C119="na","na",(H119*Eqtn!$D$202*($C119+Eqtn!$D$203+(Eqtn!$D$204*$D119)))))</f>
        <v>6.8400020447254061E-4</v>
      </c>
      <c r="J119" s="289">
        <f>IF(H119="na","na",IF($C119="na","na",((H119*Eqtn!$D$205)*($C119+Eqtn!$D$206))))</f>
        <v>3.5933333333333337E-5</v>
      </c>
      <c r="K119" s="584" t="str">
        <f>Partit!E119</f>
        <v>na</v>
      </c>
      <c r="L119" s="584" t="str">
        <f>IF(K119="na","na",IF(K119="TBD","TBD",IF($C119="na","na",(K119*Eqtn!$D$202*($C119+Eqtn!$D$203+(Eqtn!$D$204*$D119))))))</f>
        <v>na</v>
      </c>
      <c r="M119" s="584" t="str">
        <f>IF(K119="na","na",IF(K119="TBD","TBD",IF($C119="na","na",((K119*Eqtn!$D$205)*($C119+Eqtn!$D$206)))))</f>
        <v>na</v>
      </c>
      <c r="N119" s="348"/>
      <c r="O119" s="348">
        <f>IF(N119="na","na",IF(N119="TBD","TBD",IF($C119="na","na",(N119*Eqtn!$D$202*($C119+Eqtn!$D$203+(Eqtn!$D$204*$D119))))))</f>
        <v>0</v>
      </c>
      <c r="P119" s="367">
        <f>IF(N119="na","na",IF(N119="TBD","TBD",IF($C119="na","na",((N119*Eqtn!$D$205)*($C119+Eqtn!$D$206)))))</f>
        <v>0</v>
      </c>
      <c r="R119" s="1062"/>
    </row>
    <row r="120" spans="1:18" ht="13.9" customHeight="1" x14ac:dyDescent="0.25">
      <c r="A120" s="847">
        <f>Chem!A120</f>
        <v>118</v>
      </c>
      <c r="B120" s="891" t="str">
        <f>Chem!B120</f>
        <v>Hexachlorobenzene</v>
      </c>
      <c r="C120" s="423">
        <f>Param!F120</f>
        <v>80</v>
      </c>
      <c r="D120" s="423">
        <f>Param!M120</f>
        <v>2.2205009396001001E-2</v>
      </c>
      <c r="E120" s="461">
        <f>PW!O120</f>
        <v>0.27343749999999994</v>
      </c>
      <c r="F120" s="461">
        <f>IF(E120="na","na",IF($C120="na","na",(E120*Eqtn!$D$202*($C120+Eqtn!$D$203+(Eqtn!$D$204*$D120)))))</f>
        <v>0.43860427424924492</v>
      </c>
      <c r="G120" s="461">
        <f>IF(E120="na","na",IF($C120="na","na",((E120*Eqtn!$D$205)*($C120+Eqtn!$D$206))))</f>
        <v>2.1953385416666662E-2</v>
      </c>
      <c r="H120" s="221">
        <f>SW!R120</f>
        <v>5.0000000000000004E-6</v>
      </c>
      <c r="I120" s="289">
        <f>IF(H120="na","na",IF($C120="na","na",(H120*Eqtn!$D$202*($C120+Eqtn!$D$203+(Eqtn!$D$204*$D120)))))</f>
        <v>8.0201924434147663E-6</v>
      </c>
      <c r="J120" s="289">
        <f>IF(H120="na","na",IF($C120="na","na",((H120*Eqtn!$D$205)*($C120+Eqtn!$D$206))))</f>
        <v>4.0143333333333333E-7</v>
      </c>
      <c r="K120" s="584">
        <f>Partit!E120</f>
        <v>1.446794518428255E-2</v>
      </c>
      <c r="L120" s="584">
        <f>IF(K120="na","na",IF(K120="TBD","TBD",IF($C120="na","na",(K120*Eqtn!$D$202*($C120+Eqtn!$D$203+(Eqtn!$D$204*$D120))))))</f>
        <v>2.3207140927744393E-2</v>
      </c>
      <c r="M120" s="584">
        <f>IF(K120="na","na",IF(K120="TBD","TBD",IF($C120="na","na",((K120*Eqtn!$D$205)*($C120+Eqtn!$D$206)))))</f>
        <v>1.1615830923620983E-3</v>
      </c>
      <c r="N120" s="348"/>
      <c r="O120" s="348">
        <f>IF(N120="na","na",IF(N120="TBD","TBD",IF($C120="na","na",(N120*Eqtn!$D$202*($C120+Eqtn!$D$203+(Eqtn!$D$204*$D120))))))</f>
        <v>0</v>
      </c>
      <c r="P120" s="367">
        <f>IF(N120="na","na",IF(N120="TBD","TBD",IF($C120="na","na",((N120*Eqtn!$D$205)*($C120+Eqtn!$D$206)))))</f>
        <v>0</v>
      </c>
      <c r="R120" s="1062"/>
    </row>
    <row r="121" spans="1:18" ht="13.9" customHeight="1" x14ac:dyDescent="0.25">
      <c r="A121" s="847">
        <f>Chem!A121</f>
        <v>119</v>
      </c>
      <c r="B121" s="891" t="str">
        <f>Chem!B121</f>
        <v>Hexachlorobutadiene</v>
      </c>
      <c r="C121" s="423">
        <f>Param!F121</f>
        <v>0.84499999999999997</v>
      </c>
      <c r="D121" s="423">
        <f>Param!M121</f>
        <v>0.17802346040212969</v>
      </c>
      <c r="E121" s="461">
        <f>PW!O121</f>
        <v>0.56089743589743579</v>
      </c>
      <c r="F121" s="461">
        <f>IF(E121="na","na",IF($C121="na","na",(E121*Eqtn!$D$202*($C121+Eqtn!$D$203+(Eqtn!$D$204*$D121)))))</f>
        <v>1.1895834774536256E-2</v>
      </c>
      <c r="G121" s="461">
        <f>IF(E121="na","na",IF($C121="na","na",((E121*Eqtn!$D$205)*($C121+Eqtn!$D$206))))</f>
        <v>6.3474893162393151E-4</v>
      </c>
      <c r="H121" s="221">
        <f>SW!R121</f>
        <v>0.01</v>
      </c>
      <c r="I121" s="289">
        <f>IF(H121="na","na",IF($C121="na","na",(H121*Eqtn!$D$202*($C121+Eqtn!$D$203+(Eqtn!$D$204*$D121)))))</f>
        <v>2.1208573998030355E-4</v>
      </c>
      <c r="J121" s="289">
        <f>IF(H121="na","na",IF($C121="na","na",((H121*Eqtn!$D$205)*($C121+Eqtn!$D$206))))</f>
        <v>1.1316666666666666E-5</v>
      </c>
      <c r="K121" s="584">
        <f>Partit!E121</f>
        <v>0.66034571040132772</v>
      </c>
      <c r="L121" s="584">
        <f>IF(K121="na","na",IF(K121="TBD","TBD",IF($C121="na","na",(K121*Eqtn!$D$202*($C121+Eqtn!$D$203+(Eqtn!$D$204*$D121))))))</f>
        <v>1.4004990863328482E-2</v>
      </c>
      <c r="M121" s="584">
        <f>IF(K121="na","na",IF(K121="TBD","TBD",IF($C121="na","na",((K121*Eqtn!$D$205)*($C121+Eqtn!$D$206)))))</f>
        <v>7.472912289375025E-4</v>
      </c>
      <c r="N121" s="348"/>
      <c r="O121" s="348">
        <f>IF(N121="na","na",IF(N121="TBD","TBD",IF($C121="na","na",(N121*Eqtn!$D$202*($C121+Eqtn!$D$203+(Eqtn!$D$204*$D121))))))</f>
        <v>0</v>
      </c>
      <c r="P121" s="367">
        <f>IF(N121="na","na",IF(N121="TBD","TBD",IF($C121="na","na",((N121*Eqtn!$D$205)*($C121+Eqtn!$D$206)))))</f>
        <v>0</v>
      </c>
      <c r="R121" s="1062"/>
    </row>
    <row r="122" spans="1:18" ht="13.9" customHeight="1" x14ac:dyDescent="0.25">
      <c r="A122" s="847">
        <f>Chem!A122</f>
        <v>120</v>
      </c>
      <c r="B122" s="891" t="str">
        <f>Chem!B122</f>
        <v>Hexachlorocyclopentadiene</v>
      </c>
      <c r="C122" s="423">
        <f>Param!F122</f>
        <v>1.4000000000000001</v>
      </c>
      <c r="D122" s="423">
        <f>Param!M122</f>
        <v>2.168508612790597E-2</v>
      </c>
      <c r="E122" s="461">
        <f>PW!O122</f>
        <v>48</v>
      </c>
      <c r="F122" s="461">
        <f>IF(E122="na","na",IF($C122="na","na",(E122*Eqtn!$D$202*($C122+Eqtn!$D$203+(Eqtn!$D$204*$D122)))))</f>
        <v>1.5378041991658418</v>
      </c>
      <c r="G122" s="461">
        <f>IF(E122="na","na",IF($C122="na","na",((E122*Eqtn!$D$205)*($C122+Eqtn!$D$206))))</f>
        <v>8.0960000000000004E-2</v>
      </c>
      <c r="H122" s="221">
        <f>SW!R122</f>
        <v>1</v>
      </c>
      <c r="I122" s="289">
        <f>IF(H122="na","na",IF($C122="na","na",(H122*Eqtn!$D$202*($C122+Eqtn!$D$203+(Eqtn!$D$204*$D122)))))</f>
        <v>3.2037587482621706E-2</v>
      </c>
      <c r="J122" s="289">
        <f>IF(H122="na","na",IF($C122="na","na",((H122*Eqtn!$D$205)*($C122+Eqtn!$D$206))))</f>
        <v>1.6866666666666668E-3</v>
      </c>
      <c r="K122" s="584" t="str">
        <f>Partit!E122</f>
        <v>na</v>
      </c>
      <c r="L122" s="584" t="str">
        <f>IF(K122="na","na",IF(K122="TBD","TBD",IF($C122="na","na",(K122*Eqtn!$D$202*($C122+Eqtn!$D$203+(Eqtn!$D$204*$D122))))))</f>
        <v>na</v>
      </c>
      <c r="M122" s="584" t="str">
        <f>IF(K122="na","na",IF(K122="TBD","TBD",IF($C122="na","na",((K122*Eqtn!$D$205)*($C122+Eqtn!$D$206)))))</f>
        <v>na</v>
      </c>
      <c r="N122" s="348"/>
      <c r="O122" s="348">
        <f>IF(N122="na","na",IF(N122="TBD","TBD",IF($C122="na","na",(N122*Eqtn!$D$202*($C122+Eqtn!$D$203+(Eqtn!$D$204*$D122))))))</f>
        <v>0</v>
      </c>
      <c r="P122" s="367">
        <f>IF(N122="na","na",IF(N122="TBD","TBD",IF($C122="na","na",((N122*Eqtn!$D$205)*($C122+Eqtn!$D$206)))))</f>
        <v>0</v>
      </c>
      <c r="R122" s="1062"/>
    </row>
    <row r="123" spans="1:18" ht="13.9" customHeight="1" x14ac:dyDescent="0.25">
      <c r="A123" s="847">
        <f>Chem!A123</f>
        <v>121</v>
      </c>
      <c r="B123" s="891" t="str">
        <f>Chem!B123</f>
        <v>Hexachloroethane</v>
      </c>
      <c r="C123" s="423">
        <f>Param!F123</f>
        <v>0.19700000000000001</v>
      </c>
      <c r="D123" s="423">
        <f>Param!M123</f>
        <v>5.91E-2</v>
      </c>
      <c r="E123" s="461">
        <f>PW!O123</f>
        <v>1.0937499999999998</v>
      </c>
      <c r="F123" s="461">
        <f>IF(E123="na","na",IF($C123="na","na",(E123*Eqtn!$D$202*($C123+Eqtn!$D$203+(Eqtn!$D$204*$D123)))))</f>
        <v>8.7964187499999982E-3</v>
      </c>
      <c r="G123" s="461">
        <f>IF(E123="na","na",IF($C123="na","na",((E123*Eqtn!$D$205)*($C123+Eqtn!$D$206))))</f>
        <v>5.2901041666666667E-4</v>
      </c>
      <c r="H123" s="221">
        <f>SW!R123</f>
        <v>0.02</v>
      </c>
      <c r="I123" s="289">
        <f>IF(H123="na","na",IF($C123="na","na",(H123*Eqtn!$D$202*($C123+Eqtn!$D$203+(Eqtn!$D$204*$D123)))))</f>
        <v>1.6084880000000003E-4</v>
      </c>
      <c r="J123" s="289">
        <f>IF(H123="na","na",IF($C123="na","na",((H123*Eqtn!$D$205)*($C123+Eqtn!$D$206))))</f>
        <v>9.6733333333333345E-6</v>
      </c>
      <c r="K123" s="584" t="str">
        <f>Partit!E123</f>
        <v>na</v>
      </c>
      <c r="L123" s="584" t="str">
        <f>IF(K123="na","na",IF(K123="TBD","TBD",IF($C123="na","na",(K123*Eqtn!$D$202*($C123+Eqtn!$D$203+(Eqtn!$D$204*$D123))))))</f>
        <v>na</v>
      </c>
      <c r="M123" s="584" t="str">
        <f>IF(K123="na","na",IF(K123="TBD","TBD",IF($C123="na","na",((K123*Eqtn!$D$205)*($C123+Eqtn!$D$206)))))</f>
        <v>na</v>
      </c>
      <c r="N123" s="348"/>
      <c r="O123" s="348">
        <f>IF(N123="na","na",IF(N123="TBD","TBD",IF($C123="na","na",(N123*Eqtn!$D$202*($C123+Eqtn!$D$203+(Eqtn!$D$204*$D123))))))</f>
        <v>0</v>
      </c>
      <c r="P123" s="367">
        <f>IF(N123="na","na",IF(N123="TBD","TBD",IF($C123="na","na",((N123*Eqtn!$D$205)*($C123+Eqtn!$D$206)))))</f>
        <v>0</v>
      </c>
      <c r="R123" s="1062"/>
    </row>
    <row r="124" spans="1:18" ht="13.9" customHeight="1" x14ac:dyDescent="0.25">
      <c r="A124" s="847">
        <f>Chem!A124</f>
        <v>122</v>
      </c>
      <c r="B124" s="891" t="str">
        <f>Chem!B124</f>
        <v>Isophorone</v>
      </c>
      <c r="C124" s="423">
        <f>Param!F124</f>
        <v>6.5200000000000008E-2</v>
      </c>
      <c r="D124" s="423">
        <f>Param!M124</f>
        <v>1.1276765765128316E-4</v>
      </c>
      <c r="E124" s="461">
        <f>PW!O124</f>
        <v>92.105263157894711</v>
      </c>
      <c r="F124" s="461">
        <f>IF(E124="na","na",IF($C124="na","na",(E124*Eqtn!$D$202*($C124+Eqtn!$D$203+(Eqtn!$D$204*$D124)))))</f>
        <v>0.48854431904709861</v>
      </c>
      <c r="G124" s="461">
        <f>IF(E124="na","na",IF($C124="na","na",((E124*Eqtn!$D$205)*($C124+Eqtn!$D$206))))</f>
        <v>3.2408771929824554E-2</v>
      </c>
      <c r="H124" s="221">
        <f>SW!R124</f>
        <v>110</v>
      </c>
      <c r="I124" s="289">
        <f>IF(H124="na","na",IF($C124="na","na",(H124*Eqtn!$D$202*($C124+Eqtn!$D$203+(Eqtn!$D$204*$D124)))))</f>
        <v>0.58346150103339223</v>
      </c>
      <c r="J124" s="289">
        <f>IF(H124="na","na",IF($C124="na","na",((H124*Eqtn!$D$205)*($C124+Eqtn!$D$206))))</f>
        <v>3.8705333333333335E-2</v>
      </c>
      <c r="K124" s="584" t="str">
        <f>Partit!E124</f>
        <v>na</v>
      </c>
      <c r="L124" s="584" t="str">
        <f>IF(K124="na","na",IF(K124="TBD","TBD",IF($C124="na","na",(K124*Eqtn!$D$202*($C124+Eqtn!$D$203+(Eqtn!$D$204*$D124))))))</f>
        <v>na</v>
      </c>
      <c r="M124" s="584" t="str">
        <f>IF(K124="na","na",IF(K124="TBD","TBD",IF($C124="na","na",((K124*Eqtn!$D$205)*($C124+Eqtn!$D$206)))))</f>
        <v>na</v>
      </c>
      <c r="N124" s="348"/>
      <c r="O124" s="348">
        <f>IF(N124="na","na",IF(N124="TBD","TBD",IF($C124="na","na",(N124*Eqtn!$D$202*($C124+Eqtn!$D$203+(Eqtn!$D$204*$D124))))))</f>
        <v>0</v>
      </c>
      <c r="P124" s="367">
        <f>IF(N124="na","na",IF(N124="TBD","TBD",IF($C124="na","na",((N124*Eqtn!$D$205)*($C124+Eqtn!$D$206)))))</f>
        <v>0</v>
      </c>
      <c r="R124" s="1062"/>
    </row>
    <row r="125" spans="1:18" ht="13.9" customHeight="1" x14ac:dyDescent="0.25">
      <c r="A125" s="847">
        <f>Chem!A125</f>
        <v>123</v>
      </c>
      <c r="B125" s="891" t="str">
        <f>Chem!B125</f>
        <v>2-Methoxynaphthalene</v>
      </c>
      <c r="C125" s="423" t="str">
        <f>Param!F125</f>
        <v>na</v>
      </c>
      <c r="D125" s="423">
        <f>Param!M125</f>
        <v>0</v>
      </c>
      <c r="E125" s="461" t="str">
        <f>PW!O125</f>
        <v>na</v>
      </c>
      <c r="F125" s="461" t="str">
        <f>IF(E125="na","na",IF($C125="na","na",(E125*Eqtn!$D$202*($C125+Eqtn!$D$203+(Eqtn!$D$204*$D125)))))</f>
        <v>na</v>
      </c>
      <c r="G125" s="461" t="str">
        <f>IF(E125="na","na",IF($C125="na","na",((E125*Eqtn!$D$205)*($C125+Eqtn!$D$206))))</f>
        <v>na</v>
      </c>
      <c r="H125" s="221" t="str">
        <f>SW!R125</f>
        <v>na</v>
      </c>
      <c r="I125" s="289" t="str">
        <f>IF(H125="na","na",IF($C125="na","na",(H125*Eqtn!$D$202*($C125+Eqtn!$D$203+(Eqtn!$D$204*$D125)))))</f>
        <v>na</v>
      </c>
      <c r="J125" s="289" t="str">
        <f>IF(H125="na","na",IF($C125="na","na",((H125*Eqtn!$D$205)*($C125+Eqtn!$D$206))))</f>
        <v>na</v>
      </c>
      <c r="K125" s="584" t="str">
        <f>Partit!E125</f>
        <v>na</v>
      </c>
      <c r="L125" s="584" t="str">
        <f>IF(K125="na","na",IF(K125="TBD","TBD",IF($C125="na","na",(K125*Eqtn!$D$202*($C125+Eqtn!$D$203+(Eqtn!$D$204*$D125))))))</f>
        <v>na</v>
      </c>
      <c r="M125" s="584" t="str">
        <f>IF(K125="na","na",IF(K125="TBD","TBD",IF($C125="na","na",((K125*Eqtn!$D$205)*($C125+Eqtn!$D$206)))))</f>
        <v>na</v>
      </c>
      <c r="N125" s="348"/>
      <c r="O125" s="348" t="str">
        <f>IF(N125="na","na",IF(N125="TBD","TBD",IF($C125="na","na",(N125*Eqtn!$D$202*($C125+Eqtn!$D$203+(Eqtn!$D$204*$D125))))))</f>
        <v>na</v>
      </c>
      <c r="P125" s="367" t="str">
        <f>IF(N125="na","na",IF(N125="TBD","TBD",IF($C125="na","na",((N125*Eqtn!$D$205)*($C125+Eqtn!$D$206)))))</f>
        <v>na</v>
      </c>
      <c r="R125" s="1062"/>
    </row>
    <row r="126" spans="1:18" ht="13.9" customHeight="1" x14ac:dyDescent="0.25">
      <c r="A126" s="847">
        <f>Chem!A126</f>
        <v>124</v>
      </c>
      <c r="B126" s="891" t="str">
        <f>Chem!B126</f>
        <v>2-Methylphenol (o-cresol)</v>
      </c>
      <c r="C126" s="423">
        <f>Param!F126</f>
        <v>0.307</v>
      </c>
      <c r="D126" s="423">
        <f>Param!M126</f>
        <v>1.9828130714014083E-5</v>
      </c>
      <c r="E126" s="461">
        <f>PW!O126</f>
        <v>800</v>
      </c>
      <c r="F126" s="461">
        <f>IF(E126="na","na",IF($C126="na","na",(E126*Eqtn!$D$202*($C126+Eqtn!$D$203+(Eqtn!$D$204*$D126)))))</f>
        <v>8.1120274950079239</v>
      </c>
      <c r="G126" s="461">
        <f>IF(E126="na","na",IF($C126="na","na",((E126*Eqtn!$D$205)*($C126+Eqtn!$D$206))))</f>
        <v>0.47493333333333337</v>
      </c>
      <c r="H126" s="221" t="str">
        <f>SW!R126</f>
        <v>na</v>
      </c>
      <c r="I126" s="289" t="str">
        <f>IF(H126="na","na",IF($C126="na","na",(H126*Eqtn!$D$202*($C126+Eqtn!$D$203+(Eqtn!$D$204*$D126)))))</f>
        <v>na</v>
      </c>
      <c r="J126" s="289" t="str">
        <f>IF(H126="na","na",IF($C126="na","na",((H126*Eqtn!$D$205)*($C126+Eqtn!$D$206))))</f>
        <v>na</v>
      </c>
      <c r="K126" s="584">
        <f>Partit!E126</f>
        <v>9.7887780936103326</v>
      </c>
      <c r="L126" s="584">
        <f>IF(K126="na","na",IF(K126="TBD","TBD",IF($C126="na","na",(K126*Eqtn!$D$202*($C126+Eqtn!$D$203+(Eqtn!$D$204*$D126))))))</f>
        <v>9.9258546297372838E-2</v>
      </c>
      <c r="M126" s="584">
        <f>IF(K126="na","na",IF(K126="TBD","TBD",IF($C126="na","na",((K126*Eqtn!$D$205)*($C126+Eqtn!$D$206)))))</f>
        <v>5.811271261573334E-3</v>
      </c>
      <c r="N126" s="348"/>
      <c r="O126" s="348">
        <f>IF(N126="na","na",IF(N126="TBD","TBD",IF($C126="na","na",(N126*Eqtn!$D$202*($C126+Eqtn!$D$203+(Eqtn!$D$204*$D126))))))</f>
        <v>0</v>
      </c>
      <c r="P126" s="367">
        <f>IF(N126="na","na",IF(N126="TBD","TBD",IF($C126="na","na",((N126*Eqtn!$D$205)*($C126+Eqtn!$D$206)))))</f>
        <v>0</v>
      </c>
      <c r="R126" s="1062"/>
    </row>
    <row r="127" spans="1:18" ht="13.9" customHeight="1" x14ac:dyDescent="0.25">
      <c r="A127" s="847">
        <f>Chem!A127</f>
        <v>125</v>
      </c>
      <c r="B127" s="891" t="str">
        <f>Chem!B127</f>
        <v>3-Methylphenol (m-cresol)</v>
      </c>
      <c r="C127" s="423">
        <f>Param!F127</f>
        <v>0.3</v>
      </c>
      <c r="D127" s="423">
        <f>Param!M127</f>
        <v>1.3290337160199131E-5</v>
      </c>
      <c r="E127" s="461">
        <f>PW!O127</f>
        <v>800</v>
      </c>
      <c r="F127" s="461">
        <f>IF(E127="na","na",IF($C127="na","na",(E127*Eqtn!$D$202*($C127+Eqtn!$D$203+(Eqtn!$D$204*$D127)))))</f>
        <v>8.0000184292675289</v>
      </c>
      <c r="G127" s="461">
        <f>IF(E127="na","na",IF($C127="na","na",((E127*Eqtn!$D$205)*($C127+Eqtn!$D$206))))</f>
        <v>0.46933333333333338</v>
      </c>
      <c r="H127" s="221" t="str">
        <f>SW!R127</f>
        <v>na</v>
      </c>
      <c r="I127" s="289" t="str">
        <f>IF(H127="na","na",IF($C127="na","na",(H127*Eqtn!$D$202*($C127+Eqtn!$D$203+(Eqtn!$D$204*$D127)))))</f>
        <v>na</v>
      </c>
      <c r="J127" s="289" t="str">
        <f>IF(H127="na","na",IF($C127="na","na",((H127*Eqtn!$D$205)*($C127+Eqtn!$D$206))))</f>
        <v>na</v>
      </c>
      <c r="K127" s="584" t="str">
        <f>Partit!E127</f>
        <v>na</v>
      </c>
      <c r="L127" s="584" t="str">
        <f>IF(K127="na","na",IF(K127="TBD","TBD",IF($C127="na","na",(K127*Eqtn!$D$202*($C127+Eqtn!$D$203+(Eqtn!$D$204*$D127))))))</f>
        <v>na</v>
      </c>
      <c r="M127" s="584" t="str">
        <f>IF(K127="na","na",IF(K127="TBD","TBD",IF($C127="na","na",((K127*Eqtn!$D$205)*($C127+Eqtn!$D$206)))))</f>
        <v>na</v>
      </c>
      <c r="N127" s="348"/>
      <c r="O127" s="348">
        <f>IF(N127="na","na",IF(N127="TBD","TBD",IF($C127="na","na",(N127*Eqtn!$D$202*($C127+Eqtn!$D$203+(Eqtn!$D$204*$D127))))))</f>
        <v>0</v>
      </c>
      <c r="P127" s="367">
        <f>IF(N127="na","na",IF(N127="TBD","TBD",IF($C127="na","na",((N127*Eqtn!$D$205)*($C127+Eqtn!$D$206)))))</f>
        <v>0</v>
      </c>
      <c r="R127" s="1062"/>
    </row>
    <row r="128" spans="1:18" ht="13.9" customHeight="1" x14ac:dyDescent="0.25">
      <c r="A128" s="847">
        <f>Chem!A128</f>
        <v>126</v>
      </c>
      <c r="B128" s="891" t="str">
        <f>Chem!B128</f>
        <v>4-Methylphenol (p-cresol)</v>
      </c>
      <c r="C128" s="423">
        <f>Param!F128</f>
        <v>0.3</v>
      </c>
      <c r="D128" s="423">
        <f>Param!M128</f>
        <v>1.5498246638563197E-5</v>
      </c>
      <c r="E128" s="461">
        <f>PW!O128</f>
        <v>1600</v>
      </c>
      <c r="F128" s="461">
        <f>IF(E128="na","na",IF($C128="na","na",(E128*Eqtn!$D$202*($C128+Eqtn!$D$203+(Eqtn!$D$204*$D128)))))</f>
        <v>16.000042981804011</v>
      </c>
      <c r="G128" s="461">
        <f>IF(E128="na","na",IF($C128="na","na",((E128*Eqtn!$D$205)*($C128+Eqtn!$D$206))))</f>
        <v>0.93866666666666676</v>
      </c>
      <c r="H128" s="221" t="str">
        <f>SW!R128</f>
        <v>na</v>
      </c>
      <c r="I128" s="289" t="str">
        <f>IF(H128="na","na",IF($C128="na","na",(H128*Eqtn!$D$202*($C128+Eqtn!$D$203+(Eqtn!$D$204*$D128)))))</f>
        <v>na</v>
      </c>
      <c r="J128" s="289" t="str">
        <f>IF(H128="na","na",IF($C128="na","na",((H128*Eqtn!$D$205)*($C128+Eqtn!$D$206))))</f>
        <v>na</v>
      </c>
      <c r="K128" s="584">
        <f>Partit!E128</f>
        <v>106.29958002799813</v>
      </c>
      <c r="L128" s="584">
        <f>IF(K128="na","na",IF(K128="TBD","TBD",IF($C128="na","na",(K128*Eqtn!$D$202*($C128+Eqtn!$D$203+(Eqtn!$D$204*$D128))))))</f>
        <v>1.0629986558723032</v>
      </c>
      <c r="M128" s="584">
        <f>IF(K128="na","na",IF(K128="TBD","TBD",IF($C128="na","na",((K128*Eqtn!$D$205)*($C128+Eqtn!$D$206)))))</f>
        <v>6.2362420283092239E-2</v>
      </c>
      <c r="N128" s="348"/>
      <c r="O128" s="348">
        <f>IF(N128="na","na",IF(N128="TBD","TBD",IF($C128="na","na",(N128*Eqtn!$D$202*($C128+Eqtn!$D$203+(Eqtn!$D$204*$D128))))))</f>
        <v>0</v>
      </c>
      <c r="P128" s="367">
        <f>IF(N128="na","na",IF(N128="TBD","TBD",IF($C128="na","na",((N128*Eqtn!$D$205)*($C128+Eqtn!$D$206)))))</f>
        <v>0</v>
      </c>
      <c r="R128" s="1062"/>
    </row>
    <row r="129" spans="1:18" ht="13.9" customHeight="1" x14ac:dyDescent="0.25">
      <c r="A129" s="847">
        <f>Chem!A129</f>
        <v>127</v>
      </c>
      <c r="B129" s="891" t="str">
        <f>Chem!B129</f>
        <v>2-Nitroaniline</v>
      </c>
      <c r="C129" s="423">
        <f>Param!F129</f>
        <v>0.111</v>
      </c>
      <c r="D129" s="423">
        <f>Param!M129</f>
        <v>6.1024042964766576E-7</v>
      </c>
      <c r="E129" s="461">
        <f>PW!O129</f>
        <v>160</v>
      </c>
      <c r="F129" s="461">
        <f>IF(E129="na","na",IF($C129="na","na",(E129*Eqtn!$D$202*($C129+Eqtn!$D$203+(Eqtn!$D$204*$D129)))))</f>
        <v>0.99520016924001242</v>
      </c>
      <c r="G129" s="461">
        <f>IF(E129="na","na",IF($C129="na","na",((E129*Eqtn!$D$205)*($C129+Eqtn!$D$206))))</f>
        <v>6.3626666666666665E-2</v>
      </c>
      <c r="H129" s="221" t="str">
        <f>SW!R129</f>
        <v>na</v>
      </c>
      <c r="I129" s="289" t="str">
        <f>IF(H129="na","na",IF($C129="na","na",(H129*Eqtn!$D$202*($C129+Eqtn!$D$203+(Eqtn!$D$204*$D129)))))</f>
        <v>na</v>
      </c>
      <c r="J129" s="289" t="str">
        <f>IF(H129="na","na",IF($C129="na","na",((H129*Eqtn!$D$205)*($C129+Eqtn!$D$206))))</f>
        <v>na</v>
      </c>
      <c r="K129" s="584" t="str">
        <f>Partit!E129</f>
        <v>na</v>
      </c>
      <c r="L129" s="584" t="str">
        <f>IF(K129="na","na",IF(K129="TBD","TBD",IF($C129="na","na",(K129*Eqtn!$D$202*($C129+Eqtn!$D$203+(Eqtn!$D$204*$D129))))))</f>
        <v>na</v>
      </c>
      <c r="M129" s="584" t="str">
        <f>IF(K129="na","na",IF(K129="TBD","TBD",IF($C129="na","na",((K129*Eqtn!$D$205)*($C129+Eqtn!$D$206)))))</f>
        <v>na</v>
      </c>
      <c r="N129" s="348"/>
      <c r="O129" s="348">
        <f>IF(N129="na","na",IF(N129="TBD","TBD",IF($C129="na","na",(N129*Eqtn!$D$202*($C129+Eqtn!$D$203+(Eqtn!$D$204*$D129))))))</f>
        <v>0</v>
      </c>
      <c r="P129" s="367">
        <f>IF(N129="na","na",IF(N129="TBD","TBD",IF($C129="na","na",((N129*Eqtn!$D$205)*($C129+Eqtn!$D$206)))))</f>
        <v>0</v>
      </c>
      <c r="R129" s="1062"/>
    </row>
    <row r="130" spans="1:18" ht="13.9" customHeight="1" x14ac:dyDescent="0.25">
      <c r="A130" s="847">
        <f>Chem!A130</f>
        <v>128</v>
      </c>
      <c r="B130" s="891" t="str">
        <f>Chem!B130</f>
        <v>3-Nitroaniline</v>
      </c>
      <c r="C130" s="423" t="str">
        <f>Param!F130</f>
        <v>na</v>
      </c>
      <c r="D130" s="423">
        <f>Param!M130</f>
        <v>0</v>
      </c>
      <c r="E130" s="461" t="str">
        <f>PW!O130</f>
        <v>na</v>
      </c>
      <c r="F130" s="461" t="str">
        <f>IF(E130="na","na",IF($C130="na","na",(E130*Eqtn!$D$202*($C130+Eqtn!$D$203+(Eqtn!$D$204*$D130)))))</f>
        <v>na</v>
      </c>
      <c r="G130" s="461" t="str">
        <f>IF(E130="na","na",IF($C130="na","na",((E130*Eqtn!$D$205)*($C130+Eqtn!$D$206))))</f>
        <v>na</v>
      </c>
      <c r="H130" s="221" t="str">
        <f>SW!R130</f>
        <v>na</v>
      </c>
      <c r="I130" s="289" t="str">
        <f>IF(H130="na","na",IF($C130="na","na",(H130*Eqtn!$D$202*($C130+Eqtn!$D$203+(Eqtn!$D$204*$D130)))))</f>
        <v>na</v>
      </c>
      <c r="J130" s="289" t="str">
        <f>IF(H130="na","na",IF($C130="na","na",((H130*Eqtn!$D$205)*($C130+Eqtn!$D$206))))</f>
        <v>na</v>
      </c>
      <c r="K130" s="584" t="str">
        <f>Partit!E130</f>
        <v>na</v>
      </c>
      <c r="L130" s="584" t="str">
        <f>IF(K130="na","na",IF(K130="TBD","TBD",IF($C130="na","na",(K130*Eqtn!$D$202*($C130+Eqtn!$D$203+(Eqtn!$D$204*$D130))))))</f>
        <v>na</v>
      </c>
      <c r="M130" s="584" t="str">
        <f>IF(K130="na","na",IF(K130="TBD","TBD",IF($C130="na","na",((K130*Eqtn!$D$205)*($C130+Eqtn!$D$206)))))</f>
        <v>na</v>
      </c>
      <c r="N130" s="348"/>
      <c r="O130" s="348" t="str">
        <f>IF(N130="na","na",IF(N130="TBD","TBD",IF($C130="na","na",(N130*Eqtn!$D$202*($C130+Eqtn!$D$203+(Eqtn!$D$204*$D130))))))</f>
        <v>na</v>
      </c>
      <c r="P130" s="367" t="str">
        <f>IF(N130="na","na",IF(N130="TBD","TBD",IF($C130="na","na",((N130*Eqtn!$D$205)*($C130+Eqtn!$D$206)))))</f>
        <v>na</v>
      </c>
      <c r="R130" s="1062"/>
    </row>
    <row r="131" spans="1:18" ht="13.9" customHeight="1" x14ac:dyDescent="0.25">
      <c r="A131" s="847">
        <f>Chem!A131</f>
        <v>129</v>
      </c>
      <c r="B131" s="891" t="str">
        <f>Chem!B131</f>
        <v>4-Nitroaniline</v>
      </c>
      <c r="C131" s="423">
        <f>Param!F131</f>
        <v>0.10932</v>
      </c>
      <c r="D131" s="423">
        <f>Param!M131</f>
        <v>1.0788231855297398E-8</v>
      </c>
      <c r="E131" s="461">
        <f>PW!O131</f>
        <v>4.3749999999999991</v>
      </c>
      <c r="F131" s="461">
        <f>IF(E131="na","na",IF($C131="na","na",(E131*Eqtn!$D$202*($C131+Eqtn!$D$203+(Eqtn!$D$204*$D131)))))</f>
        <v>2.7065500081810752E-2</v>
      </c>
      <c r="G131" s="461">
        <f>IF(E131="na","na",IF($C131="na","na",((E131*Eqtn!$D$205)*($C131+Eqtn!$D$206))))</f>
        <v>1.7324416666666667E-3</v>
      </c>
      <c r="H131" s="221" t="str">
        <f>SW!R131</f>
        <v>na</v>
      </c>
      <c r="I131" s="289" t="str">
        <f>IF(H131="na","na",IF($C131="na","na",(H131*Eqtn!$D$202*($C131+Eqtn!$D$203+(Eqtn!$D$204*$D131)))))</f>
        <v>na</v>
      </c>
      <c r="J131" s="289" t="str">
        <f>IF(H131="na","na",IF($C131="na","na",((H131*Eqtn!$D$205)*($C131+Eqtn!$D$206))))</f>
        <v>na</v>
      </c>
      <c r="K131" s="584" t="str">
        <f>Partit!E131</f>
        <v>na</v>
      </c>
      <c r="L131" s="584" t="str">
        <f>IF(K131="na","na",IF(K131="TBD","TBD",IF($C131="na","na",(K131*Eqtn!$D$202*($C131+Eqtn!$D$203+(Eqtn!$D$204*$D131))))))</f>
        <v>na</v>
      </c>
      <c r="M131" s="584" t="str">
        <f>IF(K131="na","na",IF(K131="TBD","TBD",IF($C131="na","na",((K131*Eqtn!$D$205)*($C131+Eqtn!$D$206)))))</f>
        <v>na</v>
      </c>
      <c r="N131" s="348"/>
      <c r="O131" s="348">
        <f>IF(N131="na","na",IF(N131="TBD","TBD",IF($C131="na","na",(N131*Eqtn!$D$202*($C131+Eqtn!$D$203+(Eqtn!$D$204*$D131))))))</f>
        <v>0</v>
      </c>
      <c r="P131" s="367">
        <f>IF(N131="na","na",IF(N131="TBD","TBD",IF($C131="na","na",((N131*Eqtn!$D$205)*($C131+Eqtn!$D$206)))))</f>
        <v>0</v>
      </c>
      <c r="R131" s="1062"/>
    </row>
    <row r="132" spans="1:18" ht="13.9" customHeight="1" x14ac:dyDescent="0.25">
      <c r="A132" s="847">
        <f>Chem!A132</f>
        <v>130</v>
      </c>
      <c r="B132" s="891" t="str">
        <f>Chem!B132</f>
        <v>Nitrobenzene</v>
      </c>
      <c r="C132" s="423">
        <f>Param!F132</f>
        <v>0.11900000000000001</v>
      </c>
      <c r="D132" s="423">
        <f>Param!M132</f>
        <v>3.9730054605151852E-4</v>
      </c>
      <c r="E132" s="461">
        <f>PW!O132</f>
        <v>16</v>
      </c>
      <c r="F132" s="461">
        <f>IF(E132="na","na",IF($C132="na","na",(E132*Eqtn!$D$202*($C132+Eqtn!$D$203+(Eqtn!$D$204*$D132)))))</f>
        <v>0.10209101846847717</v>
      </c>
      <c r="G132" s="461">
        <f>IF(E132="na","na",IF($C132="na","na",((E132*Eqtn!$D$205)*($C132+Eqtn!$D$206))))</f>
        <v>6.4906666666666672E-3</v>
      </c>
      <c r="H132" s="221">
        <f>SW!R132</f>
        <v>100</v>
      </c>
      <c r="I132" s="289">
        <f>IF(H132="na","na",IF($C132="na","na",(H132*Eqtn!$D$202*($C132+Eqtn!$D$203+(Eqtn!$D$204*$D132)))))</f>
        <v>0.63806886542798225</v>
      </c>
      <c r="J132" s="289">
        <f>IF(H132="na","na",IF($C132="na","na",((H132*Eqtn!$D$205)*($C132+Eqtn!$D$206))))</f>
        <v>4.0566666666666668E-2</v>
      </c>
      <c r="K132" s="584" t="str">
        <f>Partit!E132</f>
        <v>na</v>
      </c>
      <c r="L132" s="584" t="str">
        <f>IF(K132="na","na",IF(K132="TBD","TBD",IF($C132="na","na",(K132*Eqtn!$D$202*($C132+Eqtn!$D$203+(Eqtn!$D$204*$D132))))))</f>
        <v>na</v>
      </c>
      <c r="M132" s="584" t="str">
        <f>IF(K132="na","na",IF(K132="TBD","TBD",IF($C132="na","na",((K132*Eqtn!$D$205)*($C132+Eqtn!$D$206)))))</f>
        <v>na</v>
      </c>
      <c r="N132" s="348"/>
      <c r="O132" s="348">
        <f>IF(N132="na","na",IF(N132="TBD","TBD",IF($C132="na","na",(N132*Eqtn!$D$202*($C132+Eqtn!$D$203+(Eqtn!$D$204*$D132))))))</f>
        <v>0</v>
      </c>
      <c r="P132" s="367">
        <f>IF(N132="na","na",IF(N132="TBD","TBD",IF($C132="na","na",((N132*Eqtn!$D$205)*($C132+Eqtn!$D$206)))))</f>
        <v>0</v>
      </c>
      <c r="R132" s="1062"/>
    </row>
    <row r="133" spans="1:18" ht="13.9" customHeight="1" x14ac:dyDescent="0.25">
      <c r="A133" s="847">
        <f>Chem!A133</f>
        <v>131</v>
      </c>
      <c r="B133" s="891" t="str">
        <f>Chem!B133</f>
        <v>2-Nitrophenol</v>
      </c>
      <c r="C133" s="423" t="str">
        <f>Param!F133</f>
        <v>na</v>
      </c>
      <c r="D133" s="423">
        <f>Param!M133</f>
        <v>0</v>
      </c>
      <c r="E133" s="461" t="str">
        <f>PW!O133</f>
        <v>na</v>
      </c>
      <c r="F133" s="461" t="str">
        <f>IF(E133="na","na",IF($C133="na","na",(E133*Eqtn!$D$202*($C133+Eqtn!$D$203+(Eqtn!$D$204*$D133)))))</f>
        <v>na</v>
      </c>
      <c r="G133" s="461" t="str">
        <f>IF(E133="na","na",IF($C133="na","na",((E133*Eqtn!$D$205)*($C133+Eqtn!$D$206))))</f>
        <v>na</v>
      </c>
      <c r="H133" s="221" t="str">
        <f>SW!R133</f>
        <v>na</v>
      </c>
      <c r="I133" s="289" t="str">
        <f>IF(H133="na","na",IF($C133="na","na",(H133*Eqtn!$D$202*($C133+Eqtn!$D$203+(Eqtn!$D$204*$D133)))))</f>
        <v>na</v>
      </c>
      <c r="J133" s="289" t="str">
        <f>IF(H133="na","na",IF($C133="na","na",((H133*Eqtn!$D$205)*($C133+Eqtn!$D$206))))</f>
        <v>na</v>
      </c>
      <c r="K133" s="584" t="str">
        <f>Partit!E133</f>
        <v>na</v>
      </c>
      <c r="L133" s="584" t="str">
        <f>IF(K133="na","na",IF(K133="TBD","TBD",IF($C133="na","na",(K133*Eqtn!$D$202*($C133+Eqtn!$D$203+(Eqtn!$D$204*$D133))))))</f>
        <v>na</v>
      </c>
      <c r="M133" s="584" t="str">
        <f>IF(K133="na","na",IF(K133="TBD","TBD",IF($C133="na","na",((K133*Eqtn!$D$205)*($C133+Eqtn!$D$206)))))</f>
        <v>na</v>
      </c>
      <c r="N133" s="348"/>
      <c r="O133" s="348" t="str">
        <f>IF(N133="na","na",IF(N133="TBD","TBD",IF($C133="na","na",(N133*Eqtn!$D$202*($C133+Eqtn!$D$203+(Eqtn!$D$204*$D133))))))</f>
        <v>na</v>
      </c>
      <c r="P133" s="367" t="str">
        <f>IF(N133="na","na",IF(N133="TBD","TBD",IF($C133="na","na",((N133*Eqtn!$D$205)*($C133+Eqtn!$D$206)))))</f>
        <v>na</v>
      </c>
      <c r="R133" s="1062"/>
    </row>
    <row r="134" spans="1:18" ht="13.9" customHeight="1" x14ac:dyDescent="0.25">
      <c r="A134" s="847">
        <f>Chem!A134</f>
        <v>132</v>
      </c>
      <c r="B134" s="891" t="str">
        <f>Chem!B134</f>
        <v>4-Nitrophenol</v>
      </c>
      <c r="C134" s="423" t="str">
        <f>Param!F134</f>
        <v>na</v>
      </c>
      <c r="D134" s="423">
        <f>Param!M134</f>
        <v>0</v>
      </c>
      <c r="E134" s="461" t="str">
        <f>PW!O134</f>
        <v>na</v>
      </c>
      <c r="F134" s="461" t="str">
        <f>IF(E134="na","na",IF($C134="na","na",(E134*Eqtn!$D$202*($C134+Eqtn!$D$203+(Eqtn!$D$204*$D134)))))</f>
        <v>na</v>
      </c>
      <c r="G134" s="461" t="str">
        <f>IF(E134="na","na",IF($C134="na","na",((E134*Eqtn!$D$205)*($C134+Eqtn!$D$206))))</f>
        <v>na</v>
      </c>
      <c r="H134" s="221" t="str">
        <f>SW!R134</f>
        <v>na</v>
      </c>
      <c r="I134" s="289" t="str">
        <f>IF(H134="na","na",IF($C134="na","na",(H134*Eqtn!$D$202*($C134+Eqtn!$D$203+(Eqtn!$D$204*$D134)))))</f>
        <v>na</v>
      </c>
      <c r="J134" s="289" t="str">
        <f>IF(H134="na","na",IF($C134="na","na",((H134*Eqtn!$D$205)*($C134+Eqtn!$D$206))))</f>
        <v>na</v>
      </c>
      <c r="K134" s="584" t="str">
        <f>Partit!E134</f>
        <v>na</v>
      </c>
      <c r="L134" s="584" t="str">
        <f>IF(K134="na","na",IF(K134="TBD","TBD",IF($C134="na","na",(K134*Eqtn!$D$202*($C134+Eqtn!$D$203+(Eqtn!$D$204*$D134))))))</f>
        <v>na</v>
      </c>
      <c r="M134" s="584" t="str">
        <f>IF(K134="na","na",IF(K134="TBD","TBD",IF($C134="na","na",((K134*Eqtn!$D$205)*($C134+Eqtn!$D$206)))))</f>
        <v>na</v>
      </c>
      <c r="N134" s="348"/>
      <c r="O134" s="348" t="str">
        <f>IF(N134="na","na",IF(N134="TBD","TBD",IF($C134="na","na",(N134*Eqtn!$D$202*($C134+Eqtn!$D$203+(Eqtn!$D$204*$D134))))))</f>
        <v>na</v>
      </c>
      <c r="P134" s="367" t="str">
        <f>IF(N134="na","na",IF(N134="TBD","TBD",IF($C134="na","na",((N134*Eqtn!$D$205)*($C134+Eqtn!$D$206)))))</f>
        <v>na</v>
      </c>
      <c r="R134" s="1062"/>
    </row>
    <row r="135" spans="1:18" ht="13.9" customHeight="1" x14ac:dyDescent="0.25">
      <c r="A135" s="847">
        <f>Chem!A135</f>
        <v>133</v>
      </c>
      <c r="B135" s="891" t="str">
        <f>Chem!B135</f>
        <v>n-Nitrosodimethylamine</v>
      </c>
      <c r="C135" s="423">
        <f>Param!F135</f>
        <v>2.2800000000000001E-2</v>
      </c>
      <c r="D135" s="423">
        <f>Param!M135</f>
        <v>3.65062517009509E-5</v>
      </c>
      <c r="E135" s="461">
        <f>PW!O135</f>
        <v>2.3000000000000001E-4</v>
      </c>
      <c r="F135" s="461">
        <f>IF(E135="na","na",IF($C135="na","na",(E135*Eqtn!$D$202*($C135+Eqtn!$D$203+(Eqtn!$D$204*$D135)))))</f>
        <v>1.0248945538256781E-6</v>
      </c>
      <c r="G135" s="461">
        <f>IF(E135="na","na",IF($C135="na","na",((E135*Eqtn!$D$205)*($C135+Eqtn!$D$206))))</f>
        <v>7.1177333333333345E-8</v>
      </c>
      <c r="H135" s="221">
        <f>SW!R135</f>
        <v>0.34</v>
      </c>
      <c r="I135" s="289">
        <f>IF(H135="na","na",IF($C135="na","na",(H135*Eqtn!$D$202*($C135+Eqtn!$D$203+(Eqtn!$D$204*$D135)))))</f>
        <v>1.5150615143510026E-3</v>
      </c>
      <c r="J135" s="289">
        <f>IF(H135="na","na",IF($C135="na","na",((H135*Eqtn!$D$205)*($C135+Eqtn!$D$206))))</f>
        <v>1.0521866666666668E-4</v>
      </c>
      <c r="K135" s="584" t="str">
        <f>Partit!E135</f>
        <v>na</v>
      </c>
      <c r="L135" s="584" t="str">
        <f>IF(K135="na","na",IF(K135="TBD","TBD",IF($C135="na","na",(K135*Eqtn!$D$202*($C135+Eqtn!$D$203+(Eqtn!$D$204*$D135))))))</f>
        <v>na</v>
      </c>
      <c r="M135" s="584" t="str">
        <f>IF(K135="na","na",IF(K135="TBD","TBD",IF($C135="na","na",((K135*Eqtn!$D$205)*($C135+Eqtn!$D$206)))))</f>
        <v>na</v>
      </c>
      <c r="N135" s="348"/>
      <c r="O135" s="348">
        <f>IF(N135="na","na",IF(N135="TBD","TBD",IF($C135="na","na",(N135*Eqtn!$D$202*($C135+Eqtn!$D$203+(Eqtn!$D$204*$D135))))))</f>
        <v>0</v>
      </c>
      <c r="P135" s="367">
        <f>IF(N135="na","na",IF(N135="TBD","TBD",IF($C135="na","na",((N135*Eqtn!$D$205)*($C135+Eqtn!$D$206)))))</f>
        <v>0</v>
      </c>
      <c r="R135" s="1062"/>
    </row>
    <row r="136" spans="1:18" ht="13.9" customHeight="1" x14ac:dyDescent="0.25">
      <c r="A136" s="847">
        <f>Chem!A136</f>
        <v>134</v>
      </c>
      <c r="B136" s="891" t="str">
        <f>Chem!B136</f>
        <v>n-Nitrosodiphenylamine</v>
      </c>
      <c r="C136" s="423">
        <f>Param!F136</f>
        <v>2.63</v>
      </c>
      <c r="D136" s="423">
        <f>Param!M136</f>
        <v>4.9468520032706501E-5</v>
      </c>
      <c r="E136" s="461">
        <f>PW!O136</f>
        <v>17.857142857142854</v>
      </c>
      <c r="F136" s="461">
        <f>IF(E136="na","na",IF($C136="na","na",(E136*Eqtn!$D$202*($C136+Eqtn!$D$203+(Eqtn!$D$204*$D136)))))</f>
        <v>1.0107158168827628</v>
      </c>
      <c r="G136" s="461">
        <f>IF(E136="na","na",IF($C136="na","na",((E136*Eqtn!$D$205)*($C136+Eqtn!$D$206))))</f>
        <v>5.2083333333333329E-2</v>
      </c>
      <c r="H136" s="221">
        <f>SW!R136</f>
        <v>0.69</v>
      </c>
      <c r="I136" s="289">
        <f>IF(H136="na","na",IF($C136="na","na",(H136*Eqtn!$D$202*($C136+Eqtn!$D$203+(Eqtn!$D$204*$D136)))))</f>
        <v>3.9054059164349959E-2</v>
      </c>
      <c r="J136" s="289">
        <f>IF(H136="na","na",IF($C136="na","na",((H136*Eqtn!$D$205)*($C136+Eqtn!$D$206))))</f>
        <v>2.0125E-3</v>
      </c>
      <c r="K136" s="584">
        <f>Partit!E136</f>
        <v>0.55365575639146725</v>
      </c>
      <c r="L136" s="584">
        <f>IF(K136="na","na",IF(K136="TBD","TBD",IF($C136="na","na",(K136*Eqtn!$D$202*($C136+Eqtn!$D$203+(Eqtn!$D$204*$D136))))))</f>
        <v>3.1336963285210573E-2</v>
      </c>
      <c r="M136" s="584">
        <f>IF(K136="na","na",IF(K136="TBD","TBD",IF($C136="na","na",((K136*Eqtn!$D$205)*($C136+Eqtn!$D$206)))))</f>
        <v>1.6148292894751129E-3</v>
      </c>
      <c r="N136" s="348"/>
      <c r="O136" s="348">
        <f>IF(N136="na","na",IF(N136="TBD","TBD",IF($C136="na","na",(N136*Eqtn!$D$202*($C136+Eqtn!$D$203+(Eqtn!$D$204*$D136))))))</f>
        <v>0</v>
      </c>
      <c r="P136" s="367">
        <f>IF(N136="na","na",IF(N136="TBD","TBD",IF($C136="na","na",((N136*Eqtn!$D$205)*($C136+Eqtn!$D$206)))))</f>
        <v>0</v>
      </c>
      <c r="R136" s="1062"/>
    </row>
    <row r="137" spans="1:18" ht="13.9" customHeight="1" x14ac:dyDescent="0.25">
      <c r="A137" s="847">
        <f>Chem!A137</f>
        <v>135</v>
      </c>
      <c r="B137" s="891" t="str">
        <f>Chem!B137</f>
        <v>n-Nitrosodi-n-propylamine</v>
      </c>
      <c r="C137" s="423">
        <f>Param!F137</f>
        <v>0.27500000000000002</v>
      </c>
      <c r="D137" s="423">
        <f>Param!M137</f>
        <v>2.19950940310711E-4</v>
      </c>
      <c r="E137" s="461">
        <f>PW!O137</f>
        <v>1.2499999999999997E-2</v>
      </c>
      <c r="F137" s="461">
        <f>IF(E137="na","na",IF($C137="na","na",(E137*Eqtn!$D$202*($C137+Eqtn!$D$203+(Eqtn!$D$204*$D137)))))</f>
        <v>1.187547656037067E-4</v>
      </c>
      <c r="G137" s="461">
        <f>IF(E137="na","na",IF($C137="na","na",((E137*Eqtn!$D$205)*($C137+Eqtn!$D$206))))</f>
        <v>7.0208333333333332E-6</v>
      </c>
      <c r="H137" s="221">
        <f>SW!R137</f>
        <v>5.8000000000000003E-2</v>
      </c>
      <c r="I137" s="289">
        <f>IF(H137="na","na",IF($C137="na","na",(H137*Eqtn!$D$202*($C137+Eqtn!$D$203+(Eqtn!$D$204*$D137)))))</f>
        <v>5.5102211240119921E-4</v>
      </c>
      <c r="J137" s="289">
        <f>IF(H137="na","na",IF($C137="na","na",((H137*Eqtn!$D$205)*($C137+Eqtn!$D$206))))</f>
        <v>3.2576666666666676E-5</v>
      </c>
      <c r="K137" s="584" t="str">
        <f>Partit!E137</f>
        <v>na</v>
      </c>
      <c r="L137" s="584" t="str">
        <f>IF(K137="na","na",IF(K137="TBD","TBD",IF($C137="na","na",(K137*Eqtn!$D$202*($C137+Eqtn!$D$203+(Eqtn!$D$204*$D137))))))</f>
        <v>na</v>
      </c>
      <c r="M137" s="584" t="str">
        <f>IF(K137="na","na",IF(K137="TBD","TBD",IF($C137="na","na",((K137*Eqtn!$D$205)*($C137+Eqtn!$D$206)))))</f>
        <v>na</v>
      </c>
      <c r="N137" s="348"/>
      <c r="O137" s="348">
        <f>IF(N137="na","na",IF(N137="TBD","TBD",IF($C137="na","na",(N137*Eqtn!$D$202*($C137+Eqtn!$D$203+(Eqtn!$D$204*$D137))))))</f>
        <v>0</v>
      </c>
      <c r="P137" s="367">
        <f>IF(N137="na","na",IF(N137="TBD","TBD",IF($C137="na","na",((N137*Eqtn!$D$205)*($C137+Eqtn!$D$206)))))</f>
        <v>0</v>
      </c>
      <c r="R137" s="1062"/>
    </row>
    <row r="138" spans="1:18" ht="13.9" customHeight="1" x14ac:dyDescent="0.25">
      <c r="A138" s="847">
        <f>Chem!A138</f>
        <v>136</v>
      </c>
      <c r="B138" s="891" t="str">
        <f>Chem!B138</f>
        <v>Pentachlorophenol</v>
      </c>
      <c r="C138" s="423">
        <f>Param!F138</f>
        <v>0.59199999999999997</v>
      </c>
      <c r="D138" s="423">
        <f>Param!M138</f>
        <v>1.0016353229762901E-6</v>
      </c>
      <c r="E138" s="461">
        <f>PW!O138</f>
        <v>1</v>
      </c>
      <c r="F138" s="461">
        <f>IF(E138="na","na",IF($C138="na","na",(E138*Eqtn!$D$202*($C138+Eqtn!$D$203+(Eqtn!$D$204*$D138)))))</f>
        <v>1.5840001736167893E-2</v>
      </c>
      <c r="G138" s="461">
        <f>IF(E138="na","na",IF($C138="na","na",((E138*Eqtn!$D$205)*($C138+Eqtn!$D$206))))</f>
        <v>8.786666666666667E-4</v>
      </c>
      <c r="H138" s="221">
        <f>SW!R138</f>
        <v>2E-3</v>
      </c>
      <c r="I138" s="289">
        <f>IF(H138="na","na",IF($C138="na","na",(H138*Eqtn!$D$202*($C138+Eqtn!$D$203+(Eqtn!$D$204*$D138)))))</f>
        <v>3.168000347233579E-5</v>
      </c>
      <c r="J138" s="289">
        <f>IF(H138="na","na",IF($C138="na","na",((H138*Eqtn!$D$205)*($C138+Eqtn!$D$206))))</f>
        <v>1.7573333333333333E-6</v>
      </c>
      <c r="K138" s="584">
        <f>Partit!E138</f>
        <v>42.297448836557336</v>
      </c>
      <c r="L138" s="584">
        <f>IF(K138="na","na",IF(K138="TBD","TBD",IF($C138="na","na",(K138*Eqtn!$D$202*($C138+Eqtn!$D$203+(Eqtn!$D$204*$D138))))))</f>
        <v>0.66999166300654089</v>
      </c>
      <c r="M138" s="584">
        <f>IF(K138="na","na",IF(K138="TBD","TBD",IF($C138="na","na",((K138*Eqtn!$D$205)*($C138+Eqtn!$D$206)))))</f>
        <v>3.7165358377721718E-2</v>
      </c>
      <c r="N138" s="348"/>
      <c r="O138" s="348">
        <f>IF(N138="na","na",IF(N138="TBD","TBD",IF($C138="na","na",(N138*Eqtn!$D$202*($C138+Eqtn!$D$203+(Eqtn!$D$204*$D138))))))</f>
        <v>0</v>
      </c>
      <c r="P138" s="367">
        <f>IF(N138="na","na",IF(N138="TBD","TBD",IF($C138="na","na",((N138*Eqtn!$D$205)*($C138+Eqtn!$D$206)))))</f>
        <v>0</v>
      </c>
      <c r="R138" s="1062"/>
    </row>
    <row r="139" spans="1:18" ht="13.9" customHeight="1" x14ac:dyDescent="0.25">
      <c r="A139" s="847">
        <f>Chem!A139</f>
        <v>137</v>
      </c>
      <c r="B139" s="891" t="str">
        <f>Chem!B139</f>
        <v>Phenol</v>
      </c>
      <c r="C139" s="423">
        <f>Param!F139</f>
        <v>0.187</v>
      </c>
      <c r="D139" s="423">
        <f>Param!M139</f>
        <v>5.5304841955272155E-6</v>
      </c>
      <c r="E139" s="461">
        <f>PW!O139</f>
        <v>4800</v>
      </c>
      <c r="F139" s="461">
        <f>IF(E139="na","na",IF($C139="na","na",(E139*Eqtn!$D$202*($C139+Eqtn!$D$203+(Eqtn!$D$204*$D139)))))</f>
        <v>37.152046013628507</v>
      </c>
      <c r="G139" s="461">
        <f>IF(E139="na","na",IF($C139="na","na",((E139*Eqtn!$D$205)*($C139+Eqtn!$D$206))))</f>
        <v>2.2736000000000001</v>
      </c>
      <c r="H139" s="221">
        <f>SW!R139</f>
        <v>70000</v>
      </c>
      <c r="I139" s="289">
        <f>IF(H139="na","na",IF($C139="na","na",(H139*Eqtn!$D$202*($C139+Eqtn!$D$203+(Eqtn!$D$204*$D139)))))</f>
        <v>541.80067103208239</v>
      </c>
      <c r="J139" s="289">
        <f>IF(H139="na","na",IF($C139="na","na",((H139*Eqtn!$D$205)*($C139+Eqtn!$D$206))))</f>
        <v>33.156666666666666</v>
      </c>
      <c r="K139" s="584">
        <f>Partit!E139</f>
        <v>101.06014069156842</v>
      </c>
      <c r="L139" s="584">
        <f>IF(K139="na","na",IF(K139="TBD","TBD",IF($C139="na","na",(K139*Eqtn!$D$202*($C139+Eqtn!$D$203+(Eqtn!$D$204*$D139))))))</f>
        <v>0.78220645773269171</v>
      </c>
      <c r="M139" s="584">
        <f>IF(K139="na","na",IF(K139="TBD","TBD",IF($C139="na","na",((K139*Eqtn!$D$205)*($C139+Eqtn!$D$206)))))</f>
        <v>4.7868819974239578E-2</v>
      </c>
      <c r="N139" s="348"/>
      <c r="O139" s="348">
        <f>IF(N139="na","na",IF(N139="TBD","TBD",IF($C139="na","na",(N139*Eqtn!$D$202*($C139+Eqtn!$D$203+(Eqtn!$D$204*$D139))))))</f>
        <v>0</v>
      </c>
      <c r="P139" s="367">
        <f>IF(N139="na","na",IF(N139="TBD","TBD",IF($C139="na","na",((N139*Eqtn!$D$205)*($C139+Eqtn!$D$206)))))</f>
        <v>0</v>
      </c>
      <c r="R139" s="1062"/>
    </row>
    <row r="140" spans="1:18" ht="13.9" customHeight="1" x14ac:dyDescent="0.25">
      <c r="A140" s="847">
        <f>Chem!A140</f>
        <v>138</v>
      </c>
      <c r="B140" s="891" t="str">
        <f>Chem!B140</f>
        <v>Pyridine</v>
      </c>
      <c r="C140" s="423">
        <f>Param!F140</f>
        <v>7.17E-2</v>
      </c>
      <c r="D140" s="423">
        <f>Param!M140</f>
        <v>2.3857993230191337E-4</v>
      </c>
      <c r="E140" s="461">
        <f>PW!O140</f>
        <v>8</v>
      </c>
      <c r="F140" s="461">
        <f>IF(E140="na","na",IF($C140="na","na",(E140*Eqtn!$D$202*($C140+Eqtn!$D$203+(Eqtn!$D$204*$D140)))))</f>
        <v>4.3475308308394585E-2</v>
      </c>
      <c r="G140" s="461">
        <f>IF(E140="na","na",IF($C140="na","na",((E140*Eqtn!$D$205)*($C140+Eqtn!$D$206))))</f>
        <v>2.8669333333333335E-3</v>
      </c>
      <c r="H140" s="221" t="str">
        <f>SW!R140</f>
        <v>na</v>
      </c>
      <c r="I140" s="289" t="str">
        <f>IF(H140="na","na",IF($C140="na","na",(H140*Eqtn!$D$202*($C140+Eqtn!$D$203+(Eqtn!$D$204*$D140)))))</f>
        <v>na</v>
      </c>
      <c r="J140" s="289" t="str">
        <f>IF(H140="na","na",IF($C140="na","na",((H140*Eqtn!$D$205)*($C140+Eqtn!$D$206))))</f>
        <v>na</v>
      </c>
      <c r="K140" s="584" t="str">
        <f>Partit!E140</f>
        <v>na</v>
      </c>
      <c r="L140" s="584" t="str">
        <f>IF(K140="na","na",IF(K140="TBD","TBD",IF($C140="na","na",(K140*Eqtn!$D$202*($C140+Eqtn!$D$203+(Eqtn!$D$204*$D140))))))</f>
        <v>na</v>
      </c>
      <c r="M140" s="584" t="str">
        <f>IF(K140="na","na",IF(K140="TBD","TBD",IF($C140="na","na",((K140*Eqtn!$D$205)*($C140+Eqtn!$D$206)))))</f>
        <v>na</v>
      </c>
      <c r="N140" s="348"/>
      <c r="O140" s="348">
        <f>IF(N140="na","na",IF(N140="TBD","TBD",IF($C140="na","na",(N140*Eqtn!$D$202*($C140+Eqtn!$D$203+(Eqtn!$D$204*$D140))))))</f>
        <v>0</v>
      </c>
      <c r="P140" s="367">
        <f>IF(N140="na","na",IF(N140="TBD","TBD",IF($C140="na","na",((N140*Eqtn!$D$205)*($C140+Eqtn!$D$206)))))</f>
        <v>0</v>
      </c>
      <c r="R140" s="1062"/>
    </row>
    <row r="141" spans="1:18" ht="13.9" customHeight="1" x14ac:dyDescent="0.25">
      <c r="A141" s="847">
        <f>Chem!A141</f>
        <v>139</v>
      </c>
      <c r="B141" s="891" t="str">
        <f>Chem!B141</f>
        <v>2,3,4,5-Tetrachlorophenol</v>
      </c>
      <c r="C141" s="423" t="str">
        <f>Param!F141</f>
        <v>na</v>
      </c>
      <c r="D141" s="423">
        <f>Param!M141</f>
        <v>0</v>
      </c>
      <c r="E141" s="461" t="str">
        <f>PW!O141</f>
        <v>na</v>
      </c>
      <c r="F141" s="461" t="str">
        <f>IF(E141="na","na",IF($C141="na","na",(E141*Eqtn!$D$202*($C141+Eqtn!$D$203+(Eqtn!$D$204*$D141)))))</f>
        <v>na</v>
      </c>
      <c r="G141" s="461" t="str">
        <f>IF(E141="na","na",IF($C141="na","na",((E141*Eqtn!$D$205)*($C141+Eqtn!$D$206))))</f>
        <v>na</v>
      </c>
      <c r="H141" s="221" t="str">
        <f>SW!R141</f>
        <v>na</v>
      </c>
      <c r="I141" s="289" t="str">
        <f>IF(H141="na","na",IF($C141="na","na",(H141*Eqtn!$D$202*($C141+Eqtn!$D$203+(Eqtn!$D$204*$D141)))))</f>
        <v>na</v>
      </c>
      <c r="J141" s="289" t="str">
        <f>IF(H141="na","na",IF($C141="na","na",((H141*Eqtn!$D$205)*($C141+Eqtn!$D$206))))</f>
        <v>na</v>
      </c>
      <c r="K141" s="584" t="str">
        <f>Partit!E141</f>
        <v>na</v>
      </c>
      <c r="L141" s="584" t="str">
        <f>IF(K141="na","na",IF(K141="TBD","TBD",IF($C141="na","na",(K141*Eqtn!$D$202*($C141+Eqtn!$D$203+(Eqtn!$D$204*$D141))))))</f>
        <v>na</v>
      </c>
      <c r="M141" s="584" t="str">
        <f>IF(K141="na","na",IF(K141="TBD","TBD",IF($C141="na","na",((K141*Eqtn!$D$205)*($C141+Eqtn!$D$206)))))</f>
        <v>na</v>
      </c>
      <c r="N141" s="348"/>
      <c r="O141" s="348" t="str">
        <f>IF(N141="na","na",IF(N141="TBD","TBD",IF($C141="na","na",(N141*Eqtn!$D$202*($C141+Eqtn!$D$203+(Eqtn!$D$204*$D141))))))</f>
        <v>na</v>
      </c>
      <c r="P141" s="367" t="str">
        <f>IF(N141="na","na",IF(N141="TBD","TBD",IF($C141="na","na",((N141*Eqtn!$D$205)*($C141+Eqtn!$D$206)))))</f>
        <v>na</v>
      </c>
      <c r="R141" s="1062"/>
    </row>
    <row r="142" spans="1:18" ht="13.9" customHeight="1" x14ac:dyDescent="0.25">
      <c r="A142" s="847">
        <f>Chem!A142</f>
        <v>140</v>
      </c>
      <c r="B142" s="891" t="str">
        <f>Chem!B142</f>
        <v>2,3,4,6-Tetrachlorophenol</v>
      </c>
      <c r="C142" s="423">
        <f>Param!F142</f>
        <v>0.28000000000000003</v>
      </c>
      <c r="D142" s="423">
        <f>Param!M142</f>
        <v>3.6140637775960798E-4</v>
      </c>
      <c r="E142" s="461">
        <f>PW!O142</f>
        <v>480</v>
      </c>
      <c r="F142" s="461">
        <f>IF(E142="na","na",IF($C142="na","na",(E142*Eqtn!$D$202*($C142+Eqtn!$D$203+(Eqtn!$D$204*$D142)))))</f>
        <v>4.6083006901062955</v>
      </c>
      <c r="G142" s="461">
        <f>IF(E142="na","na",IF($C142="na","na",((E142*Eqtn!$D$205)*($C142+Eqtn!$D$206))))</f>
        <v>0.27199999999999996</v>
      </c>
      <c r="H142" s="221" t="str">
        <f>SW!R142</f>
        <v>na</v>
      </c>
      <c r="I142" s="289" t="str">
        <f>IF(H142="na","na",IF($C142="na","na",(H142*Eqtn!$D$202*($C142+Eqtn!$D$203+(Eqtn!$D$204*$D142)))))</f>
        <v>na</v>
      </c>
      <c r="J142" s="289" t="str">
        <f>IF(H142="na","na",IF($C142="na","na",((H142*Eqtn!$D$205)*($C142+Eqtn!$D$206))))</f>
        <v>na</v>
      </c>
      <c r="K142" s="584" t="str">
        <f>Partit!E142</f>
        <v>na</v>
      </c>
      <c r="L142" s="584" t="str">
        <f>IF(K142="na","na",IF(K142="TBD","TBD",IF($C142="na","na",(K142*Eqtn!$D$202*($C142+Eqtn!$D$203+(Eqtn!$D$204*$D142))))))</f>
        <v>na</v>
      </c>
      <c r="M142" s="584" t="str">
        <f>IF(K142="na","na",IF(K142="TBD","TBD",IF($C142="na","na",((K142*Eqtn!$D$205)*($C142+Eqtn!$D$206)))))</f>
        <v>na</v>
      </c>
      <c r="N142" s="348"/>
      <c r="O142" s="348">
        <f>IF(N142="na","na",IF(N142="TBD","TBD",IF($C142="na","na",(N142*Eqtn!$D$202*($C142+Eqtn!$D$203+(Eqtn!$D$204*$D142))))))</f>
        <v>0</v>
      </c>
      <c r="P142" s="367">
        <f>IF(N142="na","na",IF(N142="TBD","TBD",IF($C142="na","na",((N142*Eqtn!$D$205)*($C142+Eqtn!$D$206)))))</f>
        <v>0</v>
      </c>
      <c r="R142" s="1062"/>
    </row>
    <row r="143" spans="1:18" ht="13.9" customHeight="1" x14ac:dyDescent="0.25">
      <c r="A143" s="847">
        <f>Chem!A143</f>
        <v>141</v>
      </c>
      <c r="B143" s="891" t="str">
        <f>Chem!B143</f>
        <v>1,2,4-Trichlorobenzene</v>
      </c>
      <c r="C143" s="423">
        <f>Param!F143</f>
        <v>1.6600000000000001</v>
      </c>
      <c r="D143" s="423">
        <f>Param!M143</f>
        <v>2.3727692638739032E-2</v>
      </c>
      <c r="E143" s="461">
        <f>PW!O143</f>
        <v>15.086206896551719</v>
      </c>
      <c r="F143" s="461">
        <f>IF(E143="na","na",IF($C143="na","na",(E143*Eqtn!$D$202*($C143+Eqtn!$D$203+(Eqtn!$D$204*$D143)))))</f>
        <v>0.56182736207762196</v>
      </c>
      <c r="G143" s="461">
        <f>IF(E143="na","na",IF($C143="na","na",((E143*Eqtn!$D$205)*($C143+Eqtn!$D$206))))</f>
        <v>2.9367816091954015E-2</v>
      </c>
      <c r="H143" s="221">
        <f>SW!R143</f>
        <v>3.6999999999999998E-2</v>
      </c>
      <c r="I143" s="289">
        <f>IF(H143="na","na",IF($C143="na","na",(H143*Eqtn!$D$202*($C143+Eqtn!$D$203+(Eqtn!$D$204*$D143)))))</f>
        <v>1.3779217360212312E-3</v>
      </c>
      <c r="J143" s="289">
        <f>IF(H143="na","na",IF($C143="na","na",((H143*Eqtn!$D$205)*($C143+Eqtn!$D$206))))</f>
        <v>7.2026666666666673E-5</v>
      </c>
      <c r="K143" s="584">
        <f>Partit!E143</f>
        <v>0.96444192302765219</v>
      </c>
      <c r="L143" s="584">
        <f>IF(K143="na","na",IF(K143="TBD","TBD",IF($C143="na","na",(K143*Eqtn!$D$202*($C143+Eqtn!$D$203+(Eqtn!$D$204*$D143))))))</f>
        <v>3.5916905104592355E-2</v>
      </c>
      <c r="M143" s="584">
        <f>IF(K143="na","na",IF(K143="TBD","TBD",IF($C143="na","na",((K143*Eqtn!$D$205)*($C143+Eqtn!$D$206)))))</f>
        <v>1.8774469434938296E-3</v>
      </c>
      <c r="N143" s="348"/>
      <c r="O143" s="348">
        <f>IF(N143="na","na",IF(N143="TBD","TBD",IF($C143="na","na",(N143*Eqtn!$D$202*($C143+Eqtn!$D$203+(Eqtn!$D$204*$D143))))))</f>
        <v>0</v>
      </c>
      <c r="P143" s="367">
        <f>IF(N143="na","na",IF(N143="TBD","TBD",IF($C143="na","na",((N143*Eqtn!$D$205)*($C143+Eqtn!$D$206)))))</f>
        <v>0</v>
      </c>
      <c r="R143" s="1062"/>
    </row>
    <row r="144" spans="1:18" ht="13.9" customHeight="1" x14ac:dyDescent="0.25">
      <c r="A144" s="847">
        <f>Chem!A144</f>
        <v>142</v>
      </c>
      <c r="B144" s="891" t="str">
        <f>Chem!B144</f>
        <v>2,4,5-Trichlorophenol</v>
      </c>
      <c r="C144" s="423">
        <f>Param!F144</f>
        <v>1.597</v>
      </c>
      <c r="D144" s="423">
        <f>Param!M144</f>
        <v>2.568277245914184E-5</v>
      </c>
      <c r="E144" s="461">
        <f>PW!O144</f>
        <v>1600</v>
      </c>
      <c r="F144" s="461">
        <f>IF(E144="na","na",IF($C144="na","na",(E144*Eqtn!$D$202*($C144+Eqtn!$D$203+(Eqtn!$D$204*$D144)))))</f>
        <v>57.504071226888954</v>
      </c>
      <c r="G144" s="461">
        <f>IF(E144="na","na",IF($C144="na","na",((E144*Eqtn!$D$205)*($C144+Eqtn!$D$206))))</f>
        <v>3.0138666666666669</v>
      </c>
      <c r="H144" s="221">
        <f>SW!R144</f>
        <v>600</v>
      </c>
      <c r="I144" s="289">
        <f>IF(H144="na","na",IF($C144="na","na",(H144*Eqtn!$D$202*($C144+Eqtn!$D$203+(Eqtn!$D$204*$D144)))))</f>
        <v>21.564026710083358</v>
      </c>
      <c r="J144" s="289">
        <f>IF(H144="na","na",IF($C144="na","na",((H144*Eqtn!$D$205)*($C144+Eqtn!$D$206))))</f>
        <v>1.1301999999999999</v>
      </c>
      <c r="K144" s="584" t="str">
        <f>Partit!E144</f>
        <v>na</v>
      </c>
      <c r="L144" s="584" t="str">
        <f>IF(K144="na","na",IF(K144="TBD","TBD",IF($C144="na","na",(K144*Eqtn!$D$202*($C144+Eqtn!$D$203+(Eqtn!$D$204*$D144))))))</f>
        <v>na</v>
      </c>
      <c r="M144" s="584" t="str">
        <f>IF(K144="na","na",IF(K144="TBD","TBD",IF($C144="na","na",((K144*Eqtn!$D$205)*($C144+Eqtn!$D$206)))))</f>
        <v>na</v>
      </c>
      <c r="N144" s="348"/>
      <c r="O144" s="348">
        <f>IF(N144="na","na",IF(N144="TBD","TBD",IF($C144="na","na",(N144*Eqtn!$D$202*($C144+Eqtn!$D$203+(Eqtn!$D$204*$D144))))))</f>
        <v>0</v>
      </c>
      <c r="P144" s="367">
        <f>IF(N144="na","na",IF(N144="TBD","TBD",IF($C144="na","na",((N144*Eqtn!$D$205)*($C144+Eqtn!$D$206)))))</f>
        <v>0</v>
      </c>
      <c r="R144" s="1062"/>
    </row>
    <row r="145" spans="1:18" ht="13.9" customHeight="1" x14ac:dyDescent="0.25">
      <c r="A145" s="842">
        <f>Chem!A145</f>
        <v>143</v>
      </c>
      <c r="B145" s="892" t="str">
        <f>Chem!B145</f>
        <v>2,4,6-Trichlorophenol</v>
      </c>
      <c r="C145" s="422">
        <f>Param!F145</f>
        <v>0.38100000000000001</v>
      </c>
      <c r="D145" s="422">
        <f>Param!M145</f>
        <v>4.1322772775944718E-5</v>
      </c>
      <c r="E145" s="460">
        <f>PW!O145</f>
        <v>7.9545454545454533</v>
      </c>
      <c r="F145" s="460">
        <f>IF(E145="na","na",IF($C145="na","na",(E145*Eqtn!$D$202*($C145+Eqtn!$D$203+(Eqtn!$D$204*$D145)))))</f>
        <v>9.2432387935200366E-2</v>
      </c>
      <c r="G145" s="460">
        <f>IF(E145="na","na",IF($C145="na","na",((E145*Eqtn!$D$205)*($C145+Eqtn!$D$206))))</f>
        <v>5.3109848484848479E-3</v>
      </c>
      <c r="H145" s="256">
        <f>SW!R145</f>
        <v>0.28000000000000003</v>
      </c>
      <c r="I145" s="580">
        <f>IF(H145="na","na",IF($C145="na","na",(H145*Eqtn!$D$202*($C145+Eqtn!$D$203+(Eqtn!$D$204*$D145)))))</f>
        <v>3.2536200553190541E-3</v>
      </c>
      <c r="J145" s="580">
        <f>IF(H145="na","na",IF($C145="na","na",((H145*Eqtn!$D$205)*($C145+Eqtn!$D$206))))</f>
        <v>1.8694666666666668E-4</v>
      </c>
      <c r="K145" s="585" t="str">
        <f>Partit!E145</f>
        <v>na</v>
      </c>
      <c r="L145" s="585" t="str">
        <f>IF(K145="na","na",IF(K145="TBD","TBD",IF($C145="na","na",(K145*Eqtn!$D$202*($C145+Eqtn!$D$203+(Eqtn!$D$204*$D145))))))</f>
        <v>na</v>
      </c>
      <c r="M145" s="585" t="str">
        <f>IF(K145="na","na",IF(K145="TBD","TBD",IF($C145="na","na",((K145*Eqtn!$D$205)*($C145+Eqtn!$D$206)))))</f>
        <v>na</v>
      </c>
      <c r="N145" s="723"/>
      <c r="O145" s="723">
        <f>IF(N145="na","na",IF(N145="TBD","TBD",IF($C145="na","na",(N145*Eqtn!$D$202*($C145+Eqtn!$D$203+(Eqtn!$D$204*$D145))))))</f>
        <v>0</v>
      </c>
      <c r="P145" s="724">
        <f>IF(N145="na","na",IF(N145="TBD","TBD",IF($C145="na","na",((N145*Eqtn!$D$205)*($C145+Eqtn!$D$206)))))</f>
        <v>0</v>
      </c>
      <c r="R145" s="1062"/>
    </row>
    <row r="146" spans="1:18" ht="13.9" customHeight="1" x14ac:dyDescent="0.25">
      <c r="A146" s="1197">
        <f>Chem!A146</f>
        <v>144</v>
      </c>
      <c r="B146" s="887" t="str">
        <f>Chem!B146</f>
        <v>Volatile Organic Compounds</v>
      </c>
      <c r="C146" s="31"/>
      <c r="D146" s="31"/>
      <c r="E146" s="31"/>
      <c r="F146" s="31"/>
      <c r="G146" s="31"/>
      <c r="H146" s="259"/>
      <c r="I146" s="31"/>
      <c r="J146" s="31"/>
      <c r="K146" s="31"/>
      <c r="L146" s="31"/>
      <c r="M146" s="31"/>
      <c r="N146" s="31"/>
      <c r="O146" s="31"/>
      <c r="P146" s="648"/>
      <c r="Q146" s="129"/>
      <c r="R146" s="1063"/>
    </row>
    <row r="147" spans="1:18" ht="13.9" customHeight="1" x14ac:dyDescent="0.25">
      <c r="A147" s="846">
        <f>Chem!A147</f>
        <v>145</v>
      </c>
      <c r="B147" s="890" t="str">
        <f>Chem!B147</f>
        <v>Acetone</v>
      </c>
      <c r="C147" s="652">
        <f>Param!F147</f>
        <v>2.3600000000000001E-3</v>
      </c>
      <c r="D147" s="652">
        <f>Param!M147</f>
        <v>8.7517628842301732E-4</v>
      </c>
      <c r="E147" s="458">
        <f>PW!O147</f>
        <v>7200</v>
      </c>
      <c r="F147" s="458">
        <f>IF(E147="na","na",IF($C147="na","na",(E147*Eqtn!$D$202*($C147+Eqtn!$D$203+(Eqtn!$D$204*$D147)))))</f>
        <v>29.150762200079516</v>
      </c>
      <c r="G147" s="458">
        <f>IF(E147="na","na",IF($C147="na","na",((E147*Eqtn!$D$205)*($C147+Eqtn!$D$206))))</f>
        <v>2.0809920000000002</v>
      </c>
      <c r="H147" s="254" t="str">
        <f>SW!R147</f>
        <v>na</v>
      </c>
      <c r="I147" s="621" t="str">
        <f>IF(H147="na","na",IF($C147="na","na",(H147*Eqtn!$D$202*($C147+Eqtn!$D$203+(Eqtn!$D$204*$D147)))))</f>
        <v>na</v>
      </c>
      <c r="J147" s="621" t="str">
        <f>IF(H147="na","na",IF($C147="na","na",((H147*Eqtn!$D$205)*($C147+Eqtn!$D$206))))</f>
        <v>na</v>
      </c>
      <c r="K147" s="653" t="str">
        <f>Partit!E147</f>
        <v>na</v>
      </c>
      <c r="L147" s="653" t="str">
        <f>IF(K147="na","na",IF(K147="TBD","TBD",IF($C147="na","na",(K147*Eqtn!$D$202*($C147+Eqtn!$D$203+(Eqtn!$D$204*$D147))))))</f>
        <v>na</v>
      </c>
      <c r="M147" s="653" t="str">
        <f>IF(K147="na","na",IF(K147="TBD","TBD",IF($C147="na","na",((K147*Eqtn!$D$205)*($C147+Eqtn!$D$206)))))</f>
        <v>na</v>
      </c>
      <c r="N147" s="721"/>
      <c r="O147" s="721">
        <f>IF(N147="na","na",IF(N147="TBD","TBD",IF($C147="na","na",(N147*Eqtn!$D$202*($C147+Eqtn!$D$203+(Eqtn!$D$204*$D147))))))</f>
        <v>0</v>
      </c>
      <c r="P147" s="722">
        <f>IF(N147="na","na",IF(N147="TBD","TBD",IF($C147="na","na",((N147*Eqtn!$D$205)*($C147+Eqtn!$D$206)))))</f>
        <v>0</v>
      </c>
      <c r="R147" s="1062"/>
    </row>
    <row r="148" spans="1:18" ht="13.9" customHeight="1" x14ac:dyDescent="0.25">
      <c r="A148" s="846">
        <f>Chem!A148</f>
        <v>146</v>
      </c>
      <c r="B148" s="891" t="str">
        <f>Chem!B148</f>
        <v>Acetaldehyde</v>
      </c>
      <c r="C148" s="652">
        <f>Param!F148</f>
        <v>1E-3</v>
      </c>
      <c r="D148" s="652">
        <f>Param!M148</f>
        <v>1.8253818054003727E-3</v>
      </c>
      <c r="E148" s="458" t="str">
        <f>PW!O148</f>
        <v>na</v>
      </c>
      <c r="F148" s="458" t="str">
        <f>IF(E148="na","na",IF($C148="na","na",(E148*Eqtn!$D$202*($C148+Eqtn!$D$203+(Eqtn!$D$204*$D148)))))</f>
        <v>na</v>
      </c>
      <c r="G148" s="458" t="str">
        <f>IF(E148="na","na",IF($C148="na","na",((E148*Eqtn!$D$205)*($C148+Eqtn!$D$206))))</f>
        <v>na</v>
      </c>
      <c r="H148" s="254" t="str">
        <f>SW!R148</f>
        <v>na</v>
      </c>
      <c r="I148" s="621" t="str">
        <f>IF(H148="na","na",IF($C148="na","na",(H148*Eqtn!$D$202*($C148+Eqtn!$D$203+(Eqtn!$D$204*$D148)))))</f>
        <v>na</v>
      </c>
      <c r="J148" s="621" t="str">
        <f>IF(H148="na","na",IF($C148="na","na",((H148*Eqtn!$D$205)*($C148+Eqtn!$D$206))))</f>
        <v>na</v>
      </c>
      <c r="K148" s="653" t="str">
        <f>Partit!E148</f>
        <v>na</v>
      </c>
      <c r="L148" s="653" t="str">
        <f>IF(K148="na","na",IF(K148="TBD","TBD",IF($C148="na","na",(K148*Eqtn!$D$202*($C148+Eqtn!$D$203+(Eqtn!$D$204*$D148))))))</f>
        <v>na</v>
      </c>
      <c r="M148" s="653" t="str">
        <f>IF(K148="na","na",IF(K148="TBD","TBD",IF($C148="na","na",((K148*Eqtn!$D$205)*($C148+Eqtn!$D$206)))))</f>
        <v>na</v>
      </c>
      <c r="N148" s="721"/>
      <c r="O148" s="721">
        <f>IF(N148="na","na",IF(N148="TBD","TBD",IF($C148="na","na",(N148*Eqtn!$D$202*($C148+Eqtn!$D$203+(Eqtn!$D$204*$D148))))))</f>
        <v>0</v>
      </c>
      <c r="P148" s="722">
        <f>IF(N148="na","na",IF(N148="TBD","TBD",IF($C148="na","na",((N148*Eqtn!$D$205)*($C148+Eqtn!$D$206)))))</f>
        <v>0</v>
      </c>
      <c r="R148" s="1062"/>
    </row>
    <row r="149" spans="1:18" ht="13.9" customHeight="1" x14ac:dyDescent="0.25">
      <c r="A149" s="846">
        <f>Chem!A149</f>
        <v>147</v>
      </c>
      <c r="B149" s="891" t="str">
        <f>Chem!B149</f>
        <v>Acrolein</v>
      </c>
      <c r="C149" s="423">
        <f>Param!F149</f>
        <v>1E-3</v>
      </c>
      <c r="D149" s="423">
        <f>Param!M149</f>
        <v>3.1063433625780931E-3</v>
      </c>
      <c r="E149" s="461">
        <f>PW!O149</f>
        <v>4</v>
      </c>
      <c r="F149" s="461">
        <f>IF(E149="na","na",IF($C149="na","na",(E149*Eqtn!$D$202*($C149+Eqtn!$D$203+(Eqtn!$D$204*$D149)))))</f>
        <v>1.6101537313980542E-2</v>
      </c>
      <c r="G149" s="461">
        <f>IF(E149="na","na",IF($C149="na","na",((E149*Eqtn!$D$205)*($C149+Eqtn!$D$206))))</f>
        <v>1.1506666666666668E-3</v>
      </c>
      <c r="H149" s="221">
        <f>SW!R149</f>
        <v>1.1000000000000001</v>
      </c>
      <c r="I149" s="289">
        <f>IF(H149="na","na",IF($C149="na","na",(H149*Eqtn!$D$202*($C149+Eqtn!$D$203+(Eqtn!$D$204*$D149)))))</f>
        <v>4.4279227613446487E-3</v>
      </c>
      <c r="J149" s="289">
        <f>IF(H149="na","na",IF($C149="na","na",((H149*Eqtn!$D$205)*($C149+Eqtn!$D$206))))</f>
        <v>3.1643333333333335E-4</v>
      </c>
      <c r="K149" s="584" t="str">
        <f>Partit!E149</f>
        <v>na</v>
      </c>
      <c r="L149" s="584" t="str">
        <f>IF(K149="na","na",IF(K149="TBD","TBD",IF($C149="na","na",(K149*Eqtn!$D$202*($C149+Eqtn!$D$203+(Eqtn!$D$204*$D149))))))</f>
        <v>na</v>
      </c>
      <c r="M149" s="584" t="str">
        <f>IF(K149="na","na",IF(K149="TBD","TBD",IF($C149="na","na",((K149*Eqtn!$D$205)*($C149+Eqtn!$D$206)))))</f>
        <v>na</v>
      </c>
      <c r="N149" s="348"/>
      <c r="O149" s="348">
        <f>IF(N149="na","na",IF(N149="TBD","TBD",IF($C149="na","na",(N149*Eqtn!$D$202*($C149+Eqtn!$D$203+(Eqtn!$D$204*$D149))))))</f>
        <v>0</v>
      </c>
      <c r="P149" s="367">
        <f>IF(N149="na","na",IF(N149="TBD","TBD",IF($C149="na","na",((N149*Eqtn!$D$205)*($C149+Eqtn!$D$206)))))</f>
        <v>0</v>
      </c>
      <c r="R149" s="1062"/>
    </row>
    <row r="150" spans="1:18" ht="13.9" customHeight="1" x14ac:dyDescent="0.25">
      <c r="A150" s="846">
        <f>Chem!A150</f>
        <v>148</v>
      </c>
      <c r="B150" s="891" t="str">
        <f>Chem!B150</f>
        <v>Acrylonitrile</v>
      </c>
      <c r="C150" s="423">
        <f>Param!F150</f>
        <v>8.5100000000000002E-3</v>
      </c>
      <c r="D150" s="423">
        <f>Param!M150</f>
        <v>3.1817822247492489E-3</v>
      </c>
      <c r="E150" s="461">
        <f>PW!O150</f>
        <v>8.101851851851849E-2</v>
      </c>
      <c r="F150" s="461">
        <f>IF(E150="na","na",IF($C150="na","na",(E150*Eqtn!$D$202*($C150+Eqtn!$D$203+(Eqtn!$D$204*$D150)))))</f>
        <v>3.3831025028156189E-4</v>
      </c>
      <c r="G150" s="461">
        <f>IF(E150="na","na",IF($C150="na","na",((E150*Eqtn!$D$205)*($C150+Eqtn!$D$206))))</f>
        <v>2.3914776234567897E-5</v>
      </c>
      <c r="H150" s="221">
        <f>SW!R150</f>
        <v>2.8000000000000001E-2</v>
      </c>
      <c r="I150" s="289">
        <f>IF(H150="na","na",IF($C150="na","na",(H150*Eqtn!$D$202*($C150+Eqtn!$D$203+(Eqtn!$D$204*$D150)))))</f>
        <v>1.1692002249730783E-4</v>
      </c>
      <c r="J150" s="289">
        <f>IF(H150="na","na",IF($C150="na","na",((H150*Eqtn!$D$205)*($C150+Eqtn!$D$206))))</f>
        <v>8.2649466666666682E-6</v>
      </c>
      <c r="K150" s="584" t="str">
        <f>Partit!E150</f>
        <v>na</v>
      </c>
      <c r="L150" s="584" t="str">
        <f>IF(K150="na","na",IF(K150="TBD","TBD",IF($C150="na","na",(K150*Eqtn!$D$202*($C150+Eqtn!$D$203+(Eqtn!$D$204*$D150))))))</f>
        <v>na</v>
      </c>
      <c r="M150" s="584" t="str">
        <f>IF(K150="na","na",IF(K150="TBD","TBD",IF($C150="na","na",((K150*Eqtn!$D$205)*($C150+Eqtn!$D$206)))))</f>
        <v>na</v>
      </c>
      <c r="N150" s="348"/>
      <c r="O150" s="348">
        <f>IF(N150="na","na",IF(N150="TBD","TBD",IF($C150="na","na",(N150*Eqtn!$D$202*($C150+Eqtn!$D$203+(Eqtn!$D$204*$D150))))))</f>
        <v>0</v>
      </c>
      <c r="P150" s="367">
        <f>IF(N150="na","na",IF(N150="TBD","TBD",IF($C150="na","na",((N150*Eqtn!$D$205)*($C150+Eqtn!$D$206)))))</f>
        <v>0</v>
      </c>
      <c r="R150" s="1062"/>
    </row>
    <row r="151" spans="1:18" ht="13.9" customHeight="1" x14ac:dyDescent="0.25">
      <c r="A151" s="846">
        <f>Chem!A151</f>
        <v>149</v>
      </c>
      <c r="B151" s="891" t="str">
        <f>Chem!B151</f>
        <v>Benzaldehyde</v>
      </c>
      <c r="C151" s="423">
        <f>Param!F151</f>
        <v>1.11E-2</v>
      </c>
      <c r="D151" s="423">
        <f>Param!M151</f>
        <v>4.7629715272312124E-4</v>
      </c>
      <c r="E151" s="461">
        <f>PW!O151</f>
        <v>10.937499999999998</v>
      </c>
      <c r="F151" s="461">
        <f>IF(E151="na","na",IF($C151="na","na",(E151*Eqtn!$D$202*($C151+Eqtn!$D$203+(Eqtn!$D$204*$D151)))))</f>
        <v>4.6187154800187036E-2</v>
      </c>
      <c r="G151" s="461">
        <f>IF(E151="na","na",IF($C151="na","na",((E151*Eqtn!$D$205)*($C151+Eqtn!$D$206))))</f>
        <v>3.2568229166666665E-3</v>
      </c>
      <c r="H151" s="219" t="str">
        <f>SW!R151</f>
        <v>na</v>
      </c>
      <c r="I151" s="289" t="str">
        <f>IF(H151="na","na",IF($C151="na","na",(H151*Eqtn!$D$202*($C151+Eqtn!$D$203+(Eqtn!$D$204*$D151)))))</f>
        <v>na</v>
      </c>
      <c r="J151" s="289" t="str">
        <f>IF(H151="na","na",IF($C151="na","na",((H151*Eqtn!$D$205)*($C151+Eqtn!$D$206))))</f>
        <v>na</v>
      </c>
      <c r="K151" s="584" t="str">
        <f>Partit!E151</f>
        <v>na</v>
      </c>
      <c r="L151" s="584" t="str">
        <f>IF(K151="na","na",IF(K151="TBD","TBD",IF($C151="na","na",(K151*Eqtn!$D$202*($C151+Eqtn!$D$203+(Eqtn!$D$204*$D151))))))</f>
        <v>na</v>
      </c>
      <c r="M151" s="584" t="str">
        <f>IF(K151="na","na",IF(K151="TBD","TBD",IF($C151="na","na",((K151*Eqtn!$D$205)*($C151+Eqtn!$D$206)))))</f>
        <v>na</v>
      </c>
      <c r="N151" s="348"/>
      <c r="O151" s="348">
        <f>IF(N151="na","na",IF(N151="TBD","TBD",IF($C151="na","na",(N151*Eqtn!$D$202*($C151+Eqtn!$D$203+(Eqtn!$D$204*$D151))))))</f>
        <v>0</v>
      </c>
      <c r="P151" s="367">
        <f>IF(N151="na","na",IF(N151="TBD","TBD",IF($C151="na","na",((N151*Eqtn!$D$205)*($C151+Eqtn!$D$206)))))</f>
        <v>0</v>
      </c>
      <c r="R151" s="1062"/>
    </row>
    <row r="152" spans="1:18" ht="13.9" customHeight="1" x14ac:dyDescent="0.25">
      <c r="A152" s="846">
        <f>Chem!A152</f>
        <v>150</v>
      </c>
      <c r="B152" s="891" t="str">
        <f>Chem!B152</f>
        <v>Benzene</v>
      </c>
      <c r="C152" s="423">
        <f>Param!F152</f>
        <v>6.2E-2</v>
      </c>
      <c r="D152" s="423">
        <f>Param!M152</f>
        <v>0.13393499964479427</v>
      </c>
      <c r="E152" s="461">
        <f>PW!O152</f>
        <v>5</v>
      </c>
      <c r="F152" s="461">
        <f>IF(E152="na","na",IF($C152="na","na",(E152*Eqtn!$D$202*($C152+Eqtn!$D$203+(Eqtn!$D$204*$D152)))))</f>
        <v>2.7360769996921552E-2</v>
      </c>
      <c r="G152" s="461">
        <f>IF(E152="na","na",IF($C152="na","na",((E152*Eqtn!$D$205)*($C152+Eqtn!$D$206))))</f>
        <v>1.7433333333333335E-3</v>
      </c>
      <c r="H152" s="221">
        <f>SW!R152</f>
        <v>1.6</v>
      </c>
      <c r="I152" s="289">
        <f>IF(H152="na","na",IF($C152="na","na",(H152*Eqtn!$D$202*($C152+Eqtn!$D$203+(Eqtn!$D$204*$D152)))))</f>
        <v>8.7554463990148976E-3</v>
      </c>
      <c r="J152" s="289">
        <f>IF(H152="na","na",IF($C152="na","na",((H152*Eqtn!$D$205)*($C152+Eqtn!$D$206))))</f>
        <v>5.5786666666666671E-4</v>
      </c>
      <c r="K152" s="584" t="str">
        <f>Partit!E152</f>
        <v>na</v>
      </c>
      <c r="L152" s="584" t="str">
        <f>IF(K152="na","na",IF(K152="TBD","TBD",IF($C152="na","na",(K152*Eqtn!$D$202*($C152+Eqtn!$D$203+(Eqtn!$D$204*$D152))))))</f>
        <v>na</v>
      </c>
      <c r="M152" s="584" t="str">
        <f>IF(K152="na","na",IF(K152="TBD","TBD",IF($C152="na","na",((K152*Eqtn!$D$205)*($C152+Eqtn!$D$206)))))</f>
        <v>na</v>
      </c>
      <c r="N152" s="348"/>
      <c r="O152" s="348">
        <f>IF(N152="na","na",IF(N152="TBD","TBD",IF($C152="na","na",(N152*Eqtn!$D$202*($C152+Eqtn!$D$203+(Eqtn!$D$204*$D152))))))</f>
        <v>0</v>
      </c>
      <c r="P152" s="367">
        <f>IF(N152="na","na",IF(N152="TBD","TBD",IF($C152="na","na",((N152*Eqtn!$D$205)*($C152+Eqtn!$D$206)))))</f>
        <v>0</v>
      </c>
      <c r="R152" s="1062"/>
    </row>
    <row r="153" spans="1:18" ht="13.9" customHeight="1" x14ac:dyDescent="0.25">
      <c r="A153" s="846">
        <f>Chem!A153</f>
        <v>151</v>
      </c>
      <c r="B153" s="891" t="str">
        <f>Chem!B153</f>
        <v>Bromobenzene</v>
      </c>
      <c r="C153" s="423">
        <f>Param!F153</f>
        <v>0.23400000000000001</v>
      </c>
      <c r="D153" s="423">
        <f>Param!M153</f>
        <v>4.3228805615861343E-2</v>
      </c>
      <c r="E153" s="461">
        <f>PW!O153</f>
        <v>64</v>
      </c>
      <c r="F153" s="461">
        <f>IF(E153="na","na",IF($C153="na","na",(E153*Eqtn!$D$202*($C153+Eqtn!$D$203+(Eqtn!$D$204*$D153)))))</f>
        <v>0.56031551550298619</v>
      </c>
      <c r="G153" s="461">
        <f>IF(E153="na","na",IF($C153="na","na",((E153*Eqtn!$D$205)*($C153+Eqtn!$D$206))))</f>
        <v>3.3322666666666674E-2</v>
      </c>
      <c r="H153" s="221" t="str">
        <f>SW!R153</f>
        <v>na</v>
      </c>
      <c r="I153" s="289" t="str">
        <f>IF(H153="na","na",IF($C153="na","na",(H153*Eqtn!$D$202*($C153+Eqtn!$D$203+(Eqtn!$D$204*$D153)))))</f>
        <v>na</v>
      </c>
      <c r="J153" s="289" t="str">
        <f>IF(H153="na","na",IF($C153="na","na",((H153*Eqtn!$D$205)*($C153+Eqtn!$D$206))))</f>
        <v>na</v>
      </c>
      <c r="K153" s="584" t="str">
        <f>Partit!E153</f>
        <v>na</v>
      </c>
      <c r="L153" s="584" t="str">
        <f>IF(K153="na","na",IF(K153="TBD","TBD",IF($C153="na","na",(K153*Eqtn!$D$202*($C153+Eqtn!$D$203+(Eqtn!$D$204*$D153))))))</f>
        <v>na</v>
      </c>
      <c r="M153" s="584" t="str">
        <f>IF(K153="na","na",IF(K153="TBD","TBD",IF($C153="na","na",((K153*Eqtn!$D$205)*($C153+Eqtn!$D$206)))))</f>
        <v>na</v>
      </c>
      <c r="N153" s="348"/>
      <c r="O153" s="348">
        <f>IF(N153="na","na",IF(N153="TBD","TBD",IF($C153="na","na",(N153*Eqtn!$D$202*($C153+Eqtn!$D$203+(Eqtn!$D$204*$D153))))))</f>
        <v>0</v>
      </c>
      <c r="P153" s="367">
        <f>IF(N153="na","na",IF(N153="TBD","TBD",IF($C153="na","na",((N153*Eqtn!$D$205)*($C153+Eqtn!$D$206)))))</f>
        <v>0</v>
      </c>
      <c r="R153" s="1062"/>
    </row>
    <row r="154" spans="1:18" ht="13.9" customHeight="1" x14ac:dyDescent="0.25">
      <c r="A154" s="846">
        <f>Chem!A154</f>
        <v>152</v>
      </c>
      <c r="B154" s="891" t="str">
        <f>Chem!B154</f>
        <v>Bromochloromethane</v>
      </c>
      <c r="C154" s="423">
        <f>Param!F154</f>
        <v>2.1700000000000001E-2</v>
      </c>
      <c r="D154" s="423">
        <f>Param!M154</f>
        <v>3.5945256023649182E-2</v>
      </c>
      <c r="E154" s="461" t="str">
        <f>PW!O154</f>
        <v>na</v>
      </c>
      <c r="F154" s="461" t="str">
        <f>IF(E154="na","na",IF($C154="na","na",(E154*Eqtn!$D$202*($C154+Eqtn!$D$203+(Eqtn!$D$204*$D154)))))</f>
        <v>na</v>
      </c>
      <c r="G154" s="461" t="str">
        <f>IF(E154="na","na",IF($C154="na","na",((E154*Eqtn!$D$205)*($C154+Eqtn!$D$206))))</f>
        <v>na</v>
      </c>
      <c r="H154" s="221" t="str">
        <f>SW!R154</f>
        <v>na</v>
      </c>
      <c r="I154" s="289" t="str">
        <f>IF(H154="na","na",IF($C154="na","na",(H154*Eqtn!$D$202*($C154+Eqtn!$D$203+(Eqtn!$D$204*$D154)))))</f>
        <v>na</v>
      </c>
      <c r="J154" s="289" t="str">
        <f>IF(H154="na","na",IF($C154="na","na",((H154*Eqtn!$D$205)*($C154+Eqtn!$D$206))))</f>
        <v>na</v>
      </c>
      <c r="K154" s="584" t="str">
        <f>Partit!E154</f>
        <v>na</v>
      </c>
      <c r="L154" s="584" t="str">
        <f>IF(K154="na","na",IF(K154="TBD","TBD",IF($C154="na","na",(K154*Eqtn!$D$202*($C154+Eqtn!$D$203+(Eqtn!$D$204*$D154))))))</f>
        <v>na</v>
      </c>
      <c r="M154" s="584" t="str">
        <f>IF(K154="na","na",IF(K154="TBD","TBD",IF($C154="na","na",((K154*Eqtn!$D$205)*($C154+Eqtn!$D$206)))))</f>
        <v>na</v>
      </c>
      <c r="N154" s="348"/>
      <c r="O154" s="348">
        <f>IF(N154="na","na",IF(N154="TBD","TBD",IF($C154="na","na",(N154*Eqtn!$D$202*($C154+Eqtn!$D$203+(Eqtn!$D$204*$D154))))))</f>
        <v>0</v>
      </c>
      <c r="P154" s="367">
        <f>IF(N154="na","na",IF(N154="TBD","TBD",IF($C154="na","na",((N154*Eqtn!$D$205)*($C154+Eqtn!$D$206)))))</f>
        <v>0</v>
      </c>
      <c r="R154" s="1062"/>
    </row>
    <row r="155" spans="1:18" ht="13.9" customHeight="1" x14ac:dyDescent="0.25">
      <c r="A155" s="846">
        <f>Chem!A155</f>
        <v>153</v>
      </c>
      <c r="B155" s="891" t="str">
        <f>Chem!B155</f>
        <v>Bromoethane</v>
      </c>
      <c r="C155" s="423" t="str">
        <f>Param!F155</f>
        <v>na</v>
      </c>
      <c r="D155" s="423">
        <f>Param!M155</f>
        <v>0</v>
      </c>
      <c r="E155" s="461" t="str">
        <f>PW!O155</f>
        <v>na</v>
      </c>
      <c r="F155" s="461" t="str">
        <f>IF(E155="na","na",IF($C155="na","na",(E155*Eqtn!$D$202*($C155+Eqtn!$D$203+(Eqtn!$D$204*$D155)))))</f>
        <v>na</v>
      </c>
      <c r="G155" s="461" t="str">
        <f>IF(E155="na","na",IF($C155="na","na",((E155*Eqtn!$D$205)*($C155+Eqtn!$D$206))))</f>
        <v>na</v>
      </c>
      <c r="H155" s="221" t="str">
        <f>SW!R155</f>
        <v>na</v>
      </c>
      <c r="I155" s="289" t="str">
        <f>IF(H155="na","na",IF($C155="na","na",(H155*Eqtn!$D$202*($C155+Eqtn!$D$203+(Eqtn!$D$204*$D155)))))</f>
        <v>na</v>
      </c>
      <c r="J155" s="289" t="str">
        <f>IF(H155="na","na",IF($C155="na","na",((H155*Eqtn!$D$205)*($C155+Eqtn!$D$206))))</f>
        <v>na</v>
      </c>
      <c r="K155" s="584" t="str">
        <f>Partit!E155</f>
        <v>na</v>
      </c>
      <c r="L155" s="584" t="str">
        <f>IF(K155="na","na",IF(K155="TBD","TBD",IF($C155="na","na",(K155*Eqtn!$D$202*($C155+Eqtn!$D$203+(Eqtn!$D$204*$D155))))))</f>
        <v>na</v>
      </c>
      <c r="M155" s="584" t="str">
        <f>IF(K155="na","na",IF(K155="TBD","TBD",IF($C155="na","na",((K155*Eqtn!$D$205)*($C155+Eqtn!$D$206)))))</f>
        <v>na</v>
      </c>
      <c r="N155" s="348"/>
      <c r="O155" s="348" t="str">
        <f>IF(N155="na","na",IF(N155="TBD","TBD",IF($C155="na","na",(N155*Eqtn!$D$202*($C155+Eqtn!$D$203+(Eqtn!$D$204*$D155))))))</f>
        <v>na</v>
      </c>
      <c r="P155" s="367" t="str">
        <f>IF(N155="na","na",IF(N155="TBD","TBD",IF($C155="na","na",((N155*Eqtn!$D$205)*($C155+Eqtn!$D$206)))))</f>
        <v>na</v>
      </c>
      <c r="R155" s="1062"/>
    </row>
    <row r="156" spans="1:18" ht="13.9" customHeight="1" x14ac:dyDescent="0.25">
      <c r="A156" s="846">
        <f>Chem!A156</f>
        <v>154</v>
      </c>
      <c r="B156" s="891" t="str">
        <f>Chem!B156</f>
        <v>Bromoform</v>
      </c>
      <c r="C156" s="423">
        <f>Param!F156</f>
        <v>0.126</v>
      </c>
      <c r="D156" s="423">
        <f>Param!M156</f>
        <v>1.0493536989602176E-2</v>
      </c>
      <c r="E156" s="461">
        <f>PW!O156</f>
        <v>55.379746835443022</v>
      </c>
      <c r="F156" s="461">
        <f>IF(E156="na","na",IF($C156="na","na",(E156*Eqtn!$D$202*($C156+Eqtn!$D$203+(Eqtn!$D$204*$D156)))))</f>
        <v>0.36208324036503553</v>
      </c>
      <c r="G156" s="461">
        <f>IF(E156="na","na",IF($C156="na","na",((E156*Eqtn!$D$205)*($C156+Eqtn!$D$206))))</f>
        <v>2.2853375527426154E-2</v>
      </c>
      <c r="H156" s="221">
        <f>SW!R156</f>
        <v>12</v>
      </c>
      <c r="I156" s="289">
        <f>IF(H156="na","na",IF($C156="na","na",(H156*Eqtn!$D$202*($C156+Eqtn!$D$203+(Eqtn!$D$204*$D156)))))</f>
        <v>7.845826556938372E-2</v>
      </c>
      <c r="J156" s="289">
        <f>IF(H156="na","na",IF($C156="na","na",((H156*Eqtn!$D$205)*($C156+Eqtn!$D$206))))</f>
        <v>4.9520000000000007E-3</v>
      </c>
      <c r="K156" s="584" t="str">
        <f>Partit!E156</f>
        <v>na</v>
      </c>
      <c r="L156" s="584" t="str">
        <f>IF(K156="na","na",IF(K156="TBD","TBD",IF($C156="na","na",(K156*Eqtn!$D$202*($C156+Eqtn!$D$203+(Eqtn!$D$204*$D156))))))</f>
        <v>na</v>
      </c>
      <c r="M156" s="584" t="str">
        <f>IF(K156="na","na",IF(K156="TBD","TBD",IF($C156="na","na",((K156*Eqtn!$D$205)*($C156+Eqtn!$D$206)))))</f>
        <v>na</v>
      </c>
      <c r="N156" s="348"/>
      <c r="O156" s="348">
        <f>IF(N156="na","na",IF(N156="TBD","TBD",IF($C156="na","na",(N156*Eqtn!$D$202*($C156+Eqtn!$D$203+(Eqtn!$D$204*$D156))))))</f>
        <v>0</v>
      </c>
      <c r="P156" s="367">
        <f>IF(N156="na","na",IF(N156="TBD","TBD",IF($C156="na","na",((N156*Eqtn!$D$205)*($C156+Eqtn!$D$206)))))</f>
        <v>0</v>
      </c>
      <c r="R156" s="1062"/>
    </row>
    <row r="157" spans="1:18" ht="13.9" customHeight="1" x14ac:dyDescent="0.25">
      <c r="A157" s="846">
        <f>Chem!A157</f>
        <v>155</v>
      </c>
      <c r="B157" s="891" t="str">
        <f>Chem!B157</f>
        <v>Bromomethane</v>
      </c>
      <c r="C157" s="423">
        <f>Param!F157</f>
        <v>9.0000000000000011E-3</v>
      </c>
      <c r="D157" s="423">
        <f>Param!M157</f>
        <v>0.20999151248674033</v>
      </c>
      <c r="E157" s="461">
        <f>PW!O157</f>
        <v>11.2</v>
      </c>
      <c r="F157" s="461">
        <f>IF(E157="na","na",IF($C157="na","na",(E157*Eqtn!$D$202*($C157+Eqtn!$D$203+(Eqtn!$D$204*$D157)))))</f>
        <v>5.0892635229075917E-2</v>
      </c>
      <c r="G157" s="461">
        <f>IF(E157="na","na",IF($C157="na","na",((E157*Eqtn!$D$205)*($C157+Eqtn!$D$206))))</f>
        <v>3.3114666666666671E-3</v>
      </c>
      <c r="H157" s="221">
        <f>SW!R157</f>
        <v>268.03418803418805</v>
      </c>
      <c r="I157" s="289">
        <f>IF(H157="na","na",IF($C157="na","na",(H157*Eqtn!$D$202*($C157+Eqtn!$D$203+(Eqtn!$D$204*$D157)))))</f>
        <v>1.2179434071915605</v>
      </c>
      <c r="J157" s="289">
        <f>IF(H157="na","na",IF($C157="na","na",((H157*Eqtn!$D$205)*($C157+Eqtn!$D$206))))</f>
        <v>7.924877492877494E-2</v>
      </c>
      <c r="K157" s="584" t="str">
        <f>Partit!E157</f>
        <v>na</v>
      </c>
      <c r="L157" s="584" t="str">
        <f>IF(K157="na","na",IF(K157="TBD","TBD",IF($C157="na","na",(K157*Eqtn!$D$202*($C157+Eqtn!$D$203+(Eqtn!$D$204*$D157))))))</f>
        <v>na</v>
      </c>
      <c r="M157" s="584" t="str">
        <f>IF(K157="na","na",IF(K157="TBD","TBD",IF($C157="na","na",((K157*Eqtn!$D$205)*($C157+Eqtn!$D$206)))))</f>
        <v>na</v>
      </c>
      <c r="N157" s="348"/>
      <c r="O157" s="348">
        <f>IF(N157="na","na",IF(N157="TBD","TBD",IF($C157="na","na",(N157*Eqtn!$D$202*($C157+Eqtn!$D$203+(Eqtn!$D$204*$D157))))))</f>
        <v>0</v>
      </c>
      <c r="P157" s="367">
        <f>IF(N157="na","na",IF(N157="TBD","TBD",IF($C157="na","na",((N157*Eqtn!$D$205)*($C157+Eqtn!$D$206)))))</f>
        <v>0</v>
      </c>
      <c r="R157" s="1062"/>
    </row>
    <row r="158" spans="1:18" ht="13.9" customHeight="1" x14ac:dyDescent="0.25">
      <c r="A158" s="846">
        <f>Chem!A158</f>
        <v>156</v>
      </c>
      <c r="B158" s="891" t="str">
        <f>Chem!B158</f>
        <v>2-Butoxyethanol (EGBE)</v>
      </c>
      <c r="C158" s="423">
        <f>Param!F158</f>
        <v>2.82E-3</v>
      </c>
      <c r="D158" s="423">
        <f>Param!M158</f>
        <v>2.5325207268919119E-5</v>
      </c>
      <c r="E158" s="461">
        <f>PW!O158</f>
        <v>1600</v>
      </c>
      <c r="F158" s="461">
        <f>IF(E158="na","na",IF($C158="na","na",(E158*Eqtn!$D$202*($C158+Eqtn!$D$203+(Eqtn!$D$204*$D158)))))</f>
        <v>6.4903102352414912</v>
      </c>
      <c r="G158" s="461">
        <f>IF(E158="na","na",IF($C158="na","na",((E158*Eqtn!$D$205)*($C158+Eqtn!$D$206))))</f>
        <v>0.46317866666666668</v>
      </c>
      <c r="H158" s="221" t="str">
        <f>SW!R158</f>
        <v>na</v>
      </c>
      <c r="I158" s="289" t="str">
        <f>IF(H158="na","na",IF($C158="na","na",(H158*Eqtn!$D$202*($C158+Eqtn!$D$203+(Eqtn!$D$204*$D158)))))</f>
        <v>na</v>
      </c>
      <c r="J158" s="289" t="str">
        <f>IF(H158="na","na",IF($C158="na","na",((H158*Eqtn!$D$205)*($C158+Eqtn!$D$206))))</f>
        <v>na</v>
      </c>
      <c r="K158" s="584" t="str">
        <f>Partit!E158</f>
        <v>na</v>
      </c>
      <c r="L158" s="584" t="str">
        <f>IF(K158="na","na",IF(K158="TBD","TBD",IF($C158="na","na",(K158*Eqtn!$D$202*($C158+Eqtn!$D$203+(Eqtn!$D$204*$D158))))))</f>
        <v>na</v>
      </c>
      <c r="M158" s="584" t="str">
        <f>IF(K158="na","na",IF(K158="TBD","TBD",IF($C158="na","na",((K158*Eqtn!$D$205)*($C158+Eqtn!$D$206)))))</f>
        <v>na</v>
      </c>
      <c r="N158" s="348"/>
      <c r="O158" s="348">
        <f>IF(N158="na","na",IF(N158="TBD","TBD",IF($C158="na","na",(N158*Eqtn!$D$202*($C158+Eqtn!$D$203+(Eqtn!$D$204*$D158))))))</f>
        <v>0</v>
      </c>
      <c r="P158" s="367">
        <f>IF(N158="na","na",IF(N158="TBD","TBD",IF($C158="na","na",((N158*Eqtn!$D$205)*($C158+Eqtn!$D$206)))))</f>
        <v>0</v>
      </c>
      <c r="R158" s="1062"/>
    </row>
    <row r="159" spans="1:18" ht="13.9" customHeight="1" x14ac:dyDescent="0.25">
      <c r="A159" s="846">
        <f>Chem!A159</f>
        <v>157</v>
      </c>
      <c r="B159" s="891" t="str">
        <f>Chem!B159</f>
        <v>n-Butylbenzene</v>
      </c>
      <c r="C159" s="423">
        <f>Param!F159</f>
        <v>1.48</v>
      </c>
      <c r="D159" s="423">
        <f>Param!M159</f>
        <v>0.29340915429612474</v>
      </c>
      <c r="E159" s="461">
        <f>PW!O159</f>
        <v>400</v>
      </c>
      <c r="F159" s="461">
        <f>IF(E159="na","na",IF($C159="na","na",(E159*Eqtn!$D$202*($C159+Eqtn!$D$203+(Eqtn!$D$204*$D159)))))</f>
        <v>13.643430346978645</v>
      </c>
      <c r="G159" s="461">
        <f>IF(E159="na","na",IF($C159="na","na",((E159*Eqtn!$D$205)*($C159+Eqtn!$D$206))))</f>
        <v>0.70666666666666667</v>
      </c>
      <c r="H159" s="221" t="str">
        <f>SW!R159</f>
        <v>na</v>
      </c>
      <c r="I159" s="289" t="str">
        <f>IF(H159="na","na",IF($C159="na","na",(H159*Eqtn!$D$202*($C159+Eqtn!$D$203+(Eqtn!$D$204*$D159)))))</f>
        <v>na</v>
      </c>
      <c r="J159" s="289" t="str">
        <f>IF(H159="na","na",IF($C159="na","na",((H159*Eqtn!$D$205)*($C159+Eqtn!$D$206))))</f>
        <v>na</v>
      </c>
      <c r="K159" s="584" t="str">
        <f>Partit!E159</f>
        <v>na</v>
      </c>
      <c r="L159" s="584" t="str">
        <f>IF(K159="na","na",IF(K159="TBD","TBD",IF($C159="na","na",(K159*Eqtn!$D$202*($C159+Eqtn!$D$203+(Eqtn!$D$204*$D159))))))</f>
        <v>na</v>
      </c>
      <c r="M159" s="584" t="str">
        <f>IF(K159="na","na",IF(K159="TBD","TBD",IF($C159="na","na",((K159*Eqtn!$D$205)*($C159+Eqtn!$D$206)))))</f>
        <v>na</v>
      </c>
      <c r="N159" s="348"/>
      <c r="O159" s="348">
        <f>IF(N159="na","na",IF(N159="TBD","TBD",IF($C159="na","na",(N159*Eqtn!$D$202*($C159+Eqtn!$D$203+(Eqtn!$D$204*$D159))))))</f>
        <v>0</v>
      </c>
      <c r="P159" s="367">
        <f>IF(N159="na","na",IF(N159="TBD","TBD",IF($C159="na","na",((N159*Eqtn!$D$205)*($C159+Eqtn!$D$206)))))</f>
        <v>0</v>
      </c>
      <c r="R159" s="1062"/>
    </row>
    <row r="160" spans="1:18" ht="13.9" customHeight="1" x14ac:dyDescent="0.25">
      <c r="A160" s="846">
        <f>Chem!A160</f>
        <v>158</v>
      </c>
      <c r="B160" s="891" t="str">
        <f>Chem!B160</f>
        <v>sec-Butylbenzene</v>
      </c>
      <c r="C160" s="423">
        <f>Param!F160</f>
        <v>1.33</v>
      </c>
      <c r="D160" s="423">
        <f>Param!M160</f>
        <v>0.27506032751473342</v>
      </c>
      <c r="E160" s="461">
        <f>PW!O160</f>
        <v>800</v>
      </c>
      <c r="F160" s="461">
        <f>IF(E160="na","na",IF($C160="na","na",(E160*Eqtn!$D$202*($C160+Eqtn!$D$203+(Eqtn!$D$204*$D160)))))</f>
        <v>24.861416987487097</v>
      </c>
      <c r="G160" s="461">
        <f>IF(E160="na","na",IF($C160="na","na",((E160*Eqtn!$D$205)*($C160+Eqtn!$D$206))))</f>
        <v>1.2933333333333334</v>
      </c>
      <c r="H160" s="221" t="str">
        <f>SW!R160</f>
        <v>na</v>
      </c>
      <c r="I160" s="289" t="str">
        <f>IF(H160="na","na",IF($C160="na","na",(H160*Eqtn!$D$202*($C160+Eqtn!$D$203+(Eqtn!$D$204*$D160)))))</f>
        <v>na</v>
      </c>
      <c r="J160" s="289" t="str">
        <f>IF(H160="na","na",IF($C160="na","na",((H160*Eqtn!$D$205)*($C160+Eqtn!$D$206))))</f>
        <v>na</v>
      </c>
      <c r="K160" s="584" t="str">
        <f>Partit!E160</f>
        <v>na</v>
      </c>
      <c r="L160" s="584" t="str">
        <f>IF(K160="na","na",IF(K160="TBD","TBD",IF($C160="na","na",(K160*Eqtn!$D$202*($C160+Eqtn!$D$203+(Eqtn!$D$204*$D160))))))</f>
        <v>na</v>
      </c>
      <c r="M160" s="584" t="str">
        <f>IF(K160="na","na",IF(K160="TBD","TBD",IF($C160="na","na",((K160*Eqtn!$D$205)*($C160+Eqtn!$D$206)))))</f>
        <v>na</v>
      </c>
      <c r="N160" s="348"/>
      <c r="O160" s="348">
        <f>IF(N160="na","na",IF(N160="TBD","TBD",IF($C160="na","na",(N160*Eqtn!$D$202*($C160+Eqtn!$D$203+(Eqtn!$D$204*$D160))))))</f>
        <v>0</v>
      </c>
      <c r="P160" s="367">
        <f>IF(N160="na","na",IF(N160="TBD","TBD",IF($C160="na","na",((N160*Eqtn!$D$205)*($C160+Eqtn!$D$206)))))</f>
        <v>0</v>
      </c>
      <c r="R160" s="1062"/>
    </row>
    <row r="161" spans="1:18" ht="13.9" customHeight="1" x14ac:dyDescent="0.25">
      <c r="A161" s="846">
        <f>Chem!A161</f>
        <v>159</v>
      </c>
      <c r="B161" s="891" t="str">
        <f>Chem!B161</f>
        <v>tert-Butylbenzene</v>
      </c>
      <c r="C161" s="423">
        <f>Param!F161</f>
        <v>1</v>
      </c>
      <c r="D161" s="423">
        <f>Param!M161</f>
        <v>0.20552470229922171</v>
      </c>
      <c r="E161" s="461">
        <f>PW!O161</f>
        <v>800</v>
      </c>
      <c r="F161" s="461">
        <f>IF(E161="na","na",IF($C161="na","na",(E161*Eqtn!$D$202*($C161+Eqtn!$D$203+(Eqtn!$D$204*$D161)))))</f>
        <v>19.484994253854921</v>
      </c>
      <c r="G161" s="461">
        <f>IF(E161="na","na",IF($C161="na","na",((E161*Eqtn!$D$205)*($C161+Eqtn!$D$206))))</f>
        <v>1.0293333333333334</v>
      </c>
      <c r="H161" s="221" t="str">
        <f>SW!R161</f>
        <v>na</v>
      </c>
      <c r="I161" s="289" t="str">
        <f>IF(H161="na","na",IF($C161="na","na",(H161*Eqtn!$D$202*($C161+Eqtn!$D$203+(Eqtn!$D$204*$D161)))))</f>
        <v>na</v>
      </c>
      <c r="J161" s="289" t="str">
        <f>IF(H161="na","na",IF($C161="na","na",((H161*Eqtn!$D$205)*($C161+Eqtn!$D$206))))</f>
        <v>na</v>
      </c>
      <c r="K161" s="584" t="str">
        <f>Partit!E161</f>
        <v>na</v>
      </c>
      <c r="L161" s="584" t="str">
        <f>IF(K161="na","na",IF(K161="TBD","TBD",IF($C161="na","na",(K161*Eqtn!$D$202*($C161+Eqtn!$D$203+(Eqtn!$D$204*$D161))))))</f>
        <v>na</v>
      </c>
      <c r="M161" s="584" t="str">
        <f>IF(K161="na","na",IF(K161="TBD","TBD",IF($C161="na","na",((K161*Eqtn!$D$205)*($C161+Eqtn!$D$206)))))</f>
        <v>na</v>
      </c>
      <c r="N161" s="348"/>
      <c r="O161" s="348">
        <f>IF(N161="na","na",IF(N161="TBD","TBD",IF($C161="na","na",(N161*Eqtn!$D$202*($C161+Eqtn!$D$203+(Eqtn!$D$204*$D161))))))</f>
        <v>0</v>
      </c>
      <c r="P161" s="367">
        <f>IF(N161="na","na",IF(N161="TBD","TBD",IF($C161="na","na",((N161*Eqtn!$D$205)*($C161+Eqtn!$D$206)))))</f>
        <v>0</v>
      </c>
      <c r="R161" s="1062"/>
    </row>
    <row r="162" spans="1:18" ht="13.9" customHeight="1" x14ac:dyDescent="0.25">
      <c r="A162" s="846">
        <f>Chem!A162</f>
        <v>160</v>
      </c>
      <c r="B162" s="891" t="str">
        <f>Chem!B162</f>
        <v>Carbon disulfide</v>
      </c>
      <c r="C162" s="423">
        <f>Param!F162</f>
        <v>2.1700000000000001E-2</v>
      </c>
      <c r="D162" s="423">
        <f>Param!M162</f>
        <v>0.38272639037996992</v>
      </c>
      <c r="E162" s="461">
        <f>PW!O162</f>
        <v>800</v>
      </c>
      <c r="F162" s="461">
        <f>IF(E162="na","na",IF($C162="na","na",(E162*Eqtn!$D$202*($C162+Eqtn!$D$203+(Eqtn!$D$204*$D162)))))</f>
        <v>4.0779139279935581</v>
      </c>
      <c r="G162" s="461">
        <f>IF(E162="na","na",IF($C162="na","na",((E162*Eqtn!$D$205)*($C162+Eqtn!$D$206))))</f>
        <v>0.24669333333333335</v>
      </c>
      <c r="H162" s="221" t="str">
        <f>SW!R162</f>
        <v>na</v>
      </c>
      <c r="I162" s="289" t="str">
        <f>IF(H162="na","na",IF($C162="na","na",(H162*Eqtn!$D$202*($C162+Eqtn!$D$203+(Eqtn!$D$204*$D162)))))</f>
        <v>na</v>
      </c>
      <c r="J162" s="289" t="str">
        <f>IF(H162="na","na",IF($C162="na","na",((H162*Eqtn!$D$205)*($C162+Eqtn!$D$206))))</f>
        <v>na</v>
      </c>
      <c r="K162" s="584" t="str">
        <f>Partit!E162</f>
        <v>na</v>
      </c>
      <c r="L162" s="584" t="str">
        <f>IF(K162="na","na",IF(K162="TBD","TBD",IF($C162="na","na",(K162*Eqtn!$D$202*($C162+Eqtn!$D$203+(Eqtn!$D$204*$D162))))))</f>
        <v>na</v>
      </c>
      <c r="M162" s="584" t="str">
        <f>IF(K162="na","na",IF(K162="TBD","TBD",IF($C162="na","na",((K162*Eqtn!$D$205)*($C162+Eqtn!$D$206)))))</f>
        <v>na</v>
      </c>
      <c r="N162" s="348"/>
      <c r="O162" s="348">
        <f>IF(N162="na","na",IF(N162="TBD","TBD",IF($C162="na","na",(N162*Eqtn!$D$202*($C162+Eqtn!$D$203+(Eqtn!$D$204*$D162))))))</f>
        <v>0</v>
      </c>
      <c r="P162" s="367">
        <f>IF(N162="na","na",IF(N162="TBD","TBD",IF($C162="na","na",((N162*Eqtn!$D$205)*($C162+Eqtn!$D$206)))))</f>
        <v>0</v>
      </c>
      <c r="R162" s="1062"/>
    </row>
    <row r="163" spans="1:18" ht="13.9" customHeight="1" x14ac:dyDescent="0.25">
      <c r="A163" s="846">
        <f>Chem!A163</f>
        <v>161</v>
      </c>
      <c r="B163" s="891" t="str">
        <f>Chem!B163</f>
        <v>Carbon tetrachloride</v>
      </c>
      <c r="C163" s="423">
        <f>Param!F163</f>
        <v>0.152</v>
      </c>
      <c r="D163" s="423">
        <f>Param!M163</f>
        <v>0.67522387061358224</v>
      </c>
      <c r="E163" s="461">
        <f>PW!O163</f>
        <v>5</v>
      </c>
      <c r="F163" s="461">
        <f>IF(E163="na","na",IF($C163="na","na",(E163*Eqtn!$D$202*($C163+Eqtn!$D$203+(Eqtn!$D$204*$D163)))))</f>
        <v>4.1051940211984383E-2</v>
      </c>
      <c r="G163" s="461">
        <f>IF(E163="na","na",IF($C163="na","na",((E163*Eqtn!$D$205)*($C163+Eqtn!$D$206))))</f>
        <v>2.1933333333333332E-3</v>
      </c>
      <c r="H163" s="221">
        <f>SW!R163</f>
        <v>0.35</v>
      </c>
      <c r="I163" s="289">
        <f>IF(H163="na","na",IF($C163="na","na",(H163*Eqtn!$D$202*($C163+Eqtn!$D$203+(Eqtn!$D$204*$D163)))))</f>
        <v>2.8736358148389062E-3</v>
      </c>
      <c r="J163" s="289">
        <f>IF(H163="na","na",IF($C163="na","na",((H163*Eqtn!$D$205)*($C163+Eqtn!$D$206))))</f>
        <v>1.5353333333333332E-4</v>
      </c>
      <c r="K163" s="584" t="str">
        <f>Partit!E163</f>
        <v>na</v>
      </c>
      <c r="L163" s="584" t="str">
        <f>IF(K163="na","na",IF(K163="TBD","TBD",IF($C163="na","na",(K163*Eqtn!$D$202*($C163+Eqtn!$D$203+(Eqtn!$D$204*$D163))))))</f>
        <v>na</v>
      </c>
      <c r="M163" s="584" t="str">
        <f>IF(K163="na","na",IF(K163="TBD","TBD",IF($C163="na","na",((K163*Eqtn!$D$205)*($C163+Eqtn!$D$206)))))</f>
        <v>na</v>
      </c>
      <c r="N163" s="348"/>
      <c r="O163" s="348">
        <f>IF(N163="na","na",IF(N163="TBD","TBD",IF($C163="na","na",(N163*Eqtn!$D$202*($C163+Eqtn!$D$203+(Eqtn!$D$204*$D163))))))</f>
        <v>0</v>
      </c>
      <c r="P163" s="367">
        <f>IF(N163="na","na",IF(N163="TBD","TBD",IF($C163="na","na",((N163*Eqtn!$D$205)*($C163+Eqtn!$D$206)))))</f>
        <v>0</v>
      </c>
      <c r="R163" s="1062"/>
    </row>
    <row r="164" spans="1:18" ht="13.9" customHeight="1" x14ac:dyDescent="0.25">
      <c r="A164" s="846">
        <f>Chem!A164</f>
        <v>162</v>
      </c>
      <c r="B164" s="891" t="str">
        <f>Chem!B164</f>
        <v>Chlorobenzene</v>
      </c>
      <c r="C164" s="423">
        <f>Param!F164</f>
        <v>0.224</v>
      </c>
      <c r="D164" s="423">
        <f>Param!M164</f>
        <v>6.6296995619270757E-2</v>
      </c>
      <c r="E164" s="461">
        <f>PW!O164</f>
        <v>100</v>
      </c>
      <c r="F164" s="461">
        <f>IF(E164="na","na",IF($C164="na","na",(E164*Eqtn!$D$202*($C164+Eqtn!$D$203+(Eqtn!$D$204*$D164)))))</f>
        <v>0.85949147924067359</v>
      </c>
      <c r="G164" s="461">
        <f>IF(E164="na","na",IF($C164="na","na",((E164*Eqtn!$D$205)*($C164+Eqtn!$D$206))))</f>
        <v>5.1066666666666677E-2</v>
      </c>
      <c r="H164" s="221">
        <f>SW!R164</f>
        <v>200</v>
      </c>
      <c r="I164" s="289">
        <f>IF(H164="na","na",IF($C164="na","na",(H164*Eqtn!$D$202*($C164+Eqtn!$D$203+(Eqtn!$D$204*$D164)))))</f>
        <v>1.7189829584813472</v>
      </c>
      <c r="J164" s="289">
        <f>IF(H164="na","na",IF($C164="na","na",((H164*Eqtn!$D$205)*($C164+Eqtn!$D$206))))</f>
        <v>0.10213333333333335</v>
      </c>
      <c r="K164" s="584" t="str">
        <f>Partit!E164</f>
        <v>na</v>
      </c>
      <c r="L164" s="584" t="str">
        <f>IF(K164="na","na",IF(K164="TBD","TBD",IF($C164="na","na",(K164*Eqtn!$D$202*($C164+Eqtn!$D$203+(Eqtn!$D$204*$D164))))))</f>
        <v>na</v>
      </c>
      <c r="M164" s="584" t="str">
        <f>IF(K164="na","na",IF(K164="TBD","TBD",IF($C164="na","na",((K164*Eqtn!$D$205)*($C164+Eqtn!$D$206)))))</f>
        <v>na</v>
      </c>
      <c r="N164" s="348"/>
      <c r="O164" s="348">
        <f>IF(N164="na","na",IF(N164="TBD","TBD",IF($C164="na","na",(N164*Eqtn!$D$202*($C164+Eqtn!$D$203+(Eqtn!$D$204*$D164))))))</f>
        <v>0</v>
      </c>
      <c r="P164" s="367">
        <f>IF(N164="na","na",IF(N164="TBD","TBD",IF($C164="na","na",((N164*Eqtn!$D$205)*($C164+Eqtn!$D$206)))))</f>
        <v>0</v>
      </c>
      <c r="R164" s="1062"/>
    </row>
    <row r="165" spans="1:18" ht="13.9" customHeight="1" x14ac:dyDescent="0.25">
      <c r="A165" s="846">
        <f>Chem!A165</f>
        <v>163</v>
      </c>
      <c r="B165" s="891" t="str">
        <f>Chem!B165</f>
        <v>Chloroethane</v>
      </c>
      <c r="C165" s="423">
        <f>Param!F165</f>
        <v>2.1700000000000001E-2</v>
      </c>
      <c r="D165" s="423">
        <f>Param!M165</f>
        <v>0.31170943014866348</v>
      </c>
      <c r="E165" s="461" t="str">
        <f>PW!O165</f>
        <v>na</v>
      </c>
      <c r="F165" s="461" t="str">
        <f>IF(E165="na","na",IF($C165="na","na",(E165*Eqtn!$D$202*($C165+Eqtn!$D$203+(Eqtn!$D$204*$D165)))))</f>
        <v>na</v>
      </c>
      <c r="G165" s="461" t="str">
        <f>IF(E165="na","na",IF($C165="na","na",((E165*Eqtn!$D$205)*($C165+Eqtn!$D$206))))</f>
        <v>na</v>
      </c>
      <c r="H165" s="221" t="str">
        <f>SW!R165</f>
        <v>na</v>
      </c>
      <c r="I165" s="289" t="str">
        <f>IF(H165="na","na",IF($C165="na","na",(H165*Eqtn!$D$202*($C165+Eqtn!$D$203+(Eqtn!$D$204*$D165)))))</f>
        <v>na</v>
      </c>
      <c r="J165" s="289" t="str">
        <f>IF(H165="na","na",IF($C165="na","na",((H165*Eqtn!$D$205)*($C165+Eqtn!$D$206))))</f>
        <v>na</v>
      </c>
      <c r="K165" s="584" t="str">
        <f>Partit!E165</f>
        <v>na</v>
      </c>
      <c r="L165" s="584" t="str">
        <f>IF(K165="na","na",IF(K165="TBD","TBD",IF($C165="na","na",(K165*Eqtn!$D$202*($C165+Eqtn!$D$203+(Eqtn!$D$204*$D165))))))</f>
        <v>na</v>
      </c>
      <c r="M165" s="584" t="str">
        <f>IF(K165="na","na",IF(K165="TBD","TBD",IF($C165="na","na",((K165*Eqtn!$D$205)*($C165+Eqtn!$D$206)))))</f>
        <v>na</v>
      </c>
      <c r="N165" s="348"/>
      <c r="O165" s="348">
        <f>IF(N165="na","na",IF(N165="TBD","TBD",IF($C165="na","na",(N165*Eqtn!$D$202*($C165+Eqtn!$D$203+(Eqtn!$D$204*$D165))))))</f>
        <v>0</v>
      </c>
      <c r="P165" s="367">
        <f>IF(N165="na","na",IF(N165="TBD","TBD",IF($C165="na","na",((N165*Eqtn!$D$205)*($C165+Eqtn!$D$206)))))</f>
        <v>0</v>
      </c>
      <c r="R165" s="1062"/>
    </row>
    <row r="166" spans="1:18" ht="13.9" customHeight="1" x14ac:dyDescent="0.25">
      <c r="A166" s="846">
        <f>Chem!A166</f>
        <v>164</v>
      </c>
      <c r="B166" s="891" t="str">
        <f>Chem!B166</f>
        <v>2-Chloroethyl vinyl ether</v>
      </c>
      <c r="C166" s="423" t="str">
        <f>Param!F166</f>
        <v>na</v>
      </c>
      <c r="D166" s="423">
        <f>Param!M166</f>
        <v>0</v>
      </c>
      <c r="E166" s="461" t="str">
        <f>PW!O166</f>
        <v>na</v>
      </c>
      <c r="F166" s="461" t="str">
        <f>IF(E166="na","na",IF($C166="na","na",(E166*Eqtn!$D$202*($C166+Eqtn!$D$203+(Eqtn!$D$204*$D166)))))</f>
        <v>na</v>
      </c>
      <c r="G166" s="461" t="str">
        <f>IF(E166="na","na",IF($C166="na","na",((E166*Eqtn!$D$205)*($C166+Eqtn!$D$206))))</f>
        <v>na</v>
      </c>
      <c r="H166" s="221" t="str">
        <f>SW!R166</f>
        <v>na</v>
      </c>
      <c r="I166" s="289" t="str">
        <f>IF(H166="na","na",IF($C166="na","na",(H166*Eqtn!$D$202*($C166+Eqtn!$D$203+(Eqtn!$D$204*$D166)))))</f>
        <v>na</v>
      </c>
      <c r="J166" s="289" t="str">
        <f>IF(H166="na","na",IF($C166="na","na",((H166*Eqtn!$D$205)*($C166+Eqtn!$D$206))))</f>
        <v>na</v>
      </c>
      <c r="K166" s="584" t="str">
        <f>Partit!E166</f>
        <v>na</v>
      </c>
      <c r="L166" s="584" t="str">
        <f>IF(K166="na","na",IF(K166="TBD","TBD",IF($C166="na","na",(K166*Eqtn!$D$202*($C166+Eqtn!$D$203+(Eqtn!$D$204*$D166))))))</f>
        <v>na</v>
      </c>
      <c r="M166" s="584" t="str">
        <f>IF(K166="na","na",IF(K166="TBD","TBD",IF($C166="na","na",((K166*Eqtn!$D$205)*($C166+Eqtn!$D$206)))))</f>
        <v>na</v>
      </c>
      <c r="N166" s="348"/>
      <c r="O166" s="348" t="str">
        <f>IF(N166="na","na",IF(N166="TBD","TBD",IF($C166="na","na",(N166*Eqtn!$D$202*($C166+Eqtn!$D$203+(Eqtn!$D$204*$D166))))))</f>
        <v>na</v>
      </c>
      <c r="P166" s="367" t="str">
        <f>IF(N166="na","na",IF(N166="TBD","TBD",IF($C166="na","na",((N166*Eqtn!$D$205)*($C166+Eqtn!$D$206)))))</f>
        <v>na</v>
      </c>
      <c r="R166" s="1062"/>
    </row>
    <row r="167" spans="1:18" ht="13.9" customHeight="1" x14ac:dyDescent="0.25">
      <c r="A167" s="846">
        <f>Chem!A167</f>
        <v>165</v>
      </c>
      <c r="B167" s="891" t="str">
        <f>Chem!B167</f>
        <v>Chloroform</v>
      </c>
      <c r="C167" s="423">
        <f>Param!F167</f>
        <v>5.2999999999999999E-2</v>
      </c>
      <c r="D167" s="423">
        <f>Param!M167</f>
        <v>9.1749846572671157E-2</v>
      </c>
      <c r="E167" s="461">
        <f>PW!O167</f>
        <v>14.112903225806448</v>
      </c>
      <c r="F167" s="461">
        <f>IF(E167="na","na",IF($C167="na","na",(E167*Eqtn!$D$202*($C167+Eqtn!$D$203+(Eqtn!$D$204*$D167)))))</f>
        <v>7.3655708612395968E-2</v>
      </c>
      <c r="G167" s="461">
        <f>IF(E167="na","na",IF($C167="na","na",((E167*Eqtn!$D$205)*($C167+Eqtn!$D$206))))</f>
        <v>4.7936827956989239E-3</v>
      </c>
      <c r="H167" s="221">
        <f>SW!R167</f>
        <v>154.39757375241246</v>
      </c>
      <c r="I167" s="289">
        <f>IF(H167="na","na",IF($C167="na","na",(H167*Eqtn!$D$202*($C167+Eqtn!$D$203+(Eqtn!$D$204*$D167)))))</f>
        <v>0.80580604293903302</v>
      </c>
      <c r="J167" s="289">
        <f>IF(H167="na","na",IF($C167="na","na",((H167*Eqtn!$D$205)*($C167+Eqtn!$D$206))))</f>
        <v>5.2443709217902763E-2</v>
      </c>
      <c r="K167" s="584" t="str">
        <f>Partit!E167</f>
        <v>na</v>
      </c>
      <c r="L167" s="584" t="str">
        <f>IF(K167="na","na",IF(K167="TBD","TBD",IF($C167="na","na",(K167*Eqtn!$D$202*($C167+Eqtn!$D$203+(Eqtn!$D$204*$D167))))))</f>
        <v>na</v>
      </c>
      <c r="M167" s="584" t="str">
        <f>IF(K167="na","na",IF(K167="TBD","TBD",IF($C167="na","na",((K167*Eqtn!$D$205)*($C167+Eqtn!$D$206)))))</f>
        <v>na</v>
      </c>
      <c r="N167" s="348"/>
      <c r="O167" s="348">
        <f>IF(N167="na","na",IF(N167="TBD","TBD",IF($C167="na","na",(N167*Eqtn!$D$202*($C167+Eqtn!$D$203+(Eqtn!$D$204*$D167))))))</f>
        <v>0</v>
      </c>
      <c r="P167" s="367">
        <f>IF(N167="na","na",IF(N167="TBD","TBD",IF($C167="na","na",((N167*Eqtn!$D$205)*($C167+Eqtn!$D$206)))))</f>
        <v>0</v>
      </c>
      <c r="R167" s="1062"/>
    </row>
    <row r="168" spans="1:18" ht="13.9" customHeight="1" x14ac:dyDescent="0.25">
      <c r="A168" s="846">
        <f>Chem!A168</f>
        <v>166</v>
      </c>
      <c r="B168" s="891" t="str">
        <f>Chem!B168</f>
        <v>Chloromethane</v>
      </c>
      <c r="C168" s="423">
        <f>Param!F168</f>
        <v>6.0000000000000001E-3</v>
      </c>
      <c r="D168" s="423">
        <f>Param!M168</f>
        <v>0.26910016390634151</v>
      </c>
      <c r="E168" s="461" t="str">
        <f>PW!O168</f>
        <v>na</v>
      </c>
      <c r="F168" s="461" t="str">
        <f>IF(E168="na","na",IF($C168="na","na",(E168*Eqtn!$D$202*($C168+Eqtn!$D$203+(Eqtn!$D$204*$D168)))))</f>
        <v>na</v>
      </c>
      <c r="G168" s="461" t="str">
        <f>IF(E168="na","na",IF($C168="na","na",((E168*Eqtn!$D$205)*($C168+Eqtn!$D$206))))</f>
        <v>na</v>
      </c>
      <c r="H168" s="221" t="str">
        <f>SW!R168</f>
        <v>na</v>
      </c>
      <c r="I168" s="289" t="str">
        <f>IF(H168="na","na",IF($C168="na","na",(H168*Eqtn!$D$202*($C168+Eqtn!$D$203+(Eqtn!$D$204*$D168)))))</f>
        <v>na</v>
      </c>
      <c r="J168" s="289" t="str">
        <f>IF(H168="na","na",IF($C168="na","na",((H168*Eqtn!$D$205)*($C168+Eqtn!$D$206))))</f>
        <v>na</v>
      </c>
      <c r="K168" s="584" t="str">
        <f>Partit!E168</f>
        <v>na</v>
      </c>
      <c r="L168" s="584" t="str">
        <f>IF(K168="na","na",IF(K168="TBD","TBD",IF($C168="na","na",(K168*Eqtn!$D$202*($C168+Eqtn!$D$203+(Eqtn!$D$204*$D168))))))</f>
        <v>na</v>
      </c>
      <c r="M168" s="584" t="str">
        <f>IF(K168="na","na",IF(K168="TBD","TBD",IF($C168="na","na",((K168*Eqtn!$D$205)*($C168+Eqtn!$D$206)))))</f>
        <v>na</v>
      </c>
      <c r="N168" s="348"/>
      <c r="O168" s="348">
        <f>IF(N168="na","na",IF(N168="TBD","TBD",IF($C168="na","na",(N168*Eqtn!$D$202*($C168+Eqtn!$D$203+(Eqtn!$D$204*$D168))))))</f>
        <v>0</v>
      </c>
      <c r="P168" s="367">
        <f>IF(N168="na","na",IF(N168="TBD","TBD",IF($C168="na","na",((N168*Eqtn!$D$205)*($C168+Eqtn!$D$206)))))</f>
        <v>0</v>
      </c>
      <c r="R168" s="1062"/>
    </row>
    <row r="169" spans="1:18" ht="13.9" customHeight="1" x14ac:dyDescent="0.25">
      <c r="A169" s="846">
        <f>Chem!A169</f>
        <v>167</v>
      </c>
      <c r="B169" s="891" t="str">
        <f>Chem!B169</f>
        <v>3-Chloro-1-propene (allyl chloride)</v>
      </c>
      <c r="C169" s="423">
        <f>Param!F169</f>
        <v>3.9600000000000003E-2</v>
      </c>
      <c r="D169" s="423">
        <f>Param!M169</f>
        <v>0.27939553309613074</v>
      </c>
      <c r="E169" s="461">
        <f>PW!O169</f>
        <v>2.0833333333333326</v>
      </c>
      <c r="F169" s="461">
        <f>IF(E169="na","na",IF($C169="na","na",(E169*Eqtn!$D$202*($C169+Eqtn!$D$203+(Eqtn!$D$204*$D169)))))</f>
        <v>1.0992261647291578E-2</v>
      </c>
      <c r="G169" s="461">
        <f>IF(E169="na","na",IF($C169="na","na",((E169*Eqtn!$D$205)*($C169+Eqtn!$D$206))))</f>
        <v>6.7972222222222197E-4</v>
      </c>
      <c r="H169" s="221" t="str">
        <f>SW!R169</f>
        <v>na</v>
      </c>
      <c r="I169" s="289" t="str">
        <f>IF(H169="na","na",IF($C169="na","na",(H169*Eqtn!$D$202*($C169+Eqtn!$D$203+(Eqtn!$D$204*$D169)))))</f>
        <v>na</v>
      </c>
      <c r="J169" s="289" t="str">
        <f>IF(H169="na","na",IF($C169="na","na",((H169*Eqtn!$D$205)*($C169+Eqtn!$D$206))))</f>
        <v>na</v>
      </c>
      <c r="K169" s="584" t="str">
        <f>Partit!E169</f>
        <v>na</v>
      </c>
      <c r="L169" s="584" t="str">
        <f>IF(K169="na","na",IF(K169="TBD","TBD",IF($C169="na","na",(K169*Eqtn!$D$202*($C169+Eqtn!$D$203+(Eqtn!$D$204*$D169))))))</f>
        <v>na</v>
      </c>
      <c r="M169" s="584" t="str">
        <f>IF(K169="na","na",IF(K169="TBD","TBD",IF($C169="na","na",((K169*Eqtn!$D$205)*($C169+Eqtn!$D$206)))))</f>
        <v>na</v>
      </c>
      <c r="N169" s="348"/>
      <c r="O169" s="348">
        <f>IF(N169="na","na",IF(N169="TBD","TBD",IF($C169="na","na",(N169*Eqtn!$D$202*($C169+Eqtn!$D$203+(Eqtn!$D$204*$D169))))))</f>
        <v>0</v>
      </c>
      <c r="P169" s="367">
        <f>IF(N169="na","na",IF(N169="TBD","TBD",IF($C169="na","na",((N169*Eqtn!$D$205)*($C169+Eqtn!$D$206)))))</f>
        <v>0</v>
      </c>
      <c r="R169" s="1062"/>
    </row>
    <row r="170" spans="1:18" ht="13.9" customHeight="1" x14ac:dyDescent="0.25">
      <c r="A170" s="846">
        <f>Chem!A170</f>
        <v>168</v>
      </c>
      <c r="B170" s="891" t="str">
        <f>Chem!B170</f>
        <v>2-Chlorotoluene</v>
      </c>
      <c r="C170" s="423">
        <f>Param!F170</f>
        <v>0.38300000000000001</v>
      </c>
      <c r="D170" s="423">
        <f>Param!M170</f>
        <v>7.076039778255426E-2</v>
      </c>
      <c r="E170" s="461">
        <f>PW!O170</f>
        <v>160</v>
      </c>
      <c r="F170" s="461">
        <f>IF(E170="na","na",IF($C170="na","na",(E170*Eqtn!$D$202*($C170+Eqtn!$D$203+(Eqtn!$D$204*$D170)))))</f>
        <v>1.8852242169850282</v>
      </c>
      <c r="G170" s="461">
        <f>IF(E170="na","na",IF($C170="na","na",((E170*Eqtn!$D$205)*($C170+Eqtn!$D$206))))</f>
        <v>0.10714666666666667</v>
      </c>
      <c r="H170" s="221" t="str">
        <f>SW!R170</f>
        <v>na</v>
      </c>
      <c r="I170" s="289" t="str">
        <f>IF(H170="na","na",IF($C170="na","na",(H170*Eqtn!$D$202*($C170+Eqtn!$D$203+(Eqtn!$D$204*$D170)))))</f>
        <v>na</v>
      </c>
      <c r="J170" s="289" t="str">
        <f>IF(H170="na","na",IF($C170="na","na",((H170*Eqtn!$D$205)*($C170+Eqtn!$D$206))))</f>
        <v>na</v>
      </c>
      <c r="K170" s="584" t="str">
        <f>Partit!E170</f>
        <v>na</v>
      </c>
      <c r="L170" s="584" t="str">
        <f>IF(K170="na","na",IF(K170="TBD","TBD",IF($C170="na","na",(K170*Eqtn!$D$202*($C170+Eqtn!$D$203+(Eqtn!$D$204*$D170))))))</f>
        <v>na</v>
      </c>
      <c r="M170" s="584" t="str">
        <f>IF(K170="na","na",IF(K170="TBD","TBD",IF($C170="na","na",((K170*Eqtn!$D$205)*($C170+Eqtn!$D$206)))))</f>
        <v>na</v>
      </c>
      <c r="N170" s="348"/>
      <c r="O170" s="348">
        <f>IF(N170="na","na",IF(N170="TBD","TBD",IF($C170="na","na",(N170*Eqtn!$D$202*($C170+Eqtn!$D$203+(Eqtn!$D$204*$D170))))))</f>
        <v>0</v>
      </c>
      <c r="P170" s="367">
        <f>IF(N170="na","na",IF(N170="TBD","TBD",IF($C170="na","na",((N170*Eqtn!$D$205)*($C170+Eqtn!$D$206)))))</f>
        <v>0</v>
      </c>
      <c r="R170" s="1062"/>
    </row>
    <row r="171" spans="1:18" ht="13.9" customHeight="1" x14ac:dyDescent="0.25">
      <c r="A171" s="846">
        <f>Chem!A171</f>
        <v>169</v>
      </c>
      <c r="B171" s="891" t="str">
        <f>Chem!B171</f>
        <v>4-Chlorotoluene</v>
      </c>
      <c r="C171" s="423">
        <f>Param!F171</f>
        <v>0.375</v>
      </c>
      <c r="D171" s="423">
        <f>Param!M171</f>
        <v>8.0724687642473356E-2</v>
      </c>
      <c r="E171" s="461">
        <f>PW!O171</f>
        <v>160</v>
      </c>
      <c r="F171" s="461">
        <f>IF(E171="na","na",IF($C171="na","na",(E171*Eqtn!$D$202*($C171+Eqtn!$D$203+(Eqtn!$D$204*$D171)))))</f>
        <v>1.8623876467061793</v>
      </c>
      <c r="G171" s="461">
        <f>IF(E171="na","na",IF($C171="na","na",((E171*Eqtn!$D$205)*($C171+Eqtn!$D$206))))</f>
        <v>0.10586666666666666</v>
      </c>
      <c r="H171" s="221" t="str">
        <f>SW!R171</f>
        <v>na</v>
      </c>
      <c r="I171" s="289" t="str">
        <f>IF(H171="na","na",IF($C171="na","na",(H171*Eqtn!$D$202*($C171+Eqtn!$D$203+(Eqtn!$D$204*$D171)))))</f>
        <v>na</v>
      </c>
      <c r="J171" s="289" t="str">
        <f>IF(H171="na","na",IF($C171="na","na",((H171*Eqtn!$D$205)*($C171+Eqtn!$D$206))))</f>
        <v>na</v>
      </c>
      <c r="K171" s="584" t="str">
        <f>Partit!E171</f>
        <v>na</v>
      </c>
      <c r="L171" s="584" t="str">
        <f>IF(K171="na","na",IF(K171="TBD","TBD",IF($C171="na","na",(K171*Eqtn!$D$202*($C171+Eqtn!$D$203+(Eqtn!$D$204*$D171))))))</f>
        <v>na</v>
      </c>
      <c r="M171" s="584" t="str">
        <f>IF(K171="na","na",IF(K171="TBD","TBD",IF($C171="na","na",((K171*Eqtn!$D$205)*($C171+Eqtn!$D$206)))))</f>
        <v>na</v>
      </c>
      <c r="N171" s="348"/>
      <c r="O171" s="348">
        <f>IF(N171="na","na",IF(N171="TBD","TBD",IF($C171="na","na",(N171*Eqtn!$D$202*($C171+Eqtn!$D$203+(Eqtn!$D$204*$D171))))))</f>
        <v>0</v>
      </c>
      <c r="P171" s="367">
        <f>IF(N171="na","na",IF(N171="TBD","TBD",IF($C171="na","na",((N171*Eqtn!$D$205)*($C171+Eqtn!$D$206)))))</f>
        <v>0</v>
      </c>
      <c r="R171" s="1062"/>
    </row>
    <row r="172" spans="1:18" ht="13.9" customHeight="1" x14ac:dyDescent="0.25">
      <c r="A172" s="846">
        <f>Chem!A172</f>
        <v>170</v>
      </c>
      <c r="B172" s="891" t="str">
        <f>Chem!B172</f>
        <v>Dibromochloromethane</v>
      </c>
      <c r="C172" s="423">
        <f>Param!F172</f>
        <v>3.1800000000000002E-2</v>
      </c>
      <c r="D172" s="423">
        <f>Param!M172</f>
        <v>2.1021467943253914E-2</v>
      </c>
      <c r="E172" s="461">
        <f>PW!O172</f>
        <v>5.2083333333333313</v>
      </c>
      <c r="F172" s="461">
        <f>IF(E172="na","na",IF($C172="na","na",(E172*Eqtn!$D$202*($C172+Eqtn!$D$203+(Eqtn!$D$204*$D172)))))</f>
        <v>2.43356104744877E-2</v>
      </c>
      <c r="G172" s="461">
        <f>IF(E172="na","na",IF($C172="na","na",((E172*Eqtn!$D$205)*($C172+Eqtn!$D$206))))</f>
        <v>1.658680555555555E-3</v>
      </c>
      <c r="H172" s="221">
        <f>SW!R172</f>
        <v>2.2000000000000002</v>
      </c>
      <c r="I172" s="289">
        <f>IF(H172="na","na",IF($C172="na","na",(H172*Eqtn!$D$202*($C172+Eqtn!$D$203+(Eqtn!$D$204*$D172)))))</f>
        <v>1.0279361864423608E-2</v>
      </c>
      <c r="J172" s="289">
        <f>IF(H172="na","na",IF($C172="na","na",((H172*Eqtn!$D$205)*($C172+Eqtn!$D$206))))</f>
        <v>7.0062666666666673E-4</v>
      </c>
      <c r="K172" s="584" t="str">
        <f>Partit!E172</f>
        <v>na</v>
      </c>
      <c r="L172" s="584" t="str">
        <f>IF(K172="na","na",IF(K172="TBD","TBD",IF($C172="na","na",(K172*Eqtn!$D$202*($C172+Eqtn!$D$203+(Eqtn!$D$204*$D172))))))</f>
        <v>na</v>
      </c>
      <c r="M172" s="584" t="str">
        <f>IF(K172="na","na",IF(K172="TBD","TBD",IF($C172="na","na",((K172*Eqtn!$D$205)*($C172+Eqtn!$D$206)))))</f>
        <v>na</v>
      </c>
      <c r="N172" s="348"/>
      <c r="O172" s="348">
        <f>IF(N172="na","na",IF(N172="TBD","TBD",IF($C172="na","na",(N172*Eqtn!$D$202*($C172+Eqtn!$D$203+(Eqtn!$D$204*$D172))))))</f>
        <v>0</v>
      </c>
      <c r="P172" s="367">
        <f>IF(N172="na","na",IF(N172="TBD","TBD",IF($C172="na","na",((N172*Eqtn!$D$205)*($C172+Eqtn!$D$206)))))</f>
        <v>0</v>
      </c>
      <c r="R172" s="1062"/>
    </row>
    <row r="173" spans="1:18" ht="13.9" customHeight="1" x14ac:dyDescent="0.25">
      <c r="A173" s="846">
        <f>Chem!A173</f>
        <v>171</v>
      </c>
      <c r="B173" s="891" t="str">
        <f>Chem!B173</f>
        <v>1,2-Dibromo-3-chloropropane</v>
      </c>
      <c r="C173" s="423">
        <f>Param!F173</f>
        <v>0.11600000000000001</v>
      </c>
      <c r="D173" s="423">
        <f>Param!M173</f>
        <v>2.60438041827246E-3</v>
      </c>
      <c r="E173" s="461">
        <f>PW!O173</f>
        <v>0.14000000000000001</v>
      </c>
      <c r="F173" s="461">
        <f>IF(E173="na","na",IF($C173="na","na",(E173*Eqtn!$D$202*($C173+Eqtn!$D$203+(Eqtn!$D$204*$D173)))))</f>
        <v>8.8543199631483424E-4</v>
      </c>
      <c r="G173" s="461">
        <f>IF(E173="na","na",IF($C173="na","na",((E173*Eqtn!$D$205)*($C173+Eqtn!$D$206))))</f>
        <v>5.6373333333333338E-5</v>
      </c>
      <c r="H173" s="221" t="str">
        <f>SW!R173</f>
        <v>na</v>
      </c>
      <c r="I173" s="289" t="str">
        <f>IF(H173="na","na",IF($C173="na","na",(H173*Eqtn!$D$202*($C173+Eqtn!$D$203+(Eqtn!$D$204*$D173)))))</f>
        <v>na</v>
      </c>
      <c r="J173" s="289" t="str">
        <f>IF(H173="na","na",IF($C173="na","na",((H173*Eqtn!$D$205)*($C173+Eqtn!$D$206))))</f>
        <v>na</v>
      </c>
      <c r="K173" s="584" t="str">
        <f>Partit!E173</f>
        <v>na</v>
      </c>
      <c r="L173" s="584" t="str">
        <f>IF(K173="na","na",IF(K173="TBD","TBD",IF($C173="na","na",(K173*Eqtn!$D$202*($C173+Eqtn!$D$203+(Eqtn!$D$204*$D173))))))</f>
        <v>na</v>
      </c>
      <c r="M173" s="584" t="str">
        <f>IF(K173="na","na",IF(K173="TBD","TBD",IF($C173="na","na",((K173*Eqtn!$D$205)*($C173+Eqtn!$D$206)))))</f>
        <v>na</v>
      </c>
      <c r="N173" s="348"/>
      <c r="O173" s="348">
        <f>IF(N173="na","na",IF(N173="TBD","TBD",IF($C173="na","na",(N173*Eqtn!$D$202*($C173+Eqtn!$D$203+(Eqtn!$D$204*$D173))))))</f>
        <v>0</v>
      </c>
      <c r="P173" s="367">
        <f>IF(N173="na","na",IF(N173="TBD","TBD",IF($C173="na","na",((N173*Eqtn!$D$205)*($C173+Eqtn!$D$206)))))</f>
        <v>0</v>
      </c>
      <c r="R173" s="1062"/>
    </row>
    <row r="174" spans="1:18" ht="13.9" customHeight="1" x14ac:dyDescent="0.25">
      <c r="A174" s="846">
        <f>Chem!A174</f>
        <v>172</v>
      </c>
      <c r="B174" s="891" t="str">
        <f>Chem!B174</f>
        <v>Dibromomethane</v>
      </c>
      <c r="C174" s="423">
        <f>Param!F174</f>
        <v>2.1729999999999999E-2</v>
      </c>
      <c r="D174" s="423">
        <f>Param!M174</f>
        <v>1.8920517409290297E-2</v>
      </c>
      <c r="E174" s="461">
        <f>PW!O174</f>
        <v>80</v>
      </c>
      <c r="F174" s="461">
        <f>IF(E174="na","na",IF($C174="na","na",(E174*Eqtn!$D$202*($C174+Eqtn!$D$203+(Eqtn!$D$204*$D174)))))</f>
        <v>0.35739164508075488</v>
      </c>
      <c r="G174" s="461">
        <f>IF(E174="na","na",IF($C174="na","na",((E174*Eqtn!$D$205)*($C174+Eqtn!$D$206))))</f>
        <v>2.4671733333333334E-2</v>
      </c>
      <c r="H174" s="221" t="str">
        <f>SW!R174</f>
        <v>na</v>
      </c>
      <c r="I174" s="289" t="str">
        <f>IF(H174="na","na",IF($C174="na","na",(H174*Eqtn!$D$202*($C174+Eqtn!$D$203+(Eqtn!$D$204*$D174)))))</f>
        <v>na</v>
      </c>
      <c r="J174" s="289" t="str">
        <f>IF(H174="na","na",IF($C174="na","na",((H174*Eqtn!$D$205)*($C174+Eqtn!$D$206))))</f>
        <v>na</v>
      </c>
      <c r="K174" s="584" t="str">
        <f>Partit!E174</f>
        <v>na</v>
      </c>
      <c r="L174" s="584" t="str">
        <f>IF(K174="na","na",IF(K174="TBD","TBD",IF($C174="na","na",(K174*Eqtn!$D$202*($C174+Eqtn!$D$203+(Eqtn!$D$204*$D174))))))</f>
        <v>na</v>
      </c>
      <c r="M174" s="584" t="str">
        <f>IF(K174="na","na",IF(K174="TBD","TBD",IF($C174="na","na",((K174*Eqtn!$D$205)*($C174+Eqtn!$D$206)))))</f>
        <v>na</v>
      </c>
      <c r="N174" s="348"/>
      <c r="O174" s="348">
        <f>IF(N174="na","na",IF(N174="TBD","TBD",IF($C174="na","na",(N174*Eqtn!$D$202*($C174+Eqtn!$D$203+(Eqtn!$D$204*$D174))))))</f>
        <v>0</v>
      </c>
      <c r="P174" s="367">
        <f>IF(N174="na","na",IF(N174="TBD","TBD",IF($C174="na","na",((N174*Eqtn!$D$205)*($C174+Eqtn!$D$206)))))</f>
        <v>0</v>
      </c>
      <c r="R174" s="1062"/>
    </row>
    <row r="175" spans="1:18" ht="13.9" customHeight="1" x14ac:dyDescent="0.25">
      <c r="A175" s="846">
        <f>Chem!A175</f>
        <v>173</v>
      </c>
      <c r="B175" s="891" t="str">
        <f>Chem!B175</f>
        <v>Dichlorobromomethane</v>
      </c>
      <c r="C175" s="423">
        <f>Param!F175</f>
        <v>3.1800000000000002E-2</v>
      </c>
      <c r="D175" s="423">
        <f>Param!M175</f>
        <v>4.8987240901005022E-2</v>
      </c>
      <c r="E175" s="461">
        <f>PW!O175</f>
        <v>7.0564516129032242</v>
      </c>
      <c r="F175" s="461">
        <f>IF(E175="na","na",IF($C175="na","na",(E175*Eqtn!$D$202*($C175+Eqtn!$D$203+(Eqtn!$D$204*$D175)))))</f>
        <v>3.3312881575536475E-2</v>
      </c>
      <c r="G175" s="461">
        <f>IF(E175="na","na",IF($C175="na","na",((E175*Eqtn!$D$205)*($C175+Eqtn!$D$206))))</f>
        <v>2.2472446236559136E-3</v>
      </c>
      <c r="H175" s="221">
        <f>SW!R175</f>
        <v>2.8</v>
      </c>
      <c r="I175" s="289">
        <f>IF(H175="na","na",IF($C175="na","na",(H175*Eqtn!$D$202*($C175+Eqtn!$D$203+(Eqtn!$D$204*$D175)))))</f>
        <v>1.3218551409172876E-2</v>
      </c>
      <c r="J175" s="289">
        <f>IF(H175="na","na",IF($C175="na","na",((H175*Eqtn!$D$205)*($C175+Eqtn!$D$206))))</f>
        <v>8.9170666666666667E-4</v>
      </c>
      <c r="K175" s="584" t="str">
        <f>Partit!E175</f>
        <v>na</v>
      </c>
      <c r="L175" s="584" t="str">
        <f>IF(K175="na","na",IF(K175="TBD","TBD",IF($C175="na","na",(K175*Eqtn!$D$202*($C175+Eqtn!$D$203+(Eqtn!$D$204*$D175))))))</f>
        <v>na</v>
      </c>
      <c r="M175" s="584" t="str">
        <f>IF(K175="na","na",IF(K175="TBD","TBD",IF($C175="na","na",((K175*Eqtn!$D$205)*($C175+Eqtn!$D$206)))))</f>
        <v>na</v>
      </c>
      <c r="N175" s="348"/>
      <c r="O175" s="348">
        <f>IF(N175="na","na",IF(N175="TBD","TBD",IF($C175="na","na",(N175*Eqtn!$D$202*($C175+Eqtn!$D$203+(Eqtn!$D$204*$D175))))))</f>
        <v>0</v>
      </c>
      <c r="P175" s="367">
        <f>IF(N175="na","na",IF(N175="TBD","TBD",IF($C175="na","na",((N175*Eqtn!$D$205)*($C175+Eqtn!$D$206)))))</f>
        <v>0</v>
      </c>
      <c r="R175" s="1062"/>
    </row>
    <row r="176" spans="1:18" ht="13.9" customHeight="1" x14ac:dyDescent="0.25">
      <c r="A176" s="846">
        <f>Chem!A176</f>
        <v>174</v>
      </c>
      <c r="B176" s="891" t="str">
        <f>Chem!B176</f>
        <v>trans-1,4-Dichloro-2-butene</v>
      </c>
      <c r="C176" s="423">
        <f>Param!F176</f>
        <v>0.13200000000000001</v>
      </c>
      <c r="D176" s="423">
        <f>Param!M176</f>
        <v>1.2956406270293997E-2</v>
      </c>
      <c r="E176" s="461" t="str">
        <f>PW!O176</f>
        <v>na</v>
      </c>
      <c r="F176" s="461" t="str">
        <f>IF(E176="na","na",IF($C176="na","na",(E176*Eqtn!$D$202*($C176+Eqtn!$D$203+(Eqtn!$D$204*$D176)))))</f>
        <v>na</v>
      </c>
      <c r="G176" s="461" t="str">
        <f>IF(E176="na","na",IF($C176="na","na",((E176*Eqtn!$D$205)*($C176+Eqtn!$D$206))))</f>
        <v>na</v>
      </c>
      <c r="H176" s="221" t="str">
        <f>SW!R176</f>
        <v>na</v>
      </c>
      <c r="I176" s="289" t="str">
        <f>IF(H176="na","na",IF($C176="na","na",(H176*Eqtn!$D$202*($C176+Eqtn!$D$203+(Eqtn!$D$204*$D176)))))</f>
        <v>na</v>
      </c>
      <c r="J176" s="289" t="str">
        <f>IF(H176="na","na",IF($C176="na","na",((H176*Eqtn!$D$205)*($C176+Eqtn!$D$206))))</f>
        <v>na</v>
      </c>
      <c r="K176" s="584" t="str">
        <f>Partit!E176</f>
        <v>na</v>
      </c>
      <c r="L176" s="584" t="str">
        <f>IF(K176="na","na",IF(K176="TBD","TBD",IF($C176="na","na",(K176*Eqtn!$D$202*($C176+Eqtn!$D$203+(Eqtn!$D$204*$D176))))))</f>
        <v>na</v>
      </c>
      <c r="M176" s="584" t="str">
        <f>IF(K176="na","na",IF(K176="TBD","TBD",IF($C176="na","na",((K176*Eqtn!$D$205)*($C176+Eqtn!$D$206)))))</f>
        <v>na</v>
      </c>
      <c r="N176" s="348"/>
      <c r="O176" s="348">
        <f>IF(N176="na","na",IF(N176="TBD","TBD",IF($C176="na","na",(N176*Eqtn!$D$202*($C176+Eqtn!$D$203+(Eqtn!$D$204*$D176))))))</f>
        <v>0</v>
      </c>
      <c r="P176" s="367">
        <f>IF(N176="na","na",IF(N176="TBD","TBD",IF($C176="na","na",((N176*Eqtn!$D$205)*($C176+Eqtn!$D$206)))))</f>
        <v>0</v>
      </c>
      <c r="R176" s="1062"/>
    </row>
    <row r="177" spans="1:18" ht="13.9" customHeight="1" x14ac:dyDescent="0.25">
      <c r="A177" s="846">
        <f>Chem!A177</f>
        <v>175</v>
      </c>
      <c r="B177" s="891" t="str">
        <f>Chem!B177</f>
        <v>Dichlorodifluoromethane</v>
      </c>
      <c r="C177" s="423">
        <f>Param!F177</f>
        <v>4.3900000000000002E-2</v>
      </c>
      <c r="D177" s="423">
        <f>Param!M177</f>
        <v>10.827014872186989</v>
      </c>
      <c r="E177" s="461">
        <f>PW!O177</f>
        <v>1600</v>
      </c>
      <c r="F177" s="461">
        <f>IF(E177="na","na",IF($C177="na","na",(E177*Eqtn!$D$202*($C177+Eqtn!$D$203+(Eqtn!$D$204*$D177)))))</f>
        <v>37.831721245531917</v>
      </c>
      <c r="G177" s="461">
        <f>IF(E177="na","na",IF($C177="na","na",((E177*Eqtn!$D$205)*($C177+Eqtn!$D$206))))</f>
        <v>0.52890666666666675</v>
      </c>
      <c r="H177" s="219" t="str">
        <f>SW!R177</f>
        <v>na</v>
      </c>
      <c r="I177" s="289" t="str">
        <f>IF(H177="na","na",IF($C177="na","na",(H177*Eqtn!$D$202*($C177+Eqtn!$D$203+(Eqtn!$D$204*$D177)))))</f>
        <v>na</v>
      </c>
      <c r="J177" s="289" t="str">
        <f>IF(H177="na","na",IF($C177="na","na",((H177*Eqtn!$D$205)*($C177+Eqtn!$D$206))))</f>
        <v>na</v>
      </c>
      <c r="K177" s="584" t="str">
        <f>Partit!E177</f>
        <v>na</v>
      </c>
      <c r="L177" s="584" t="str">
        <f>IF(K177="na","na",IF(K177="TBD","TBD",IF($C177="na","na",(K177*Eqtn!$D$202*($C177+Eqtn!$D$203+(Eqtn!$D$204*$D177))))))</f>
        <v>na</v>
      </c>
      <c r="M177" s="584" t="str">
        <f>IF(K177="na","na",IF(K177="TBD","TBD",IF($C177="na","na",((K177*Eqtn!$D$205)*($C177+Eqtn!$D$206)))))</f>
        <v>na</v>
      </c>
      <c r="N177" s="348"/>
      <c r="O177" s="348">
        <f>IF(N177="na","na",IF(N177="TBD","TBD",IF($C177="na","na",(N177*Eqtn!$D$202*($C177+Eqtn!$D$203+(Eqtn!$D$204*$D177))))))</f>
        <v>0</v>
      </c>
      <c r="P177" s="367">
        <f>IF(N177="na","na",IF(N177="TBD","TBD",IF($C177="na","na",((N177*Eqtn!$D$205)*($C177+Eqtn!$D$206)))))</f>
        <v>0</v>
      </c>
      <c r="R177" s="1062"/>
    </row>
    <row r="178" spans="1:18" ht="13.9" customHeight="1" x14ac:dyDescent="0.25">
      <c r="A178" s="846">
        <f>Chem!A178</f>
        <v>176</v>
      </c>
      <c r="B178" s="891" t="str">
        <f>Chem!B178</f>
        <v>1,1-Dichloroethane</v>
      </c>
      <c r="C178" s="423">
        <f>Param!F178</f>
        <v>5.2999999999999999E-2</v>
      </c>
      <c r="D178" s="423">
        <f>Param!M178</f>
        <v>0.14158130826026752</v>
      </c>
      <c r="E178" s="461">
        <f>PW!O178</f>
        <v>7.675438596491226</v>
      </c>
      <c r="F178" s="461">
        <f>IF(E178="na","na",IF($C178="na","na",(E178*Eqtn!$D$202*($C178+Eqtn!$D$203+(Eqtn!$D$204*$D178)))))</f>
        <v>4.0721330270714076E-2</v>
      </c>
      <c r="G178" s="461">
        <f>IF(E178="na","na",IF($C178="na","na",((E178*Eqtn!$D$205)*($C178+Eqtn!$D$206))))</f>
        <v>2.6070906432748529E-3</v>
      </c>
      <c r="H178" s="221" t="str">
        <f>SW!R178</f>
        <v>na</v>
      </c>
      <c r="I178" s="289" t="str">
        <f>IF(H178="na","na",IF($C178="na","na",(H178*Eqtn!$D$202*($C178+Eqtn!$D$203+(Eqtn!$D$204*$D178)))))</f>
        <v>na</v>
      </c>
      <c r="J178" s="289" t="str">
        <f>IF(H178="na","na",IF($C178="na","na",((H178*Eqtn!$D$205)*($C178+Eqtn!$D$206))))</f>
        <v>na</v>
      </c>
      <c r="K178" s="584" t="str">
        <f>Partit!E178</f>
        <v>na</v>
      </c>
      <c r="L178" s="584" t="str">
        <f>IF(K178="na","na",IF(K178="TBD","TBD",IF($C178="na","na",(K178*Eqtn!$D$202*($C178+Eqtn!$D$203+(Eqtn!$D$204*$D178))))))</f>
        <v>na</v>
      </c>
      <c r="M178" s="584" t="str">
        <f>IF(K178="na","na",IF(K178="TBD","TBD",IF($C178="na","na",((K178*Eqtn!$D$205)*($C178+Eqtn!$D$206)))))</f>
        <v>na</v>
      </c>
      <c r="N178" s="348"/>
      <c r="O178" s="348">
        <f>IF(N178="na","na",IF(N178="TBD","TBD",IF($C178="na","na",(N178*Eqtn!$D$202*($C178+Eqtn!$D$203+(Eqtn!$D$204*$D178))))))</f>
        <v>0</v>
      </c>
      <c r="P178" s="367">
        <f>IF(N178="na","na",IF(N178="TBD","TBD",IF($C178="na","na",((N178*Eqtn!$D$205)*($C178+Eqtn!$D$206)))))</f>
        <v>0</v>
      </c>
      <c r="R178" s="1062"/>
    </row>
    <row r="179" spans="1:18" ht="13.9" customHeight="1" x14ac:dyDescent="0.25">
      <c r="A179" s="846">
        <f>Chem!A179</f>
        <v>177</v>
      </c>
      <c r="B179" s="891" t="str">
        <f>Chem!B179</f>
        <v>1,2-Dichloroethane (EDC)</v>
      </c>
      <c r="C179" s="423">
        <f>Param!F179</f>
        <v>3.7999999999999999E-2</v>
      </c>
      <c r="D179" s="423">
        <f>Param!M179</f>
        <v>2.7554473348855319E-2</v>
      </c>
      <c r="E179" s="461">
        <f>PW!O179</f>
        <v>4.8076923076923066</v>
      </c>
      <c r="F179" s="461">
        <f>IF(E179="na","na",IF($C179="na","na",(E179*Eqtn!$D$202*($C179+Eqtn!$D$203+(Eqtn!$D$204*$D179)))))</f>
        <v>2.3114235995855839E-2</v>
      </c>
      <c r="G179" s="461">
        <f>IF(E179="na","na",IF($C179="na","na",((E179*Eqtn!$D$205)*($C179+Eqtn!$D$206))))</f>
        <v>1.5608974358974357E-3</v>
      </c>
      <c r="H179" s="221">
        <f>SW!R179</f>
        <v>73</v>
      </c>
      <c r="I179" s="289">
        <f>IF(H179="na","na",IF($C179="na","na",(H179*Eqtn!$D$202*($C179+Eqtn!$D$203+(Eqtn!$D$204*$D179)))))</f>
        <v>0.35096655936107513</v>
      </c>
      <c r="J179" s="289">
        <f>IF(H179="na","na",IF($C179="na","na",((H179*Eqtn!$D$205)*($C179+Eqtn!$D$206))))</f>
        <v>2.3700666666666665E-2</v>
      </c>
      <c r="K179" s="584" t="str">
        <f>Partit!E179</f>
        <v>na</v>
      </c>
      <c r="L179" s="584" t="str">
        <f>IF(K179="na","na",IF(K179="TBD","TBD",IF($C179="na","na",(K179*Eqtn!$D$202*($C179+Eqtn!$D$203+(Eqtn!$D$204*$D179))))))</f>
        <v>na</v>
      </c>
      <c r="M179" s="584" t="str">
        <f>IF(K179="na","na",IF(K179="TBD","TBD",IF($C179="na","na",((K179*Eqtn!$D$205)*($C179+Eqtn!$D$206)))))</f>
        <v>na</v>
      </c>
      <c r="N179" s="348"/>
      <c r="O179" s="348">
        <f>IF(N179="na","na",IF(N179="TBD","TBD",IF($C179="na","na",(N179*Eqtn!$D$202*($C179+Eqtn!$D$203+(Eqtn!$D$204*$D179))))))</f>
        <v>0</v>
      </c>
      <c r="P179" s="367">
        <f>IF(N179="na","na",IF(N179="TBD","TBD",IF($C179="na","na",((N179*Eqtn!$D$205)*($C179+Eqtn!$D$206)))))</f>
        <v>0</v>
      </c>
      <c r="R179" s="1062"/>
    </row>
    <row r="180" spans="1:18" ht="13.9" customHeight="1" x14ac:dyDescent="0.25">
      <c r="A180" s="846">
        <f>Chem!A180</f>
        <v>178</v>
      </c>
      <c r="B180" s="891" t="str">
        <f>Chem!B180</f>
        <v>1,1-Dichloroethylene</v>
      </c>
      <c r="C180" s="423">
        <f>Param!F180</f>
        <v>6.5000000000000002E-2</v>
      </c>
      <c r="D180" s="423">
        <f>Param!M180</f>
        <v>0.70298676288314521</v>
      </c>
      <c r="E180" s="461">
        <f>PW!O180</f>
        <v>7</v>
      </c>
      <c r="F180" s="461">
        <f>IF(E180="na","na",IF($C180="na","na",(E180*Eqtn!$D$202*($C180+Eqtn!$D$203+(Eqtn!$D$204*$D180)))))</f>
        <v>4.5629572722982167E-2</v>
      </c>
      <c r="G180" s="461">
        <f>IF(E180="na","na",IF($C180="na","na",((E180*Eqtn!$D$205)*($C180+Eqtn!$D$206))))</f>
        <v>2.4616666666666667E-3</v>
      </c>
      <c r="H180" s="221">
        <f>SW!R180</f>
        <v>4000</v>
      </c>
      <c r="I180" s="289">
        <f>IF(H180="na","na",IF($C180="na","na",(H180*Eqtn!$D$202*($C180+Eqtn!$D$203+(Eqtn!$D$204*$D180)))))</f>
        <v>26.074041555989808</v>
      </c>
      <c r="J180" s="289">
        <f>IF(H180="na","na",IF($C180="na","na",((H180*Eqtn!$D$205)*($C180+Eqtn!$D$206))))</f>
        <v>1.4066666666666667</v>
      </c>
      <c r="K180" s="584" t="str">
        <f>Partit!E180</f>
        <v>na</v>
      </c>
      <c r="L180" s="584" t="str">
        <f>IF(K180="na","na",IF(K180="TBD","TBD",IF($C180="na","na",(K180*Eqtn!$D$202*($C180+Eqtn!$D$203+(Eqtn!$D$204*$D180))))))</f>
        <v>na</v>
      </c>
      <c r="M180" s="584" t="str">
        <f>IF(K180="na","na",IF(K180="TBD","TBD",IF($C180="na","na",((K180*Eqtn!$D$205)*($C180+Eqtn!$D$206)))))</f>
        <v>na</v>
      </c>
      <c r="N180" s="348"/>
      <c r="O180" s="348">
        <f>IF(N180="na","na",IF(N180="TBD","TBD",IF($C180="na","na",(N180*Eqtn!$D$202*($C180+Eqtn!$D$203+(Eqtn!$D$204*$D180))))))</f>
        <v>0</v>
      </c>
      <c r="P180" s="367">
        <f>IF(N180="na","na",IF(N180="TBD","TBD",IF($C180="na","na",((N180*Eqtn!$D$205)*($C180+Eqtn!$D$206)))))</f>
        <v>0</v>
      </c>
      <c r="R180" s="1062"/>
    </row>
    <row r="181" spans="1:18" ht="13.9" customHeight="1" x14ac:dyDescent="0.25">
      <c r="A181" s="846">
        <f>Chem!A181</f>
        <v>179</v>
      </c>
      <c r="B181" s="891" t="str">
        <f>Chem!B181</f>
        <v>cis-1,2-Dichloroethylene</v>
      </c>
      <c r="C181" s="423">
        <f>Param!F181</f>
        <v>3.9600000000000003E-2</v>
      </c>
      <c r="D181" s="423">
        <f>Param!M181</f>
        <v>0.10033434691359064</v>
      </c>
      <c r="E181" s="461">
        <f>PW!O181</f>
        <v>16</v>
      </c>
      <c r="F181" s="461">
        <f>IF(E181="na","na",IF($C181="na","na",(E181*Eqtn!$D$202*($C181+Eqtn!$D$203+(Eqtn!$D$204*$D181)))))</f>
        <v>7.9454605887736909E-2</v>
      </c>
      <c r="G181" s="461">
        <f>IF(E181="na","na",IF($C181="na","na",((E181*Eqtn!$D$205)*($C181+Eqtn!$D$206))))</f>
        <v>5.2202666666666675E-3</v>
      </c>
      <c r="H181" s="221" t="str">
        <f>SW!R181</f>
        <v>na</v>
      </c>
      <c r="I181" s="289" t="str">
        <f>IF(H181="na","na",IF($C181="na","na",(H181*Eqtn!$D$202*($C181+Eqtn!$D$203+(Eqtn!$D$204*$D181)))))</f>
        <v>na</v>
      </c>
      <c r="J181" s="289" t="str">
        <f>IF(H181="na","na",IF($C181="na","na",((H181*Eqtn!$D$205)*($C181+Eqtn!$D$206))))</f>
        <v>na</v>
      </c>
      <c r="K181" s="584" t="str">
        <f>Partit!E181</f>
        <v>na</v>
      </c>
      <c r="L181" s="584" t="str">
        <f>IF(K181="na","na",IF(K181="TBD","TBD",IF($C181="na","na",(K181*Eqtn!$D$202*($C181+Eqtn!$D$203+(Eqtn!$D$204*$D181))))))</f>
        <v>na</v>
      </c>
      <c r="M181" s="584" t="str">
        <f>IF(K181="na","na",IF(K181="TBD","TBD",IF($C181="na","na",((K181*Eqtn!$D$205)*($C181+Eqtn!$D$206)))))</f>
        <v>na</v>
      </c>
      <c r="N181" s="348"/>
      <c r="O181" s="348">
        <f>IF(N181="na","na",IF(N181="TBD","TBD",IF($C181="na","na",(N181*Eqtn!$D$202*($C181+Eqtn!$D$203+(Eqtn!$D$204*$D181))))))</f>
        <v>0</v>
      </c>
      <c r="P181" s="367">
        <f>IF(N181="na","na",IF(N181="TBD","TBD",IF($C181="na","na",((N181*Eqtn!$D$205)*($C181+Eqtn!$D$206)))))</f>
        <v>0</v>
      </c>
      <c r="R181" s="1062"/>
    </row>
    <row r="182" spans="1:18" ht="13.9" customHeight="1" x14ac:dyDescent="0.25">
      <c r="A182" s="846">
        <f>Chem!A182</f>
        <v>180</v>
      </c>
      <c r="B182" s="891" t="str">
        <f>Chem!B182</f>
        <v>trans-1,2-Dichloroethylene</v>
      </c>
      <c r="C182" s="423">
        <f>Param!F182</f>
        <v>3.7999999999999999E-2</v>
      </c>
      <c r="D182" s="423">
        <f>Param!M182</f>
        <v>0.23785479588758709</v>
      </c>
      <c r="E182" s="461">
        <f>PW!O182</f>
        <v>100</v>
      </c>
      <c r="F182" s="461">
        <f>IF(E182="na","na",IF($C182="na","na",(E182*Eqtn!$D$202*($C182+Eqtn!$D$203+(Eqtn!$D$204*$D182)))))</f>
        <v>0.51722816462051502</v>
      </c>
      <c r="G182" s="461">
        <f>IF(E182="na","na",IF($C182="na","na",((E182*Eqtn!$D$205)*($C182+Eqtn!$D$206))))</f>
        <v>3.2466666666666665E-2</v>
      </c>
      <c r="H182" s="221">
        <f>SW!R182</f>
        <v>1000</v>
      </c>
      <c r="I182" s="289">
        <f>IF(H182="na","na",IF($C182="na","na",(H182*Eqtn!$D$202*($C182+Eqtn!$D$203+(Eqtn!$D$204*$D182)))))</f>
        <v>5.1722816462051497</v>
      </c>
      <c r="J182" s="289">
        <f>IF(H182="na","na",IF($C182="na","na",((H182*Eqtn!$D$205)*($C182+Eqtn!$D$206))))</f>
        <v>0.32466666666666666</v>
      </c>
      <c r="K182" s="584" t="str">
        <f>Partit!E182</f>
        <v>na</v>
      </c>
      <c r="L182" s="584" t="str">
        <f>IF(K182="na","na",IF(K182="TBD","TBD",IF($C182="na","na",(K182*Eqtn!$D$202*($C182+Eqtn!$D$203+(Eqtn!$D$204*$D182))))))</f>
        <v>na</v>
      </c>
      <c r="M182" s="584" t="str">
        <f>IF(K182="na","na",IF(K182="TBD","TBD",IF($C182="na","na",((K182*Eqtn!$D$205)*($C182+Eqtn!$D$206)))))</f>
        <v>na</v>
      </c>
      <c r="N182" s="348"/>
      <c r="O182" s="348">
        <f>IF(N182="na","na",IF(N182="TBD","TBD",IF($C182="na","na",(N182*Eqtn!$D$202*($C182+Eqtn!$D$203+(Eqtn!$D$204*$D182))))))</f>
        <v>0</v>
      </c>
      <c r="P182" s="367">
        <f>IF(N182="na","na",IF(N182="TBD","TBD",IF($C182="na","na",((N182*Eqtn!$D$205)*($C182+Eqtn!$D$206)))))</f>
        <v>0</v>
      </c>
      <c r="R182" s="1062"/>
    </row>
    <row r="183" spans="1:18" ht="13.9" customHeight="1" x14ac:dyDescent="0.25">
      <c r="A183" s="846">
        <f>Chem!A183</f>
        <v>181</v>
      </c>
      <c r="B183" s="891" t="str">
        <f>Chem!B183</f>
        <v>1,2-Dichloroethylene (mixed isomers)</v>
      </c>
      <c r="C183" s="423">
        <f>Param!F183</f>
        <v>3.5500000000000004E-2</v>
      </c>
      <c r="D183" s="423">
        <f>Param!M183</f>
        <v>0</v>
      </c>
      <c r="E183" s="461" t="str">
        <f>PW!O183</f>
        <v>na</v>
      </c>
      <c r="F183" s="461" t="str">
        <f>IF(E183="na","na",IF($C183="na","na",(E183*Eqtn!$D$202*($C183+Eqtn!$D$203+(Eqtn!$D$204*$D183)))))</f>
        <v>na</v>
      </c>
      <c r="G183" s="461" t="str">
        <f>IF(E183="na","na",IF($C183="na","na",((E183*Eqtn!$D$205)*($C183+Eqtn!$D$206))))</f>
        <v>na</v>
      </c>
      <c r="H183" s="221" t="str">
        <f>SW!R183</f>
        <v>na</v>
      </c>
      <c r="I183" s="289" t="str">
        <f>IF(H183="na","na",IF($C183="na","na",(H183*Eqtn!$D$202*($C183+Eqtn!$D$203+(Eqtn!$D$204*$D183)))))</f>
        <v>na</v>
      </c>
      <c r="J183" s="289" t="str">
        <f>IF(H183="na","na",IF($C183="na","na",((H183*Eqtn!$D$205)*($C183+Eqtn!$D$206))))</f>
        <v>na</v>
      </c>
      <c r="K183" s="584" t="str">
        <f>Partit!E183</f>
        <v>na</v>
      </c>
      <c r="L183" s="584" t="str">
        <f>IF(K183="na","na",IF(K183="TBD","TBD",IF($C183="na","na",(K183*Eqtn!$D$202*($C183+Eqtn!$D$203+(Eqtn!$D$204*$D183))))))</f>
        <v>na</v>
      </c>
      <c r="M183" s="584" t="str">
        <f>IF(K183="na","na",IF(K183="TBD","TBD",IF($C183="na","na",((K183*Eqtn!$D$205)*($C183+Eqtn!$D$206)))))</f>
        <v>na</v>
      </c>
      <c r="N183" s="348"/>
      <c r="O183" s="348">
        <f>IF(N183="na","na",IF(N183="TBD","TBD",IF($C183="na","na",(N183*Eqtn!$D$202*($C183+Eqtn!$D$203+(Eqtn!$D$204*$D183))))))</f>
        <v>0</v>
      </c>
      <c r="P183" s="367">
        <f>IF(N183="na","na",IF(N183="TBD","TBD",IF($C183="na","na",((N183*Eqtn!$D$205)*($C183+Eqtn!$D$206)))))</f>
        <v>0</v>
      </c>
      <c r="R183" s="1062"/>
    </row>
    <row r="184" spans="1:18" ht="13.9" customHeight="1" x14ac:dyDescent="0.25">
      <c r="A184" s="846">
        <f>Chem!A184</f>
        <v>182</v>
      </c>
      <c r="B184" s="891" t="str">
        <f>Chem!B184</f>
        <v>1,2-Dichloropropane</v>
      </c>
      <c r="C184" s="423">
        <f>Param!F184</f>
        <v>4.7E-2</v>
      </c>
      <c r="D184" s="423">
        <f>Param!M184</f>
        <v>6.5406554713475965E-2</v>
      </c>
      <c r="E184" s="461">
        <f>PW!O184</f>
        <v>5</v>
      </c>
      <c r="F184" s="461">
        <f>IF(E184="na","na",IF($C184="na","na",(E184*Eqtn!$D$202*($C184+Eqtn!$D$203+(Eqtn!$D$204*$D184)))))</f>
        <v>2.5266856807516794E-2</v>
      </c>
      <c r="G184" s="461">
        <f>IF(E184="na","na",IF($C184="na","na",((E184*Eqtn!$D$205)*($C184+Eqtn!$D$206))))</f>
        <v>1.6683333333333333E-3</v>
      </c>
      <c r="H184" s="221">
        <f>SW!R184</f>
        <v>3.1</v>
      </c>
      <c r="I184" s="289">
        <f>IF(H184="na","na",IF($C184="na","na",(H184*Eqtn!$D$202*($C184+Eqtn!$D$203+(Eqtn!$D$204*$D184)))))</f>
        <v>1.566545122066041E-2</v>
      </c>
      <c r="J184" s="289">
        <f>IF(H184="na","na",IF($C184="na","na",((H184*Eqtn!$D$205)*($C184+Eqtn!$D$206))))</f>
        <v>1.0343666666666669E-3</v>
      </c>
      <c r="K184" s="584" t="str">
        <f>Partit!E184</f>
        <v>na</v>
      </c>
      <c r="L184" s="584" t="str">
        <f>IF(K184="na","na",IF(K184="TBD","TBD",IF($C184="na","na",(K184*Eqtn!$D$202*($C184+Eqtn!$D$203+(Eqtn!$D$204*$D184))))))</f>
        <v>na</v>
      </c>
      <c r="M184" s="584" t="str">
        <f>IF(K184="na","na",IF(K184="TBD","TBD",IF($C184="na","na",((K184*Eqtn!$D$205)*($C184+Eqtn!$D$206)))))</f>
        <v>na</v>
      </c>
      <c r="N184" s="348"/>
      <c r="O184" s="348">
        <f>IF(N184="na","na",IF(N184="TBD","TBD",IF($C184="na","na",(N184*Eqtn!$D$202*($C184+Eqtn!$D$203+(Eqtn!$D$204*$D184))))))</f>
        <v>0</v>
      </c>
      <c r="P184" s="367">
        <f>IF(N184="na","na",IF(N184="TBD","TBD",IF($C184="na","na",((N184*Eqtn!$D$205)*($C184+Eqtn!$D$206)))))</f>
        <v>0</v>
      </c>
      <c r="R184" s="1062"/>
    </row>
    <row r="185" spans="1:18" ht="13.9" customHeight="1" x14ac:dyDescent="0.25">
      <c r="A185" s="846">
        <f>Chem!A185</f>
        <v>183</v>
      </c>
      <c r="B185" s="891" t="str">
        <f>Chem!B185</f>
        <v>1,3-Dichloropropane</v>
      </c>
      <c r="C185" s="423">
        <f>Param!F185</f>
        <v>7.22E-2</v>
      </c>
      <c r="D185" s="423">
        <f>Param!M185</f>
        <v>2.0921292672303159E-2</v>
      </c>
      <c r="E185" s="461">
        <f>PW!O185</f>
        <v>160</v>
      </c>
      <c r="F185" s="461">
        <f>IF(E185="na","na",IF($C185="na","na",(E185*Eqtn!$D$202*($C185+Eqtn!$D$203+(Eqtn!$D$204*$D185)))))</f>
        <v>0.87684217183445201</v>
      </c>
      <c r="G185" s="461">
        <f>IF(E185="na","na",IF($C185="na","na",((E185*Eqtn!$D$205)*($C185+Eqtn!$D$206))))</f>
        <v>5.7418666666666666E-2</v>
      </c>
      <c r="H185" s="221">
        <f>SW!R185</f>
        <v>1.2</v>
      </c>
      <c r="I185" s="289">
        <f>IF(H185="na","na",IF($C185="na","na",(H185*Eqtn!$D$202*($C185+Eqtn!$D$203+(Eqtn!$D$204*$D185)))))</f>
        <v>6.57631628875839E-3</v>
      </c>
      <c r="J185" s="289">
        <f>IF(H185="na","na",IF($C185="na","na",((H185*Eqtn!$D$205)*($C185+Eqtn!$D$206))))</f>
        <v>4.3063999999999998E-4</v>
      </c>
      <c r="K185" s="584" t="str">
        <f>Partit!E185</f>
        <v>na</v>
      </c>
      <c r="L185" s="584" t="str">
        <f>IF(K185="na","na",IF(K185="TBD","TBD",IF($C185="na","na",(K185*Eqtn!$D$202*($C185+Eqtn!$D$203+(Eqtn!$D$204*$D185))))))</f>
        <v>na</v>
      </c>
      <c r="M185" s="584" t="str">
        <f>IF(K185="na","na",IF(K185="TBD","TBD",IF($C185="na","na",((K185*Eqtn!$D$205)*($C185+Eqtn!$D$206)))))</f>
        <v>na</v>
      </c>
      <c r="N185" s="348"/>
      <c r="O185" s="348">
        <f>IF(N185="na","na",IF(N185="TBD","TBD",IF($C185="na","na",(N185*Eqtn!$D$202*($C185+Eqtn!$D$203+(Eqtn!$D$204*$D185))))))</f>
        <v>0</v>
      </c>
      <c r="P185" s="367">
        <f>IF(N185="na","na",IF(N185="TBD","TBD",IF($C185="na","na",((N185*Eqtn!$D$205)*($C185+Eqtn!$D$206)))))</f>
        <v>0</v>
      </c>
      <c r="R185" s="1062"/>
    </row>
    <row r="186" spans="1:18" ht="13.9" customHeight="1" x14ac:dyDescent="0.25">
      <c r="A186" s="846">
        <f>Chem!A186</f>
        <v>184</v>
      </c>
      <c r="B186" s="891" t="str">
        <f>Chem!B186</f>
        <v>2,2-Dichloropropane</v>
      </c>
      <c r="C186" s="423" t="str">
        <f>Param!F186</f>
        <v>na</v>
      </c>
      <c r="D186" s="423">
        <f>Param!M186</f>
        <v>0</v>
      </c>
      <c r="E186" s="461" t="str">
        <f>PW!O186</f>
        <v>na</v>
      </c>
      <c r="F186" s="461" t="str">
        <f>IF(E186="na","na",IF($C186="na","na",(E186*Eqtn!$D$202*($C186+Eqtn!$D$203+(Eqtn!$D$204*$D186)))))</f>
        <v>na</v>
      </c>
      <c r="G186" s="461" t="str">
        <f>IF(E186="na","na",IF($C186="na","na",((E186*Eqtn!$D$205)*($C186+Eqtn!$D$206))))</f>
        <v>na</v>
      </c>
      <c r="H186" s="221" t="str">
        <f>SW!R186</f>
        <v>na</v>
      </c>
      <c r="I186" s="289" t="str">
        <f>IF(H186="na","na",IF($C186="na","na",(H186*Eqtn!$D$202*($C186+Eqtn!$D$203+(Eqtn!$D$204*$D186)))))</f>
        <v>na</v>
      </c>
      <c r="J186" s="289" t="str">
        <f>IF(H186="na","na",IF($C186="na","na",((H186*Eqtn!$D$205)*($C186+Eqtn!$D$206))))</f>
        <v>na</v>
      </c>
      <c r="K186" s="584" t="str">
        <f>Partit!E186</f>
        <v>na</v>
      </c>
      <c r="L186" s="584" t="str">
        <f>IF(K186="na","na",IF(K186="TBD","TBD",IF($C186="na","na",(K186*Eqtn!$D$202*($C186+Eqtn!$D$203+(Eqtn!$D$204*$D186))))))</f>
        <v>na</v>
      </c>
      <c r="M186" s="584" t="str">
        <f>IF(K186="na","na",IF(K186="TBD","TBD",IF($C186="na","na",((K186*Eqtn!$D$205)*($C186+Eqtn!$D$206)))))</f>
        <v>na</v>
      </c>
      <c r="N186" s="348"/>
      <c r="O186" s="348" t="str">
        <f>IF(N186="na","na",IF(N186="TBD","TBD",IF($C186="na","na",(N186*Eqtn!$D$202*($C186+Eqtn!$D$203+(Eqtn!$D$204*$D186))))))</f>
        <v>na</v>
      </c>
      <c r="P186" s="367" t="str">
        <f>IF(N186="na","na",IF(N186="TBD","TBD",IF($C186="na","na",((N186*Eqtn!$D$205)*($C186+Eqtn!$D$206)))))</f>
        <v>na</v>
      </c>
      <c r="R186" s="1062"/>
    </row>
    <row r="187" spans="1:18" ht="13.9" customHeight="1" x14ac:dyDescent="0.25">
      <c r="A187" s="846">
        <f>Chem!A187</f>
        <v>185</v>
      </c>
      <c r="B187" s="891" t="str">
        <f>Chem!B187</f>
        <v>1,1-Dichloropropene</v>
      </c>
      <c r="C187" s="423" t="str">
        <f>Param!F187</f>
        <v>na</v>
      </c>
      <c r="D187" s="423">
        <f>Param!M187</f>
        <v>0</v>
      </c>
      <c r="E187" s="461" t="str">
        <f>PW!O187</f>
        <v>na</v>
      </c>
      <c r="F187" s="461" t="str">
        <f>IF(E187="na","na",IF($C187="na","na",(E187*Eqtn!$D$202*($C187+Eqtn!$D$203+(Eqtn!$D$204*$D187)))))</f>
        <v>na</v>
      </c>
      <c r="G187" s="461" t="str">
        <f>IF(E187="na","na",IF($C187="na","na",((E187*Eqtn!$D$205)*($C187+Eqtn!$D$206))))</f>
        <v>na</v>
      </c>
      <c r="H187" s="221" t="str">
        <f>SW!R187</f>
        <v>na</v>
      </c>
      <c r="I187" s="289" t="str">
        <f>IF(H187="na","na",IF($C187="na","na",(H187*Eqtn!$D$202*($C187+Eqtn!$D$203+(Eqtn!$D$204*$D187)))))</f>
        <v>na</v>
      </c>
      <c r="J187" s="289" t="str">
        <f>IF(H187="na","na",IF($C187="na","na",((H187*Eqtn!$D$205)*($C187+Eqtn!$D$206))))</f>
        <v>na</v>
      </c>
      <c r="K187" s="584" t="str">
        <f>Partit!E187</f>
        <v>na</v>
      </c>
      <c r="L187" s="584" t="str">
        <f>IF(K187="na","na",IF(K187="TBD","TBD",IF($C187="na","na",(K187*Eqtn!$D$202*($C187+Eqtn!$D$203+(Eqtn!$D$204*$D187))))))</f>
        <v>na</v>
      </c>
      <c r="M187" s="584" t="str">
        <f>IF(K187="na","na",IF(K187="TBD","TBD",IF($C187="na","na",((K187*Eqtn!$D$205)*($C187+Eqtn!$D$206)))))</f>
        <v>na</v>
      </c>
      <c r="N187" s="348"/>
      <c r="O187" s="348" t="str">
        <f>IF(N187="na","na",IF(N187="TBD","TBD",IF($C187="na","na",(N187*Eqtn!$D$202*($C187+Eqtn!$D$203+(Eqtn!$D$204*$D187))))))</f>
        <v>na</v>
      </c>
      <c r="P187" s="367" t="str">
        <f>IF(N187="na","na",IF(N187="TBD","TBD",IF($C187="na","na",((N187*Eqtn!$D$205)*($C187+Eqtn!$D$206)))))</f>
        <v>na</v>
      </c>
      <c r="R187" s="1062"/>
    </row>
    <row r="188" spans="1:18" ht="13.9" customHeight="1" x14ac:dyDescent="0.25">
      <c r="A188" s="846">
        <f>Chem!A188</f>
        <v>186</v>
      </c>
      <c r="B188" s="891" t="str">
        <f>Chem!B188</f>
        <v>cis-1,3-Dichloropropene</v>
      </c>
      <c r="C188" s="423">
        <f>Param!F188</f>
        <v>2.7E-2</v>
      </c>
      <c r="D188" s="423">
        <f>Param!M188</f>
        <v>7.855987965389484E-2</v>
      </c>
      <c r="E188" s="461">
        <f>PW!O188</f>
        <v>0.43749999999999989</v>
      </c>
      <c r="F188" s="461">
        <f>IF(E188="na","na",IF($C188="na","na",(E188*Eqtn!$D$202*($C188+Eqtn!$D$203+(Eqtn!$D$204*$D188)))))</f>
        <v>2.0458245754042029E-3</v>
      </c>
      <c r="G188" s="461">
        <f>IF(E188="na","na",IF($C188="na","na",((E188*Eqtn!$D$205)*($C188+Eqtn!$D$206))))</f>
        <v>1.3722916666666666E-4</v>
      </c>
      <c r="H188" s="221">
        <f>SW!R188</f>
        <v>1.2</v>
      </c>
      <c r="I188" s="289">
        <f>IF(H188="na","na",IF($C188="na","na",(H188*Eqtn!$D$202*($C188+Eqtn!$D$203+(Eqtn!$D$204*$D188)))))</f>
        <v>5.6114045496801013E-3</v>
      </c>
      <c r="J188" s="289">
        <f>IF(H188="na","na",IF($C188="na","na",((H188*Eqtn!$D$205)*($C188+Eqtn!$D$206))))</f>
        <v>3.7639999999999999E-4</v>
      </c>
      <c r="K188" s="584" t="str">
        <f>Partit!E188</f>
        <v>na</v>
      </c>
      <c r="L188" s="584" t="str">
        <f>IF(K188="na","na",IF(K188="TBD","TBD",IF($C188="na","na",(K188*Eqtn!$D$202*($C188+Eqtn!$D$203+(Eqtn!$D$204*$D188))))))</f>
        <v>na</v>
      </c>
      <c r="M188" s="584" t="str">
        <f>IF(K188="na","na",IF(K188="TBD","TBD",IF($C188="na","na",((K188*Eqtn!$D$205)*($C188+Eqtn!$D$206)))))</f>
        <v>na</v>
      </c>
      <c r="N188" s="348"/>
      <c r="O188" s="348">
        <f>IF(N188="na","na",IF(N188="TBD","TBD",IF($C188="na","na",(N188*Eqtn!$D$202*($C188+Eqtn!$D$203+(Eqtn!$D$204*$D188))))))</f>
        <v>0</v>
      </c>
      <c r="P188" s="367">
        <f>IF(N188="na","na",IF(N188="TBD","TBD",IF($C188="na","na",((N188*Eqtn!$D$205)*($C188+Eqtn!$D$206)))))</f>
        <v>0</v>
      </c>
      <c r="R188" s="1062"/>
    </row>
    <row r="189" spans="1:18" ht="13.9" customHeight="1" x14ac:dyDescent="0.25">
      <c r="A189" s="846">
        <f>Chem!A189</f>
        <v>187</v>
      </c>
      <c r="B189" s="891" t="str">
        <f>Chem!B189</f>
        <v>trans-1,3-Dichloropropene</v>
      </c>
      <c r="C189" s="423">
        <f>Param!F189</f>
        <v>2.7E-2</v>
      </c>
      <c r="D189" s="423">
        <f>Param!M189</f>
        <v>7.855987965389484E-2</v>
      </c>
      <c r="E189" s="461">
        <f>PW!O189</f>
        <v>0.43749999999999989</v>
      </c>
      <c r="F189" s="461">
        <f>IF(E189="na","na",IF($C189="na","na",(E189*Eqtn!$D$202*($C189+Eqtn!$D$203+(Eqtn!$D$204*$D189)))))</f>
        <v>2.0458245754042029E-3</v>
      </c>
      <c r="G189" s="461">
        <f>IF(E189="na","na",IF($C189="na","na",((E189*Eqtn!$D$205)*($C189+Eqtn!$D$206))))</f>
        <v>1.3722916666666666E-4</v>
      </c>
      <c r="H189" s="221">
        <f>SW!R189</f>
        <v>1.2</v>
      </c>
      <c r="I189" s="289">
        <f>IF(H189="na","na",IF($C189="na","na",(H189*Eqtn!$D$202*($C189+Eqtn!$D$203+(Eqtn!$D$204*$D189)))))</f>
        <v>5.6114045496801013E-3</v>
      </c>
      <c r="J189" s="289">
        <f>IF(H189="na","na",IF($C189="na","na",((H189*Eqtn!$D$205)*($C189+Eqtn!$D$206))))</f>
        <v>3.7639999999999999E-4</v>
      </c>
      <c r="K189" s="584" t="str">
        <f>Partit!E189</f>
        <v>na</v>
      </c>
      <c r="L189" s="584" t="str">
        <f>IF(K189="na","na",IF(K189="TBD","TBD",IF($C189="na","na",(K189*Eqtn!$D$202*($C189+Eqtn!$D$203+(Eqtn!$D$204*$D189))))))</f>
        <v>na</v>
      </c>
      <c r="M189" s="584" t="str">
        <f>IF(K189="na","na",IF(K189="TBD","TBD",IF($C189="na","na",((K189*Eqtn!$D$205)*($C189+Eqtn!$D$206)))))</f>
        <v>na</v>
      </c>
      <c r="N189" s="348"/>
      <c r="O189" s="348">
        <f>IF(N189="na","na",IF(N189="TBD","TBD",IF($C189="na","na",(N189*Eqtn!$D$202*($C189+Eqtn!$D$203+(Eqtn!$D$204*$D189))))))</f>
        <v>0</v>
      </c>
      <c r="P189" s="367">
        <f>IF(N189="na","na",IF(N189="TBD","TBD",IF($C189="na","na",((N189*Eqtn!$D$205)*($C189+Eqtn!$D$206)))))</f>
        <v>0</v>
      </c>
      <c r="R189" s="1062"/>
    </row>
    <row r="190" spans="1:18" ht="13.9" customHeight="1" x14ac:dyDescent="0.25">
      <c r="A190" s="846">
        <f>Chem!A190</f>
        <v>188</v>
      </c>
      <c r="B190" s="891" t="str">
        <f>Chem!B190</f>
        <v>Diisopropyl ether</v>
      </c>
      <c r="C190" s="423">
        <f>Param!F190</f>
        <v>2.2800000000000001E-2</v>
      </c>
      <c r="D190" s="423">
        <f>Param!M190</f>
        <v>6.2681916180580513E-2</v>
      </c>
      <c r="E190" s="461" t="str">
        <f>PW!O190</f>
        <v>na</v>
      </c>
      <c r="F190" s="461" t="str">
        <f>IF(E190="na","na",IF($C190="na","na",(E190*Eqtn!$D$202*($C190+Eqtn!$D$203+(Eqtn!$D$204*$D190)))))</f>
        <v>na</v>
      </c>
      <c r="G190" s="461" t="str">
        <f>IF(E190="na","na",IF($C190="na","na",((E190*Eqtn!$D$205)*($C190+Eqtn!$D$206))))</f>
        <v>na</v>
      </c>
      <c r="H190" s="221" t="str">
        <f>SW!R190</f>
        <v>na</v>
      </c>
      <c r="I190" s="289" t="str">
        <f>IF(H190="na","na",IF($C190="na","na",(H190*Eqtn!$D$202*($C190+Eqtn!$D$203+(Eqtn!$D$204*$D190)))))</f>
        <v>na</v>
      </c>
      <c r="J190" s="289" t="str">
        <f>IF(H190="na","na",IF($C190="na","na",((H190*Eqtn!$D$205)*($C190+Eqtn!$D$206))))</f>
        <v>na</v>
      </c>
      <c r="K190" s="584" t="str">
        <f>Partit!E190</f>
        <v>na</v>
      </c>
      <c r="L190" s="584" t="str">
        <f>IF(K190="na","na",IF(K190="TBD","TBD",IF($C190="na","na",(K190*Eqtn!$D$202*($C190+Eqtn!$D$203+(Eqtn!$D$204*$D190))))))</f>
        <v>na</v>
      </c>
      <c r="M190" s="584" t="str">
        <f>IF(K190="na","na",IF(K190="TBD","TBD",IF($C190="na","na",((K190*Eqtn!$D$205)*($C190+Eqtn!$D$206)))))</f>
        <v>na</v>
      </c>
      <c r="N190" s="348"/>
      <c r="O190" s="348">
        <f>IF(N190="na","na",IF(N190="TBD","TBD",IF($C190="na","na",(N190*Eqtn!$D$202*($C190+Eqtn!$D$203+(Eqtn!$D$204*$D190))))))</f>
        <v>0</v>
      </c>
      <c r="P190" s="367">
        <f>IF(N190="na","na",IF(N190="TBD","TBD",IF($C190="na","na",((N190*Eqtn!$D$205)*($C190+Eqtn!$D$206)))))</f>
        <v>0</v>
      </c>
      <c r="R190" s="1062"/>
    </row>
    <row r="191" spans="1:18" ht="13.9" customHeight="1" x14ac:dyDescent="0.25">
      <c r="A191" s="846">
        <f>Chem!A191</f>
        <v>189</v>
      </c>
      <c r="B191" s="891" t="str">
        <f>Chem!B191</f>
        <v>Ethane</v>
      </c>
      <c r="C191" s="423" t="str">
        <f>Param!F191</f>
        <v>na</v>
      </c>
      <c r="D191" s="423">
        <f>Param!M191</f>
        <v>0</v>
      </c>
      <c r="E191" s="461" t="str">
        <f>PW!O191</f>
        <v>na</v>
      </c>
      <c r="F191" s="461" t="str">
        <f>IF(E191="na","na",IF($C191="na","na",(E191*Eqtn!$D$202*($C191+Eqtn!$D$203+(Eqtn!$D$204*$D191)))))</f>
        <v>na</v>
      </c>
      <c r="G191" s="461" t="str">
        <f>IF(E191="na","na",IF($C191="na","na",((E191*Eqtn!$D$205)*($C191+Eqtn!$D$206))))</f>
        <v>na</v>
      </c>
      <c r="H191" s="219" t="str">
        <f>SW!R191</f>
        <v>na</v>
      </c>
      <c r="I191" s="289" t="str">
        <f>IF(H191="na","na",IF($C191="na","na",(H191*Eqtn!$D$202*($C191+Eqtn!$D$203+(Eqtn!$D$204*$D191)))))</f>
        <v>na</v>
      </c>
      <c r="J191" s="289" t="str">
        <f>IF(H191="na","na",IF($C191="na","na",((H191*Eqtn!$D$205)*($C191+Eqtn!$D$206))))</f>
        <v>na</v>
      </c>
      <c r="K191" s="584" t="str">
        <f>Partit!E191</f>
        <v>na</v>
      </c>
      <c r="L191" s="584" t="str">
        <f>IF(K191="na","na",IF(K191="TBD","TBD",IF($C191="na","na",(K191*Eqtn!$D$202*($C191+Eqtn!$D$203+(Eqtn!$D$204*$D191))))))</f>
        <v>na</v>
      </c>
      <c r="M191" s="584" t="str">
        <f>IF(K191="na","na",IF(K191="TBD","TBD",IF($C191="na","na",((K191*Eqtn!$D$205)*($C191+Eqtn!$D$206)))))</f>
        <v>na</v>
      </c>
      <c r="N191" s="348"/>
      <c r="O191" s="348" t="str">
        <f>IF(N191="na","na",IF(N191="TBD","TBD",IF($C191="na","na",(N191*Eqtn!$D$202*($C191+Eqtn!$D$203+(Eqtn!$D$204*$D191))))))</f>
        <v>na</v>
      </c>
      <c r="P191" s="367" t="str">
        <f>IF(N191="na","na",IF(N191="TBD","TBD",IF($C191="na","na",((N191*Eqtn!$D$205)*($C191+Eqtn!$D$206)))))</f>
        <v>na</v>
      </c>
      <c r="R191" s="1062"/>
    </row>
    <row r="192" spans="1:18" ht="13.9" customHeight="1" x14ac:dyDescent="0.25">
      <c r="A192" s="846">
        <f>Chem!A192</f>
        <v>190</v>
      </c>
      <c r="B192" s="891" t="str">
        <f>Chem!B192</f>
        <v>Ethylbenzene</v>
      </c>
      <c r="C192" s="423">
        <f>Param!F192</f>
        <v>0.20400000000000001</v>
      </c>
      <c r="D192" s="423">
        <f>Param!M192</f>
        <v>0.1643273183318128</v>
      </c>
      <c r="E192" s="461">
        <f>PW!O192</f>
        <v>700</v>
      </c>
      <c r="F192" s="461">
        <f>IF(E192="na","na",IF($C192="na","na",(E192*Eqtn!$D$202*($C192+Eqtn!$D$203+(Eqtn!$D$204*$D192)))))</f>
        <v>5.8553838129092668</v>
      </c>
      <c r="G192" s="461">
        <f>IF(E192="na","na",IF($C192="na","na",((E192*Eqtn!$D$205)*($C192+Eqtn!$D$206))))</f>
        <v>0.3434666666666667</v>
      </c>
      <c r="H192" s="221">
        <f>SW!R192</f>
        <v>21</v>
      </c>
      <c r="I192" s="289">
        <f>IF(H192="na","na",IF($C192="na","na",(H192*Eqtn!$D$202*($C192+Eqtn!$D$203+(Eqtn!$D$204*$D192)))))</f>
        <v>0.17566151438727798</v>
      </c>
      <c r="J192" s="289">
        <f>IF(H192="na","na",IF($C192="na","na",((H192*Eqtn!$D$205)*($C192+Eqtn!$D$206))))</f>
        <v>1.0304000000000001E-2</v>
      </c>
      <c r="K192" s="584" t="str">
        <f>Partit!E192</f>
        <v>na</v>
      </c>
      <c r="L192" s="584" t="str">
        <f>IF(K192="na","na",IF(K192="TBD","TBD",IF($C192="na","na",(K192*Eqtn!$D$202*($C192+Eqtn!$D$203+(Eqtn!$D$204*$D192))))))</f>
        <v>na</v>
      </c>
      <c r="M192" s="584" t="str">
        <f>IF(K192="na","na",IF(K192="TBD","TBD",IF($C192="na","na",((K192*Eqtn!$D$205)*($C192+Eqtn!$D$206)))))</f>
        <v>na</v>
      </c>
      <c r="N192" s="348"/>
      <c r="O192" s="348">
        <f>IF(N192="na","na",IF(N192="TBD","TBD",IF($C192="na","na",(N192*Eqtn!$D$202*($C192+Eqtn!$D$203+(Eqtn!$D$204*$D192))))))</f>
        <v>0</v>
      </c>
      <c r="P192" s="367">
        <f>IF(N192="na","na",IF(N192="TBD","TBD",IF($C192="na","na",((N192*Eqtn!$D$205)*($C192+Eqtn!$D$206)))))</f>
        <v>0</v>
      </c>
      <c r="R192" s="1062"/>
    </row>
    <row r="193" spans="1:18" ht="13.9" customHeight="1" x14ac:dyDescent="0.25">
      <c r="A193" s="846">
        <f>Chem!A193</f>
        <v>191</v>
      </c>
      <c r="B193" s="891" t="str">
        <f>Chem!B193</f>
        <v>Ethylene oxide</v>
      </c>
      <c r="C193" s="423">
        <f>Param!F193</f>
        <v>3.2400000000000003E-3</v>
      </c>
      <c r="D193" s="423">
        <f>Param!M193</f>
        <v>4.0992774890405781E-3</v>
      </c>
      <c r="E193" s="461">
        <f>PW!O193</f>
        <v>3.6999999999999998E-2</v>
      </c>
      <c r="F193" s="461">
        <f>IF(E193="na","na",IF($C193="na","na",(E193*Eqtn!$D$202*($C193+Eqtn!$D$203+(Eqtn!$D$204*$D193)))))</f>
        <v>1.5066050032963045E-4</v>
      </c>
      <c r="G193" s="461">
        <f>IF(E193="na","na",IF($C193="na","na",((E193*Eqtn!$D$205)*($C193+Eqtn!$D$206))))</f>
        <v>1.0726546666666667E-5</v>
      </c>
      <c r="H193" s="219" t="str">
        <f>SW!R193</f>
        <v>na</v>
      </c>
      <c r="I193" s="289" t="str">
        <f>IF(H193="na","na",IF($C193="na","na",(H193*Eqtn!$D$202*($C193+Eqtn!$D$203+(Eqtn!$D$204*$D193)))))</f>
        <v>na</v>
      </c>
      <c r="J193" s="289" t="str">
        <f>IF(H193="na","na",IF($C193="na","na",((H193*Eqtn!$D$205)*($C193+Eqtn!$D$206))))</f>
        <v>na</v>
      </c>
      <c r="K193" s="584" t="str">
        <f>Partit!E193</f>
        <v>na</v>
      </c>
      <c r="L193" s="584" t="str">
        <f>IF(K193="na","na",IF(K193="TBD","TBD",IF($C193="na","na",(K193*Eqtn!$D$202*($C193+Eqtn!$D$203+(Eqtn!$D$204*$D193))))))</f>
        <v>na</v>
      </c>
      <c r="M193" s="584" t="str">
        <f>IF(K193="na","na",IF(K193="TBD","TBD",IF($C193="na","na",((K193*Eqtn!$D$205)*($C193+Eqtn!$D$206)))))</f>
        <v>na</v>
      </c>
      <c r="N193" s="348"/>
      <c r="O193" s="348">
        <f>IF(N193="na","na",IF(N193="TBD","TBD",IF($C193="na","na",(N193*Eqtn!$D$202*($C193+Eqtn!$D$203+(Eqtn!$D$204*$D193))))))</f>
        <v>0</v>
      </c>
      <c r="P193" s="367">
        <f>IF(N193="na","na",IF(N193="TBD","TBD",IF($C193="na","na",((N193*Eqtn!$D$205)*($C193+Eqtn!$D$206)))))</f>
        <v>0</v>
      </c>
      <c r="R193" s="1062"/>
    </row>
    <row r="194" spans="1:18" ht="13.9" customHeight="1" x14ac:dyDescent="0.25">
      <c r="A194" s="846">
        <f>Chem!A194</f>
        <v>192</v>
      </c>
      <c r="B194" s="891" t="str">
        <f>Chem!B194</f>
        <v>Ethyl ether</v>
      </c>
      <c r="C194" s="423">
        <f>Param!F194</f>
        <v>9.7000000000000003E-3</v>
      </c>
      <c r="D194" s="423">
        <f>Param!M194</f>
        <v>3.2723688327777993E-2</v>
      </c>
      <c r="E194" s="461">
        <f>PW!O194</f>
        <v>1600</v>
      </c>
      <c r="F194" s="461">
        <f>IF(E194="na","na",IF($C194="na","na",(E194*Eqtn!$D$202*($C194+Eqtn!$D$203+(Eqtn!$D$204*$D194)))))</f>
        <v>6.8011536956290373</v>
      </c>
      <c r="G194" s="461">
        <f>IF(E194="na","na",IF($C194="na","na",((E194*Eqtn!$D$205)*($C194+Eqtn!$D$206))))</f>
        <v>0.4741866666666667</v>
      </c>
      <c r="H194" s="219" t="str">
        <f>SW!R194</f>
        <v>na</v>
      </c>
      <c r="I194" s="289" t="str">
        <f>IF(H194="na","na",IF($C194="na","na",(H194*Eqtn!$D$202*($C194+Eqtn!$D$203+(Eqtn!$D$204*$D194)))))</f>
        <v>na</v>
      </c>
      <c r="J194" s="289" t="str">
        <f>IF(H194="na","na",IF($C194="na","na",((H194*Eqtn!$D$205)*($C194+Eqtn!$D$206))))</f>
        <v>na</v>
      </c>
      <c r="K194" s="584" t="str">
        <f>Partit!E194</f>
        <v>na</v>
      </c>
      <c r="L194" s="584" t="str">
        <f>IF(K194="na","na",IF(K194="TBD","TBD",IF($C194="na","na",(K194*Eqtn!$D$202*($C194+Eqtn!$D$203+(Eqtn!$D$204*$D194))))))</f>
        <v>na</v>
      </c>
      <c r="M194" s="584" t="str">
        <f>IF(K194="na","na",IF(K194="TBD","TBD",IF($C194="na","na",((K194*Eqtn!$D$205)*($C194+Eqtn!$D$206)))))</f>
        <v>na</v>
      </c>
      <c r="N194" s="348"/>
      <c r="O194" s="348">
        <f>IF(N194="na","na",IF(N194="TBD","TBD",IF($C194="na","na",(N194*Eqtn!$D$202*($C194+Eqtn!$D$203+(Eqtn!$D$204*$D194))))))</f>
        <v>0</v>
      </c>
      <c r="P194" s="367">
        <f>IF(N194="na","na",IF(N194="TBD","TBD",IF($C194="na","na",((N194*Eqtn!$D$205)*($C194+Eqtn!$D$206)))))</f>
        <v>0</v>
      </c>
      <c r="R194" s="1062"/>
    </row>
    <row r="195" spans="1:18" ht="13.9" customHeight="1" x14ac:dyDescent="0.25">
      <c r="A195" s="846">
        <f>Chem!A195</f>
        <v>193</v>
      </c>
      <c r="B195" s="891" t="str">
        <f>Chem!B195</f>
        <v>Ethylene dibromide (EDB)</v>
      </c>
      <c r="C195" s="423">
        <f>Param!F195</f>
        <v>6.6000000000000003E-2</v>
      </c>
      <c r="D195" s="423">
        <f>Param!M195</f>
        <v>1.4107599269135657E-2</v>
      </c>
      <c r="E195" s="461">
        <f>PW!O195</f>
        <v>0.05</v>
      </c>
      <c r="F195" s="461">
        <f>IF(E195="na","na",IF($C195="na","na",(E195*Eqtn!$D$202*($C195+Eqtn!$D$203+(Eqtn!$D$204*$D195)))))</f>
        <v>2.672226586033251E-4</v>
      </c>
      <c r="G195" s="461">
        <f>IF(E195="na","na",IF($C195="na","na",((E195*Eqtn!$D$205)*($C195+Eqtn!$D$206))))</f>
        <v>1.7633333333333336E-5</v>
      </c>
      <c r="H195" s="221" t="str">
        <f>SW!R195</f>
        <v>na</v>
      </c>
      <c r="I195" s="289" t="str">
        <f>IF(H195="na","na",IF($C195="na","na",(H195*Eqtn!$D$202*($C195+Eqtn!$D$203+(Eqtn!$D$204*$D195)))))</f>
        <v>na</v>
      </c>
      <c r="J195" s="289" t="str">
        <f>IF(H195="na","na",IF($C195="na","na",((H195*Eqtn!$D$205)*($C195+Eqtn!$D$206))))</f>
        <v>na</v>
      </c>
      <c r="K195" s="584" t="str">
        <f>Partit!E195</f>
        <v>na</v>
      </c>
      <c r="L195" s="584" t="str">
        <f>IF(K195="na","na",IF(K195="TBD","TBD",IF($C195="na","na",(K195*Eqtn!$D$202*($C195+Eqtn!$D$203+(Eqtn!$D$204*$D195))))))</f>
        <v>na</v>
      </c>
      <c r="M195" s="584" t="str">
        <f>IF(K195="na","na",IF(K195="TBD","TBD",IF($C195="na","na",((K195*Eqtn!$D$205)*($C195+Eqtn!$D$206)))))</f>
        <v>na</v>
      </c>
      <c r="N195" s="348"/>
      <c r="O195" s="348">
        <f>IF(N195="na","na",IF(N195="TBD","TBD",IF($C195="na","na",(N195*Eqtn!$D$202*($C195+Eqtn!$D$203+(Eqtn!$D$204*$D195))))))</f>
        <v>0</v>
      </c>
      <c r="P195" s="367">
        <f>IF(N195="na","na",IF(N195="TBD","TBD",IF($C195="na","na",((N195*Eqtn!$D$205)*($C195+Eqtn!$D$206)))))</f>
        <v>0</v>
      </c>
      <c r="R195" s="1062"/>
    </row>
    <row r="196" spans="1:18" ht="13.9" customHeight="1" x14ac:dyDescent="0.25">
      <c r="A196" s="846">
        <f>Chem!A196</f>
        <v>194</v>
      </c>
      <c r="B196" s="891" t="str">
        <f>Chem!B196</f>
        <v>Formaldehyde</v>
      </c>
      <c r="C196" s="423">
        <f>Param!F196</f>
        <v>1E-3</v>
      </c>
      <c r="D196" s="423">
        <f>Param!M196</f>
        <v>9.7531985897176139E-6</v>
      </c>
      <c r="E196" s="461">
        <f>PW!O196</f>
        <v>0.55000000000000004</v>
      </c>
      <c r="F196" s="461">
        <f>IF(E196="na","na",IF($C196="na","na",(E196*Eqtn!$D$202*($C196+Eqtn!$D$203+(Eqtn!$D$204*$D196)))))</f>
        <v>2.2110092980493221E-3</v>
      </c>
      <c r="G196" s="461">
        <f>IF(E196="na","na",IF($C196="na","na",((E196*Eqtn!$D$205)*($C196+Eqtn!$D$206))))</f>
        <v>1.5821666666666667E-4</v>
      </c>
      <c r="H196" s="221" t="str">
        <f>SW!R196</f>
        <v>na</v>
      </c>
      <c r="I196" s="289" t="str">
        <f>IF(H196="na","na",IF($C196="na","na",(H196*Eqtn!$D$202*($C196+Eqtn!$D$203+(Eqtn!$D$204*$D196)))))</f>
        <v>na</v>
      </c>
      <c r="J196" s="289" t="str">
        <f>IF(H196="na","na",IF($C196="na","na",((H196*Eqtn!$D$205)*($C196+Eqtn!$D$206))))</f>
        <v>na</v>
      </c>
      <c r="K196" s="584" t="str">
        <f>Partit!E196</f>
        <v>na</v>
      </c>
      <c r="L196" s="584" t="str">
        <f>IF(K196="na","na",IF(K196="TBD","TBD",IF($C196="na","na",(K196*Eqtn!$D$202*($C196+Eqtn!$D$203+(Eqtn!$D$204*$D196))))))</f>
        <v>na</v>
      </c>
      <c r="M196" s="584" t="str">
        <f>IF(K196="na","na",IF(K196="TBD","TBD",IF($C196="na","na",((K196*Eqtn!$D$205)*($C196+Eqtn!$D$206)))))</f>
        <v>na</v>
      </c>
      <c r="N196" s="348"/>
      <c r="O196" s="348">
        <f>IF(N196="na","na",IF(N196="TBD","TBD",IF($C196="na","na",(N196*Eqtn!$D$202*($C196+Eqtn!$D$203+(Eqtn!$D$204*$D196))))))</f>
        <v>0</v>
      </c>
      <c r="P196" s="367">
        <f>IF(N196="na","na",IF(N196="TBD","TBD",IF($C196="na","na",((N196*Eqtn!$D$205)*($C196+Eqtn!$D$206)))))</f>
        <v>0</v>
      </c>
      <c r="R196" s="1062"/>
    </row>
    <row r="197" spans="1:18" ht="13.9" customHeight="1" x14ac:dyDescent="0.25">
      <c r="A197" s="846">
        <f>Chem!A197</f>
        <v>195</v>
      </c>
      <c r="B197" s="891" t="str">
        <f>Chem!B197</f>
        <v>n-Hexane</v>
      </c>
      <c r="C197" s="423">
        <f>Param!F197</f>
        <v>3.41</v>
      </c>
      <c r="D197" s="423">
        <f>Param!M197</f>
        <v>44.677962047233926</v>
      </c>
      <c r="E197" s="461">
        <f>PW!O197</f>
        <v>480</v>
      </c>
      <c r="F197" s="461">
        <f>IF(E197="na","na",IF($C197="na","na",(E197*Eqtn!$D$202*($C197+Eqtn!$D$203+(Eqtn!$D$204*$D197)))))</f>
        <v>71.828064423298628</v>
      </c>
      <c r="G197" s="461">
        <f>IF(E197="na","na",IF($C197="na","na",((E197*Eqtn!$D$205)*($C197+Eqtn!$D$206))))</f>
        <v>1.7744</v>
      </c>
      <c r="H197" s="221" t="str">
        <f>SW!R197</f>
        <v>na</v>
      </c>
      <c r="I197" s="289" t="str">
        <f>IF(H197="na","na",IF($C197="na","na",(H197*Eqtn!$D$202*($C197+Eqtn!$D$203+(Eqtn!$D$204*$D197)))))</f>
        <v>na</v>
      </c>
      <c r="J197" s="289" t="str">
        <f>IF(H197="na","na",IF($C197="na","na",((H197*Eqtn!$D$205)*($C197+Eqtn!$D$206))))</f>
        <v>na</v>
      </c>
      <c r="K197" s="584" t="str">
        <f>Partit!E197</f>
        <v>na</v>
      </c>
      <c r="L197" s="584" t="str">
        <f>IF(K197="na","na",IF(K197="TBD","TBD",IF($C197="na","na",(K197*Eqtn!$D$202*($C197+Eqtn!$D$203+(Eqtn!$D$204*$D197))))))</f>
        <v>na</v>
      </c>
      <c r="M197" s="584" t="str">
        <f>IF(K197="na","na",IF(K197="TBD","TBD",IF($C197="na","na",((K197*Eqtn!$D$205)*($C197+Eqtn!$D$206)))))</f>
        <v>na</v>
      </c>
      <c r="N197" s="348"/>
      <c r="O197" s="348">
        <f>IF(N197="na","na",IF(N197="TBD","TBD",IF($C197="na","na",(N197*Eqtn!$D$202*($C197+Eqtn!$D$203+(Eqtn!$D$204*$D197))))))</f>
        <v>0</v>
      </c>
      <c r="P197" s="367">
        <f>IF(N197="na","na",IF(N197="TBD","TBD",IF($C197="na","na",((N197*Eqtn!$D$205)*($C197+Eqtn!$D$206)))))</f>
        <v>0</v>
      </c>
      <c r="R197" s="1062"/>
    </row>
    <row r="198" spans="1:18" ht="13.9" customHeight="1" x14ac:dyDescent="0.25">
      <c r="A198" s="846">
        <f>Chem!A198</f>
        <v>196</v>
      </c>
      <c r="B198" s="891" t="str">
        <f>Chem!B198</f>
        <v>2-Hexanone</v>
      </c>
      <c r="C198" s="423">
        <f>Param!F198</f>
        <v>1.4999999999999999E-2</v>
      </c>
      <c r="D198" s="423">
        <f>Param!M198</f>
        <v>1.8904614171262846E-3</v>
      </c>
      <c r="E198" s="461">
        <f>PW!O198</f>
        <v>40</v>
      </c>
      <c r="F198" s="461">
        <f>IF(E198="na","na",IF($C198="na","na",(E198*Eqtn!$D$202*($C198+Eqtn!$D$203+(Eqtn!$D$204*$D198)))))</f>
        <v>0.17213107199158739</v>
      </c>
      <c r="G198" s="461">
        <f>IF(E198="na","na",IF($C198="na","na",((E198*Eqtn!$D$205)*($C198+Eqtn!$D$206))))</f>
        <v>1.2066666666666668E-2</v>
      </c>
      <c r="H198" s="221" t="str">
        <f>SW!R198</f>
        <v>na</v>
      </c>
      <c r="I198" s="289" t="str">
        <f>IF(H198="na","na",IF($C198="na","na",(H198*Eqtn!$D$202*($C198+Eqtn!$D$203+(Eqtn!$D$204*$D198)))))</f>
        <v>na</v>
      </c>
      <c r="J198" s="289" t="str">
        <f>IF(H198="na","na",IF($C198="na","na",((H198*Eqtn!$D$205)*($C198+Eqtn!$D$206))))</f>
        <v>na</v>
      </c>
      <c r="K198" s="584" t="str">
        <f>Partit!E198</f>
        <v>na</v>
      </c>
      <c r="L198" s="584" t="str">
        <f>IF(K198="na","na",IF(K198="TBD","TBD",IF($C198="na","na",(K198*Eqtn!$D$202*($C198+Eqtn!$D$203+(Eqtn!$D$204*$D198))))))</f>
        <v>na</v>
      </c>
      <c r="M198" s="584" t="str">
        <f>IF(K198="na","na",IF(K198="TBD","TBD",IF($C198="na","na",((K198*Eqtn!$D$205)*($C198+Eqtn!$D$206)))))</f>
        <v>na</v>
      </c>
      <c r="N198" s="348"/>
      <c r="O198" s="348">
        <f>IF(N198="na","na",IF(N198="TBD","TBD",IF($C198="na","na",(N198*Eqtn!$D$202*($C198+Eqtn!$D$203+(Eqtn!$D$204*$D198))))))</f>
        <v>0</v>
      </c>
      <c r="P198" s="367">
        <f>IF(N198="na","na",IF(N198="TBD","TBD",IF($C198="na","na",((N198*Eqtn!$D$205)*($C198+Eqtn!$D$206)))))</f>
        <v>0</v>
      </c>
      <c r="R198" s="1062"/>
    </row>
    <row r="199" spans="1:18" ht="13.9" customHeight="1" x14ac:dyDescent="0.25">
      <c r="A199" s="846">
        <f>Chem!A199</f>
        <v>197</v>
      </c>
      <c r="B199" s="891" t="str">
        <f>Chem!B199</f>
        <v>Isopropylbenzene (cumene)</v>
      </c>
      <c r="C199" s="423">
        <f>Param!F199</f>
        <v>0.69800000000000006</v>
      </c>
      <c r="D199" s="423">
        <f>Param!M199</f>
        <v>0.20060275263649496</v>
      </c>
      <c r="E199" s="461">
        <f>PW!O199</f>
        <v>800</v>
      </c>
      <c r="F199" s="461">
        <f>IF(E199="na","na",IF($C199="na","na",(E199*Eqtn!$D$202*($C199+Eqtn!$D$203+(Eqtn!$D$204*$D199)))))</f>
        <v>14.646169150322606</v>
      </c>
      <c r="G199" s="461">
        <f>IF(E199="na","na",IF($C199="na","na",((E199*Eqtn!$D$205)*($C199+Eqtn!$D$206))))</f>
        <v>0.78773333333333351</v>
      </c>
      <c r="H199" s="221" t="str">
        <f>SW!R199</f>
        <v>na</v>
      </c>
      <c r="I199" s="289" t="str">
        <f>IF(H199="na","na",IF($C199="na","na",(H199*Eqtn!$D$202*($C199+Eqtn!$D$203+(Eqtn!$D$204*$D199)))))</f>
        <v>na</v>
      </c>
      <c r="J199" s="289" t="str">
        <f>IF(H199="na","na",IF($C199="na","na",((H199*Eqtn!$D$205)*($C199+Eqtn!$D$206))))</f>
        <v>na</v>
      </c>
      <c r="K199" s="584" t="str">
        <f>Partit!E199</f>
        <v>na</v>
      </c>
      <c r="L199" s="584" t="str">
        <f>IF(K199="na","na",IF(K199="TBD","TBD",IF($C199="na","na",(K199*Eqtn!$D$202*($C199+Eqtn!$D$203+(Eqtn!$D$204*$D199))))))</f>
        <v>na</v>
      </c>
      <c r="M199" s="584" t="str">
        <f>IF(K199="na","na",IF(K199="TBD","TBD",IF($C199="na","na",((K199*Eqtn!$D$205)*($C199+Eqtn!$D$206)))))</f>
        <v>na</v>
      </c>
      <c r="N199" s="348"/>
      <c r="O199" s="348">
        <f>IF(N199="na","na",IF(N199="TBD","TBD",IF($C199="na","na",(N199*Eqtn!$D$202*($C199+Eqtn!$D$203+(Eqtn!$D$204*$D199))))))</f>
        <v>0</v>
      </c>
      <c r="P199" s="367">
        <f>IF(N199="na","na",IF(N199="TBD","TBD",IF($C199="na","na",((N199*Eqtn!$D$205)*($C199+Eqtn!$D$206)))))</f>
        <v>0</v>
      </c>
      <c r="R199" s="1062"/>
    </row>
    <row r="200" spans="1:18" ht="13.9" customHeight="1" x14ac:dyDescent="0.25">
      <c r="A200" s="846">
        <f>Chem!A200</f>
        <v>198</v>
      </c>
      <c r="B200" s="891" t="str">
        <f>Chem!B200</f>
        <v>4-Isopropyltoluene (p-isopropyltoluene)</v>
      </c>
      <c r="C200" s="423">
        <f>Param!F200</f>
        <v>1.1200000000000001</v>
      </c>
      <c r="D200" s="423">
        <f>Param!M200</f>
        <v>0.20699999999999999</v>
      </c>
      <c r="E200" s="461">
        <f>PW!O200</f>
        <v>32</v>
      </c>
      <c r="F200" s="461">
        <f>IF(E200="na","na",IF($C200="na","na",(E200*Eqtn!$D$202*($C200+Eqtn!$D$203+(Eqtn!$D$204*$D200)))))</f>
        <v>0.85628160000000009</v>
      </c>
      <c r="G200" s="461">
        <f>IF(E200="na","na",IF($C200="na","na",((E200*Eqtn!$D$205)*($C200+Eqtn!$D$206))))</f>
        <v>4.5013333333333336E-2</v>
      </c>
      <c r="H200" s="221" t="str">
        <f>SW!R200</f>
        <v>na</v>
      </c>
      <c r="I200" s="289" t="str">
        <f>IF(H200="na","na",IF($C200="na","na",(H200*Eqtn!$D$202*($C200+Eqtn!$D$203+(Eqtn!$D$204*$D200)))))</f>
        <v>na</v>
      </c>
      <c r="J200" s="289" t="str">
        <f>IF(H200="na","na",IF($C200="na","na",((H200*Eqtn!$D$205)*($C200+Eqtn!$D$206))))</f>
        <v>na</v>
      </c>
      <c r="K200" s="584" t="str">
        <f>Partit!E200</f>
        <v>na</v>
      </c>
      <c r="L200" s="584" t="str">
        <f>IF(K200="na","na",IF(K200="TBD","TBD",IF($C200="na","na",(K200*Eqtn!$D$202*($C200+Eqtn!$D$203+(Eqtn!$D$204*$D200))))))</f>
        <v>na</v>
      </c>
      <c r="M200" s="584" t="str">
        <f>IF(K200="na","na",IF(K200="TBD","TBD",IF($C200="na","na",((K200*Eqtn!$D$205)*($C200+Eqtn!$D$206)))))</f>
        <v>na</v>
      </c>
      <c r="N200" s="348"/>
      <c r="O200" s="348">
        <f>IF(N200="na","na",IF(N200="TBD","TBD",IF($C200="na","na",(N200*Eqtn!$D$202*($C200+Eqtn!$D$203+(Eqtn!$D$204*$D200))))))</f>
        <v>0</v>
      </c>
      <c r="P200" s="367">
        <f>IF(N200="na","na",IF(N200="TBD","TBD",IF($C200="na","na",((N200*Eqtn!$D$205)*($C200+Eqtn!$D$206)))))</f>
        <v>0</v>
      </c>
      <c r="R200" s="1062"/>
    </row>
    <row r="201" spans="1:18" ht="13.9" customHeight="1" x14ac:dyDescent="0.25">
      <c r="A201" s="846">
        <f>Chem!A201</f>
        <v>199</v>
      </c>
      <c r="B201" s="891" t="str">
        <f>Chem!B201</f>
        <v>Methane</v>
      </c>
      <c r="C201" s="423" t="str">
        <f>Param!F201</f>
        <v>na</v>
      </c>
      <c r="D201" s="423">
        <f>Param!M201</f>
        <v>0</v>
      </c>
      <c r="E201" s="461" t="str">
        <f>PW!O201</f>
        <v>na</v>
      </c>
      <c r="F201" s="461" t="str">
        <f>IF(E201="na","na",IF($C201="na","na",(E201*Eqtn!$D$202*($C201+Eqtn!$D$203+(Eqtn!$D$204*$D201)))))</f>
        <v>na</v>
      </c>
      <c r="G201" s="461" t="str">
        <f>IF(E201="na","na",IF($C201="na","na",((E201*Eqtn!$D$205)*($C201+Eqtn!$D$206))))</f>
        <v>na</v>
      </c>
      <c r="H201" s="219" t="str">
        <f>SW!R201</f>
        <v>na</v>
      </c>
      <c r="I201" s="289" t="str">
        <f>IF(H201="na","na",IF($C201="na","na",(H201*Eqtn!$D$202*($C201+Eqtn!$D$203+(Eqtn!$D$204*$D201)))))</f>
        <v>na</v>
      </c>
      <c r="J201" s="289" t="str">
        <f>IF(H201="na","na",IF($C201="na","na",((H201*Eqtn!$D$205)*($C201+Eqtn!$D$206))))</f>
        <v>na</v>
      </c>
      <c r="K201" s="584" t="str">
        <f>Partit!E201</f>
        <v>na</v>
      </c>
      <c r="L201" s="584" t="str">
        <f>IF(K201="na","na",IF(K201="TBD","TBD",IF($C201="na","na",(K201*Eqtn!$D$202*($C201+Eqtn!$D$203+(Eqtn!$D$204*$D201))))))</f>
        <v>na</v>
      </c>
      <c r="M201" s="584" t="str">
        <f>IF(K201="na","na",IF(K201="TBD","TBD",IF($C201="na","na",((K201*Eqtn!$D$205)*($C201+Eqtn!$D$206)))))</f>
        <v>na</v>
      </c>
      <c r="N201" s="348"/>
      <c r="O201" s="348" t="str">
        <f>IF(N201="na","na",IF(N201="TBD","TBD",IF($C201="na","na",(N201*Eqtn!$D$202*($C201+Eqtn!$D$203+(Eqtn!$D$204*$D201))))))</f>
        <v>na</v>
      </c>
      <c r="P201" s="367" t="str">
        <f>IF(N201="na","na",IF(N201="TBD","TBD",IF($C201="na","na",((N201*Eqtn!$D$205)*($C201+Eqtn!$D$206)))))</f>
        <v>na</v>
      </c>
      <c r="R201" s="1062"/>
    </row>
    <row r="202" spans="1:18" ht="13.9" customHeight="1" x14ac:dyDescent="0.25">
      <c r="A202" s="846">
        <f>Chem!A202</f>
        <v>200</v>
      </c>
      <c r="B202" s="891" t="str">
        <f>Chem!B202</f>
        <v>Methyl ethyl ketone (2-butanone)</v>
      </c>
      <c r="C202" s="423">
        <f>Param!F202</f>
        <v>4.5100000000000001E-3</v>
      </c>
      <c r="D202" s="423">
        <f>Param!M202</f>
        <v>1.3384265085753068E-3</v>
      </c>
      <c r="E202" s="461">
        <f>PW!O202</f>
        <v>4800</v>
      </c>
      <c r="F202" s="461">
        <f>IF(E202="na","na",IF($C202="na","na",(E202*Eqtn!$D$202*($C202+Eqtn!$D$203+(Eqtn!$D$204*$D202)))))</f>
        <v>19.644095708551344</v>
      </c>
      <c r="G202" s="461">
        <f>IF(E202="na","na",IF($C202="na","na",((E202*Eqtn!$D$205)*($C202+Eqtn!$D$206))))</f>
        <v>1.397648</v>
      </c>
      <c r="H202" s="221" t="str">
        <f>SW!R202</f>
        <v>na</v>
      </c>
      <c r="I202" s="289" t="str">
        <f>IF(H202="na","na",IF($C202="na","na",(H202*Eqtn!$D$202*($C202+Eqtn!$D$203+(Eqtn!$D$204*$D202)))))</f>
        <v>na</v>
      </c>
      <c r="J202" s="289" t="str">
        <f>IF(H202="na","na",IF($C202="na","na",((H202*Eqtn!$D$205)*($C202+Eqtn!$D$206))))</f>
        <v>na</v>
      </c>
      <c r="K202" s="584" t="str">
        <f>Partit!E202</f>
        <v>na</v>
      </c>
      <c r="L202" s="584" t="str">
        <f>IF(K202="na","na",IF(K202="TBD","TBD",IF($C202="na","na",(K202*Eqtn!$D$202*($C202+Eqtn!$D$203+(Eqtn!$D$204*$D202))))))</f>
        <v>na</v>
      </c>
      <c r="M202" s="584" t="str">
        <f>IF(K202="na","na",IF(K202="TBD","TBD",IF($C202="na","na",((K202*Eqtn!$D$205)*($C202+Eqtn!$D$206)))))</f>
        <v>na</v>
      </c>
      <c r="N202" s="348"/>
      <c r="O202" s="348">
        <f>IF(N202="na","na",IF(N202="TBD","TBD",IF($C202="na","na",(N202*Eqtn!$D$202*($C202+Eqtn!$D$203+(Eqtn!$D$204*$D202))))))</f>
        <v>0</v>
      </c>
      <c r="P202" s="367">
        <f>IF(N202="na","na",IF(N202="TBD","TBD",IF($C202="na","na",((N202*Eqtn!$D$205)*($C202+Eqtn!$D$206)))))</f>
        <v>0</v>
      </c>
      <c r="R202" s="1062"/>
    </row>
    <row r="203" spans="1:18" ht="13.9" customHeight="1" x14ac:dyDescent="0.25">
      <c r="A203" s="846">
        <f>Chem!A203</f>
        <v>201</v>
      </c>
      <c r="B203" s="891" t="str">
        <f>Chem!B203</f>
        <v>Methyl iodide</v>
      </c>
      <c r="C203" s="423" t="str">
        <f>Param!F203</f>
        <v>na</v>
      </c>
      <c r="D203" s="423">
        <f>Param!M203</f>
        <v>0</v>
      </c>
      <c r="E203" s="461" t="str">
        <f>PW!O203</f>
        <v>na</v>
      </c>
      <c r="F203" s="461" t="str">
        <f>IF(E203="na","na",IF($C203="na","na",(E203*Eqtn!$D$202*($C203+Eqtn!$D$203+(Eqtn!$D$204*$D203)))))</f>
        <v>na</v>
      </c>
      <c r="G203" s="461" t="str">
        <f>IF(E203="na","na",IF($C203="na","na",((E203*Eqtn!$D$205)*($C203+Eqtn!$D$206))))</f>
        <v>na</v>
      </c>
      <c r="H203" s="221" t="str">
        <f>SW!R203</f>
        <v>na</v>
      </c>
      <c r="I203" s="289" t="str">
        <f>IF(H203="na","na",IF($C203="na","na",(H203*Eqtn!$D$202*($C203+Eqtn!$D$203+(Eqtn!$D$204*$D203)))))</f>
        <v>na</v>
      </c>
      <c r="J203" s="289" t="str">
        <f>IF(H203="na","na",IF($C203="na","na",((H203*Eqtn!$D$205)*($C203+Eqtn!$D$206))))</f>
        <v>na</v>
      </c>
      <c r="K203" s="584" t="str">
        <f>Partit!E203</f>
        <v>na</v>
      </c>
      <c r="L203" s="584" t="str">
        <f>IF(K203="na","na",IF(K203="TBD","TBD",IF($C203="na","na",(K203*Eqtn!$D$202*($C203+Eqtn!$D$203+(Eqtn!$D$204*$D203))))))</f>
        <v>na</v>
      </c>
      <c r="M203" s="584" t="str">
        <f>IF(K203="na","na",IF(K203="TBD","TBD",IF($C203="na","na",((K203*Eqtn!$D$205)*($C203+Eqtn!$D$206)))))</f>
        <v>na</v>
      </c>
      <c r="N203" s="348"/>
      <c r="O203" s="348" t="str">
        <f>IF(N203="na","na",IF(N203="TBD","TBD",IF($C203="na","na",(N203*Eqtn!$D$202*($C203+Eqtn!$D$203+(Eqtn!$D$204*$D203))))))</f>
        <v>na</v>
      </c>
      <c r="P203" s="367" t="str">
        <f>IF(N203="na","na",IF(N203="TBD","TBD",IF($C203="na","na",((N203*Eqtn!$D$205)*($C203+Eqtn!$D$206)))))</f>
        <v>na</v>
      </c>
      <c r="R203" s="1062"/>
    </row>
    <row r="204" spans="1:18" ht="13.9" customHeight="1" x14ac:dyDescent="0.25">
      <c r="A204" s="846">
        <f>Chem!A204</f>
        <v>202</v>
      </c>
      <c r="B204" s="891" t="str">
        <f>Chem!B204</f>
        <v>Methyl isobutyl ketone</v>
      </c>
      <c r="C204" s="423">
        <f>Param!F204</f>
        <v>1.26E-2</v>
      </c>
      <c r="D204" s="423">
        <f>Param!M204</f>
        <v>2.9410992418944779E-3</v>
      </c>
      <c r="E204" s="461">
        <f>PW!O204</f>
        <v>640</v>
      </c>
      <c r="F204" s="461">
        <f>IF(E204="na","na",IF($C204="na","na",(E204*Eqtn!$D$202*($C204+Eqtn!$D$203+(Eqtn!$D$204*$D204)))))</f>
        <v>2.724542659425675</v>
      </c>
      <c r="G204" s="461">
        <f>IF(E204="na","na",IF($C204="na","na",((E204*Eqtn!$D$205)*($C204+Eqtn!$D$206))))</f>
        <v>0.19153066666666668</v>
      </c>
      <c r="H204" s="221" t="str">
        <f>SW!R204</f>
        <v>na</v>
      </c>
      <c r="I204" s="289" t="str">
        <f>IF(H204="na","na",IF($C204="na","na",(H204*Eqtn!$D$202*($C204+Eqtn!$D$203+(Eqtn!$D$204*$D204)))))</f>
        <v>na</v>
      </c>
      <c r="J204" s="289" t="str">
        <f>IF(H204="na","na",IF($C204="na","na",((H204*Eqtn!$D$205)*($C204+Eqtn!$D$206))))</f>
        <v>na</v>
      </c>
      <c r="K204" s="584" t="str">
        <f>Partit!E204</f>
        <v>na</v>
      </c>
      <c r="L204" s="584" t="str">
        <f>IF(K204="na","na",IF(K204="TBD","TBD",IF($C204="na","na",(K204*Eqtn!$D$202*($C204+Eqtn!$D$203+(Eqtn!$D$204*$D204))))))</f>
        <v>na</v>
      </c>
      <c r="M204" s="584" t="str">
        <f>IF(K204="na","na",IF(K204="TBD","TBD",IF($C204="na","na",((K204*Eqtn!$D$205)*($C204+Eqtn!$D$206)))))</f>
        <v>na</v>
      </c>
      <c r="N204" s="348"/>
      <c r="O204" s="348">
        <f>IF(N204="na","na",IF(N204="TBD","TBD",IF($C204="na","na",(N204*Eqtn!$D$202*($C204+Eqtn!$D$203+(Eqtn!$D$204*$D204))))))</f>
        <v>0</v>
      </c>
      <c r="P204" s="367">
        <f>IF(N204="na","na",IF(N204="TBD","TBD",IF($C204="na","na",((N204*Eqtn!$D$205)*($C204+Eqtn!$D$206)))))</f>
        <v>0</v>
      </c>
      <c r="R204" s="1062"/>
    </row>
    <row r="205" spans="1:18" ht="13.9" customHeight="1" x14ac:dyDescent="0.25">
      <c r="A205" s="846">
        <f>Chem!A205</f>
        <v>203</v>
      </c>
      <c r="B205" s="891" t="str">
        <f>Chem!B205</f>
        <v>Methyl tert-butyl ether (MTBE)</v>
      </c>
      <c r="C205" s="423">
        <f>Param!F205</f>
        <v>1.09E-2</v>
      </c>
      <c r="D205" s="423">
        <f>Param!M205</f>
        <v>1.1219516036506364E-2</v>
      </c>
      <c r="E205" s="461">
        <f>PW!O205</f>
        <v>24.30555555555555</v>
      </c>
      <c r="F205" s="461">
        <f>IF(E205="na","na",IF($C205="na","na",(E205*Eqtn!$D$202*($C205+Eqtn!$D$203+(Eqtn!$D$204*$D205)))))</f>
        <v>0.102993507388575</v>
      </c>
      <c r="G205" s="461">
        <f>IF(E205="na","na",IF($C205="na","na",((E205*Eqtn!$D$205)*($C205+Eqtn!$D$206))))</f>
        <v>7.2325231481481468E-3</v>
      </c>
      <c r="H205" s="221" t="str">
        <f>SW!R205</f>
        <v>na</v>
      </c>
      <c r="I205" s="289" t="str">
        <f>IF(H205="na","na",IF($C205="na","na",(H205*Eqtn!$D$202*($C205+Eqtn!$D$203+(Eqtn!$D$204*$D205)))))</f>
        <v>na</v>
      </c>
      <c r="J205" s="289" t="str">
        <f>IF(H205="na","na",IF($C205="na","na",((H205*Eqtn!$D$205)*($C205+Eqtn!$D$206))))</f>
        <v>na</v>
      </c>
      <c r="K205" s="584" t="str">
        <f>Partit!E205</f>
        <v>na</v>
      </c>
      <c r="L205" s="584" t="str">
        <f>IF(K205="na","na",IF(K205="TBD","TBD",IF($C205="na","na",(K205*Eqtn!$D$202*($C205+Eqtn!$D$203+(Eqtn!$D$204*$D205))))))</f>
        <v>na</v>
      </c>
      <c r="M205" s="584" t="str">
        <f>IF(K205="na","na",IF(K205="TBD","TBD",IF($C205="na","na",((K205*Eqtn!$D$205)*($C205+Eqtn!$D$206)))))</f>
        <v>na</v>
      </c>
      <c r="N205" s="348"/>
      <c r="O205" s="348">
        <f>IF(N205="na","na",IF(N205="TBD","TBD",IF($C205="na","na",(N205*Eqtn!$D$202*($C205+Eqtn!$D$203+(Eqtn!$D$204*$D205))))))</f>
        <v>0</v>
      </c>
      <c r="P205" s="367">
        <f>IF(N205="na","na",IF(N205="TBD","TBD",IF($C205="na","na",((N205*Eqtn!$D$205)*($C205+Eqtn!$D$206)))))</f>
        <v>0</v>
      </c>
      <c r="R205" s="1062"/>
    </row>
    <row r="206" spans="1:18" ht="13.9" customHeight="1" x14ac:dyDescent="0.25">
      <c r="A206" s="846">
        <f>Chem!A206</f>
        <v>204</v>
      </c>
      <c r="B206" s="891" t="str">
        <f>Chem!B206</f>
        <v>Methylene chloride</v>
      </c>
      <c r="C206" s="423">
        <f>Param!F206</f>
        <v>0.01</v>
      </c>
      <c r="D206" s="423">
        <f>Param!M206</f>
        <v>8.4269915506328272E-2</v>
      </c>
      <c r="E206" s="461">
        <f>PW!O206</f>
        <v>5</v>
      </c>
      <c r="F206" s="461">
        <f>IF(E206="na","na",IF($C206="na","na",(E206*Eqtn!$D$202*($C206+Eqtn!$D$203+(Eqtn!$D$204*$D206)))))</f>
        <v>2.1730339267721513E-2</v>
      </c>
      <c r="G206" s="461">
        <f>IF(E206="na","na",IF($C206="na","na",((E206*Eqtn!$D$205)*($C206+Eqtn!$D$206))))</f>
        <v>1.4833333333333335E-3</v>
      </c>
      <c r="H206" s="221">
        <f>SW!R206</f>
        <v>100</v>
      </c>
      <c r="I206" s="289">
        <f>IF(H206="na","na",IF($C206="na","na",(H206*Eqtn!$D$202*($C206+Eqtn!$D$203+(Eqtn!$D$204*$D206)))))</f>
        <v>0.4346067853544302</v>
      </c>
      <c r="J206" s="289">
        <f>IF(H206="na","na",IF($C206="na","na",((H206*Eqtn!$D$205)*($C206+Eqtn!$D$206))))</f>
        <v>2.9666666666666671E-2</v>
      </c>
      <c r="K206" s="584" t="str">
        <f>Partit!E206</f>
        <v>na</v>
      </c>
      <c r="L206" s="584" t="str">
        <f>IF(K206="na","na",IF(K206="TBD","TBD",IF($C206="na","na",(K206*Eqtn!$D$202*($C206+Eqtn!$D$203+(Eqtn!$D$204*$D206))))))</f>
        <v>na</v>
      </c>
      <c r="M206" s="584" t="str">
        <f>IF(K206="na","na",IF(K206="TBD","TBD",IF($C206="na","na",((K206*Eqtn!$D$205)*($C206+Eqtn!$D$206)))))</f>
        <v>na</v>
      </c>
      <c r="N206" s="348"/>
      <c r="O206" s="348">
        <f>IF(N206="na","na",IF(N206="TBD","TBD",IF($C206="na","na",(N206*Eqtn!$D$202*($C206+Eqtn!$D$203+(Eqtn!$D$204*$D206))))))</f>
        <v>0</v>
      </c>
      <c r="P206" s="367">
        <f>IF(N206="na","na",IF(N206="TBD","TBD",IF($C206="na","na",((N206*Eqtn!$D$205)*($C206+Eqtn!$D$206)))))</f>
        <v>0</v>
      </c>
      <c r="R206" s="1062"/>
    </row>
    <row r="207" spans="1:18" ht="13.9" customHeight="1" x14ac:dyDescent="0.25">
      <c r="A207" s="846">
        <f>Chem!A207</f>
        <v>205</v>
      </c>
      <c r="B207" s="891" t="str">
        <f>Chem!B207</f>
        <v>2-Pentanone</v>
      </c>
      <c r="C207" s="423" t="str">
        <f>Param!F207</f>
        <v>na</v>
      </c>
      <c r="D207" s="423">
        <f>Param!M207</f>
        <v>0</v>
      </c>
      <c r="E207" s="461" t="str">
        <f>PW!O207</f>
        <v>na</v>
      </c>
      <c r="F207" s="461" t="str">
        <f>IF(E207="na","na",IF($C207="na","na",(E207*Eqtn!$D$202*($C207+Eqtn!$D$203+(Eqtn!$D$204*$D207)))))</f>
        <v>na</v>
      </c>
      <c r="G207" s="461" t="str">
        <f>IF(E207="na","na",IF($C207="na","na",((E207*Eqtn!$D$205)*($C207+Eqtn!$D$206))))</f>
        <v>na</v>
      </c>
      <c r="H207" s="221" t="str">
        <f>SW!R207</f>
        <v>na</v>
      </c>
      <c r="I207" s="289" t="str">
        <f>IF(H207="na","na",IF($C207="na","na",(H207*Eqtn!$D$202*($C207+Eqtn!$D$203+(Eqtn!$D$204*$D207)))))</f>
        <v>na</v>
      </c>
      <c r="J207" s="289" t="str">
        <f>IF(H207="na","na",IF($C207="na","na",((H207*Eqtn!$D$205)*($C207+Eqtn!$D$206))))</f>
        <v>na</v>
      </c>
      <c r="K207" s="584" t="str">
        <f>Partit!E207</f>
        <v>na</v>
      </c>
      <c r="L207" s="584" t="str">
        <f>IF(K207="na","na",IF(K207="TBD","TBD",IF($C207="na","na",(K207*Eqtn!$D$202*($C207+Eqtn!$D$203+(Eqtn!$D$204*$D207))))))</f>
        <v>na</v>
      </c>
      <c r="M207" s="584" t="str">
        <f>IF(K207="na","na",IF(K207="TBD","TBD",IF($C207="na","na",((K207*Eqtn!$D$205)*($C207+Eqtn!$D$206)))))</f>
        <v>na</v>
      </c>
      <c r="N207" s="348"/>
      <c r="O207" s="348" t="str">
        <f>IF(N207="na","na",IF(N207="TBD","TBD",IF($C207="na","na",(N207*Eqtn!$D$202*($C207+Eqtn!$D$203+(Eqtn!$D$204*$D207))))))</f>
        <v>na</v>
      </c>
      <c r="P207" s="367" t="str">
        <f>IF(N207="na","na",IF(N207="TBD","TBD",IF($C207="na","na",((N207*Eqtn!$D$205)*($C207+Eqtn!$D$206)))))</f>
        <v>na</v>
      </c>
      <c r="R207" s="1062"/>
    </row>
    <row r="208" spans="1:18" ht="13.9" customHeight="1" x14ac:dyDescent="0.25">
      <c r="A208" s="846">
        <f>Chem!A208</f>
        <v>206</v>
      </c>
      <c r="B208" s="891" t="str">
        <f>Chem!B208</f>
        <v>n-Propylbenzene</v>
      </c>
      <c r="C208" s="423">
        <f>Param!F208</f>
        <v>0.81300000000000006</v>
      </c>
      <c r="D208" s="423">
        <f>Param!M208</f>
        <v>0.2020628221582316</v>
      </c>
      <c r="E208" s="461">
        <f>PW!O208</f>
        <v>800</v>
      </c>
      <c r="F208" s="461">
        <f>IF(E208="na","na",IF($C208="na","na",(E208*Eqtn!$D$202*($C208+Eqtn!$D$203+(Eqtn!$D$204*$D208)))))</f>
        <v>16.488193780059415</v>
      </c>
      <c r="G208" s="461">
        <f>IF(E208="na","na",IF($C208="na","na",((E208*Eqtn!$D$205)*($C208+Eqtn!$D$206))))</f>
        <v>0.87973333333333348</v>
      </c>
      <c r="H208" s="221" t="str">
        <f>SW!R208</f>
        <v>na</v>
      </c>
      <c r="I208" s="289" t="str">
        <f>IF(H208="na","na",IF($C208="na","na",(H208*Eqtn!$D$202*($C208+Eqtn!$D$203+(Eqtn!$D$204*$D208)))))</f>
        <v>na</v>
      </c>
      <c r="J208" s="289" t="str">
        <f>IF(H208="na","na",IF($C208="na","na",((H208*Eqtn!$D$205)*($C208+Eqtn!$D$206))))</f>
        <v>na</v>
      </c>
      <c r="K208" s="584" t="str">
        <f>Partit!E208</f>
        <v>na</v>
      </c>
      <c r="L208" s="584" t="str">
        <f>IF(K208="na","na",IF(K208="TBD","TBD",IF($C208="na","na",(K208*Eqtn!$D$202*($C208+Eqtn!$D$203+(Eqtn!$D$204*$D208))))))</f>
        <v>na</v>
      </c>
      <c r="M208" s="584" t="str">
        <f>IF(K208="na","na",IF(K208="TBD","TBD",IF($C208="na","na",((K208*Eqtn!$D$205)*($C208+Eqtn!$D$206)))))</f>
        <v>na</v>
      </c>
      <c r="N208" s="348"/>
      <c r="O208" s="348">
        <f>IF(N208="na","na",IF(N208="TBD","TBD",IF($C208="na","na",(N208*Eqtn!$D$202*($C208+Eqtn!$D$203+(Eqtn!$D$204*$D208))))))</f>
        <v>0</v>
      </c>
      <c r="P208" s="367">
        <f>IF(N208="na","na",IF(N208="TBD","TBD",IF($C208="na","na",((N208*Eqtn!$D$205)*($C208+Eqtn!$D$206)))))</f>
        <v>0</v>
      </c>
      <c r="R208" s="1062"/>
    </row>
    <row r="209" spans="1:18" ht="13.9" customHeight="1" x14ac:dyDescent="0.25">
      <c r="A209" s="846">
        <f>Chem!A209</f>
        <v>207</v>
      </c>
      <c r="B209" s="891" t="str">
        <f>Chem!B209</f>
        <v>Styrene</v>
      </c>
      <c r="C209" s="423">
        <f>Param!F209</f>
        <v>0.91200000000000003</v>
      </c>
      <c r="D209" s="423">
        <f>Param!M209</f>
        <v>5.3608046534770776E-2</v>
      </c>
      <c r="E209" s="461">
        <f>PW!O209</f>
        <v>100</v>
      </c>
      <c r="F209" s="461">
        <f>IF(E209="na","na",IF($C209="na","na",(E209*Eqtn!$D$202*($C209+Eqtn!$D$203+(Eqtn!$D$204*$D209)))))</f>
        <v>2.2332920613993603</v>
      </c>
      <c r="G209" s="461">
        <f>IF(E209="na","na",IF($C209="na","na",((E209*Eqtn!$D$205)*($C209+Eqtn!$D$206))))</f>
        <v>0.11986666666666668</v>
      </c>
      <c r="H209" s="221" t="str">
        <f>SW!R209</f>
        <v>na</v>
      </c>
      <c r="I209" s="289" t="str">
        <f>IF(H209="na","na",IF($C209="na","na",(H209*Eqtn!$D$202*($C209+Eqtn!$D$203+(Eqtn!$D$204*$D209)))))</f>
        <v>na</v>
      </c>
      <c r="J209" s="289" t="str">
        <f>IF(H209="na","na",IF($C209="na","na",((H209*Eqtn!$D$205)*($C209+Eqtn!$D$206))))</f>
        <v>na</v>
      </c>
      <c r="K209" s="584" t="str">
        <f>Partit!E209</f>
        <v>na</v>
      </c>
      <c r="L209" s="584" t="str">
        <f>IF(K209="na","na",IF(K209="TBD","TBD",IF($C209="na","na",(K209*Eqtn!$D$202*($C209+Eqtn!$D$203+(Eqtn!$D$204*$D209))))))</f>
        <v>na</v>
      </c>
      <c r="M209" s="584" t="str">
        <f>IF(K209="na","na",IF(K209="TBD","TBD",IF($C209="na","na",((K209*Eqtn!$D$205)*($C209+Eqtn!$D$206)))))</f>
        <v>na</v>
      </c>
      <c r="N209" s="348"/>
      <c r="O209" s="348">
        <f>IF(N209="na","na",IF(N209="TBD","TBD",IF($C209="na","na",(N209*Eqtn!$D$202*($C209+Eqtn!$D$203+(Eqtn!$D$204*$D209))))))</f>
        <v>0</v>
      </c>
      <c r="P209" s="367">
        <f>IF(N209="na","na",IF(N209="TBD","TBD",IF($C209="na","na",((N209*Eqtn!$D$205)*($C209+Eqtn!$D$206)))))</f>
        <v>0</v>
      </c>
      <c r="R209" s="1062"/>
    </row>
    <row r="210" spans="1:18" ht="13.9" customHeight="1" x14ac:dyDescent="0.25">
      <c r="A210" s="846">
        <f>Chem!A210</f>
        <v>208</v>
      </c>
      <c r="B210" s="891" t="str">
        <f>Chem!B210</f>
        <v>1,1,1,2-Tetrachloroethane</v>
      </c>
      <c r="C210" s="423">
        <f>Param!F210</f>
        <v>8.6000000000000007E-2</v>
      </c>
      <c r="D210" s="423">
        <f>Param!M210</f>
        <v>4.7495367757914637E-2</v>
      </c>
      <c r="E210" s="461">
        <f>PW!O210</f>
        <v>1.6826923076923075</v>
      </c>
      <c r="F210" s="461">
        <f>IF(E210="na","na",IF($C210="na","na",(E210*Eqtn!$D$202*($C210+Eqtn!$D$203+(Eqtn!$D$204*$D210)))))</f>
        <v>9.7635281559605835E-3</v>
      </c>
      <c r="G210" s="461">
        <f>IF(E210="na","na",IF($C210="na","na",((E210*Eqtn!$D$205)*($C210+Eqtn!$D$206))))</f>
        <v>6.2708333333333333E-4</v>
      </c>
      <c r="H210" s="221" t="str">
        <f>SW!R210</f>
        <v>na</v>
      </c>
      <c r="I210" s="289" t="str">
        <f>IF(H210="na","na",IF($C210="na","na",(H210*Eqtn!$D$202*($C210+Eqtn!$D$203+(Eqtn!$D$204*$D210)))))</f>
        <v>na</v>
      </c>
      <c r="J210" s="289" t="str">
        <f>IF(H210="na","na",IF($C210="na","na",((H210*Eqtn!$D$205)*($C210+Eqtn!$D$206))))</f>
        <v>na</v>
      </c>
      <c r="K210" s="584" t="str">
        <f>Partit!E210</f>
        <v>na</v>
      </c>
      <c r="L210" s="584" t="str">
        <f>IF(K210="na","na",IF(K210="TBD","TBD",IF($C210="na","na",(K210*Eqtn!$D$202*($C210+Eqtn!$D$203+(Eqtn!$D$204*$D210))))))</f>
        <v>na</v>
      </c>
      <c r="M210" s="584" t="str">
        <f>IF(K210="na","na",IF(K210="TBD","TBD",IF($C210="na","na",((K210*Eqtn!$D$205)*($C210+Eqtn!$D$206)))))</f>
        <v>na</v>
      </c>
      <c r="N210" s="348"/>
      <c r="O210" s="348">
        <f>IF(N210="na","na",IF(N210="TBD","TBD",IF($C210="na","na",(N210*Eqtn!$D$202*($C210+Eqtn!$D$203+(Eqtn!$D$204*$D210))))))</f>
        <v>0</v>
      </c>
      <c r="P210" s="367">
        <f>IF(N210="na","na",IF(N210="TBD","TBD",IF($C210="na","na",((N210*Eqtn!$D$205)*($C210+Eqtn!$D$206)))))</f>
        <v>0</v>
      </c>
      <c r="R210" s="1062"/>
    </row>
    <row r="211" spans="1:18" ht="13.9" customHeight="1" x14ac:dyDescent="0.25">
      <c r="A211" s="846">
        <f>Chem!A211</f>
        <v>209</v>
      </c>
      <c r="B211" s="891" t="str">
        <f>Chem!B211</f>
        <v>1,1,2,2-Tetrachloroethane</v>
      </c>
      <c r="C211" s="423">
        <f>Param!F211</f>
        <v>7.9000000000000001E-2</v>
      </c>
      <c r="D211" s="423">
        <f>Param!M211</f>
        <v>7.34525414777996E-3</v>
      </c>
      <c r="E211" s="461">
        <f>PW!O211</f>
        <v>0.21874999999999994</v>
      </c>
      <c r="F211" s="461">
        <f>IF(E211="na","na",IF($C211="na","na",(E211*Eqtn!$D$202*($C211+Eqtn!$D$203+(Eqtn!$D$204*$D211)))))</f>
        <v>1.2234100755310327E-3</v>
      </c>
      <c r="G211" s="461">
        <f>IF(E211="na","na",IF($C211="na","na",((E211*Eqtn!$D$205)*($C211+Eqtn!$D$206))))</f>
        <v>7.998958333333332E-5</v>
      </c>
      <c r="H211" s="221">
        <f>SW!R211</f>
        <v>0.3</v>
      </c>
      <c r="I211" s="289">
        <f>IF(H211="na","na",IF($C211="na","na",(H211*Eqtn!$D$202*($C211+Eqtn!$D$203+(Eqtn!$D$204*$D211)))))</f>
        <v>1.6778195321568454E-3</v>
      </c>
      <c r="J211" s="289">
        <f>IF(H211="na","na",IF($C211="na","na",((H211*Eqtn!$D$205)*($C211+Eqtn!$D$206))))</f>
        <v>1.097E-4</v>
      </c>
      <c r="K211" s="584" t="str">
        <f>Partit!E211</f>
        <v>na</v>
      </c>
      <c r="L211" s="584" t="str">
        <f>IF(K211="na","na",IF(K211="TBD","TBD",IF($C211="na","na",(K211*Eqtn!$D$202*($C211+Eqtn!$D$203+(Eqtn!$D$204*$D211))))))</f>
        <v>na</v>
      </c>
      <c r="M211" s="584" t="str">
        <f>IF(K211="na","na",IF(K211="TBD","TBD",IF($C211="na","na",((K211*Eqtn!$D$205)*($C211+Eqtn!$D$206)))))</f>
        <v>na</v>
      </c>
      <c r="N211" s="348"/>
      <c r="O211" s="348">
        <f>IF(N211="na","na",IF(N211="TBD","TBD",IF($C211="na","na",(N211*Eqtn!$D$202*($C211+Eqtn!$D$203+(Eqtn!$D$204*$D211))))))</f>
        <v>0</v>
      </c>
      <c r="P211" s="367">
        <f>IF(N211="na","na",IF(N211="TBD","TBD",IF($C211="na","na",((N211*Eqtn!$D$205)*($C211+Eqtn!$D$206)))))</f>
        <v>0</v>
      </c>
      <c r="R211" s="1062"/>
    </row>
    <row r="212" spans="1:18" ht="13.9" customHeight="1" x14ac:dyDescent="0.25">
      <c r="A212" s="846">
        <f>Chem!A212</f>
        <v>210</v>
      </c>
      <c r="B212" s="891" t="str">
        <f>Chem!B212</f>
        <v>Tetrachloroethylene (PCE)</v>
      </c>
      <c r="C212" s="423">
        <f>Param!F212</f>
        <v>0.26500000000000001</v>
      </c>
      <c r="D212" s="423">
        <f>Param!M212</f>
        <v>0.38398943995760693</v>
      </c>
      <c r="E212" s="459">
        <f>PW!O212</f>
        <v>5</v>
      </c>
      <c r="F212" s="461">
        <f>IF(E212="na","na",IF($C212="na","na",(E212*Eqtn!$D$202*($C212+Eqtn!$D$203+(Eqtn!$D$204*$D212)))))</f>
        <v>4.9827908479632588E-2</v>
      </c>
      <c r="G212" s="461">
        <f>IF(E212="na","na",IF($C212="na","na",((E212*Eqtn!$D$205)*($C212+Eqtn!$D$206))))</f>
        <v>2.758333333333334E-3</v>
      </c>
      <c r="H212" s="221">
        <f>SW!R212</f>
        <v>2.9</v>
      </c>
      <c r="I212" s="289">
        <f>IF(H212="na","na",IF($C212="na","na",(H212*Eqtn!$D$202*($C212+Eqtn!$D$203+(Eqtn!$D$204*$D212)))))</f>
        <v>2.8900186918186899E-2</v>
      </c>
      <c r="J212" s="289">
        <f>IF(H212="na","na",IF($C212="na","na",((H212*Eqtn!$D$205)*($C212+Eqtn!$D$206))))</f>
        <v>1.5998333333333335E-3</v>
      </c>
      <c r="K212" s="584" t="str">
        <f>Partit!E212</f>
        <v>na</v>
      </c>
      <c r="L212" s="584" t="str">
        <f>IF(K212="na","na",IF(K212="TBD","TBD",IF($C212="na","na",(K212*Eqtn!$D$202*($C212+Eqtn!$D$203+(Eqtn!$D$204*$D212))))))</f>
        <v>na</v>
      </c>
      <c r="M212" s="584" t="str">
        <f>IF(K212="na","na",IF(K212="TBD","TBD",IF($C212="na","na",((K212*Eqtn!$D$205)*($C212+Eqtn!$D$206)))))</f>
        <v>na</v>
      </c>
      <c r="N212" s="348"/>
      <c r="O212" s="348">
        <f>IF(N212="na","na",IF(N212="TBD","TBD",IF($C212="na","na",(N212*Eqtn!$D$202*($C212+Eqtn!$D$203+(Eqtn!$D$204*$D212))))))</f>
        <v>0</v>
      </c>
      <c r="P212" s="367">
        <f>IF(N212="na","na",IF(N212="TBD","TBD",IF($C212="na","na",((N212*Eqtn!$D$205)*($C212+Eqtn!$D$206)))))</f>
        <v>0</v>
      </c>
      <c r="R212" s="1062"/>
    </row>
    <row r="213" spans="1:18" ht="13.9" customHeight="1" x14ac:dyDescent="0.25">
      <c r="A213" s="846">
        <f>Chem!A213</f>
        <v>211</v>
      </c>
      <c r="B213" s="891" t="str">
        <f>Chem!B213</f>
        <v>Tetrahydrofuran</v>
      </c>
      <c r="C213" s="423">
        <f>Param!F213</f>
        <v>1.0800000000000001E-2</v>
      </c>
      <c r="D213" s="423">
        <f>Param!M213</f>
        <v>1.7388069383760961E-3</v>
      </c>
      <c r="E213" s="459">
        <f>PW!O213</f>
        <v>7200</v>
      </c>
      <c r="F213" s="461">
        <f>IF(E213="na","na",IF($C213="na","na",(E213*Eqtn!$D$202*($C213+Eqtn!$D$203+(Eqtn!$D$204*$D213)))))</f>
        <v>30.376900310590933</v>
      </c>
      <c r="G213" s="461">
        <f>IF(E213="na","na",IF($C213="na","na",((E213*Eqtn!$D$205)*($C213+Eqtn!$D$206))))</f>
        <v>2.1417600000000001</v>
      </c>
      <c r="H213" s="221" t="str">
        <f>SW!R213</f>
        <v>na</v>
      </c>
      <c r="I213" s="289" t="str">
        <f>IF(H213="na","na",IF($C213="na","na",(H213*Eqtn!$D$202*($C213+Eqtn!$D$203+(Eqtn!$D$204*$D213)))))</f>
        <v>na</v>
      </c>
      <c r="J213" s="289" t="str">
        <f>IF(H213="na","na",IF($C213="na","na",((H213*Eqtn!$D$205)*($C213+Eqtn!$D$206))))</f>
        <v>na</v>
      </c>
      <c r="K213" s="584" t="str">
        <f>Partit!E213</f>
        <v>na</v>
      </c>
      <c r="L213" s="584" t="str">
        <f>IF(K213="na","na",IF(K213="TBD","TBD",IF($C213="na","na",(K213*Eqtn!$D$202*($C213+Eqtn!$D$203+(Eqtn!$D$204*$D213))))))</f>
        <v>na</v>
      </c>
      <c r="M213" s="584" t="str">
        <f>IF(K213="na","na",IF(K213="TBD","TBD",IF($C213="na","na",((K213*Eqtn!$D$205)*($C213+Eqtn!$D$206)))))</f>
        <v>na</v>
      </c>
      <c r="N213" s="348"/>
      <c r="O213" s="348">
        <f>IF(N213="na","na",IF(N213="TBD","TBD",IF($C213="na","na",(N213*Eqtn!$D$202*($C213+Eqtn!$D$203+(Eqtn!$D$204*$D213))))))</f>
        <v>0</v>
      </c>
      <c r="P213" s="367">
        <f>IF(N213="na","na",IF(N213="TBD","TBD",IF($C213="na","na",((N213*Eqtn!$D$205)*($C213+Eqtn!$D$206)))))</f>
        <v>0</v>
      </c>
      <c r="R213" s="1062"/>
    </row>
    <row r="214" spans="1:18" ht="13.9" customHeight="1" x14ac:dyDescent="0.25">
      <c r="A214" s="846">
        <f>Chem!A214</f>
        <v>212</v>
      </c>
      <c r="B214" s="891" t="str">
        <f>Chem!B214</f>
        <v>Toluene</v>
      </c>
      <c r="C214" s="423">
        <f>Param!F214</f>
        <v>0.14000000000000001</v>
      </c>
      <c r="D214" s="423">
        <f>Param!M214</f>
        <v>0.14853850277256189</v>
      </c>
      <c r="E214" s="461">
        <f>PW!O214</f>
        <v>640</v>
      </c>
      <c r="F214" s="461">
        <f>IF(E214="na","na",IF($C214="na","na",(E214*Eqtn!$D$202*($C214+Eqtn!$D$203+(Eqtn!$D$204*$D214)))))</f>
        <v>4.5167787124090282</v>
      </c>
      <c r="G214" s="461">
        <f>IF(E214="na","na",IF($C214="na","na",((E214*Eqtn!$D$205)*($C214+Eqtn!$D$206))))</f>
        <v>0.27306666666666668</v>
      </c>
      <c r="H214" s="221">
        <f>SW!R214</f>
        <v>102</v>
      </c>
      <c r="I214" s="289">
        <f>IF(H214="na","na",IF($C214="na","na",(H214*Eqtn!$D$202*($C214+Eqtn!$D$203+(Eqtn!$D$204*$D214)))))</f>
        <v>0.71986160729018889</v>
      </c>
      <c r="J214" s="289">
        <f>IF(H214="na","na",IF($C214="na","na",((H214*Eqtn!$D$205)*($C214+Eqtn!$D$206))))</f>
        <v>4.3520000000000003E-2</v>
      </c>
      <c r="K214" s="584" t="str">
        <f>Partit!E214</f>
        <v>na</v>
      </c>
      <c r="L214" s="584" t="str">
        <f>IF(K214="na","na",IF(K214="TBD","TBD",IF($C214="na","na",(K214*Eqtn!$D$202*($C214+Eqtn!$D$203+(Eqtn!$D$204*$D214))))))</f>
        <v>na</v>
      </c>
      <c r="M214" s="584" t="str">
        <f>IF(K214="na","na",IF(K214="TBD","TBD",IF($C214="na","na",((K214*Eqtn!$D$205)*($C214+Eqtn!$D$206)))))</f>
        <v>na</v>
      </c>
      <c r="N214" s="348"/>
      <c r="O214" s="348">
        <f>IF(N214="na","na",IF(N214="TBD","TBD",IF($C214="na","na",(N214*Eqtn!$D$202*($C214+Eqtn!$D$203+(Eqtn!$D$204*$D214))))))</f>
        <v>0</v>
      </c>
      <c r="P214" s="367">
        <f>IF(N214="na","na",IF(N214="TBD","TBD",IF($C214="na","na",((N214*Eqtn!$D$205)*($C214+Eqtn!$D$206)))))</f>
        <v>0</v>
      </c>
      <c r="R214" s="1062"/>
    </row>
    <row r="215" spans="1:18" ht="13.9" customHeight="1" x14ac:dyDescent="0.25">
      <c r="A215" s="846">
        <f>Chem!A215</f>
        <v>213</v>
      </c>
      <c r="B215" s="891" t="str">
        <f>Chem!B215</f>
        <v>1,2,3-Trichlorobenzene</v>
      </c>
      <c r="C215" s="423">
        <f>Param!F215</f>
        <v>1.3800000000000001</v>
      </c>
      <c r="D215" s="423">
        <f>Param!M215</f>
        <v>1.7234676783375241E-2</v>
      </c>
      <c r="E215" s="461">
        <f>PW!O215</f>
        <v>6.4</v>
      </c>
      <c r="F215" s="461">
        <f>IF(E215="na","na",IF($C215="na","na",(E215*Eqtn!$D$202*($C215+Eqtn!$D$203+(Eqtn!$D$204*$D215)))))</f>
        <v>0.20243119001445026</v>
      </c>
      <c r="G215" s="461">
        <f>IF(E215="na","na",IF($C215="na","na",((E215*Eqtn!$D$205)*($C215+Eqtn!$D$206))))</f>
        <v>1.0666666666666668E-2</v>
      </c>
      <c r="H215" s="221" t="str">
        <f>SW!R215</f>
        <v>na</v>
      </c>
      <c r="I215" s="289" t="str">
        <f>IF(H215="na","na",IF($C215="na","na",(H215*Eqtn!$D$202*($C215+Eqtn!$D$203+(Eqtn!$D$204*$D215)))))</f>
        <v>na</v>
      </c>
      <c r="J215" s="289" t="str">
        <f>IF(H215="na","na",IF($C215="na","na",((H215*Eqtn!$D$205)*($C215+Eqtn!$D$206))))</f>
        <v>na</v>
      </c>
      <c r="K215" s="584" t="str">
        <f>Partit!E215</f>
        <v>na</v>
      </c>
      <c r="L215" s="584" t="str">
        <f>IF(K215="na","na",IF(K215="TBD","TBD",IF($C215="na","na",(K215*Eqtn!$D$202*($C215+Eqtn!$D$203+(Eqtn!$D$204*$D215))))))</f>
        <v>na</v>
      </c>
      <c r="M215" s="584" t="str">
        <f>IF(K215="na","na",IF(K215="TBD","TBD",IF($C215="na","na",((K215*Eqtn!$D$205)*($C215+Eqtn!$D$206)))))</f>
        <v>na</v>
      </c>
      <c r="N215" s="348"/>
      <c r="O215" s="348">
        <f>IF(N215="na","na",IF(N215="TBD","TBD",IF($C215="na","na",(N215*Eqtn!$D$202*($C215+Eqtn!$D$203+(Eqtn!$D$204*$D215))))))</f>
        <v>0</v>
      </c>
      <c r="P215" s="367">
        <f>IF(N215="na","na",IF(N215="TBD","TBD",IF($C215="na","na",((N215*Eqtn!$D$205)*($C215+Eqtn!$D$206)))))</f>
        <v>0</v>
      </c>
      <c r="R215" s="1062"/>
    </row>
    <row r="216" spans="1:18" ht="13.9" customHeight="1" x14ac:dyDescent="0.25">
      <c r="A216" s="846">
        <f>Chem!A216</f>
        <v>214</v>
      </c>
      <c r="B216" s="891" t="str">
        <f>Chem!B216</f>
        <v>1,1,1-Trichloroethane</v>
      </c>
      <c r="C216" s="423">
        <f>Param!F216</f>
        <v>0.13500000000000001</v>
      </c>
      <c r="D216" s="423">
        <f>Param!M216</f>
        <v>0.42013340443137548</v>
      </c>
      <c r="E216" s="461">
        <f>PW!O216</f>
        <v>200</v>
      </c>
      <c r="F216" s="461">
        <f>IF(E216="na","na",IF($C216="na","na",(E216*Eqtn!$D$202*($C216+Eqtn!$D$203+(Eqtn!$D$204*$D216)))))</f>
        <v>1.4856462468695433</v>
      </c>
      <c r="G216" s="461">
        <f>IF(E216="na","na",IF($C216="na","na",((E216*Eqtn!$D$205)*($C216+Eqtn!$D$206))))</f>
        <v>8.4333333333333343E-2</v>
      </c>
      <c r="H216" s="221">
        <f>SW!R216</f>
        <v>50000</v>
      </c>
      <c r="I216" s="289">
        <f>IF(H216="na","na",IF($C216="na","na",(H216*Eqtn!$D$202*($C216+Eqtn!$D$203+(Eqtn!$D$204*$D216)))))</f>
        <v>371.41156171738584</v>
      </c>
      <c r="J216" s="289">
        <f>IF(H216="na","na",IF($C216="na","na",((H216*Eqtn!$D$205)*($C216+Eqtn!$D$206))))</f>
        <v>21.083333333333336</v>
      </c>
      <c r="K216" s="584" t="str">
        <f>Partit!E216</f>
        <v>na</v>
      </c>
      <c r="L216" s="584" t="str">
        <f>IF(K216="na","na",IF(K216="TBD","TBD",IF($C216="na","na",(K216*Eqtn!$D$202*($C216+Eqtn!$D$203+(Eqtn!$D$204*$D216))))))</f>
        <v>na</v>
      </c>
      <c r="M216" s="584" t="str">
        <f>IF(K216="na","na",IF(K216="TBD","TBD",IF($C216="na","na",((K216*Eqtn!$D$205)*($C216+Eqtn!$D$206)))))</f>
        <v>na</v>
      </c>
      <c r="N216" s="348"/>
      <c r="O216" s="348">
        <f>IF(N216="na","na",IF(N216="TBD","TBD",IF($C216="na","na",(N216*Eqtn!$D$202*($C216+Eqtn!$D$203+(Eqtn!$D$204*$D216))))))</f>
        <v>0</v>
      </c>
      <c r="P216" s="367">
        <f>IF(N216="na","na",IF(N216="TBD","TBD",IF($C216="na","na",((N216*Eqtn!$D$205)*($C216+Eqtn!$D$206)))))</f>
        <v>0</v>
      </c>
      <c r="R216" s="1062"/>
    </row>
    <row r="217" spans="1:18" ht="13.9" customHeight="1" x14ac:dyDescent="0.25">
      <c r="A217" s="846">
        <f>Chem!A217</f>
        <v>215</v>
      </c>
      <c r="B217" s="891" t="str">
        <f>Chem!B217</f>
        <v>1,1,2-Trichloroethane</v>
      </c>
      <c r="C217" s="423">
        <f>Param!F217</f>
        <v>7.4999999999999997E-2</v>
      </c>
      <c r="D217" s="423">
        <f>Param!M217</f>
        <v>1.7838006198880089E-2</v>
      </c>
      <c r="E217" s="461">
        <f>PW!O217</f>
        <v>3</v>
      </c>
      <c r="F217" s="461">
        <f>IF(E217="na","na",IF($C217="na","na",(E217*Eqtn!$D$202*($C217+Eqtn!$D$203+(Eqtn!$D$204*$D217)))))</f>
        <v>1.6592757632234174E-2</v>
      </c>
      <c r="G217" s="461">
        <f>IF(E217="na","na",IF($C217="na","na",((E217*Eqtn!$D$205)*($C217+Eqtn!$D$206))))</f>
        <v>1.085E-3</v>
      </c>
      <c r="H217" s="221">
        <f>SW!R217</f>
        <v>0.9</v>
      </c>
      <c r="I217" s="289">
        <f>IF(H217="na","na",IF($C217="na","na",(H217*Eqtn!$D$202*($C217+Eqtn!$D$203+(Eqtn!$D$204*$D217)))))</f>
        <v>4.9778272896702528E-3</v>
      </c>
      <c r="J217" s="289">
        <f>IF(H217="na","na",IF($C217="na","na",((H217*Eqtn!$D$205)*($C217+Eqtn!$D$206))))</f>
        <v>3.2550000000000005E-4</v>
      </c>
      <c r="K217" s="584" t="str">
        <f>Partit!E217</f>
        <v>na</v>
      </c>
      <c r="L217" s="584" t="str">
        <f>IF(K217="na","na",IF(K217="TBD","TBD",IF($C217="na","na",(K217*Eqtn!$D$202*($C217+Eqtn!$D$203+(Eqtn!$D$204*$D217))))))</f>
        <v>na</v>
      </c>
      <c r="M217" s="584" t="str">
        <f>IF(K217="na","na",IF(K217="TBD","TBD",IF($C217="na","na",((K217*Eqtn!$D$205)*($C217+Eqtn!$D$206)))))</f>
        <v>na</v>
      </c>
      <c r="N217" s="348"/>
      <c r="O217" s="348">
        <f>IF(N217="na","na",IF(N217="TBD","TBD",IF($C217="na","na",(N217*Eqtn!$D$202*($C217+Eqtn!$D$203+(Eqtn!$D$204*$D217))))))</f>
        <v>0</v>
      </c>
      <c r="P217" s="367">
        <f>IF(N217="na","na",IF(N217="TBD","TBD",IF($C217="na","na",((N217*Eqtn!$D$205)*($C217+Eqtn!$D$206)))))</f>
        <v>0</v>
      </c>
      <c r="R217" s="1062"/>
    </row>
    <row r="218" spans="1:18" ht="13.9" customHeight="1" x14ac:dyDescent="0.25">
      <c r="A218" s="846">
        <f>Chem!A218</f>
        <v>216</v>
      </c>
      <c r="B218" s="891" t="str">
        <f>Chem!B218</f>
        <v>Trichloroethylene (TCE)</v>
      </c>
      <c r="C218" s="423">
        <f>Param!F218</f>
        <v>9.4E-2</v>
      </c>
      <c r="D218" s="423">
        <f>Param!M218</f>
        <v>0.23236725204694339</v>
      </c>
      <c r="E218" s="461">
        <f>PW!O218</f>
        <v>4</v>
      </c>
      <c r="F218" s="461">
        <f>IF(E218="na","na",IF($C218="na","na",(E218*Eqtn!$D$202*($C218+Eqtn!$D$203+(Eqtn!$D$204*$D218)))))</f>
        <v>2.5131079614192139E-2</v>
      </c>
      <c r="G218" s="461">
        <f>IF(E218="na","na",IF($C218="na","na",((E218*Eqtn!$D$205)*($C218+Eqtn!$D$206))))</f>
        <v>1.522666666666667E-3</v>
      </c>
      <c r="H218" s="221">
        <f>SW!R218</f>
        <v>0.7</v>
      </c>
      <c r="I218" s="289">
        <f>IF(H218="na","na",IF($C218="na","na",(H218*Eqtn!$D$202*($C218+Eqtn!$D$203+(Eqtn!$D$204*$D218)))))</f>
        <v>4.3979389324836238E-3</v>
      </c>
      <c r="J218" s="289">
        <f>IF(H218="na","na",IF($C218="na","na",((H218*Eqtn!$D$205)*($C218+Eqtn!$D$206))))</f>
        <v>2.6646666666666667E-4</v>
      </c>
      <c r="K218" s="584" t="str">
        <f>Partit!E218</f>
        <v>na</v>
      </c>
      <c r="L218" s="584" t="str">
        <f>IF(K218="na","na",IF(K218="TBD","TBD",IF($C218="na","na",(K218*Eqtn!$D$202*($C218+Eqtn!$D$203+(Eqtn!$D$204*$D218))))))</f>
        <v>na</v>
      </c>
      <c r="M218" s="584" t="str">
        <f>IF(K218="na","na",IF(K218="TBD","TBD",IF($C218="na","na",((K218*Eqtn!$D$205)*($C218+Eqtn!$D$206)))))</f>
        <v>na</v>
      </c>
      <c r="N218" s="348"/>
      <c r="O218" s="348">
        <f>IF(N218="na","na",IF(N218="TBD","TBD",IF($C218="na","na",(N218*Eqtn!$D$202*($C218+Eqtn!$D$203+(Eqtn!$D$204*$D218))))))</f>
        <v>0</v>
      </c>
      <c r="P218" s="367">
        <f>IF(N218="na","na",IF(N218="TBD","TBD",IF($C218="na","na",((N218*Eqtn!$D$205)*($C218+Eqtn!$D$206)))))</f>
        <v>0</v>
      </c>
      <c r="R218" s="1062"/>
    </row>
    <row r="219" spans="1:18" ht="13.9" customHeight="1" x14ac:dyDescent="0.25">
      <c r="A219" s="846">
        <f>Chem!A219</f>
        <v>217</v>
      </c>
      <c r="B219" s="891" t="str">
        <f>Chem!B219</f>
        <v>Trichlorofluoroethane</v>
      </c>
      <c r="C219" s="423" t="str">
        <f>Param!F219</f>
        <v>na</v>
      </c>
      <c r="D219" s="423">
        <f>Param!M219</f>
        <v>0</v>
      </c>
      <c r="E219" s="461" t="str">
        <f>PW!O219</f>
        <v>na</v>
      </c>
      <c r="F219" s="461" t="str">
        <f>IF(E219="na","na",IF($C219="na","na",(E219*Eqtn!$D$202*($C219+Eqtn!$D$203+(Eqtn!$D$204*$D219)))))</f>
        <v>na</v>
      </c>
      <c r="G219" s="461" t="str">
        <f>IF(E219="na","na",IF($C219="na","na",((E219*Eqtn!$D$205)*($C219+Eqtn!$D$206))))</f>
        <v>na</v>
      </c>
      <c r="H219" s="221" t="str">
        <f>SW!R219</f>
        <v>na</v>
      </c>
      <c r="I219" s="289" t="str">
        <f>IF(H219="na","na",IF($C219="na","na",(H219*Eqtn!$D$202*($C219+Eqtn!$D$203+(Eqtn!$D$204*$D219)))))</f>
        <v>na</v>
      </c>
      <c r="J219" s="289" t="str">
        <f>IF(H219="na","na",IF($C219="na","na",((H219*Eqtn!$D$205)*($C219+Eqtn!$D$206))))</f>
        <v>na</v>
      </c>
      <c r="K219" s="584" t="str">
        <f>Partit!E219</f>
        <v>na</v>
      </c>
      <c r="L219" s="584" t="str">
        <f>IF(K219="na","na",IF(K219="TBD","TBD",IF($C219="na","na",(K219*Eqtn!$D$202*($C219+Eqtn!$D$203+(Eqtn!$D$204*$D219))))))</f>
        <v>na</v>
      </c>
      <c r="M219" s="584" t="str">
        <f>IF(K219="na","na",IF(K219="TBD","TBD",IF($C219="na","na",((K219*Eqtn!$D$205)*($C219+Eqtn!$D$206)))))</f>
        <v>na</v>
      </c>
      <c r="N219" s="348"/>
      <c r="O219" s="348" t="str">
        <f>IF(N219="na","na",IF(N219="TBD","TBD",IF($C219="na","na",(N219*Eqtn!$D$202*($C219+Eqtn!$D$203+(Eqtn!$D$204*$D219))))))</f>
        <v>na</v>
      </c>
      <c r="P219" s="367" t="str">
        <f>IF(N219="na","na",IF(N219="TBD","TBD",IF($C219="na","na",((N219*Eqtn!$D$205)*($C219+Eqtn!$D$206)))))</f>
        <v>na</v>
      </c>
      <c r="R219" s="1062"/>
    </row>
    <row r="220" spans="1:18" ht="13.9" customHeight="1" x14ac:dyDescent="0.25">
      <c r="A220" s="846">
        <f>Chem!A220</f>
        <v>218</v>
      </c>
      <c r="B220" s="891" t="str">
        <f>Chem!B220</f>
        <v>Trichlorofluoromethane</v>
      </c>
      <c r="C220" s="423">
        <f>Param!F220</f>
        <v>4.3900000000000002E-2</v>
      </c>
      <c r="D220" s="423">
        <f>Param!M220</f>
        <v>2.6776012500450501</v>
      </c>
      <c r="E220" s="461">
        <f>PW!O220</f>
        <v>2400</v>
      </c>
      <c r="F220" s="461">
        <f>IF(E220="na","na",IF($C220="na","na",(E220*Eqtn!$D$202*($C220+Eqtn!$D$203+(Eqtn!$D$204*$D220)))))</f>
        <v>22.846021200187408</v>
      </c>
      <c r="G220" s="461">
        <f>IF(E220="na","na",IF($C220="na","na",((E220*Eqtn!$D$205)*($C220+Eqtn!$D$206))))</f>
        <v>0.79335999999999995</v>
      </c>
      <c r="H220" s="221" t="str">
        <f>SW!R220</f>
        <v>na</v>
      </c>
      <c r="I220" s="289" t="str">
        <f>IF(H220="na","na",IF($C220="na","na",(H220*Eqtn!$D$202*($C220+Eqtn!$D$203+(Eqtn!$D$204*$D220)))))</f>
        <v>na</v>
      </c>
      <c r="J220" s="289" t="str">
        <f>IF(H220="na","na",IF($C220="na","na",((H220*Eqtn!$D$205)*($C220+Eqtn!$D$206))))</f>
        <v>na</v>
      </c>
      <c r="K220" s="584" t="str">
        <f>Partit!E220</f>
        <v>na</v>
      </c>
      <c r="L220" s="584" t="str">
        <f>IF(K220="na","na",IF(K220="TBD","TBD",IF($C220="na","na",(K220*Eqtn!$D$202*($C220+Eqtn!$D$203+(Eqtn!$D$204*$D220))))))</f>
        <v>na</v>
      </c>
      <c r="M220" s="584" t="str">
        <f>IF(K220="na","na",IF(K220="TBD","TBD",IF($C220="na","na",((K220*Eqtn!$D$205)*($C220+Eqtn!$D$206)))))</f>
        <v>na</v>
      </c>
      <c r="N220" s="348"/>
      <c r="O220" s="348">
        <f>IF(N220="na","na",IF(N220="TBD","TBD",IF($C220="na","na",(N220*Eqtn!$D$202*($C220+Eqtn!$D$203+(Eqtn!$D$204*$D220))))))</f>
        <v>0</v>
      </c>
      <c r="P220" s="367">
        <f>IF(N220="na","na",IF(N220="TBD","TBD",IF($C220="na","na",((N220*Eqtn!$D$205)*($C220+Eqtn!$D$206)))))</f>
        <v>0</v>
      </c>
      <c r="R220" s="1062"/>
    </row>
    <row r="221" spans="1:18" ht="13.9" customHeight="1" x14ac:dyDescent="0.25">
      <c r="A221" s="846">
        <f>Chem!A221</f>
        <v>219</v>
      </c>
      <c r="B221" s="891" t="str">
        <f>Chem!B221</f>
        <v>1,2,3-Trichloropropane</v>
      </c>
      <c r="C221" s="423">
        <f>Param!F221</f>
        <v>0.11600000000000001</v>
      </c>
      <c r="D221" s="423">
        <f>Param!M221</f>
        <v>6.8560589456161019E-3</v>
      </c>
      <c r="E221" s="461">
        <f>PW!O221</f>
        <v>3.8000000000000002E-4</v>
      </c>
      <c r="F221" s="461">
        <f>IF(E221="na","na",IF($C221="na","na",(E221*Eqtn!$D$202*($C221+Eqtn!$D$203+(Eqtn!$D$204*$D221)))))</f>
        <v>2.4061158574921795E-6</v>
      </c>
      <c r="G221" s="461">
        <f>IF(E221="na","na",IF($C221="na","na",((E221*Eqtn!$D$205)*($C221+Eqtn!$D$206))))</f>
        <v>1.5301333333333334E-7</v>
      </c>
      <c r="H221" s="221" t="str">
        <f>SW!R221</f>
        <v>na</v>
      </c>
      <c r="I221" s="289" t="str">
        <f>IF(H221="na","na",IF($C221="na","na",(H221*Eqtn!$D$202*($C221+Eqtn!$D$203+(Eqtn!$D$204*$D221)))))</f>
        <v>na</v>
      </c>
      <c r="J221" s="289" t="str">
        <f>IF(H221="na","na",IF($C221="na","na",((H221*Eqtn!$D$205)*($C221+Eqtn!$D$206))))</f>
        <v>na</v>
      </c>
      <c r="K221" s="584" t="str">
        <f>Partit!E221</f>
        <v>na</v>
      </c>
      <c r="L221" s="584" t="str">
        <f>IF(K221="na","na",IF(K221="TBD","TBD",IF($C221="na","na",(K221*Eqtn!$D$202*($C221+Eqtn!$D$203+(Eqtn!$D$204*$D221))))))</f>
        <v>na</v>
      </c>
      <c r="M221" s="584" t="str">
        <f>IF(K221="na","na",IF(K221="TBD","TBD",IF($C221="na","na",((K221*Eqtn!$D$205)*($C221+Eqtn!$D$206)))))</f>
        <v>na</v>
      </c>
      <c r="N221" s="348"/>
      <c r="O221" s="348">
        <f>IF(N221="na","na",IF(N221="TBD","TBD",IF($C221="na","na",(N221*Eqtn!$D$202*($C221+Eqtn!$D$203+(Eqtn!$D$204*$D221))))))</f>
        <v>0</v>
      </c>
      <c r="P221" s="367">
        <f>IF(N221="na","na",IF(N221="TBD","TBD",IF($C221="na","na",((N221*Eqtn!$D$205)*($C221+Eqtn!$D$206)))))</f>
        <v>0</v>
      </c>
      <c r="R221" s="1062"/>
    </row>
    <row r="222" spans="1:18" ht="13.9" customHeight="1" x14ac:dyDescent="0.25">
      <c r="A222" s="846">
        <f>Chem!A222</f>
        <v>220</v>
      </c>
      <c r="B222" s="891" t="str">
        <f>Chem!B222</f>
        <v>Trichlorotrifluoroethane</v>
      </c>
      <c r="C222" s="423">
        <f>Param!F222</f>
        <v>0.19700000000000001</v>
      </c>
      <c r="D222" s="423">
        <f>Param!M222</f>
        <v>13.712315554214785</v>
      </c>
      <c r="E222" s="461">
        <f>PW!O222</f>
        <v>240000</v>
      </c>
      <c r="F222" s="461">
        <f>IF(E222="na","na",IF($C222="na","na",(E222*Eqtn!$D$202*($C222+Eqtn!$D$203+(Eqtn!$D$204*$D222)))))</f>
        <v>7609.9232705533514</v>
      </c>
      <c r="G222" s="461">
        <f>IF(E222="na","na",IF($C222="na","na",((E222*Eqtn!$D$205)*($C222+Eqtn!$D$206))))</f>
        <v>116.08000000000001</v>
      </c>
      <c r="H222" s="221" t="str">
        <f>SW!R222</f>
        <v>na</v>
      </c>
      <c r="I222" s="289" t="str">
        <f>IF(H222="na","na",IF($C222="na","na",(H222*Eqtn!$D$202*($C222+Eqtn!$D$203+(Eqtn!$D$204*$D222)))))</f>
        <v>na</v>
      </c>
      <c r="J222" s="289" t="str">
        <f>IF(H222="na","na",IF($C222="na","na",((H222*Eqtn!$D$205)*($C222+Eqtn!$D$206))))</f>
        <v>na</v>
      </c>
      <c r="K222" s="584" t="str">
        <f>Partit!E222</f>
        <v>na</v>
      </c>
      <c r="L222" s="584" t="str">
        <f>IF(K222="na","na",IF(K222="TBD","TBD",IF($C222="na","na",(K222*Eqtn!$D$202*($C222+Eqtn!$D$203+(Eqtn!$D$204*$D222))))))</f>
        <v>na</v>
      </c>
      <c r="M222" s="584" t="str">
        <f>IF(K222="na","na",IF(K222="TBD","TBD",IF($C222="na","na",((K222*Eqtn!$D$205)*($C222+Eqtn!$D$206)))))</f>
        <v>na</v>
      </c>
      <c r="N222" s="348"/>
      <c r="O222" s="348">
        <f>IF(N222="na","na",IF(N222="TBD","TBD",IF($C222="na","na",(N222*Eqtn!$D$202*($C222+Eqtn!$D$203+(Eqtn!$D$204*$D222))))))</f>
        <v>0</v>
      </c>
      <c r="P222" s="367">
        <f>IF(N222="na","na",IF(N222="TBD","TBD",IF($C222="na","na",((N222*Eqtn!$D$205)*($C222+Eqtn!$D$206)))))</f>
        <v>0</v>
      </c>
      <c r="R222" s="1062"/>
    </row>
    <row r="223" spans="1:18" ht="13.9" customHeight="1" x14ac:dyDescent="0.25">
      <c r="A223" s="846">
        <f>Chem!A223</f>
        <v>221</v>
      </c>
      <c r="B223" s="891" t="str">
        <f>Chem!B223</f>
        <v>1,2,3-Trimethylbenzene</v>
      </c>
      <c r="C223" s="423">
        <f>Param!F223</f>
        <v>0.627</v>
      </c>
      <c r="D223" s="423">
        <f>Param!M223</f>
        <v>6.6242614501504857E-2</v>
      </c>
      <c r="E223" s="461">
        <f>PW!O223</f>
        <v>80</v>
      </c>
      <c r="F223" s="461">
        <f>IF(E223="na","na",IF($C223="na","na",(E223*Eqtn!$D$202*($C223+Eqtn!$D$203+(Eqtn!$D$204*$D223)))))</f>
        <v>1.3323856425442087</v>
      </c>
      <c r="G223" s="461">
        <f>IF(E223="na","na",IF($C223="na","na",((E223*Eqtn!$D$205)*($C223+Eqtn!$D$206))))</f>
        <v>7.309333333333333E-2</v>
      </c>
      <c r="H223" s="219" t="str">
        <f>SW!R223</f>
        <v>na</v>
      </c>
      <c r="I223" s="289" t="str">
        <f>IF(H223="na","na",IF($C223="na","na",(H223*Eqtn!$D$202*($C223+Eqtn!$D$203+(Eqtn!$D$204*$D223)))))</f>
        <v>na</v>
      </c>
      <c r="J223" s="289" t="str">
        <f>IF(H223="na","na",IF($C223="na","na",((H223*Eqtn!$D$205)*($C223+Eqtn!$D$206))))</f>
        <v>na</v>
      </c>
      <c r="K223" s="584" t="str">
        <f>Partit!E223</f>
        <v>na</v>
      </c>
      <c r="L223" s="584" t="str">
        <f>IF(K223="na","na",IF(K223="TBD","TBD",IF($C223="na","na",(K223*Eqtn!$D$202*($C223+Eqtn!$D$203+(Eqtn!$D$204*$D223))))))</f>
        <v>na</v>
      </c>
      <c r="M223" s="584" t="str">
        <f>IF(K223="na","na",IF(K223="TBD","TBD",IF($C223="na","na",((K223*Eqtn!$D$205)*($C223+Eqtn!$D$206)))))</f>
        <v>na</v>
      </c>
      <c r="N223" s="348"/>
      <c r="O223" s="348">
        <f>IF(N223="na","na",IF(N223="TBD","TBD",IF($C223="na","na",(N223*Eqtn!$D$202*($C223+Eqtn!$D$203+(Eqtn!$D$204*$D223))))))</f>
        <v>0</v>
      </c>
      <c r="P223" s="367">
        <f>IF(N223="na","na",IF(N223="TBD","TBD",IF($C223="na","na",((N223*Eqtn!$D$205)*($C223+Eqtn!$D$206)))))</f>
        <v>0</v>
      </c>
      <c r="R223" s="1062"/>
    </row>
    <row r="224" spans="1:18" ht="13.9" customHeight="1" x14ac:dyDescent="0.25">
      <c r="A224" s="846">
        <f>Chem!A224</f>
        <v>222</v>
      </c>
      <c r="B224" s="891" t="str">
        <f>Chem!B224</f>
        <v>1,2,4-Trimethylbenzene</v>
      </c>
      <c r="C224" s="423">
        <f>Param!F224</f>
        <v>0.61399999999999999</v>
      </c>
      <c r="D224" s="423">
        <f>Param!M224</f>
        <v>0.11488295111364141</v>
      </c>
      <c r="E224" s="461">
        <f>PW!O224</f>
        <v>80</v>
      </c>
      <c r="F224" s="461">
        <f>IF(E224="na","na",IF($C224="na","na",(E224*Eqtn!$D$202*($C224+Eqtn!$D$203+(Eqtn!$D$204*$D224)))))</f>
        <v>1.3183304358877583</v>
      </c>
      <c r="G224" s="461">
        <f>IF(E224="na","na",IF($C224="na","na",((E224*Eqtn!$D$205)*($C224+Eqtn!$D$206))))</f>
        <v>7.2053333333333344E-2</v>
      </c>
      <c r="H224" s="221" t="str">
        <f>SW!R224</f>
        <v>na</v>
      </c>
      <c r="I224" s="289" t="str">
        <f>IF(H224="na","na",IF($C224="na","na",(H224*Eqtn!$D$202*($C224+Eqtn!$D$203+(Eqtn!$D$204*$D224)))))</f>
        <v>na</v>
      </c>
      <c r="J224" s="289" t="str">
        <f>IF(H224="na","na",IF($C224="na","na",((H224*Eqtn!$D$205)*($C224+Eqtn!$D$206))))</f>
        <v>na</v>
      </c>
      <c r="K224" s="584" t="str">
        <f>Partit!E224</f>
        <v>na</v>
      </c>
      <c r="L224" s="584" t="str">
        <f>IF(K224="na","na",IF(K224="TBD","TBD",IF($C224="na","na",(K224*Eqtn!$D$202*($C224+Eqtn!$D$203+(Eqtn!$D$204*$D224))))))</f>
        <v>na</v>
      </c>
      <c r="M224" s="584" t="str">
        <f>IF(K224="na","na",IF(K224="TBD","TBD",IF($C224="na","na",((K224*Eqtn!$D$205)*($C224+Eqtn!$D$206)))))</f>
        <v>na</v>
      </c>
      <c r="N224" s="348"/>
      <c r="O224" s="348">
        <f>IF(N224="na","na",IF(N224="TBD","TBD",IF($C224="na","na",(N224*Eqtn!$D$202*($C224+Eqtn!$D$203+(Eqtn!$D$204*$D224))))))</f>
        <v>0</v>
      </c>
      <c r="P224" s="367">
        <f>IF(N224="na","na",IF(N224="TBD","TBD",IF($C224="na","na",((N224*Eqtn!$D$205)*($C224+Eqtn!$D$206)))))</f>
        <v>0</v>
      </c>
      <c r="R224" s="1062"/>
    </row>
    <row r="225" spans="1:18" ht="13.9" customHeight="1" x14ac:dyDescent="0.25">
      <c r="A225" s="846">
        <f>Chem!A225</f>
        <v>223</v>
      </c>
      <c r="B225" s="891" t="str">
        <f>Chem!B225</f>
        <v>1,3,5-Trimethylbenzene</v>
      </c>
      <c r="C225" s="423">
        <f>Param!F225</f>
        <v>0.60199999999999998</v>
      </c>
      <c r="D225" s="423">
        <f>Param!M225</f>
        <v>0.1638188233796069</v>
      </c>
      <c r="E225" s="461">
        <f>PW!O225</f>
        <v>80</v>
      </c>
      <c r="F225" s="461">
        <f>IF(E225="na","na",IF($C225="na","na",(E225*Eqtn!$D$202*($C225+Eqtn!$D$203+(Eqtn!$D$204*$D225)))))</f>
        <v>1.3059162101753055</v>
      </c>
      <c r="G225" s="461">
        <f>IF(E225="na","na",IF($C225="na","na",((E225*Eqtn!$D$205)*($C225+Eqtn!$D$206))))</f>
        <v>7.1093333333333342E-2</v>
      </c>
      <c r="H225" s="221" t="str">
        <f>SW!R225</f>
        <v>na</v>
      </c>
      <c r="I225" s="289" t="str">
        <f>IF(H225="na","na",IF($C225="na","na",(H225*Eqtn!$D$202*($C225+Eqtn!$D$203+(Eqtn!$D$204*$D225)))))</f>
        <v>na</v>
      </c>
      <c r="J225" s="289" t="str">
        <f>IF(H225="na","na",IF($C225="na","na",((H225*Eqtn!$D$205)*($C225+Eqtn!$D$206))))</f>
        <v>na</v>
      </c>
      <c r="K225" s="584" t="str">
        <f>Partit!E225</f>
        <v>na</v>
      </c>
      <c r="L225" s="584" t="str">
        <f>IF(K225="na","na",IF(K225="TBD","TBD",IF($C225="na","na",(K225*Eqtn!$D$202*($C225+Eqtn!$D$203+(Eqtn!$D$204*$D225))))))</f>
        <v>na</v>
      </c>
      <c r="M225" s="584" t="str">
        <f>IF(K225="na","na",IF(K225="TBD","TBD",IF($C225="na","na",((K225*Eqtn!$D$205)*($C225+Eqtn!$D$206)))))</f>
        <v>na</v>
      </c>
      <c r="N225" s="348"/>
      <c r="O225" s="348">
        <f>IF(N225="na","na",IF(N225="TBD","TBD",IF($C225="na","na",(N225*Eqtn!$D$202*($C225+Eqtn!$D$203+(Eqtn!$D$204*$D225))))))</f>
        <v>0</v>
      </c>
      <c r="P225" s="367">
        <f>IF(N225="na","na",IF(N225="TBD","TBD",IF($C225="na","na",((N225*Eqtn!$D$205)*($C225+Eqtn!$D$206)))))</f>
        <v>0</v>
      </c>
      <c r="R225" s="1062"/>
    </row>
    <row r="226" spans="1:18" ht="13.9" customHeight="1" x14ac:dyDescent="0.25">
      <c r="A226" s="846">
        <f>Chem!A226</f>
        <v>224</v>
      </c>
      <c r="B226" s="891" t="str">
        <f>Chem!B226</f>
        <v>Vinyl acetate</v>
      </c>
      <c r="C226" s="423">
        <f>Param!F226</f>
        <v>5.5799999999999999E-3</v>
      </c>
      <c r="D226" s="423">
        <f>Param!M226</f>
        <v>1.1305860184252203E-2</v>
      </c>
      <c r="E226" s="461">
        <f>PW!O226</f>
        <v>8000</v>
      </c>
      <c r="F226" s="461">
        <f>IF(E226="na","na",IF($C226="na","na",(E226*Eqtn!$D$202*($C226+Eqtn!$D$203+(Eqtn!$D$204*$D226)))))</f>
        <v>33.049574594554961</v>
      </c>
      <c r="G226" s="461">
        <f>IF(E226="na","na",IF($C226="na","na",((E226*Eqtn!$D$205)*($C226+Eqtn!$D$206))))</f>
        <v>2.3379733333333332</v>
      </c>
      <c r="H226" s="221" t="str">
        <f>SW!R226</f>
        <v>na</v>
      </c>
      <c r="I226" s="289" t="str">
        <f>IF(H226="na","na",IF($C226="na","na",(H226*Eqtn!$D$202*($C226+Eqtn!$D$203+(Eqtn!$D$204*$D226)))))</f>
        <v>na</v>
      </c>
      <c r="J226" s="289" t="str">
        <f>IF(H226="na","na",IF($C226="na","na",((H226*Eqtn!$D$205)*($C226+Eqtn!$D$206))))</f>
        <v>na</v>
      </c>
      <c r="K226" s="584" t="str">
        <f>Partit!E226</f>
        <v>na</v>
      </c>
      <c r="L226" s="584" t="str">
        <f>IF(K226="na","na",IF(K226="TBD","TBD",IF($C226="na","na",(K226*Eqtn!$D$202*($C226+Eqtn!$D$203+(Eqtn!$D$204*$D226))))))</f>
        <v>na</v>
      </c>
      <c r="M226" s="584" t="str">
        <f>IF(K226="na","na",IF(K226="TBD","TBD",IF($C226="na","na",((K226*Eqtn!$D$205)*($C226+Eqtn!$D$206)))))</f>
        <v>na</v>
      </c>
      <c r="N226" s="348"/>
      <c r="O226" s="348">
        <f>IF(N226="na","na",IF(N226="TBD","TBD",IF($C226="na","na",(N226*Eqtn!$D$202*($C226+Eqtn!$D$203+(Eqtn!$D$204*$D226))))))</f>
        <v>0</v>
      </c>
      <c r="P226" s="367">
        <f>IF(N226="na","na",IF(N226="TBD","TBD",IF($C226="na","na",((N226*Eqtn!$D$205)*($C226+Eqtn!$D$206)))))</f>
        <v>0</v>
      </c>
      <c r="R226" s="1062"/>
    </row>
    <row r="227" spans="1:18" ht="13.9" customHeight="1" x14ac:dyDescent="0.25">
      <c r="A227" s="846">
        <f>Chem!A227</f>
        <v>225</v>
      </c>
      <c r="B227" s="891" t="str">
        <f>Chem!B227</f>
        <v>Vinyl chloride</v>
      </c>
      <c r="C227" s="423">
        <f>Param!F227</f>
        <v>2.1700000000000001E-2</v>
      </c>
      <c r="D227" s="423">
        <f>Param!M227</f>
        <v>0.84959143591779562</v>
      </c>
      <c r="E227" s="461">
        <f>PW!O227</f>
        <v>0.29166666666666663</v>
      </c>
      <c r="F227" s="461">
        <f>IF(E227="na","na",IF($C227="na","na",(E227*Eqtn!$D$202*($C227+Eqtn!$D$203+(Eqtn!$D$204*$D227)))))</f>
        <v>1.7227656703806631E-3</v>
      </c>
      <c r="G227" s="461">
        <f>IF(E227="na","na",IF($C227="na","na",((E227*Eqtn!$D$205)*($C227+Eqtn!$D$206))))</f>
        <v>8.9940277777777772E-5</v>
      </c>
      <c r="H227" s="221">
        <f>SW!R227</f>
        <v>0.18</v>
      </c>
      <c r="I227" s="289">
        <f>IF(H227="na","na",IF($C227="na","na",(H227*Eqtn!$D$202*($C227+Eqtn!$D$203+(Eqtn!$D$204*$D227)))))</f>
        <v>1.0631925280063521E-3</v>
      </c>
      <c r="J227" s="289">
        <f>IF(H227="na","na",IF($C227="na","na",((H227*Eqtn!$D$205)*($C227+Eqtn!$D$206))))</f>
        <v>5.5506E-5</v>
      </c>
      <c r="K227" s="584" t="str">
        <f>Partit!E227</f>
        <v>na</v>
      </c>
      <c r="L227" s="584" t="str">
        <f>IF(K227="na","na",IF(K227="TBD","TBD",IF($C227="na","na",(K227*Eqtn!$D$202*($C227+Eqtn!$D$203+(Eqtn!$D$204*$D227))))))</f>
        <v>na</v>
      </c>
      <c r="M227" s="584" t="str">
        <f>IF(K227="na","na",IF(K227="TBD","TBD",IF($C227="na","na",((K227*Eqtn!$D$205)*($C227+Eqtn!$D$206)))))</f>
        <v>na</v>
      </c>
      <c r="N227" s="348"/>
      <c r="O227" s="348">
        <f>IF(N227="na","na",IF(N227="TBD","TBD",IF($C227="na","na",(N227*Eqtn!$D$202*($C227+Eqtn!$D$203+(Eqtn!$D$204*$D227))))))</f>
        <v>0</v>
      </c>
      <c r="P227" s="367">
        <f>IF(N227="na","na",IF(N227="TBD","TBD",IF($C227="na","na",((N227*Eqtn!$D$205)*($C227+Eqtn!$D$206)))))</f>
        <v>0</v>
      </c>
      <c r="R227" s="1062"/>
    </row>
    <row r="228" spans="1:18" ht="13.9" customHeight="1" x14ac:dyDescent="0.25">
      <c r="A228" s="1661">
        <f>Chem!A228</f>
        <v>226</v>
      </c>
      <c r="B228" s="892" t="str">
        <f>Chem!B228</f>
        <v>Total xylenes</v>
      </c>
      <c r="C228" s="422">
        <f>Param!F228</f>
        <v>0.23300000000000001</v>
      </c>
      <c r="D228" s="422">
        <f>Param!M228</f>
        <v>0.14143801387071567</v>
      </c>
      <c r="E228" s="460">
        <f>PW!O228</f>
        <v>1600</v>
      </c>
      <c r="F228" s="460">
        <f>IF(E228="na","na",IF($C228="na","na",(E228*Eqtn!$D$202*($C228+Eqtn!$D$203+(Eqtn!$D$204*$D228)))))</f>
        <v>14.248254758468118</v>
      </c>
      <c r="G228" s="460">
        <f>IF(E228="na","na",IF($C228="na","na",((E228*Eqtn!$D$205)*($C228+Eqtn!$D$206))))</f>
        <v>0.8314666666666668</v>
      </c>
      <c r="H228" s="256">
        <f>SW!R228</f>
        <v>106</v>
      </c>
      <c r="I228" s="580">
        <f>IF(H228="na","na",IF($C228="na","na",(H228*Eqtn!$D$202*($C228+Eqtn!$D$203+(Eqtn!$D$204*$D228)))))</f>
        <v>0.94394687774851282</v>
      </c>
      <c r="J228" s="580">
        <f>IF(H228="na","na",IF($C228="na","na",((H228*Eqtn!$D$205)*($C228+Eqtn!$D$206))))</f>
        <v>5.5084666666666671E-2</v>
      </c>
      <c r="K228" s="585" t="str">
        <f>Partit!E228</f>
        <v>na</v>
      </c>
      <c r="L228" s="585" t="str">
        <f>IF(K228="na","na",IF(K228="TBD","TBD",IF($C228="na","na",(K228*Eqtn!$D$202*($C228+Eqtn!$D$203+(Eqtn!$D$204*$D228))))))</f>
        <v>na</v>
      </c>
      <c r="M228" s="585" t="str">
        <f>IF(K228="na","na",IF(K228="TBD","TBD",IF($C228="na","na",((K228*Eqtn!$D$205)*($C228+Eqtn!$D$206)))))</f>
        <v>na</v>
      </c>
      <c r="N228" s="723"/>
      <c r="O228" s="723">
        <f>IF(N228="na","na",IF(N228="TBD","TBD",IF($C228="na","na",(N228*Eqtn!$D$202*($C228+Eqtn!$D$203+(Eqtn!$D$204*$D228))))))</f>
        <v>0</v>
      </c>
      <c r="P228" s="724">
        <f>IF(N228="na","na",IF(N228="TBD","TBD",IF($C228="na","na",((N228*Eqtn!$D$205)*($C228+Eqtn!$D$206)))))</f>
        <v>0</v>
      </c>
      <c r="R228" s="1062"/>
    </row>
    <row r="229" spans="1:18" ht="13.9" customHeight="1" x14ac:dyDescent="0.25">
      <c r="A229" s="1197">
        <f>Chem!A229</f>
        <v>227</v>
      </c>
      <c r="B229" s="887" t="str">
        <f>Chem!B229</f>
        <v>PFAS</v>
      </c>
      <c r="C229" s="31"/>
      <c r="D229" s="31"/>
      <c r="E229" s="31"/>
      <c r="F229" s="31"/>
      <c r="G229" s="31"/>
      <c r="H229" s="259"/>
      <c r="I229" s="31"/>
      <c r="J229" s="31"/>
      <c r="K229" s="31"/>
      <c r="L229" s="31"/>
      <c r="M229" s="31"/>
      <c r="N229" s="31"/>
      <c r="O229" s="31"/>
      <c r="P229" s="648"/>
      <c r="Q229" s="129"/>
      <c r="R229" s="1063"/>
    </row>
    <row r="230" spans="1:18" s="2281" customFormat="1" ht="13.9" customHeight="1" x14ac:dyDescent="0.25">
      <c r="A230" s="2251">
        <f>Chem!A230</f>
        <v>228</v>
      </c>
      <c r="B230" s="923" t="str">
        <f>Chem!B230</f>
        <v>6:2 Fluorotelomer sulfonic acid (6:2 FTS)</v>
      </c>
      <c r="C230" s="2255">
        <f>Param!F230</f>
        <v>0.95500000000000007</v>
      </c>
      <c r="D230" s="2255">
        <f>Param!M230</f>
        <v>7.44E-9</v>
      </c>
      <c r="E230" s="2257">
        <f>PW!O230</f>
        <v>3.2</v>
      </c>
      <c r="F230" s="2257">
        <f>IF(E230="na","na",IF($C230="na","na",(E230*Eqtn!$D$202*($C230+Eqtn!$D$203+(Eqtn!$D$204*$D230)))))</f>
        <v>7.3920000041267198E-2</v>
      </c>
      <c r="G230" s="2257">
        <f>IF(E230="na","na",IF($C230="na","na",((E230*Eqtn!$D$205)*($C230+Eqtn!$D$206))))</f>
        <v>3.9733333333333339E-3</v>
      </c>
      <c r="H230" s="1804" t="str">
        <f>SW!R230</f>
        <v>na</v>
      </c>
      <c r="I230" s="2279" t="str">
        <f>IF(H230="na","na",IF($C230="na","na",(H230*Eqtn!$D$202*($C230+Eqtn!$D$203+(Eqtn!$D$204*$D230)))))</f>
        <v>na</v>
      </c>
      <c r="J230" s="2279" t="str">
        <f>IF(H230="na","na",IF($C230="na","na",((H230*Eqtn!$D$205)*($C230+Eqtn!$D$206))))</f>
        <v>na</v>
      </c>
      <c r="K230" s="2282" t="str">
        <f>Partit!E230</f>
        <v>na</v>
      </c>
      <c r="L230" s="2282" t="str">
        <f>IF(K230="na","na",IF(K230="TBD","TBD",IF($C230="na","na",(K230*Eqtn!$D$202*($C230+Eqtn!$D$203+(Eqtn!$D$204*$D230))))))</f>
        <v>na</v>
      </c>
      <c r="M230" s="2282" t="str">
        <f>IF(K230="na","na",IF(K230="TBD","TBD",IF($C230="na","na",((K230*Eqtn!$D$205)*($C230+Eqtn!$D$206)))))</f>
        <v>na</v>
      </c>
      <c r="N230" s="2258"/>
      <c r="O230" s="2258">
        <f>IF(N230="na","na",IF(N230="TBD","TBD",IF($C230="na","na",(N230*Eqtn!$D$202*($C230+Eqtn!$D$203+(Eqtn!$D$204*$D230))))))</f>
        <v>0</v>
      </c>
      <c r="P230" s="2278">
        <f>IF(N230="na","na",IF(N230="TBD","TBD",IF($C230="na","na",((N230*Eqtn!$D$205)*($C230+Eqtn!$D$206)))))</f>
        <v>0</v>
      </c>
      <c r="Q230" s="295"/>
      <c r="R230" s="1987"/>
    </row>
    <row r="231" spans="1:18" ht="13.9" customHeight="1" x14ac:dyDescent="0.25">
      <c r="A231" s="846">
        <f>Chem!A231</f>
        <v>229</v>
      </c>
      <c r="B231" s="1190" t="str">
        <f>Chem!B231</f>
        <v>GenX (HFPO-DA)</v>
      </c>
      <c r="C231" s="652">
        <f>Param!F231</f>
        <v>0.40700000000000003</v>
      </c>
      <c r="D231" s="652">
        <f>Param!M231</f>
        <v>1.022E-2</v>
      </c>
      <c r="E231" s="458">
        <f>PW!O231</f>
        <v>0.01</v>
      </c>
      <c r="F231" s="458">
        <f>IF(E231="na","na",IF($C231="na","na",(E231*Eqtn!$D$202*($C231+Eqtn!$D$203+(Eqtn!$D$204*$D231)))))</f>
        <v>1.2157714666666666E-4</v>
      </c>
      <c r="G231" s="458">
        <f>IF(E231="na","na",IF($C231="na","na",((E231*Eqtn!$D$205)*($C231+Eqtn!$D$206))))</f>
        <v>6.9366666666666675E-6</v>
      </c>
      <c r="H231" s="254" t="str">
        <f>SW!R231</f>
        <v>na</v>
      </c>
      <c r="I231" s="621" t="str">
        <f>IF(H231="na","na",IF($C231="na","na",(H231*Eqtn!$D$202*($C231+Eqtn!$D$203+(Eqtn!$D$204*$D231)))))</f>
        <v>na</v>
      </c>
      <c r="J231" s="621" t="str">
        <f>IF(H231="na","na",IF($C231="na","na",((H231*Eqtn!$D$205)*($C231+Eqtn!$D$206))))</f>
        <v>na</v>
      </c>
      <c r="K231" s="653" t="str">
        <f>Partit!E231</f>
        <v>na</v>
      </c>
      <c r="L231" s="653" t="str">
        <f>IF(K231="na","na",IF(K231="TBD","TBD",IF($C231="na","na",(K231*Eqtn!$D$202*($C231+Eqtn!$D$203+(Eqtn!$D$204*$D231))))))</f>
        <v>na</v>
      </c>
      <c r="M231" s="653" t="str">
        <f>IF(K231="na","na",IF(K231="TBD","TBD",IF($C231="na","na",((K231*Eqtn!$D$205)*($C231+Eqtn!$D$206)))))</f>
        <v>na</v>
      </c>
      <c r="N231" s="721"/>
      <c r="O231" s="721">
        <f>IF(N231="na","na",IF(N231="TBD","TBD",IF($C231="na","na",(N231*Eqtn!$D$202*($C231+Eqtn!$D$203+(Eqtn!$D$204*$D231))))))</f>
        <v>0</v>
      </c>
      <c r="P231" s="722">
        <f>IF(N231="na","na",IF(N231="TBD","TBD",IF($C231="na","na",((N231*Eqtn!$D$205)*($C231+Eqtn!$D$206)))))</f>
        <v>0</v>
      </c>
      <c r="R231" s="1062"/>
    </row>
    <row r="232" spans="1:18" ht="13.9" customHeight="1" x14ac:dyDescent="0.25">
      <c r="A232" s="846">
        <f>Chem!A232</f>
        <v>230</v>
      </c>
      <c r="B232" s="1190" t="str">
        <f>Chem!B232</f>
        <v>Perfluorobutanoic acid (PFBA)</v>
      </c>
      <c r="C232" s="652">
        <f>Param!F232</f>
        <v>7.5900000000000009E-2</v>
      </c>
      <c r="D232" s="652">
        <f>Param!M232</f>
        <v>2.0500000000000002E-3</v>
      </c>
      <c r="E232" s="458">
        <f>PW!O232</f>
        <v>8</v>
      </c>
      <c r="F232" s="458">
        <f>IF(E232="na","na",IF($C232="na","na",(E232*Eqtn!$D$202*($C232+Eqtn!$D$203+(Eqtn!$D$204*$D232)))))</f>
        <v>4.4172426666666667E-2</v>
      </c>
      <c r="G232" s="458">
        <f>IF(E232="na","na",IF($C232="na","na",((E232*Eqtn!$D$205)*($C232+Eqtn!$D$206))))</f>
        <v>2.9005333333333339E-3</v>
      </c>
      <c r="H232" s="254" t="str">
        <f>SW!R232</f>
        <v>na</v>
      </c>
      <c r="I232" s="621" t="str">
        <f>IF(H232="na","na",IF($C232="na","na",(H232*Eqtn!$D$202*($C232+Eqtn!$D$203+(Eqtn!$D$204*$D232)))))</f>
        <v>na</v>
      </c>
      <c r="J232" s="621" t="str">
        <f>IF(H232="na","na",IF($C232="na","na",((H232*Eqtn!$D$205)*($C232+Eqtn!$D$206))))</f>
        <v>na</v>
      </c>
      <c r="K232" s="653" t="str">
        <f>Partit!E232</f>
        <v>na</v>
      </c>
      <c r="L232" s="653" t="str">
        <f>IF(K232="na","na",IF(K232="TBD","TBD",IF($C232="na","na",(K232*Eqtn!$D$202*($C232+Eqtn!$D$203+(Eqtn!$D$204*$D232))))))</f>
        <v>na</v>
      </c>
      <c r="M232" s="653" t="str">
        <f>IF(K232="na","na",IF(K232="TBD","TBD",IF($C232="na","na",((K232*Eqtn!$D$205)*($C232+Eqtn!$D$206)))))</f>
        <v>na</v>
      </c>
      <c r="N232" s="721"/>
      <c r="O232" s="721">
        <f>IF(N232="na","na",IF(N232="TBD","TBD",IF($C232="na","na",(N232*Eqtn!$D$202*($C232+Eqtn!$D$203+(Eqtn!$D$204*$D232))))))</f>
        <v>0</v>
      </c>
      <c r="P232" s="722">
        <f>IF(N232="na","na",IF(N232="TBD","TBD",IF($C232="na","na",((N232*Eqtn!$D$205)*($C232+Eqtn!$D$206)))))</f>
        <v>0</v>
      </c>
      <c r="R232" s="1062"/>
    </row>
    <row r="233" spans="1:18" ht="13.9" customHeight="1" x14ac:dyDescent="0.25">
      <c r="A233" s="846">
        <f>Chem!A233</f>
        <v>231</v>
      </c>
      <c r="B233" s="891" t="str">
        <f>Chem!B233</f>
        <v>Perfluorobutanesulfonic acid (PFBS)</v>
      </c>
      <c r="C233" s="423">
        <f>Param!F233</f>
        <v>6.1700000000000005E-2</v>
      </c>
      <c r="D233" s="423">
        <f>Param!M233</f>
        <v>1.2100000000000001E-8</v>
      </c>
      <c r="E233" s="461">
        <f>PW!O233</f>
        <v>4.8</v>
      </c>
      <c r="F233" s="461">
        <f>IF(E233="na","na",IF($C233="na","na",(E233*Eqtn!$D$202*($C233+Eqtn!$D$203+(Eqtn!$D$204*$D233)))))</f>
        <v>2.5123200100671997E-2</v>
      </c>
      <c r="G233" s="461">
        <f>IF(E233="na","na",IF($C233="na","na",((E233*Eqtn!$D$205)*($C233+Eqtn!$D$206))))</f>
        <v>1.67216E-3</v>
      </c>
      <c r="H233" s="221">
        <f>SW!R233</f>
        <v>127000</v>
      </c>
      <c r="I233" s="289">
        <f>IF(H233="na","na",IF($C233="na","na",(H233*Eqtn!$D$202*($C233+Eqtn!$D$203+(Eqtn!$D$204*$D233)))))</f>
        <v>664.71800266361322</v>
      </c>
      <c r="J233" s="289">
        <f>IF(H233="na","na",IF($C233="na","na",((H233*Eqtn!$D$205)*($C233+Eqtn!$D$206))))</f>
        <v>44.242566666666676</v>
      </c>
      <c r="K233" s="584" t="str">
        <f>Partit!E233</f>
        <v>na</v>
      </c>
      <c r="L233" s="584" t="str">
        <f>IF(K233="na","na",IF(K233="TBD","TBD",IF($C233="na","na",(K233*Eqtn!$D$202*($C233+Eqtn!$D$203+(Eqtn!$D$204*$D233))))))</f>
        <v>na</v>
      </c>
      <c r="M233" s="584" t="str">
        <f>IF(K233="na","na",IF(K233="TBD","TBD",IF($C233="na","na",((K233*Eqtn!$D$205)*($C233+Eqtn!$D$206)))))</f>
        <v>na</v>
      </c>
      <c r="N233" s="348"/>
      <c r="O233" s="348">
        <f>IF(N233="na","na",IF(N233="TBD","TBD",IF($C233="na","na",(N233*Eqtn!$D$202*($C233+Eqtn!$D$203+(Eqtn!$D$204*$D233))))))</f>
        <v>0</v>
      </c>
      <c r="P233" s="367">
        <f>IF(N233="na","na",IF(N233="TBD","TBD",IF($C233="na","na",((N233*Eqtn!$D$205)*($C233+Eqtn!$D$206)))))</f>
        <v>0</v>
      </c>
      <c r="R233" s="1062"/>
    </row>
    <row r="234" spans="1:18" ht="13.9" customHeight="1" x14ac:dyDescent="0.25">
      <c r="A234" s="846">
        <f>Chem!A234</f>
        <v>232</v>
      </c>
      <c r="B234" s="891" t="str">
        <f>Chem!B234</f>
        <v>Perfluorodecanoic acid (PFDA)</v>
      </c>
      <c r="C234" s="423">
        <f>Param!F234</f>
        <v>0.39800000000000002</v>
      </c>
      <c r="D234" s="423">
        <f>Param!M234</f>
        <v>2.16E-9</v>
      </c>
      <c r="E234" s="461">
        <f>PW!O234</f>
        <v>3.2000000000000005E-5</v>
      </c>
      <c r="F234" s="461">
        <f>IF(E234="na","na",IF($C234="na","na",(E234*Eqtn!$D$202*($C234+Eqtn!$D$203+(Eqtn!$D$204*$D234)))))</f>
        <v>3.8272000011980807E-7</v>
      </c>
      <c r="G234" s="461">
        <f>IF(E234="na","na",IF($C234="na","na",((E234*Eqtn!$D$205)*($C234+Eqtn!$D$206))))</f>
        <v>2.1909333333333344E-8</v>
      </c>
      <c r="H234" s="221">
        <f>SW!R234</f>
        <v>78</v>
      </c>
      <c r="I234" s="289">
        <f>IF(H234="na","na",IF($C234="na","na",(H234*Eqtn!$D$202*($C234+Eqtn!$D$203+(Eqtn!$D$204*$D234)))))</f>
        <v>0.932880000292032</v>
      </c>
      <c r="J234" s="289">
        <f>IF(H234="na","na",IF($C234="na","na",((H234*Eqtn!$D$205)*($C234+Eqtn!$D$206))))</f>
        <v>5.3404000000000007E-2</v>
      </c>
      <c r="K234" s="584" t="str">
        <f>Partit!E234</f>
        <v>na</v>
      </c>
      <c r="L234" s="584" t="str">
        <f>IF(K234="na","na",IF(K234="TBD","TBD",IF($C234="na","na",(K234*Eqtn!$D$202*($C234+Eqtn!$D$203+(Eqtn!$D$204*$D234))))))</f>
        <v>na</v>
      </c>
      <c r="M234" s="584" t="str">
        <f>IF(K234="na","na",IF(K234="TBD","TBD",IF($C234="na","na",((K234*Eqtn!$D$205)*($C234+Eqtn!$D$206)))))</f>
        <v>na</v>
      </c>
      <c r="N234" s="348"/>
      <c r="O234" s="348">
        <f>IF(N234="na","na",IF(N234="TBD","TBD",IF($C234="na","na",(N234*Eqtn!$D$202*($C234+Eqtn!$D$203+(Eqtn!$D$204*$D234))))))</f>
        <v>0</v>
      </c>
      <c r="P234" s="367">
        <f>IF(N234="na","na",IF(N234="TBD","TBD",IF($C234="na","na",((N234*Eqtn!$D$205)*($C234+Eqtn!$D$206)))))</f>
        <v>0</v>
      </c>
      <c r="R234" s="1062"/>
    </row>
    <row r="235" spans="1:18" ht="13.9" customHeight="1" x14ac:dyDescent="0.25">
      <c r="A235" s="846">
        <f>Chem!A235</f>
        <v>233</v>
      </c>
      <c r="B235" s="891" t="str">
        <f>Chem!B235</f>
        <v>Perfluorohexanoic acid (PFHxA)</v>
      </c>
      <c r="C235" s="423">
        <f>Param!F235</f>
        <v>2.0420000000000001E-2</v>
      </c>
      <c r="D235" s="423">
        <f>Param!M235</f>
        <v>9.6099999999999997E-9</v>
      </c>
      <c r="E235" s="461">
        <f>PW!O235</f>
        <v>8</v>
      </c>
      <c r="F235" s="461">
        <f>IF(E235="na","na",IF($C235="na","na",(E235*Eqtn!$D$202*($C235+Eqtn!$D$203+(Eqtn!$D$204*$D235)))))</f>
        <v>3.5267200133258667E-2</v>
      </c>
      <c r="G235" s="461">
        <f>IF(E235="na","na",IF($C235="na","na",((E235*Eqtn!$D$205)*($C235+Eqtn!$D$206))))</f>
        <v>2.4566933333333334E-3</v>
      </c>
      <c r="H235" s="221" t="str">
        <f>SW!R235</f>
        <v>na</v>
      </c>
      <c r="I235" s="289" t="str">
        <f>IF(H235="na","na",IF($C235="na","na",(H235*Eqtn!$D$202*($C235+Eqtn!$D$203+(Eqtn!$D$204*$D235)))))</f>
        <v>na</v>
      </c>
      <c r="J235" s="289" t="str">
        <f>IF(H235="na","na",IF($C235="na","na",((H235*Eqtn!$D$205)*($C235+Eqtn!$D$206))))</f>
        <v>na</v>
      </c>
      <c r="K235" s="584" t="str">
        <f>Partit!E235</f>
        <v>na</v>
      </c>
      <c r="L235" s="584" t="str">
        <f>IF(K235="na","na",IF(K235="TBD","TBD",IF($C235="na","na",(K235*Eqtn!$D$202*($C235+Eqtn!$D$203+(Eqtn!$D$204*$D235))))))</f>
        <v>na</v>
      </c>
      <c r="M235" s="584" t="str">
        <f>IF(K235="na","na",IF(K235="TBD","TBD",IF($C235="na","na",((K235*Eqtn!$D$205)*($C235+Eqtn!$D$206)))))</f>
        <v>na</v>
      </c>
      <c r="N235" s="348"/>
      <c r="O235" s="348">
        <f>IF(N235="na","na",IF(N235="TBD","TBD",IF($C235="na","na",(N235*Eqtn!$D$202*($C235+Eqtn!$D$203+(Eqtn!$D$204*$D235))))))</f>
        <v>0</v>
      </c>
      <c r="P235" s="367">
        <f>IF(N235="na","na",IF(N235="TBD","TBD",IF($C235="na","na",((N235*Eqtn!$D$205)*($C235+Eqtn!$D$206)))))</f>
        <v>0</v>
      </c>
      <c r="R235" s="1062"/>
    </row>
    <row r="236" spans="1:18" ht="13.9" customHeight="1" x14ac:dyDescent="0.25">
      <c r="A236" s="846">
        <f>Chem!A236</f>
        <v>234</v>
      </c>
      <c r="B236" s="891" t="str">
        <f>Chem!B236</f>
        <v>Perfluorohexanesulfonic acid (PFHxS)</v>
      </c>
      <c r="C236" s="423">
        <f>Param!F236</f>
        <v>0.112</v>
      </c>
      <c r="D236" s="423">
        <f>Param!M236</f>
        <v>0</v>
      </c>
      <c r="E236" s="461">
        <f>PW!O236</f>
        <v>6.4000000000000006E-6</v>
      </c>
      <c r="F236" s="461">
        <f>IF(E236="na","na",IF($C236="na","na",(E236*Eqtn!$D$202*($C236+Eqtn!$D$203+(Eqtn!$D$204*$D236)))))</f>
        <v>3.9936000000000001E-8</v>
      </c>
      <c r="G236" s="461">
        <f>IF(E236="na","na",IF($C236="na","na",((E236*Eqtn!$D$205)*($C236+Eqtn!$D$206))))</f>
        <v>2.5514666666666672E-9</v>
      </c>
      <c r="H236" s="221" t="str">
        <f>SW!R236</f>
        <v>na</v>
      </c>
      <c r="I236" s="289" t="str">
        <f>IF(H236="na","na",IF($C236="na","na",(H236*Eqtn!$D$202*($C236+Eqtn!$D$203+(Eqtn!$D$204*$D236)))))</f>
        <v>na</v>
      </c>
      <c r="J236" s="289" t="str">
        <f>IF(H236="na","na",IF($C236="na","na",((H236*Eqtn!$D$205)*($C236+Eqtn!$D$206))))</f>
        <v>na</v>
      </c>
      <c r="K236" s="584" t="str">
        <f>Partit!E236</f>
        <v>na</v>
      </c>
      <c r="L236" s="584" t="str">
        <f>IF(K236="na","na",IF(K236="TBD","TBD",IF($C236="na","na",(K236*Eqtn!$D$202*($C236+Eqtn!$D$203+(Eqtn!$D$204*$D236))))))</f>
        <v>na</v>
      </c>
      <c r="M236" s="584" t="str">
        <f>IF(K236="na","na",IF(K236="TBD","TBD",IF($C236="na","na",((K236*Eqtn!$D$205)*($C236+Eqtn!$D$206)))))</f>
        <v>na</v>
      </c>
      <c r="N236" s="348"/>
      <c r="O236" s="348">
        <f>IF(N236="na","na",IF(N236="TBD","TBD",IF($C236="na","na",(N236*Eqtn!$D$202*($C236+Eqtn!$D$203+(Eqtn!$D$204*$D236))))))</f>
        <v>0</v>
      </c>
      <c r="P236" s="367">
        <f>IF(N236="na","na",IF(N236="TBD","TBD",IF($C236="na","na",((N236*Eqtn!$D$205)*($C236+Eqtn!$D$206)))))</f>
        <v>0</v>
      </c>
      <c r="R236" s="1062"/>
    </row>
    <row r="237" spans="1:18" ht="13.9" customHeight="1" x14ac:dyDescent="0.25">
      <c r="A237" s="846">
        <f>Chem!A237</f>
        <v>235</v>
      </c>
      <c r="B237" s="891" t="str">
        <f>Chem!B237</f>
        <v>Perfluorononanoic acid (PFNA)</v>
      </c>
      <c r="C237" s="423">
        <f>Param!F237</f>
        <v>0.246</v>
      </c>
      <c r="D237" s="423">
        <f>Param!M237</f>
        <v>0</v>
      </c>
      <c r="E237" s="461">
        <f>PW!O237</f>
        <v>0.01</v>
      </c>
      <c r="F237" s="461">
        <f>IF(E237="na","na",IF($C237="na","na",(E237*Eqtn!$D$202*($C237+Eqtn!$D$203+(Eqtn!$D$204*$D237)))))</f>
        <v>8.92E-5</v>
      </c>
      <c r="G237" s="461">
        <f>IF(E237="na","na",IF($C237="na","na",((E237*Eqtn!$D$205)*($C237+Eqtn!$D$206))))</f>
        <v>5.3266666666666668E-6</v>
      </c>
      <c r="H237" s="221">
        <f>SW!R237</f>
        <v>10.4</v>
      </c>
      <c r="I237" s="289">
        <f>IF(H237="na","na",IF($C237="na","na",(H237*Eqtn!$D$202*($C237+Eqtn!$D$203+(Eqtn!$D$204*$D237)))))</f>
        <v>9.2768000000000003E-2</v>
      </c>
      <c r="J237" s="289">
        <f>IF(H237="na","na",IF($C237="na","na",((H237*Eqtn!$D$205)*($C237+Eqtn!$D$206))))</f>
        <v>5.5397333333333338E-3</v>
      </c>
      <c r="K237" s="584" t="str">
        <f>Partit!E237</f>
        <v>na</v>
      </c>
      <c r="L237" s="584" t="str">
        <f>IF(K237="na","na",IF(K237="TBD","TBD",IF($C237="na","na",(K237*Eqtn!$D$202*($C237+Eqtn!$D$203+(Eqtn!$D$204*$D237))))))</f>
        <v>na</v>
      </c>
      <c r="M237" s="584" t="str">
        <f>IF(K237="na","na",IF(K237="TBD","TBD",IF($C237="na","na",((K237*Eqtn!$D$205)*($C237+Eqtn!$D$206)))))</f>
        <v>na</v>
      </c>
      <c r="N237" s="348"/>
      <c r="O237" s="348">
        <f>IF(N237="na","na",IF(N237="TBD","TBD",IF($C237="na","na",(N237*Eqtn!$D$202*($C237+Eqtn!$D$203+(Eqtn!$D$204*$D237))))))</f>
        <v>0</v>
      </c>
      <c r="P237" s="367">
        <f>IF(N237="na","na",IF(N237="TBD","TBD",IF($C237="na","na",((N237*Eqtn!$D$205)*($C237+Eqtn!$D$206)))))</f>
        <v>0</v>
      </c>
      <c r="R237" s="1062"/>
    </row>
    <row r="238" spans="1:18" ht="13.9" customHeight="1" x14ac:dyDescent="0.25">
      <c r="A238" s="846">
        <f>Chem!A238</f>
        <v>236</v>
      </c>
      <c r="B238" s="891" t="str">
        <f>Chem!B238</f>
        <v>Perfluorooctanesulfonic acid (PFOS)</v>
      </c>
      <c r="C238" s="423">
        <f>Param!F238</f>
        <v>0.372</v>
      </c>
      <c r="D238" s="423">
        <f>Param!M238</f>
        <v>1.77432542927228E-5</v>
      </c>
      <c r="E238" s="461">
        <f>PW!O238</f>
        <v>4.0000000000000001E-3</v>
      </c>
      <c r="F238" s="461">
        <f>IF(E238="na","na",IF($C238="na","na",(E238*Eqtn!$D$202*($C238+Eqtn!$D$203+(Eqtn!$D$204*$D238)))))</f>
        <v>4.576012301989643E-5</v>
      </c>
      <c r="G238" s="461">
        <f>IF(E238="na","na",IF($C238="na","na",((E238*Eqtn!$D$205)*($C238+Eqtn!$D$206))))</f>
        <v>2.634666666666667E-6</v>
      </c>
      <c r="H238" s="221">
        <f>SW!R238</f>
        <v>1.1000000000000001</v>
      </c>
      <c r="I238" s="289">
        <f>IF(H238="na","na",IF($C238="na","na",(H238*Eqtn!$D$202*($C238+Eqtn!$D$203+(Eqtn!$D$204*$D238)))))</f>
        <v>1.2584033830471518E-2</v>
      </c>
      <c r="J238" s="289">
        <f>IF(H238="na","na",IF($C238="na","na",((H238*Eqtn!$D$205)*($C238+Eqtn!$D$206))))</f>
        <v>7.2453333333333345E-4</v>
      </c>
      <c r="K238" s="584" t="str">
        <f>Partit!E238</f>
        <v>na</v>
      </c>
      <c r="L238" s="584" t="str">
        <f>IF(K238="na","na",IF(K238="TBD","TBD",IF($C238="na","na",(K238*Eqtn!$D$202*($C238+Eqtn!$D$203+(Eqtn!$D$204*$D238))))))</f>
        <v>na</v>
      </c>
      <c r="M238" s="584" t="str">
        <f>IF(K238="na","na",IF(K238="TBD","TBD",IF($C238="na","na",((K238*Eqtn!$D$205)*($C238+Eqtn!$D$206)))))</f>
        <v>na</v>
      </c>
      <c r="N238" s="348"/>
      <c r="O238" s="348">
        <f>IF(N238="na","na",IF(N238="TBD","TBD",IF($C238="na","na",(N238*Eqtn!$D$202*($C238+Eqtn!$D$203+(Eqtn!$D$204*$D238))))))</f>
        <v>0</v>
      </c>
      <c r="P238" s="367">
        <f>IF(N238="na","na",IF(N238="TBD","TBD",IF($C238="na","na",((N238*Eqtn!$D$205)*($C238+Eqtn!$D$206)))))</f>
        <v>0</v>
      </c>
      <c r="R238" s="1062"/>
    </row>
    <row r="239" spans="1:18" ht="13.9" customHeight="1" x14ac:dyDescent="0.25">
      <c r="A239" s="1661">
        <f>Chem!A239</f>
        <v>237</v>
      </c>
      <c r="B239" s="1186" t="str">
        <f>Chem!B239</f>
        <v>Perfluorooctanoic acid (PFOA)</v>
      </c>
      <c r="C239" s="1187">
        <f>Param!F239</f>
        <v>0.115</v>
      </c>
      <c r="D239" s="1187">
        <f>Param!M239</f>
        <v>1.4603399999999999E-4</v>
      </c>
      <c r="E239" s="579">
        <f>PW!O239</f>
        <v>4.0000000000000001E-3</v>
      </c>
      <c r="F239" s="579">
        <f>IF(E239="na","na",IF($C239="na","na",(E239*Eqtn!$D$202*($C239+Eqtn!$D$203+(Eqtn!$D$204*$D239)))))</f>
        <v>2.5201012502400002E-5</v>
      </c>
      <c r="G239" s="579">
        <f>IF(E239="na","na",IF($C239="na","na",((E239*Eqtn!$D$205)*($C239+Eqtn!$D$206))))</f>
        <v>1.6066666666666666E-6</v>
      </c>
      <c r="H239" s="257">
        <f>SW!R239</f>
        <v>119</v>
      </c>
      <c r="I239" s="1188">
        <f>IF(H239="na","na",IF($C239="na","na",(H239*Eqtn!$D$202*($C239+Eqtn!$D$203+(Eqtn!$D$204*$D239)))))</f>
        <v>0.74973012194639999</v>
      </c>
      <c r="J239" s="1188">
        <f>IF(H239="na","na",IF($C239="na","na",((H239*Eqtn!$D$205)*($C239+Eqtn!$D$206))))</f>
        <v>4.7798333333333339E-2</v>
      </c>
      <c r="K239" s="1189" t="str">
        <f>Partit!E239</f>
        <v>na</v>
      </c>
      <c r="L239" s="1189" t="str">
        <f>IF(K239="na","na",IF(K239="TBD","TBD",IF($C239="na","na",(K239*Eqtn!$D$202*($C239+Eqtn!$D$203+(Eqtn!$D$204*$D239))))))</f>
        <v>na</v>
      </c>
      <c r="M239" s="1189" t="str">
        <f>IF(K239="na","na",IF(K239="TBD","TBD",IF($C239="na","na",((K239*Eqtn!$D$205)*($C239+Eqtn!$D$206)))))</f>
        <v>na</v>
      </c>
      <c r="N239" s="737"/>
      <c r="O239" s="737">
        <f>IF(N239="na","na",IF(N239="TBD","TBD",IF($C239="na","na",(N239*Eqtn!$D$202*($C239+Eqtn!$D$203+(Eqtn!$D$204*$D239))))))</f>
        <v>0</v>
      </c>
      <c r="P239" s="740">
        <f>IF(N239="na","na",IF(N239="TBD","TBD",IF($C239="na","na",((N239*Eqtn!$D$205)*($C239+Eqtn!$D$206)))))</f>
        <v>0</v>
      </c>
      <c r="R239" s="1062"/>
    </row>
    <row r="240" spans="1:18" ht="13.9" customHeight="1" x14ac:dyDescent="0.25">
      <c r="A240" s="1197">
        <f>Chem!A240</f>
        <v>238</v>
      </c>
      <c r="B240" s="887" t="str">
        <f>Chem!B240</f>
        <v>Petroleum Hydrocarbons</v>
      </c>
      <c r="C240" s="31"/>
      <c r="D240" s="31"/>
      <c r="E240" s="31"/>
      <c r="F240" s="31"/>
      <c r="G240" s="31"/>
      <c r="H240" s="259"/>
      <c r="I240" s="31"/>
      <c r="J240" s="31"/>
      <c r="K240" s="31"/>
      <c r="L240" s="31"/>
      <c r="M240" s="31"/>
      <c r="N240" s="31"/>
      <c r="O240" s="31"/>
      <c r="P240" s="648"/>
      <c r="Q240" s="129"/>
      <c r="R240" s="1063"/>
    </row>
    <row r="241" spans="1:18" ht="13.9" customHeight="1" x14ac:dyDescent="0.25">
      <c r="A241" s="846">
        <f>Chem!A241</f>
        <v>239</v>
      </c>
      <c r="B241" s="893" t="str">
        <f>Chem!B241</f>
        <v>Gasoline range hydrocarbons, fresh</v>
      </c>
      <c r="C241" s="652" t="str">
        <f>Param!F241</f>
        <v>na</v>
      </c>
      <c r="D241" s="652">
        <f>Param!M241</f>
        <v>0</v>
      </c>
      <c r="E241" s="458">
        <f>PW!O241</f>
        <v>800</v>
      </c>
      <c r="F241" s="1472">
        <v>30</v>
      </c>
      <c r="G241" s="1472">
        <v>30</v>
      </c>
      <c r="H241" s="657">
        <f>SW!R241</f>
        <v>800</v>
      </c>
      <c r="I241" s="721">
        <v>30</v>
      </c>
      <c r="J241" s="721">
        <v>30</v>
      </c>
      <c r="K241" s="653" t="str">
        <f>Partit!E241</f>
        <v>na</v>
      </c>
      <c r="L241" s="653" t="str">
        <f>IF(K241="na","na",IF(K241="TBD","TBD",IF($C241="na","na",(K241*Eqtn!$D$202*($C241+Eqtn!$D$203+(Eqtn!$D$204*$D241))))))</f>
        <v>na</v>
      </c>
      <c r="M241" s="653" t="str">
        <f>IF(K241="na","na",IF(K241="TBD","TBD",IF($C241="na","na",((K241*Eqtn!$D$205)*($C241+Eqtn!$D$206)))))</f>
        <v>na</v>
      </c>
      <c r="N241" s="721"/>
      <c r="O241" s="721" t="str">
        <f>IF(N241="na","na",IF(N241="TBD","TBD",IF($C241="na","na",(N241*Eqtn!$D$202*($C241+Eqtn!$D$203+(Eqtn!$D$204*$D241))))))</f>
        <v>na</v>
      </c>
      <c r="P241" s="722" t="str">
        <f>IF(N241="na","na",IF(N241="TBD","TBD",IF($C241="na","na",((N241*Eqtn!$D$205)*($C241+Eqtn!$D$206)))))</f>
        <v>na</v>
      </c>
      <c r="R241" s="1062"/>
    </row>
    <row r="242" spans="1:18" ht="13.9" customHeight="1" x14ac:dyDescent="0.25">
      <c r="A242" s="846">
        <f>Chem!A242</f>
        <v>240</v>
      </c>
      <c r="B242" s="1357" t="str">
        <f>Chem!B242</f>
        <v>Gasoline range hydrocarbons, weathered</v>
      </c>
      <c r="C242" s="652" t="str">
        <f>Param!F242</f>
        <v>na</v>
      </c>
      <c r="D242" s="652">
        <f>Param!M242</f>
        <v>0</v>
      </c>
      <c r="E242" s="458">
        <f>PW!O242</f>
        <v>1000</v>
      </c>
      <c r="F242" s="1472">
        <v>100</v>
      </c>
      <c r="G242" s="1472">
        <v>100</v>
      </c>
      <c r="H242" s="657">
        <f>SW!R242</f>
        <v>1000</v>
      </c>
      <c r="I242" s="721">
        <v>100</v>
      </c>
      <c r="J242" s="721">
        <v>100</v>
      </c>
      <c r="K242" s="653" t="str">
        <f>Partit!E242</f>
        <v>na</v>
      </c>
      <c r="L242" s="653" t="str">
        <f>IF(K242="na","na",IF(K242="TBD","TBD",IF($C242="na","na",(K242*Eqtn!$D$202*($C242+Eqtn!$D$203+(Eqtn!$D$204*$D242))))))</f>
        <v>na</v>
      </c>
      <c r="M242" s="653" t="str">
        <f>IF(K242="na","na",IF(K242="TBD","TBD",IF($C242="na","na",((K242*Eqtn!$D$205)*($C242+Eqtn!$D$206)))))</f>
        <v>na</v>
      </c>
      <c r="N242" s="721"/>
      <c r="O242" s="721" t="str">
        <f>IF(N242="na","na",IF(N242="TBD","TBD",IF($C242="na","na",(N242*Eqtn!$D$202*($C242+Eqtn!$D$203+(Eqtn!$D$204*$D242))))))</f>
        <v>na</v>
      </c>
      <c r="P242" s="722" t="str">
        <f>IF(N242="na","na",IF(N242="TBD","TBD",IF($C242="na","na",((N242*Eqtn!$D$205)*($C242+Eqtn!$D$206)))))</f>
        <v>na</v>
      </c>
      <c r="R242" s="1062"/>
    </row>
    <row r="243" spans="1:18" ht="13.9" customHeight="1" x14ac:dyDescent="0.25">
      <c r="A243" s="846">
        <f>Chem!A243</f>
        <v>241</v>
      </c>
      <c r="B243" s="894" t="str">
        <f>Chem!B243</f>
        <v>Diesel range hydrocarbons, fresh</v>
      </c>
      <c r="C243" s="423" t="str">
        <f>Param!F243</f>
        <v>na</v>
      </c>
      <c r="D243" s="423">
        <f>Param!M243</f>
        <v>0</v>
      </c>
      <c r="E243" s="461">
        <f>PW!O243</f>
        <v>500</v>
      </c>
      <c r="F243" s="715">
        <v>2000</v>
      </c>
      <c r="G243" s="715">
        <v>2000</v>
      </c>
      <c r="H243" s="263">
        <f>SW!R243</f>
        <v>50</v>
      </c>
      <c r="I243" s="348">
        <v>2000</v>
      </c>
      <c r="J243" s="348">
        <v>2000</v>
      </c>
      <c r="K243" s="584" t="str">
        <f>Partit!E243</f>
        <v>na</v>
      </c>
      <c r="L243" s="584" t="str">
        <f>IF(K243="na","na",IF(K243="TBD","TBD",IF($C243="na","na",(K243*Eqtn!$D$202*($C243+Eqtn!$D$203+(Eqtn!$D$204*$D243))))))</f>
        <v>na</v>
      </c>
      <c r="M243" s="584" t="str">
        <f>IF(K243="na","na",IF(K243="TBD","TBD",IF($C243="na","na",((K243*Eqtn!$D$205)*($C243+Eqtn!$D$206)))))</f>
        <v>na</v>
      </c>
      <c r="N243" s="348"/>
      <c r="O243" s="348" t="str">
        <f>IF(N243="na","na",IF(N243="TBD","TBD",IF($C243="na","na",(N243*Eqtn!$D$202*($C243+Eqtn!$D$203+(Eqtn!$D$204*$D243))))))</f>
        <v>na</v>
      </c>
      <c r="P243" s="367" t="str">
        <f>IF(N243="na","na",IF(N243="TBD","TBD",IF($C243="na","na",((N243*Eqtn!$D$205)*($C243+Eqtn!$D$206)))))</f>
        <v>na</v>
      </c>
      <c r="R243" s="1062"/>
    </row>
    <row r="244" spans="1:18" ht="13.9" customHeight="1" x14ac:dyDescent="0.25">
      <c r="A244" s="846">
        <f>Chem!A244</f>
        <v>242</v>
      </c>
      <c r="B244" s="894" t="str">
        <f>Chem!B244</f>
        <v>Diesel range hydrocarbons, weathered</v>
      </c>
      <c r="C244" s="423" t="str">
        <f>Param!F244</f>
        <v>na</v>
      </c>
      <c r="D244" s="423">
        <f>Param!M244</f>
        <v>0</v>
      </c>
      <c r="E244" s="461">
        <f>PW!O244</f>
        <v>500</v>
      </c>
      <c r="F244" s="715">
        <v>2000</v>
      </c>
      <c r="G244" s="715">
        <v>2000</v>
      </c>
      <c r="H244" s="263">
        <f>SW!R244</f>
        <v>500</v>
      </c>
      <c r="I244" s="348">
        <v>2000</v>
      </c>
      <c r="J244" s="348">
        <v>2000</v>
      </c>
      <c r="K244" s="584" t="str">
        <f>Partit!E244</f>
        <v>na</v>
      </c>
      <c r="L244" s="584" t="str">
        <f>IF(K244="na","na",IF(K244="TBD","TBD",IF($C244="na","na",(K244*Eqtn!$D$202*($C244+Eqtn!$D$203+(Eqtn!$D$204*$D244))))))</f>
        <v>na</v>
      </c>
      <c r="M244" s="584" t="str">
        <f>IF(K244="na","na",IF(K244="TBD","TBD",IF($C244="na","na",((K244*Eqtn!$D$205)*($C244+Eqtn!$D$206)))))</f>
        <v>na</v>
      </c>
      <c r="N244" s="348"/>
      <c r="O244" s="348" t="str">
        <f>IF(N244="na","na",IF(N244="TBD","TBD",IF($C244="na","na",(N244*Eqtn!$D$202*($C244+Eqtn!$D$203+(Eqtn!$D$204*$D244))))))</f>
        <v>na</v>
      </c>
      <c r="P244" s="367" t="str">
        <f>IF(N244="na","na",IF(N244="TBD","TBD",IF($C244="na","na",((N244*Eqtn!$D$205)*($C244+Eqtn!$D$206)))))</f>
        <v>na</v>
      </c>
      <c r="R244" s="1062"/>
    </row>
    <row r="245" spans="1:18" ht="13.9" customHeight="1" x14ac:dyDescent="0.25">
      <c r="A245" s="846">
        <f>Chem!A245</f>
        <v>243</v>
      </c>
      <c r="B245" s="895" t="str">
        <f>Chem!B245</f>
        <v>Oil range hydrocarbons</v>
      </c>
      <c r="C245" s="422" t="str">
        <f>Param!F245</f>
        <v>na</v>
      </c>
      <c r="D245" s="422">
        <f>Param!M245</f>
        <v>0</v>
      </c>
      <c r="E245" s="460">
        <f>PW!O245</f>
        <v>500</v>
      </c>
      <c r="F245" s="717">
        <v>2000</v>
      </c>
      <c r="G245" s="717">
        <v>2000</v>
      </c>
      <c r="H245" s="655">
        <f>SW!R245</f>
        <v>500</v>
      </c>
      <c r="I245" s="723">
        <v>2000</v>
      </c>
      <c r="J245" s="723">
        <v>2000</v>
      </c>
      <c r="K245" s="585" t="str">
        <f>Partit!E245</f>
        <v>na</v>
      </c>
      <c r="L245" s="585" t="str">
        <f>IF(K245="na","na",IF(K245="TBD","TBD",IF($C245="na","na",(K245*Eqtn!$D$202*($C245+Eqtn!$D$203+(Eqtn!$D$204*$D245))))))</f>
        <v>na</v>
      </c>
      <c r="M245" s="585" t="str">
        <f>IF(K245="na","na",IF(K245="TBD","TBD",IF($C245="na","na",((K245*Eqtn!$D$205)*($C245+Eqtn!$D$206)))))</f>
        <v>na</v>
      </c>
      <c r="N245" s="723"/>
      <c r="O245" s="723" t="str">
        <f>IF(N245="na","na",IF(N245="TBD","TBD",IF($C245="na","na",(N245*Eqtn!$D$202*($C245+Eqtn!$D$203+(Eqtn!$D$204*$D245))))))</f>
        <v>na</v>
      </c>
      <c r="P245" s="724" t="str">
        <f>IF(N245="na","na",IF(N245="TBD","TBD",IF($C245="na","na",((N245*Eqtn!$D$205)*($C245+Eqtn!$D$206)))))</f>
        <v>na</v>
      </c>
      <c r="R245" s="1062"/>
    </row>
    <row r="246" spans="1:18" ht="13.9" customHeight="1" x14ac:dyDescent="0.25">
      <c r="A246" s="1661">
        <f>Chem!A246</f>
        <v>244</v>
      </c>
      <c r="B246" s="895" t="str">
        <f>Chem!B246</f>
        <v>Total diesel &amp; oil range hydrocarbons</v>
      </c>
      <c r="C246" s="422" t="str">
        <f>Param!F246</f>
        <v>na</v>
      </c>
      <c r="D246" s="422">
        <f>Param!M246</f>
        <v>0</v>
      </c>
      <c r="E246" s="460">
        <f>PW!O246</f>
        <v>500</v>
      </c>
      <c r="F246" s="717">
        <v>2000</v>
      </c>
      <c r="G246" s="717">
        <v>2000</v>
      </c>
      <c r="H246" s="655">
        <f>SW!R246</f>
        <v>500</v>
      </c>
      <c r="I246" s="723">
        <v>2000</v>
      </c>
      <c r="J246" s="723">
        <v>2000</v>
      </c>
      <c r="K246" s="585" t="str">
        <f>Partit!E246</f>
        <v>na</v>
      </c>
      <c r="L246" s="585" t="str">
        <f>IF(K246="na","na",IF(K246="TBD","TBD",IF($C246="na","na",(K246*Eqtn!$D$202*($C246+Eqtn!$D$203+(Eqtn!$D$204*$D246))))))</f>
        <v>na</v>
      </c>
      <c r="M246" s="585" t="str">
        <f>IF(K246="na","na",IF(K246="TBD","TBD",IF($C246="na","na",((K246*Eqtn!$D$205)*($C246+Eqtn!$D$206)))))</f>
        <v>na</v>
      </c>
      <c r="N246" s="723"/>
      <c r="O246" s="723" t="str">
        <f>IF(N246="na","na",IF(N246="TBD","TBD",IF($C246="na","na",(N246*Eqtn!$D$202*($C246+Eqtn!$D$203+(Eqtn!$D$204*$D246))))))</f>
        <v>na</v>
      </c>
      <c r="P246" s="724" t="str">
        <f>IF(N246="na","na",IF(N246="TBD","TBD",IF($C246="na","na",((N246*Eqtn!$D$205)*($C246+Eqtn!$D$206)))))</f>
        <v>na</v>
      </c>
      <c r="R246" s="1062"/>
    </row>
    <row r="247" spans="1:18" ht="13.9" customHeight="1" x14ac:dyDescent="0.25">
      <c r="A247" s="1197">
        <f>Chem!A247</f>
        <v>245</v>
      </c>
      <c r="B247" s="887" t="str">
        <f>Chem!B247</f>
        <v>Pesticides</v>
      </c>
      <c r="C247" s="31"/>
      <c r="D247" s="31"/>
      <c r="E247" s="31"/>
      <c r="F247" s="31"/>
      <c r="G247" s="31"/>
      <c r="H247" s="259"/>
      <c r="I247" s="31"/>
      <c r="J247" s="31"/>
      <c r="K247" s="31"/>
      <c r="L247" s="31"/>
      <c r="M247" s="31"/>
      <c r="N247" s="31"/>
      <c r="O247" s="31"/>
      <c r="P247" s="648"/>
      <c r="Q247" s="129"/>
      <c r="R247" s="1063"/>
    </row>
    <row r="248" spans="1:18" ht="13.9" customHeight="1" x14ac:dyDescent="0.25">
      <c r="A248" s="846">
        <f>Chem!A248</f>
        <v>246</v>
      </c>
      <c r="B248" s="890" t="str">
        <f>Chem!B248</f>
        <v>Aldrin</v>
      </c>
      <c r="C248" s="652">
        <f>Param!F248</f>
        <v>48.7</v>
      </c>
      <c r="D248" s="652">
        <f>Param!M248</f>
        <v>8.0803289362288205E-5</v>
      </c>
      <c r="E248" s="458">
        <f>PW!O248</f>
        <v>2.5735294117647054E-3</v>
      </c>
      <c r="F248" s="458">
        <f>IF(E248="na","na",IF($C248="na","na",(E248*Eqtn!$D$202*($C248+Eqtn!$D$203+(Eqtn!$D$204*$D248)))))</f>
        <v>2.5169121251519279E-3</v>
      </c>
      <c r="G248" s="458">
        <f>IF(E248="na","na",IF($C248="na","na",((E248*Eqtn!$D$205)*($C248+Eqtn!$D$206))))</f>
        <v>1.260686274509804E-4</v>
      </c>
      <c r="H248" s="254">
        <f>SW!R248</f>
        <v>4.1000000000000003E-8</v>
      </c>
      <c r="I248" s="621">
        <f>IF(H248="na","na",IF($C248="na","na",(H248*Eqtn!$D$202*($C248+Eqtn!$D$203+(Eqtn!$D$204*$D248)))))</f>
        <v>4.0098005742420439E-8</v>
      </c>
      <c r="J248" s="621">
        <f>IF(H248="na","na",IF($C248="na","na",((H248*Eqtn!$D$205)*($C248+Eqtn!$D$206))))</f>
        <v>2.0084533333333337E-9</v>
      </c>
      <c r="K248" s="653">
        <f>Partit!E248</f>
        <v>1.0800268100772856E-4</v>
      </c>
      <c r="L248" s="653">
        <f>IF(K248="na","na",IF(K248="TBD","TBD",IF($C248="na","na",(K248*Eqtn!$D$202*($C248+Eqtn!$D$203+(Eqtn!$D$204*$D248))))))</f>
        <v>1.0562663715230983E-4</v>
      </c>
      <c r="M248" s="653">
        <f>IF(K248="na","na",IF(K248="TBD","TBD",IF($C248="na","na",((K248*Eqtn!$D$205)*($C248+Eqtn!$D$206)))))</f>
        <v>5.2906913336319304E-6</v>
      </c>
      <c r="N248" s="721"/>
      <c r="O248" s="721">
        <f>IF(N248="na","na",IF(N248="TBD","TBD",IF($C248="na","na",(N248*Eqtn!$D$202*($C248+Eqtn!$D$203+(Eqtn!$D$204*$D248))))))</f>
        <v>0</v>
      </c>
      <c r="P248" s="722">
        <f>IF(N248="na","na",IF(N248="TBD","TBD",IF($C248="na","na",((N248*Eqtn!$D$205)*($C248+Eqtn!$D$206)))))</f>
        <v>0</v>
      </c>
      <c r="R248" s="1062"/>
    </row>
    <row r="249" spans="1:18" ht="13.9" customHeight="1" x14ac:dyDescent="0.25">
      <c r="A249" s="846">
        <f>Chem!A249</f>
        <v>247</v>
      </c>
      <c r="B249" s="891" t="str">
        <f>Chem!B249</f>
        <v>alpha-BHC (alpha-HCH)</v>
      </c>
      <c r="C249" s="423">
        <f>Param!F249</f>
        <v>1.76</v>
      </c>
      <c r="D249" s="423">
        <f>Param!M249</f>
        <v>2.7391659852820901E-4</v>
      </c>
      <c r="E249" s="461">
        <f>PW!O249</f>
        <v>1.3888888888888886E-2</v>
      </c>
      <c r="F249" s="461">
        <f>IF(E249="na","na",IF($C249="na","na",(E249*Eqtn!$D$202*($C249+Eqtn!$D$203+(Eqtn!$D$204*$D249)))))</f>
        <v>5.444510387329274E-4</v>
      </c>
      <c r="G249" s="461">
        <f>IF(E249="na","na",IF($C249="na","na",((E249*Eqtn!$D$205)*($C249+Eqtn!$D$206))))</f>
        <v>2.8425925925925921E-5</v>
      </c>
      <c r="H249" s="221">
        <f>SW!R249</f>
        <v>4.8000000000000001E-5</v>
      </c>
      <c r="I249" s="289">
        <f>IF(H249="na","na",IF($C249="na","na",(H249*Eqtn!$D$202*($C249+Eqtn!$D$203+(Eqtn!$D$204*$D249)))))</f>
        <v>1.8816227898609979E-6</v>
      </c>
      <c r="J249" s="289">
        <f>IF(H249="na","na",IF($C249="na","na",((H249*Eqtn!$D$205)*($C249+Eqtn!$D$206))))</f>
        <v>9.8240000000000011E-8</v>
      </c>
      <c r="K249" s="584" t="str">
        <f>Partit!E249</f>
        <v>na</v>
      </c>
      <c r="L249" s="584" t="str">
        <f>IF(K249="na","na",IF(K249="TBD","TBD",IF($C249="na","na",(K249*Eqtn!$D$202*($C249+Eqtn!$D$203+(Eqtn!$D$204*$D249))))))</f>
        <v>na</v>
      </c>
      <c r="M249" s="584" t="str">
        <f>IF(K249="na","na",IF(K249="TBD","TBD",IF($C249="na","na",((K249*Eqtn!$D$205)*($C249+Eqtn!$D$206)))))</f>
        <v>na</v>
      </c>
      <c r="N249" s="348"/>
      <c r="O249" s="348">
        <f>IF(N249="na","na",IF(N249="TBD","TBD",IF($C249="na","na",(N249*Eqtn!$D$202*($C249+Eqtn!$D$203+(Eqtn!$D$204*$D249))))))</f>
        <v>0</v>
      </c>
      <c r="P249" s="367">
        <f>IF(N249="na","na",IF(N249="TBD","TBD",IF($C249="na","na",((N249*Eqtn!$D$205)*($C249+Eqtn!$D$206)))))</f>
        <v>0</v>
      </c>
      <c r="R249" s="1062"/>
    </row>
    <row r="250" spans="1:18" ht="13.9" customHeight="1" x14ac:dyDescent="0.25">
      <c r="A250" s="846">
        <f>Chem!A250</f>
        <v>248</v>
      </c>
      <c r="B250" s="891" t="str">
        <f>Chem!B250</f>
        <v>beta-BHC (beta-HCH)</v>
      </c>
      <c r="C250" s="423">
        <f>Param!F250</f>
        <v>2.14</v>
      </c>
      <c r="D250" s="423">
        <f>Param!M250</f>
        <v>1.7988552739166E-5</v>
      </c>
      <c r="E250" s="461">
        <f>PW!O250</f>
        <v>4.8611111111111098E-2</v>
      </c>
      <c r="F250" s="461">
        <f>IF(E250="na","na",IF($C250="na","na",(E250*Eqtn!$D$202*($C250+Eqtn!$D$203+(Eqtn!$D$204*$D250)))))</f>
        <v>2.2750015157021286E-3</v>
      </c>
      <c r="G250" s="461">
        <f>IF(E250="na","na",IF($C250="na","na",((E250*Eqtn!$D$205)*($C250+Eqtn!$D$206))))</f>
        <v>1.1796296296296294E-4</v>
      </c>
      <c r="H250" s="221">
        <f>SW!R250</f>
        <v>1.4E-3</v>
      </c>
      <c r="I250" s="289">
        <f>IF(H250="na","na",IF($C250="na","na",(H250*Eqtn!$D$202*($C250+Eqtn!$D$203+(Eqtn!$D$204*$D250)))))</f>
        <v>6.5520043652221319E-5</v>
      </c>
      <c r="J250" s="289">
        <f>IF(H250="na","na",IF($C250="na","na",((H250*Eqtn!$D$205)*($C250+Eqtn!$D$206))))</f>
        <v>3.3973333333333335E-6</v>
      </c>
      <c r="K250" s="584" t="str">
        <f>Partit!E250</f>
        <v>na</v>
      </c>
      <c r="L250" s="584" t="str">
        <f>IF(K250="na","na",IF(K250="TBD","TBD",IF($C250="na","na",(K250*Eqtn!$D$202*($C250+Eqtn!$D$203+(Eqtn!$D$204*$D250))))))</f>
        <v>na</v>
      </c>
      <c r="M250" s="584" t="str">
        <f>IF(K250="na","na",IF(K250="TBD","TBD",IF($C250="na","na",((K250*Eqtn!$D$205)*($C250+Eqtn!$D$206)))))</f>
        <v>na</v>
      </c>
      <c r="N250" s="348"/>
      <c r="O250" s="348">
        <f>IF(N250="na","na",IF(N250="TBD","TBD",IF($C250="na","na",(N250*Eqtn!$D$202*($C250+Eqtn!$D$203+(Eqtn!$D$204*$D250))))))</f>
        <v>0</v>
      </c>
      <c r="P250" s="367">
        <f>IF(N250="na","na",IF(N250="TBD","TBD",IF($C250="na","na",((N250*Eqtn!$D$205)*($C250+Eqtn!$D$206)))))</f>
        <v>0</v>
      </c>
      <c r="R250" s="1062"/>
    </row>
    <row r="251" spans="1:18" ht="13.9" customHeight="1" x14ac:dyDescent="0.25">
      <c r="A251" s="846">
        <f>Chem!A251</f>
        <v>249</v>
      </c>
      <c r="B251" s="891" t="str">
        <f>Chem!B251</f>
        <v>delta-BHC (delta-HCH)</v>
      </c>
      <c r="C251" s="423">
        <f>Param!F251</f>
        <v>2.81</v>
      </c>
      <c r="D251" s="423">
        <f>Param!M251</f>
        <v>2.1000000000000001E-4</v>
      </c>
      <c r="E251" s="461">
        <f>PW!O251</f>
        <v>9.5999999999999992E-4</v>
      </c>
      <c r="F251" s="461">
        <f>IF(E251="na","na",IF($C251="na","na",(E251*Eqtn!$D$202*($C251+Eqtn!$D$203+(Eqtn!$D$204*$D251)))))</f>
        <v>5.7792349439999999E-5</v>
      </c>
      <c r="G251" s="461">
        <f>IF(E251="na","na",IF($C251="na","na",((E251*Eqtn!$D$205)*($C251+Eqtn!$D$206))))</f>
        <v>2.9727999999999997E-6</v>
      </c>
      <c r="H251" s="221" t="str">
        <f>SW!R251</f>
        <v>na</v>
      </c>
      <c r="I251" s="289" t="str">
        <f>IF(H251="na","na",IF($C251="na","na",(H251*Eqtn!$D$202*($C251+Eqtn!$D$203+(Eqtn!$D$204*$D251)))))</f>
        <v>na</v>
      </c>
      <c r="J251" s="289" t="str">
        <f>IF(H251="na","na",IF($C251="na","na",((H251*Eqtn!$D$205)*($C251+Eqtn!$D$206))))</f>
        <v>na</v>
      </c>
      <c r="K251" s="584" t="str">
        <f>Partit!E251</f>
        <v>na</v>
      </c>
      <c r="L251" s="584" t="str">
        <f>IF(K251="na","na",IF(K251="TBD","TBD",IF($C251="na","na",(K251*Eqtn!$D$202*($C251+Eqtn!$D$203+(Eqtn!$D$204*$D251))))))</f>
        <v>na</v>
      </c>
      <c r="M251" s="584" t="str">
        <f>IF(K251="na","na",IF(K251="TBD","TBD",IF($C251="na","na",((K251*Eqtn!$D$205)*($C251+Eqtn!$D$206)))))</f>
        <v>na</v>
      </c>
      <c r="N251" s="348"/>
      <c r="O251" s="348">
        <f>IF(N251="na","na",IF(N251="TBD","TBD",IF($C251="na","na",(N251*Eqtn!$D$202*($C251+Eqtn!$D$203+(Eqtn!$D$204*$D251))))))</f>
        <v>0</v>
      </c>
      <c r="P251" s="367">
        <f>IF(N251="na","na",IF(N251="TBD","TBD",IF($C251="na","na",((N251*Eqtn!$D$205)*($C251+Eqtn!$D$206)))))</f>
        <v>0</v>
      </c>
      <c r="R251" s="1062"/>
    </row>
    <row r="252" spans="1:18" ht="13.9" customHeight="1" x14ac:dyDescent="0.25">
      <c r="A252" s="846">
        <f>Chem!A252</f>
        <v>250</v>
      </c>
      <c r="B252" s="891" t="str">
        <f>Chem!B252</f>
        <v>Carbaryl</v>
      </c>
      <c r="C252" s="423">
        <f>Param!F252</f>
        <v>0.3548</v>
      </c>
      <c r="D252" s="423">
        <f>Param!M252</f>
        <v>1.3368765331152899E-7</v>
      </c>
      <c r="E252" s="461">
        <f>PW!O252</f>
        <v>1600</v>
      </c>
      <c r="F252" s="461">
        <f>IF(E252="na","na",IF($C252="na","na",(E252*Eqtn!$D$202*($C252+Eqtn!$D$203+(Eqtn!$D$204*$D252)))))</f>
        <v>17.753600370760424</v>
      </c>
      <c r="G252" s="461">
        <f>IF(E252="na","na",IF($C252="na","na",((E252*Eqtn!$D$205)*($C252+Eqtn!$D$206))))</f>
        <v>1.0263466666666667</v>
      </c>
      <c r="H252" s="221">
        <f>SW!R252</f>
        <v>1.6</v>
      </c>
      <c r="I252" s="289">
        <f>IF(H252="na","na",IF($C252="na","na",(H252*Eqtn!$D$202*($C252+Eqtn!$D$203+(Eqtn!$D$204*$D252)))))</f>
        <v>1.7753600370760424E-2</v>
      </c>
      <c r="J252" s="289">
        <f>IF(H252="na","na",IF($C252="na","na",((H252*Eqtn!$D$205)*($C252+Eqtn!$D$206))))</f>
        <v>1.0263466666666666E-3</v>
      </c>
      <c r="K252" s="584" t="str">
        <f>Partit!E252</f>
        <v>na</v>
      </c>
      <c r="L252" s="584" t="str">
        <f>IF(K252="na","na",IF(K252="TBD","TBD",IF($C252="na","na",(K252*Eqtn!$D$202*($C252+Eqtn!$D$203+(Eqtn!$D$204*$D252))))))</f>
        <v>na</v>
      </c>
      <c r="M252" s="584" t="str">
        <f>IF(K252="na","na",IF(K252="TBD","TBD",IF($C252="na","na",((K252*Eqtn!$D$205)*($C252+Eqtn!$D$206)))))</f>
        <v>na</v>
      </c>
      <c r="N252" s="348"/>
      <c r="O252" s="348">
        <f>IF(N252="na","na",IF(N252="TBD","TBD",IF($C252="na","na",(N252*Eqtn!$D$202*($C252+Eqtn!$D$203+(Eqtn!$D$204*$D252))))))</f>
        <v>0</v>
      </c>
      <c r="P252" s="367">
        <f>IF(N252="na","na",IF(N252="TBD","TBD",IF($C252="na","na",((N252*Eqtn!$D$205)*($C252+Eqtn!$D$206)))))</f>
        <v>0</v>
      </c>
      <c r="R252" s="1062"/>
    </row>
    <row r="253" spans="1:18" ht="13.9" customHeight="1" x14ac:dyDescent="0.25">
      <c r="A253" s="846">
        <f>Chem!A253</f>
        <v>251</v>
      </c>
      <c r="B253" s="891" t="str">
        <f>Chem!B253</f>
        <v>cis-Chlordane (alpha)</v>
      </c>
      <c r="C253" s="423">
        <f>Param!F253</f>
        <v>67.5</v>
      </c>
      <c r="D253" s="423">
        <f>Param!M253</f>
        <v>1.9869174161896998E-3</v>
      </c>
      <c r="E253" s="461">
        <f>PW!O253</f>
        <v>4</v>
      </c>
      <c r="F253" s="461">
        <f>IF(E253="na","na",IF($C253="na","na",(E253*Eqtn!$D$202*($C253+Eqtn!$D$203+(Eqtn!$D$204*$D253)))))</f>
        <v>5.416013775960753</v>
      </c>
      <c r="G253" s="461">
        <f>IF(E253="na","na",IF($C253="na","na",((E253*Eqtn!$D$205)*($C253+Eqtn!$D$206))))</f>
        <v>0.27114666666666665</v>
      </c>
      <c r="H253" s="221" t="str">
        <f>SW!R253</f>
        <v>na</v>
      </c>
      <c r="I253" s="289" t="str">
        <f>IF(H253="na","na",IF($C253="na","na",(H253*Eqtn!$D$202*($C253+Eqtn!$D$203+(Eqtn!$D$204*$D253)))))</f>
        <v>na</v>
      </c>
      <c r="J253" s="289" t="str">
        <f>IF(H253="na","na",IF($C253="na","na",((H253*Eqtn!$D$205)*($C253+Eqtn!$D$206))))</f>
        <v>na</v>
      </c>
      <c r="K253" s="584">
        <f>Partit!E253</f>
        <v>7.7936069500636102E-5</v>
      </c>
      <c r="L253" s="584">
        <f>IF(K253="na","na",IF(K253="TBD","TBD",IF($C253="na","na",(K253*Eqtn!$D$202*($C253+Eqtn!$D$203+(Eqtn!$D$204*$D253))))))</f>
        <v>1.0552570651491995E-4</v>
      </c>
      <c r="M253" s="584">
        <f>IF(K253="na","na",IF(K253="TBD","TBD",IF($C253="na","na",((K253*Eqtn!$D$205)*($C253+Eqtn!$D$206)))))</f>
        <v>5.2830263645497858E-6</v>
      </c>
      <c r="N253" s="348"/>
      <c r="O253" s="348">
        <f>IF(N253="na","na",IF(N253="TBD","TBD",IF($C253="na","na",(N253*Eqtn!$D$202*($C253+Eqtn!$D$203+(Eqtn!$D$204*$D253))))))</f>
        <v>0</v>
      </c>
      <c r="P253" s="367">
        <f>IF(N253="na","na",IF(N253="TBD","TBD",IF($C253="na","na",((N253*Eqtn!$D$205)*($C253+Eqtn!$D$206)))))</f>
        <v>0</v>
      </c>
      <c r="R253" s="1062"/>
    </row>
    <row r="254" spans="1:18" ht="13.9" customHeight="1" x14ac:dyDescent="0.25">
      <c r="A254" s="846">
        <f>Chem!A254</f>
        <v>252</v>
      </c>
      <c r="B254" s="891" t="str">
        <f>Chem!B254</f>
        <v>trans-Chlordane (gamma)</v>
      </c>
      <c r="C254" s="423">
        <f>Param!F254</f>
        <v>67.5</v>
      </c>
      <c r="D254" s="423">
        <f>Param!M254</f>
        <v>1.9869174161896998E-3</v>
      </c>
      <c r="E254" s="461">
        <f>PW!O254</f>
        <v>4</v>
      </c>
      <c r="F254" s="461">
        <f>IF(E254="na","na",IF($C254="na","na",(E254*Eqtn!$D$202*($C254+Eqtn!$D$203+(Eqtn!$D$204*$D254)))))</f>
        <v>5.416013775960753</v>
      </c>
      <c r="G254" s="461">
        <f>IF(E254="na","na",IF($C254="na","na",((E254*Eqtn!$D$205)*($C254+Eqtn!$D$206))))</f>
        <v>0.27114666666666665</v>
      </c>
      <c r="H254" s="221" t="str">
        <f>SW!R254</f>
        <v>na</v>
      </c>
      <c r="I254" s="289" t="str">
        <f>IF(H254="na","na",IF($C254="na","na",(H254*Eqtn!$D$202*($C254+Eqtn!$D$203+(Eqtn!$D$204*$D254)))))</f>
        <v>na</v>
      </c>
      <c r="J254" s="289" t="str">
        <f>IF(H254="na","na",IF($C254="na","na",((H254*Eqtn!$D$205)*($C254+Eqtn!$D$206))))</f>
        <v>na</v>
      </c>
      <c r="K254" s="584">
        <f>Partit!E254</f>
        <v>7.7936069500636102E-5</v>
      </c>
      <c r="L254" s="584">
        <f>IF(K254="na","na",IF(K254="TBD","TBD",IF($C254="na","na",(K254*Eqtn!$D$202*($C254+Eqtn!$D$203+(Eqtn!$D$204*$D254))))))</f>
        <v>1.0552570651491995E-4</v>
      </c>
      <c r="M254" s="584">
        <f>IF(K254="na","na",IF(K254="TBD","TBD",IF($C254="na","na",((K254*Eqtn!$D$205)*($C254+Eqtn!$D$206)))))</f>
        <v>5.2830263645497858E-6</v>
      </c>
      <c r="N254" s="348"/>
      <c r="O254" s="348">
        <f>IF(N254="na","na",IF(N254="TBD","TBD",IF($C254="na","na",(N254*Eqtn!$D$202*($C254+Eqtn!$D$203+(Eqtn!$D$204*$D254))))))</f>
        <v>0</v>
      </c>
      <c r="P254" s="367">
        <f>IF(N254="na","na",IF(N254="TBD","TBD",IF($C254="na","na",((N254*Eqtn!$D$205)*($C254+Eqtn!$D$206)))))</f>
        <v>0</v>
      </c>
      <c r="R254" s="1062"/>
    </row>
    <row r="255" spans="1:18" ht="13.9" customHeight="1" x14ac:dyDescent="0.25">
      <c r="A255" s="846">
        <f>Chem!A255</f>
        <v>253</v>
      </c>
      <c r="B255" s="891" t="str">
        <f>Chem!B255</f>
        <v>Chlordane</v>
      </c>
      <c r="C255" s="423">
        <f>Param!F255</f>
        <v>51.300000000000004</v>
      </c>
      <c r="D255" s="423">
        <f>Param!M255</f>
        <v>2.0096832107777726E-4</v>
      </c>
      <c r="E255" s="461">
        <f>PW!O255</f>
        <v>1.2499999999999998</v>
      </c>
      <c r="F255" s="461">
        <f>IF(E255="na","na",IF($C255="na","na",(E255*Eqtn!$D$202*($C255+Eqtn!$D$203+(Eqtn!$D$204*$D255)))))</f>
        <v>1.2875004354313622</v>
      </c>
      <c r="G255" s="461">
        <f>IF(E255="na","na",IF($C255="na","na",((E255*Eqtn!$D$205)*($C255+Eqtn!$D$206))))</f>
        <v>6.4483333333333337E-2</v>
      </c>
      <c r="H255" s="221">
        <f>SW!R255</f>
        <v>2.1999999999999999E-5</v>
      </c>
      <c r="I255" s="289">
        <f>IF(H255="na","na",IF($C255="na","na",(H255*Eqtn!$D$202*($C255+Eqtn!$D$203+(Eqtn!$D$204*$D255)))))</f>
        <v>2.266000766359198E-5</v>
      </c>
      <c r="J255" s="289">
        <f>IF(H255="na","na",IF($C255="na","na",((H255*Eqtn!$D$205)*($C255+Eqtn!$D$206))))</f>
        <v>1.1349066666666668E-6</v>
      </c>
      <c r="K255" s="584">
        <f>Partit!E255</f>
        <v>5.7588917668763724</v>
      </c>
      <c r="L255" s="584">
        <f>IF(K255="na","na",IF(K255="TBD","TBD",IF($C255="na","na",(K255*Eqtn!$D$202*($C255+Eqtn!$D$203+(Eqtn!$D$204*$D255))))))</f>
        <v>5.9316605259643342</v>
      </c>
      <c r="M255" s="584">
        <f>IF(K255="na","na",IF(K255="TBD","TBD",IF($C255="na","na",((K255*Eqtn!$D$205)*($C255+Eqtn!$D$206)))))</f>
        <v>0.29708202994726252</v>
      </c>
      <c r="N255" s="348"/>
      <c r="O255" s="348">
        <f>IF(N255="na","na",IF(N255="TBD","TBD",IF($C255="na","na",(N255*Eqtn!$D$202*($C255+Eqtn!$D$203+(Eqtn!$D$204*$D255))))))</f>
        <v>0</v>
      </c>
      <c r="P255" s="367">
        <f>IF(N255="na","na",IF(N255="TBD","TBD",IF($C255="na","na",((N255*Eqtn!$D$205)*($C255+Eqtn!$D$206)))))</f>
        <v>0</v>
      </c>
      <c r="R255" s="1062"/>
    </row>
    <row r="256" spans="1:18" ht="13.9" customHeight="1" x14ac:dyDescent="0.25">
      <c r="A256" s="846">
        <f>Chem!A256</f>
        <v>254</v>
      </c>
      <c r="B256" s="891" t="str">
        <f>Chem!B256</f>
        <v>Chlorpyrifos</v>
      </c>
      <c r="C256" s="423">
        <f>Param!F256</f>
        <v>7.28</v>
      </c>
      <c r="D256" s="423">
        <f>Param!M256</f>
        <v>1.1978740801308301E-4</v>
      </c>
      <c r="E256" s="461">
        <f>PW!O256</f>
        <v>16</v>
      </c>
      <c r="F256" s="461">
        <f>IF(E256="na","na",IF($C256="na","na",(E256*Eqtn!$D$202*($C256+Eqtn!$D$203+(Eqtn!$D$204*$D256)))))</f>
        <v>2.393603322104116</v>
      </c>
      <c r="G256" s="461">
        <f>IF(E256="na","na",IF($C256="na","na",((E256*Eqtn!$D$205)*($C256+Eqtn!$D$206))))</f>
        <v>0.12106666666666668</v>
      </c>
      <c r="H256" s="221">
        <f>SW!R256</f>
        <v>5.5999999999999999E-3</v>
      </c>
      <c r="I256" s="289">
        <f>IF(H256="na","na",IF($C256="na","na",(H256*Eqtn!$D$202*($C256+Eqtn!$D$203+(Eqtn!$D$204*$D256)))))</f>
        <v>8.3776116273644044E-4</v>
      </c>
      <c r="J256" s="289">
        <f>IF(H256="na","na",IF($C256="na","na",((H256*Eqtn!$D$205)*($C256+Eqtn!$D$206))))</f>
        <v>4.2373333333333336E-5</v>
      </c>
      <c r="K256" s="584" t="str">
        <f>Partit!E256</f>
        <v>na</v>
      </c>
      <c r="L256" s="584" t="str">
        <f>IF(K256="na","na",IF(K256="TBD","TBD",IF($C256="na","na",(K256*Eqtn!$D$202*($C256+Eqtn!$D$203+(Eqtn!$D$204*$D256))))))</f>
        <v>na</v>
      </c>
      <c r="M256" s="584" t="str">
        <f>IF(K256="na","na",IF(K256="TBD","TBD",IF($C256="na","na",((K256*Eqtn!$D$205)*($C256+Eqtn!$D$206)))))</f>
        <v>na</v>
      </c>
      <c r="N256" s="348"/>
      <c r="O256" s="348">
        <f>IF(N256="na","na",IF(N256="TBD","TBD",IF($C256="na","na",(N256*Eqtn!$D$202*($C256+Eqtn!$D$203+(Eqtn!$D$204*$D256))))))</f>
        <v>0</v>
      </c>
      <c r="P256" s="367">
        <f>IF(N256="na","na",IF(N256="TBD","TBD",IF($C256="na","na",((N256*Eqtn!$D$205)*($C256+Eqtn!$D$206)))))</f>
        <v>0</v>
      </c>
      <c r="R256" s="1062"/>
    </row>
    <row r="257" spans="1:18" ht="13.9" customHeight="1" x14ac:dyDescent="0.25">
      <c r="A257" s="846">
        <f>Chem!A257</f>
        <v>255</v>
      </c>
      <c r="B257" s="891" t="str">
        <f>Chem!B257</f>
        <v>4,4'-DDD</v>
      </c>
      <c r="C257" s="423">
        <f>Param!F257</f>
        <v>45.800000000000004</v>
      </c>
      <c r="D257" s="423">
        <f>Param!M257</f>
        <v>2.6982829108749E-4</v>
      </c>
      <c r="E257" s="461">
        <f>PW!O257</f>
        <v>0.36458333333333326</v>
      </c>
      <c r="F257" s="461">
        <f>IF(E257="na","na",IF($C257="na","na",(E257*Eqtn!$D$202*($C257+Eqtn!$D$203+(Eqtn!$D$204*$D257)))))</f>
        <v>0.33541683718315612</v>
      </c>
      <c r="G257" s="461">
        <f>IF(E257="na","na",IF($C257="na","na",((E257*Eqtn!$D$205)*($C257+Eqtn!$D$206))))</f>
        <v>1.6802430555555553E-2</v>
      </c>
      <c r="H257" s="221">
        <f>SW!R257</f>
        <v>7.9000000000000006E-6</v>
      </c>
      <c r="I257" s="289">
        <f>IF(H257="na","na",IF($C257="na","na",(H257*Eqtn!$D$202*($C257+Eqtn!$D$203+(Eqtn!$D$204*$D257)))))</f>
        <v>7.2680036948487344E-6</v>
      </c>
      <c r="J257" s="289">
        <f>IF(H257="na","na",IF($C257="na","na",((H257*Eqtn!$D$205)*($C257+Eqtn!$D$206))))</f>
        <v>3.6408466666666676E-7</v>
      </c>
      <c r="K257" s="584" t="str">
        <f>Partit!E257</f>
        <v>na</v>
      </c>
      <c r="L257" s="584" t="str">
        <f>IF(K257="na","na",IF(K257="TBD","TBD",IF($C257="na","na",(K257*Eqtn!$D$202*($C257+Eqtn!$D$203+(Eqtn!$D$204*$D257))))))</f>
        <v>na</v>
      </c>
      <c r="M257" s="584" t="str">
        <f>IF(K257="na","na",IF(K257="TBD","TBD",IF($C257="na","na",((K257*Eqtn!$D$205)*($C257+Eqtn!$D$206)))))</f>
        <v>na</v>
      </c>
      <c r="N257" s="348"/>
      <c r="O257" s="348">
        <f>IF(N257="na","na",IF(N257="TBD","TBD",IF($C257="na","na",(N257*Eqtn!$D$202*($C257+Eqtn!$D$203+(Eqtn!$D$204*$D257))))))</f>
        <v>0</v>
      </c>
      <c r="P257" s="367">
        <f>IF(N257="na","na",IF(N257="TBD","TBD",IF($C257="na","na",((N257*Eqtn!$D$205)*($C257+Eqtn!$D$206)))))</f>
        <v>0</v>
      </c>
      <c r="R257" s="1062"/>
    </row>
    <row r="258" spans="1:18" ht="13.9" customHeight="1" x14ac:dyDescent="0.25">
      <c r="A258" s="846">
        <f>Chem!A258</f>
        <v>256</v>
      </c>
      <c r="B258" s="891" t="str">
        <f>Chem!B258</f>
        <v>4,4'-DDE</v>
      </c>
      <c r="C258" s="423">
        <f>Param!F258</f>
        <v>86.4</v>
      </c>
      <c r="D258" s="423">
        <f>Param!M258</f>
        <v>4.3876594647787034E-4</v>
      </c>
      <c r="E258" s="461">
        <f>PW!O258</f>
        <v>0.12867647058823525</v>
      </c>
      <c r="F258" s="461">
        <f>IF(E258="na","na",IF($C258="na","na",(E258*Eqtn!$D$202*($C258+Eqtn!$D$203+(Eqtn!$D$204*$D258)))))</f>
        <v>0.22286774492083605</v>
      </c>
      <c r="G258" s="461">
        <f>IF(E258="na","na",IF($C258="na","na",((E258*Eqtn!$D$205)*($C258+Eqtn!$D$206))))</f>
        <v>1.1154534313725487E-2</v>
      </c>
      <c r="H258" s="221">
        <f>SW!R258</f>
        <v>8.8000000000000004E-7</v>
      </c>
      <c r="I258" s="289">
        <f>IF(H258="na","na",IF($C258="na","na",(H258*Eqtn!$D$202*($C258+Eqtn!$D$203+(Eqtn!$D$204*$D258)))))</f>
        <v>1.5241606692643239E-6</v>
      </c>
      <c r="J258" s="289">
        <f>IF(H258="na","na",IF($C258="na","na",((H258*Eqtn!$D$205)*($C258+Eqtn!$D$206))))</f>
        <v>7.6284266666666673E-8</v>
      </c>
      <c r="K258" s="584" t="str">
        <f>Partit!E258</f>
        <v>na</v>
      </c>
      <c r="L258" s="584" t="str">
        <f>IF(K258="na","na",IF(K258="TBD","TBD",IF($C258="na","na",(K258*Eqtn!$D$202*($C258+Eqtn!$D$203+(Eqtn!$D$204*$D258))))))</f>
        <v>na</v>
      </c>
      <c r="M258" s="584" t="str">
        <f>IF(K258="na","na",IF(K258="TBD","TBD",IF($C258="na","na",((K258*Eqtn!$D$205)*($C258+Eqtn!$D$206)))))</f>
        <v>na</v>
      </c>
      <c r="N258" s="348"/>
      <c r="O258" s="348">
        <f>IF(N258="na","na",IF(N258="TBD","TBD",IF($C258="na","na",(N258*Eqtn!$D$202*($C258+Eqtn!$D$203+(Eqtn!$D$204*$D258))))))</f>
        <v>0</v>
      </c>
      <c r="P258" s="367">
        <f>IF(N258="na","na",IF(N258="TBD","TBD",IF($C258="na","na",((N258*Eqtn!$D$205)*($C258+Eqtn!$D$206)))))</f>
        <v>0</v>
      </c>
      <c r="R258" s="1062"/>
    </row>
    <row r="259" spans="1:18" ht="13.9" customHeight="1" x14ac:dyDescent="0.25">
      <c r="A259" s="846">
        <f>Chem!A259</f>
        <v>257</v>
      </c>
      <c r="B259" s="891" t="str">
        <f>Chem!B259</f>
        <v>4,4'-DDT</v>
      </c>
      <c r="C259" s="423">
        <f>Param!F259</f>
        <v>678</v>
      </c>
      <c r="D259" s="423">
        <f>Param!M259</f>
        <v>1.2769125405958403E-4</v>
      </c>
      <c r="E259" s="461">
        <f>PW!O259</f>
        <v>0.25735294117647051</v>
      </c>
      <c r="F259" s="461">
        <f>IF(E259="na","na",IF($C259="na","na",(E259*Eqtn!$D$202*($C259+Eqtn!$D$203+(Eqtn!$D$204*$D259)))))</f>
        <v>3.4907353510779604</v>
      </c>
      <c r="G259" s="461">
        <f>IF(E259="na","na",IF($C259="na","na",((E259*Eqtn!$D$205)*($C259+Eqtn!$D$206))))</f>
        <v>0.17455906862745091</v>
      </c>
      <c r="H259" s="221">
        <f>SW!R259</f>
        <v>1.1999999999999999E-6</v>
      </c>
      <c r="I259" s="289">
        <f>IF(H259="na","na",IF($C259="na","na",(H259*Eqtn!$D$202*($C259+Eqtn!$D$203+(Eqtn!$D$204*$D259)))))</f>
        <v>1.6276800265597809E-5</v>
      </c>
      <c r="J259" s="289">
        <f>IF(H259="na","na",IF($C259="na","na",((H259*Eqtn!$D$205)*($C259+Eqtn!$D$206))))</f>
        <v>8.13944E-7</v>
      </c>
      <c r="K259" s="584">
        <f>Partit!E259</f>
        <v>7.7624064373179981E-6</v>
      </c>
      <c r="L259" s="584">
        <f>IF(K259="na","na",IF(K259="TBD","TBD",IF($C259="na","na",(K259*Eqtn!$D$202*($C259+Eqtn!$D$203+(Eqtn!$D$204*$D259))))))</f>
        <v>1.0528928263384645E-4</v>
      </c>
      <c r="M259" s="584">
        <f>IF(K259="na","na",IF(K259="TBD","TBD",IF($C259="na","na",((K259*Eqtn!$D$205)*($C259+Eqtn!$D$206)))))</f>
        <v>5.2651367876802999E-6</v>
      </c>
      <c r="N259" s="348"/>
      <c r="O259" s="348">
        <f>IF(N259="na","na",IF(N259="TBD","TBD",IF($C259="na","na",(N259*Eqtn!$D$202*($C259+Eqtn!$D$203+(Eqtn!$D$204*$D259))))))</f>
        <v>0</v>
      </c>
      <c r="P259" s="367">
        <f>IF(N259="na","na",IF(N259="TBD","TBD",IF($C259="na","na",((N259*Eqtn!$D$205)*($C259+Eqtn!$D$206)))))</f>
        <v>0</v>
      </c>
      <c r="R259" s="1062"/>
    </row>
    <row r="260" spans="1:18" ht="13.9" customHeight="1" x14ac:dyDescent="0.25">
      <c r="A260" s="846">
        <f>Chem!A260</f>
        <v>258</v>
      </c>
      <c r="B260" s="891" t="str">
        <f>Chem!B260</f>
        <v xml:space="preserve">Total DDD </v>
      </c>
      <c r="C260" s="423">
        <f>Param!F260</f>
        <v>45.800000000000004</v>
      </c>
      <c r="D260" s="423">
        <f>Param!M260</f>
        <v>2.6982829108749E-4</v>
      </c>
      <c r="E260" s="461">
        <f>PW!O260</f>
        <v>0.36458333333333326</v>
      </c>
      <c r="F260" s="461">
        <f>IF(E260="na","na",IF($C260="na","na",(E260*Eqtn!$D$202*($C260+Eqtn!$D$203+(Eqtn!$D$204*$D260)))))</f>
        <v>0.33541683718315612</v>
      </c>
      <c r="G260" s="461">
        <f>IF(E260="na","na",IF($C260="na","na",((E260*Eqtn!$D$205)*($C260+Eqtn!$D$206))))</f>
        <v>1.6802430555555553E-2</v>
      </c>
      <c r="H260" s="221">
        <f>SW!R260</f>
        <v>7.9000000000000006E-6</v>
      </c>
      <c r="I260" s="289">
        <f>IF(H260="na","na",IF($C260="na","na",(H260*Eqtn!$D$202*($C260+Eqtn!$D$203+(Eqtn!$D$204*$D260)))))</f>
        <v>7.2680036948487344E-6</v>
      </c>
      <c r="J260" s="289">
        <f>IF(H260="na","na",IF($C260="na","na",((H260*Eqtn!$D$205)*($C260+Eqtn!$D$206))))</f>
        <v>3.6408466666666676E-7</v>
      </c>
      <c r="K260" s="584" t="str">
        <f>Partit!E260</f>
        <v>na</v>
      </c>
      <c r="L260" s="584" t="str">
        <f>IF(K260="na","na",IF(K260="TBD","TBD",IF($C260="na","na",(K260*Eqtn!$D$202*($C260+Eqtn!$D$203+(Eqtn!$D$204*$D260))))))</f>
        <v>na</v>
      </c>
      <c r="M260" s="584" t="str">
        <f>IF(K260="na","na",IF(K260="TBD","TBD",IF($C260="na","na",((K260*Eqtn!$D$205)*($C260+Eqtn!$D$206)))))</f>
        <v>na</v>
      </c>
      <c r="N260" s="348"/>
      <c r="O260" s="348">
        <f>IF(N260="na","na",IF(N260="TBD","TBD",IF($C260="na","na",(N260*Eqtn!$D$202*($C260+Eqtn!$D$203+(Eqtn!$D$204*$D260))))))</f>
        <v>0</v>
      </c>
      <c r="P260" s="367">
        <f>IF(N260="na","na",IF(N260="TBD","TBD",IF($C260="na","na",((N260*Eqtn!$D$205)*($C260+Eqtn!$D$206)))))</f>
        <v>0</v>
      </c>
      <c r="R260" s="1062"/>
    </row>
    <row r="261" spans="1:18" ht="13.9" customHeight="1" x14ac:dyDescent="0.25">
      <c r="A261" s="846">
        <f>Chem!A261</f>
        <v>259</v>
      </c>
      <c r="B261" s="891" t="str">
        <f>Chem!B261</f>
        <v>Total DDE</v>
      </c>
      <c r="C261" s="423">
        <f>Param!F261</f>
        <v>86.4</v>
      </c>
      <c r="D261" s="423">
        <f>Param!M261</f>
        <v>4.3876594647787034E-4</v>
      </c>
      <c r="E261" s="461">
        <f>PW!O261</f>
        <v>0.12867647058823525</v>
      </c>
      <c r="F261" s="461">
        <f>IF(E261="na","na",IF($C261="na","na",(E261*Eqtn!$D$202*($C261+Eqtn!$D$203+(Eqtn!$D$204*$D261)))))</f>
        <v>0.22286774492083605</v>
      </c>
      <c r="G261" s="461">
        <f>IF(E261="na","na",IF($C261="na","na",((E261*Eqtn!$D$205)*($C261+Eqtn!$D$206))))</f>
        <v>1.1154534313725487E-2</v>
      </c>
      <c r="H261" s="221">
        <f>SW!R261</f>
        <v>8.8000000000000004E-7</v>
      </c>
      <c r="I261" s="289">
        <f>IF(H261="na","na",IF($C261="na","na",(H261*Eqtn!$D$202*($C261+Eqtn!$D$203+(Eqtn!$D$204*$D261)))))</f>
        <v>1.5241606692643239E-6</v>
      </c>
      <c r="J261" s="289">
        <f>IF(H261="na","na",IF($C261="na","na",((H261*Eqtn!$D$205)*($C261+Eqtn!$D$206))))</f>
        <v>7.6284266666666673E-8</v>
      </c>
      <c r="K261" s="584" t="str">
        <f>Partit!E261</f>
        <v>na</v>
      </c>
      <c r="L261" s="584" t="str">
        <f>IF(K261="na","na",IF(K261="TBD","TBD",IF($C261="na","na",(K261*Eqtn!$D$202*($C261+Eqtn!$D$203+(Eqtn!$D$204*$D261))))))</f>
        <v>na</v>
      </c>
      <c r="M261" s="584" t="str">
        <f>IF(K261="na","na",IF(K261="TBD","TBD",IF($C261="na","na",((K261*Eqtn!$D$205)*($C261+Eqtn!$D$206)))))</f>
        <v>na</v>
      </c>
      <c r="N261" s="348"/>
      <c r="O261" s="348">
        <f>IF(N261="na","na",IF(N261="TBD","TBD",IF($C261="na","na",(N261*Eqtn!$D$202*($C261+Eqtn!$D$203+(Eqtn!$D$204*$D261))))))</f>
        <v>0</v>
      </c>
      <c r="P261" s="367">
        <f>IF(N261="na","na",IF(N261="TBD","TBD",IF($C261="na","na",((N261*Eqtn!$D$205)*($C261+Eqtn!$D$206)))))</f>
        <v>0</v>
      </c>
      <c r="R261" s="1062"/>
    </row>
    <row r="262" spans="1:18" ht="13.9" customHeight="1" x14ac:dyDescent="0.25">
      <c r="A262" s="846">
        <f>Chem!A262</f>
        <v>260</v>
      </c>
      <c r="B262" s="891" t="str">
        <f>Chem!B262</f>
        <v>Total DDT</v>
      </c>
      <c r="C262" s="423">
        <f>Param!F262</f>
        <v>678</v>
      </c>
      <c r="D262" s="423">
        <f>Param!M262</f>
        <v>1.2769125405958403E-4</v>
      </c>
      <c r="E262" s="461">
        <f>PW!O262</f>
        <v>0.25735294117647051</v>
      </c>
      <c r="F262" s="461">
        <f>IF(E262="na","na",IF($C262="na","na",(E262*Eqtn!$D$202*($C262+Eqtn!$D$203+(Eqtn!$D$204*$D262)))))</f>
        <v>3.4907353510779604</v>
      </c>
      <c r="G262" s="461">
        <f>IF(E262="na","na",IF($C262="na","na",((E262*Eqtn!$D$205)*($C262+Eqtn!$D$206))))</f>
        <v>0.17455906862745091</v>
      </c>
      <c r="H262" s="221">
        <f>SW!R262</f>
        <v>1.1999999999999999E-6</v>
      </c>
      <c r="I262" s="289">
        <f>IF(H262="na","na",IF($C262="na","na",(H262*Eqtn!$D$202*($C262+Eqtn!$D$203+(Eqtn!$D$204*$D262)))))</f>
        <v>1.6276800265597809E-5</v>
      </c>
      <c r="J262" s="289">
        <f>IF(H262="na","na",IF($C262="na","na",((H262*Eqtn!$D$205)*($C262+Eqtn!$D$206))))</f>
        <v>8.13944E-7</v>
      </c>
      <c r="K262" s="584">
        <f>Partit!E262</f>
        <v>0.48860627258792722</v>
      </c>
      <c r="L262" s="584">
        <f>IF(K262="na","na",IF(K262="TBD","TBD",IF($C262="na","na",(K262*Eqtn!$D$202*($C262+Eqtn!$D$203+(Eqtn!$D$204*$D262))))))</f>
        <v>6.6274555895266083</v>
      </c>
      <c r="M262" s="584">
        <f>IF(K262="na","na",IF(K262="TBD","TBD",IF($C262="na","na",((K262*Eqtn!$D$205)*($C262+Eqtn!$D$206)))))</f>
        <v>0.33141511994608985</v>
      </c>
      <c r="N262" s="348"/>
      <c r="O262" s="348">
        <f>IF(N262="na","na",IF(N262="TBD","TBD",IF($C262="na","na",(N262*Eqtn!$D$202*($C262+Eqtn!$D$203+(Eqtn!$D$204*$D262))))))</f>
        <v>0</v>
      </c>
      <c r="P262" s="367">
        <f>IF(N262="na","na",IF(N262="TBD","TBD",IF($C262="na","na",((N262*Eqtn!$D$205)*($C262+Eqtn!$D$206)))))</f>
        <v>0</v>
      </c>
      <c r="R262" s="1062"/>
    </row>
    <row r="263" spans="1:18" ht="13.9" customHeight="1" x14ac:dyDescent="0.25">
      <c r="A263" s="846">
        <f>Chem!A263</f>
        <v>261</v>
      </c>
      <c r="B263" s="891" t="str">
        <f>Chem!B263</f>
        <v>Diazinon</v>
      </c>
      <c r="C263" s="423">
        <f>Param!F263</f>
        <v>3.0300000000000002</v>
      </c>
      <c r="D263" s="423">
        <f>Param!M263</f>
        <v>4.6197874080130802E-6</v>
      </c>
      <c r="E263" s="461">
        <f>PW!O263</f>
        <v>11.2</v>
      </c>
      <c r="F263" s="461">
        <f>IF(E263="na","na",IF($C263="na","na",(E263*Eqtn!$D$202*($C263+Eqtn!$D$203+(Eqtn!$D$204*$D263)))))</f>
        <v>0.72352008968547288</v>
      </c>
      <c r="G263" s="461">
        <f>IF(E263="na","na",IF($C263="na","na",((E263*Eqtn!$D$205)*($C263+Eqtn!$D$206))))</f>
        <v>3.7146666666666668E-2</v>
      </c>
      <c r="H263" s="221">
        <f>SW!R263</f>
        <v>0.82</v>
      </c>
      <c r="I263" s="289">
        <f>IF(H263="na","na",IF($C263="na","na",(H263*Eqtn!$D$202*($C263+Eqtn!$D$203+(Eqtn!$D$204*$D263)))))</f>
        <v>5.2972006566257834E-2</v>
      </c>
      <c r="J263" s="289">
        <f>IF(H263="na","na",IF($C263="na","na",((H263*Eqtn!$D$205)*($C263+Eqtn!$D$206))))</f>
        <v>2.7196666666666667E-3</v>
      </c>
      <c r="K263" s="584" t="str">
        <f>Partit!E263</f>
        <v>na</v>
      </c>
      <c r="L263" s="584" t="str">
        <f>IF(K263="na","na",IF(K263="TBD","TBD",IF($C263="na","na",(K263*Eqtn!$D$202*($C263+Eqtn!$D$203+(Eqtn!$D$204*$D263))))))</f>
        <v>na</v>
      </c>
      <c r="M263" s="584" t="str">
        <f>IF(K263="na","na",IF(K263="TBD","TBD",IF($C263="na","na",((K263*Eqtn!$D$205)*($C263+Eqtn!$D$206)))))</f>
        <v>na</v>
      </c>
      <c r="N263" s="348"/>
      <c r="O263" s="348">
        <f>IF(N263="na","na",IF(N263="TBD","TBD",IF($C263="na","na",(N263*Eqtn!$D$202*($C263+Eqtn!$D$203+(Eqtn!$D$204*$D263))))))</f>
        <v>0</v>
      </c>
      <c r="P263" s="367">
        <f>IF(N263="na","na",IF(N263="TBD","TBD",IF($C263="na","na",((N263*Eqtn!$D$205)*($C263+Eqtn!$D$206)))))</f>
        <v>0</v>
      </c>
      <c r="R263" s="1062"/>
    </row>
    <row r="264" spans="1:18" ht="13.9" customHeight="1" x14ac:dyDescent="0.25">
      <c r="A264" s="846">
        <f>Chem!A264</f>
        <v>262</v>
      </c>
      <c r="B264" s="891" t="str">
        <f>Chem!B264</f>
        <v>Dieldrin</v>
      </c>
      <c r="C264" s="423">
        <f>Param!F264</f>
        <v>25.5</v>
      </c>
      <c r="D264" s="423">
        <f>Param!M264</f>
        <v>8.7794244798464316E-5</v>
      </c>
      <c r="E264" s="461">
        <f>PW!O264</f>
        <v>5.4687499999999988E-3</v>
      </c>
      <c r="F264" s="461">
        <f>IF(E264="na","na",IF($C264="na","na",(E264*Eqtn!$D$202*($C264+Eqtn!$D$203+(Eqtn!$D$204*$D264)))))</f>
        <v>2.8109383322162782E-3</v>
      </c>
      <c r="G264" s="461">
        <f>IF(E264="na","na",IF($C264="na","na",((E264*Eqtn!$D$205)*($C264+Eqtn!$D$206))))</f>
        <v>1.410208333333333E-4</v>
      </c>
      <c r="H264" s="221">
        <f>SW!R264</f>
        <v>7.0000000000000005E-8</v>
      </c>
      <c r="I264" s="289">
        <f>IF(H264="na","na",IF($C264="na","na",(H264*Eqtn!$D$202*($C264+Eqtn!$D$203+(Eqtn!$D$204*$D264)))))</f>
        <v>3.5980010652368376E-8</v>
      </c>
      <c r="J264" s="289">
        <f>IF(H264="na","na",IF($C264="na","na",((H264*Eqtn!$D$205)*($C264+Eqtn!$D$206))))</f>
        <v>1.8050666666666668E-9</v>
      </c>
      <c r="K264" s="584">
        <f>Partit!E264</f>
        <v>2.0614181344165883E-4</v>
      </c>
      <c r="L264" s="584">
        <f>IF(K264="na","na",IF(K264="TBD","TBD",IF($C264="na","na",(K264*Eqtn!$D$202*($C264+Eqtn!$D$203+(Eqtn!$D$204*$D264))))))</f>
        <v>1.059569234789917E-4</v>
      </c>
      <c r="M264" s="584">
        <f>IF(K264="na","na",IF(K264="TBD","TBD",IF($C264="na","na",((K264*Eqtn!$D$205)*($C264+Eqtn!$D$206)))))</f>
        <v>5.3157102292822419E-6</v>
      </c>
      <c r="N264" s="348"/>
      <c r="O264" s="348">
        <f>IF(N264="na","na",IF(N264="TBD","TBD",IF($C264="na","na",(N264*Eqtn!$D$202*($C264+Eqtn!$D$203+(Eqtn!$D$204*$D264))))))</f>
        <v>0</v>
      </c>
      <c r="P264" s="367">
        <f>IF(N264="na","na",IF(N264="TBD","TBD",IF($C264="na","na",((N264*Eqtn!$D$205)*($C264+Eqtn!$D$206)))))</f>
        <v>0</v>
      </c>
      <c r="R264" s="1062"/>
    </row>
    <row r="265" spans="1:18" ht="13.9" customHeight="1" x14ac:dyDescent="0.25">
      <c r="A265" s="846">
        <f>Chem!A265</f>
        <v>263</v>
      </c>
      <c r="B265" s="891" t="str">
        <f>Chem!B265</f>
        <v>alpha-Endosulfan</v>
      </c>
      <c r="C265" s="423" t="str">
        <f>Param!F265</f>
        <v>na</v>
      </c>
      <c r="D265" s="423">
        <f>Param!M265</f>
        <v>7.0899999999999999E-6</v>
      </c>
      <c r="E265" s="461" t="str">
        <f>PW!O265</f>
        <v>na</v>
      </c>
      <c r="F265" s="461" t="str">
        <f>IF(E265="na","na",IF($C265="na","na",(E265*Eqtn!$D$202*($C265+Eqtn!$D$203+(Eqtn!$D$204*$D265)))))</f>
        <v>na</v>
      </c>
      <c r="G265" s="461" t="str">
        <f>IF(E265="na","na",IF($C265="na","na",((E265*Eqtn!$D$205)*($C265+Eqtn!$D$206))))</f>
        <v>na</v>
      </c>
      <c r="H265" s="221">
        <f>SW!R265</f>
        <v>8.6999999999999994E-3</v>
      </c>
      <c r="I265" s="289" t="str">
        <f>IF(H265="na","na",IF($C265="na","na",(H265*Eqtn!$D$202*($C265+Eqtn!$D$203+(Eqtn!$D$204*$D265)))))</f>
        <v>na</v>
      </c>
      <c r="J265" s="289" t="str">
        <f>IF(H265="na","na",IF($C265="na","na",((H265*Eqtn!$D$205)*($C265+Eqtn!$D$206))))</f>
        <v>na</v>
      </c>
      <c r="K265" s="584" t="str">
        <f>Partit!E265</f>
        <v>na</v>
      </c>
      <c r="L265" s="584" t="str">
        <f>IF(K265="na","na",IF(K265="TBD","TBD",IF($C265="na","na",(K265*Eqtn!$D$202*($C265+Eqtn!$D$203+(Eqtn!$D$204*$D265))))))</f>
        <v>na</v>
      </c>
      <c r="M265" s="584" t="str">
        <f>IF(K265="na","na",IF(K265="TBD","TBD",IF($C265="na","na",((K265*Eqtn!$D$205)*($C265+Eqtn!$D$206)))))</f>
        <v>na</v>
      </c>
      <c r="N265" s="348"/>
      <c r="O265" s="348" t="str">
        <f>IF(N265="na","na",IF(N265="TBD","TBD",IF($C265="na","na",(N265*Eqtn!$D$202*($C265+Eqtn!$D$203+(Eqtn!$D$204*$D265))))))</f>
        <v>na</v>
      </c>
      <c r="P265" s="367" t="str">
        <f>IF(N265="na","na",IF(N265="TBD","TBD",IF($C265="na","na",((N265*Eqtn!$D$205)*($C265+Eqtn!$D$206)))))</f>
        <v>na</v>
      </c>
      <c r="R265" s="1062"/>
    </row>
    <row r="266" spans="1:18" ht="13.9" customHeight="1" x14ac:dyDescent="0.25">
      <c r="A266" s="846">
        <f>Chem!A266</f>
        <v>264</v>
      </c>
      <c r="B266" s="891" t="str">
        <f>Chem!B266</f>
        <v>beta-Endosulfan</v>
      </c>
      <c r="C266" s="423" t="str">
        <f>Param!F266</f>
        <v>na</v>
      </c>
      <c r="D266" s="423">
        <f>Param!M266</f>
        <v>3.9099999999999999E-7</v>
      </c>
      <c r="E266" s="461" t="str">
        <f>PW!O266</f>
        <v>na</v>
      </c>
      <c r="F266" s="461" t="str">
        <f>IF(E266="na","na",IF($C266="na","na",(E266*Eqtn!$D$202*($C266+Eqtn!$D$203+(Eqtn!$D$204*$D266)))))</f>
        <v>na</v>
      </c>
      <c r="G266" s="461" t="str">
        <f>IF(E266="na","na",IF($C266="na","na",((E266*Eqtn!$D$205)*($C266+Eqtn!$D$206))))</f>
        <v>na</v>
      </c>
      <c r="H266" s="221">
        <f>SW!R266</f>
        <v>8.6999999999999994E-3</v>
      </c>
      <c r="I266" s="289" t="str">
        <f>IF(H266="na","na",IF($C266="na","na",(H266*Eqtn!$D$202*($C266+Eqtn!$D$203+(Eqtn!$D$204*$D266)))))</f>
        <v>na</v>
      </c>
      <c r="J266" s="289" t="str">
        <f>IF(H266="na","na",IF($C266="na","na",((H266*Eqtn!$D$205)*($C266+Eqtn!$D$206))))</f>
        <v>na</v>
      </c>
      <c r="K266" s="584" t="str">
        <f>Partit!E266</f>
        <v>na</v>
      </c>
      <c r="L266" s="584" t="str">
        <f>IF(K266="na","na",IF(K266="TBD","TBD",IF($C266="na","na",(K266*Eqtn!$D$202*($C266+Eqtn!$D$203+(Eqtn!$D$204*$D266))))))</f>
        <v>na</v>
      </c>
      <c r="M266" s="584" t="str">
        <f>IF(K266="na","na",IF(K266="TBD","TBD",IF($C266="na","na",((K266*Eqtn!$D$205)*($C266+Eqtn!$D$206)))))</f>
        <v>na</v>
      </c>
      <c r="N266" s="348"/>
      <c r="O266" s="348" t="str">
        <f>IF(N266="na","na",IF(N266="TBD","TBD",IF($C266="na","na",(N266*Eqtn!$D$202*($C266+Eqtn!$D$203+(Eqtn!$D$204*$D266))))))</f>
        <v>na</v>
      </c>
      <c r="P266" s="367" t="str">
        <f>IF(N266="na","na",IF(N266="TBD","TBD",IF($C266="na","na",((N266*Eqtn!$D$205)*($C266+Eqtn!$D$206)))))</f>
        <v>na</v>
      </c>
      <c r="R266" s="1062"/>
    </row>
    <row r="267" spans="1:18" ht="13.9" customHeight="1" x14ac:dyDescent="0.25">
      <c r="A267" s="846">
        <f>Chem!A267</f>
        <v>265</v>
      </c>
      <c r="B267" s="891" t="str">
        <f>Chem!B267</f>
        <v>Sum of alpha and beta endosuflan</v>
      </c>
      <c r="C267" s="423">
        <f>Param!F267</f>
        <v>2.04</v>
      </c>
      <c r="D267" s="423">
        <f>Param!M267</f>
        <v>7.0899999999999999E-6</v>
      </c>
      <c r="E267" s="461">
        <f>PW!O267</f>
        <v>48</v>
      </c>
      <c r="F267" s="461">
        <f>IF(E267="na","na",IF($C267="na","na",(E267*Eqtn!$D$202*($C267+Eqtn!$D$203+(Eqtn!$D$204*$D267)))))</f>
        <v>2.1504005898880005</v>
      </c>
      <c r="G267" s="461">
        <f>IF(E267="na","na",IF($C267="na","na",((E267*Eqtn!$D$205)*($C267+Eqtn!$D$206))))</f>
        <v>0.11168</v>
      </c>
      <c r="H267" s="221">
        <f>SW!R267</f>
        <v>8.6999999999999994E-3</v>
      </c>
      <c r="I267" s="289">
        <f>IF(H267="na","na",IF($C267="na","na",(H267*Eqtn!$D$202*($C267+Eqtn!$D$203+(Eqtn!$D$204*$D267)))))</f>
        <v>3.8976010691720009E-4</v>
      </c>
      <c r="J267" s="289">
        <f>IF(H267="na","na",IF($C267="na","na",((H267*Eqtn!$D$205)*($C267+Eqtn!$D$206))))</f>
        <v>2.0242E-5</v>
      </c>
      <c r="K267" s="584" t="str">
        <f>Partit!E267</f>
        <v>na</v>
      </c>
      <c r="L267" s="584" t="str">
        <f>IF(K267="na","na",IF(K267="TBD","TBD",IF($C267="na","na",(K267*Eqtn!$D$202*($C267+Eqtn!$D$203+(Eqtn!$D$204*$D267))))))</f>
        <v>na</v>
      </c>
      <c r="M267" s="584" t="str">
        <f>IF(K267="na","na",IF(K267="TBD","TBD",IF($C267="na","na",((K267*Eqtn!$D$205)*($C267+Eqtn!$D$206)))))</f>
        <v>na</v>
      </c>
      <c r="N267" s="348"/>
      <c r="O267" s="348">
        <f>IF(N267="na","na",IF(N267="TBD","TBD",IF($C267="na","na",(N267*Eqtn!$D$202*($C267+Eqtn!$D$203+(Eqtn!$D$204*$D267))))))</f>
        <v>0</v>
      </c>
      <c r="P267" s="367">
        <f>IF(N267="na","na",IF(N267="TBD","TBD",IF($C267="na","na",((N267*Eqtn!$D$205)*($C267+Eqtn!$D$206)))))</f>
        <v>0</v>
      </c>
      <c r="R267" s="1062"/>
    </row>
    <row r="268" spans="1:18" ht="13.9" customHeight="1" x14ac:dyDescent="0.25">
      <c r="A268" s="846">
        <f>Chem!A268</f>
        <v>266</v>
      </c>
      <c r="B268" s="891" t="str">
        <f>Chem!B268</f>
        <v>Endosulfan sulfate</v>
      </c>
      <c r="C268" s="423">
        <f>Param!F268</f>
        <v>9.8469999999999995</v>
      </c>
      <c r="D268" s="423">
        <f>Param!M268</f>
        <v>0</v>
      </c>
      <c r="E268" s="461">
        <f>PW!O268</f>
        <v>96</v>
      </c>
      <c r="F268" s="461">
        <f>IF(E268="na","na",IF($C268="na","na",(E268*Eqtn!$D$202*($C268+Eqtn!$D$203+(Eqtn!$D$204*$D268)))))</f>
        <v>19.290239999999997</v>
      </c>
      <c r="G268" s="461">
        <f>IF(E268="na","na",IF($C268="na","na",((E268*Eqtn!$D$205)*($C268+Eqtn!$D$206))))</f>
        <v>0.97283200000000003</v>
      </c>
      <c r="H268" s="221">
        <f>SW!R268</f>
        <v>10</v>
      </c>
      <c r="I268" s="289">
        <f>IF(H268="na","na",IF($C268="na","na",(H268*Eqtn!$D$202*($C268+Eqtn!$D$203+(Eqtn!$D$204*$D268)))))</f>
        <v>2.0093999999999999</v>
      </c>
      <c r="J268" s="289">
        <f>IF(H268="na","na",IF($C268="na","na",((H268*Eqtn!$D$205)*($C268+Eqtn!$D$206))))</f>
        <v>0.10133666666666667</v>
      </c>
      <c r="K268" s="584" t="str">
        <f>Partit!E268</f>
        <v>na</v>
      </c>
      <c r="L268" s="584" t="str">
        <f>IF(K268="na","na",IF(K268="TBD","TBD",IF($C268="na","na",(K268*Eqtn!$D$202*($C268+Eqtn!$D$203+(Eqtn!$D$204*$D268))))))</f>
        <v>na</v>
      </c>
      <c r="M268" s="584" t="str">
        <f>IF(K268="na","na",IF(K268="TBD","TBD",IF($C268="na","na",((K268*Eqtn!$D$205)*($C268+Eqtn!$D$206)))))</f>
        <v>na</v>
      </c>
      <c r="N268" s="348"/>
      <c r="O268" s="348">
        <f>IF(N268="na","na",IF(N268="TBD","TBD",IF($C268="na","na",(N268*Eqtn!$D$202*($C268+Eqtn!$D$203+(Eqtn!$D$204*$D268))))))</f>
        <v>0</v>
      </c>
      <c r="P268" s="367">
        <f>IF(N268="na","na",IF(N268="TBD","TBD",IF($C268="na","na",((N268*Eqtn!$D$205)*($C268+Eqtn!$D$206)))))</f>
        <v>0</v>
      </c>
      <c r="R268" s="1062"/>
    </row>
    <row r="269" spans="1:18" ht="13.9" customHeight="1" x14ac:dyDescent="0.25">
      <c r="A269" s="846">
        <f>Chem!A269</f>
        <v>267</v>
      </c>
      <c r="B269" s="891" t="str">
        <f>Chem!B269</f>
        <v>Sum of alpha, beta, and endosulfan sulfate</v>
      </c>
      <c r="C269" s="423" t="str">
        <f>Param!F269</f>
        <v>na</v>
      </c>
      <c r="D269" s="423">
        <f>Param!M269</f>
        <v>0</v>
      </c>
      <c r="E269" s="461">
        <f>PW!O269</f>
        <v>96</v>
      </c>
      <c r="F269" s="461" t="str">
        <f>IF(E269="na","na",IF($C269="na","na",(E269*Eqtn!$D$202*($C269+Eqtn!$D$203+(Eqtn!$D$204*$D269)))))</f>
        <v>na</v>
      </c>
      <c r="G269" s="461" t="str">
        <f>IF(E269="na","na",IF($C269="na","na",((E269*Eqtn!$D$205)*($C269+Eqtn!$D$206))))</f>
        <v>na</v>
      </c>
      <c r="H269" s="221">
        <f>SW!R269</f>
        <v>15.954415954415953</v>
      </c>
      <c r="I269" s="289" t="str">
        <f>IF(H269="na","na",IF($C269="na","na",(H269*Eqtn!$D$202*($C269+Eqtn!$D$203+(Eqtn!$D$204*$D269)))))</f>
        <v>na</v>
      </c>
      <c r="J269" s="289" t="str">
        <f>IF(H269="na","na",IF($C269="na","na",((H269*Eqtn!$D$205)*($C269+Eqtn!$D$206))))</f>
        <v>na</v>
      </c>
      <c r="K269" s="584" t="str">
        <f>Partit!E269</f>
        <v>na</v>
      </c>
      <c r="L269" s="584" t="str">
        <f>IF(K269="na","na",IF(K269="TBD","TBD",IF($C269="na","na",(K269*Eqtn!$D$202*($C269+Eqtn!$D$203+(Eqtn!$D$204*$D269))))))</f>
        <v>na</v>
      </c>
      <c r="M269" s="584" t="str">
        <f>IF(K269="na","na",IF(K269="TBD","TBD",IF($C269="na","na",((K269*Eqtn!$D$205)*($C269+Eqtn!$D$206)))))</f>
        <v>na</v>
      </c>
      <c r="N269" s="348"/>
      <c r="O269" s="348" t="str">
        <f>IF(N269="na","na",IF(N269="TBD","TBD",IF($C269="na","na",(N269*Eqtn!$D$202*($C269+Eqtn!$D$203+(Eqtn!$D$204*$D269))))))</f>
        <v>na</v>
      </c>
      <c r="P269" s="367" t="str">
        <f>IF(N269="na","na",IF(N269="TBD","TBD",IF($C269="na","na",((N269*Eqtn!$D$205)*($C269+Eqtn!$D$206)))))</f>
        <v>na</v>
      </c>
      <c r="R269" s="1062"/>
    </row>
    <row r="270" spans="1:18" ht="13.9" customHeight="1" x14ac:dyDescent="0.25">
      <c r="A270" s="846">
        <f>Chem!A270</f>
        <v>268</v>
      </c>
      <c r="B270" s="891" t="str">
        <f>Chem!B270</f>
        <v>Endrin</v>
      </c>
      <c r="C270" s="423">
        <f>Param!F270</f>
        <v>10.8</v>
      </c>
      <c r="D270" s="423">
        <f>Param!M270</f>
        <v>2.60016353229763E-4</v>
      </c>
      <c r="E270" s="461">
        <f>PW!O270</f>
        <v>2</v>
      </c>
      <c r="F270" s="461">
        <f>IF(E270="na","na",IF($C270="na","na",(E270*Eqtn!$D$202*($C270+Eqtn!$D$203+(Eqtn!$D$204*$D270)))))</f>
        <v>0.44000090139002451</v>
      </c>
      <c r="G270" s="461">
        <f>IF(E270="na","na",IF($C270="na","na",((E270*Eqtn!$D$205)*($C270+Eqtn!$D$206))))</f>
        <v>2.2173333333333337E-2</v>
      </c>
      <c r="H270" s="221">
        <f>SW!R270</f>
        <v>2E-3</v>
      </c>
      <c r="I270" s="289">
        <f>IF(H270="na","na",IF($C270="na","na",(H270*Eqtn!$D$202*($C270+Eqtn!$D$203+(Eqtn!$D$204*$D270)))))</f>
        <v>4.4000090139002454E-4</v>
      </c>
      <c r="J270" s="289">
        <f>IF(H270="na","na",IF($C270="na","na",((H270*Eqtn!$D$205)*($C270+Eqtn!$D$206))))</f>
        <v>2.2173333333333333E-5</v>
      </c>
      <c r="K270" s="584" t="str">
        <f>Partit!E270</f>
        <v>na</v>
      </c>
      <c r="L270" s="584" t="str">
        <f>IF(K270="na","na",IF(K270="TBD","TBD",IF($C270="na","na",(K270*Eqtn!$D$202*($C270+Eqtn!$D$203+(Eqtn!$D$204*$D270))))))</f>
        <v>na</v>
      </c>
      <c r="M270" s="584" t="str">
        <f>IF(K270="na","na",IF(K270="TBD","TBD",IF($C270="na","na",((K270*Eqtn!$D$205)*($C270+Eqtn!$D$206)))))</f>
        <v>na</v>
      </c>
      <c r="N270" s="348"/>
      <c r="O270" s="348">
        <f>IF(N270="na","na",IF(N270="TBD","TBD",IF($C270="na","na",(N270*Eqtn!$D$202*($C270+Eqtn!$D$203+(Eqtn!$D$204*$D270))))))</f>
        <v>0</v>
      </c>
      <c r="P270" s="367">
        <f>IF(N270="na","na",IF(N270="TBD","TBD",IF($C270="na","na",((N270*Eqtn!$D$205)*($C270+Eqtn!$D$206)))))</f>
        <v>0</v>
      </c>
      <c r="R270" s="1062"/>
    </row>
    <row r="271" spans="1:18" ht="13.9" customHeight="1" x14ac:dyDescent="0.25">
      <c r="A271" s="846">
        <f>Chem!A271</f>
        <v>269</v>
      </c>
      <c r="B271" s="891" t="str">
        <f>Chem!B271</f>
        <v>Endrin aldehyde</v>
      </c>
      <c r="C271" s="423">
        <f>Param!F271</f>
        <v>3.27</v>
      </c>
      <c r="D271" s="423">
        <f>Param!M271</f>
        <v>1.7089125102207701E-4</v>
      </c>
      <c r="E271" s="461" t="str">
        <f>PW!O271</f>
        <v>na</v>
      </c>
      <c r="F271" s="461" t="str">
        <f>IF(E271="na","na",IF($C271="na","na",(E271*Eqtn!$D$202*($C271+Eqtn!$D$203+(Eqtn!$D$204*$D271)))))</f>
        <v>na</v>
      </c>
      <c r="G271" s="461" t="str">
        <f>IF(E271="na","na",IF($C271="na","na",((E271*Eqtn!$D$205)*($C271+Eqtn!$D$206))))</f>
        <v>na</v>
      </c>
      <c r="H271" s="221">
        <f>SW!R271</f>
        <v>3.5000000000000003E-2</v>
      </c>
      <c r="I271" s="289">
        <f>IF(H271="na","na",IF($C271="na","na",(H271*Eqtn!$D$202*($C271+Eqtn!$D$203+(Eqtn!$D$204*$D271)))))</f>
        <v>2.4290103674025625E-3</v>
      </c>
      <c r="J271" s="289">
        <f>IF(H271="na","na",IF($C271="na","na",((H271*Eqtn!$D$205)*($C271+Eqtn!$D$206))))</f>
        <v>1.2448333333333334E-4</v>
      </c>
      <c r="K271" s="584" t="str">
        <f>Partit!E271</f>
        <v>na</v>
      </c>
      <c r="L271" s="584" t="str">
        <f>IF(K271="na","na",IF(K271="TBD","TBD",IF($C271="na","na",(K271*Eqtn!$D$202*($C271+Eqtn!$D$203+(Eqtn!$D$204*$D271))))))</f>
        <v>na</v>
      </c>
      <c r="M271" s="584" t="str">
        <f>IF(K271="na","na",IF(K271="TBD","TBD",IF($C271="na","na",((K271*Eqtn!$D$205)*($C271+Eqtn!$D$206)))))</f>
        <v>na</v>
      </c>
      <c r="N271" s="348"/>
      <c r="O271" s="348">
        <f>IF(N271="na","na",IF(N271="TBD","TBD",IF($C271="na","na",(N271*Eqtn!$D$202*($C271+Eqtn!$D$203+(Eqtn!$D$204*$D271))))))</f>
        <v>0</v>
      </c>
      <c r="P271" s="367">
        <f>IF(N271="na","na",IF(N271="TBD","TBD",IF($C271="na","na",((N271*Eqtn!$D$205)*($C271+Eqtn!$D$206)))))</f>
        <v>0</v>
      </c>
      <c r="R271" s="1062"/>
    </row>
    <row r="272" spans="1:18" ht="13.9" customHeight="1" x14ac:dyDescent="0.25">
      <c r="A272" s="846">
        <f>Chem!A272</f>
        <v>270</v>
      </c>
      <c r="B272" s="891" t="str">
        <f>Chem!B272</f>
        <v>Endrin ketone</v>
      </c>
      <c r="C272" s="423" t="str">
        <f>Param!F272</f>
        <v>na</v>
      </c>
      <c r="D272" s="423">
        <f>Param!M272</f>
        <v>0</v>
      </c>
      <c r="E272" s="461" t="str">
        <f>PW!O272</f>
        <v>na</v>
      </c>
      <c r="F272" s="461" t="str">
        <f>IF(E272="na","na",IF($C272="na","na",(E272*Eqtn!$D$202*($C272+Eqtn!$D$203+(Eqtn!$D$204*$D272)))))</f>
        <v>na</v>
      </c>
      <c r="G272" s="461" t="str">
        <f>IF(E272="na","na",IF($C272="na","na",((E272*Eqtn!$D$205)*($C272+Eqtn!$D$206))))</f>
        <v>na</v>
      </c>
      <c r="H272" s="221" t="str">
        <f>SW!R272</f>
        <v>na</v>
      </c>
      <c r="I272" s="289" t="str">
        <f>IF(H272="na","na",IF($C272="na","na",(H272*Eqtn!$D$202*($C272+Eqtn!$D$203+(Eqtn!$D$204*$D272)))))</f>
        <v>na</v>
      </c>
      <c r="J272" s="289" t="str">
        <f>IF(H272="na","na",IF($C272="na","na",((H272*Eqtn!$D$205)*($C272+Eqtn!$D$206))))</f>
        <v>na</v>
      </c>
      <c r="K272" s="584" t="str">
        <f>Partit!E272</f>
        <v>na</v>
      </c>
      <c r="L272" s="584" t="str">
        <f>IF(K272="na","na",IF(K272="TBD","TBD",IF($C272="na","na",(K272*Eqtn!$D$202*($C272+Eqtn!$D$203+(Eqtn!$D$204*$D272))))))</f>
        <v>na</v>
      </c>
      <c r="M272" s="584" t="str">
        <f>IF(K272="na","na",IF(K272="TBD","TBD",IF($C272="na","na",((K272*Eqtn!$D$205)*($C272+Eqtn!$D$206)))))</f>
        <v>na</v>
      </c>
      <c r="N272" s="348"/>
      <c r="O272" s="348" t="str">
        <f>IF(N272="na","na",IF(N272="TBD","TBD",IF($C272="na","na",(N272*Eqtn!$D$202*($C272+Eqtn!$D$203+(Eqtn!$D$204*$D272))))))</f>
        <v>na</v>
      </c>
      <c r="P272" s="367" t="str">
        <f>IF(N272="na","na",IF(N272="TBD","TBD",IF($C272="na","na",((N272*Eqtn!$D$205)*($C272+Eqtn!$D$206)))))</f>
        <v>na</v>
      </c>
      <c r="R272" s="1062"/>
    </row>
    <row r="273" spans="1:18" ht="13.9" customHeight="1" x14ac:dyDescent="0.25">
      <c r="A273" s="846">
        <f>Chem!A273</f>
        <v>271</v>
      </c>
      <c r="B273" s="891" t="str">
        <f>Chem!B273</f>
        <v>Heptachlor</v>
      </c>
      <c r="C273" s="423">
        <f>Param!F273</f>
        <v>9.5299999999999994</v>
      </c>
      <c r="D273" s="423">
        <f>Param!M273</f>
        <v>3.7704342488785905E-3</v>
      </c>
      <c r="E273" s="461">
        <f>PW!O273</f>
        <v>9.722222222222221E-2</v>
      </c>
      <c r="F273" s="461">
        <f>IF(E273="na","na",IF($C273="na","na",(E273*Eqtn!$D$202*($C273+Eqtn!$D$203+(Eqtn!$D$204*$D273)))))</f>
        <v>1.8920079832438232E-2</v>
      </c>
      <c r="G273" s="461">
        <f>IF(E273="na","na",IF($C273="na","na",((E273*Eqtn!$D$205)*($C273+Eqtn!$D$206))))</f>
        <v>9.5439814814814812E-4</v>
      </c>
      <c r="H273" s="221">
        <f>SW!R273</f>
        <v>3.3999999999999997E-7</v>
      </c>
      <c r="I273" s="289">
        <f>IF(H273="na","na",IF($C273="na","na",(H273*Eqtn!$D$202*($C273+Eqtn!$D$203+(Eqtn!$D$204*$D273)))))</f>
        <v>6.6166222042583995E-8</v>
      </c>
      <c r="J273" s="289">
        <f>IF(H273="na","na",IF($C273="na","na",((H273*Eqtn!$D$205)*($C273+Eqtn!$D$206))))</f>
        <v>3.3376666666666664E-9</v>
      </c>
      <c r="K273" s="584">
        <f>Partit!E273</f>
        <v>5.5043970418722731E-4</v>
      </c>
      <c r="L273" s="584">
        <f>IF(K273="na","na",IF(K273="TBD","TBD",IF($C273="na","na",(K273*Eqtn!$D$202*($C273+Eqtn!$D$203+(Eqtn!$D$204*$D273))))))</f>
        <v>1.0711916378913627E-4</v>
      </c>
      <c r="M273" s="584">
        <f>IF(K273="na","na",IF(K273="TBD","TBD",IF($C273="na","na",((K273*Eqtn!$D$205)*($C273+Eqtn!$D$206)))))</f>
        <v>5.4034830961046142E-6</v>
      </c>
      <c r="N273" s="348"/>
      <c r="O273" s="348">
        <f>IF(N273="na","na",IF(N273="TBD","TBD",IF($C273="na","na",(N273*Eqtn!$D$202*($C273+Eqtn!$D$203+(Eqtn!$D$204*$D273))))))</f>
        <v>0</v>
      </c>
      <c r="P273" s="367">
        <f>IF(N273="na","na",IF(N273="TBD","TBD",IF($C273="na","na",((N273*Eqtn!$D$205)*($C273+Eqtn!$D$206)))))</f>
        <v>0</v>
      </c>
      <c r="R273" s="1062"/>
    </row>
    <row r="274" spans="1:18" ht="13.9" customHeight="1" x14ac:dyDescent="0.25">
      <c r="A274" s="846">
        <f>Chem!A274</f>
        <v>272</v>
      </c>
      <c r="B274" s="891" t="str">
        <f>Chem!B274</f>
        <v>Heptachlor epoxide</v>
      </c>
      <c r="C274" s="423">
        <f>Param!F274</f>
        <v>10.1</v>
      </c>
      <c r="D274" s="423">
        <f>Param!M274</f>
        <v>2.0140183867130092E-4</v>
      </c>
      <c r="E274" s="461">
        <f>PW!O274</f>
        <v>4.8076923076923073E-2</v>
      </c>
      <c r="F274" s="461">
        <f>IF(E274="na","na",IF($C274="na","na",(E274*Eqtn!$D$202*($C274+Eqtn!$D$203+(Eqtn!$D$204*$D274)))))</f>
        <v>9.9038629373327091E-3</v>
      </c>
      <c r="G274" s="461">
        <f>IF(E274="na","na",IF($C274="na","na",((E274*Eqtn!$D$205)*($C274+Eqtn!$D$206))))</f>
        <v>4.9935897435897435E-4</v>
      </c>
      <c r="H274" s="221">
        <f>SW!R274</f>
        <v>2.3999999999999999E-6</v>
      </c>
      <c r="I274" s="289">
        <f>IF(H274="na","na",IF($C274="na","na",(H274*Eqtn!$D$202*($C274+Eqtn!$D$203+(Eqtn!$D$204*$D274)))))</f>
        <v>4.9440083783164887E-7</v>
      </c>
      <c r="J274" s="289">
        <f>IF(H274="na","na",IF($C274="na","na",((H274*Eqtn!$D$205)*($C274+Eqtn!$D$206))))</f>
        <v>2.4928E-8</v>
      </c>
      <c r="K274" s="584">
        <f>Partit!E274</f>
        <v>1.664437338703679</v>
      </c>
      <c r="L274" s="584">
        <f>IF(K274="na","na",IF(K274="TBD","TBD",IF($C274="na","na",(K274*Eqtn!$D$202*($C274+Eqtn!$D$203+(Eqtn!$D$204*$D274))))))</f>
        <v>0.34287467282224121</v>
      </c>
      <c r="M274" s="584">
        <f>IF(K274="na","na",IF(K274="TBD","TBD",IF($C274="na","na",((K274*Eqtn!$D$205)*($C274+Eqtn!$D$206)))))</f>
        <v>1.7287955824668879E-2</v>
      </c>
      <c r="N274" s="348"/>
      <c r="O274" s="348">
        <f>IF(N274="na","na",IF(N274="TBD","TBD",IF($C274="na","na",(N274*Eqtn!$D$202*($C274+Eqtn!$D$203+(Eqtn!$D$204*$D274))))))</f>
        <v>0</v>
      </c>
      <c r="P274" s="367">
        <f>IF(N274="na","na",IF(N274="TBD","TBD",IF($C274="na","na",((N274*Eqtn!$D$205)*($C274+Eqtn!$D$206)))))</f>
        <v>0</v>
      </c>
      <c r="R274" s="1062"/>
    </row>
    <row r="275" spans="1:18" ht="13.9" customHeight="1" x14ac:dyDescent="0.25">
      <c r="A275" s="846">
        <f>Chem!A275</f>
        <v>273</v>
      </c>
      <c r="B275" s="891" t="str">
        <f>Chem!B275</f>
        <v>Lindane (gamma-BHC)</v>
      </c>
      <c r="C275" s="423">
        <f>Param!F275</f>
        <v>1.35</v>
      </c>
      <c r="D275" s="423">
        <f>Param!M275</f>
        <v>2.10139002452984E-4</v>
      </c>
      <c r="E275" s="461">
        <f>PW!O275</f>
        <v>0.2</v>
      </c>
      <c r="F275" s="461">
        <f>IF(E275="na","na",IF($C275="na","na",(E275*Eqtn!$D$202*($C275+Eqtn!$D$203+(Eqtn!$D$204*$D275)))))</f>
        <v>6.2000728481875177E-3</v>
      </c>
      <c r="G275" s="461">
        <f>IF(E275="na","na",IF($C275="na","na",((E275*Eqtn!$D$205)*($C275+Eqtn!$D$206))))</f>
        <v>3.2733333333333334E-4</v>
      </c>
      <c r="H275" s="221">
        <f>SW!R275</f>
        <v>0.12551551013089471</v>
      </c>
      <c r="I275" s="289">
        <f>IF(H275="na","na",IF($C275="na","na",(H275*Eqtn!$D$202*($C275+Eqtn!$D$203+(Eqtn!$D$204*$D275)))))</f>
        <v>3.8910265319448277E-3</v>
      </c>
      <c r="J275" s="289">
        <f>IF(H275="na","na",IF($C275="na","na",((H275*Eqtn!$D$205)*($C275+Eqtn!$D$206))))</f>
        <v>2.0542705158089767E-4</v>
      </c>
      <c r="K275" s="584" t="str">
        <f>Partit!E275</f>
        <v>na</v>
      </c>
      <c r="L275" s="584" t="str">
        <f>IF(K275="na","na",IF(K275="TBD","TBD",IF($C275="na","na",(K275*Eqtn!$D$202*($C275+Eqtn!$D$203+(Eqtn!$D$204*$D275))))))</f>
        <v>na</v>
      </c>
      <c r="M275" s="584" t="str">
        <f>IF(K275="na","na",IF(K275="TBD","TBD",IF($C275="na","na",((K275*Eqtn!$D$205)*($C275+Eqtn!$D$206)))))</f>
        <v>na</v>
      </c>
      <c r="N275" s="348"/>
      <c r="O275" s="348">
        <f>IF(N275="na","na",IF(N275="TBD","TBD",IF($C275="na","na",(N275*Eqtn!$D$202*($C275+Eqtn!$D$203+(Eqtn!$D$204*$D275))))))</f>
        <v>0</v>
      </c>
      <c r="P275" s="367">
        <f>IF(N275="na","na",IF(N275="TBD","TBD",IF($C275="na","na",((N275*Eqtn!$D$205)*($C275+Eqtn!$D$206)))))</f>
        <v>0</v>
      </c>
      <c r="R275" s="1062"/>
    </row>
    <row r="276" spans="1:18" ht="13.9" customHeight="1" x14ac:dyDescent="0.25">
      <c r="A276" s="846">
        <f>Chem!A276</f>
        <v>274</v>
      </c>
      <c r="B276" s="891" t="str">
        <f>Chem!B276</f>
        <v>Malathion</v>
      </c>
      <c r="C276" s="423">
        <f>Param!F276</f>
        <v>3.1300000000000001E-2</v>
      </c>
      <c r="D276" s="423">
        <f>Param!M276</f>
        <v>1.99918233851186E-7</v>
      </c>
      <c r="E276" s="461">
        <f>PW!O276</f>
        <v>320</v>
      </c>
      <c r="F276" s="461">
        <f>IF(E276="na","na",IF($C276="na","na",(E276*Eqtn!$D$202*($C276+Eqtn!$D$203+(Eqtn!$D$204*$D276)))))</f>
        <v>1.4803201108879804</v>
      </c>
      <c r="G276" s="461">
        <f>IF(E276="na","na",IF($C276="na","na",((E276*Eqtn!$D$205)*($C276+Eqtn!$D$206))))</f>
        <v>0.10174933333333334</v>
      </c>
      <c r="H276" s="221">
        <f>SW!R276</f>
        <v>0.1</v>
      </c>
      <c r="I276" s="289">
        <f>IF(H276="na","na",IF($C276="na","na",(H276*Eqtn!$D$202*($C276+Eqtn!$D$203+(Eqtn!$D$204*$D276)))))</f>
        <v>4.6260003465249384E-4</v>
      </c>
      <c r="J276" s="289">
        <f>IF(H276="na","na",IF($C276="na","na",((H276*Eqtn!$D$205)*($C276+Eqtn!$D$206))))</f>
        <v>3.1796666666666667E-5</v>
      </c>
      <c r="K276" s="584" t="str">
        <f>Partit!E276</f>
        <v>na</v>
      </c>
      <c r="L276" s="584" t="str">
        <f>IF(K276="na","na",IF(K276="TBD","TBD",IF($C276="na","na",(K276*Eqtn!$D$202*($C276+Eqtn!$D$203+(Eqtn!$D$204*$D276))))))</f>
        <v>na</v>
      </c>
      <c r="M276" s="584" t="str">
        <f>IF(K276="na","na",IF(K276="TBD","TBD",IF($C276="na","na",((K276*Eqtn!$D$205)*($C276+Eqtn!$D$206)))))</f>
        <v>na</v>
      </c>
      <c r="N276" s="348"/>
      <c r="O276" s="348">
        <f>IF(N276="na","na",IF(N276="TBD","TBD",IF($C276="na","na",(N276*Eqtn!$D$202*($C276+Eqtn!$D$203+(Eqtn!$D$204*$D276))))))</f>
        <v>0</v>
      </c>
      <c r="P276" s="367">
        <f>IF(N276="na","na",IF(N276="TBD","TBD",IF($C276="na","na",((N276*Eqtn!$D$205)*($C276+Eqtn!$D$206)))))</f>
        <v>0</v>
      </c>
      <c r="R276" s="1062"/>
    </row>
    <row r="277" spans="1:18" ht="13.9" customHeight="1" x14ac:dyDescent="0.25">
      <c r="A277" s="846">
        <f>Chem!A277</f>
        <v>275</v>
      </c>
      <c r="B277" s="891" t="str">
        <f>Chem!B277</f>
        <v>Methoxychlor</v>
      </c>
      <c r="C277" s="423">
        <f>Param!F277</f>
        <v>80</v>
      </c>
      <c r="D277" s="423">
        <f>Param!M277</f>
        <v>8.2992641046606701E-6</v>
      </c>
      <c r="E277" s="461">
        <f>PW!O277</f>
        <v>40</v>
      </c>
      <c r="F277" s="461">
        <f>IF(E277="na","na",IF($C277="na","na",(E277*Eqtn!$D$202*($C277+Eqtn!$D$203+(Eqtn!$D$204*$D277)))))</f>
        <v>64.160000575415651</v>
      </c>
      <c r="G277" s="461">
        <f>IF(E277="na","na",IF($C277="na","na",((E277*Eqtn!$D$205)*($C277+Eqtn!$D$206))))</f>
        <v>3.2114666666666665</v>
      </c>
      <c r="H277" s="221">
        <f>SW!R277</f>
        <v>0.02</v>
      </c>
      <c r="I277" s="289">
        <f>IF(H277="na","na",IF($C277="na","na",(H277*Eqtn!$D$202*($C277+Eqtn!$D$203+(Eqtn!$D$204*$D277)))))</f>
        <v>3.208000028770782E-2</v>
      </c>
      <c r="J277" s="289">
        <f>IF(H277="na","na",IF($C277="na","na",((H277*Eqtn!$D$205)*($C277+Eqtn!$D$206))))</f>
        <v>1.6057333333333334E-3</v>
      </c>
      <c r="K277" s="584" t="str">
        <f>Partit!E277</f>
        <v>na</v>
      </c>
      <c r="L277" s="584" t="str">
        <f>IF(K277="na","na",IF(K277="TBD","TBD",IF($C277="na","na",(K277*Eqtn!$D$202*($C277+Eqtn!$D$203+(Eqtn!$D$204*$D277))))))</f>
        <v>na</v>
      </c>
      <c r="M277" s="584" t="str">
        <f>IF(K277="na","na",IF(K277="TBD","TBD",IF($C277="na","na",((K277*Eqtn!$D$205)*($C277+Eqtn!$D$206)))))</f>
        <v>na</v>
      </c>
      <c r="N277" s="348"/>
      <c r="O277" s="348">
        <f>IF(N277="na","na",IF(N277="TBD","TBD",IF($C277="na","na",(N277*Eqtn!$D$202*($C277+Eqtn!$D$203+(Eqtn!$D$204*$D277))))))</f>
        <v>0</v>
      </c>
      <c r="P277" s="367">
        <f>IF(N277="na","na",IF(N277="TBD","TBD",IF($C277="na","na",((N277*Eqtn!$D$205)*($C277+Eqtn!$D$206)))))</f>
        <v>0</v>
      </c>
      <c r="R277" s="1062"/>
    </row>
    <row r="278" spans="1:18" ht="13.9" customHeight="1" x14ac:dyDescent="0.25">
      <c r="A278" s="846">
        <f>Chem!A278</f>
        <v>276</v>
      </c>
      <c r="B278" s="891" t="str">
        <f>Chem!B278</f>
        <v>Mirex</v>
      </c>
      <c r="C278" s="423">
        <f>Param!F278</f>
        <v>357</v>
      </c>
      <c r="D278" s="423">
        <f>Param!M278</f>
        <v>3.3156173344235498E-2</v>
      </c>
      <c r="E278" s="461">
        <f>PW!O278</f>
        <v>2.4305555555555552E-3</v>
      </c>
      <c r="F278" s="461">
        <f>IF(E278="na","na",IF($C278="na","na",(E278*Eqtn!$D$202*($C278+Eqtn!$D$203+(Eqtn!$D$204*$D278)))))</f>
        <v>1.7364028574619179E-2</v>
      </c>
      <c r="G278" s="461">
        <f>IF(E278="na","na",IF($C278="na","na",((E278*Eqtn!$D$205)*($C278+Eqtn!$D$206))))</f>
        <v>8.6840509259259249E-4</v>
      </c>
      <c r="H278" s="221">
        <f>SW!R278</f>
        <v>1E-3</v>
      </c>
      <c r="I278" s="289">
        <f>IF(H278="na","na",IF($C278="na","na",(H278*Eqtn!$D$202*($C278+Eqtn!$D$203+(Eqtn!$D$204*$D278)))))</f>
        <v>7.1440574707004644E-3</v>
      </c>
      <c r="J278" s="289">
        <f>IF(H278="na","na",IF($C278="na","na",((H278*Eqtn!$D$205)*($C278+Eqtn!$D$206))))</f>
        <v>3.5728666666666665E-4</v>
      </c>
      <c r="K278" s="584" t="str">
        <f>Partit!E278</f>
        <v>na</v>
      </c>
      <c r="L278" s="584" t="str">
        <f>IF(K278="na","na",IF(K278="TBD","TBD",IF($C278="na","na",(K278*Eqtn!$D$202*($C278+Eqtn!$D$203+(Eqtn!$D$204*$D278))))))</f>
        <v>na</v>
      </c>
      <c r="M278" s="584" t="str">
        <f>IF(K278="na","na",IF(K278="TBD","TBD",IF($C278="na","na",((K278*Eqtn!$D$205)*($C278+Eqtn!$D$206)))))</f>
        <v>na</v>
      </c>
      <c r="N278" s="348"/>
      <c r="O278" s="348">
        <f>IF(N278="na","na",IF(N278="TBD","TBD",IF($C278="na","na",(N278*Eqtn!$D$202*($C278+Eqtn!$D$203+(Eqtn!$D$204*$D278))))))</f>
        <v>0</v>
      </c>
      <c r="P278" s="367">
        <f>IF(N278="na","na",IF(N278="TBD","TBD",IF($C278="na","na",((N278*Eqtn!$D$205)*($C278+Eqtn!$D$206)))))</f>
        <v>0</v>
      </c>
      <c r="R278" s="1062"/>
    </row>
    <row r="279" spans="1:18" ht="13.9" customHeight="1" x14ac:dyDescent="0.25">
      <c r="A279" s="846">
        <f>Chem!A279</f>
        <v>277</v>
      </c>
      <c r="B279" s="891" t="str">
        <f>Chem!B279</f>
        <v>Nonachlor</v>
      </c>
      <c r="C279" s="423" t="str">
        <f>Param!F279</f>
        <v>na</v>
      </c>
      <c r="D279" s="423">
        <f>Param!M279</f>
        <v>0</v>
      </c>
      <c r="E279" s="461" t="str">
        <f>PW!O279</f>
        <v>na</v>
      </c>
      <c r="F279" s="461" t="str">
        <f>IF(E279="na","na",IF($C279="na","na",(E279*Eqtn!$D$202*($C279+Eqtn!$D$203+(Eqtn!$D$204*$D279)))))</f>
        <v>na</v>
      </c>
      <c r="G279" s="461" t="str">
        <f>IF(E279="na","na",IF($C279="na","na",((E279*Eqtn!$D$205)*($C279+Eqtn!$D$206))))</f>
        <v>na</v>
      </c>
      <c r="H279" s="221" t="str">
        <f>SW!R279</f>
        <v>na</v>
      </c>
      <c r="I279" s="289" t="str">
        <f>IF(H279="na","na",IF($C279="na","na",(H279*Eqtn!$D$202*($C279+Eqtn!$D$203+(Eqtn!$D$204*$D279)))))</f>
        <v>na</v>
      </c>
      <c r="J279" s="289" t="str">
        <f>IF(H279="na","na",IF($C279="na","na",((H279*Eqtn!$D$205)*($C279+Eqtn!$D$206))))</f>
        <v>na</v>
      </c>
      <c r="K279" s="584" t="str">
        <f>Partit!E279</f>
        <v>na</v>
      </c>
      <c r="L279" s="584" t="str">
        <f>IF(K279="na","na",IF(K279="TBD","TBD",IF($C279="na","na",(K279*Eqtn!$D$202*($C279+Eqtn!$D$203+(Eqtn!$D$204*$D279))))))</f>
        <v>na</v>
      </c>
      <c r="M279" s="584" t="str">
        <f>IF(K279="na","na",IF(K279="TBD","TBD",IF($C279="na","na",((K279*Eqtn!$D$205)*($C279+Eqtn!$D$206)))))</f>
        <v>na</v>
      </c>
      <c r="N279" s="348"/>
      <c r="O279" s="348" t="str">
        <f>IF(N279="na","na",IF(N279="TBD","TBD",IF($C279="na","na",(N279*Eqtn!$D$202*($C279+Eqtn!$D$203+(Eqtn!$D$204*$D279))))))</f>
        <v>na</v>
      </c>
      <c r="P279" s="367" t="str">
        <f>IF(N279="na","na",IF(N279="TBD","TBD",IF($C279="na","na",((N279*Eqtn!$D$205)*($C279+Eqtn!$D$206)))))</f>
        <v>na</v>
      </c>
      <c r="R279" s="1062"/>
    </row>
    <row r="280" spans="1:18" ht="13.9" customHeight="1" x14ac:dyDescent="0.25">
      <c r="A280" s="1661">
        <f>Chem!A280</f>
        <v>278</v>
      </c>
      <c r="B280" s="1186" t="str">
        <f>Chem!B280</f>
        <v>Toxaphene</v>
      </c>
      <c r="C280" s="1187">
        <f>Param!F280</f>
        <v>95.8</v>
      </c>
      <c r="D280" s="1187">
        <f>Param!M280</f>
        <v>2.4529844644317298E-4</v>
      </c>
      <c r="E280" s="579">
        <f>PW!O280</f>
        <v>0.79545454545454519</v>
      </c>
      <c r="F280" s="579">
        <f>IF(E280="na","na",IF($C280="na","na",(E280*Eqtn!$D$202*($C280+Eqtn!$D$203+(Eqtn!$D$204*$D280)))))</f>
        <v>1.5272730654872513</v>
      </c>
      <c r="G280" s="579">
        <f>IF(E280="na","na",IF($C280="na","na",((E280*Eqtn!$D$205)*($C280+Eqtn!$D$206))))</f>
        <v>7.6432575757575727E-2</v>
      </c>
      <c r="H280" s="257">
        <f>SW!R280</f>
        <v>3.1999999999999999E-5</v>
      </c>
      <c r="I280" s="1188">
        <f>IF(H280="na","na",IF($C280="na","na",(H280*Eqtn!$D$202*($C280+Eqtn!$D$203+(Eqtn!$D$204*$D280)))))</f>
        <v>6.1440013605887163E-5</v>
      </c>
      <c r="J280" s="1188">
        <f>IF(H280="na","na",IF($C280="na","na",((H280*Eqtn!$D$205)*($C280+Eqtn!$D$206))))</f>
        <v>3.0747733333333332E-6</v>
      </c>
      <c r="K280" s="1189" t="str">
        <f>Partit!E280</f>
        <v>na</v>
      </c>
      <c r="L280" s="1189" t="str">
        <f>IF(K280="na","na",IF(K280="TBD","TBD",IF($C280="na","na",(K280*Eqtn!$D$202*($C280+Eqtn!$D$203+(Eqtn!$D$204*$D280))))))</f>
        <v>na</v>
      </c>
      <c r="M280" s="1189" t="str">
        <f>IF(K280="na","na",IF(K280="TBD","TBD",IF($C280="na","na",((K280*Eqtn!$D$205)*($C280+Eqtn!$D$206)))))</f>
        <v>na</v>
      </c>
      <c r="N280" s="737"/>
      <c r="O280" s="737">
        <f>IF(N280="na","na",IF(N280="TBD","TBD",IF($C280="na","na",(N280*Eqtn!$D$202*($C280+Eqtn!$D$203+(Eqtn!$D$204*$D280))))))</f>
        <v>0</v>
      </c>
      <c r="P280" s="740">
        <f>IF(N280="na","na",IF(N280="TBD","TBD",IF($C280="na","na",((N280*Eqtn!$D$205)*($C280+Eqtn!$D$206)))))</f>
        <v>0</v>
      </c>
      <c r="R280" s="1137"/>
    </row>
    <row r="281" spans="1:18" ht="13.9" customHeight="1" x14ac:dyDescent="0.25">
      <c r="A281" s="1197">
        <f>Chem!A281</f>
        <v>279</v>
      </c>
      <c r="B281" s="1191" t="str">
        <f>Chem!B281</f>
        <v>Herbicides</v>
      </c>
      <c r="C281" s="44"/>
      <c r="D281" s="44"/>
      <c r="E281" s="44"/>
      <c r="F281" s="44"/>
      <c r="G281" s="44"/>
      <c r="H281" s="2348"/>
      <c r="I281" s="127"/>
      <c r="J281" s="127"/>
      <c r="K281" s="127"/>
      <c r="L281" s="127"/>
      <c r="M281" s="127"/>
      <c r="N281" s="127"/>
      <c r="O281" s="127"/>
      <c r="P281" s="2364"/>
      <c r="R281" s="1063"/>
    </row>
    <row r="282" spans="1:18" ht="13.9" customHeight="1" x14ac:dyDescent="0.25">
      <c r="A282" s="846">
        <f>Chem!A282</f>
        <v>280</v>
      </c>
      <c r="B282" s="1697" t="str">
        <f>Chem!B282</f>
        <v>2,4-Dichlorophenoxyacetic acid (2,4-D)</v>
      </c>
      <c r="C282" s="423">
        <f>Param!F282</f>
        <v>2.9600000000000001E-2</v>
      </c>
      <c r="D282" s="423">
        <f>Param!M282</f>
        <v>1.4472608340147201E-6</v>
      </c>
      <c r="E282" s="461">
        <f>PW!O282</f>
        <v>70</v>
      </c>
      <c r="F282" s="461">
        <f>IF(E282="na","na",IF($C282="na","na",(E282*Eqtn!$D$202*($C282+Eqtn!$D$203+(Eqtn!$D$204*$D282)))))</f>
        <v>0.32144017560098115</v>
      </c>
      <c r="G282" s="461">
        <f>IF(E282="na","na",IF($C282="na","na",((E282*Eqtn!$D$205)*($C282+Eqtn!$D$206))))</f>
        <v>2.2138666666666671E-2</v>
      </c>
      <c r="H282" s="221">
        <f>SW!R282</f>
        <v>12000</v>
      </c>
      <c r="I282" s="289">
        <f>IF(H282="na","na",IF($C282="na","na",(H282*Eqtn!$D$202*($C282+Eqtn!$D$203+(Eqtn!$D$204*$D282)))))</f>
        <v>55.104030103025337</v>
      </c>
      <c r="J282" s="289">
        <f>IF(H282="na","na",IF($C282="na","na",((H282*Eqtn!$D$205)*($C282+Eqtn!$D$206))))</f>
        <v>3.7952000000000004</v>
      </c>
      <c r="K282" s="584" t="str">
        <f>Partit!E282</f>
        <v>na</v>
      </c>
      <c r="L282" s="584" t="str">
        <f>IF(K282="na","na",IF(K282="TBD","TBD",IF($C282="na","na",(K282*Eqtn!$D$202*($C282+Eqtn!$D$203+(Eqtn!$D$204*$D282))))))</f>
        <v>na</v>
      </c>
      <c r="M282" s="584" t="str">
        <f>IF(K282="na","na",IF(K282="TBD","TBD",IF($C282="na","na",((K282*Eqtn!$D$205)*($C282+Eqtn!$D$206)))))</f>
        <v>na</v>
      </c>
      <c r="N282" s="823"/>
      <c r="O282" s="822">
        <f>IF(N282="na","na",IF(N282="TBD","TBD",IF($C282="na","na",(N282*Eqtn!$D$202*($C282+Eqtn!$D$203+(Eqtn!$D$204*$D282))))))</f>
        <v>0</v>
      </c>
      <c r="P282" s="367">
        <f>IF(N282="na","na",IF(N282="TBD","TBD",IF($C282="na","na",((N282*Eqtn!$D$205)*($C282+Eqtn!$D$206)))))</f>
        <v>0</v>
      </c>
      <c r="R282" s="1062"/>
    </row>
    <row r="283" spans="1:18" ht="13.9" customHeight="1" x14ac:dyDescent="0.25">
      <c r="A283" s="846">
        <f>Chem!A283</f>
        <v>281</v>
      </c>
      <c r="B283" s="1588" t="str">
        <f>Chem!B283</f>
        <v>4-(2,4-Dichlorophenoxy)butanoic acid 2,4-DB</v>
      </c>
      <c r="C283" s="423" t="str">
        <f>Param!F283</f>
        <v>na</v>
      </c>
      <c r="D283" s="423">
        <f>Param!M283</f>
        <v>0</v>
      </c>
      <c r="E283" s="461" t="str">
        <f>PW!O283</f>
        <v>na</v>
      </c>
      <c r="F283" s="461" t="str">
        <f>IF(E283="na","na",IF($C283="na","na",(E283*Eqtn!$D$202*($C283+Eqtn!$D$203+(Eqtn!$D$204*$D283)))))</f>
        <v>na</v>
      </c>
      <c r="G283" s="461" t="str">
        <f>IF(E283="na","na",IF($C283="na","na",((E283*Eqtn!$D$205)*($C283+Eqtn!$D$206))))</f>
        <v>na</v>
      </c>
      <c r="H283" s="221" t="str">
        <f>SW!R283</f>
        <v>na</v>
      </c>
      <c r="I283" s="289" t="str">
        <f>IF(H283="na","na",IF($C283="na","na",(H283*Eqtn!$D$202*($C283+Eqtn!$D$203+(Eqtn!$D$204*$D283)))))</f>
        <v>na</v>
      </c>
      <c r="J283" s="289" t="str">
        <f>IF(H283="na","na",IF($C283="na","na",((H283*Eqtn!$D$205)*($C283+Eqtn!$D$206))))</f>
        <v>na</v>
      </c>
      <c r="K283" s="584" t="str">
        <f>Partit!E283</f>
        <v>na</v>
      </c>
      <c r="L283" s="584" t="str">
        <f>IF(K283="na","na",IF(K283="TBD","TBD",IF($C283="na","na",(K283*Eqtn!$D$202*($C283+Eqtn!$D$203+(Eqtn!$D$204*$D283))))))</f>
        <v>na</v>
      </c>
      <c r="M283" s="584" t="str">
        <f>IF(K283="na","na",IF(K283="TBD","TBD",IF($C283="na","na",((K283*Eqtn!$D$205)*($C283+Eqtn!$D$206)))))</f>
        <v>na</v>
      </c>
      <c r="N283" s="695"/>
      <c r="O283" s="348" t="str">
        <f>IF(N283="na","na",IF(N283="TBD","TBD",IF($C283="na","na",(N283*Eqtn!$D$202*($C283+Eqtn!$D$203+(Eqtn!$D$204*$D283))))))</f>
        <v>na</v>
      </c>
      <c r="P283" s="367" t="str">
        <f>IF(N283="na","na",IF(N283="TBD","TBD",IF($C283="na","na",((N283*Eqtn!$D$205)*($C283+Eqtn!$D$206)))))</f>
        <v>na</v>
      </c>
      <c r="R283" s="1062"/>
    </row>
    <row r="284" spans="1:18" ht="13.9" customHeight="1" x14ac:dyDescent="0.25">
      <c r="A284" s="846">
        <f>Chem!A284</f>
        <v>282</v>
      </c>
      <c r="B284" s="1588" t="str">
        <f>Chem!B284</f>
        <v>2-(2,4,5-Trichlorophenoxy)propionic acid (2,4,5-TP)</v>
      </c>
      <c r="C284" s="423">
        <f>Param!F284</f>
        <v>0.17500000000000002</v>
      </c>
      <c r="D284" s="423">
        <f>Param!M284</f>
        <v>3.7040065412919002E-7</v>
      </c>
      <c r="E284" s="461">
        <f>PW!O284</f>
        <v>50</v>
      </c>
      <c r="F284" s="461">
        <f>IF(E284="na","na",IF($C284="na","na",(E284*Eqtn!$D$202*($C284+Eqtn!$D$203+(Eqtn!$D$204*$D284)))))</f>
        <v>0.37500003210139005</v>
      </c>
      <c r="G284" s="461">
        <f>IF(E284="na","na",IF($C284="na","na",((E284*Eqtn!$D$205)*($C284+Eqtn!$D$206))))</f>
        <v>2.3083333333333334E-2</v>
      </c>
      <c r="H284" s="221">
        <f>SW!R284</f>
        <v>400</v>
      </c>
      <c r="I284" s="289">
        <f>IF(H284="na","na",IF($C284="na","na",(H284*Eqtn!$D$202*($C284+Eqtn!$D$203+(Eqtn!$D$204*$D284)))))</f>
        <v>3.0000002568111204</v>
      </c>
      <c r="J284" s="289">
        <f>IF(H284="na","na",IF($C284="na","na",((H284*Eqtn!$D$205)*($C284+Eqtn!$D$206))))</f>
        <v>0.18466666666666667</v>
      </c>
      <c r="K284" s="584" t="str">
        <f>Partit!E284</f>
        <v>na</v>
      </c>
      <c r="L284" s="584" t="str">
        <f>IF(K284="na","na",IF(K284="TBD","TBD",IF($C284="na","na",(K284*Eqtn!$D$202*($C284+Eqtn!$D$203+(Eqtn!$D$204*$D284))))))</f>
        <v>na</v>
      </c>
      <c r="M284" s="584" t="str">
        <f>IF(K284="na","na",IF(K284="TBD","TBD",IF($C284="na","na",((K284*Eqtn!$D$205)*($C284+Eqtn!$D$206)))))</f>
        <v>na</v>
      </c>
      <c r="N284" s="695"/>
      <c r="O284" s="348">
        <f>IF(N284="na","na",IF(N284="TBD","TBD",IF($C284="na","na",(N284*Eqtn!$D$202*($C284+Eqtn!$D$203+(Eqtn!$D$204*$D284))))))</f>
        <v>0</v>
      </c>
      <c r="P284" s="367">
        <f>IF(N284="na","na",IF(N284="TBD","TBD",IF($C284="na","na",((N284*Eqtn!$D$205)*($C284+Eqtn!$D$206)))))</f>
        <v>0</v>
      </c>
      <c r="R284" s="1062"/>
    </row>
    <row r="285" spans="1:18" ht="13.9" customHeight="1" x14ac:dyDescent="0.25">
      <c r="A285" s="846">
        <f>Chem!A285</f>
        <v>283</v>
      </c>
      <c r="B285" s="1588" t="str">
        <f>Chem!B285</f>
        <v>2,4,5-Trichlorophenoxyacetic acid (2,4,5-T)</v>
      </c>
      <c r="C285" s="423">
        <f>Param!F285</f>
        <v>0.107</v>
      </c>
      <c r="D285" s="423">
        <f>Param!M285</f>
        <v>3.5486508585445599E-7</v>
      </c>
      <c r="E285" s="461">
        <f>PW!O285</f>
        <v>160</v>
      </c>
      <c r="F285" s="461">
        <f>IF(E285="na","na",IF($C285="na","na",(E285*Eqtn!$D$202*($C285+Eqtn!$D$203+(Eqtn!$D$204*$D285)))))</f>
        <v>0.98240009841591724</v>
      </c>
      <c r="G285" s="461">
        <f>IF(E285="na","na",IF($C285="na","na",((E285*Eqtn!$D$205)*($C285+Eqtn!$D$206))))</f>
        <v>6.2986666666666663E-2</v>
      </c>
      <c r="H285" s="221" t="str">
        <f>SW!R285</f>
        <v>na</v>
      </c>
      <c r="I285" s="289" t="str">
        <f>IF(H285="na","na",IF($C285="na","na",(H285*Eqtn!$D$202*($C285+Eqtn!$D$203+(Eqtn!$D$204*$D285)))))</f>
        <v>na</v>
      </c>
      <c r="J285" s="289" t="str">
        <f>IF(H285="na","na",IF($C285="na","na",((H285*Eqtn!$D$205)*($C285+Eqtn!$D$206))))</f>
        <v>na</v>
      </c>
      <c r="K285" s="584" t="str">
        <f>Partit!E285</f>
        <v>na</v>
      </c>
      <c r="L285" s="584" t="str">
        <f>IF(K285="na","na",IF(K285="TBD","TBD",IF($C285="na","na",(K285*Eqtn!$D$202*($C285+Eqtn!$D$203+(Eqtn!$D$204*$D285))))))</f>
        <v>na</v>
      </c>
      <c r="M285" s="584" t="str">
        <f>IF(K285="na","na",IF(K285="TBD","TBD",IF($C285="na","na",((K285*Eqtn!$D$205)*($C285+Eqtn!$D$206)))))</f>
        <v>na</v>
      </c>
      <c r="N285" s="695"/>
      <c r="O285" s="348">
        <f>IF(N285="na","na",IF(N285="TBD","TBD",IF($C285="na","na",(N285*Eqtn!$D$202*($C285+Eqtn!$D$203+(Eqtn!$D$204*$D285))))))</f>
        <v>0</v>
      </c>
      <c r="P285" s="367">
        <f>IF(N285="na","na",IF(N285="TBD","TBD",IF($C285="na","na",((N285*Eqtn!$D$205)*($C285+Eqtn!$D$206)))))</f>
        <v>0</v>
      </c>
      <c r="R285" s="1062"/>
    </row>
    <row r="286" spans="1:18" ht="13.9" customHeight="1" x14ac:dyDescent="0.25">
      <c r="A286" s="846">
        <f>Chem!A286</f>
        <v>284</v>
      </c>
      <c r="B286" s="1588" t="str">
        <f>Chem!B286</f>
        <v>Dalapon</v>
      </c>
      <c r="C286" s="423">
        <f>Param!F286</f>
        <v>3.2300000000000002E-3</v>
      </c>
      <c r="D286" s="423">
        <f>Param!M286</f>
        <v>1.0405908831630235E-6</v>
      </c>
      <c r="E286" s="461">
        <f>PW!O286</f>
        <v>200</v>
      </c>
      <c r="F286" s="461">
        <f>IF(E286="na","na",IF($C286="na","na",(E286*Eqtn!$D$202*($C286+Eqtn!$D$203+(Eqtn!$D$204*$D286)))))</f>
        <v>0.81292036073817275</v>
      </c>
      <c r="G286" s="461">
        <f>IF(E286="na","na",IF($C286="na","na",((E286*Eqtn!$D$205)*($C286+Eqtn!$D$206))))</f>
        <v>5.7979333333333341E-2</v>
      </c>
      <c r="H286" s="221" t="str">
        <f>SW!R286</f>
        <v>na</v>
      </c>
      <c r="I286" s="289" t="str">
        <f>IF(H286="na","na",IF($C286="na","na",(H286*Eqtn!$D$202*($C286+Eqtn!$D$203+(Eqtn!$D$204*$D286)))))</f>
        <v>na</v>
      </c>
      <c r="J286" s="289" t="str">
        <f>IF(H286="na","na",IF($C286="na","na",((H286*Eqtn!$D$205)*($C286+Eqtn!$D$206))))</f>
        <v>na</v>
      </c>
      <c r="K286" s="584" t="str">
        <f>Partit!E286</f>
        <v>na</v>
      </c>
      <c r="L286" s="584" t="str">
        <f>IF(K286="na","na",IF(K286="TBD","TBD",IF($C286="na","na",(K286*Eqtn!$D$202*($C286+Eqtn!$D$203+(Eqtn!$D$204*$D286))))))</f>
        <v>na</v>
      </c>
      <c r="M286" s="584" t="str">
        <f>IF(K286="na","na",IF(K286="TBD","TBD",IF($C286="na","na",((K286*Eqtn!$D$205)*($C286+Eqtn!$D$206)))))</f>
        <v>na</v>
      </c>
      <c r="N286" s="695"/>
      <c r="O286" s="348">
        <f>IF(N286="na","na",IF(N286="TBD","TBD",IF($C286="na","na",(N286*Eqtn!$D$202*($C286+Eqtn!$D$203+(Eqtn!$D$204*$D286))))))</f>
        <v>0</v>
      </c>
      <c r="P286" s="367">
        <f>IF(N286="na","na",IF(N286="TBD","TBD",IF($C286="na","na",((N286*Eqtn!$D$205)*($C286+Eqtn!$D$206)))))</f>
        <v>0</v>
      </c>
      <c r="R286" s="1062"/>
    </row>
    <row r="287" spans="1:18" ht="13.9" customHeight="1" x14ac:dyDescent="0.25">
      <c r="A287" s="846">
        <f>Chem!A287</f>
        <v>285</v>
      </c>
      <c r="B287" s="1588" t="str">
        <f>Chem!B287</f>
        <v>Dicamba</v>
      </c>
      <c r="C287" s="423">
        <f>Param!F287</f>
        <v>2.9000000000000001E-2</v>
      </c>
      <c r="D287" s="423">
        <f>Param!M287</f>
        <v>8.9125102207686005E-8</v>
      </c>
      <c r="E287" s="461">
        <f>PW!O287</f>
        <v>480</v>
      </c>
      <c r="F287" s="461">
        <f>IF(E287="na","na",IF($C287="na","na",(E287*Eqtn!$D$202*($C287+Eqtn!$D$203+(Eqtn!$D$204*$D287)))))</f>
        <v>2.1984000741520848</v>
      </c>
      <c r="G287" s="461">
        <f>IF(E287="na","na",IF($C287="na","na",((E287*Eqtn!$D$205)*($C287+Eqtn!$D$206))))</f>
        <v>0.15152000000000002</v>
      </c>
      <c r="H287" s="221" t="str">
        <f>SW!R287</f>
        <v>na</v>
      </c>
      <c r="I287" s="289" t="str">
        <f>IF(H287="na","na",IF($C287="na","na",(H287*Eqtn!$D$202*($C287+Eqtn!$D$203+(Eqtn!$D$204*$D287)))))</f>
        <v>na</v>
      </c>
      <c r="J287" s="289" t="str">
        <f>IF(H287="na","na",IF($C287="na","na",((H287*Eqtn!$D$205)*($C287+Eqtn!$D$206))))</f>
        <v>na</v>
      </c>
      <c r="K287" s="584" t="str">
        <f>Partit!E287</f>
        <v>na</v>
      </c>
      <c r="L287" s="584" t="str">
        <f>IF(K287="na","na",IF(K287="TBD","TBD",IF($C287="na","na",(K287*Eqtn!$D$202*($C287+Eqtn!$D$203+(Eqtn!$D$204*$D287))))))</f>
        <v>na</v>
      </c>
      <c r="M287" s="584" t="str">
        <f>IF(K287="na","na",IF(K287="TBD","TBD",IF($C287="na","na",((K287*Eqtn!$D$205)*($C287+Eqtn!$D$206)))))</f>
        <v>na</v>
      </c>
      <c r="N287" s="695"/>
      <c r="O287" s="348">
        <f>IF(N287="na","na",IF(N287="TBD","TBD",IF($C287="na","na",(N287*Eqtn!$D$202*($C287+Eqtn!$D$203+(Eqtn!$D$204*$D287))))))</f>
        <v>0</v>
      </c>
      <c r="P287" s="367">
        <f>IF(N287="na","na",IF(N287="TBD","TBD",IF($C287="na","na",((N287*Eqtn!$D$205)*($C287+Eqtn!$D$206)))))</f>
        <v>0</v>
      </c>
      <c r="R287" s="1062"/>
    </row>
    <row r="288" spans="1:18" ht="13.9" customHeight="1" x14ac:dyDescent="0.25">
      <c r="A288" s="846">
        <f>Chem!A288</f>
        <v>286</v>
      </c>
      <c r="B288" s="1588" t="str">
        <f>Chem!B288</f>
        <v>Dichloroprop</v>
      </c>
      <c r="C288" s="423" t="str">
        <f>Param!F288</f>
        <v>na</v>
      </c>
      <c r="D288" s="423">
        <f>Param!M288</f>
        <v>0</v>
      </c>
      <c r="E288" s="461" t="str">
        <f>PW!O288</f>
        <v>na</v>
      </c>
      <c r="F288" s="461" t="str">
        <f>IF(E288="na","na",IF($C288="na","na",(E288*Eqtn!$D$202*($C288+Eqtn!$D$203+(Eqtn!$D$204*$D288)))))</f>
        <v>na</v>
      </c>
      <c r="G288" s="461" t="str">
        <f>IF(E288="na","na",IF($C288="na","na",((E288*Eqtn!$D$205)*($C288+Eqtn!$D$206))))</f>
        <v>na</v>
      </c>
      <c r="H288" s="221" t="str">
        <f>SW!R288</f>
        <v>na</v>
      </c>
      <c r="I288" s="289" t="str">
        <f>IF(H288="na","na",IF($C288="na","na",(H288*Eqtn!$D$202*($C288+Eqtn!$D$203+(Eqtn!$D$204*$D288)))))</f>
        <v>na</v>
      </c>
      <c r="J288" s="289" t="str">
        <f>IF(H288="na","na",IF($C288="na","na",((H288*Eqtn!$D$205)*($C288+Eqtn!$D$206))))</f>
        <v>na</v>
      </c>
      <c r="K288" s="584" t="str">
        <f>Partit!E288</f>
        <v>na</v>
      </c>
      <c r="L288" s="584" t="str">
        <f>IF(K288="na","na",IF(K288="TBD","TBD",IF($C288="na","na",(K288*Eqtn!$D$202*($C288+Eqtn!$D$203+(Eqtn!$D$204*$D288))))))</f>
        <v>na</v>
      </c>
      <c r="M288" s="584" t="str">
        <f>IF(K288="na","na",IF(K288="TBD","TBD",IF($C288="na","na",((K288*Eqtn!$D$205)*($C288+Eqtn!$D$206)))))</f>
        <v>na</v>
      </c>
      <c r="N288" s="695"/>
      <c r="O288" s="348" t="str">
        <f>IF(N288="na","na",IF(N288="TBD","TBD",IF($C288="na","na",(N288*Eqtn!$D$202*($C288+Eqtn!$D$203+(Eqtn!$D$204*$D288))))))</f>
        <v>na</v>
      </c>
      <c r="P288" s="367" t="str">
        <f>IF(N288="na","na",IF(N288="TBD","TBD",IF($C288="na","na",((N288*Eqtn!$D$205)*($C288+Eqtn!$D$206)))))</f>
        <v>na</v>
      </c>
      <c r="R288" s="1062"/>
    </row>
    <row r="289" spans="1:18" ht="13.9" customHeight="1" x14ac:dyDescent="0.25">
      <c r="A289" s="846">
        <f>Chem!A289</f>
        <v>287</v>
      </c>
      <c r="B289" s="1588" t="str">
        <f>Chem!B289</f>
        <v>Dinoseb</v>
      </c>
      <c r="C289" s="423">
        <f>Param!F289</f>
        <v>4.29</v>
      </c>
      <c r="D289" s="423">
        <f>Param!M289</f>
        <v>1.8642681929681101E-5</v>
      </c>
      <c r="E289" s="461">
        <f>PW!O289</f>
        <v>7</v>
      </c>
      <c r="F289" s="461">
        <f>IF(E289="na","na",IF($C289="na","na",(E289*Eqtn!$D$202*($C289+Eqtn!$D$203+(Eqtn!$D$204*$D289)))))</f>
        <v>0.62860022619787415</v>
      </c>
      <c r="G289" s="461">
        <f>IF(E289="na","na",IF($C289="na","na",((E289*Eqtn!$D$205)*($C289+Eqtn!$D$206))))</f>
        <v>3.2036666666666672E-2</v>
      </c>
      <c r="H289" s="221" t="str">
        <f>SW!R289</f>
        <v>na</v>
      </c>
      <c r="I289" s="289" t="str">
        <f>IF(H289="na","na",IF($C289="na","na",(H289*Eqtn!$D$202*($C289+Eqtn!$D$203+(Eqtn!$D$204*$D289)))))</f>
        <v>na</v>
      </c>
      <c r="J289" s="289" t="str">
        <f>IF(H289="na","na",IF($C289="na","na",((H289*Eqtn!$D$205)*($C289+Eqtn!$D$206))))</f>
        <v>na</v>
      </c>
      <c r="K289" s="584" t="str">
        <f>Partit!E289</f>
        <v>na</v>
      </c>
      <c r="L289" s="584" t="str">
        <f>IF(K289="na","na",IF(K289="TBD","TBD",IF($C289="na","na",(K289*Eqtn!$D$202*($C289+Eqtn!$D$203+(Eqtn!$D$204*$D289))))))</f>
        <v>na</v>
      </c>
      <c r="M289" s="584" t="str">
        <f>IF(K289="na","na",IF(K289="TBD","TBD",IF($C289="na","na",((K289*Eqtn!$D$205)*($C289+Eqtn!$D$206)))))</f>
        <v>na</v>
      </c>
      <c r="N289" s="695"/>
      <c r="O289" s="348">
        <f>IF(N289="na","na",IF(N289="TBD","TBD",IF($C289="na","na",(N289*Eqtn!$D$202*($C289+Eqtn!$D$203+(Eqtn!$D$204*$D289))))))</f>
        <v>0</v>
      </c>
      <c r="P289" s="367">
        <f>IF(N289="na","na",IF(N289="TBD","TBD",IF($C289="na","na",((N289*Eqtn!$D$205)*($C289+Eqtn!$D$206)))))</f>
        <v>0</v>
      </c>
      <c r="R289" s="1062"/>
    </row>
    <row r="290" spans="1:18" ht="13.9" customHeight="1" x14ac:dyDescent="0.25">
      <c r="A290" s="846">
        <f>Chem!A290</f>
        <v>288</v>
      </c>
      <c r="B290" s="1588" t="str">
        <f>Chem!B290</f>
        <v>2-Methyl-4-chlorophenoxy acetic acid (MCPA)</v>
      </c>
      <c r="C290" s="423">
        <f>Param!F290</f>
        <v>2.9600000000000001E-2</v>
      </c>
      <c r="D290" s="423">
        <f>Param!M290</f>
        <v>5.4374488961569898E-8</v>
      </c>
      <c r="E290" s="461">
        <f>PW!O290</f>
        <v>8</v>
      </c>
      <c r="F290" s="461">
        <f>IF(E290="na","na",IF($C290="na","na",(E290*Eqtn!$D$202*($C290+Eqtn!$D$203+(Eqtn!$D$204*$D290)))))</f>
        <v>3.6736000753992908E-2</v>
      </c>
      <c r="G290" s="461">
        <f>IF(E290="na","na",IF($C290="na","na",((E290*Eqtn!$D$205)*($C290+Eqtn!$D$206))))</f>
        <v>2.5301333333333335E-3</v>
      </c>
      <c r="H290" s="221" t="str">
        <f>SW!R290</f>
        <v>na</v>
      </c>
      <c r="I290" s="289" t="str">
        <f>IF(H290="na","na",IF($C290="na","na",(H290*Eqtn!$D$202*($C290+Eqtn!$D$203+(Eqtn!$D$204*$D290)))))</f>
        <v>na</v>
      </c>
      <c r="J290" s="289" t="str">
        <f>IF(H290="na","na",IF($C290="na","na",((H290*Eqtn!$D$205)*($C290+Eqtn!$D$206))))</f>
        <v>na</v>
      </c>
      <c r="K290" s="584" t="str">
        <f>Partit!E290</f>
        <v>na</v>
      </c>
      <c r="L290" s="584" t="str">
        <f>IF(K290="na","na",IF(K290="TBD","TBD",IF($C290="na","na",(K290*Eqtn!$D$202*($C290+Eqtn!$D$203+(Eqtn!$D$204*$D290))))))</f>
        <v>na</v>
      </c>
      <c r="M290" s="584" t="str">
        <f>IF(K290="na","na",IF(K290="TBD","TBD",IF($C290="na","na",((K290*Eqtn!$D$205)*($C290+Eqtn!$D$206)))))</f>
        <v>na</v>
      </c>
      <c r="N290" s="695"/>
      <c r="O290" s="348">
        <f>IF(N290="na","na",IF(N290="TBD","TBD",IF($C290="na","na",(N290*Eqtn!$D$202*($C290+Eqtn!$D$203+(Eqtn!$D$204*$D290))))))</f>
        <v>0</v>
      </c>
      <c r="P290" s="367">
        <f>IF(N290="na","na",IF(N290="TBD","TBD",IF($C290="na","na",((N290*Eqtn!$D$205)*($C290+Eqtn!$D$206)))))</f>
        <v>0</v>
      </c>
      <c r="R290" s="1062"/>
    </row>
    <row r="291" spans="1:18" ht="13.9" customHeight="1" thickBot="1" x14ac:dyDescent="0.3">
      <c r="A291" s="1662">
        <f>Chem!A291</f>
        <v>289</v>
      </c>
      <c r="B291" s="1589" t="str">
        <f>Chem!B291</f>
        <v>(2-Methyl-4-chlorophenol)2-propionic acid (MCPP)</v>
      </c>
      <c r="C291" s="424">
        <f>Param!F291</f>
        <v>4.8500000000000001E-2</v>
      </c>
      <c r="D291" s="424">
        <f>Param!M291</f>
        <v>7.4407195421095696E-7</v>
      </c>
      <c r="E291" s="462">
        <f>PW!O291</f>
        <v>16</v>
      </c>
      <c r="F291" s="462">
        <f>IF(E291="na","na",IF($C291="na","na",(E291*Eqtn!$D$202*($C291+Eqtn!$D$203+(Eqtn!$D$204*$D291)))))</f>
        <v>7.9520020635595531E-2</v>
      </c>
      <c r="G291" s="462">
        <f>IF(E291="na","na",IF($C291="na","na",((E291*Eqtn!$D$205)*($C291+Eqtn!$D$206))))</f>
        <v>5.3626666666666666E-3</v>
      </c>
      <c r="H291" s="265" t="str">
        <f>SW!R291</f>
        <v>na</v>
      </c>
      <c r="I291" s="581" t="str">
        <f>IF(H291="na","na",IF($C291="na","na",(H291*Eqtn!$D$202*($C291+Eqtn!$D$203+(Eqtn!$D$204*$D291)))))</f>
        <v>na</v>
      </c>
      <c r="J291" s="581" t="str">
        <f>IF(H291="na","na",IF($C291="na","na",((H291*Eqtn!$D$205)*($C291+Eqtn!$D$206))))</f>
        <v>na</v>
      </c>
      <c r="K291" s="586" t="str">
        <f>Partit!E291</f>
        <v>na</v>
      </c>
      <c r="L291" s="586" t="str">
        <f>IF(K291="na","na",IF(K291="TBD","TBD",IF($C291="na","na",(K291*Eqtn!$D$202*($C291+Eqtn!$D$203+(Eqtn!$D$204*$D291))))))</f>
        <v>na</v>
      </c>
      <c r="M291" s="586" t="str">
        <f>IF(K291="na","na",IF(K291="TBD","TBD",IF($C291="na","na",((K291*Eqtn!$D$205)*($C291+Eqtn!$D$206)))))</f>
        <v>na</v>
      </c>
      <c r="N291" s="1233"/>
      <c r="O291" s="725">
        <f>IF(N291="na","na",IF(N291="TBD","TBD",IF($C291="na","na",(N291*Eqtn!$D$202*($C291+Eqtn!$D$203+(Eqtn!$D$204*$D291))))))</f>
        <v>0</v>
      </c>
      <c r="P291" s="726">
        <f>IF(N291="na","na",IF(N291="TBD","TBD",IF($C291="na","na",((N291*Eqtn!$D$205)*($C291+Eqtn!$D$206)))))</f>
        <v>0</v>
      </c>
      <c r="R291" s="1065"/>
    </row>
    <row r="292" spans="1:18" ht="12.75" thickTop="1" x14ac:dyDescent="0.2">
      <c r="B292" s="888"/>
      <c r="C292" s="362"/>
      <c r="D292" s="362"/>
      <c r="E292" s="362"/>
      <c r="F292" s="362"/>
      <c r="G292" s="362"/>
      <c r="H292" s="247"/>
      <c r="I292" s="267"/>
      <c r="J292" s="267"/>
      <c r="K292" s="267"/>
      <c r="L292" s="267"/>
      <c r="M292" s="267"/>
      <c r="N292" s="267"/>
      <c r="O292" s="267"/>
      <c r="P292" s="267"/>
      <c r="R292" s="968">
        <f>COUNTA(R4:R291)</f>
        <v>0</v>
      </c>
    </row>
  </sheetData>
  <autoFilter ref="A2:R291" xr:uid="{00000000-0009-0000-0000-00000B000000}"/>
  <printOptions horizontalCentered="1"/>
  <pageMargins left="0.7" right="0.7" top="0.75" bottom="0.75" header="0.3" footer="0.3"/>
  <pageSetup orientation="landscape" horizontalDpi="1200" verticalDpi="1200" r:id="rId1"/>
  <headerFooter scaleWithDoc="0">
    <oddFooter>&amp;R&amp;"Arial,Regular"&amp;9Page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B336"/>
  <sheetViews>
    <sheetView zoomScaleNormal="100" workbookViewId="0">
      <pane xSplit="2" ySplit="2" topLeftCell="C27" activePane="bottomRight" state="frozen"/>
      <selection activeCell="B1" sqref="B1"/>
      <selection pane="topRight" activeCell="C1" sqref="C1"/>
      <selection pane="bottomLeft" activeCell="B3" sqref="B3"/>
      <selection pane="bottomRight" activeCell="G41" sqref="G41"/>
    </sheetView>
  </sheetViews>
  <sheetFormatPr defaultColWidth="8.85546875" defaultRowHeight="12" x14ac:dyDescent="0.25"/>
  <cols>
    <col min="1" max="1" width="5.85546875" style="247" customWidth="1"/>
    <col min="2" max="2" width="35.140625" style="255" customWidth="1"/>
    <col min="3" max="3" width="10" style="136" customWidth="1"/>
    <col min="4" max="4" width="9.7109375" style="255" customWidth="1"/>
    <col min="5" max="5" width="10.85546875" style="255" customWidth="1"/>
    <col min="6" max="6" width="12.42578125" style="255" customWidth="1"/>
    <col min="7" max="7" width="11.7109375" style="136" customWidth="1"/>
    <col min="8" max="8" width="10.7109375" style="136" customWidth="1"/>
    <col min="9" max="9" width="12.7109375" style="267" customWidth="1"/>
    <col min="10" max="10" width="10.7109375" style="136" customWidth="1"/>
    <col min="11" max="11" width="12.28515625" style="136" customWidth="1"/>
    <col min="12" max="12" width="11.140625" style="136" customWidth="1"/>
    <col min="13" max="13" width="12.7109375" style="136" customWidth="1"/>
    <col min="14" max="14" width="11.140625" style="136" customWidth="1"/>
    <col min="15" max="15" width="13.7109375" style="136" customWidth="1"/>
    <col min="16" max="16" width="15.85546875" style="136" customWidth="1"/>
    <col min="17" max="17" width="3.28515625" style="255" customWidth="1"/>
    <col min="18" max="18" width="12.7109375" style="255" customWidth="1"/>
    <col min="19" max="26" width="4.42578125" style="136" customWidth="1"/>
    <col min="27" max="27" width="3.5703125" style="255" customWidth="1"/>
    <col min="28" max="28" width="9.85546875" style="136" customWidth="1"/>
    <col min="29" max="16384" width="8.85546875" style="255"/>
  </cols>
  <sheetData>
    <row r="1" spans="1:28" s="260" customFormat="1" ht="15.4" customHeight="1" thickTop="1" thickBot="1" x14ac:dyDescent="0.3">
      <c r="B1" s="248" t="s">
        <v>739</v>
      </c>
      <c r="C1" s="48"/>
      <c r="D1" s="48"/>
      <c r="E1" s="48"/>
      <c r="F1" s="48"/>
      <c r="G1" s="48"/>
      <c r="H1" s="48"/>
      <c r="I1" s="295"/>
      <c r="J1" s="48"/>
      <c r="K1" s="48"/>
      <c r="L1" s="48"/>
      <c r="M1" s="48"/>
      <c r="N1" s="48"/>
      <c r="O1" s="48"/>
      <c r="P1" s="48"/>
      <c r="S1" s="2655" t="s">
        <v>222</v>
      </c>
      <c r="T1" s="2656"/>
      <c r="U1" s="2656"/>
      <c r="V1" s="2656"/>
      <c r="W1" s="2656"/>
      <c r="X1" s="2656"/>
      <c r="Y1" s="2656"/>
      <c r="Z1" s="2657"/>
      <c r="AB1" s="295"/>
    </row>
    <row r="2" spans="1:28" s="362" customFormat="1" ht="77.650000000000006" customHeight="1" thickTop="1" thickBot="1" x14ac:dyDescent="0.25">
      <c r="A2" s="1709" t="s">
        <v>445</v>
      </c>
      <c r="B2" s="1735" t="s">
        <v>640</v>
      </c>
      <c r="C2" s="1738" t="s">
        <v>1719</v>
      </c>
      <c r="D2" s="1735" t="s">
        <v>1720</v>
      </c>
      <c r="E2" s="1738" t="s">
        <v>1721</v>
      </c>
      <c r="F2" s="1738" t="s">
        <v>414</v>
      </c>
      <c r="G2" s="1727" t="s">
        <v>305</v>
      </c>
      <c r="H2" s="1738" t="s">
        <v>1707</v>
      </c>
      <c r="I2" s="1738" t="s">
        <v>234</v>
      </c>
      <c r="J2" s="1738" t="s">
        <v>300</v>
      </c>
      <c r="K2" s="1738" t="s">
        <v>306</v>
      </c>
      <c r="L2" s="1738" t="s">
        <v>1708</v>
      </c>
      <c r="M2" s="1738" t="s">
        <v>235</v>
      </c>
      <c r="N2" s="1738" t="s">
        <v>301</v>
      </c>
      <c r="O2" s="1738" t="s">
        <v>435</v>
      </c>
      <c r="P2" s="1743" t="s">
        <v>518</v>
      </c>
      <c r="R2" s="1749" t="s">
        <v>630</v>
      </c>
      <c r="S2" s="1750" t="s">
        <v>226</v>
      </c>
      <c r="T2" s="1750" t="s">
        <v>227</v>
      </c>
      <c r="U2" s="1750" t="s">
        <v>228</v>
      </c>
      <c r="V2" s="1750" t="s">
        <v>287</v>
      </c>
      <c r="W2" s="1750" t="s">
        <v>400</v>
      </c>
      <c r="X2" s="1750" t="s">
        <v>629</v>
      </c>
      <c r="Y2" s="1750" t="s">
        <v>288</v>
      </c>
      <c r="Z2" s="1751" t="s">
        <v>229</v>
      </c>
      <c r="AB2" s="1724" t="s">
        <v>465</v>
      </c>
    </row>
    <row r="3" spans="1:28" ht="13.9" customHeight="1" thickTop="1" x14ac:dyDescent="0.25">
      <c r="A3" s="907">
        <f>Chem!A3</f>
        <v>1</v>
      </c>
      <c r="B3" s="896" t="str">
        <f>Chem!B3</f>
        <v>PCBs</v>
      </c>
      <c r="C3" s="268"/>
      <c r="D3" s="211"/>
      <c r="E3" s="211"/>
      <c r="F3" s="211"/>
      <c r="G3" s="211"/>
      <c r="H3" s="211"/>
      <c r="I3" s="334"/>
      <c r="J3" s="211"/>
      <c r="K3" s="211"/>
      <c r="L3" s="211"/>
      <c r="M3" s="211"/>
      <c r="N3" s="211"/>
      <c r="O3" s="211"/>
      <c r="P3" s="1050"/>
      <c r="R3" s="250" t="s">
        <v>86</v>
      </c>
      <c r="S3" s="269"/>
      <c r="T3" s="269"/>
      <c r="U3" s="269"/>
      <c r="V3" s="269"/>
      <c r="W3" s="269"/>
      <c r="X3" s="269"/>
      <c r="Y3" s="269"/>
      <c r="Z3" s="2367"/>
      <c r="AB3" s="1061"/>
    </row>
    <row r="4" spans="1:28" ht="13.9" customHeight="1" x14ac:dyDescent="0.25">
      <c r="A4" s="842">
        <f>Chem!A4</f>
        <v>2</v>
      </c>
      <c r="B4" s="860" t="str">
        <f>Chem!B4</f>
        <v>Total PCB Aroclors</v>
      </c>
      <c r="C4" s="531">
        <v>0.5</v>
      </c>
      <c r="D4" s="387" t="s">
        <v>232</v>
      </c>
      <c r="E4" s="387">
        <v>0.5</v>
      </c>
      <c r="F4" s="387">
        <f>IF(C4="na",IF(D4="na",IF(E4="na","na",MIN(C4:E4)),MIN(C4:E4)),MIN(C4:E4))</f>
        <v>0.5</v>
      </c>
      <c r="G4" s="403" t="str">
        <f>'GW-Eq'!G4</f>
        <v>na</v>
      </c>
      <c r="H4" s="403" t="str">
        <f>IF(F4="na","na",IF(G4="na","na",F4/G4))</f>
        <v>na</v>
      </c>
      <c r="I4" s="403" t="str">
        <f>IF(H4="na","na",IF(H4&gt;1,"YES","no"))</f>
        <v>na</v>
      </c>
      <c r="J4" s="403">
        <f>IF(I4="YES",G4,IF(ISNUMBER(F4),F4,G4))</f>
        <v>0.5</v>
      </c>
      <c r="K4" s="270">
        <f>'GW-Eq'!H4</f>
        <v>2.1874999999999995E-2</v>
      </c>
      <c r="L4" s="270">
        <f>IF(F4="na","na",IF(K4="na","na",F4/K4))</f>
        <v>22.857142857142861</v>
      </c>
      <c r="M4" s="270" t="str">
        <f>IF(L4="na","na",IF(L4&gt;10,"YES","no"))</f>
        <v>YES</v>
      </c>
      <c r="N4" s="270">
        <f>IF(M4="YES",10*K4,IF(M4="no",F4,K4))</f>
        <v>0.21874999999999994</v>
      </c>
      <c r="O4" s="330">
        <f>IF(OR(ISNUMBER($J4),ISNUMBER($N4)),MIN($J4,$N4),"na")</f>
        <v>0.21874999999999994</v>
      </c>
      <c r="P4" s="2522" t="str">
        <f>VI!F4</f>
        <v>na</v>
      </c>
      <c r="R4" s="264">
        <f>IF(MIN(O4,P4)=0,"na",MIN(O4,P4))</f>
        <v>0.21874999999999994</v>
      </c>
      <c r="S4" s="236" t="str">
        <f>IF($R4="na","",IF($R4=$C4,"X",""))</f>
        <v/>
      </c>
      <c r="T4" s="236" t="str">
        <f>IF($R4="na","",IF($R4=$D4,"X",""))</f>
        <v/>
      </c>
      <c r="U4" s="236" t="str">
        <f>IF($R4="na","",IF($R4=$E4,"X",""))</f>
        <v/>
      </c>
      <c r="V4" s="236" t="str">
        <f>IF($R4="na","",IF(AND($F4="na",$R4=$J4),"X",""))</f>
        <v/>
      </c>
      <c r="W4" s="236" t="str">
        <f>IF($R4="na","",IF(AND($F4="na",$R4=$N4),"X",""))</f>
        <v/>
      </c>
      <c r="X4" s="236" t="str">
        <f>IF(OR($R4="na",$J4="na"),"",IF(AND(ISNUMBER($F4),I4="YES",$R4=$J4),"X",""))</f>
        <v/>
      </c>
      <c r="Y4" s="236" t="str">
        <f>IF(OR($R4="na",$N4="na"),"",IF(AND(ISNUMBER($F4),$R4=10*$K4),"X",""))</f>
        <v>X</v>
      </c>
      <c r="Z4" s="235" t="str">
        <f>IF($R4="na","",IF($R4=$P4,"X",""))</f>
        <v/>
      </c>
      <c r="AB4" s="1062"/>
    </row>
    <row r="5" spans="1:28" ht="13.9" customHeight="1" x14ac:dyDescent="0.25">
      <c r="A5" s="842">
        <f>Chem!A5</f>
        <v>3</v>
      </c>
      <c r="B5" s="855" t="str">
        <f>Chem!B5</f>
        <v>Total PCB congeners</v>
      </c>
      <c r="C5" s="343">
        <v>0.5</v>
      </c>
      <c r="D5" s="384" t="s">
        <v>232</v>
      </c>
      <c r="E5" s="392">
        <v>0.5</v>
      </c>
      <c r="F5" s="392">
        <f>IF(C5="na",IF(D5="na",IF(E5="na","na",MIN(C5:E5)),MIN(C5:E5)),MIN(C5:E5))</f>
        <v>0.5</v>
      </c>
      <c r="G5" s="404" t="str">
        <f>'GW-Eq'!G5</f>
        <v>na</v>
      </c>
      <c r="H5" s="404" t="str">
        <f>IF(F5="na","na",IF(G5="na","na",F5/G5))</f>
        <v>na</v>
      </c>
      <c r="I5" s="403" t="str">
        <f t="shared" ref="I5:I6" si="0">IF(H5="na","na",IF(H5&gt;1,"YES","no"))</f>
        <v>na</v>
      </c>
      <c r="J5" s="403">
        <f t="shared" ref="J5:J6" si="1">IF(I5="YES",G5,IF(ISNUMBER(F5),F5,G5))</f>
        <v>0.5</v>
      </c>
      <c r="K5" s="272">
        <f>'GW-Eq'!H5</f>
        <v>2.1874999999999995E-2</v>
      </c>
      <c r="L5" s="272">
        <f>IF(F5="na","na",IF(K5="na","na",F5/K5))</f>
        <v>22.857142857142861</v>
      </c>
      <c r="M5" s="272" t="str">
        <f t="shared" ref="M5:M6" si="2">IF(L5="na","na",IF(L5&gt;10,"YES","no"))</f>
        <v>YES</v>
      </c>
      <c r="N5" s="272">
        <f t="shared" ref="N5:N6" si="3">IF(M5="YES",10*K5,IF(M5="no",F5,K5))</f>
        <v>0.21874999999999994</v>
      </c>
      <c r="O5" s="330">
        <f t="shared" ref="O5:O81" si="4">IF(OR(ISNUMBER($J5),ISNUMBER($N5)),MIN($J5,$N5),"na")</f>
        <v>0.21874999999999994</v>
      </c>
      <c r="P5" s="2523" t="str">
        <f>VI!F5</f>
        <v>na</v>
      </c>
      <c r="R5" s="264">
        <f>IF(MIN(O5,P5)=0,"na",MIN(O5,P5))</f>
        <v>0.21874999999999994</v>
      </c>
      <c r="S5" s="236" t="str">
        <f>IF($R5="na","",IF($R5=$C5,"X",""))</f>
        <v/>
      </c>
      <c r="T5" s="236" t="str">
        <f>IF($R5="na","",IF($R5=$D5,"X",""))</f>
        <v/>
      </c>
      <c r="U5" s="236" t="str">
        <f>IF($R5="na","",IF($R5=$E5,"X",""))</f>
        <v/>
      </c>
      <c r="V5" s="236" t="str">
        <f>IF($R5="na","",IF(AND($F5="na",$R5=$J5),"X",""))</f>
        <v/>
      </c>
      <c r="W5" s="236" t="str">
        <f>IF($R5="na","",IF(AND($F5="na",$R5=$N5),"X",""))</f>
        <v/>
      </c>
      <c r="X5" s="236" t="str">
        <f>IF(OR($R5="na",$J5="na"),"",IF(AND(ISNUMBER($F5),I5="YES",$R5=$J5),"X",""))</f>
        <v/>
      </c>
      <c r="Y5" s="236" t="str">
        <f>IF(OR($R5="na",$N5="na"),"",IF(AND(ISNUMBER($F5),$R5=10*$K5),"X",""))</f>
        <v>X</v>
      </c>
      <c r="Z5" s="235" t="str">
        <f>IF($R5="na","",IF($R5=$P5,"X",""))</f>
        <v/>
      </c>
      <c r="AB5" s="1062"/>
    </row>
    <row r="6" spans="1:28" ht="13.9" customHeight="1" x14ac:dyDescent="0.25">
      <c r="A6" s="842">
        <f>Chem!A6</f>
        <v>4</v>
      </c>
      <c r="B6" s="885" t="str">
        <f>Chem!B6</f>
        <v>Total PCB TEQ</v>
      </c>
      <c r="C6" s="546">
        <v>3.0000000000000001E-5</v>
      </c>
      <c r="D6" s="384" t="s">
        <v>232</v>
      </c>
      <c r="E6" s="392">
        <v>3.0000000000000001E-5</v>
      </c>
      <c r="F6" s="392">
        <f>IF(C6="na",IF(D6="na",IF(E6="na","na",MIN(C6:E6)),MIN(C6:E6)),MIN(C6:E6))</f>
        <v>3.0000000000000001E-5</v>
      </c>
      <c r="G6" s="404">
        <f>'GW-Eq'!G6</f>
        <v>5.5999999999999997E-6</v>
      </c>
      <c r="H6" s="404">
        <f>IF(F6="na","na",IF(G6="na","na",F6/G6))</f>
        <v>5.3571428571428577</v>
      </c>
      <c r="I6" s="403" t="str">
        <f t="shared" si="0"/>
        <v>YES</v>
      </c>
      <c r="J6" s="403">
        <f t="shared" si="1"/>
        <v>5.5999999999999997E-6</v>
      </c>
      <c r="K6" s="272">
        <f>'GW-Eq'!H6</f>
        <v>3.3653846153846149E-7</v>
      </c>
      <c r="L6" s="272">
        <f>IF(F6="na","na",IF(K6="na","na",F6/K6))</f>
        <v>89.142857142857153</v>
      </c>
      <c r="M6" s="272" t="str">
        <f t="shared" si="2"/>
        <v>YES</v>
      </c>
      <c r="N6" s="272">
        <f t="shared" si="3"/>
        <v>3.365384615384615E-6</v>
      </c>
      <c r="O6" s="333">
        <f t="shared" si="4"/>
        <v>3.365384615384615E-6</v>
      </c>
      <c r="P6" s="2524" t="str">
        <f>VI!F6</f>
        <v>na</v>
      </c>
      <c r="R6" s="264">
        <f>IF(MIN(O6,P6)=0,"na",MIN(O6,P6))</f>
        <v>3.365384615384615E-6</v>
      </c>
      <c r="S6" s="236" t="str">
        <f>IF($R6="na","",IF($R6=$C6,"X",""))</f>
        <v/>
      </c>
      <c r="T6" s="236" t="str">
        <f>IF($R6="na","",IF($R6=$D6,"X",""))</f>
        <v/>
      </c>
      <c r="U6" s="236" t="str">
        <f>IF($R6="na","",IF($R6=$E6,"X",""))</f>
        <v/>
      </c>
      <c r="V6" s="236" t="str">
        <f>IF($R6="na","",IF(AND($F6="na",$R6=$J6),"X",""))</f>
        <v/>
      </c>
      <c r="W6" s="236" t="str">
        <f>IF($R6="na","",IF(AND($F6="na",$R6=$N6),"X",""))</f>
        <v/>
      </c>
      <c r="X6" s="236" t="str">
        <f>IF(OR($R6="na",$J6="na"),"",IF(AND(ISNUMBER($F6),I6="YES",$R6=$J6),"X",""))</f>
        <v/>
      </c>
      <c r="Y6" s="236" t="str">
        <f>IF(OR($R6="na",$N6="na"),"",IF(AND(ISNUMBER($F6),$R6=10*$K6),"X",""))</f>
        <v>X</v>
      </c>
      <c r="Z6" s="235" t="str">
        <f>IF($R6="na","",IF($R6=$P6,"X",""))</f>
        <v/>
      </c>
      <c r="AB6" s="1062"/>
    </row>
    <row r="7" spans="1:28" ht="13.9" customHeight="1" x14ac:dyDescent="0.25">
      <c r="A7" s="906">
        <f>Chem!A7</f>
        <v>5</v>
      </c>
      <c r="B7" s="897" t="str">
        <f>Chem!B7</f>
        <v xml:space="preserve">Dioxins/Furans </v>
      </c>
      <c r="C7" s="297"/>
      <c r="D7" s="297"/>
      <c r="E7" s="297"/>
      <c r="F7" s="297"/>
      <c r="G7" s="297"/>
      <c r="H7" s="297"/>
      <c r="I7" s="2347"/>
      <c r="J7" s="2365"/>
      <c r="K7" s="297"/>
      <c r="L7" s="297"/>
      <c r="M7" s="2347"/>
      <c r="N7" s="297"/>
      <c r="O7" s="2348"/>
      <c r="P7" s="2366"/>
      <c r="R7" s="258" t="s">
        <v>1</v>
      </c>
      <c r="S7" s="127"/>
      <c r="T7" s="127"/>
      <c r="U7" s="127"/>
      <c r="V7" s="127"/>
      <c r="W7" s="127"/>
      <c r="X7" s="127"/>
      <c r="Y7" s="127"/>
      <c r="Z7" s="2364"/>
      <c r="AB7" s="1063"/>
    </row>
    <row r="8" spans="1:28" ht="13.9" customHeight="1" x14ac:dyDescent="0.25">
      <c r="A8" s="844">
        <f>Chem!A8</f>
        <v>6</v>
      </c>
      <c r="B8" s="859" t="str">
        <f>Chem!B8</f>
        <v>Total dioxin/furan TEQ</v>
      </c>
      <c r="C8" s="546">
        <v>3.0000000000000001E-5</v>
      </c>
      <c r="D8" s="388" t="s">
        <v>232</v>
      </c>
      <c r="E8" s="392">
        <v>3.0000000000000001E-5</v>
      </c>
      <c r="F8" s="392">
        <f>IF(C8="na",IF(D8="na",IF(E8="na","na",MIN(C8:E8)),MIN(C8:E8)),MIN(C8:E8))</f>
        <v>3.0000000000000001E-5</v>
      </c>
      <c r="G8" s="404">
        <f>'GW-Eq'!G8</f>
        <v>5.5999999999999997E-6</v>
      </c>
      <c r="H8" s="404">
        <f>IF(F8="na","na",IF(G8="na","na",F8/G8))</f>
        <v>5.3571428571428577</v>
      </c>
      <c r="I8" s="542" t="str">
        <f t="shared" ref="I8" si="5">IF(H8="na","na",IF(H8&gt;1,"YES","no"))</f>
        <v>YES</v>
      </c>
      <c r="J8" s="542">
        <f t="shared" ref="J8" si="6">IF(I8="YES",G8,IF(ISNUMBER(F8),F8,G8))</f>
        <v>5.5999999999999997E-6</v>
      </c>
      <c r="K8" s="272">
        <f>'GW-Eq'!H8</f>
        <v>3.3653846153846149E-7</v>
      </c>
      <c r="L8" s="272">
        <f>IF(F8="na","na",IF(K8="na","na",F8/K8))</f>
        <v>89.142857142857153</v>
      </c>
      <c r="M8" s="272" t="str">
        <f t="shared" ref="M8" si="7">IF(L8="na","na",IF(L8&gt;10,"YES","no"))</f>
        <v>YES</v>
      </c>
      <c r="N8" s="272">
        <f t="shared" ref="N8" si="8">IF(M8="YES",10*K8,IF(M8="no",F8,K8))</f>
        <v>3.365384615384615E-6</v>
      </c>
      <c r="O8" s="333">
        <f t="shared" si="4"/>
        <v>3.365384615384615E-6</v>
      </c>
      <c r="P8" s="2524" t="str">
        <f>VI!F8</f>
        <v>na</v>
      </c>
      <c r="R8" s="264">
        <f>IF(MIN(O8,P8)=0,"na",MIN(O8,P8))</f>
        <v>3.365384615384615E-6</v>
      </c>
      <c r="S8" s="236" t="str">
        <f>IF($R8="na","",IF($R8=$C8,"X",""))</f>
        <v/>
      </c>
      <c r="T8" s="236" t="str">
        <f>IF($R8="na","",IF($R8=$D8,"X",""))</f>
        <v/>
      </c>
      <c r="U8" s="236" t="str">
        <f>IF($R8="na","",IF($R8=$E8,"X",""))</f>
        <v/>
      </c>
      <c r="V8" s="236" t="str">
        <f>IF($R8="na","",IF(AND($F8="na",$R8=$J8),"X",""))</f>
        <v/>
      </c>
      <c r="W8" s="236" t="str">
        <f>IF($R8="na","",IF(AND($F8="na",$R8=$N8),"X",""))</f>
        <v/>
      </c>
      <c r="X8" s="236" t="str">
        <f>IF(OR($R8="na",$J8="na"),"",IF(AND(ISNUMBER($F8),I8="YES",$R8=$J8),"X",""))</f>
        <v/>
      </c>
      <c r="Y8" s="236" t="str">
        <f>IF(OR($R8="na",$N8="na"),"",IF(AND(ISNUMBER($F8),$R8=10*$K8),"X",""))</f>
        <v>X</v>
      </c>
      <c r="Z8" s="235" t="str">
        <f>IF($R8="na","",IF($R8=$P8,"X",""))</f>
        <v/>
      </c>
      <c r="AB8" s="1062"/>
    </row>
    <row r="9" spans="1:28" ht="13.9" customHeight="1" x14ac:dyDescent="0.25">
      <c r="A9" s="845">
        <f>Chem!A9</f>
        <v>7</v>
      </c>
      <c r="B9" s="855" t="str">
        <f>Chem!B9</f>
        <v>2,3,7,8-TCDD</v>
      </c>
      <c r="C9" s="339">
        <v>3.0000000000000001E-5</v>
      </c>
      <c r="D9" s="390" t="s">
        <v>232</v>
      </c>
      <c r="E9" s="384">
        <v>3.0000000000000001E-5</v>
      </c>
      <c r="F9" s="384">
        <f>IF(C9="na",IF(D9="na",IF(E9="na","na",MIN(C9:E9)),MIN(C9:E9)),MIN(C9:E9))</f>
        <v>3.0000000000000001E-5</v>
      </c>
      <c r="G9" s="400">
        <f>'GW-Eq'!G9</f>
        <v>5.5999999999999997E-6</v>
      </c>
      <c r="H9" s="400">
        <f>IF(F9="na","na",IF(G9="na","na",F9/G9))</f>
        <v>5.3571428571428577</v>
      </c>
      <c r="I9" s="400" t="str">
        <f t="shared" ref="I9" si="9">IF(H9="na","na",IF(H9&gt;1,"YES","no"))</f>
        <v>YES</v>
      </c>
      <c r="J9" s="400">
        <f t="shared" ref="J9" si="10">IF(I9="YES",G9,IF(ISNUMBER(F9),F9,G9))</f>
        <v>5.5999999999999997E-6</v>
      </c>
      <c r="K9" s="271">
        <f>'GW-Eq'!H9</f>
        <v>3.3653846153846149E-7</v>
      </c>
      <c r="L9" s="271">
        <f>IF(F9="na","na",IF(K9="na","na",F9/K9))</f>
        <v>89.142857142857153</v>
      </c>
      <c r="M9" s="271" t="str">
        <f t="shared" ref="M9" si="11">IF(L9="na","na",IF(L9&gt;10,"YES","no"))</f>
        <v>YES</v>
      </c>
      <c r="N9" s="271">
        <f t="shared" ref="N9" si="12">IF(M9="YES",10*K9,IF(M9="no",F9,K9))</f>
        <v>3.365384615384615E-6</v>
      </c>
      <c r="O9" s="300">
        <f t="shared" si="4"/>
        <v>3.365384615384615E-6</v>
      </c>
      <c r="P9" s="2523" t="str">
        <f>VI!F9</f>
        <v>na</v>
      </c>
      <c r="R9" s="264">
        <f>IF(MIN(O9,P9)=0,"na",MIN(O9,P9))</f>
        <v>3.365384615384615E-6</v>
      </c>
      <c r="S9" s="236" t="str">
        <f>IF($R9="na","",IF($R9=$C9,"X",""))</f>
        <v/>
      </c>
      <c r="T9" s="236" t="str">
        <f>IF($R9="na","",IF($R9=$D9,"X",""))</f>
        <v/>
      </c>
      <c r="U9" s="236" t="str">
        <f>IF($R9="na","",IF($R9=$E9,"X",""))</f>
        <v/>
      </c>
      <c r="V9" s="236" t="str">
        <f>IF($R9="na","",IF(AND($F9="na",$R9=$J9),"X",""))</f>
        <v/>
      </c>
      <c r="W9" s="236" t="str">
        <f>IF($R9="na","",IF(AND($F9="na",$R9=$N9),"X",""))</f>
        <v/>
      </c>
      <c r="X9" s="236" t="str">
        <f>IF(OR($R9="na",$J9="na"),"",IF(AND(ISNUMBER($F9),I9="YES",$R9=$J9),"X",""))</f>
        <v/>
      </c>
      <c r="Y9" s="236" t="str">
        <f>IF(OR($R9="na",$N9="na"),"",IF(AND(ISNUMBER($F9),$R9=10*$K9),"X",""))</f>
        <v>X</v>
      </c>
      <c r="Z9" s="235" t="str">
        <f>IF($R9="na","",IF($R9=$P9,"X",""))</f>
        <v/>
      </c>
      <c r="AB9" s="1062"/>
    </row>
    <row r="10" spans="1:28" s="247" customFormat="1" ht="13.9" customHeight="1" x14ac:dyDescent="0.2">
      <c r="A10" s="845">
        <f>Chem!A10</f>
        <v>8</v>
      </c>
      <c r="B10" s="855" t="str">
        <f>Chem!B10</f>
        <v>Total chlorinated dioxins</v>
      </c>
      <c r="C10" s="339" t="s">
        <v>232</v>
      </c>
      <c r="D10" s="339" t="s">
        <v>232</v>
      </c>
      <c r="E10" s="343" t="s">
        <v>232</v>
      </c>
      <c r="F10" s="343" t="str">
        <f t="shared" ref="F10:F11" si="13">IF(C10="na",IF(D10="na",IF(E10="na","na",MIN(C10:E10)),MIN(C10:E10)),MIN(C10:E10))</f>
        <v>na</v>
      </c>
      <c r="G10" s="406" t="str">
        <f>'GW-Eq'!G10</f>
        <v>na</v>
      </c>
      <c r="H10" s="406" t="str">
        <f t="shared" ref="H10:H11" si="14">IF(F10="na","na",IF(G10="na","na",F10/G10))</f>
        <v>na</v>
      </c>
      <c r="I10" s="406" t="str">
        <f t="shared" ref="I10:I11" si="15">IF(H10="na","na",IF(H10&gt;1,"YES","no"))</f>
        <v>na</v>
      </c>
      <c r="J10" s="406" t="str">
        <f t="shared" ref="J10:J11" si="16">IF(I10="YES",G10,IF(ISNUMBER(F10),F10,G10))</f>
        <v>na</v>
      </c>
      <c r="K10" s="221" t="str">
        <f>'GW-Eq'!H10</f>
        <v>na</v>
      </c>
      <c r="L10" s="221" t="str">
        <f t="shared" ref="L10:L11" si="17">IF(F10="na","na",IF(K10="na","na",F10/K10))</f>
        <v>na</v>
      </c>
      <c r="M10" s="221" t="str">
        <f t="shared" ref="M10:M11" si="18">IF(L10="na","na",IF(L10&gt;10,"YES","no"))</f>
        <v>na</v>
      </c>
      <c r="N10" s="221" t="str">
        <f t="shared" ref="N10:N11" si="19">IF(M10="YES",10*K10,IF(M10="no",F10,K10))</f>
        <v>na</v>
      </c>
      <c r="O10" s="300" t="str">
        <f t="shared" si="4"/>
        <v>na</v>
      </c>
      <c r="P10" s="2523" t="str">
        <f>VI!F10</f>
        <v>na</v>
      </c>
      <c r="R10" s="363" t="str">
        <f>IF(MIN(O10,P10)=0,"na",MIN(O10,P10))</f>
        <v>na</v>
      </c>
      <c r="S10" s="364" t="str">
        <f>IF($R10="na","",IF($R10=$C10,"X",""))</f>
        <v/>
      </c>
      <c r="T10" s="364" t="str">
        <f>IF($R10="na","",IF($R10=$D10,"X",""))</f>
        <v/>
      </c>
      <c r="U10" s="364" t="str">
        <f>IF($R10="na","",IF($R10=$E10,"X",""))</f>
        <v/>
      </c>
      <c r="V10" s="364" t="str">
        <f>IF($R10="na","",IF(AND($F10="na",$R10=$J10),"X",""))</f>
        <v/>
      </c>
      <c r="W10" s="364" t="str">
        <f>IF($R10="na","",IF(AND($F10="na",$R10=$N10),"X",""))</f>
        <v/>
      </c>
      <c r="X10" s="364" t="str">
        <f>IF(OR($R10="na",$J10="na"),"",IF(AND(ISNUMBER($F10),I10="YES",$R10=$J10),"X",""))</f>
        <v/>
      </c>
      <c r="Y10" s="364" t="str">
        <f>IF(OR($R10="na",$N10="na"),"",IF(AND(ISNUMBER($F10),$R10=10*$K10),"X",""))</f>
        <v/>
      </c>
      <c r="Z10" s="365" t="str">
        <f>IF($R10="na","",IF($R10=$P10,"X",""))</f>
        <v/>
      </c>
      <c r="AB10" s="1064"/>
    </row>
    <row r="11" spans="1:28" s="247" customFormat="1" ht="13.9" customHeight="1" x14ac:dyDescent="0.2">
      <c r="A11" s="845">
        <f>Chem!A11</f>
        <v>9</v>
      </c>
      <c r="B11" s="855" t="str">
        <f>Chem!B11</f>
        <v>Total chlorinated furans</v>
      </c>
      <c r="C11" s="391" t="s">
        <v>232</v>
      </c>
      <c r="D11" s="391" t="s">
        <v>232</v>
      </c>
      <c r="E11" s="533" t="s">
        <v>232</v>
      </c>
      <c r="F11" s="533" t="str">
        <f t="shared" si="13"/>
        <v>na</v>
      </c>
      <c r="G11" s="543" t="str">
        <f>'GW-Eq'!G11</f>
        <v>na</v>
      </c>
      <c r="H11" s="543" t="str">
        <f t="shared" si="14"/>
        <v>na</v>
      </c>
      <c r="I11" s="543" t="str">
        <f t="shared" si="15"/>
        <v>na</v>
      </c>
      <c r="J11" s="543" t="str">
        <f t="shared" si="16"/>
        <v>na</v>
      </c>
      <c r="K11" s="257" t="str">
        <f>'GW-Eq'!H11</f>
        <v>na</v>
      </c>
      <c r="L11" s="257" t="str">
        <f t="shared" si="17"/>
        <v>na</v>
      </c>
      <c r="M11" s="257" t="str">
        <f t="shared" si="18"/>
        <v>na</v>
      </c>
      <c r="N11" s="257" t="str">
        <f t="shared" si="19"/>
        <v>na</v>
      </c>
      <c r="O11" s="355" t="str">
        <f t="shared" si="4"/>
        <v>na</v>
      </c>
      <c r="P11" s="2525" t="str">
        <f>VI!F11</f>
        <v>na</v>
      </c>
      <c r="R11" s="363" t="str">
        <f>IF(MIN(O11,P11)=0,"na",MIN(O11,P11))</f>
        <v>na</v>
      </c>
      <c r="S11" s="364" t="str">
        <f>IF($R11="na","",IF($R11=$C11,"X",""))</f>
        <v/>
      </c>
      <c r="T11" s="364" t="str">
        <f>IF($R11="na","",IF($R11=$D11,"X",""))</f>
        <v/>
      </c>
      <c r="U11" s="364" t="str">
        <f>IF($R11="na","",IF($R11=$E11,"X",""))</f>
        <v/>
      </c>
      <c r="V11" s="364" t="str">
        <f>IF($R11="na","",IF(AND($F11="na",$R11=$J11),"X",""))</f>
        <v/>
      </c>
      <c r="W11" s="364" t="str">
        <f>IF($R11="na","",IF(AND($F11="na",$R11=$N11),"X",""))</f>
        <v/>
      </c>
      <c r="X11" s="364" t="str">
        <f>IF(OR($R11="na",$J11="na"),"",IF(AND(ISNUMBER($F11),I11="YES",$R11=$J11),"X",""))</f>
        <v/>
      </c>
      <c r="Y11" s="364" t="str">
        <f>IF(OR($R11="na",$N11="na"),"",IF(AND(ISNUMBER($F11),$R11=10*$K11),"X",""))</f>
        <v/>
      </c>
      <c r="Z11" s="365" t="str">
        <f>IF($R11="na","",IF($R11=$P11,"X",""))</f>
        <v/>
      </c>
      <c r="AB11" s="1064"/>
    </row>
    <row r="12" spans="1:28" s="247" customFormat="1" ht="13.9" customHeight="1" x14ac:dyDescent="0.25">
      <c r="A12" s="906">
        <f>Chem!A12</f>
        <v>10</v>
      </c>
      <c r="B12" s="897" t="str">
        <f>Chem!B12</f>
        <v>Inorganics</v>
      </c>
      <c r="C12" s="297"/>
      <c r="D12" s="297"/>
      <c r="E12" s="297"/>
      <c r="F12" s="297"/>
      <c r="G12" s="297"/>
      <c r="H12" s="297"/>
      <c r="I12" s="2347"/>
      <c r="J12" s="2365"/>
      <c r="K12" s="297"/>
      <c r="L12" s="297"/>
      <c r="M12" s="2347"/>
      <c r="N12" s="297"/>
      <c r="O12" s="2348"/>
      <c r="P12" s="2366"/>
      <c r="Q12" s="255"/>
      <c r="R12" s="258" t="s">
        <v>1</v>
      </c>
      <c r="S12" s="127"/>
      <c r="T12" s="127"/>
      <c r="U12" s="127"/>
      <c r="V12" s="127"/>
      <c r="W12" s="127"/>
      <c r="X12" s="127"/>
      <c r="Y12" s="127"/>
      <c r="Z12" s="2364"/>
      <c r="AA12" s="255"/>
      <c r="AB12" s="1063"/>
    </row>
    <row r="13" spans="1:28" s="247" customFormat="1" ht="13.9" customHeight="1" x14ac:dyDescent="0.25">
      <c r="A13" s="2076">
        <f>Chem!A13</f>
        <v>11</v>
      </c>
      <c r="B13" s="2108" t="str">
        <f>Chem!B13</f>
        <v>Ammonia</v>
      </c>
      <c r="C13" s="2064" t="s">
        <v>232</v>
      </c>
      <c r="D13" s="2064" t="s">
        <v>232</v>
      </c>
      <c r="E13" s="2064" t="s">
        <v>232</v>
      </c>
      <c r="F13" s="2064" t="str">
        <f t="shared" ref="F13:F19" si="20">IF(C13="na",IF(D13="na",IF(E13="na","na",MIN(C13:E13)),MIN(C13:E13)),MIN(C13:E13))</f>
        <v>na</v>
      </c>
      <c r="G13" s="2114" t="str">
        <f>'GW-Eq'!G13</f>
        <v>na</v>
      </c>
      <c r="H13" s="2114" t="str">
        <f t="shared" ref="H13:H14" si="21">IF(F13="na","na",IF(G13="na","na",F13/G13))</f>
        <v>na</v>
      </c>
      <c r="I13" s="2114" t="str">
        <f t="shared" ref="I13:I14" si="22">IF(H13="na","na",IF(H13&gt;1,"YES","no"))</f>
        <v>na</v>
      </c>
      <c r="J13" s="2115" t="str">
        <f t="shared" ref="J13:J14" si="23">IF(I13="YES",G13,IF(ISNUMBER(F13),F13,G13))</f>
        <v>na</v>
      </c>
      <c r="K13" s="2094" t="str">
        <f>'GW-Eq'!H13</f>
        <v>na</v>
      </c>
      <c r="L13" s="2094" t="str">
        <f t="shared" ref="L13:L14" si="24">IF(F13="na","na",IF(K13="na","na",F13/K13))</f>
        <v>na</v>
      </c>
      <c r="M13" s="2094" t="str">
        <f t="shared" ref="M13:M14" si="25">IF(L13="na","na",IF(L13&gt;10,"YES","no"))</f>
        <v>na</v>
      </c>
      <c r="N13" s="2094" t="str">
        <f t="shared" ref="N13:N14" si="26">IF(M13="YES",10*K13,IF(M13="no",F13,K13))</f>
        <v>na</v>
      </c>
      <c r="O13" s="2112" t="str">
        <f t="shared" si="4"/>
        <v>na</v>
      </c>
      <c r="P13" s="2526" t="str">
        <f>VI!F13</f>
        <v>na</v>
      </c>
      <c r="R13" s="2110" t="str">
        <f t="shared" ref="R13:R20" si="27">IF(MIN(O13,P13)=0,"na",MIN(O13,P13))</f>
        <v>na</v>
      </c>
      <c r="S13" s="822" t="str">
        <f t="shared" ref="S13:S20" si="28">IF($R13="na","",IF($R13=$C13,"X",""))</f>
        <v/>
      </c>
      <c r="T13" s="822" t="str">
        <f t="shared" ref="T13:T20" si="29">IF($R13="na","",IF($R13=$D13,"X",""))</f>
        <v/>
      </c>
      <c r="U13" s="822" t="str">
        <f t="shared" ref="U13:U20" si="30">IF($R13="na","",IF($R13=$E13,"X",""))</f>
        <v/>
      </c>
      <c r="V13" s="822" t="str">
        <f t="shared" ref="V13:V20" si="31">IF($R13="na","",IF(AND($F13="na",$R13=$J13),"X",""))</f>
        <v/>
      </c>
      <c r="W13" s="822" t="str">
        <f t="shared" ref="W13:W20" si="32">IF($R13="na","",IF(AND($F13="na",$R13=$N13),"X",""))</f>
        <v/>
      </c>
      <c r="X13" s="822" t="str">
        <f t="shared" ref="X13:X20" si="33">IF(OR($R13="na",$J13="na"),"",IF(AND(ISNUMBER($F13),I13="YES",$R13=$J13),"X",""))</f>
        <v/>
      </c>
      <c r="Y13" s="822" t="str">
        <f t="shared" ref="Y13:Y20" si="34">IF(OR($R13="na",$N13="na"),"",IF(AND(ISNUMBER($F13),$R13=10*$K13),"X",""))</f>
        <v/>
      </c>
      <c r="Z13" s="1535" t="str">
        <f t="shared" ref="Z13:Z20" si="35">IF($R13="na","",IF($R13=$P13,"X",""))</f>
        <v/>
      </c>
      <c r="AB13" s="2107"/>
    </row>
    <row r="14" spans="1:28" s="247" customFormat="1" ht="13.9" customHeight="1" x14ac:dyDescent="0.25">
      <c r="A14" s="2079">
        <f>Chem!A14</f>
        <v>12</v>
      </c>
      <c r="B14" s="2109" t="str">
        <f>Chem!B14</f>
        <v>Chloride</v>
      </c>
      <c r="C14" s="2073" t="s">
        <v>232</v>
      </c>
      <c r="D14" s="2073" t="s">
        <v>232</v>
      </c>
      <c r="E14" s="2073">
        <v>250000</v>
      </c>
      <c r="F14" s="2073">
        <f t="shared" si="20"/>
        <v>250000</v>
      </c>
      <c r="G14" s="2116" t="str">
        <f>'GW-Eq'!G14</f>
        <v>na</v>
      </c>
      <c r="H14" s="2116" t="str">
        <f t="shared" si="21"/>
        <v>na</v>
      </c>
      <c r="I14" s="2116" t="str">
        <f t="shared" si="22"/>
        <v>na</v>
      </c>
      <c r="J14" s="2117">
        <f t="shared" si="23"/>
        <v>250000</v>
      </c>
      <c r="K14" s="2095" t="str">
        <f>'GW-Eq'!H14</f>
        <v>na</v>
      </c>
      <c r="L14" s="2095" t="str">
        <f t="shared" si="24"/>
        <v>na</v>
      </c>
      <c r="M14" s="2095" t="str">
        <f t="shared" si="25"/>
        <v>na</v>
      </c>
      <c r="N14" s="2095" t="str">
        <f t="shared" si="26"/>
        <v>na</v>
      </c>
      <c r="O14" s="2113">
        <f t="shared" si="4"/>
        <v>250000</v>
      </c>
      <c r="P14" s="2527" t="str">
        <f>VI!F14</f>
        <v>na</v>
      </c>
      <c r="R14" s="2111">
        <f t="shared" si="27"/>
        <v>250000</v>
      </c>
      <c r="S14" s="348" t="str">
        <f t="shared" si="28"/>
        <v/>
      </c>
      <c r="T14" s="348" t="str">
        <f t="shared" si="29"/>
        <v/>
      </c>
      <c r="U14" s="348" t="str">
        <f t="shared" si="30"/>
        <v>X</v>
      </c>
      <c r="V14" s="348" t="str">
        <f t="shared" si="31"/>
        <v/>
      </c>
      <c r="W14" s="348" t="str">
        <f t="shared" si="32"/>
        <v/>
      </c>
      <c r="X14" s="348" t="str">
        <f t="shared" si="33"/>
        <v/>
      </c>
      <c r="Y14" s="348" t="str">
        <f t="shared" si="34"/>
        <v/>
      </c>
      <c r="Z14" s="367" t="str">
        <f t="shared" si="35"/>
        <v/>
      </c>
      <c r="AB14" s="2107"/>
    </row>
    <row r="15" spans="1:28" s="247" customFormat="1" ht="13.9" customHeight="1" x14ac:dyDescent="0.2">
      <c r="A15" s="843">
        <f>Chem!A15</f>
        <v>13</v>
      </c>
      <c r="B15" s="905" t="str">
        <f>Chem!B15</f>
        <v>Cyanide (multiple forms, see notes)</v>
      </c>
      <c r="C15" s="1100">
        <v>200</v>
      </c>
      <c r="D15" s="1100">
        <v>200</v>
      </c>
      <c r="E15" s="531">
        <v>200</v>
      </c>
      <c r="F15" s="531">
        <f t="shared" si="20"/>
        <v>200</v>
      </c>
      <c r="G15" s="1611">
        <f>'GW-Eq'!G15</f>
        <v>5.04</v>
      </c>
      <c r="H15" s="1611">
        <f t="shared" ref="H15:H19" si="36">IF(F15="na","na",IF(G15="na","na",F15/G15))</f>
        <v>39.682539682539684</v>
      </c>
      <c r="I15" s="1611" t="str">
        <f t="shared" ref="I15:I19" si="37">IF(H15="na","na",IF(H15&gt;1,"YES","no"))</f>
        <v>YES</v>
      </c>
      <c r="J15" s="1611">
        <f t="shared" ref="J15:J19" si="38">IF(I15="YES",G15,IF(ISNUMBER(F15),F15,G15))</f>
        <v>5.04</v>
      </c>
      <c r="K15" s="254" t="str">
        <f>'GW-Eq'!H15</f>
        <v>na</v>
      </c>
      <c r="L15" s="254" t="str">
        <f t="shared" ref="L15:L19" si="39">IF(F15="na","na",IF(K15="na","na",F15/K15))</f>
        <v>na</v>
      </c>
      <c r="M15" s="254" t="str">
        <f t="shared" ref="M15:M19" si="40">IF(L15="na","na",IF(L15&gt;10,"YES","no"))</f>
        <v>na</v>
      </c>
      <c r="N15" s="254" t="str">
        <f t="shared" ref="N15:N19" si="41">IF(M15="YES",10*K15,IF(M15="no",F15,K15))</f>
        <v>na</v>
      </c>
      <c r="O15" s="330">
        <f t="shared" si="4"/>
        <v>5.04</v>
      </c>
      <c r="P15" s="2522" t="str">
        <f>VI!F15</f>
        <v>na</v>
      </c>
      <c r="R15" s="363">
        <f t="shared" si="27"/>
        <v>5.04</v>
      </c>
      <c r="S15" s="364" t="str">
        <f t="shared" si="28"/>
        <v/>
      </c>
      <c r="T15" s="364" t="str">
        <f t="shared" si="29"/>
        <v/>
      </c>
      <c r="U15" s="364" t="str">
        <f t="shared" si="30"/>
        <v/>
      </c>
      <c r="V15" s="364" t="str">
        <f t="shared" si="31"/>
        <v/>
      </c>
      <c r="W15" s="364" t="str">
        <f t="shared" si="32"/>
        <v/>
      </c>
      <c r="X15" s="364" t="str">
        <f t="shared" si="33"/>
        <v>X</v>
      </c>
      <c r="Y15" s="364" t="str">
        <f t="shared" si="34"/>
        <v/>
      </c>
      <c r="Z15" s="365" t="str">
        <f t="shared" si="35"/>
        <v/>
      </c>
      <c r="AB15" s="1064"/>
    </row>
    <row r="16" spans="1:28" s="247" customFormat="1" ht="13.9" customHeight="1" x14ac:dyDescent="0.2">
      <c r="A16" s="843">
        <f>Chem!A16</f>
        <v>14</v>
      </c>
      <c r="B16" s="855" t="str">
        <f>Chem!B16</f>
        <v>Fluoride</v>
      </c>
      <c r="C16" s="339">
        <v>4000</v>
      </c>
      <c r="D16" s="339">
        <v>4000</v>
      </c>
      <c r="E16" s="343">
        <v>4000</v>
      </c>
      <c r="F16" s="343">
        <f t="shared" si="20"/>
        <v>4000</v>
      </c>
      <c r="G16" s="406">
        <f>'GW-Eq'!G16</f>
        <v>960</v>
      </c>
      <c r="H16" s="406">
        <f t="shared" ref="H16" si="42">IF(F16="na","na",IF(G16="na","na",F16/G16))</f>
        <v>4.166666666666667</v>
      </c>
      <c r="I16" s="406" t="str">
        <f t="shared" ref="I16" si="43">IF(H16="na","na",IF(H16&gt;1,"YES","no"))</f>
        <v>YES</v>
      </c>
      <c r="J16" s="406">
        <f t="shared" ref="J16" si="44">IF(I16="YES",G16,IF(ISNUMBER(F16),F16,G16))</f>
        <v>960</v>
      </c>
      <c r="K16" s="221" t="str">
        <f>'GW-Eq'!H16</f>
        <v>na</v>
      </c>
      <c r="L16" s="221" t="str">
        <f t="shared" ref="L16" si="45">IF(F16="na","na",IF(K16="na","na",F16/K16))</f>
        <v>na</v>
      </c>
      <c r="M16" s="221" t="str">
        <f t="shared" ref="M16" si="46">IF(L16="na","na",IF(L16&gt;10,"YES","no"))</f>
        <v>na</v>
      </c>
      <c r="N16" s="221" t="str">
        <f t="shared" ref="N16" si="47">IF(M16="YES",10*K16,IF(M16="no",F16,K16))</f>
        <v>na</v>
      </c>
      <c r="O16" s="300">
        <f t="shared" si="4"/>
        <v>960</v>
      </c>
      <c r="P16" s="2523" t="str">
        <f>VI!F16</f>
        <v>na</v>
      </c>
      <c r="R16" s="363">
        <f t="shared" si="27"/>
        <v>960</v>
      </c>
      <c r="S16" s="364" t="str">
        <f t="shared" si="28"/>
        <v/>
      </c>
      <c r="T16" s="364" t="str">
        <f t="shared" si="29"/>
        <v/>
      </c>
      <c r="U16" s="364" t="str">
        <f t="shared" si="30"/>
        <v/>
      </c>
      <c r="V16" s="364" t="str">
        <f t="shared" si="31"/>
        <v/>
      </c>
      <c r="W16" s="364" t="str">
        <f t="shared" si="32"/>
        <v/>
      </c>
      <c r="X16" s="364" t="str">
        <f t="shared" si="33"/>
        <v>X</v>
      </c>
      <c r="Y16" s="364" t="str">
        <f t="shared" si="34"/>
        <v/>
      </c>
      <c r="Z16" s="365" t="str">
        <f t="shared" si="35"/>
        <v/>
      </c>
      <c r="AB16" s="1064"/>
    </row>
    <row r="17" spans="1:28" s="247" customFormat="1" ht="13.9" customHeight="1" x14ac:dyDescent="0.2">
      <c r="A17" s="1069">
        <f>Chem!A17</f>
        <v>15</v>
      </c>
      <c r="B17" s="855" t="str">
        <f>Chem!B17</f>
        <v>Nitrate</v>
      </c>
      <c r="C17" s="339">
        <v>10000</v>
      </c>
      <c r="D17" s="339">
        <v>10000</v>
      </c>
      <c r="E17" s="343">
        <v>10000</v>
      </c>
      <c r="F17" s="343">
        <f t="shared" si="20"/>
        <v>10000</v>
      </c>
      <c r="G17" s="406">
        <f>'GW-Eq'!G17</f>
        <v>25600</v>
      </c>
      <c r="H17" s="406">
        <f t="shared" si="36"/>
        <v>0.390625</v>
      </c>
      <c r="I17" s="406" t="str">
        <f t="shared" si="37"/>
        <v>no</v>
      </c>
      <c r="J17" s="406">
        <f t="shared" si="38"/>
        <v>10000</v>
      </c>
      <c r="K17" s="221" t="str">
        <f>'GW-Eq'!H17</f>
        <v>na</v>
      </c>
      <c r="L17" s="221" t="str">
        <f t="shared" si="39"/>
        <v>na</v>
      </c>
      <c r="M17" s="221" t="str">
        <f t="shared" si="40"/>
        <v>na</v>
      </c>
      <c r="N17" s="221" t="str">
        <f t="shared" si="41"/>
        <v>na</v>
      </c>
      <c r="O17" s="300">
        <f t="shared" si="4"/>
        <v>10000</v>
      </c>
      <c r="P17" s="2523" t="str">
        <f>VI!F17</f>
        <v>na</v>
      </c>
      <c r="R17" s="363">
        <f t="shared" si="27"/>
        <v>10000</v>
      </c>
      <c r="S17" s="364" t="str">
        <f t="shared" si="28"/>
        <v>X</v>
      </c>
      <c r="T17" s="364" t="str">
        <f t="shared" si="29"/>
        <v>X</v>
      </c>
      <c r="U17" s="364" t="str">
        <f t="shared" si="30"/>
        <v>X</v>
      </c>
      <c r="V17" s="364" t="str">
        <f t="shared" si="31"/>
        <v/>
      </c>
      <c r="W17" s="364" t="str">
        <f t="shared" si="32"/>
        <v/>
      </c>
      <c r="X17" s="364" t="str">
        <f t="shared" si="33"/>
        <v/>
      </c>
      <c r="Y17" s="364" t="str">
        <f t="shared" si="34"/>
        <v/>
      </c>
      <c r="Z17" s="365" t="str">
        <f t="shared" si="35"/>
        <v/>
      </c>
      <c r="AB17" s="1064"/>
    </row>
    <row r="18" spans="1:28" s="247" customFormat="1" ht="13.9" customHeight="1" x14ac:dyDescent="0.2">
      <c r="A18" s="844">
        <f>Chem!A18</f>
        <v>16</v>
      </c>
      <c r="B18" s="855" t="str">
        <f>Chem!B18</f>
        <v>Nitrite</v>
      </c>
      <c r="C18" s="339">
        <v>1000</v>
      </c>
      <c r="D18" s="339">
        <v>1000</v>
      </c>
      <c r="E18" s="343">
        <v>1000</v>
      </c>
      <c r="F18" s="343">
        <f t="shared" si="20"/>
        <v>1000</v>
      </c>
      <c r="G18" s="406">
        <f>'GW-Eq'!G18</f>
        <v>1600</v>
      </c>
      <c r="H18" s="406">
        <f t="shared" si="36"/>
        <v>0.625</v>
      </c>
      <c r="I18" s="406" t="str">
        <f t="shared" si="37"/>
        <v>no</v>
      </c>
      <c r="J18" s="406">
        <f t="shared" si="38"/>
        <v>1000</v>
      </c>
      <c r="K18" s="221" t="str">
        <f>'GW-Eq'!H18</f>
        <v>na</v>
      </c>
      <c r="L18" s="221" t="str">
        <f t="shared" si="39"/>
        <v>na</v>
      </c>
      <c r="M18" s="221" t="str">
        <f t="shared" si="40"/>
        <v>na</v>
      </c>
      <c r="N18" s="221" t="str">
        <f t="shared" si="41"/>
        <v>na</v>
      </c>
      <c r="O18" s="300">
        <f t="shared" si="4"/>
        <v>1000</v>
      </c>
      <c r="P18" s="2523" t="str">
        <f>VI!F18</f>
        <v>na</v>
      </c>
      <c r="R18" s="363">
        <f t="shared" si="27"/>
        <v>1000</v>
      </c>
      <c r="S18" s="364" t="str">
        <f t="shared" si="28"/>
        <v>X</v>
      </c>
      <c r="T18" s="364" t="str">
        <f t="shared" si="29"/>
        <v>X</v>
      </c>
      <c r="U18" s="364" t="str">
        <f t="shared" si="30"/>
        <v>X</v>
      </c>
      <c r="V18" s="364" t="str">
        <f t="shared" si="31"/>
        <v/>
      </c>
      <c r="W18" s="364" t="str">
        <f t="shared" si="32"/>
        <v/>
      </c>
      <c r="X18" s="364" t="str">
        <f t="shared" si="33"/>
        <v/>
      </c>
      <c r="Y18" s="364" t="str">
        <f t="shared" si="34"/>
        <v/>
      </c>
      <c r="Z18" s="365" t="str">
        <f t="shared" si="35"/>
        <v/>
      </c>
      <c r="AB18" s="1064"/>
    </row>
    <row r="19" spans="1:28" s="247" customFormat="1" ht="13.9" customHeight="1" x14ac:dyDescent="0.2">
      <c r="A19" s="1321">
        <f>Chem!A19</f>
        <v>17</v>
      </c>
      <c r="B19" s="855" t="str">
        <f>Chem!B19</f>
        <v>Sulfate</v>
      </c>
      <c r="C19" s="339" t="s">
        <v>232</v>
      </c>
      <c r="D19" s="339" t="s">
        <v>232</v>
      </c>
      <c r="E19" s="343">
        <v>250000</v>
      </c>
      <c r="F19" s="343">
        <f t="shared" si="20"/>
        <v>250000</v>
      </c>
      <c r="G19" s="406" t="str">
        <f>'GW-Eq'!G19</f>
        <v>na</v>
      </c>
      <c r="H19" s="406" t="str">
        <f t="shared" si="36"/>
        <v>na</v>
      </c>
      <c r="I19" s="406" t="str">
        <f t="shared" si="37"/>
        <v>na</v>
      </c>
      <c r="J19" s="406">
        <f t="shared" si="38"/>
        <v>250000</v>
      </c>
      <c r="K19" s="221" t="str">
        <f>'GW-Eq'!H19</f>
        <v>na</v>
      </c>
      <c r="L19" s="221" t="str">
        <f t="shared" si="39"/>
        <v>na</v>
      </c>
      <c r="M19" s="221" t="str">
        <f t="shared" si="40"/>
        <v>na</v>
      </c>
      <c r="N19" s="221" t="str">
        <f t="shared" si="41"/>
        <v>na</v>
      </c>
      <c r="O19" s="300">
        <f t="shared" si="4"/>
        <v>250000</v>
      </c>
      <c r="P19" s="2523" t="str">
        <f>VI!F19</f>
        <v>na</v>
      </c>
      <c r="R19" s="1355">
        <f t="shared" si="27"/>
        <v>250000</v>
      </c>
      <c r="S19" s="721" t="str">
        <f t="shared" si="28"/>
        <v/>
      </c>
      <c r="T19" s="721" t="str">
        <f t="shared" si="29"/>
        <v/>
      </c>
      <c r="U19" s="721" t="str">
        <f t="shared" si="30"/>
        <v>X</v>
      </c>
      <c r="V19" s="721" t="str">
        <f t="shared" si="31"/>
        <v/>
      </c>
      <c r="W19" s="721" t="str">
        <f t="shared" si="32"/>
        <v/>
      </c>
      <c r="X19" s="721" t="str">
        <f t="shared" si="33"/>
        <v/>
      </c>
      <c r="Y19" s="721" t="str">
        <f t="shared" si="34"/>
        <v/>
      </c>
      <c r="Z19" s="722" t="str">
        <f t="shared" si="35"/>
        <v/>
      </c>
      <c r="AB19" s="1064"/>
    </row>
    <row r="20" spans="1:28" s="247" customFormat="1" ht="13.9" customHeight="1" x14ac:dyDescent="0.2">
      <c r="A20" s="1322">
        <f>Chem!A20</f>
        <v>18</v>
      </c>
      <c r="B20" s="885" t="str">
        <f>Chem!B20</f>
        <v>Sulfide</v>
      </c>
      <c r="C20" s="391" t="s">
        <v>232</v>
      </c>
      <c r="D20" s="391" t="s">
        <v>232</v>
      </c>
      <c r="E20" s="533" t="s">
        <v>232</v>
      </c>
      <c r="F20" s="533" t="str">
        <f t="shared" ref="F20" si="48">IF(C20="na",IF(D20="na",IF(E20="na","na",MIN(C20:E20)),MIN(C20:E20)),MIN(C20:E20))</f>
        <v>na</v>
      </c>
      <c r="G20" s="543" t="str">
        <f>'GW-Eq'!G20</f>
        <v>na</v>
      </c>
      <c r="H20" s="543" t="str">
        <f t="shared" ref="H20" si="49">IF(F20="na","na",IF(G20="na","na",F20/G20))</f>
        <v>na</v>
      </c>
      <c r="I20" s="543" t="str">
        <f t="shared" ref="I20" si="50">IF(H20="na","na",IF(H20&gt;1,"YES","no"))</f>
        <v>na</v>
      </c>
      <c r="J20" s="543" t="str">
        <f t="shared" ref="J20" si="51">IF(I20="YES",G20,IF(ISNUMBER(F20),F20,G20))</f>
        <v>na</v>
      </c>
      <c r="K20" s="257" t="str">
        <f>'GW-Eq'!H20</f>
        <v>na</v>
      </c>
      <c r="L20" s="257" t="str">
        <f t="shared" ref="L20" si="52">IF(F20="na","na",IF(K20="na","na",F20/K20))</f>
        <v>na</v>
      </c>
      <c r="M20" s="257" t="str">
        <f t="shared" ref="M20" si="53">IF(L20="na","na",IF(L20&gt;10,"YES","no"))</f>
        <v>na</v>
      </c>
      <c r="N20" s="257" t="str">
        <f t="shared" ref="N20" si="54">IF(M20="YES",10*K20,IF(M20="no",F20,K20))</f>
        <v>na</v>
      </c>
      <c r="O20" s="355" t="str">
        <f t="shared" si="4"/>
        <v>na</v>
      </c>
      <c r="P20" s="2525" t="str">
        <f>VI!F20</f>
        <v>na</v>
      </c>
      <c r="R20" s="1356" t="str">
        <f t="shared" si="27"/>
        <v>na</v>
      </c>
      <c r="S20" s="737" t="str">
        <f t="shared" si="28"/>
        <v/>
      </c>
      <c r="T20" s="737" t="str">
        <f t="shared" si="29"/>
        <v/>
      </c>
      <c r="U20" s="737" t="str">
        <f t="shared" si="30"/>
        <v/>
      </c>
      <c r="V20" s="737" t="str">
        <f t="shared" si="31"/>
        <v/>
      </c>
      <c r="W20" s="737" t="str">
        <f t="shared" si="32"/>
        <v/>
      </c>
      <c r="X20" s="737" t="str">
        <f t="shared" si="33"/>
        <v/>
      </c>
      <c r="Y20" s="737" t="str">
        <f t="shared" si="34"/>
        <v/>
      </c>
      <c r="Z20" s="740" t="str">
        <f t="shared" si="35"/>
        <v/>
      </c>
      <c r="AB20" s="1064"/>
    </row>
    <row r="21" spans="1:28" ht="13.9" customHeight="1" x14ac:dyDescent="0.25">
      <c r="A21" s="906">
        <f>Chem!A21</f>
        <v>19</v>
      </c>
      <c r="B21" s="897" t="str">
        <f>Chem!B21</f>
        <v>Metals</v>
      </c>
      <c r="C21" s="297"/>
      <c r="D21" s="297"/>
      <c r="E21" s="297"/>
      <c r="F21" s="297"/>
      <c r="G21" s="297"/>
      <c r="H21" s="297"/>
      <c r="I21" s="2347"/>
      <c r="J21" s="2365"/>
      <c r="K21" s="297"/>
      <c r="L21" s="297"/>
      <c r="M21" s="2347"/>
      <c r="N21" s="297"/>
      <c r="O21" s="2348"/>
      <c r="P21" s="2366"/>
      <c r="R21" s="258" t="s">
        <v>2</v>
      </c>
      <c r="S21" s="127"/>
      <c r="T21" s="127"/>
      <c r="U21" s="127"/>
      <c r="V21" s="127"/>
      <c r="W21" s="127"/>
      <c r="X21" s="127"/>
      <c r="Y21" s="127"/>
      <c r="Z21" s="2364"/>
      <c r="AB21" s="1063"/>
    </row>
    <row r="22" spans="1:28" ht="13.9" customHeight="1" x14ac:dyDescent="0.25">
      <c r="A22" s="846">
        <f>Chem!A22</f>
        <v>20</v>
      </c>
      <c r="B22" s="855" t="str">
        <f>Chem!B22</f>
        <v>Aluminum</v>
      </c>
      <c r="C22" s="343" t="s">
        <v>232</v>
      </c>
      <c r="D22" s="384" t="s">
        <v>232</v>
      </c>
      <c r="E22" s="384" t="s">
        <v>232</v>
      </c>
      <c r="F22" s="384" t="str">
        <f t="shared" ref="F22:F45" si="55">IF(C22="na",IF(D22="na",IF(E22="na","na",MIN(C22:E22)),MIN(C22:E22)),MIN(C22:E22))</f>
        <v>na</v>
      </c>
      <c r="G22" s="400">
        <f>'GW-Eq'!G22</f>
        <v>16000</v>
      </c>
      <c r="H22" s="400" t="str">
        <f t="shared" ref="H22:H45" si="56">IF(F22="na","na",IF(G22="na","na",F22/G22))</f>
        <v>na</v>
      </c>
      <c r="I22" s="403" t="str">
        <f t="shared" ref="I22:I45" si="57">IF(H22="na","na",IF(H22&gt;1,"YES","no"))</f>
        <v>na</v>
      </c>
      <c r="J22" s="403">
        <f t="shared" ref="J22:J45" si="58">IF(I22="YES",G22,IF(ISNUMBER(F22),F22,G22))</f>
        <v>16000</v>
      </c>
      <c r="K22" s="271" t="str">
        <f>'GW-Eq'!H22</f>
        <v>na</v>
      </c>
      <c r="L22" s="271" t="str">
        <f t="shared" ref="L22:L45" si="59">IF(F22="na","na",IF(K22="na","na",F22/K22))</f>
        <v>na</v>
      </c>
      <c r="M22" s="271" t="str">
        <f t="shared" ref="M22:M45" si="60">IF(L22="na","na",IF(L22&gt;10,"YES","no"))</f>
        <v>na</v>
      </c>
      <c r="N22" s="271" t="str">
        <f t="shared" ref="N22:N45" si="61">IF(M22="YES",10*K22,IF(M22="no",F22,K22))</f>
        <v>na</v>
      </c>
      <c r="O22" s="330">
        <f t="shared" si="4"/>
        <v>16000</v>
      </c>
      <c r="P22" s="2522" t="str">
        <f>VI!F22</f>
        <v>na</v>
      </c>
      <c r="R22" s="264">
        <f t="shared" ref="R22:R45" si="62">IF(MIN(O22,P22)=0,"na",MIN(O22,P22))</f>
        <v>16000</v>
      </c>
      <c r="S22" s="236" t="str">
        <f t="shared" ref="S22:S45" si="63">IF($R22="na","",IF($R22=$C22,"X",""))</f>
        <v/>
      </c>
      <c r="T22" s="236" t="str">
        <f t="shared" ref="T22:T45" si="64">IF($R22="na","",IF($R22=$D22,"X",""))</f>
        <v/>
      </c>
      <c r="U22" s="236" t="str">
        <f t="shared" ref="U22:U45" si="65">IF($R22="na","",IF($R22=$E22,"X",""))</f>
        <v/>
      </c>
      <c r="V22" s="236" t="str">
        <f t="shared" ref="V22:V45" si="66">IF($R22="na","",IF(AND($F22="na",$R22=$J22),"X",""))</f>
        <v>X</v>
      </c>
      <c r="W22" s="236" t="str">
        <f t="shared" ref="W22:W45" si="67">IF($R22="na","",IF(AND($F22="na",$R22=$N22),"X",""))</f>
        <v/>
      </c>
      <c r="X22" s="236" t="str">
        <f t="shared" ref="X22:X45" si="68">IF(OR($R22="na",$J22="na"),"",IF(AND(ISNUMBER($F22),I22="YES",$R22=$J22),"X",""))</f>
        <v/>
      </c>
      <c r="Y22" s="236" t="str">
        <f t="shared" ref="Y22:Y45" si="69">IF(OR($R22="na",$N22="na"),"",IF(AND(ISNUMBER($F22),$R22=10*$K22),"X",""))</f>
        <v/>
      </c>
      <c r="Z22" s="235" t="str">
        <f t="shared" ref="Z22:Z45" si="70">IF($R22="na","",IF($R22=$P22,"X",""))</f>
        <v/>
      </c>
      <c r="AB22" s="1062"/>
    </row>
    <row r="23" spans="1:28" ht="13.9" customHeight="1" x14ac:dyDescent="0.25">
      <c r="A23" s="847">
        <f>Chem!A23</f>
        <v>21</v>
      </c>
      <c r="B23" s="855" t="str">
        <f>Chem!B23</f>
        <v>Antimony</v>
      </c>
      <c r="C23" s="343">
        <v>6</v>
      </c>
      <c r="D23" s="384">
        <v>6</v>
      </c>
      <c r="E23" s="384">
        <v>6</v>
      </c>
      <c r="F23" s="384">
        <f t="shared" si="55"/>
        <v>6</v>
      </c>
      <c r="G23" s="400">
        <f>'GW-Eq'!G23</f>
        <v>6.4</v>
      </c>
      <c r="H23" s="400">
        <f t="shared" si="56"/>
        <v>0.9375</v>
      </c>
      <c r="I23" s="403" t="str">
        <f t="shared" si="57"/>
        <v>no</v>
      </c>
      <c r="J23" s="403">
        <f t="shared" si="58"/>
        <v>6</v>
      </c>
      <c r="K23" s="271" t="str">
        <f>'GW-Eq'!H23</f>
        <v>na</v>
      </c>
      <c r="L23" s="271" t="str">
        <f t="shared" si="59"/>
        <v>na</v>
      </c>
      <c r="M23" s="271" t="str">
        <f t="shared" si="60"/>
        <v>na</v>
      </c>
      <c r="N23" s="271" t="str">
        <f t="shared" si="61"/>
        <v>na</v>
      </c>
      <c r="O23" s="330">
        <f t="shared" si="4"/>
        <v>6</v>
      </c>
      <c r="P23" s="2523" t="str">
        <f>VI!F23</f>
        <v>na</v>
      </c>
      <c r="R23" s="264">
        <f t="shared" si="62"/>
        <v>6</v>
      </c>
      <c r="S23" s="236" t="str">
        <f t="shared" si="63"/>
        <v>X</v>
      </c>
      <c r="T23" s="236" t="str">
        <f t="shared" si="64"/>
        <v>X</v>
      </c>
      <c r="U23" s="236" t="str">
        <f t="shared" si="65"/>
        <v>X</v>
      </c>
      <c r="V23" s="236" t="str">
        <f t="shared" si="66"/>
        <v/>
      </c>
      <c r="W23" s="236" t="str">
        <f t="shared" si="67"/>
        <v/>
      </c>
      <c r="X23" s="236" t="str">
        <f t="shared" si="68"/>
        <v/>
      </c>
      <c r="Y23" s="236" t="str">
        <f t="shared" si="69"/>
        <v/>
      </c>
      <c r="Z23" s="235" t="str">
        <f t="shared" si="70"/>
        <v/>
      </c>
      <c r="AB23" s="1062"/>
    </row>
    <row r="24" spans="1:28" ht="13.9" customHeight="1" x14ac:dyDescent="0.25">
      <c r="A24" s="847">
        <f>Chem!A24</f>
        <v>22</v>
      </c>
      <c r="B24" s="855" t="str">
        <f>Chem!B24</f>
        <v>Arsenic</v>
      </c>
      <c r="C24" s="343">
        <v>10</v>
      </c>
      <c r="D24" s="384" t="s">
        <v>232</v>
      </c>
      <c r="E24" s="384">
        <v>10</v>
      </c>
      <c r="F24" s="384">
        <f t="shared" si="55"/>
        <v>10</v>
      </c>
      <c r="G24" s="400">
        <f>'GW-Eq'!G24</f>
        <v>0.96000000000000008</v>
      </c>
      <c r="H24" s="400">
        <f t="shared" si="56"/>
        <v>10.416666666666666</v>
      </c>
      <c r="I24" s="403" t="str">
        <f t="shared" si="57"/>
        <v>YES</v>
      </c>
      <c r="J24" s="403">
        <f t="shared" si="58"/>
        <v>0.96000000000000008</v>
      </c>
      <c r="K24" s="271">
        <f>'GW-Eq'!H24</f>
        <v>2.7343749999999994E-3</v>
      </c>
      <c r="L24" s="271">
        <f t="shared" si="59"/>
        <v>3657.1428571428578</v>
      </c>
      <c r="M24" s="271" t="str">
        <f t="shared" si="60"/>
        <v>YES</v>
      </c>
      <c r="N24" s="271">
        <f t="shared" si="61"/>
        <v>2.7343749999999993E-2</v>
      </c>
      <c r="O24" s="330">
        <f t="shared" si="4"/>
        <v>2.7343749999999993E-2</v>
      </c>
      <c r="P24" s="2523" t="str">
        <f>VI!F24</f>
        <v>na</v>
      </c>
      <c r="R24" s="264">
        <f t="shared" si="62"/>
        <v>2.7343749999999993E-2</v>
      </c>
      <c r="S24" s="236" t="str">
        <f t="shared" si="63"/>
        <v/>
      </c>
      <c r="T24" s="236" t="str">
        <f t="shared" si="64"/>
        <v/>
      </c>
      <c r="U24" s="236" t="str">
        <f t="shared" si="65"/>
        <v/>
      </c>
      <c r="V24" s="236" t="str">
        <f t="shared" si="66"/>
        <v/>
      </c>
      <c r="W24" s="236" t="str">
        <f t="shared" si="67"/>
        <v/>
      </c>
      <c r="X24" s="236" t="str">
        <f t="shared" si="68"/>
        <v/>
      </c>
      <c r="Y24" s="236" t="str">
        <f t="shared" si="69"/>
        <v>X</v>
      </c>
      <c r="Z24" s="235" t="str">
        <f t="shared" si="70"/>
        <v/>
      </c>
      <c r="AB24" s="1062"/>
    </row>
    <row r="25" spans="1:28" ht="13.9" customHeight="1" x14ac:dyDescent="0.25">
      <c r="A25" s="847">
        <f>Chem!A25</f>
        <v>23</v>
      </c>
      <c r="B25" s="855" t="str">
        <f>Chem!B25</f>
        <v>Barium</v>
      </c>
      <c r="C25" s="343">
        <v>2000</v>
      </c>
      <c r="D25" s="384">
        <v>2000</v>
      </c>
      <c r="E25" s="384">
        <v>2000</v>
      </c>
      <c r="F25" s="384">
        <f t="shared" si="55"/>
        <v>2000</v>
      </c>
      <c r="G25" s="400">
        <f>'GW-Eq'!G25</f>
        <v>3200</v>
      </c>
      <c r="H25" s="400">
        <f t="shared" si="56"/>
        <v>0.625</v>
      </c>
      <c r="I25" s="403" t="str">
        <f t="shared" si="57"/>
        <v>no</v>
      </c>
      <c r="J25" s="403">
        <f t="shared" si="58"/>
        <v>2000</v>
      </c>
      <c r="K25" s="271" t="str">
        <f>'GW-Eq'!H25</f>
        <v>na</v>
      </c>
      <c r="L25" s="271" t="str">
        <f t="shared" si="59"/>
        <v>na</v>
      </c>
      <c r="M25" s="271" t="str">
        <f t="shared" si="60"/>
        <v>na</v>
      </c>
      <c r="N25" s="271" t="str">
        <f t="shared" si="61"/>
        <v>na</v>
      </c>
      <c r="O25" s="330">
        <f t="shared" si="4"/>
        <v>2000</v>
      </c>
      <c r="P25" s="2523" t="str">
        <f>VI!F25</f>
        <v>na</v>
      </c>
      <c r="R25" s="264">
        <f t="shared" si="62"/>
        <v>2000</v>
      </c>
      <c r="S25" s="236" t="str">
        <f t="shared" si="63"/>
        <v>X</v>
      </c>
      <c r="T25" s="236" t="str">
        <f t="shared" si="64"/>
        <v>X</v>
      </c>
      <c r="U25" s="236" t="str">
        <f t="shared" si="65"/>
        <v>X</v>
      </c>
      <c r="V25" s="236" t="str">
        <f t="shared" si="66"/>
        <v/>
      </c>
      <c r="W25" s="236" t="str">
        <f t="shared" si="67"/>
        <v/>
      </c>
      <c r="X25" s="236" t="str">
        <f t="shared" si="68"/>
        <v/>
      </c>
      <c r="Y25" s="236" t="str">
        <f t="shared" si="69"/>
        <v/>
      </c>
      <c r="Z25" s="235" t="str">
        <f t="shared" si="70"/>
        <v/>
      </c>
      <c r="AB25" s="1062"/>
    </row>
    <row r="26" spans="1:28" ht="13.9" customHeight="1" x14ac:dyDescent="0.25">
      <c r="A26" s="847">
        <f>Chem!A26</f>
        <v>24</v>
      </c>
      <c r="B26" s="855" t="str">
        <f>Chem!B26</f>
        <v>Beryllium</v>
      </c>
      <c r="C26" s="343">
        <v>4</v>
      </c>
      <c r="D26" s="384">
        <v>4</v>
      </c>
      <c r="E26" s="384">
        <v>4</v>
      </c>
      <c r="F26" s="384">
        <f t="shared" si="55"/>
        <v>4</v>
      </c>
      <c r="G26" s="400">
        <f>'GW-Eq'!G26</f>
        <v>32</v>
      </c>
      <c r="H26" s="400">
        <f t="shared" si="56"/>
        <v>0.125</v>
      </c>
      <c r="I26" s="403" t="str">
        <f t="shared" si="57"/>
        <v>no</v>
      </c>
      <c r="J26" s="403">
        <f t="shared" si="58"/>
        <v>4</v>
      </c>
      <c r="K26" s="271" t="str">
        <f>'GW-Eq'!H26</f>
        <v>na</v>
      </c>
      <c r="L26" s="271" t="str">
        <f t="shared" si="59"/>
        <v>na</v>
      </c>
      <c r="M26" s="271" t="str">
        <f t="shared" si="60"/>
        <v>na</v>
      </c>
      <c r="N26" s="271" t="str">
        <f t="shared" si="61"/>
        <v>na</v>
      </c>
      <c r="O26" s="330">
        <f t="shared" si="4"/>
        <v>4</v>
      </c>
      <c r="P26" s="2523" t="str">
        <f>VI!F26</f>
        <v>na</v>
      </c>
      <c r="R26" s="264">
        <f t="shared" si="62"/>
        <v>4</v>
      </c>
      <c r="S26" s="236" t="str">
        <f t="shared" si="63"/>
        <v>X</v>
      </c>
      <c r="T26" s="236" t="str">
        <f t="shared" si="64"/>
        <v>X</v>
      </c>
      <c r="U26" s="236" t="str">
        <f t="shared" si="65"/>
        <v>X</v>
      </c>
      <c r="V26" s="236" t="str">
        <f t="shared" si="66"/>
        <v/>
      </c>
      <c r="W26" s="236" t="str">
        <f t="shared" si="67"/>
        <v/>
      </c>
      <c r="X26" s="236" t="str">
        <f t="shared" si="68"/>
        <v/>
      </c>
      <c r="Y26" s="236" t="str">
        <f t="shared" si="69"/>
        <v/>
      </c>
      <c r="Z26" s="235" t="str">
        <f t="shared" si="70"/>
        <v/>
      </c>
      <c r="AB26" s="1062"/>
    </row>
    <row r="27" spans="1:28" ht="13.9" customHeight="1" x14ac:dyDescent="0.25">
      <c r="A27" s="847">
        <f>Chem!A27</f>
        <v>25</v>
      </c>
      <c r="B27" s="855" t="str">
        <f>Chem!B27</f>
        <v>Cadmium</v>
      </c>
      <c r="C27" s="343">
        <v>5</v>
      </c>
      <c r="D27" s="384">
        <v>5</v>
      </c>
      <c r="E27" s="384">
        <v>5</v>
      </c>
      <c r="F27" s="384">
        <f t="shared" si="55"/>
        <v>5</v>
      </c>
      <c r="G27" s="400">
        <f>'GW-Eq'!G27</f>
        <v>8</v>
      </c>
      <c r="H27" s="400">
        <f t="shared" si="56"/>
        <v>0.625</v>
      </c>
      <c r="I27" s="400" t="str">
        <f t="shared" si="57"/>
        <v>no</v>
      </c>
      <c r="J27" s="403">
        <f t="shared" si="58"/>
        <v>5</v>
      </c>
      <c r="K27" s="271" t="str">
        <f>'GW-Eq'!H27</f>
        <v>na</v>
      </c>
      <c r="L27" s="271" t="str">
        <f t="shared" si="59"/>
        <v>na</v>
      </c>
      <c r="M27" s="271" t="str">
        <f t="shared" si="60"/>
        <v>na</v>
      </c>
      <c r="N27" s="271" t="str">
        <f t="shared" si="61"/>
        <v>na</v>
      </c>
      <c r="O27" s="330">
        <f t="shared" si="4"/>
        <v>5</v>
      </c>
      <c r="P27" s="2523" t="str">
        <f>VI!F27</f>
        <v>na</v>
      </c>
      <c r="R27" s="264">
        <f t="shared" si="62"/>
        <v>5</v>
      </c>
      <c r="S27" s="236" t="str">
        <f t="shared" si="63"/>
        <v>X</v>
      </c>
      <c r="T27" s="236" t="str">
        <f t="shared" si="64"/>
        <v>X</v>
      </c>
      <c r="U27" s="236" t="str">
        <f t="shared" si="65"/>
        <v>X</v>
      </c>
      <c r="V27" s="236" t="str">
        <f t="shared" si="66"/>
        <v/>
      </c>
      <c r="W27" s="236" t="str">
        <f t="shared" si="67"/>
        <v/>
      </c>
      <c r="X27" s="236" t="str">
        <f t="shared" si="68"/>
        <v/>
      </c>
      <c r="Y27" s="236" t="str">
        <f t="shared" si="69"/>
        <v/>
      </c>
      <c r="Z27" s="235" t="str">
        <f t="shared" si="70"/>
        <v/>
      </c>
      <c r="AB27" s="1062"/>
    </row>
    <row r="28" spans="1:28" ht="13.9" customHeight="1" x14ac:dyDescent="0.25">
      <c r="A28" s="847">
        <f>Chem!A28</f>
        <v>26</v>
      </c>
      <c r="B28" s="855" t="str">
        <f>Chem!B28</f>
        <v>Chromium, total</v>
      </c>
      <c r="C28" s="343">
        <v>100</v>
      </c>
      <c r="D28" s="384">
        <v>100</v>
      </c>
      <c r="E28" s="384">
        <v>100</v>
      </c>
      <c r="F28" s="384">
        <f t="shared" si="55"/>
        <v>100</v>
      </c>
      <c r="G28" s="400" t="str">
        <f>'GW-Eq'!G28</f>
        <v>na</v>
      </c>
      <c r="H28" s="400" t="str">
        <f t="shared" ref="H28" si="71">IF(F28="na","na",IF(G28="na","na",F28/G28))</f>
        <v>na</v>
      </c>
      <c r="I28" s="400" t="str">
        <f t="shared" ref="I28" si="72">IF(H28="na","na",IF(H28&gt;1,"YES","no"))</f>
        <v>na</v>
      </c>
      <c r="J28" s="403">
        <f t="shared" ref="J28" si="73">IF(I28="YES",G28,IF(ISNUMBER(F28),F28,G28))</f>
        <v>100</v>
      </c>
      <c r="K28" s="271" t="str">
        <f>'GW-Eq'!H28</f>
        <v>na</v>
      </c>
      <c r="L28" s="271" t="str">
        <f t="shared" ref="L28" si="74">IF(F28="na","na",IF(K28="na","na",F28/K28))</f>
        <v>na</v>
      </c>
      <c r="M28" s="271" t="str">
        <f t="shared" ref="M28" si="75">IF(L28="na","na",IF(L28&gt;10,"YES","no"))</f>
        <v>na</v>
      </c>
      <c r="N28" s="271" t="str">
        <f t="shared" ref="N28" si="76">IF(M28="YES",10*K28,IF(M28="no",F28,K28))</f>
        <v>na</v>
      </c>
      <c r="O28" s="330">
        <f t="shared" si="4"/>
        <v>100</v>
      </c>
      <c r="P28" s="2523" t="str">
        <f>VI!F28</f>
        <v>na</v>
      </c>
      <c r="R28" s="264">
        <f t="shared" si="62"/>
        <v>100</v>
      </c>
      <c r="S28" s="236" t="str">
        <f t="shared" si="63"/>
        <v>X</v>
      </c>
      <c r="T28" s="236" t="str">
        <f t="shared" si="64"/>
        <v>X</v>
      </c>
      <c r="U28" s="236" t="str">
        <f t="shared" si="65"/>
        <v>X</v>
      </c>
      <c r="V28" s="236" t="str">
        <f t="shared" si="66"/>
        <v/>
      </c>
      <c r="W28" s="236" t="str">
        <f t="shared" si="67"/>
        <v/>
      </c>
      <c r="X28" s="236" t="str">
        <f t="shared" si="68"/>
        <v/>
      </c>
      <c r="Y28" s="236" t="str">
        <f t="shared" si="69"/>
        <v/>
      </c>
      <c r="Z28" s="235" t="str">
        <f t="shared" si="70"/>
        <v/>
      </c>
      <c r="AB28" s="1062"/>
    </row>
    <row r="29" spans="1:28" ht="13.9" customHeight="1" x14ac:dyDescent="0.25">
      <c r="A29" s="847">
        <f>Chem!A29</f>
        <v>27</v>
      </c>
      <c r="B29" s="855" t="str">
        <f>Chem!B29</f>
        <v>Chromium, trivalent</v>
      </c>
      <c r="C29" s="343" t="s">
        <v>232</v>
      </c>
      <c r="D29" s="384" t="s">
        <v>232</v>
      </c>
      <c r="E29" s="384" t="s">
        <v>232</v>
      </c>
      <c r="F29" s="384" t="str">
        <f t="shared" si="55"/>
        <v>na</v>
      </c>
      <c r="G29" s="400">
        <f>'GW-Eq'!G29</f>
        <v>24000</v>
      </c>
      <c r="H29" s="400" t="str">
        <f t="shared" si="56"/>
        <v>na</v>
      </c>
      <c r="I29" s="400" t="str">
        <f t="shared" si="57"/>
        <v>na</v>
      </c>
      <c r="J29" s="403">
        <f t="shared" si="58"/>
        <v>24000</v>
      </c>
      <c r="K29" s="271" t="str">
        <f>'GW-Eq'!H29</f>
        <v>na</v>
      </c>
      <c r="L29" s="271" t="str">
        <f t="shared" si="59"/>
        <v>na</v>
      </c>
      <c r="M29" s="271" t="str">
        <f t="shared" si="60"/>
        <v>na</v>
      </c>
      <c r="N29" s="271" t="str">
        <f t="shared" si="61"/>
        <v>na</v>
      </c>
      <c r="O29" s="330">
        <f t="shared" si="4"/>
        <v>24000</v>
      </c>
      <c r="P29" s="2523" t="str">
        <f>VI!F29</f>
        <v>na</v>
      </c>
      <c r="R29" s="264">
        <f t="shared" si="62"/>
        <v>24000</v>
      </c>
      <c r="S29" s="236" t="str">
        <f t="shared" si="63"/>
        <v/>
      </c>
      <c r="T29" s="236" t="str">
        <f t="shared" si="64"/>
        <v/>
      </c>
      <c r="U29" s="236" t="str">
        <f t="shared" si="65"/>
        <v/>
      </c>
      <c r="V29" s="236" t="str">
        <f t="shared" si="66"/>
        <v>X</v>
      </c>
      <c r="W29" s="236" t="str">
        <f t="shared" si="67"/>
        <v/>
      </c>
      <c r="X29" s="236" t="str">
        <f t="shared" si="68"/>
        <v/>
      </c>
      <c r="Y29" s="236" t="str">
        <f t="shared" si="69"/>
        <v/>
      </c>
      <c r="Z29" s="235" t="str">
        <f t="shared" si="70"/>
        <v/>
      </c>
      <c r="AB29" s="1062"/>
    </row>
    <row r="30" spans="1:28" ht="13.9" customHeight="1" x14ac:dyDescent="0.25">
      <c r="A30" s="847">
        <f>Chem!A30</f>
        <v>28</v>
      </c>
      <c r="B30" s="855" t="str">
        <f>Chem!B30</f>
        <v>Chromium, hexavalent</v>
      </c>
      <c r="C30" s="343" t="s">
        <v>232</v>
      </c>
      <c r="D30" s="384" t="s">
        <v>232</v>
      </c>
      <c r="E30" s="384" t="s">
        <v>232</v>
      </c>
      <c r="F30" s="384" t="str">
        <f t="shared" si="55"/>
        <v>na</v>
      </c>
      <c r="G30" s="400">
        <f>'GW-Eq'!G30</f>
        <v>14.4</v>
      </c>
      <c r="H30" s="400" t="str">
        <f t="shared" si="56"/>
        <v>na</v>
      </c>
      <c r="I30" s="400" t="str">
        <f t="shared" si="57"/>
        <v>na</v>
      </c>
      <c r="J30" s="403">
        <f t="shared" si="58"/>
        <v>14.4</v>
      </c>
      <c r="K30" s="271">
        <f>'GW-Eq'!H30</f>
        <v>0.14000000000000001</v>
      </c>
      <c r="L30" s="271" t="str">
        <f t="shared" si="59"/>
        <v>na</v>
      </c>
      <c r="M30" s="271" t="str">
        <f t="shared" si="60"/>
        <v>na</v>
      </c>
      <c r="N30" s="45">
        <v>1.4</v>
      </c>
      <c r="O30" s="330">
        <f t="shared" si="4"/>
        <v>1.4</v>
      </c>
      <c r="P30" s="2523" t="str">
        <f>VI!F30</f>
        <v>na</v>
      </c>
      <c r="R30" s="264">
        <f t="shared" si="62"/>
        <v>1.4</v>
      </c>
      <c r="S30" s="236" t="str">
        <f t="shared" si="63"/>
        <v/>
      </c>
      <c r="T30" s="236" t="str">
        <f t="shared" si="64"/>
        <v/>
      </c>
      <c r="U30" s="236" t="str">
        <f t="shared" si="65"/>
        <v/>
      </c>
      <c r="V30" s="236" t="str">
        <f t="shared" si="66"/>
        <v/>
      </c>
      <c r="W30" s="236" t="str">
        <f t="shared" si="67"/>
        <v>X</v>
      </c>
      <c r="X30" s="236" t="str">
        <f t="shared" si="68"/>
        <v/>
      </c>
      <c r="Y30" s="236" t="str">
        <f t="shared" si="69"/>
        <v/>
      </c>
      <c r="Z30" s="235" t="str">
        <f t="shared" si="70"/>
        <v/>
      </c>
      <c r="AB30" s="1062"/>
    </row>
    <row r="31" spans="1:28" ht="13.9" customHeight="1" x14ac:dyDescent="0.25">
      <c r="A31" s="847">
        <f>Chem!A31</f>
        <v>29</v>
      </c>
      <c r="B31" s="855" t="str">
        <f>Chem!B31</f>
        <v>Cobalt</v>
      </c>
      <c r="C31" s="343" t="s">
        <v>232</v>
      </c>
      <c r="D31" s="384" t="s">
        <v>232</v>
      </c>
      <c r="E31" s="384" t="s">
        <v>232</v>
      </c>
      <c r="F31" s="384" t="str">
        <f t="shared" si="55"/>
        <v>na</v>
      </c>
      <c r="G31" s="400">
        <f>'GW-Eq'!G31</f>
        <v>4.8</v>
      </c>
      <c r="H31" s="400" t="str">
        <f t="shared" si="56"/>
        <v>na</v>
      </c>
      <c r="I31" s="400" t="str">
        <f t="shared" si="57"/>
        <v>na</v>
      </c>
      <c r="J31" s="403">
        <f t="shared" si="58"/>
        <v>4.8</v>
      </c>
      <c r="K31" s="271" t="str">
        <f>'GW-Eq'!H31</f>
        <v>na</v>
      </c>
      <c r="L31" s="271" t="str">
        <f t="shared" si="59"/>
        <v>na</v>
      </c>
      <c r="M31" s="271" t="str">
        <f t="shared" si="60"/>
        <v>na</v>
      </c>
      <c r="N31" s="271" t="str">
        <f t="shared" si="61"/>
        <v>na</v>
      </c>
      <c r="O31" s="330">
        <f t="shared" si="4"/>
        <v>4.8</v>
      </c>
      <c r="P31" s="2523" t="str">
        <f>VI!F31</f>
        <v>na</v>
      </c>
      <c r="R31" s="264">
        <f t="shared" si="62"/>
        <v>4.8</v>
      </c>
      <c r="S31" s="236" t="str">
        <f t="shared" si="63"/>
        <v/>
      </c>
      <c r="T31" s="236" t="str">
        <f t="shared" si="64"/>
        <v/>
      </c>
      <c r="U31" s="236" t="str">
        <f t="shared" si="65"/>
        <v/>
      </c>
      <c r="V31" s="236" t="str">
        <f t="shared" si="66"/>
        <v>X</v>
      </c>
      <c r="W31" s="236" t="str">
        <f t="shared" si="67"/>
        <v/>
      </c>
      <c r="X31" s="236" t="str">
        <f t="shared" si="68"/>
        <v/>
      </c>
      <c r="Y31" s="236" t="str">
        <f t="shared" si="69"/>
        <v/>
      </c>
      <c r="Z31" s="235" t="str">
        <f t="shared" si="70"/>
        <v/>
      </c>
      <c r="AB31" s="1062"/>
    </row>
    <row r="32" spans="1:28" ht="13.9" customHeight="1" x14ac:dyDescent="0.25">
      <c r="A32" s="847">
        <f>Chem!A32</f>
        <v>30</v>
      </c>
      <c r="B32" s="855" t="str">
        <f>Chem!B32</f>
        <v>Copper</v>
      </c>
      <c r="C32" s="343">
        <v>1300</v>
      </c>
      <c r="D32" s="384">
        <v>1300</v>
      </c>
      <c r="E32" s="384">
        <v>1300</v>
      </c>
      <c r="F32" s="384">
        <f t="shared" si="55"/>
        <v>1300</v>
      </c>
      <c r="G32" s="400">
        <f>'GW-Eq'!G32</f>
        <v>640</v>
      </c>
      <c r="H32" s="400">
        <f t="shared" si="56"/>
        <v>2.03125</v>
      </c>
      <c r="I32" s="400" t="str">
        <f t="shared" si="57"/>
        <v>YES</v>
      </c>
      <c r="J32" s="403">
        <f t="shared" si="58"/>
        <v>640</v>
      </c>
      <c r="K32" s="271" t="str">
        <f>'GW-Eq'!H32</f>
        <v>na</v>
      </c>
      <c r="L32" s="271" t="str">
        <f t="shared" si="59"/>
        <v>na</v>
      </c>
      <c r="M32" s="271" t="str">
        <f t="shared" si="60"/>
        <v>na</v>
      </c>
      <c r="N32" s="271" t="str">
        <f t="shared" si="61"/>
        <v>na</v>
      </c>
      <c r="O32" s="330">
        <f t="shared" si="4"/>
        <v>640</v>
      </c>
      <c r="P32" s="2523" t="str">
        <f>VI!F32</f>
        <v>na</v>
      </c>
      <c r="R32" s="264">
        <f t="shared" si="62"/>
        <v>640</v>
      </c>
      <c r="S32" s="236" t="str">
        <f t="shared" si="63"/>
        <v/>
      </c>
      <c r="T32" s="236" t="str">
        <f t="shared" si="64"/>
        <v/>
      </c>
      <c r="U32" s="236" t="str">
        <f t="shared" si="65"/>
        <v/>
      </c>
      <c r="V32" s="236" t="str">
        <f t="shared" si="66"/>
        <v/>
      </c>
      <c r="W32" s="236" t="str">
        <f t="shared" si="67"/>
        <v/>
      </c>
      <c r="X32" s="236" t="str">
        <f t="shared" si="68"/>
        <v>X</v>
      </c>
      <c r="Y32" s="236" t="str">
        <f t="shared" si="69"/>
        <v/>
      </c>
      <c r="Z32" s="235" t="str">
        <f t="shared" si="70"/>
        <v/>
      </c>
      <c r="AB32" s="1062"/>
    </row>
    <row r="33" spans="1:28" ht="13.9" customHeight="1" x14ac:dyDescent="0.25">
      <c r="A33" s="847">
        <f>Chem!A33</f>
        <v>31</v>
      </c>
      <c r="B33" s="855" t="str">
        <f>Chem!B33</f>
        <v>Iron</v>
      </c>
      <c r="C33" s="343" t="s">
        <v>232</v>
      </c>
      <c r="D33" s="384" t="s">
        <v>232</v>
      </c>
      <c r="E33" s="384">
        <v>300</v>
      </c>
      <c r="F33" s="384">
        <f t="shared" si="55"/>
        <v>300</v>
      </c>
      <c r="G33" s="400">
        <f>'GW-Eq'!G33</f>
        <v>11200</v>
      </c>
      <c r="H33" s="400">
        <f t="shared" si="56"/>
        <v>2.6785714285714284E-2</v>
      </c>
      <c r="I33" s="400" t="str">
        <f t="shared" si="57"/>
        <v>no</v>
      </c>
      <c r="J33" s="403">
        <f t="shared" si="58"/>
        <v>300</v>
      </c>
      <c r="K33" s="271" t="str">
        <f>'GW-Eq'!H33</f>
        <v>na</v>
      </c>
      <c r="L33" s="271" t="str">
        <f t="shared" si="59"/>
        <v>na</v>
      </c>
      <c r="M33" s="271" t="str">
        <f t="shared" si="60"/>
        <v>na</v>
      </c>
      <c r="N33" s="271" t="str">
        <f t="shared" si="61"/>
        <v>na</v>
      </c>
      <c r="O33" s="330">
        <f t="shared" si="4"/>
        <v>300</v>
      </c>
      <c r="P33" s="2523" t="str">
        <f>VI!F33</f>
        <v>na</v>
      </c>
      <c r="R33" s="264">
        <f t="shared" si="62"/>
        <v>300</v>
      </c>
      <c r="S33" s="236" t="str">
        <f t="shared" si="63"/>
        <v/>
      </c>
      <c r="T33" s="236" t="str">
        <f t="shared" si="64"/>
        <v/>
      </c>
      <c r="U33" s="236" t="str">
        <f t="shared" si="65"/>
        <v>X</v>
      </c>
      <c r="V33" s="236" t="str">
        <f t="shared" si="66"/>
        <v/>
      </c>
      <c r="W33" s="236" t="str">
        <f t="shared" si="67"/>
        <v/>
      </c>
      <c r="X33" s="236" t="str">
        <f t="shared" si="68"/>
        <v/>
      </c>
      <c r="Y33" s="236" t="str">
        <f t="shared" si="69"/>
        <v/>
      </c>
      <c r="Z33" s="235" t="str">
        <f t="shared" si="70"/>
        <v/>
      </c>
      <c r="AB33" s="1062"/>
    </row>
    <row r="34" spans="1:28" ht="13.9" customHeight="1" x14ac:dyDescent="0.25">
      <c r="A34" s="847">
        <f>Chem!A34</f>
        <v>32</v>
      </c>
      <c r="B34" s="855" t="str">
        <f>Chem!B34</f>
        <v>Lead</v>
      </c>
      <c r="C34" s="343">
        <v>10</v>
      </c>
      <c r="D34" s="384" t="s">
        <v>232</v>
      </c>
      <c r="E34" s="384">
        <v>15</v>
      </c>
      <c r="F34" s="384">
        <f t="shared" si="55"/>
        <v>10</v>
      </c>
      <c r="G34" s="400" t="str">
        <f>'GW-Eq'!G34</f>
        <v>na</v>
      </c>
      <c r="H34" s="400" t="str">
        <f t="shared" si="56"/>
        <v>na</v>
      </c>
      <c r="I34" s="400" t="str">
        <f t="shared" si="57"/>
        <v>na</v>
      </c>
      <c r="J34" s="403">
        <f t="shared" si="58"/>
        <v>10</v>
      </c>
      <c r="K34" s="271" t="str">
        <f>'GW-Eq'!H34</f>
        <v>na</v>
      </c>
      <c r="L34" s="271" t="str">
        <f t="shared" si="59"/>
        <v>na</v>
      </c>
      <c r="M34" s="271" t="str">
        <f t="shared" si="60"/>
        <v>na</v>
      </c>
      <c r="N34" s="271" t="str">
        <f t="shared" si="61"/>
        <v>na</v>
      </c>
      <c r="O34" s="330">
        <f t="shared" si="4"/>
        <v>10</v>
      </c>
      <c r="P34" s="2523" t="str">
        <f>VI!F34</f>
        <v>na</v>
      </c>
      <c r="R34" s="264">
        <f t="shared" si="62"/>
        <v>10</v>
      </c>
      <c r="S34" s="236" t="str">
        <f t="shared" si="63"/>
        <v>X</v>
      </c>
      <c r="T34" s="236" t="str">
        <f t="shared" si="64"/>
        <v/>
      </c>
      <c r="U34" s="236" t="str">
        <f t="shared" si="65"/>
        <v/>
      </c>
      <c r="V34" s="236" t="str">
        <f t="shared" si="66"/>
        <v/>
      </c>
      <c r="W34" s="236" t="str">
        <f t="shared" si="67"/>
        <v/>
      </c>
      <c r="X34" s="236" t="str">
        <f t="shared" si="68"/>
        <v/>
      </c>
      <c r="Y34" s="236" t="str">
        <f t="shared" si="69"/>
        <v/>
      </c>
      <c r="Z34" s="235" t="str">
        <f t="shared" si="70"/>
        <v/>
      </c>
      <c r="AB34" s="1062"/>
    </row>
    <row r="35" spans="1:28" ht="13.9" customHeight="1" x14ac:dyDescent="0.25">
      <c r="A35" s="847">
        <f>Chem!A35</f>
        <v>33</v>
      </c>
      <c r="B35" s="855" t="str">
        <f>Chem!B35</f>
        <v>Manganese</v>
      </c>
      <c r="C35" s="343" t="s">
        <v>232</v>
      </c>
      <c r="D35" s="384" t="s">
        <v>232</v>
      </c>
      <c r="E35" s="384">
        <v>50</v>
      </c>
      <c r="F35" s="384">
        <f t="shared" si="55"/>
        <v>50</v>
      </c>
      <c r="G35" s="400">
        <f>'GW-Eq'!G35</f>
        <v>747.19999999999993</v>
      </c>
      <c r="H35" s="400">
        <f t="shared" si="56"/>
        <v>6.6916488222698078E-2</v>
      </c>
      <c r="I35" s="400" t="str">
        <f t="shared" si="57"/>
        <v>no</v>
      </c>
      <c r="J35" s="403">
        <f t="shared" si="58"/>
        <v>50</v>
      </c>
      <c r="K35" s="271" t="str">
        <f>'GW-Eq'!H35</f>
        <v>na</v>
      </c>
      <c r="L35" s="271" t="str">
        <f t="shared" si="59"/>
        <v>na</v>
      </c>
      <c r="M35" s="271" t="str">
        <f t="shared" si="60"/>
        <v>na</v>
      </c>
      <c r="N35" s="271" t="str">
        <f t="shared" si="61"/>
        <v>na</v>
      </c>
      <c r="O35" s="330">
        <f t="shared" si="4"/>
        <v>50</v>
      </c>
      <c r="P35" s="2523" t="str">
        <f>VI!F35</f>
        <v>na</v>
      </c>
      <c r="R35" s="264">
        <f t="shared" si="62"/>
        <v>50</v>
      </c>
      <c r="S35" s="236" t="str">
        <f t="shared" si="63"/>
        <v/>
      </c>
      <c r="T35" s="236" t="str">
        <f t="shared" si="64"/>
        <v/>
      </c>
      <c r="U35" s="236" t="str">
        <f t="shared" si="65"/>
        <v>X</v>
      </c>
      <c r="V35" s="236" t="str">
        <f t="shared" si="66"/>
        <v/>
      </c>
      <c r="W35" s="236" t="str">
        <f t="shared" si="67"/>
        <v/>
      </c>
      <c r="X35" s="236" t="str">
        <f t="shared" si="68"/>
        <v/>
      </c>
      <c r="Y35" s="236" t="str">
        <f t="shared" si="69"/>
        <v/>
      </c>
      <c r="Z35" s="235" t="str">
        <f t="shared" si="70"/>
        <v/>
      </c>
      <c r="AB35" s="1062"/>
    </row>
    <row r="36" spans="1:28" ht="13.9" customHeight="1" x14ac:dyDescent="0.25">
      <c r="A36" s="847">
        <f>Chem!A36</f>
        <v>34</v>
      </c>
      <c r="B36" s="855" t="str">
        <f>Chem!B36</f>
        <v>Mercury, inorganic</v>
      </c>
      <c r="C36" s="343">
        <v>2</v>
      </c>
      <c r="D36" s="384">
        <v>2</v>
      </c>
      <c r="E36" s="384">
        <v>2</v>
      </c>
      <c r="F36" s="384">
        <f t="shared" si="55"/>
        <v>2</v>
      </c>
      <c r="G36" s="400" t="str">
        <f>'GW-Eq'!G36</f>
        <v>na</v>
      </c>
      <c r="H36" s="400" t="str">
        <f t="shared" si="56"/>
        <v>na</v>
      </c>
      <c r="I36" s="400" t="str">
        <f t="shared" si="57"/>
        <v>na</v>
      </c>
      <c r="J36" s="403">
        <f t="shared" si="58"/>
        <v>2</v>
      </c>
      <c r="K36" s="271" t="str">
        <f>'GW-Eq'!H36</f>
        <v>na</v>
      </c>
      <c r="L36" s="271" t="str">
        <f t="shared" si="59"/>
        <v>na</v>
      </c>
      <c r="M36" s="271" t="str">
        <f t="shared" si="60"/>
        <v>na</v>
      </c>
      <c r="N36" s="271" t="str">
        <f t="shared" si="61"/>
        <v>na</v>
      </c>
      <c r="O36" s="330">
        <f t="shared" si="4"/>
        <v>2</v>
      </c>
      <c r="P36" s="2523">
        <f>VI!F36</f>
        <v>0.82747210838132013</v>
      </c>
      <c r="R36" s="264">
        <f t="shared" si="62"/>
        <v>0.82747210838132013</v>
      </c>
      <c r="S36" s="236" t="str">
        <f t="shared" si="63"/>
        <v/>
      </c>
      <c r="T36" s="236" t="str">
        <f t="shared" si="64"/>
        <v/>
      </c>
      <c r="U36" s="236" t="str">
        <f t="shared" si="65"/>
        <v/>
      </c>
      <c r="V36" s="236" t="str">
        <f t="shared" si="66"/>
        <v/>
      </c>
      <c r="W36" s="236" t="str">
        <f t="shared" si="67"/>
        <v/>
      </c>
      <c r="X36" s="236" t="str">
        <f t="shared" si="68"/>
        <v/>
      </c>
      <c r="Y36" s="236" t="str">
        <f t="shared" si="69"/>
        <v/>
      </c>
      <c r="Z36" s="235" t="str">
        <f t="shared" si="70"/>
        <v>X</v>
      </c>
      <c r="AB36" s="1062"/>
    </row>
    <row r="37" spans="1:28" ht="13.9" customHeight="1" x14ac:dyDescent="0.25">
      <c r="A37" s="847">
        <f>Chem!A37</f>
        <v>35</v>
      </c>
      <c r="B37" s="855" t="str">
        <f>Chem!B37</f>
        <v>Methylmercury</v>
      </c>
      <c r="C37" s="343" t="s">
        <v>232</v>
      </c>
      <c r="D37" s="384" t="s">
        <v>232</v>
      </c>
      <c r="E37" s="384" t="s">
        <v>232</v>
      </c>
      <c r="F37" s="384" t="str">
        <f t="shared" si="55"/>
        <v>na</v>
      </c>
      <c r="G37" s="400">
        <f>'GW-Eq'!G37</f>
        <v>1.6</v>
      </c>
      <c r="H37" s="400" t="str">
        <f t="shared" si="56"/>
        <v>na</v>
      </c>
      <c r="I37" s="400" t="str">
        <f t="shared" si="57"/>
        <v>na</v>
      </c>
      <c r="J37" s="403">
        <f t="shared" si="58"/>
        <v>1.6</v>
      </c>
      <c r="K37" s="271" t="str">
        <f>'GW-Eq'!H37</f>
        <v>na</v>
      </c>
      <c r="L37" s="271" t="str">
        <f t="shared" si="59"/>
        <v>na</v>
      </c>
      <c r="M37" s="271" t="str">
        <f t="shared" si="60"/>
        <v>na</v>
      </c>
      <c r="N37" s="271" t="str">
        <f t="shared" si="61"/>
        <v>na</v>
      </c>
      <c r="O37" s="330">
        <f t="shared" si="4"/>
        <v>1.6</v>
      </c>
      <c r="P37" s="2523" t="str">
        <f>VI!F37</f>
        <v>na</v>
      </c>
      <c r="R37" s="264">
        <f t="shared" si="62"/>
        <v>1.6</v>
      </c>
      <c r="S37" s="236" t="str">
        <f t="shared" si="63"/>
        <v/>
      </c>
      <c r="T37" s="236" t="str">
        <f t="shared" si="64"/>
        <v/>
      </c>
      <c r="U37" s="236" t="str">
        <f t="shared" si="65"/>
        <v/>
      </c>
      <c r="V37" s="236" t="str">
        <f t="shared" si="66"/>
        <v>X</v>
      </c>
      <c r="W37" s="236" t="str">
        <f t="shared" si="67"/>
        <v/>
      </c>
      <c r="X37" s="236" t="str">
        <f t="shared" si="68"/>
        <v/>
      </c>
      <c r="Y37" s="236" t="str">
        <f t="shared" si="69"/>
        <v/>
      </c>
      <c r="Z37" s="235" t="str">
        <f t="shared" si="70"/>
        <v/>
      </c>
      <c r="AB37" s="1062"/>
    </row>
    <row r="38" spans="1:28" ht="13.9" customHeight="1" x14ac:dyDescent="0.25">
      <c r="A38" s="847">
        <f>Chem!A38</f>
        <v>36</v>
      </c>
      <c r="B38" s="855" t="str">
        <f>Chem!B38</f>
        <v>Molybdenum</v>
      </c>
      <c r="C38" s="343" t="s">
        <v>232</v>
      </c>
      <c r="D38" s="384" t="s">
        <v>232</v>
      </c>
      <c r="E38" s="384" t="s">
        <v>232</v>
      </c>
      <c r="F38" s="384" t="str">
        <f t="shared" si="55"/>
        <v>na</v>
      </c>
      <c r="G38" s="400">
        <f>'GW-Eq'!G38</f>
        <v>80</v>
      </c>
      <c r="H38" s="400" t="str">
        <f t="shared" si="56"/>
        <v>na</v>
      </c>
      <c r="I38" s="400" t="str">
        <f t="shared" si="57"/>
        <v>na</v>
      </c>
      <c r="J38" s="403">
        <f t="shared" si="58"/>
        <v>80</v>
      </c>
      <c r="K38" s="271" t="str">
        <f>'GW-Eq'!H38</f>
        <v>na</v>
      </c>
      <c r="L38" s="271" t="str">
        <f t="shared" si="59"/>
        <v>na</v>
      </c>
      <c r="M38" s="271" t="str">
        <f t="shared" si="60"/>
        <v>na</v>
      </c>
      <c r="N38" s="271" t="str">
        <f t="shared" si="61"/>
        <v>na</v>
      </c>
      <c r="O38" s="330">
        <f t="shared" si="4"/>
        <v>80</v>
      </c>
      <c r="P38" s="2523" t="str">
        <f>VI!F38</f>
        <v>na</v>
      </c>
      <c r="R38" s="264">
        <f t="shared" si="62"/>
        <v>80</v>
      </c>
      <c r="S38" s="236" t="str">
        <f t="shared" si="63"/>
        <v/>
      </c>
      <c r="T38" s="236" t="str">
        <f t="shared" si="64"/>
        <v/>
      </c>
      <c r="U38" s="236" t="str">
        <f t="shared" si="65"/>
        <v/>
      </c>
      <c r="V38" s="236" t="str">
        <f t="shared" si="66"/>
        <v>X</v>
      </c>
      <c r="W38" s="236" t="str">
        <f t="shared" si="67"/>
        <v/>
      </c>
      <c r="X38" s="236" t="str">
        <f t="shared" si="68"/>
        <v/>
      </c>
      <c r="Y38" s="236" t="str">
        <f t="shared" si="69"/>
        <v/>
      </c>
      <c r="Z38" s="235" t="str">
        <f t="shared" si="70"/>
        <v/>
      </c>
      <c r="AB38" s="1062"/>
    </row>
    <row r="39" spans="1:28" ht="13.9" customHeight="1" x14ac:dyDescent="0.25">
      <c r="A39" s="847">
        <f>Chem!A39</f>
        <v>37</v>
      </c>
      <c r="B39" s="855" t="str">
        <f>Chem!B39</f>
        <v>Nickel</v>
      </c>
      <c r="C39" s="343" t="s">
        <v>232</v>
      </c>
      <c r="D39" s="384" t="s">
        <v>232</v>
      </c>
      <c r="E39" s="384" t="s">
        <v>232</v>
      </c>
      <c r="F39" s="384" t="str">
        <f t="shared" si="55"/>
        <v>na</v>
      </c>
      <c r="G39" s="400">
        <f>'GW-Eq'!G39</f>
        <v>320</v>
      </c>
      <c r="H39" s="400" t="str">
        <f t="shared" si="56"/>
        <v>na</v>
      </c>
      <c r="I39" s="400" t="str">
        <f t="shared" si="57"/>
        <v>na</v>
      </c>
      <c r="J39" s="403">
        <f t="shared" si="58"/>
        <v>320</v>
      </c>
      <c r="K39" s="271" t="str">
        <f>'GW-Eq'!H39</f>
        <v>na</v>
      </c>
      <c r="L39" s="271" t="str">
        <f t="shared" si="59"/>
        <v>na</v>
      </c>
      <c r="M39" s="271" t="str">
        <f t="shared" si="60"/>
        <v>na</v>
      </c>
      <c r="N39" s="271" t="str">
        <f t="shared" si="61"/>
        <v>na</v>
      </c>
      <c r="O39" s="330">
        <f t="shared" si="4"/>
        <v>320</v>
      </c>
      <c r="P39" s="2523" t="str">
        <f>VI!F39</f>
        <v>na</v>
      </c>
      <c r="R39" s="264">
        <f t="shared" si="62"/>
        <v>320</v>
      </c>
      <c r="S39" s="236" t="str">
        <f t="shared" si="63"/>
        <v/>
      </c>
      <c r="T39" s="236" t="str">
        <f t="shared" si="64"/>
        <v/>
      </c>
      <c r="U39" s="236" t="str">
        <f t="shared" si="65"/>
        <v/>
      </c>
      <c r="V39" s="236" t="str">
        <f t="shared" si="66"/>
        <v>X</v>
      </c>
      <c r="W39" s="236" t="str">
        <f t="shared" si="67"/>
        <v/>
      </c>
      <c r="X39" s="236" t="str">
        <f t="shared" si="68"/>
        <v/>
      </c>
      <c r="Y39" s="236" t="str">
        <f t="shared" si="69"/>
        <v/>
      </c>
      <c r="Z39" s="235" t="str">
        <f t="shared" si="70"/>
        <v/>
      </c>
      <c r="AB39" s="1062"/>
    </row>
    <row r="40" spans="1:28" ht="13.9" customHeight="1" x14ac:dyDescent="0.25">
      <c r="A40" s="847">
        <f>Chem!A40</f>
        <v>38</v>
      </c>
      <c r="B40" s="855" t="str">
        <f>Chem!B40</f>
        <v>Selenium</v>
      </c>
      <c r="C40" s="343">
        <v>50</v>
      </c>
      <c r="D40" s="384">
        <v>50</v>
      </c>
      <c r="E40" s="384">
        <v>50</v>
      </c>
      <c r="F40" s="384">
        <f t="shared" si="55"/>
        <v>50</v>
      </c>
      <c r="G40" s="400">
        <f>'GW-Eq'!G40</f>
        <v>80</v>
      </c>
      <c r="H40" s="400">
        <f t="shared" si="56"/>
        <v>0.625</v>
      </c>
      <c r="I40" s="400" t="str">
        <f t="shared" si="57"/>
        <v>no</v>
      </c>
      <c r="J40" s="403">
        <f t="shared" si="58"/>
        <v>50</v>
      </c>
      <c r="K40" s="271" t="str">
        <f>'GW-Eq'!H40</f>
        <v>na</v>
      </c>
      <c r="L40" s="271" t="str">
        <f t="shared" si="59"/>
        <v>na</v>
      </c>
      <c r="M40" s="271" t="str">
        <f t="shared" si="60"/>
        <v>na</v>
      </c>
      <c r="N40" s="271" t="str">
        <f t="shared" si="61"/>
        <v>na</v>
      </c>
      <c r="O40" s="330">
        <f t="shared" si="4"/>
        <v>50</v>
      </c>
      <c r="P40" s="2523" t="str">
        <f>VI!F40</f>
        <v>na</v>
      </c>
      <c r="R40" s="264">
        <f t="shared" si="62"/>
        <v>50</v>
      </c>
      <c r="S40" s="236" t="str">
        <f t="shared" si="63"/>
        <v>X</v>
      </c>
      <c r="T40" s="236" t="str">
        <f t="shared" si="64"/>
        <v>X</v>
      </c>
      <c r="U40" s="236" t="str">
        <f t="shared" si="65"/>
        <v>X</v>
      </c>
      <c r="V40" s="236" t="str">
        <f t="shared" si="66"/>
        <v/>
      </c>
      <c r="W40" s="236" t="str">
        <f t="shared" si="67"/>
        <v/>
      </c>
      <c r="X40" s="236" t="str">
        <f t="shared" si="68"/>
        <v/>
      </c>
      <c r="Y40" s="236" t="str">
        <f t="shared" si="69"/>
        <v/>
      </c>
      <c r="Z40" s="235" t="str">
        <f t="shared" si="70"/>
        <v/>
      </c>
      <c r="AB40" s="1062"/>
    </row>
    <row r="41" spans="1:28" ht="13.9" customHeight="1" x14ac:dyDescent="0.25">
      <c r="A41" s="847">
        <f>Chem!A41</f>
        <v>39</v>
      </c>
      <c r="B41" s="855" t="str">
        <f>Chem!B41</f>
        <v>Silver</v>
      </c>
      <c r="C41" s="343" t="s">
        <v>232</v>
      </c>
      <c r="D41" s="384" t="s">
        <v>232</v>
      </c>
      <c r="E41" s="384">
        <v>100</v>
      </c>
      <c r="F41" s="384">
        <f t="shared" si="55"/>
        <v>100</v>
      </c>
      <c r="G41" s="400">
        <f>'GW-Eq'!G41</f>
        <v>80</v>
      </c>
      <c r="H41" s="400">
        <f t="shared" si="56"/>
        <v>1.25</v>
      </c>
      <c r="I41" s="400" t="str">
        <f t="shared" si="57"/>
        <v>YES</v>
      </c>
      <c r="J41" s="403">
        <f t="shared" si="58"/>
        <v>80</v>
      </c>
      <c r="K41" s="271" t="str">
        <f>'GW-Eq'!H41</f>
        <v>na</v>
      </c>
      <c r="L41" s="271" t="str">
        <f t="shared" si="59"/>
        <v>na</v>
      </c>
      <c r="M41" s="271" t="str">
        <f t="shared" si="60"/>
        <v>na</v>
      </c>
      <c r="N41" s="271" t="str">
        <f t="shared" si="61"/>
        <v>na</v>
      </c>
      <c r="O41" s="330">
        <f t="shared" si="4"/>
        <v>80</v>
      </c>
      <c r="P41" s="2523" t="str">
        <f>VI!F41</f>
        <v>na</v>
      </c>
      <c r="R41" s="264">
        <f t="shared" si="62"/>
        <v>80</v>
      </c>
      <c r="S41" s="236" t="str">
        <f t="shared" si="63"/>
        <v/>
      </c>
      <c r="T41" s="236" t="str">
        <f t="shared" si="64"/>
        <v/>
      </c>
      <c r="U41" s="236" t="str">
        <f t="shared" si="65"/>
        <v/>
      </c>
      <c r="V41" s="236" t="str">
        <f t="shared" si="66"/>
        <v/>
      </c>
      <c r="W41" s="236" t="str">
        <f t="shared" si="67"/>
        <v/>
      </c>
      <c r="X41" s="236" t="str">
        <f t="shared" si="68"/>
        <v>X</v>
      </c>
      <c r="Y41" s="236" t="str">
        <f t="shared" si="69"/>
        <v/>
      </c>
      <c r="Z41" s="235" t="str">
        <f t="shared" si="70"/>
        <v/>
      </c>
      <c r="AB41" s="1062"/>
    </row>
    <row r="42" spans="1:28" ht="13.9" customHeight="1" x14ac:dyDescent="0.25">
      <c r="A42" s="847">
        <f>Chem!A42</f>
        <v>40</v>
      </c>
      <c r="B42" s="855" t="str">
        <f>Chem!B42</f>
        <v>Thallium</v>
      </c>
      <c r="C42" s="343">
        <v>2</v>
      </c>
      <c r="D42" s="384">
        <v>0.5</v>
      </c>
      <c r="E42" s="384">
        <v>2</v>
      </c>
      <c r="F42" s="384">
        <f t="shared" si="55"/>
        <v>0.5</v>
      </c>
      <c r="G42" s="400">
        <f>'GW-Eq'!G42</f>
        <v>0.16</v>
      </c>
      <c r="H42" s="400">
        <f t="shared" si="56"/>
        <v>3.125</v>
      </c>
      <c r="I42" s="400" t="str">
        <f t="shared" si="57"/>
        <v>YES</v>
      </c>
      <c r="J42" s="403">
        <f t="shared" si="58"/>
        <v>0.16</v>
      </c>
      <c r="K42" s="271" t="str">
        <f>'GW-Eq'!H42</f>
        <v>na</v>
      </c>
      <c r="L42" s="271" t="str">
        <f t="shared" si="59"/>
        <v>na</v>
      </c>
      <c r="M42" s="271" t="str">
        <f t="shared" si="60"/>
        <v>na</v>
      </c>
      <c r="N42" s="271" t="str">
        <f t="shared" si="61"/>
        <v>na</v>
      </c>
      <c r="O42" s="330">
        <f t="shared" si="4"/>
        <v>0.16</v>
      </c>
      <c r="P42" s="2523" t="str">
        <f>VI!F42</f>
        <v>na</v>
      </c>
      <c r="R42" s="264">
        <f t="shared" si="62"/>
        <v>0.16</v>
      </c>
      <c r="S42" s="236" t="str">
        <f t="shared" si="63"/>
        <v/>
      </c>
      <c r="T42" s="236" t="str">
        <f t="shared" si="64"/>
        <v/>
      </c>
      <c r="U42" s="236" t="str">
        <f t="shared" si="65"/>
        <v/>
      </c>
      <c r="V42" s="236" t="str">
        <f t="shared" si="66"/>
        <v/>
      </c>
      <c r="W42" s="236" t="str">
        <f t="shared" si="67"/>
        <v/>
      </c>
      <c r="X42" s="236" t="str">
        <f t="shared" si="68"/>
        <v>X</v>
      </c>
      <c r="Y42" s="236" t="str">
        <f t="shared" si="69"/>
        <v/>
      </c>
      <c r="Z42" s="235" t="str">
        <f t="shared" si="70"/>
        <v/>
      </c>
      <c r="AB42" s="1062"/>
    </row>
    <row r="43" spans="1:28" ht="13.9" customHeight="1" x14ac:dyDescent="0.25">
      <c r="A43" s="847">
        <f>Chem!A43</f>
        <v>41</v>
      </c>
      <c r="B43" s="855" t="str">
        <f>Chem!B43</f>
        <v>Tin</v>
      </c>
      <c r="C43" s="343" t="s">
        <v>232</v>
      </c>
      <c r="D43" s="384" t="s">
        <v>232</v>
      </c>
      <c r="E43" s="384" t="s">
        <v>232</v>
      </c>
      <c r="F43" s="384" t="str">
        <f t="shared" si="55"/>
        <v>na</v>
      </c>
      <c r="G43" s="400">
        <f>'GW-Eq'!G43</f>
        <v>9600</v>
      </c>
      <c r="H43" s="400" t="str">
        <f t="shared" si="56"/>
        <v>na</v>
      </c>
      <c r="I43" s="400" t="str">
        <f t="shared" si="57"/>
        <v>na</v>
      </c>
      <c r="J43" s="403">
        <f t="shared" si="58"/>
        <v>9600</v>
      </c>
      <c r="K43" s="271" t="str">
        <f>'GW-Eq'!H43</f>
        <v>na</v>
      </c>
      <c r="L43" s="271" t="str">
        <f t="shared" si="59"/>
        <v>na</v>
      </c>
      <c r="M43" s="271" t="str">
        <f t="shared" si="60"/>
        <v>na</v>
      </c>
      <c r="N43" s="271" t="str">
        <f t="shared" si="61"/>
        <v>na</v>
      </c>
      <c r="O43" s="330">
        <f t="shared" si="4"/>
        <v>9600</v>
      </c>
      <c r="P43" s="2523" t="str">
        <f>VI!F43</f>
        <v>na</v>
      </c>
      <c r="R43" s="264">
        <f t="shared" si="62"/>
        <v>9600</v>
      </c>
      <c r="S43" s="236" t="str">
        <f t="shared" si="63"/>
        <v/>
      </c>
      <c r="T43" s="236" t="str">
        <f t="shared" si="64"/>
        <v/>
      </c>
      <c r="U43" s="236" t="str">
        <f t="shared" si="65"/>
        <v/>
      </c>
      <c r="V43" s="236" t="str">
        <f t="shared" si="66"/>
        <v>X</v>
      </c>
      <c r="W43" s="236" t="str">
        <f t="shared" si="67"/>
        <v/>
      </c>
      <c r="X43" s="236" t="str">
        <f t="shared" si="68"/>
        <v/>
      </c>
      <c r="Y43" s="236" t="str">
        <f t="shared" si="69"/>
        <v/>
      </c>
      <c r="Z43" s="235" t="str">
        <f t="shared" si="70"/>
        <v/>
      </c>
      <c r="AB43" s="1062"/>
    </row>
    <row r="44" spans="1:28" ht="13.9" customHeight="1" x14ac:dyDescent="0.25">
      <c r="A44" s="847">
        <f>Chem!A44</f>
        <v>42</v>
      </c>
      <c r="B44" s="855" t="str">
        <f>Chem!B44</f>
        <v>Vanadium</v>
      </c>
      <c r="C44" s="532" t="s">
        <v>232</v>
      </c>
      <c r="D44" s="392" t="s">
        <v>232</v>
      </c>
      <c r="E44" s="392" t="s">
        <v>232</v>
      </c>
      <c r="F44" s="392" t="str">
        <f t="shared" si="55"/>
        <v>na</v>
      </c>
      <c r="G44" s="404">
        <f>'GW-Eq'!G44</f>
        <v>80</v>
      </c>
      <c r="H44" s="404" t="str">
        <f t="shared" si="56"/>
        <v>na</v>
      </c>
      <c r="I44" s="404" t="str">
        <f t="shared" si="57"/>
        <v>na</v>
      </c>
      <c r="J44" s="403">
        <f t="shared" si="58"/>
        <v>80</v>
      </c>
      <c r="K44" s="272" t="str">
        <f>'GW-Eq'!H44</f>
        <v>na</v>
      </c>
      <c r="L44" s="272" t="str">
        <f t="shared" si="59"/>
        <v>na</v>
      </c>
      <c r="M44" s="272" t="str">
        <f t="shared" si="60"/>
        <v>na</v>
      </c>
      <c r="N44" s="272" t="str">
        <f t="shared" si="61"/>
        <v>na</v>
      </c>
      <c r="O44" s="330">
        <f t="shared" si="4"/>
        <v>80</v>
      </c>
      <c r="P44" s="2523" t="str">
        <f>VI!F44</f>
        <v>na</v>
      </c>
      <c r="R44" s="264">
        <f t="shared" si="62"/>
        <v>80</v>
      </c>
      <c r="S44" s="236" t="str">
        <f t="shared" si="63"/>
        <v/>
      </c>
      <c r="T44" s="236" t="str">
        <f t="shared" si="64"/>
        <v/>
      </c>
      <c r="U44" s="236" t="str">
        <f t="shared" si="65"/>
        <v/>
      </c>
      <c r="V44" s="236" t="str">
        <f t="shared" si="66"/>
        <v>X</v>
      </c>
      <c r="W44" s="236" t="str">
        <f t="shared" si="67"/>
        <v/>
      </c>
      <c r="X44" s="236" t="str">
        <f t="shared" si="68"/>
        <v/>
      </c>
      <c r="Y44" s="236" t="str">
        <f t="shared" si="69"/>
        <v/>
      </c>
      <c r="Z44" s="235" t="str">
        <f t="shared" si="70"/>
        <v/>
      </c>
      <c r="AB44" s="1062"/>
    </row>
    <row r="45" spans="1:28" ht="13.9" customHeight="1" x14ac:dyDescent="0.25">
      <c r="A45" s="844">
        <f>Chem!A45</f>
        <v>43</v>
      </c>
      <c r="B45" s="855" t="str">
        <f>Chem!B45</f>
        <v>Zinc</v>
      </c>
      <c r="C45" s="532" t="s">
        <v>232</v>
      </c>
      <c r="D45" s="392" t="s">
        <v>232</v>
      </c>
      <c r="E45" s="392">
        <v>5000</v>
      </c>
      <c r="F45" s="392">
        <f t="shared" si="55"/>
        <v>5000</v>
      </c>
      <c r="G45" s="404">
        <f>'GW-Eq'!G45</f>
        <v>4800</v>
      </c>
      <c r="H45" s="404">
        <f t="shared" si="56"/>
        <v>1.0416666666666667</v>
      </c>
      <c r="I45" s="404" t="str">
        <f t="shared" si="57"/>
        <v>YES</v>
      </c>
      <c r="J45" s="542">
        <f t="shared" si="58"/>
        <v>4800</v>
      </c>
      <c r="K45" s="272" t="str">
        <f>'GW-Eq'!H45</f>
        <v>na</v>
      </c>
      <c r="L45" s="272" t="str">
        <f t="shared" si="59"/>
        <v>na</v>
      </c>
      <c r="M45" s="272" t="str">
        <f t="shared" si="60"/>
        <v>na</v>
      </c>
      <c r="N45" s="272" t="str">
        <f t="shared" si="61"/>
        <v>na</v>
      </c>
      <c r="O45" s="333">
        <f t="shared" si="4"/>
        <v>4800</v>
      </c>
      <c r="P45" s="2524" t="str">
        <f>VI!F45</f>
        <v>na</v>
      </c>
      <c r="R45" s="264">
        <f t="shared" si="62"/>
        <v>4800</v>
      </c>
      <c r="S45" s="236" t="str">
        <f t="shared" si="63"/>
        <v/>
      </c>
      <c r="T45" s="236" t="str">
        <f t="shared" si="64"/>
        <v/>
      </c>
      <c r="U45" s="236" t="str">
        <f t="shared" si="65"/>
        <v/>
      </c>
      <c r="V45" s="236" t="str">
        <f t="shared" si="66"/>
        <v/>
      </c>
      <c r="W45" s="236" t="str">
        <f t="shared" si="67"/>
        <v/>
      </c>
      <c r="X45" s="236" t="str">
        <f t="shared" si="68"/>
        <v>X</v>
      </c>
      <c r="Y45" s="236" t="str">
        <f t="shared" si="69"/>
        <v/>
      </c>
      <c r="Z45" s="235" t="str">
        <f t="shared" si="70"/>
        <v/>
      </c>
      <c r="AB45" s="1062"/>
    </row>
    <row r="46" spans="1:28" ht="13.9" customHeight="1" x14ac:dyDescent="0.25">
      <c r="A46" s="906">
        <f>Chem!A46</f>
        <v>44</v>
      </c>
      <c r="B46" s="897" t="str">
        <f>Chem!B46</f>
        <v>Metals - Butyltins</v>
      </c>
      <c r="C46" s="297"/>
      <c r="D46" s="297"/>
      <c r="E46" s="297"/>
      <c r="F46" s="297"/>
      <c r="G46" s="297"/>
      <c r="H46" s="297"/>
      <c r="I46" s="2347"/>
      <c r="J46" s="2348"/>
      <c r="K46" s="297"/>
      <c r="L46" s="297"/>
      <c r="M46" s="2347"/>
      <c r="N46" s="297"/>
      <c r="O46" s="2348"/>
      <c r="P46" s="2366"/>
      <c r="R46" s="258" t="s">
        <v>85</v>
      </c>
      <c r="S46" s="127"/>
      <c r="T46" s="127"/>
      <c r="U46" s="127"/>
      <c r="V46" s="127"/>
      <c r="W46" s="127"/>
      <c r="X46" s="127"/>
      <c r="Y46" s="127"/>
      <c r="Z46" s="2364"/>
      <c r="AB46" s="1063"/>
    </row>
    <row r="47" spans="1:28" ht="13.9" customHeight="1" x14ac:dyDescent="0.25">
      <c r="A47" s="847">
        <f>Chem!A47</f>
        <v>45</v>
      </c>
      <c r="B47" s="855" t="str">
        <f>Chem!B47</f>
        <v>Monobutyltin</v>
      </c>
      <c r="C47" s="343" t="s">
        <v>232</v>
      </c>
      <c r="D47" s="384" t="s">
        <v>232</v>
      </c>
      <c r="E47" s="384" t="s">
        <v>232</v>
      </c>
      <c r="F47" s="384" t="str">
        <f>IF(C47="na",IF(D47="na",IF(E47="na","na",MIN(C47:E47)),MIN(C47:E47)),MIN(C47:E47))</f>
        <v>na</v>
      </c>
      <c r="G47" s="400" t="str">
        <f>'GW-Eq'!G47</f>
        <v>na</v>
      </c>
      <c r="H47" s="400" t="str">
        <f>IF(F47="na","na",IF(G47="na","na",F47/G47))</f>
        <v>na</v>
      </c>
      <c r="I47" s="400" t="str">
        <f t="shared" ref="I47:I51" si="77">IF(H47="na","na",IF(H47&gt;1,"YES","no"))</f>
        <v>na</v>
      </c>
      <c r="J47" s="403" t="str">
        <f t="shared" ref="J47:J51" si="78">IF(I47="YES",G47,IF(ISNUMBER(F47),F47,G47))</f>
        <v>na</v>
      </c>
      <c r="K47" s="271" t="str">
        <f>'GW-Eq'!H47</f>
        <v>na</v>
      </c>
      <c r="L47" s="271" t="str">
        <f>IF(F47="na","na",IF(K47="na","na",F47/K47))</f>
        <v>na</v>
      </c>
      <c r="M47" s="271" t="str">
        <f t="shared" ref="M47:M51" si="79">IF(L47="na","na",IF(L47&gt;10,"YES","no"))</f>
        <v>na</v>
      </c>
      <c r="N47" s="271" t="str">
        <f t="shared" ref="N47:N51" si="80">IF(M47="YES",10*K47,IF(M47="no",F47,K47))</f>
        <v>na</v>
      </c>
      <c r="O47" s="330" t="str">
        <f t="shared" si="4"/>
        <v>na</v>
      </c>
      <c r="P47" s="2522" t="str">
        <f>VI!F47</f>
        <v>na</v>
      </c>
      <c r="R47" s="264" t="str">
        <f>IF(MIN(O47,P47)=0,"na",MIN(O47,P47))</f>
        <v>na</v>
      </c>
      <c r="S47" s="236" t="str">
        <f>IF($R47="na","",IF($R47=$C47,"X",""))</f>
        <v/>
      </c>
      <c r="T47" s="236" t="str">
        <f>IF($R47="na","",IF($R47=$D47,"X",""))</f>
        <v/>
      </c>
      <c r="U47" s="236" t="str">
        <f>IF($R47="na","",IF($R47=$E47,"X",""))</f>
        <v/>
      </c>
      <c r="V47" s="236" t="str">
        <f>IF($R47="na","",IF(AND($F47="na",$R47=$J47),"X",""))</f>
        <v/>
      </c>
      <c r="W47" s="236" t="str">
        <f>IF($R47="na","",IF(AND($F47="na",$R47=$N47),"X",""))</f>
        <v/>
      </c>
      <c r="X47" s="236" t="str">
        <f>IF(OR($R47="na",$J47="na"),"",IF(AND(ISNUMBER($F47),I47="YES",$R47=$J47),"X",""))</f>
        <v/>
      </c>
      <c r="Y47" s="236" t="str">
        <f>IF(OR($R47="na",$N47="na"),"",IF(AND(ISNUMBER($F47),$R47=10*$K47),"X",""))</f>
        <v/>
      </c>
      <c r="Z47" s="235" t="str">
        <f>IF($R47="na","",IF($R47=$P47,"X",""))</f>
        <v/>
      </c>
      <c r="AB47" s="1062"/>
    </row>
    <row r="48" spans="1:28" ht="13.9" customHeight="1" x14ac:dyDescent="0.25">
      <c r="A48" s="847">
        <f>Chem!A48</f>
        <v>46</v>
      </c>
      <c r="B48" s="855" t="str">
        <f>Chem!B48</f>
        <v>Dibutyltin</v>
      </c>
      <c r="C48" s="343" t="s">
        <v>232</v>
      </c>
      <c r="D48" s="384" t="s">
        <v>232</v>
      </c>
      <c r="E48" s="384" t="s">
        <v>232</v>
      </c>
      <c r="F48" s="384" t="str">
        <f>IF(C48="na",IF(D48="na",IF(E48="na","na",MIN(C48:E48)),MIN(C48:E48)),MIN(C48:E48))</f>
        <v>na</v>
      </c>
      <c r="G48" s="400" t="str">
        <f>'GW-Eq'!G48</f>
        <v>na</v>
      </c>
      <c r="H48" s="400" t="str">
        <f>IF(F48="na","na",IF(G48="na","na",F48/G48))</f>
        <v>na</v>
      </c>
      <c r="I48" s="400" t="str">
        <f t="shared" si="77"/>
        <v>na</v>
      </c>
      <c r="J48" s="403" t="str">
        <f t="shared" si="78"/>
        <v>na</v>
      </c>
      <c r="K48" s="271" t="str">
        <f>'GW-Eq'!H48</f>
        <v>na</v>
      </c>
      <c r="L48" s="271" t="str">
        <f>IF(F48="na","na",IF(K48="na","na",F48/K48))</f>
        <v>na</v>
      </c>
      <c r="M48" s="271" t="str">
        <f t="shared" si="79"/>
        <v>na</v>
      </c>
      <c r="N48" s="271" t="str">
        <f t="shared" si="80"/>
        <v>na</v>
      </c>
      <c r="O48" s="330" t="str">
        <f t="shared" si="4"/>
        <v>na</v>
      </c>
      <c r="P48" s="2523" t="str">
        <f>VI!F48</f>
        <v>na</v>
      </c>
      <c r="R48" s="264" t="str">
        <f>IF(MIN(O48,P48)=0,"na",MIN(O48,P48))</f>
        <v>na</v>
      </c>
      <c r="S48" s="236" t="str">
        <f>IF($R48="na","",IF($R48=$C48,"X",""))</f>
        <v/>
      </c>
      <c r="T48" s="236" t="str">
        <f>IF($R48="na","",IF($R48=$D48,"X",""))</f>
        <v/>
      </c>
      <c r="U48" s="236" t="str">
        <f>IF($R48="na","",IF($R48=$E48,"X",""))</f>
        <v/>
      </c>
      <c r="V48" s="236" t="str">
        <f>IF($R48="na","",IF(AND($F48="na",$R48=$J48),"X",""))</f>
        <v/>
      </c>
      <c r="W48" s="236" t="str">
        <f>IF($R48="na","",IF(AND($F48="na",$R48=$N48),"X",""))</f>
        <v/>
      </c>
      <c r="X48" s="236" t="str">
        <f>IF(OR($R48="na",$J48="na"),"",IF(AND(ISNUMBER($F48),I48="YES",$R48=$J48),"X",""))</f>
        <v/>
      </c>
      <c r="Y48" s="236" t="str">
        <f>IF(OR($R48="na",$N48="na"),"",IF(AND(ISNUMBER($F48),$R48=10*$K48),"X",""))</f>
        <v/>
      </c>
      <c r="Z48" s="235" t="str">
        <f>IF($R48="na","",IF($R48=$P48,"X",""))</f>
        <v/>
      </c>
      <c r="AB48" s="1062"/>
    </row>
    <row r="49" spans="1:28" ht="13.9" customHeight="1" x14ac:dyDescent="0.25">
      <c r="A49" s="847">
        <f>Chem!A49</f>
        <v>47</v>
      </c>
      <c r="B49" s="855" t="str">
        <f>Chem!B49</f>
        <v>Tributyl tin</v>
      </c>
      <c r="C49" s="343" t="s">
        <v>232</v>
      </c>
      <c r="D49" s="384" t="s">
        <v>232</v>
      </c>
      <c r="E49" s="384" t="s">
        <v>232</v>
      </c>
      <c r="F49" s="384" t="str">
        <f>IF(C49="na",IF(D49="na",IF(E49="na","na",MIN(C49:E49)),MIN(C49:E49)),MIN(C49:E49))</f>
        <v>na</v>
      </c>
      <c r="G49" s="400" t="str">
        <f>'GW-Eq'!G49</f>
        <v>na</v>
      </c>
      <c r="H49" s="400" t="str">
        <f>IF(F49="na","na",IF(G49="na","na",F49/G49))</f>
        <v>na</v>
      </c>
      <c r="I49" s="400" t="str">
        <f t="shared" ref="I49" si="81">IF(H49="na","na",IF(H49&gt;1,"YES","no"))</f>
        <v>na</v>
      </c>
      <c r="J49" s="403" t="str">
        <f t="shared" ref="J49" si="82">IF(I49="YES",G49,IF(ISNUMBER(F49),F49,G49))</f>
        <v>na</v>
      </c>
      <c r="K49" s="271" t="str">
        <f>'GW-Eq'!H49</f>
        <v>na</v>
      </c>
      <c r="L49" s="271" t="str">
        <f>IF(F49="na","na",IF(K49="na","na",F49/K49))</f>
        <v>na</v>
      </c>
      <c r="M49" s="271" t="str">
        <f t="shared" ref="M49" si="83">IF(L49="na","na",IF(L49&gt;10,"YES","no"))</f>
        <v>na</v>
      </c>
      <c r="N49" s="271" t="str">
        <f t="shared" ref="N49" si="84">IF(M49="YES",10*K49,IF(M49="no",F49,K49))</f>
        <v>na</v>
      </c>
      <c r="O49" s="330" t="str">
        <f t="shared" si="4"/>
        <v>na</v>
      </c>
      <c r="P49" s="2523" t="str">
        <f>VI!F49</f>
        <v>na</v>
      </c>
      <c r="R49" s="264" t="str">
        <f>IF(MIN(O49,P49)=0,"na",MIN(O49,P49))</f>
        <v>na</v>
      </c>
      <c r="S49" s="236" t="str">
        <f>IF($R49="na","",IF($R49=$C49,"X",""))</f>
        <v/>
      </c>
      <c r="T49" s="236" t="str">
        <f>IF($R49="na","",IF($R49=$D49,"X",""))</f>
        <v/>
      </c>
      <c r="U49" s="236" t="str">
        <f>IF($R49="na","",IF($R49=$E49,"X",""))</f>
        <v/>
      </c>
      <c r="V49" s="236" t="str">
        <f>IF($R49="na","",IF(AND($F49="na",$R49=$J49),"X",""))</f>
        <v/>
      </c>
      <c r="W49" s="236" t="str">
        <f>IF($R49="na","",IF(AND($F49="na",$R49=$N49),"X",""))</f>
        <v/>
      </c>
      <c r="X49" s="236" t="str">
        <f>IF(OR($R49="na",$J49="na"),"",IF(AND(ISNUMBER($F49),I49="YES",$R49=$J49),"X",""))</f>
        <v/>
      </c>
      <c r="Y49" s="236" t="str">
        <f>IF(OR($R49="na",$N49="na"),"",IF(AND(ISNUMBER($F49),$R49=10*$K49),"X",""))</f>
        <v/>
      </c>
      <c r="Z49" s="235" t="str">
        <f>IF($R49="na","",IF($R49=$P49,"X",""))</f>
        <v/>
      </c>
      <c r="AB49" s="1062"/>
    </row>
    <row r="50" spans="1:28" ht="13.9" customHeight="1" x14ac:dyDescent="0.25">
      <c r="A50" s="847">
        <f>Chem!A50</f>
        <v>48</v>
      </c>
      <c r="B50" s="855" t="str">
        <f>Chem!B50</f>
        <v>Tributyltin oxide</v>
      </c>
      <c r="C50" s="343" t="s">
        <v>232</v>
      </c>
      <c r="D50" s="384" t="s">
        <v>232</v>
      </c>
      <c r="E50" s="384" t="s">
        <v>232</v>
      </c>
      <c r="F50" s="384" t="str">
        <f>IF(C50="na",IF(D50="na",IF(E50="na","na",MIN(C50:E50)),MIN(C50:E50)),MIN(C50:E50))</f>
        <v>na</v>
      </c>
      <c r="G50" s="400">
        <f>'GW-Eq'!G50</f>
        <v>4.8</v>
      </c>
      <c r="H50" s="400" t="str">
        <f>IF(F50="na","na",IF(G50="na","na",F50/G50))</f>
        <v>na</v>
      </c>
      <c r="I50" s="400" t="str">
        <f t="shared" si="77"/>
        <v>na</v>
      </c>
      <c r="J50" s="403">
        <f t="shared" si="78"/>
        <v>4.8</v>
      </c>
      <c r="K50" s="271" t="str">
        <f>'GW-Eq'!H50</f>
        <v>na</v>
      </c>
      <c r="L50" s="271" t="str">
        <f>IF(F50="na","na",IF(K50="na","na",F50/K50))</f>
        <v>na</v>
      </c>
      <c r="M50" s="271" t="str">
        <f t="shared" si="79"/>
        <v>na</v>
      </c>
      <c r="N50" s="271" t="str">
        <f t="shared" si="80"/>
        <v>na</v>
      </c>
      <c r="O50" s="330">
        <f t="shared" si="4"/>
        <v>4.8</v>
      </c>
      <c r="P50" s="2523" t="str">
        <f>VI!F50</f>
        <v>na</v>
      </c>
      <c r="R50" s="264">
        <f>IF(MIN(O50,P50)=0,"na",MIN(O50,P50))</f>
        <v>4.8</v>
      </c>
      <c r="S50" s="236" t="str">
        <f>IF($R50="na","",IF($R50=$C50,"X",""))</f>
        <v/>
      </c>
      <c r="T50" s="236" t="str">
        <f>IF($R50="na","",IF($R50=$D50,"X",""))</f>
        <v/>
      </c>
      <c r="U50" s="236" t="str">
        <f>IF($R50="na","",IF($R50=$E50,"X",""))</f>
        <v/>
      </c>
      <c r="V50" s="236" t="str">
        <f>IF($R50="na","",IF(AND($F50="na",$R50=$J50),"X",""))</f>
        <v>X</v>
      </c>
      <c r="W50" s="236" t="str">
        <f>IF($R50="na","",IF(AND($F50="na",$R50=$N50),"X",""))</f>
        <v/>
      </c>
      <c r="X50" s="236" t="str">
        <f>IF(OR($R50="na",$J50="na"),"",IF(AND(ISNUMBER($F50),I50="YES",$R50=$J50),"X",""))</f>
        <v/>
      </c>
      <c r="Y50" s="236" t="str">
        <f>IF(OR($R50="na",$N50="na"),"",IF(AND(ISNUMBER($F50),$R50=10*$K50),"X",""))</f>
        <v/>
      </c>
      <c r="Z50" s="235" t="str">
        <f>IF($R50="na","",IF($R50=$P50,"X",""))</f>
        <v/>
      </c>
      <c r="AB50" s="1062"/>
    </row>
    <row r="51" spans="1:28" ht="13.9" customHeight="1" x14ac:dyDescent="0.25">
      <c r="A51" s="847">
        <f>Chem!A51</f>
        <v>49</v>
      </c>
      <c r="B51" s="855" t="str">
        <f>Chem!B51</f>
        <v>Tetrabutyltin</v>
      </c>
      <c r="C51" s="343" t="s">
        <v>232</v>
      </c>
      <c r="D51" s="384" t="s">
        <v>232</v>
      </c>
      <c r="E51" s="384" t="s">
        <v>232</v>
      </c>
      <c r="F51" s="384" t="str">
        <f>IF(C51="na",IF(D51="na",IF(E51="na","na",MIN(C51:E51)),MIN(C51:E51)),MIN(C51:E51))</f>
        <v>na</v>
      </c>
      <c r="G51" s="400" t="str">
        <f>'GW-Eq'!G51</f>
        <v>na</v>
      </c>
      <c r="H51" s="400" t="str">
        <f>IF(F51="na","na",IF(G51="na","na",F51/G51))</f>
        <v>na</v>
      </c>
      <c r="I51" s="400" t="str">
        <f t="shared" si="77"/>
        <v>na</v>
      </c>
      <c r="J51" s="542" t="str">
        <f t="shared" si="78"/>
        <v>na</v>
      </c>
      <c r="K51" s="271" t="str">
        <f>'GW-Eq'!H51</f>
        <v>na</v>
      </c>
      <c r="L51" s="271" t="str">
        <f>IF(F51="na","na",IF(K51="na","na",F51/K51))</f>
        <v>na</v>
      </c>
      <c r="M51" s="271" t="str">
        <f t="shared" si="79"/>
        <v>na</v>
      </c>
      <c r="N51" s="271" t="str">
        <f t="shared" si="80"/>
        <v>na</v>
      </c>
      <c r="O51" s="333" t="str">
        <f t="shared" si="4"/>
        <v>na</v>
      </c>
      <c r="P51" s="2524" t="str">
        <f>VI!F51</f>
        <v>na</v>
      </c>
      <c r="R51" s="264" t="str">
        <f>IF(MIN(O51,P51)=0,"na",MIN(O51,P51))</f>
        <v>na</v>
      </c>
      <c r="S51" s="236" t="str">
        <f>IF($R51="na","",IF($R51=$C51,"X",""))</f>
        <v/>
      </c>
      <c r="T51" s="236" t="str">
        <f>IF($R51="na","",IF($R51=$D51,"X",""))</f>
        <v/>
      </c>
      <c r="U51" s="236" t="str">
        <f>IF($R51="na","",IF($R51=$E51,"X",""))</f>
        <v/>
      </c>
      <c r="V51" s="236" t="str">
        <f>IF($R51="na","",IF(AND($F51="na",$R51=$J51),"X",""))</f>
        <v/>
      </c>
      <c r="W51" s="236" t="str">
        <f>IF($R51="na","",IF(AND($F51="na",$R51=$N51),"X",""))</f>
        <v/>
      </c>
      <c r="X51" s="236" t="str">
        <f>IF(OR($R51="na",$J51="na"),"",IF(AND(ISNUMBER($F51),I51="YES",$R51=$J51),"X",""))</f>
        <v/>
      </c>
      <c r="Y51" s="236" t="str">
        <f>IF(OR($R51="na",$N51="na"),"",IF(AND(ISNUMBER($F51),$R51=10*$K51),"X",""))</f>
        <v/>
      </c>
      <c r="Z51" s="235" t="str">
        <f>IF($R51="na","",IF($R51=$P51,"X",""))</f>
        <v/>
      </c>
      <c r="AB51" s="1062"/>
    </row>
    <row r="52" spans="1:28" ht="13.9" customHeight="1" x14ac:dyDescent="0.25">
      <c r="A52" s="906">
        <f>Chem!A52</f>
        <v>50</v>
      </c>
      <c r="B52" s="897" t="str">
        <f>Chem!B52</f>
        <v>SVOCs - PAHs</v>
      </c>
      <c r="C52" s="297"/>
      <c r="D52" s="297"/>
      <c r="E52" s="297"/>
      <c r="F52" s="297"/>
      <c r="G52" s="297"/>
      <c r="H52" s="297"/>
      <c r="I52" s="2347"/>
      <c r="J52" s="2348"/>
      <c r="K52" s="297"/>
      <c r="L52" s="297"/>
      <c r="M52" s="2347"/>
      <c r="N52" s="297"/>
      <c r="O52" s="2348"/>
      <c r="P52" s="2366"/>
      <c r="R52" s="258" t="s">
        <v>34</v>
      </c>
      <c r="S52" s="127"/>
      <c r="T52" s="127"/>
      <c r="U52" s="127"/>
      <c r="V52" s="127"/>
      <c r="W52" s="127"/>
      <c r="X52" s="127"/>
      <c r="Y52" s="127"/>
      <c r="Z52" s="2364"/>
      <c r="AB52" s="1063"/>
    </row>
    <row r="53" spans="1:28" ht="13.9" customHeight="1" x14ac:dyDescent="0.25">
      <c r="A53" s="846">
        <f>Chem!A53</f>
        <v>51</v>
      </c>
      <c r="B53" s="855" t="str">
        <f>Chem!B53</f>
        <v>Acenaphthene</v>
      </c>
      <c r="C53" s="531" t="s">
        <v>232</v>
      </c>
      <c r="D53" s="387" t="s">
        <v>232</v>
      </c>
      <c r="E53" s="387" t="s">
        <v>232</v>
      </c>
      <c r="F53" s="387" t="str">
        <f t="shared" ref="F53:F76" si="85">IF(C53="na",IF(D53="na",IF(E53="na","na",MIN(C53:E53)),MIN(C53:E53)),MIN(C53:E53))</f>
        <v>na</v>
      </c>
      <c r="G53" s="403">
        <f>'GW-Eq'!G53</f>
        <v>480</v>
      </c>
      <c r="H53" s="403" t="str">
        <f t="shared" ref="H53:H77" si="86">IF(F53="na","na",IF(G53="na","na",F53/G53))</f>
        <v>na</v>
      </c>
      <c r="I53" s="403" t="str">
        <f t="shared" ref="I53:I77" si="87">IF(H53="na","na",IF(H53&gt;1,"YES","no"))</f>
        <v>na</v>
      </c>
      <c r="J53" s="403">
        <f t="shared" ref="J53:J77" si="88">IF(I53="YES",G53,IF(ISNUMBER(F53),F53,G53))</f>
        <v>480</v>
      </c>
      <c r="K53" s="270" t="str">
        <f>'GW-Eq'!H53</f>
        <v>na</v>
      </c>
      <c r="L53" s="270" t="str">
        <f t="shared" ref="L53:L77" si="89">IF(F53="na","na",IF(K53="na","na",F53/K53))</f>
        <v>na</v>
      </c>
      <c r="M53" s="270" t="str">
        <f t="shared" ref="M53:M77" si="90">IF(L53="na","na",IF(L53&gt;10,"YES","no"))</f>
        <v>na</v>
      </c>
      <c r="N53" s="270" t="str">
        <f t="shared" ref="N53:N77" si="91">IF(M53="YES",10*K53,IF(M53="no",F53,K53))</f>
        <v>na</v>
      </c>
      <c r="O53" s="330">
        <f t="shared" si="4"/>
        <v>480</v>
      </c>
      <c r="P53" s="2522" t="str">
        <f>VI!F53</f>
        <v>na</v>
      </c>
      <c r="R53" s="264">
        <f t="shared" ref="R53:R77" si="92">IF(MIN(O53,P53)=0,"na",MIN(O53,P53))</f>
        <v>480</v>
      </c>
      <c r="S53" s="236" t="str">
        <f t="shared" ref="S53:S77" si="93">IF($R53="na","",IF($R53=$C53,"X",""))</f>
        <v/>
      </c>
      <c r="T53" s="236" t="str">
        <f t="shared" ref="T53:T77" si="94">IF($R53="na","",IF($R53=$D53,"X",""))</f>
        <v/>
      </c>
      <c r="U53" s="236" t="str">
        <f t="shared" ref="U53:U77" si="95">IF($R53="na","",IF($R53=$E53,"X",""))</f>
        <v/>
      </c>
      <c r="V53" s="236" t="str">
        <f t="shared" ref="V53:V77" si="96">IF($R53="na","",IF(AND($F53="na",$R53=$J53),"X",""))</f>
        <v>X</v>
      </c>
      <c r="W53" s="236" t="str">
        <f t="shared" ref="W53:W77" si="97">IF($R53="na","",IF(AND($F53="na",$R53=$N53),"X",""))</f>
        <v/>
      </c>
      <c r="X53" s="236" t="str">
        <f t="shared" ref="X53:X77" si="98">IF(OR($R53="na",$J53="na"),"",IF(AND(ISNUMBER($F53),I53="YES",$R53=$J53),"X",""))</f>
        <v/>
      </c>
      <c r="Y53" s="236" t="str">
        <f t="shared" ref="Y53:Y77" si="99">IF(OR($R53="na",$N53="na"),"",IF(AND(ISNUMBER($F53),$R53=10*$K53),"X",""))</f>
        <v/>
      </c>
      <c r="Z53" s="235" t="str">
        <f t="shared" ref="Z53:Z77" si="100">IF($R53="na","",IF($R53=$P53,"X",""))</f>
        <v/>
      </c>
      <c r="AB53" s="1062"/>
    </row>
    <row r="54" spans="1:28" ht="13.9" customHeight="1" x14ac:dyDescent="0.25">
      <c r="A54" s="847">
        <f>Chem!A54</f>
        <v>52</v>
      </c>
      <c r="B54" s="855" t="str">
        <f>Chem!B54</f>
        <v>Acenaphthylene</v>
      </c>
      <c r="C54" s="343" t="s">
        <v>232</v>
      </c>
      <c r="D54" s="384" t="s">
        <v>232</v>
      </c>
      <c r="E54" s="384" t="s">
        <v>232</v>
      </c>
      <c r="F54" s="384" t="str">
        <f t="shared" si="85"/>
        <v>na</v>
      </c>
      <c r="G54" s="400" t="str">
        <f>'GW-Eq'!G54</f>
        <v>na</v>
      </c>
      <c r="H54" s="400" t="str">
        <f t="shared" si="86"/>
        <v>na</v>
      </c>
      <c r="I54" s="400" t="str">
        <f t="shared" si="87"/>
        <v>na</v>
      </c>
      <c r="J54" s="403" t="str">
        <f t="shared" si="88"/>
        <v>na</v>
      </c>
      <c r="K54" s="271" t="str">
        <f>'GW-Eq'!H54</f>
        <v>na</v>
      </c>
      <c r="L54" s="271" t="str">
        <f t="shared" si="89"/>
        <v>na</v>
      </c>
      <c r="M54" s="271" t="str">
        <f t="shared" si="90"/>
        <v>na</v>
      </c>
      <c r="N54" s="271" t="str">
        <f t="shared" si="91"/>
        <v>na</v>
      </c>
      <c r="O54" s="330" t="str">
        <f t="shared" si="4"/>
        <v>na</v>
      </c>
      <c r="P54" s="2523" t="str">
        <f>VI!F54</f>
        <v>na</v>
      </c>
      <c r="R54" s="264" t="str">
        <f t="shared" si="92"/>
        <v>na</v>
      </c>
      <c r="S54" s="236" t="str">
        <f t="shared" si="93"/>
        <v/>
      </c>
      <c r="T54" s="236" t="str">
        <f t="shared" si="94"/>
        <v/>
      </c>
      <c r="U54" s="236" t="str">
        <f t="shared" si="95"/>
        <v/>
      </c>
      <c r="V54" s="236" t="str">
        <f t="shared" si="96"/>
        <v/>
      </c>
      <c r="W54" s="236" t="str">
        <f t="shared" si="97"/>
        <v/>
      </c>
      <c r="X54" s="236" t="str">
        <f t="shared" si="98"/>
        <v/>
      </c>
      <c r="Y54" s="236" t="str">
        <f t="shared" si="99"/>
        <v/>
      </c>
      <c r="Z54" s="235" t="str">
        <f t="shared" si="100"/>
        <v/>
      </c>
      <c r="AB54" s="1062"/>
    </row>
    <row r="55" spans="1:28" ht="13.9" customHeight="1" x14ac:dyDescent="0.25">
      <c r="A55" s="847">
        <f>Chem!A55</f>
        <v>53</v>
      </c>
      <c r="B55" s="855" t="str">
        <f>Chem!B55</f>
        <v>Anthracene</v>
      </c>
      <c r="C55" s="343" t="s">
        <v>232</v>
      </c>
      <c r="D55" s="384" t="s">
        <v>232</v>
      </c>
      <c r="E55" s="384" t="s">
        <v>232</v>
      </c>
      <c r="F55" s="384" t="str">
        <f t="shared" si="85"/>
        <v>na</v>
      </c>
      <c r="G55" s="400">
        <f>'GW-Eq'!G55</f>
        <v>2400</v>
      </c>
      <c r="H55" s="400" t="str">
        <f t="shared" si="86"/>
        <v>na</v>
      </c>
      <c r="I55" s="400" t="str">
        <f t="shared" si="87"/>
        <v>na</v>
      </c>
      <c r="J55" s="403">
        <f t="shared" si="88"/>
        <v>2400</v>
      </c>
      <c r="K55" s="271" t="str">
        <f>'GW-Eq'!H55</f>
        <v>na</v>
      </c>
      <c r="L55" s="271" t="str">
        <f t="shared" si="89"/>
        <v>na</v>
      </c>
      <c r="M55" s="271" t="str">
        <f t="shared" si="90"/>
        <v>na</v>
      </c>
      <c r="N55" s="271" t="str">
        <f t="shared" si="91"/>
        <v>na</v>
      </c>
      <c r="O55" s="330">
        <f t="shared" si="4"/>
        <v>2400</v>
      </c>
      <c r="P55" s="2523" t="str">
        <f>VI!F55</f>
        <v>na</v>
      </c>
      <c r="R55" s="264">
        <f t="shared" si="92"/>
        <v>2400</v>
      </c>
      <c r="S55" s="236" t="str">
        <f t="shared" si="93"/>
        <v/>
      </c>
      <c r="T55" s="236" t="str">
        <f t="shared" si="94"/>
        <v/>
      </c>
      <c r="U55" s="236" t="str">
        <f t="shared" si="95"/>
        <v/>
      </c>
      <c r="V55" s="236" t="str">
        <f t="shared" si="96"/>
        <v>X</v>
      </c>
      <c r="W55" s="236" t="str">
        <f t="shared" si="97"/>
        <v/>
      </c>
      <c r="X55" s="236" t="str">
        <f t="shared" si="98"/>
        <v/>
      </c>
      <c r="Y55" s="236" t="str">
        <f t="shared" si="99"/>
        <v/>
      </c>
      <c r="Z55" s="235" t="str">
        <f t="shared" si="100"/>
        <v/>
      </c>
      <c r="AB55" s="1062"/>
    </row>
    <row r="56" spans="1:28" ht="13.9" customHeight="1" x14ac:dyDescent="0.25">
      <c r="A56" s="847">
        <f>Chem!A56</f>
        <v>54</v>
      </c>
      <c r="B56" s="855" t="str">
        <f>Chem!B56</f>
        <v>Benzo(a)anthracene</v>
      </c>
      <c r="C56" s="343" t="s">
        <v>232</v>
      </c>
      <c r="D56" s="384" t="s">
        <v>232</v>
      </c>
      <c r="E56" s="384" t="s">
        <v>232</v>
      </c>
      <c r="F56" s="384" t="str">
        <f t="shared" si="85"/>
        <v>na</v>
      </c>
      <c r="G56" s="400" t="str">
        <f>'GW-Eq'!G56</f>
        <v>na</v>
      </c>
      <c r="H56" s="400" t="str">
        <f t="shared" si="86"/>
        <v>na</v>
      </c>
      <c r="I56" s="400" t="str">
        <f t="shared" si="87"/>
        <v>na</v>
      </c>
      <c r="J56" s="403" t="str">
        <f t="shared" si="88"/>
        <v>na</v>
      </c>
      <c r="K56" s="271" t="str">
        <f>'GW-Eq'!H56</f>
        <v>na</v>
      </c>
      <c r="L56" s="271" t="str">
        <f t="shared" si="89"/>
        <v>na</v>
      </c>
      <c r="M56" s="271" t="str">
        <f t="shared" si="90"/>
        <v>na</v>
      </c>
      <c r="N56" s="271" t="str">
        <f t="shared" si="91"/>
        <v>na</v>
      </c>
      <c r="O56" s="330" t="str">
        <f t="shared" si="4"/>
        <v>na</v>
      </c>
      <c r="P56" s="2523" t="str">
        <f>VI!F56</f>
        <v>na</v>
      </c>
      <c r="R56" s="264" t="str">
        <f t="shared" si="92"/>
        <v>na</v>
      </c>
      <c r="S56" s="236" t="str">
        <f t="shared" si="93"/>
        <v/>
      </c>
      <c r="T56" s="236" t="str">
        <f t="shared" si="94"/>
        <v/>
      </c>
      <c r="U56" s="236" t="str">
        <f t="shared" si="95"/>
        <v/>
      </c>
      <c r="V56" s="236" t="str">
        <f t="shared" si="96"/>
        <v/>
      </c>
      <c r="W56" s="236" t="str">
        <f t="shared" si="97"/>
        <v/>
      </c>
      <c r="X56" s="236" t="str">
        <f t="shared" si="98"/>
        <v/>
      </c>
      <c r="Y56" s="236" t="str">
        <f t="shared" si="99"/>
        <v/>
      </c>
      <c r="Z56" s="235" t="str">
        <f t="shared" si="100"/>
        <v/>
      </c>
      <c r="AB56" s="1062"/>
    </row>
    <row r="57" spans="1:28" ht="13.9" customHeight="1" x14ac:dyDescent="0.25">
      <c r="A57" s="847">
        <f>Chem!A57</f>
        <v>55</v>
      </c>
      <c r="B57" s="855" t="str">
        <f>Chem!B57</f>
        <v>Benzo(b)fluoranthene</v>
      </c>
      <c r="C57" s="343" t="s">
        <v>232</v>
      </c>
      <c r="D57" s="384" t="s">
        <v>232</v>
      </c>
      <c r="E57" s="384" t="s">
        <v>232</v>
      </c>
      <c r="F57" s="384" t="str">
        <f t="shared" si="85"/>
        <v>na</v>
      </c>
      <c r="G57" s="400" t="str">
        <f>'GW-Eq'!G57</f>
        <v>na</v>
      </c>
      <c r="H57" s="400" t="str">
        <f t="shared" si="86"/>
        <v>na</v>
      </c>
      <c r="I57" s="400" t="str">
        <f t="shared" si="87"/>
        <v>na</v>
      </c>
      <c r="J57" s="403" t="str">
        <f t="shared" si="88"/>
        <v>na</v>
      </c>
      <c r="K57" s="271" t="str">
        <f>'GW-Eq'!H57</f>
        <v>na</v>
      </c>
      <c r="L57" s="271" t="str">
        <f t="shared" si="89"/>
        <v>na</v>
      </c>
      <c r="M57" s="271" t="str">
        <f t="shared" si="90"/>
        <v>na</v>
      </c>
      <c r="N57" s="271" t="str">
        <f t="shared" si="91"/>
        <v>na</v>
      </c>
      <c r="O57" s="330" t="str">
        <f t="shared" si="4"/>
        <v>na</v>
      </c>
      <c r="P57" s="2523" t="str">
        <f>VI!F57</f>
        <v>na</v>
      </c>
      <c r="R57" s="264" t="str">
        <f t="shared" si="92"/>
        <v>na</v>
      </c>
      <c r="S57" s="236" t="str">
        <f t="shared" si="93"/>
        <v/>
      </c>
      <c r="T57" s="236" t="str">
        <f t="shared" si="94"/>
        <v/>
      </c>
      <c r="U57" s="236" t="str">
        <f t="shared" si="95"/>
        <v/>
      </c>
      <c r="V57" s="236" t="str">
        <f t="shared" si="96"/>
        <v/>
      </c>
      <c r="W57" s="236" t="str">
        <f t="shared" si="97"/>
        <v/>
      </c>
      <c r="X57" s="236" t="str">
        <f t="shared" si="98"/>
        <v/>
      </c>
      <c r="Y57" s="236" t="str">
        <f t="shared" si="99"/>
        <v/>
      </c>
      <c r="Z57" s="235" t="str">
        <f t="shared" si="100"/>
        <v/>
      </c>
      <c r="AB57" s="1062"/>
    </row>
    <row r="58" spans="1:28" ht="13.9" customHeight="1" x14ac:dyDescent="0.25">
      <c r="A58" s="847">
        <f>Chem!A58</f>
        <v>56</v>
      </c>
      <c r="B58" s="855" t="str">
        <f>Chem!B58</f>
        <v>Benzo(k)fluoranthene</v>
      </c>
      <c r="C58" s="343" t="s">
        <v>232</v>
      </c>
      <c r="D58" s="384" t="s">
        <v>232</v>
      </c>
      <c r="E58" s="384" t="s">
        <v>232</v>
      </c>
      <c r="F58" s="384" t="str">
        <f t="shared" si="85"/>
        <v>na</v>
      </c>
      <c r="G58" s="400" t="str">
        <f>'GW-Eq'!G58</f>
        <v>na</v>
      </c>
      <c r="H58" s="400" t="str">
        <f t="shared" si="86"/>
        <v>na</v>
      </c>
      <c r="I58" s="400" t="str">
        <f t="shared" si="87"/>
        <v>na</v>
      </c>
      <c r="J58" s="403" t="str">
        <f t="shared" si="88"/>
        <v>na</v>
      </c>
      <c r="K58" s="271" t="str">
        <f>'GW-Eq'!H58</f>
        <v>na</v>
      </c>
      <c r="L58" s="271" t="str">
        <f t="shared" si="89"/>
        <v>na</v>
      </c>
      <c r="M58" s="271" t="str">
        <f t="shared" si="90"/>
        <v>na</v>
      </c>
      <c r="N58" s="271" t="str">
        <f t="shared" si="91"/>
        <v>na</v>
      </c>
      <c r="O58" s="330" t="str">
        <f t="shared" si="4"/>
        <v>na</v>
      </c>
      <c r="P58" s="2523" t="str">
        <f>VI!F58</f>
        <v>na</v>
      </c>
      <c r="R58" s="264" t="str">
        <f t="shared" si="92"/>
        <v>na</v>
      </c>
      <c r="S58" s="236" t="str">
        <f t="shared" si="93"/>
        <v/>
      </c>
      <c r="T58" s="236" t="str">
        <f t="shared" si="94"/>
        <v/>
      </c>
      <c r="U58" s="236" t="str">
        <f t="shared" si="95"/>
        <v/>
      </c>
      <c r="V58" s="236" t="str">
        <f t="shared" si="96"/>
        <v/>
      </c>
      <c r="W58" s="236" t="str">
        <f t="shared" si="97"/>
        <v/>
      </c>
      <c r="X58" s="236" t="str">
        <f t="shared" si="98"/>
        <v/>
      </c>
      <c r="Y58" s="236" t="str">
        <f t="shared" si="99"/>
        <v/>
      </c>
      <c r="Z58" s="235" t="str">
        <f t="shared" si="100"/>
        <v/>
      </c>
      <c r="AB58" s="1062"/>
    </row>
    <row r="59" spans="1:28" ht="13.9" customHeight="1" x14ac:dyDescent="0.25">
      <c r="A59" s="847">
        <f>Chem!A59</f>
        <v>57</v>
      </c>
      <c r="B59" s="855" t="str">
        <f>Chem!B59</f>
        <v>Total benzofluoranthenes</v>
      </c>
      <c r="C59" s="343" t="s">
        <v>232</v>
      </c>
      <c r="D59" s="384" t="s">
        <v>232</v>
      </c>
      <c r="E59" s="384" t="s">
        <v>232</v>
      </c>
      <c r="F59" s="384" t="str">
        <f t="shared" si="85"/>
        <v>na</v>
      </c>
      <c r="G59" s="400" t="str">
        <f>'GW-Eq'!G59</f>
        <v>na</v>
      </c>
      <c r="H59" s="400" t="str">
        <f t="shared" si="86"/>
        <v>na</v>
      </c>
      <c r="I59" s="400" t="str">
        <f t="shared" si="87"/>
        <v>na</v>
      </c>
      <c r="J59" s="403" t="str">
        <f t="shared" si="88"/>
        <v>na</v>
      </c>
      <c r="K59" s="271" t="str">
        <f>'GW-Eq'!H59</f>
        <v>na</v>
      </c>
      <c r="L59" s="271" t="str">
        <f t="shared" si="89"/>
        <v>na</v>
      </c>
      <c r="M59" s="271" t="str">
        <f t="shared" si="90"/>
        <v>na</v>
      </c>
      <c r="N59" s="271" t="str">
        <f t="shared" si="91"/>
        <v>na</v>
      </c>
      <c r="O59" s="330" t="str">
        <f t="shared" si="4"/>
        <v>na</v>
      </c>
      <c r="P59" s="2523" t="str">
        <f>VI!F59</f>
        <v>na</v>
      </c>
      <c r="R59" s="264" t="str">
        <f t="shared" si="92"/>
        <v>na</v>
      </c>
      <c r="S59" s="236" t="str">
        <f t="shared" si="93"/>
        <v/>
      </c>
      <c r="T59" s="236" t="str">
        <f t="shared" si="94"/>
        <v/>
      </c>
      <c r="U59" s="236" t="str">
        <f t="shared" si="95"/>
        <v/>
      </c>
      <c r="V59" s="236" t="str">
        <f t="shared" si="96"/>
        <v/>
      </c>
      <c r="W59" s="236" t="str">
        <f t="shared" si="97"/>
        <v/>
      </c>
      <c r="X59" s="236" t="str">
        <f t="shared" si="98"/>
        <v/>
      </c>
      <c r="Y59" s="236" t="str">
        <f t="shared" si="99"/>
        <v/>
      </c>
      <c r="Z59" s="235" t="str">
        <f t="shared" si="100"/>
        <v/>
      </c>
      <c r="AB59" s="1062"/>
    </row>
    <row r="60" spans="1:28" ht="13.9" customHeight="1" x14ac:dyDescent="0.25">
      <c r="A60" s="847">
        <f>Chem!A60</f>
        <v>58</v>
      </c>
      <c r="B60" s="855" t="str">
        <f>Chem!B60</f>
        <v>Benzo(g,h,i)perylene</v>
      </c>
      <c r="C60" s="343" t="s">
        <v>232</v>
      </c>
      <c r="D60" s="384" t="s">
        <v>232</v>
      </c>
      <c r="E60" s="384" t="s">
        <v>232</v>
      </c>
      <c r="F60" s="384" t="str">
        <f t="shared" si="85"/>
        <v>na</v>
      </c>
      <c r="G60" s="400" t="str">
        <f>'GW-Eq'!G60</f>
        <v>na</v>
      </c>
      <c r="H60" s="400" t="str">
        <f t="shared" si="86"/>
        <v>na</v>
      </c>
      <c r="I60" s="400" t="str">
        <f t="shared" si="87"/>
        <v>na</v>
      </c>
      <c r="J60" s="403" t="str">
        <f t="shared" si="88"/>
        <v>na</v>
      </c>
      <c r="K60" s="271" t="str">
        <f>'GW-Eq'!H60</f>
        <v>na</v>
      </c>
      <c r="L60" s="271" t="str">
        <f t="shared" si="89"/>
        <v>na</v>
      </c>
      <c r="M60" s="271" t="str">
        <f t="shared" si="90"/>
        <v>na</v>
      </c>
      <c r="N60" s="271" t="str">
        <f t="shared" si="91"/>
        <v>na</v>
      </c>
      <c r="O60" s="330" t="str">
        <f t="shared" si="4"/>
        <v>na</v>
      </c>
      <c r="P60" s="2523" t="str">
        <f>VI!F60</f>
        <v>na</v>
      </c>
      <c r="R60" s="264" t="str">
        <f t="shared" si="92"/>
        <v>na</v>
      </c>
      <c r="S60" s="236" t="str">
        <f t="shared" si="93"/>
        <v/>
      </c>
      <c r="T60" s="236" t="str">
        <f t="shared" si="94"/>
        <v/>
      </c>
      <c r="U60" s="236" t="str">
        <f t="shared" si="95"/>
        <v/>
      </c>
      <c r="V60" s="236" t="str">
        <f t="shared" si="96"/>
        <v/>
      </c>
      <c r="W60" s="236" t="str">
        <f t="shared" si="97"/>
        <v/>
      </c>
      <c r="X60" s="236" t="str">
        <f t="shared" si="98"/>
        <v/>
      </c>
      <c r="Y60" s="236" t="str">
        <f t="shared" si="99"/>
        <v/>
      </c>
      <c r="Z60" s="235" t="str">
        <f t="shared" si="100"/>
        <v/>
      </c>
      <c r="AB60" s="1062"/>
    </row>
    <row r="61" spans="1:28" ht="13.9" customHeight="1" x14ac:dyDescent="0.25">
      <c r="A61" s="847">
        <f>Chem!A61</f>
        <v>59</v>
      </c>
      <c r="B61" s="855" t="str">
        <f>Chem!B61</f>
        <v>Benzo(a)pyrene</v>
      </c>
      <c r="C61" s="343">
        <v>0.2</v>
      </c>
      <c r="D61" s="384" t="s">
        <v>232</v>
      </c>
      <c r="E61" s="384">
        <v>0.2</v>
      </c>
      <c r="F61" s="384">
        <f t="shared" si="85"/>
        <v>0.2</v>
      </c>
      <c r="G61" s="400" t="str">
        <f>'GW-Eq'!G61</f>
        <v>na</v>
      </c>
      <c r="H61" s="400" t="str">
        <f t="shared" si="86"/>
        <v>na</v>
      </c>
      <c r="I61" s="400" t="str">
        <f t="shared" si="87"/>
        <v>na</v>
      </c>
      <c r="J61" s="403">
        <f t="shared" si="88"/>
        <v>0.2</v>
      </c>
      <c r="K61" s="271" t="str">
        <f>'GW-Eq'!H61</f>
        <v>na</v>
      </c>
      <c r="L61" s="271" t="str">
        <f t="shared" si="89"/>
        <v>na</v>
      </c>
      <c r="M61" s="271" t="str">
        <f t="shared" si="90"/>
        <v>na</v>
      </c>
      <c r="N61" s="271" t="str">
        <f t="shared" si="91"/>
        <v>na</v>
      </c>
      <c r="O61" s="330">
        <f t="shared" si="4"/>
        <v>0.2</v>
      </c>
      <c r="P61" s="2523" t="str">
        <f>VI!F61</f>
        <v>na</v>
      </c>
      <c r="R61" s="264">
        <f t="shared" si="92"/>
        <v>0.2</v>
      </c>
      <c r="S61" s="236" t="str">
        <f t="shared" si="93"/>
        <v>X</v>
      </c>
      <c r="T61" s="236" t="str">
        <f t="shared" si="94"/>
        <v/>
      </c>
      <c r="U61" s="236" t="str">
        <f t="shared" si="95"/>
        <v>X</v>
      </c>
      <c r="V61" s="236" t="str">
        <f t="shared" si="96"/>
        <v/>
      </c>
      <c r="W61" s="236" t="str">
        <f t="shared" si="97"/>
        <v/>
      </c>
      <c r="X61" s="236" t="str">
        <f t="shared" si="98"/>
        <v/>
      </c>
      <c r="Y61" s="236" t="str">
        <f t="shared" si="99"/>
        <v/>
      </c>
      <c r="Z61" s="235" t="str">
        <f t="shared" si="100"/>
        <v/>
      </c>
      <c r="AB61" s="1062"/>
    </row>
    <row r="62" spans="1:28" ht="13.9" customHeight="1" x14ac:dyDescent="0.25">
      <c r="A62" s="847">
        <f>Chem!A62</f>
        <v>60</v>
      </c>
      <c r="B62" s="855" t="str">
        <f>Chem!B62</f>
        <v>Chrysene</v>
      </c>
      <c r="C62" s="343" t="s">
        <v>232</v>
      </c>
      <c r="D62" s="384" t="s">
        <v>232</v>
      </c>
      <c r="E62" s="384" t="s">
        <v>232</v>
      </c>
      <c r="F62" s="384" t="str">
        <f t="shared" si="85"/>
        <v>na</v>
      </c>
      <c r="G62" s="400" t="str">
        <f>'GW-Eq'!G62</f>
        <v>na</v>
      </c>
      <c r="H62" s="400" t="str">
        <f t="shared" si="86"/>
        <v>na</v>
      </c>
      <c r="I62" s="400" t="str">
        <f t="shared" si="87"/>
        <v>na</v>
      </c>
      <c r="J62" s="403" t="str">
        <f t="shared" si="88"/>
        <v>na</v>
      </c>
      <c r="K62" s="271" t="str">
        <f>'GW-Eq'!H62</f>
        <v>na</v>
      </c>
      <c r="L62" s="271" t="str">
        <f t="shared" si="89"/>
        <v>na</v>
      </c>
      <c r="M62" s="271" t="str">
        <f t="shared" si="90"/>
        <v>na</v>
      </c>
      <c r="N62" s="271" t="str">
        <f t="shared" si="91"/>
        <v>na</v>
      </c>
      <c r="O62" s="330" t="str">
        <f t="shared" si="4"/>
        <v>na</v>
      </c>
      <c r="P62" s="2523" t="str">
        <f>VI!F62</f>
        <v>na</v>
      </c>
      <c r="R62" s="264" t="str">
        <f t="shared" si="92"/>
        <v>na</v>
      </c>
      <c r="S62" s="236" t="str">
        <f t="shared" si="93"/>
        <v/>
      </c>
      <c r="T62" s="236" t="str">
        <f t="shared" si="94"/>
        <v/>
      </c>
      <c r="U62" s="236" t="str">
        <f t="shared" si="95"/>
        <v/>
      </c>
      <c r="V62" s="236" t="str">
        <f t="shared" si="96"/>
        <v/>
      </c>
      <c r="W62" s="236" t="str">
        <f t="shared" si="97"/>
        <v/>
      </c>
      <c r="X62" s="236" t="str">
        <f t="shared" si="98"/>
        <v/>
      </c>
      <c r="Y62" s="236" t="str">
        <f t="shared" si="99"/>
        <v/>
      </c>
      <c r="Z62" s="235" t="str">
        <f t="shared" si="100"/>
        <v/>
      </c>
      <c r="AB62" s="1062"/>
    </row>
    <row r="63" spans="1:28" ht="13.9" customHeight="1" x14ac:dyDescent="0.25">
      <c r="A63" s="847">
        <f>Chem!A63</f>
        <v>61</v>
      </c>
      <c r="B63" s="855" t="str">
        <f>Chem!B63</f>
        <v>Dibenz(a,h)anthracene</v>
      </c>
      <c r="C63" s="343" t="s">
        <v>232</v>
      </c>
      <c r="D63" s="384" t="s">
        <v>232</v>
      </c>
      <c r="E63" s="384" t="s">
        <v>232</v>
      </c>
      <c r="F63" s="384" t="str">
        <f t="shared" si="85"/>
        <v>na</v>
      </c>
      <c r="G63" s="400" t="str">
        <f>'GW-Eq'!G63</f>
        <v>na</v>
      </c>
      <c r="H63" s="400" t="str">
        <f t="shared" si="86"/>
        <v>na</v>
      </c>
      <c r="I63" s="400" t="str">
        <f t="shared" si="87"/>
        <v>na</v>
      </c>
      <c r="J63" s="403" t="str">
        <f t="shared" si="88"/>
        <v>na</v>
      </c>
      <c r="K63" s="271" t="str">
        <f>'GW-Eq'!H63</f>
        <v>na</v>
      </c>
      <c r="L63" s="271" t="str">
        <f t="shared" si="89"/>
        <v>na</v>
      </c>
      <c r="M63" s="271" t="str">
        <f t="shared" si="90"/>
        <v>na</v>
      </c>
      <c r="N63" s="271" t="str">
        <f t="shared" si="91"/>
        <v>na</v>
      </c>
      <c r="O63" s="330" t="str">
        <f t="shared" si="4"/>
        <v>na</v>
      </c>
      <c r="P63" s="2523" t="str">
        <f>VI!F63</f>
        <v>na</v>
      </c>
      <c r="R63" s="264" t="str">
        <f t="shared" si="92"/>
        <v>na</v>
      </c>
      <c r="S63" s="236" t="str">
        <f t="shared" si="93"/>
        <v/>
      </c>
      <c r="T63" s="236" t="str">
        <f t="shared" si="94"/>
        <v/>
      </c>
      <c r="U63" s="236" t="str">
        <f t="shared" si="95"/>
        <v/>
      </c>
      <c r="V63" s="236" t="str">
        <f t="shared" si="96"/>
        <v/>
      </c>
      <c r="W63" s="236" t="str">
        <f t="shared" si="97"/>
        <v/>
      </c>
      <c r="X63" s="236" t="str">
        <f t="shared" si="98"/>
        <v/>
      </c>
      <c r="Y63" s="236" t="str">
        <f t="shared" si="99"/>
        <v/>
      </c>
      <c r="Z63" s="235" t="str">
        <f t="shared" si="100"/>
        <v/>
      </c>
      <c r="AB63" s="1062"/>
    </row>
    <row r="64" spans="1:28" ht="13.9" customHeight="1" x14ac:dyDescent="0.25">
      <c r="A64" s="847">
        <f>Chem!A64</f>
        <v>62</v>
      </c>
      <c r="B64" s="855" t="str">
        <f>Chem!B64</f>
        <v>Dibenzofuran</v>
      </c>
      <c r="C64" s="343" t="s">
        <v>232</v>
      </c>
      <c r="D64" s="384" t="s">
        <v>232</v>
      </c>
      <c r="E64" s="384" t="s">
        <v>232</v>
      </c>
      <c r="F64" s="384" t="str">
        <f t="shared" si="85"/>
        <v>na</v>
      </c>
      <c r="G64" s="400">
        <f>'GW-Eq'!G64</f>
        <v>8</v>
      </c>
      <c r="H64" s="400" t="str">
        <f t="shared" si="86"/>
        <v>na</v>
      </c>
      <c r="I64" s="400" t="str">
        <f t="shared" si="87"/>
        <v>na</v>
      </c>
      <c r="J64" s="403">
        <f t="shared" si="88"/>
        <v>8</v>
      </c>
      <c r="K64" s="271" t="str">
        <f>'GW-Eq'!H64</f>
        <v>na</v>
      </c>
      <c r="L64" s="271" t="str">
        <f t="shared" si="89"/>
        <v>na</v>
      </c>
      <c r="M64" s="271" t="str">
        <f t="shared" si="90"/>
        <v>na</v>
      </c>
      <c r="N64" s="271" t="str">
        <f t="shared" si="91"/>
        <v>na</v>
      </c>
      <c r="O64" s="330">
        <f t="shared" si="4"/>
        <v>8</v>
      </c>
      <c r="P64" s="2523" t="str">
        <f>VI!F64</f>
        <v>na</v>
      </c>
      <c r="R64" s="264">
        <f t="shared" si="92"/>
        <v>8</v>
      </c>
      <c r="S64" s="236" t="str">
        <f t="shared" si="93"/>
        <v/>
      </c>
      <c r="T64" s="236" t="str">
        <f t="shared" si="94"/>
        <v/>
      </c>
      <c r="U64" s="236" t="str">
        <f t="shared" si="95"/>
        <v/>
      </c>
      <c r="V64" s="236" t="str">
        <f t="shared" si="96"/>
        <v>X</v>
      </c>
      <c r="W64" s="236" t="str">
        <f t="shared" si="97"/>
        <v/>
      </c>
      <c r="X64" s="236" t="str">
        <f t="shared" si="98"/>
        <v/>
      </c>
      <c r="Y64" s="236" t="str">
        <f t="shared" si="99"/>
        <v/>
      </c>
      <c r="Z64" s="235" t="str">
        <f t="shared" si="100"/>
        <v/>
      </c>
      <c r="AB64" s="1062"/>
    </row>
    <row r="65" spans="1:28" ht="13.9" customHeight="1" x14ac:dyDescent="0.25">
      <c r="A65" s="847">
        <f>Chem!A65</f>
        <v>63</v>
      </c>
      <c r="B65" s="855" t="str">
        <f>Chem!B65</f>
        <v>Fluoranthene</v>
      </c>
      <c r="C65" s="343" t="s">
        <v>232</v>
      </c>
      <c r="D65" s="384" t="s">
        <v>232</v>
      </c>
      <c r="E65" s="384" t="s">
        <v>232</v>
      </c>
      <c r="F65" s="384" t="str">
        <f t="shared" si="85"/>
        <v>na</v>
      </c>
      <c r="G65" s="400">
        <f>'GW-Eq'!G65</f>
        <v>640</v>
      </c>
      <c r="H65" s="400" t="str">
        <f t="shared" si="86"/>
        <v>na</v>
      </c>
      <c r="I65" s="400" t="str">
        <f t="shared" si="87"/>
        <v>na</v>
      </c>
      <c r="J65" s="403">
        <f t="shared" si="88"/>
        <v>640</v>
      </c>
      <c r="K65" s="271" t="str">
        <f>'GW-Eq'!H65</f>
        <v>na</v>
      </c>
      <c r="L65" s="271" t="str">
        <f t="shared" si="89"/>
        <v>na</v>
      </c>
      <c r="M65" s="271" t="str">
        <f t="shared" si="90"/>
        <v>na</v>
      </c>
      <c r="N65" s="271" t="str">
        <f t="shared" si="91"/>
        <v>na</v>
      </c>
      <c r="O65" s="330">
        <f t="shared" si="4"/>
        <v>640</v>
      </c>
      <c r="P65" s="2523" t="str">
        <f>VI!F65</f>
        <v>na</v>
      </c>
      <c r="R65" s="264">
        <f t="shared" si="92"/>
        <v>640</v>
      </c>
      <c r="S65" s="236" t="str">
        <f t="shared" si="93"/>
        <v/>
      </c>
      <c r="T65" s="236" t="str">
        <f t="shared" si="94"/>
        <v/>
      </c>
      <c r="U65" s="236" t="str">
        <f t="shared" si="95"/>
        <v/>
      </c>
      <c r="V65" s="236" t="str">
        <f t="shared" si="96"/>
        <v>X</v>
      </c>
      <c r="W65" s="236" t="str">
        <f t="shared" si="97"/>
        <v/>
      </c>
      <c r="X65" s="236" t="str">
        <f t="shared" si="98"/>
        <v/>
      </c>
      <c r="Y65" s="236" t="str">
        <f t="shared" si="99"/>
        <v/>
      </c>
      <c r="Z65" s="235" t="str">
        <f t="shared" si="100"/>
        <v/>
      </c>
      <c r="AB65" s="1062"/>
    </row>
    <row r="66" spans="1:28" ht="13.9" customHeight="1" x14ac:dyDescent="0.25">
      <c r="A66" s="847">
        <f>Chem!A66</f>
        <v>64</v>
      </c>
      <c r="B66" s="855" t="str">
        <f>Chem!B66</f>
        <v>Fluorene</v>
      </c>
      <c r="C66" s="343" t="s">
        <v>232</v>
      </c>
      <c r="D66" s="384" t="s">
        <v>232</v>
      </c>
      <c r="E66" s="384" t="s">
        <v>232</v>
      </c>
      <c r="F66" s="384" t="str">
        <f t="shared" si="85"/>
        <v>na</v>
      </c>
      <c r="G66" s="400">
        <f>'GW-Eq'!G66</f>
        <v>320</v>
      </c>
      <c r="H66" s="400" t="str">
        <f t="shared" si="86"/>
        <v>na</v>
      </c>
      <c r="I66" s="400" t="str">
        <f t="shared" si="87"/>
        <v>na</v>
      </c>
      <c r="J66" s="403">
        <f t="shared" si="88"/>
        <v>320</v>
      </c>
      <c r="K66" s="271" t="str">
        <f>'GW-Eq'!H66</f>
        <v>na</v>
      </c>
      <c r="L66" s="271" t="str">
        <f t="shared" si="89"/>
        <v>na</v>
      </c>
      <c r="M66" s="271" t="str">
        <f t="shared" si="90"/>
        <v>na</v>
      </c>
      <c r="N66" s="271" t="str">
        <f t="shared" si="91"/>
        <v>na</v>
      </c>
      <c r="O66" s="330">
        <f t="shared" si="4"/>
        <v>320</v>
      </c>
      <c r="P66" s="2523" t="str">
        <f>VI!F66</f>
        <v>na</v>
      </c>
      <c r="R66" s="264">
        <f t="shared" si="92"/>
        <v>320</v>
      </c>
      <c r="S66" s="236" t="str">
        <f t="shared" si="93"/>
        <v/>
      </c>
      <c r="T66" s="236" t="str">
        <f t="shared" si="94"/>
        <v/>
      </c>
      <c r="U66" s="236" t="str">
        <f t="shared" si="95"/>
        <v/>
      </c>
      <c r="V66" s="236" t="str">
        <f t="shared" si="96"/>
        <v>X</v>
      </c>
      <c r="W66" s="236" t="str">
        <f t="shared" si="97"/>
        <v/>
      </c>
      <c r="X66" s="236" t="str">
        <f t="shared" si="98"/>
        <v/>
      </c>
      <c r="Y66" s="236" t="str">
        <f t="shared" si="99"/>
        <v/>
      </c>
      <c r="Z66" s="235" t="str">
        <f t="shared" si="100"/>
        <v/>
      </c>
      <c r="AB66" s="1062"/>
    </row>
    <row r="67" spans="1:28" ht="13.9" customHeight="1" x14ac:dyDescent="0.25">
      <c r="A67" s="847">
        <f>Chem!A67</f>
        <v>65</v>
      </c>
      <c r="B67" s="855" t="str">
        <f>Chem!B67</f>
        <v>Indeno(1,2,3-cd)pyrene</v>
      </c>
      <c r="C67" s="343" t="s">
        <v>232</v>
      </c>
      <c r="D67" s="384" t="s">
        <v>232</v>
      </c>
      <c r="E67" s="384" t="s">
        <v>232</v>
      </c>
      <c r="F67" s="384" t="str">
        <f t="shared" si="85"/>
        <v>na</v>
      </c>
      <c r="G67" s="400" t="str">
        <f>'GW-Eq'!G67</f>
        <v>na</v>
      </c>
      <c r="H67" s="400" t="str">
        <f t="shared" si="86"/>
        <v>na</v>
      </c>
      <c r="I67" s="400" t="str">
        <f t="shared" si="87"/>
        <v>na</v>
      </c>
      <c r="J67" s="403" t="str">
        <f t="shared" si="88"/>
        <v>na</v>
      </c>
      <c r="K67" s="271" t="str">
        <f>'GW-Eq'!H67</f>
        <v>na</v>
      </c>
      <c r="L67" s="271" t="str">
        <f t="shared" si="89"/>
        <v>na</v>
      </c>
      <c r="M67" s="271" t="str">
        <f t="shared" si="90"/>
        <v>na</v>
      </c>
      <c r="N67" s="271" t="str">
        <f t="shared" si="91"/>
        <v>na</v>
      </c>
      <c r="O67" s="330" t="str">
        <f t="shared" si="4"/>
        <v>na</v>
      </c>
      <c r="P67" s="2523" t="str">
        <f>VI!F67</f>
        <v>na</v>
      </c>
      <c r="R67" s="264" t="str">
        <f t="shared" si="92"/>
        <v>na</v>
      </c>
      <c r="S67" s="236" t="str">
        <f t="shared" si="93"/>
        <v/>
      </c>
      <c r="T67" s="236" t="str">
        <f t="shared" si="94"/>
        <v/>
      </c>
      <c r="U67" s="236" t="str">
        <f t="shared" si="95"/>
        <v/>
      </c>
      <c r="V67" s="236" t="str">
        <f t="shared" si="96"/>
        <v/>
      </c>
      <c r="W67" s="236" t="str">
        <f t="shared" si="97"/>
        <v/>
      </c>
      <c r="X67" s="236" t="str">
        <f t="shared" si="98"/>
        <v/>
      </c>
      <c r="Y67" s="236" t="str">
        <f t="shared" si="99"/>
        <v/>
      </c>
      <c r="Z67" s="235" t="str">
        <f t="shared" si="100"/>
        <v/>
      </c>
      <c r="AB67" s="1062"/>
    </row>
    <row r="68" spans="1:28" ht="13.9" customHeight="1" x14ac:dyDescent="0.25">
      <c r="A68" s="847">
        <f>Chem!A68</f>
        <v>66</v>
      </c>
      <c r="B68" s="855" t="str">
        <f>Chem!B68</f>
        <v>Methyl isopropyl phenanthrene (retene)</v>
      </c>
      <c r="C68" s="343" t="s">
        <v>232</v>
      </c>
      <c r="D68" s="384" t="s">
        <v>232</v>
      </c>
      <c r="E68" s="384" t="s">
        <v>232</v>
      </c>
      <c r="F68" s="384" t="str">
        <f t="shared" si="85"/>
        <v>na</v>
      </c>
      <c r="G68" s="400" t="str">
        <f>'GW-Eq'!G68</f>
        <v>na</v>
      </c>
      <c r="H68" s="400" t="str">
        <f t="shared" si="86"/>
        <v>na</v>
      </c>
      <c r="I68" s="400" t="str">
        <f t="shared" si="87"/>
        <v>na</v>
      </c>
      <c r="J68" s="403" t="str">
        <f t="shared" si="88"/>
        <v>na</v>
      </c>
      <c r="K68" s="271" t="str">
        <f>'GW-Eq'!H68</f>
        <v>na</v>
      </c>
      <c r="L68" s="271" t="str">
        <f t="shared" si="89"/>
        <v>na</v>
      </c>
      <c r="M68" s="271" t="str">
        <f t="shared" si="90"/>
        <v>na</v>
      </c>
      <c r="N68" s="271" t="str">
        <f t="shared" si="91"/>
        <v>na</v>
      </c>
      <c r="O68" s="330" t="str">
        <f t="shared" si="4"/>
        <v>na</v>
      </c>
      <c r="P68" s="2523" t="str">
        <f>VI!F68</f>
        <v>na</v>
      </c>
      <c r="R68" s="264" t="str">
        <f t="shared" si="92"/>
        <v>na</v>
      </c>
      <c r="S68" s="236" t="str">
        <f t="shared" si="93"/>
        <v/>
      </c>
      <c r="T68" s="236" t="str">
        <f t="shared" si="94"/>
        <v/>
      </c>
      <c r="U68" s="236" t="str">
        <f t="shared" si="95"/>
        <v/>
      </c>
      <c r="V68" s="236" t="str">
        <f t="shared" si="96"/>
        <v/>
      </c>
      <c r="W68" s="236" t="str">
        <f t="shared" si="97"/>
        <v/>
      </c>
      <c r="X68" s="236" t="str">
        <f t="shared" si="98"/>
        <v/>
      </c>
      <c r="Y68" s="236" t="str">
        <f t="shared" si="99"/>
        <v/>
      </c>
      <c r="Z68" s="235" t="str">
        <f t="shared" si="100"/>
        <v/>
      </c>
      <c r="AB68" s="1062"/>
    </row>
    <row r="69" spans="1:28" ht="13.9" customHeight="1" x14ac:dyDescent="0.25">
      <c r="A69" s="847">
        <f>Chem!A69</f>
        <v>67</v>
      </c>
      <c r="B69" s="855" t="str">
        <f>Chem!B69</f>
        <v>1-Methylnaphthalene</v>
      </c>
      <c r="C69" s="343" t="s">
        <v>232</v>
      </c>
      <c r="D69" s="384" t="s">
        <v>232</v>
      </c>
      <c r="E69" s="384" t="s">
        <v>232</v>
      </c>
      <c r="F69" s="384" t="str">
        <f t="shared" si="85"/>
        <v>na</v>
      </c>
      <c r="G69" s="400">
        <f>'GW-Eq'!G69</f>
        <v>560</v>
      </c>
      <c r="H69" s="400" t="str">
        <f t="shared" si="86"/>
        <v>na</v>
      </c>
      <c r="I69" s="400" t="str">
        <f t="shared" si="87"/>
        <v>na</v>
      </c>
      <c r="J69" s="403">
        <f t="shared" si="88"/>
        <v>560</v>
      </c>
      <c r="K69" s="271">
        <f>'GW-Eq'!H69</f>
        <v>0.8578431372549018</v>
      </c>
      <c r="L69" s="271" t="str">
        <f t="shared" si="89"/>
        <v>na</v>
      </c>
      <c r="M69" s="271" t="str">
        <f t="shared" si="90"/>
        <v>na</v>
      </c>
      <c r="N69" s="271">
        <f t="shared" si="91"/>
        <v>0.8578431372549018</v>
      </c>
      <c r="O69" s="330">
        <f t="shared" si="4"/>
        <v>0.8578431372549018</v>
      </c>
      <c r="P69" s="2523">
        <f>VI!F69</f>
        <v>0.16803059789085045</v>
      </c>
      <c r="R69" s="264">
        <f t="shared" si="92"/>
        <v>0.16803059789085045</v>
      </c>
      <c r="S69" s="236" t="str">
        <f t="shared" si="93"/>
        <v/>
      </c>
      <c r="T69" s="236" t="str">
        <f t="shared" si="94"/>
        <v/>
      </c>
      <c r="U69" s="236" t="str">
        <f t="shared" si="95"/>
        <v/>
      </c>
      <c r="V69" s="236" t="str">
        <f t="shared" si="96"/>
        <v/>
      </c>
      <c r="W69" s="236" t="str">
        <f t="shared" si="97"/>
        <v/>
      </c>
      <c r="X69" s="236" t="str">
        <f t="shared" si="98"/>
        <v/>
      </c>
      <c r="Y69" s="236" t="str">
        <f t="shared" si="99"/>
        <v/>
      </c>
      <c r="Z69" s="235" t="str">
        <f t="shared" si="100"/>
        <v>X</v>
      </c>
      <c r="AB69" s="1062"/>
    </row>
    <row r="70" spans="1:28" ht="13.9" customHeight="1" x14ac:dyDescent="0.25">
      <c r="A70" s="847">
        <f>Chem!A70</f>
        <v>68</v>
      </c>
      <c r="B70" s="855" t="str">
        <f>Chem!B70</f>
        <v>2-Methylnaphthalene</v>
      </c>
      <c r="C70" s="343" t="s">
        <v>232</v>
      </c>
      <c r="D70" s="384" t="s">
        <v>232</v>
      </c>
      <c r="E70" s="384" t="s">
        <v>232</v>
      </c>
      <c r="F70" s="384" t="str">
        <f t="shared" si="85"/>
        <v>na</v>
      </c>
      <c r="G70" s="400">
        <f>'GW-Eq'!G70</f>
        <v>32</v>
      </c>
      <c r="H70" s="400" t="str">
        <f t="shared" si="86"/>
        <v>na</v>
      </c>
      <c r="I70" s="400" t="str">
        <f t="shared" si="87"/>
        <v>na</v>
      </c>
      <c r="J70" s="403">
        <f t="shared" si="88"/>
        <v>32</v>
      </c>
      <c r="K70" s="271" t="str">
        <f>'GW-Eq'!H70</f>
        <v>na</v>
      </c>
      <c r="L70" s="271" t="str">
        <f t="shared" si="89"/>
        <v>na</v>
      </c>
      <c r="M70" s="271" t="str">
        <f t="shared" si="90"/>
        <v>na</v>
      </c>
      <c r="N70" s="271" t="str">
        <f t="shared" si="91"/>
        <v>na</v>
      </c>
      <c r="O70" s="330">
        <f t="shared" si="4"/>
        <v>32</v>
      </c>
      <c r="P70" s="2523" t="str">
        <f>VI!F70</f>
        <v>na</v>
      </c>
      <c r="R70" s="264">
        <f t="shared" si="92"/>
        <v>32</v>
      </c>
      <c r="S70" s="236" t="str">
        <f t="shared" si="93"/>
        <v/>
      </c>
      <c r="T70" s="236" t="str">
        <f t="shared" si="94"/>
        <v/>
      </c>
      <c r="U70" s="236" t="str">
        <f t="shared" si="95"/>
        <v/>
      </c>
      <c r="V70" s="236" t="str">
        <f t="shared" si="96"/>
        <v>X</v>
      </c>
      <c r="W70" s="236" t="str">
        <f t="shared" si="97"/>
        <v/>
      </c>
      <c r="X70" s="236" t="str">
        <f t="shared" si="98"/>
        <v/>
      </c>
      <c r="Y70" s="236" t="str">
        <f t="shared" si="99"/>
        <v/>
      </c>
      <c r="Z70" s="235" t="str">
        <f t="shared" si="100"/>
        <v/>
      </c>
      <c r="AB70" s="1062"/>
    </row>
    <row r="71" spans="1:28" ht="13.9" customHeight="1" x14ac:dyDescent="0.25">
      <c r="A71" s="847">
        <f>Chem!A71</f>
        <v>69</v>
      </c>
      <c r="B71" s="855" t="str">
        <f>Chem!B71</f>
        <v>Naphthalene</v>
      </c>
      <c r="C71" s="343" t="s">
        <v>232</v>
      </c>
      <c r="D71" s="384" t="s">
        <v>232</v>
      </c>
      <c r="E71" s="384" t="s">
        <v>232</v>
      </c>
      <c r="F71" s="384" t="str">
        <f t="shared" si="85"/>
        <v>na</v>
      </c>
      <c r="G71" s="400">
        <f>'GW-Eq'!G71</f>
        <v>160</v>
      </c>
      <c r="H71" s="400" t="str">
        <f t="shared" si="86"/>
        <v>na</v>
      </c>
      <c r="I71" s="400" t="str">
        <f t="shared" si="87"/>
        <v>na</v>
      </c>
      <c r="J71" s="403">
        <f t="shared" si="88"/>
        <v>160</v>
      </c>
      <c r="K71" s="271" t="str">
        <f>'GW-Eq'!H71</f>
        <v>na</v>
      </c>
      <c r="L71" s="271" t="str">
        <f t="shared" si="89"/>
        <v>na</v>
      </c>
      <c r="M71" s="271" t="str">
        <f t="shared" si="90"/>
        <v>na</v>
      </c>
      <c r="N71" s="271" t="str">
        <f t="shared" si="91"/>
        <v>na</v>
      </c>
      <c r="O71" s="330">
        <f t="shared" si="4"/>
        <v>160</v>
      </c>
      <c r="P71" s="2523">
        <f>VI!F71</f>
        <v>8.8387382195720665</v>
      </c>
      <c r="R71" s="264">
        <f t="shared" si="92"/>
        <v>8.8387382195720665</v>
      </c>
      <c r="S71" s="236" t="str">
        <f t="shared" si="93"/>
        <v/>
      </c>
      <c r="T71" s="236" t="str">
        <f t="shared" si="94"/>
        <v/>
      </c>
      <c r="U71" s="236" t="str">
        <f t="shared" si="95"/>
        <v/>
      </c>
      <c r="V71" s="236" t="str">
        <f t="shared" si="96"/>
        <v/>
      </c>
      <c r="W71" s="236" t="str">
        <f t="shared" si="97"/>
        <v/>
      </c>
      <c r="X71" s="236" t="str">
        <f t="shared" si="98"/>
        <v/>
      </c>
      <c r="Y71" s="236" t="str">
        <f t="shared" si="99"/>
        <v/>
      </c>
      <c r="Z71" s="235" t="str">
        <f t="shared" si="100"/>
        <v>X</v>
      </c>
      <c r="AB71" s="1062"/>
    </row>
    <row r="72" spans="1:28" ht="13.9" customHeight="1" x14ac:dyDescent="0.25">
      <c r="A72" s="847">
        <f>Chem!A72</f>
        <v>70</v>
      </c>
      <c r="B72" s="855" t="str">
        <f>Chem!B72</f>
        <v>Phenanthrene</v>
      </c>
      <c r="C72" s="343" t="s">
        <v>232</v>
      </c>
      <c r="D72" s="384" t="s">
        <v>232</v>
      </c>
      <c r="E72" s="384" t="s">
        <v>232</v>
      </c>
      <c r="F72" s="384" t="str">
        <f t="shared" si="85"/>
        <v>na</v>
      </c>
      <c r="G72" s="400" t="str">
        <f>'GW-Eq'!G72</f>
        <v>na</v>
      </c>
      <c r="H72" s="400" t="str">
        <f t="shared" si="86"/>
        <v>na</v>
      </c>
      <c r="I72" s="400" t="str">
        <f t="shared" si="87"/>
        <v>na</v>
      </c>
      <c r="J72" s="403" t="str">
        <f t="shared" si="88"/>
        <v>na</v>
      </c>
      <c r="K72" s="271" t="str">
        <f>'GW-Eq'!H72</f>
        <v>na</v>
      </c>
      <c r="L72" s="271" t="str">
        <f t="shared" si="89"/>
        <v>na</v>
      </c>
      <c r="M72" s="271" t="str">
        <f t="shared" si="90"/>
        <v>na</v>
      </c>
      <c r="N72" s="271" t="str">
        <f t="shared" si="91"/>
        <v>na</v>
      </c>
      <c r="O72" s="330" t="str">
        <f t="shared" si="4"/>
        <v>na</v>
      </c>
      <c r="P72" s="2523" t="str">
        <f>VI!F72</f>
        <v>na</v>
      </c>
      <c r="R72" s="264" t="str">
        <f t="shared" si="92"/>
        <v>na</v>
      </c>
      <c r="S72" s="236" t="str">
        <f t="shared" si="93"/>
        <v/>
      </c>
      <c r="T72" s="236" t="str">
        <f t="shared" si="94"/>
        <v/>
      </c>
      <c r="U72" s="236" t="str">
        <f t="shared" si="95"/>
        <v/>
      </c>
      <c r="V72" s="236" t="str">
        <f t="shared" si="96"/>
        <v/>
      </c>
      <c r="W72" s="236" t="str">
        <f t="shared" si="97"/>
        <v/>
      </c>
      <c r="X72" s="236" t="str">
        <f t="shared" si="98"/>
        <v/>
      </c>
      <c r="Y72" s="236" t="str">
        <f t="shared" si="99"/>
        <v/>
      </c>
      <c r="Z72" s="235" t="str">
        <f t="shared" si="100"/>
        <v/>
      </c>
      <c r="AB72" s="1062"/>
    </row>
    <row r="73" spans="1:28" ht="13.9" customHeight="1" x14ac:dyDescent="0.25">
      <c r="A73" s="847">
        <f>Chem!A73</f>
        <v>71</v>
      </c>
      <c r="B73" s="855" t="str">
        <f>Chem!B73</f>
        <v>Pyrene</v>
      </c>
      <c r="C73" s="343" t="s">
        <v>232</v>
      </c>
      <c r="D73" s="384" t="s">
        <v>232</v>
      </c>
      <c r="E73" s="384" t="s">
        <v>232</v>
      </c>
      <c r="F73" s="384" t="str">
        <f t="shared" si="85"/>
        <v>na</v>
      </c>
      <c r="G73" s="400">
        <f>'GW-Eq'!G73</f>
        <v>240</v>
      </c>
      <c r="H73" s="400" t="str">
        <f t="shared" si="86"/>
        <v>na</v>
      </c>
      <c r="I73" s="400" t="str">
        <f t="shared" si="87"/>
        <v>na</v>
      </c>
      <c r="J73" s="403">
        <f t="shared" si="88"/>
        <v>240</v>
      </c>
      <c r="K73" s="271" t="str">
        <f>'GW-Eq'!H73</f>
        <v>na</v>
      </c>
      <c r="L73" s="271" t="str">
        <f t="shared" si="89"/>
        <v>na</v>
      </c>
      <c r="M73" s="271" t="str">
        <f t="shared" si="90"/>
        <v>na</v>
      </c>
      <c r="N73" s="271" t="str">
        <f t="shared" si="91"/>
        <v>na</v>
      </c>
      <c r="O73" s="330">
        <f t="shared" si="4"/>
        <v>240</v>
      </c>
      <c r="P73" s="2523" t="str">
        <f>VI!F73</f>
        <v>na</v>
      </c>
      <c r="R73" s="264">
        <f t="shared" si="92"/>
        <v>240</v>
      </c>
      <c r="S73" s="236" t="str">
        <f t="shared" si="93"/>
        <v/>
      </c>
      <c r="T73" s="236" t="str">
        <f t="shared" si="94"/>
        <v/>
      </c>
      <c r="U73" s="236" t="str">
        <f t="shared" si="95"/>
        <v/>
      </c>
      <c r="V73" s="236" t="str">
        <f t="shared" si="96"/>
        <v>X</v>
      </c>
      <c r="W73" s="236" t="str">
        <f t="shared" si="97"/>
        <v/>
      </c>
      <c r="X73" s="236" t="str">
        <f t="shared" si="98"/>
        <v/>
      </c>
      <c r="Y73" s="236" t="str">
        <f t="shared" si="99"/>
        <v/>
      </c>
      <c r="Z73" s="235" t="str">
        <f t="shared" si="100"/>
        <v/>
      </c>
      <c r="AB73" s="1062"/>
    </row>
    <row r="74" spans="1:28" ht="13.9" customHeight="1" x14ac:dyDescent="0.25">
      <c r="A74" s="847">
        <f>Chem!A74</f>
        <v>72</v>
      </c>
      <c r="B74" s="855" t="str">
        <f>Chem!B74</f>
        <v>Total LPAHs</v>
      </c>
      <c r="C74" s="343" t="s">
        <v>232</v>
      </c>
      <c r="D74" s="384" t="s">
        <v>232</v>
      </c>
      <c r="E74" s="384" t="s">
        <v>232</v>
      </c>
      <c r="F74" s="384" t="str">
        <f t="shared" si="85"/>
        <v>na</v>
      </c>
      <c r="G74" s="400" t="str">
        <f>'GW-Eq'!G74</f>
        <v>na</v>
      </c>
      <c r="H74" s="400" t="str">
        <f t="shared" si="86"/>
        <v>na</v>
      </c>
      <c r="I74" s="400" t="str">
        <f t="shared" si="87"/>
        <v>na</v>
      </c>
      <c r="J74" s="403" t="str">
        <f t="shared" si="88"/>
        <v>na</v>
      </c>
      <c r="K74" s="271" t="str">
        <f>'GW-Eq'!H74</f>
        <v>na</v>
      </c>
      <c r="L74" s="271" t="str">
        <f t="shared" si="89"/>
        <v>na</v>
      </c>
      <c r="M74" s="271" t="str">
        <f t="shared" si="90"/>
        <v>na</v>
      </c>
      <c r="N74" s="271" t="str">
        <f t="shared" si="91"/>
        <v>na</v>
      </c>
      <c r="O74" s="330" t="str">
        <f t="shared" si="4"/>
        <v>na</v>
      </c>
      <c r="P74" s="2523" t="str">
        <f>VI!F74</f>
        <v>na</v>
      </c>
      <c r="R74" s="264" t="str">
        <f t="shared" si="92"/>
        <v>na</v>
      </c>
      <c r="S74" s="236" t="str">
        <f t="shared" si="93"/>
        <v/>
      </c>
      <c r="T74" s="236" t="str">
        <f t="shared" si="94"/>
        <v/>
      </c>
      <c r="U74" s="236" t="str">
        <f t="shared" si="95"/>
        <v/>
      </c>
      <c r="V74" s="236" t="str">
        <f t="shared" si="96"/>
        <v/>
      </c>
      <c r="W74" s="236" t="str">
        <f t="shared" si="97"/>
        <v/>
      </c>
      <c r="X74" s="236" t="str">
        <f t="shared" si="98"/>
        <v/>
      </c>
      <c r="Y74" s="236" t="str">
        <f t="shared" si="99"/>
        <v/>
      </c>
      <c r="Z74" s="235" t="str">
        <f t="shared" si="100"/>
        <v/>
      </c>
      <c r="AB74" s="1062"/>
    </row>
    <row r="75" spans="1:28" ht="13.9" customHeight="1" x14ac:dyDescent="0.25">
      <c r="A75" s="847">
        <f>Chem!A75</f>
        <v>73</v>
      </c>
      <c r="B75" s="855" t="str">
        <f>Chem!B75</f>
        <v>Total HPAHs</v>
      </c>
      <c r="C75" s="532" t="s">
        <v>232</v>
      </c>
      <c r="D75" s="392" t="s">
        <v>232</v>
      </c>
      <c r="E75" s="392" t="s">
        <v>232</v>
      </c>
      <c r="F75" s="392" t="str">
        <f t="shared" si="85"/>
        <v>na</v>
      </c>
      <c r="G75" s="404" t="str">
        <f>'GW-Eq'!G75</f>
        <v>na</v>
      </c>
      <c r="H75" s="404" t="str">
        <f t="shared" si="86"/>
        <v>na</v>
      </c>
      <c r="I75" s="404" t="str">
        <f t="shared" si="87"/>
        <v>na</v>
      </c>
      <c r="J75" s="403" t="str">
        <f t="shared" si="88"/>
        <v>na</v>
      </c>
      <c r="K75" s="272" t="str">
        <f>'GW-Eq'!H75</f>
        <v>na</v>
      </c>
      <c r="L75" s="272" t="str">
        <f t="shared" si="89"/>
        <v>na</v>
      </c>
      <c r="M75" s="272" t="str">
        <f t="shared" si="90"/>
        <v>na</v>
      </c>
      <c r="N75" s="272" t="str">
        <f t="shared" si="91"/>
        <v>na</v>
      </c>
      <c r="O75" s="330" t="str">
        <f t="shared" si="4"/>
        <v>na</v>
      </c>
      <c r="P75" s="2523" t="str">
        <f>VI!F75</f>
        <v>na</v>
      </c>
      <c r="R75" s="264" t="str">
        <f t="shared" si="92"/>
        <v>na</v>
      </c>
      <c r="S75" s="236" t="str">
        <f t="shared" si="93"/>
        <v/>
      </c>
      <c r="T75" s="236" t="str">
        <f t="shared" si="94"/>
        <v/>
      </c>
      <c r="U75" s="236" t="str">
        <f t="shared" si="95"/>
        <v/>
      </c>
      <c r="V75" s="236" t="str">
        <f t="shared" si="96"/>
        <v/>
      </c>
      <c r="W75" s="236" t="str">
        <f t="shared" si="97"/>
        <v/>
      </c>
      <c r="X75" s="236" t="str">
        <f t="shared" si="98"/>
        <v/>
      </c>
      <c r="Y75" s="236" t="str">
        <f t="shared" si="99"/>
        <v/>
      </c>
      <c r="Z75" s="235" t="str">
        <f t="shared" si="100"/>
        <v/>
      </c>
      <c r="AB75" s="1062"/>
    </row>
    <row r="76" spans="1:28" ht="13.9" customHeight="1" x14ac:dyDescent="0.25">
      <c r="A76" s="842">
        <f>Chem!A76</f>
        <v>74</v>
      </c>
      <c r="B76" s="855" t="str">
        <f>Chem!B76</f>
        <v>Total PAHs</v>
      </c>
      <c r="C76" s="532" t="s">
        <v>232</v>
      </c>
      <c r="D76" s="392" t="s">
        <v>232</v>
      </c>
      <c r="E76" s="392" t="s">
        <v>232</v>
      </c>
      <c r="F76" s="392" t="str">
        <f t="shared" si="85"/>
        <v>na</v>
      </c>
      <c r="G76" s="404" t="str">
        <f>'GW-Eq'!G76</f>
        <v>na</v>
      </c>
      <c r="H76" s="404" t="str">
        <f t="shared" si="86"/>
        <v>na</v>
      </c>
      <c r="I76" s="404" t="str">
        <f t="shared" si="87"/>
        <v>na</v>
      </c>
      <c r="J76" s="403" t="str">
        <f t="shared" si="88"/>
        <v>na</v>
      </c>
      <c r="K76" s="272" t="str">
        <f>'GW-Eq'!H76</f>
        <v>na</v>
      </c>
      <c r="L76" s="272" t="str">
        <f t="shared" si="89"/>
        <v>na</v>
      </c>
      <c r="M76" s="272" t="str">
        <f t="shared" si="90"/>
        <v>na</v>
      </c>
      <c r="N76" s="272" t="str">
        <f t="shared" si="91"/>
        <v>na</v>
      </c>
      <c r="O76" s="330" t="str">
        <f t="shared" si="4"/>
        <v>na</v>
      </c>
      <c r="P76" s="2523" t="str">
        <f>VI!F76</f>
        <v>na</v>
      </c>
      <c r="R76" s="264" t="str">
        <f t="shared" si="92"/>
        <v>na</v>
      </c>
      <c r="S76" s="236" t="str">
        <f t="shared" si="93"/>
        <v/>
      </c>
      <c r="T76" s="236" t="str">
        <f t="shared" si="94"/>
        <v/>
      </c>
      <c r="U76" s="236" t="str">
        <f t="shared" si="95"/>
        <v/>
      </c>
      <c r="V76" s="236" t="str">
        <f t="shared" si="96"/>
        <v/>
      </c>
      <c r="W76" s="236" t="str">
        <f t="shared" si="97"/>
        <v/>
      </c>
      <c r="X76" s="236" t="str">
        <f t="shared" si="98"/>
        <v/>
      </c>
      <c r="Y76" s="236" t="str">
        <f t="shared" si="99"/>
        <v/>
      </c>
      <c r="Z76" s="235" t="str">
        <f t="shared" si="100"/>
        <v/>
      </c>
      <c r="AB76" s="1062"/>
    </row>
    <row r="77" spans="1:28" ht="13.9" customHeight="1" x14ac:dyDescent="0.25">
      <c r="A77" s="844">
        <f>Chem!A77</f>
        <v>75</v>
      </c>
      <c r="B77" s="855" t="str">
        <f>Chem!B77</f>
        <v>Total cPAH TEQ</v>
      </c>
      <c r="C77" s="343" t="s">
        <v>232</v>
      </c>
      <c r="D77" s="384" t="s">
        <v>232</v>
      </c>
      <c r="E77" s="384" t="s">
        <v>232</v>
      </c>
      <c r="F77" s="392">
        <f>F61</f>
        <v>0.2</v>
      </c>
      <c r="G77" s="400" t="str">
        <f>'GW-Eq'!G77</f>
        <v>na</v>
      </c>
      <c r="H77" s="400" t="str">
        <f t="shared" si="86"/>
        <v>na</v>
      </c>
      <c r="I77" s="400" t="str">
        <f t="shared" si="87"/>
        <v>na</v>
      </c>
      <c r="J77" s="542">
        <f t="shared" si="88"/>
        <v>0.2</v>
      </c>
      <c r="K77" s="271">
        <f>'GW-Eq'!H77</f>
        <v>2.3E-2</v>
      </c>
      <c r="L77" s="271">
        <f t="shared" si="89"/>
        <v>8.6956521739130448</v>
      </c>
      <c r="M77" s="271" t="str">
        <f t="shared" si="90"/>
        <v>no</v>
      </c>
      <c r="N77" s="271">
        <f t="shared" si="91"/>
        <v>0.2</v>
      </c>
      <c r="O77" s="333">
        <f t="shared" si="4"/>
        <v>0.2</v>
      </c>
      <c r="P77" s="2524" t="str">
        <f>VI!F77</f>
        <v>na</v>
      </c>
      <c r="R77" s="264">
        <f t="shared" si="92"/>
        <v>0.2</v>
      </c>
      <c r="S77" s="236" t="str">
        <f t="shared" si="93"/>
        <v/>
      </c>
      <c r="T77" s="236" t="str">
        <f t="shared" si="94"/>
        <v/>
      </c>
      <c r="U77" s="236" t="str">
        <f t="shared" si="95"/>
        <v/>
      </c>
      <c r="V77" s="236" t="str">
        <f t="shared" si="96"/>
        <v/>
      </c>
      <c r="W77" s="236" t="str">
        <f t="shared" si="97"/>
        <v/>
      </c>
      <c r="X77" s="236" t="str">
        <f t="shared" si="98"/>
        <v/>
      </c>
      <c r="Y77" s="236" t="str">
        <f t="shared" si="99"/>
        <v/>
      </c>
      <c r="Z77" s="235" t="str">
        <f t="shared" si="100"/>
        <v/>
      </c>
      <c r="AB77" s="1062"/>
    </row>
    <row r="78" spans="1:28" ht="13.9" customHeight="1" x14ac:dyDescent="0.25">
      <c r="A78" s="906">
        <f>Chem!A78</f>
        <v>76</v>
      </c>
      <c r="B78" s="897" t="str">
        <f>Chem!B78</f>
        <v>Other SVOCs</v>
      </c>
      <c r="C78" s="297"/>
      <c r="D78" s="297"/>
      <c r="E78" s="297"/>
      <c r="F78" s="297"/>
      <c r="G78" s="297"/>
      <c r="H78" s="297"/>
      <c r="I78" s="2347"/>
      <c r="J78" s="2348"/>
      <c r="K78" s="297"/>
      <c r="L78" s="297"/>
      <c r="M78" s="2347"/>
      <c r="N78" s="297"/>
      <c r="O78" s="2348"/>
      <c r="P78" s="2366"/>
      <c r="R78" s="258" t="s">
        <v>5</v>
      </c>
      <c r="S78" s="127"/>
      <c r="T78" s="127"/>
      <c r="U78" s="127"/>
      <c r="V78" s="127"/>
      <c r="W78" s="127"/>
      <c r="X78" s="127"/>
      <c r="Y78" s="127"/>
      <c r="Z78" s="2364"/>
      <c r="AB78" s="1063"/>
    </row>
    <row r="79" spans="1:28" ht="13.9" customHeight="1" x14ac:dyDescent="0.25">
      <c r="A79" s="846">
        <f>Chem!A79</f>
        <v>77</v>
      </c>
      <c r="B79" s="855" t="str">
        <f>Chem!B79</f>
        <v>Aniline</v>
      </c>
      <c r="C79" s="343" t="s">
        <v>232</v>
      </c>
      <c r="D79" s="384" t="s">
        <v>232</v>
      </c>
      <c r="E79" s="384" t="s">
        <v>232</v>
      </c>
      <c r="F79" s="384" t="str">
        <f t="shared" ref="F79:F115" si="101">IF(C79="na",IF(D79="na",IF(E79="na","na",MIN(C79:E79)),MIN(C79:E79)),MIN(C79:E79))</f>
        <v>na</v>
      </c>
      <c r="G79" s="400">
        <f>'GW-Eq'!G79</f>
        <v>112</v>
      </c>
      <c r="H79" s="400" t="str">
        <f t="shared" ref="H79:H115" si="102">IF(F79="na","na",IF(G79="na","na",F79/G79))</f>
        <v>na</v>
      </c>
      <c r="I79" s="400" t="str">
        <f t="shared" ref="I79:I145" si="103">IF(H79="na","na",IF(H79&gt;1,"YES","no"))</f>
        <v>na</v>
      </c>
      <c r="J79" s="403">
        <f t="shared" ref="J79:J145" si="104">IF(I79="YES",G79,IF(ISNUMBER(F79),F79,G79))</f>
        <v>112</v>
      </c>
      <c r="K79" s="271">
        <f>'GW-Eq'!H79</f>
        <v>15.350877192982452</v>
      </c>
      <c r="L79" s="271" t="str">
        <f t="shared" ref="L79:L115" si="105">IF(F79="na","na",IF(K79="na","na",F79/K79))</f>
        <v>na</v>
      </c>
      <c r="M79" s="271" t="str">
        <f t="shared" ref="M79:M145" si="106">IF(L79="na","na",IF(L79&gt;10,"YES","no"))</f>
        <v>na</v>
      </c>
      <c r="N79" s="271">
        <f t="shared" ref="N79:N145" si="107">IF(M79="YES",10*K79,IF(M79="no",F79,K79))</f>
        <v>15.350877192982452</v>
      </c>
      <c r="O79" s="330">
        <f t="shared" si="4"/>
        <v>15.350877192982452</v>
      </c>
      <c r="P79" s="2522" t="str">
        <f>VI!F79</f>
        <v>na</v>
      </c>
      <c r="R79" s="264">
        <f t="shared" ref="R79:R110" si="108">IF(MIN(O79,P79)=0,"na",MIN(O79,P79))</f>
        <v>15.350877192982452</v>
      </c>
      <c r="S79" s="236" t="str">
        <f t="shared" ref="S79:S110" si="109">IF($R79="na","",IF($R79=$C79,"X",""))</f>
        <v/>
      </c>
      <c r="T79" s="236" t="str">
        <f t="shared" ref="T79:T110" si="110">IF($R79="na","",IF($R79=$D79,"X",""))</f>
        <v/>
      </c>
      <c r="U79" s="236" t="str">
        <f t="shared" ref="U79:U110" si="111">IF($R79="na","",IF($R79=$E79,"X",""))</f>
        <v/>
      </c>
      <c r="V79" s="236" t="str">
        <f t="shared" ref="V79:V110" si="112">IF($R79="na","",IF(AND($F79="na",$R79=$J79),"X",""))</f>
        <v/>
      </c>
      <c r="W79" s="236" t="str">
        <f t="shared" ref="W79:W110" si="113">IF($R79="na","",IF(AND($F79="na",$R79=$N79),"X",""))</f>
        <v>X</v>
      </c>
      <c r="X79" s="236" t="str">
        <f t="shared" ref="X79:X110" si="114">IF(OR($R79="na",$J79="na"),"",IF(AND(ISNUMBER($F79),I79="YES",$R79=$J79),"X",""))</f>
        <v/>
      </c>
      <c r="Y79" s="236" t="str">
        <f t="shared" ref="Y79:Y110" si="115">IF(OR($R79="na",$N79="na"),"",IF(AND(ISNUMBER($F79),$R79=10*$K79),"X",""))</f>
        <v/>
      </c>
      <c r="Z79" s="235" t="str">
        <f t="shared" ref="Z79:Z110" si="116">IF($R79="na","",IF($R79=$P79,"X",""))</f>
        <v/>
      </c>
      <c r="AB79" s="1062"/>
    </row>
    <row r="80" spans="1:28" ht="13.9" customHeight="1" x14ac:dyDescent="0.25">
      <c r="A80" s="847">
        <f>Chem!A80</f>
        <v>78</v>
      </c>
      <c r="B80" s="855" t="str">
        <f>Chem!B80</f>
        <v>Azobenzene</v>
      </c>
      <c r="C80" s="532" t="s">
        <v>232</v>
      </c>
      <c r="D80" s="392" t="s">
        <v>232</v>
      </c>
      <c r="E80" s="392" t="s">
        <v>232</v>
      </c>
      <c r="F80" s="392" t="str">
        <f t="shared" si="101"/>
        <v>na</v>
      </c>
      <c r="G80" s="404" t="str">
        <f>'GW-Eq'!G80</f>
        <v>na</v>
      </c>
      <c r="H80" s="404" t="str">
        <f t="shared" si="102"/>
        <v>na</v>
      </c>
      <c r="I80" s="404" t="str">
        <f t="shared" si="103"/>
        <v>na</v>
      </c>
      <c r="J80" s="403" t="str">
        <f t="shared" si="104"/>
        <v>na</v>
      </c>
      <c r="K80" s="272">
        <f>'GW-Eq'!H80</f>
        <v>0.39772727272727265</v>
      </c>
      <c r="L80" s="272" t="str">
        <f t="shared" si="105"/>
        <v>na</v>
      </c>
      <c r="M80" s="272" t="str">
        <f t="shared" si="106"/>
        <v>na</v>
      </c>
      <c r="N80" s="272">
        <f t="shared" si="107"/>
        <v>0.39772727272727265</v>
      </c>
      <c r="O80" s="330">
        <f t="shared" si="4"/>
        <v>0.39772727272727265</v>
      </c>
      <c r="P80" s="2523" t="str">
        <f>VI!F80</f>
        <v>na</v>
      </c>
      <c r="R80" s="264">
        <f t="shared" si="108"/>
        <v>0.39772727272727265</v>
      </c>
      <c r="S80" s="236" t="str">
        <f t="shared" si="109"/>
        <v/>
      </c>
      <c r="T80" s="236" t="str">
        <f t="shared" si="110"/>
        <v/>
      </c>
      <c r="U80" s="236" t="str">
        <f t="shared" si="111"/>
        <v/>
      </c>
      <c r="V80" s="236" t="str">
        <f t="shared" si="112"/>
        <v/>
      </c>
      <c r="W80" s="236" t="str">
        <f t="shared" si="113"/>
        <v>X</v>
      </c>
      <c r="X80" s="236" t="str">
        <f t="shared" si="114"/>
        <v/>
      </c>
      <c r="Y80" s="236" t="str">
        <f t="shared" si="115"/>
        <v/>
      </c>
      <c r="Z80" s="235" t="str">
        <f t="shared" si="116"/>
        <v/>
      </c>
      <c r="AB80" s="1062"/>
    </row>
    <row r="81" spans="1:28" ht="13.9" customHeight="1" x14ac:dyDescent="0.25">
      <c r="A81" s="847">
        <f>Chem!A81</f>
        <v>79</v>
      </c>
      <c r="B81" s="855" t="str">
        <f>Chem!B81</f>
        <v>Benzidine</v>
      </c>
      <c r="C81" s="343" t="s">
        <v>232</v>
      </c>
      <c r="D81" s="384" t="s">
        <v>232</v>
      </c>
      <c r="E81" s="384" t="s">
        <v>232</v>
      </c>
      <c r="F81" s="384" t="str">
        <f t="shared" si="101"/>
        <v>na</v>
      </c>
      <c r="G81" s="400">
        <f>'GW-Eq'!G81</f>
        <v>48</v>
      </c>
      <c r="H81" s="400" t="str">
        <f t="shared" si="102"/>
        <v>na</v>
      </c>
      <c r="I81" s="400" t="str">
        <f t="shared" si="103"/>
        <v>na</v>
      </c>
      <c r="J81" s="403">
        <f t="shared" si="104"/>
        <v>48</v>
      </c>
      <c r="K81" s="271">
        <f>'GW-Eq'!H81</f>
        <v>1E-4</v>
      </c>
      <c r="L81" s="271" t="str">
        <f t="shared" si="105"/>
        <v>na</v>
      </c>
      <c r="M81" s="271" t="str">
        <f t="shared" si="106"/>
        <v>na</v>
      </c>
      <c r="N81" s="271">
        <f t="shared" si="107"/>
        <v>1E-4</v>
      </c>
      <c r="O81" s="330">
        <f t="shared" si="4"/>
        <v>1E-4</v>
      </c>
      <c r="P81" s="2523" t="str">
        <f>VI!F81</f>
        <v>na</v>
      </c>
      <c r="R81" s="264">
        <f t="shared" si="108"/>
        <v>1E-4</v>
      </c>
      <c r="S81" s="236" t="str">
        <f t="shared" si="109"/>
        <v/>
      </c>
      <c r="T81" s="236" t="str">
        <f t="shared" si="110"/>
        <v/>
      </c>
      <c r="U81" s="236" t="str">
        <f t="shared" si="111"/>
        <v/>
      </c>
      <c r="V81" s="236" t="str">
        <f t="shared" si="112"/>
        <v/>
      </c>
      <c r="W81" s="236" t="str">
        <f t="shared" si="113"/>
        <v>X</v>
      </c>
      <c r="X81" s="236" t="str">
        <f t="shared" si="114"/>
        <v/>
      </c>
      <c r="Y81" s="236" t="str">
        <f t="shared" si="115"/>
        <v/>
      </c>
      <c r="Z81" s="235" t="str">
        <f t="shared" si="116"/>
        <v/>
      </c>
      <c r="AB81" s="1062"/>
    </row>
    <row r="82" spans="1:28" ht="13.9" customHeight="1" x14ac:dyDescent="0.25">
      <c r="A82" s="847">
        <f>Chem!A82</f>
        <v>80</v>
      </c>
      <c r="B82" s="855" t="str">
        <f>Chem!B82</f>
        <v>Benzoic acid</v>
      </c>
      <c r="C82" s="343" t="s">
        <v>232</v>
      </c>
      <c r="D82" s="384" t="s">
        <v>232</v>
      </c>
      <c r="E82" s="384" t="s">
        <v>232</v>
      </c>
      <c r="F82" s="384" t="str">
        <f t="shared" si="101"/>
        <v>na</v>
      </c>
      <c r="G82" s="400">
        <f>'GW-Eq'!G82</f>
        <v>64000</v>
      </c>
      <c r="H82" s="400" t="str">
        <f t="shared" si="102"/>
        <v>na</v>
      </c>
      <c r="I82" s="400" t="str">
        <f t="shared" si="103"/>
        <v>na</v>
      </c>
      <c r="J82" s="403">
        <f t="shared" si="104"/>
        <v>64000</v>
      </c>
      <c r="K82" s="271" t="str">
        <f>'GW-Eq'!H82</f>
        <v>na</v>
      </c>
      <c r="L82" s="271" t="str">
        <f t="shared" si="105"/>
        <v>na</v>
      </c>
      <c r="M82" s="271" t="str">
        <f t="shared" si="106"/>
        <v>na</v>
      </c>
      <c r="N82" s="271" t="str">
        <f t="shared" si="107"/>
        <v>na</v>
      </c>
      <c r="O82" s="330">
        <f t="shared" ref="O82:O154" si="117">IF(OR(ISNUMBER($J82),ISNUMBER($N82)),MIN($J82,$N82),"na")</f>
        <v>64000</v>
      </c>
      <c r="P82" s="2523" t="str">
        <f>VI!F82</f>
        <v>na</v>
      </c>
      <c r="R82" s="264">
        <f t="shared" si="108"/>
        <v>64000</v>
      </c>
      <c r="S82" s="236" t="str">
        <f t="shared" si="109"/>
        <v/>
      </c>
      <c r="T82" s="236" t="str">
        <f t="shared" si="110"/>
        <v/>
      </c>
      <c r="U82" s="236" t="str">
        <f t="shared" si="111"/>
        <v/>
      </c>
      <c r="V82" s="236" t="str">
        <f t="shared" si="112"/>
        <v>X</v>
      </c>
      <c r="W82" s="236" t="str">
        <f t="shared" si="113"/>
        <v/>
      </c>
      <c r="X82" s="236" t="str">
        <f t="shared" si="114"/>
        <v/>
      </c>
      <c r="Y82" s="236" t="str">
        <f t="shared" si="115"/>
        <v/>
      </c>
      <c r="Z82" s="235" t="str">
        <f t="shared" si="116"/>
        <v/>
      </c>
      <c r="AB82" s="1062"/>
    </row>
    <row r="83" spans="1:28" ht="13.9" customHeight="1" x14ac:dyDescent="0.25">
      <c r="A83" s="847">
        <f>Chem!A83</f>
        <v>81</v>
      </c>
      <c r="B83" s="855" t="str">
        <f>Chem!B83</f>
        <v>Benzyl alcohol</v>
      </c>
      <c r="C83" s="532" t="s">
        <v>232</v>
      </c>
      <c r="D83" s="392" t="s">
        <v>232</v>
      </c>
      <c r="E83" s="392" t="s">
        <v>232</v>
      </c>
      <c r="F83" s="392" t="str">
        <f t="shared" si="101"/>
        <v>na</v>
      </c>
      <c r="G83" s="404">
        <f>'GW-Eq'!G83</f>
        <v>1600</v>
      </c>
      <c r="H83" s="404" t="str">
        <f t="shared" si="102"/>
        <v>na</v>
      </c>
      <c r="I83" s="404" t="str">
        <f t="shared" si="103"/>
        <v>na</v>
      </c>
      <c r="J83" s="403">
        <f t="shared" si="104"/>
        <v>1600</v>
      </c>
      <c r="K83" s="272" t="str">
        <f>'GW-Eq'!H83</f>
        <v>na</v>
      </c>
      <c r="L83" s="272" t="str">
        <f t="shared" si="105"/>
        <v>na</v>
      </c>
      <c r="M83" s="272" t="str">
        <f t="shared" si="106"/>
        <v>na</v>
      </c>
      <c r="N83" s="272" t="str">
        <f t="shared" si="107"/>
        <v>na</v>
      </c>
      <c r="O83" s="330">
        <f t="shared" si="117"/>
        <v>1600</v>
      </c>
      <c r="P83" s="2523" t="str">
        <f>VI!F83</f>
        <v>na</v>
      </c>
      <c r="R83" s="264">
        <f t="shared" si="108"/>
        <v>1600</v>
      </c>
      <c r="S83" s="236" t="str">
        <f t="shared" si="109"/>
        <v/>
      </c>
      <c r="T83" s="236" t="str">
        <f t="shared" si="110"/>
        <v/>
      </c>
      <c r="U83" s="236" t="str">
        <f t="shared" si="111"/>
        <v/>
      </c>
      <c r="V83" s="236" t="str">
        <f t="shared" si="112"/>
        <v>X</v>
      </c>
      <c r="W83" s="236" t="str">
        <f t="shared" si="113"/>
        <v/>
      </c>
      <c r="X83" s="236" t="str">
        <f t="shared" si="114"/>
        <v/>
      </c>
      <c r="Y83" s="236" t="str">
        <f t="shared" si="115"/>
        <v/>
      </c>
      <c r="Z83" s="235" t="str">
        <f t="shared" si="116"/>
        <v/>
      </c>
      <c r="AB83" s="1062"/>
    </row>
    <row r="84" spans="1:28" ht="13.9" customHeight="1" x14ac:dyDescent="0.25">
      <c r="A84" s="847">
        <f>Chem!A84</f>
        <v>82</v>
      </c>
      <c r="B84" s="855" t="str">
        <f>Chem!B84</f>
        <v>Bis(2-chloroethoxy)methane</v>
      </c>
      <c r="C84" s="343" t="s">
        <v>232</v>
      </c>
      <c r="D84" s="384" t="s">
        <v>232</v>
      </c>
      <c r="E84" s="384" t="s">
        <v>232</v>
      </c>
      <c r="F84" s="384" t="str">
        <f t="shared" si="101"/>
        <v>na</v>
      </c>
      <c r="G84" s="400">
        <f>'GW-Eq'!G84</f>
        <v>48</v>
      </c>
      <c r="H84" s="400" t="str">
        <f t="shared" si="102"/>
        <v>na</v>
      </c>
      <c r="I84" s="400" t="str">
        <f t="shared" si="103"/>
        <v>na</v>
      </c>
      <c r="J84" s="403">
        <f t="shared" si="104"/>
        <v>48</v>
      </c>
      <c r="K84" s="271" t="str">
        <f>'GW-Eq'!H84</f>
        <v>na</v>
      </c>
      <c r="L84" s="271" t="str">
        <f t="shared" si="105"/>
        <v>na</v>
      </c>
      <c r="M84" s="271" t="str">
        <f t="shared" si="106"/>
        <v>na</v>
      </c>
      <c r="N84" s="271" t="str">
        <f t="shared" si="107"/>
        <v>na</v>
      </c>
      <c r="O84" s="330">
        <f t="shared" si="117"/>
        <v>48</v>
      </c>
      <c r="P84" s="2523" t="str">
        <f>VI!F84</f>
        <v>na</v>
      </c>
      <c r="R84" s="264">
        <f t="shared" si="108"/>
        <v>48</v>
      </c>
      <c r="S84" s="236" t="str">
        <f t="shared" si="109"/>
        <v/>
      </c>
      <c r="T84" s="236" t="str">
        <f t="shared" si="110"/>
        <v/>
      </c>
      <c r="U84" s="236" t="str">
        <f t="shared" si="111"/>
        <v/>
      </c>
      <c r="V84" s="236" t="str">
        <f t="shared" si="112"/>
        <v>X</v>
      </c>
      <c r="W84" s="236" t="str">
        <f t="shared" si="113"/>
        <v/>
      </c>
      <c r="X84" s="236" t="str">
        <f t="shared" si="114"/>
        <v/>
      </c>
      <c r="Y84" s="236" t="str">
        <f t="shared" si="115"/>
        <v/>
      </c>
      <c r="Z84" s="235" t="str">
        <f t="shared" si="116"/>
        <v/>
      </c>
      <c r="AB84" s="1062"/>
    </row>
    <row r="85" spans="1:28" ht="13.9" customHeight="1" x14ac:dyDescent="0.25">
      <c r="A85" s="847">
        <f>Chem!A85</f>
        <v>83</v>
      </c>
      <c r="B85" s="855" t="str">
        <f>Chem!B85</f>
        <v>Bis(2-chloroethyl)ether</v>
      </c>
      <c r="C85" s="343" t="s">
        <v>232</v>
      </c>
      <c r="D85" s="384" t="s">
        <v>232</v>
      </c>
      <c r="E85" s="384" t="s">
        <v>232</v>
      </c>
      <c r="F85" s="384" t="str">
        <f t="shared" si="101"/>
        <v>na</v>
      </c>
      <c r="G85" s="400" t="str">
        <f>'GW-Eq'!G85</f>
        <v>na</v>
      </c>
      <c r="H85" s="400" t="str">
        <f t="shared" si="102"/>
        <v>na</v>
      </c>
      <c r="I85" s="400" t="str">
        <f t="shared" si="103"/>
        <v>na</v>
      </c>
      <c r="J85" s="403" t="str">
        <f t="shared" si="104"/>
        <v>na</v>
      </c>
      <c r="K85" s="271">
        <f>'GW-Eq'!H85</f>
        <v>3.9772727272727258E-2</v>
      </c>
      <c r="L85" s="271" t="str">
        <f t="shared" si="105"/>
        <v>na</v>
      </c>
      <c r="M85" s="271" t="str">
        <f t="shared" si="106"/>
        <v>na</v>
      </c>
      <c r="N85" s="271">
        <f t="shared" si="107"/>
        <v>3.9772727272727258E-2</v>
      </c>
      <c r="O85" s="330">
        <f t="shared" si="117"/>
        <v>3.9772727272727258E-2</v>
      </c>
      <c r="P85" s="2523" t="str">
        <f>VI!F85</f>
        <v>na</v>
      </c>
      <c r="R85" s="264">
        <f t="shared" si="108"/>
        <v>3.9772727272727258E-2</v>
      </c>
      <c r="S85" s="236" t="str">
        <f t="shared" si="109"/>
        <v/>
      </c>
      <c r="T85" s="236" t="str">
        <f t="shared" si="110"/>
        <v/>
      </c>
      <c r="U85" s="236" t="str">
        <f t="shared" si="111"/>
        <v/>
      </c>
      <c r="V85" s="236" t="str">
        <f t="shared" si="112"/>
        <v/>
      </c>
      <c r="W85" s="236" t="str">
        <f t="shared" si="113"/>
        <v>X</v>
      </c>
      <c r="X85" s="236" t="str">
        <f t="shared" si="114"/>
        <v/>
      </c>
      <c r="Y85" s="236" t="str">
        <f t="shared" si="115"/>
        <v/>
      </c>
      <c r="Z85" s="235" t="str">
        <f t="shared" si="116"/>
        <v/>
      </c>
      <c r="AB85" s="1062"/>
    </row>
    <row r="86" spans="1:28" ht="13.9" customHeight="1" x14ac:dyDescent="0.25">
      <c r="A86" s="847">
        <f>Chem!A86</f>
        <v>84</v>
      </c>
      <c r="B86" s="855" t="str">
        <f>Chem!B86</f>
        <v>Bis(chloromethyl)ether</v>
      </c>
      <c r="C86" s="343" t="s">
        <v>232</v>
      </c>
      <c r="D86" s="384" t="s">
        <v>232</v>
      </c>
      <c r="E86" s="384" t="s">
        <v>232</v>
      </c>
      <c r="F86" s="384" t="str">
        <f t="shared" ref="F86" si="118">IF(C86="na",IF(D86="na",IF(E86="na","na",MIN(C86:E86)),MIN(C86:E86)),MIN(C86:E86))</f>
        <v>na</v>
      </c>
      <c r="G86" s="400" t="str">
        <f>'GW-Eq'!G86</f>
        <v>na</v>
      </c>
      <c r="H86" s="400" t="str">
        <f t="shared" ref="H86" si="119">IF(F86="na","na",IF(G86="na","na",F86/G86))</f>
        <v>na</v>
      </c>
      <c r="I86" s="400" t="str">
        <f t="shared" ref="I86" si="120">IF(H86="na","na",IF(H86&gt;1,"YES","no"))</f>
        <v>na</v>
      </c>
      <c r="J86" s="403" t="str">
        <f t="shared" ref="J86" si="121">IF(I86="YES",G86,IF(ISNUMBER(F86),F86,G86))</f>
        <v>na</v>
      </c>
      <c r="K86" s="271">
        <f>'GW-Eq'!H86</f>
        <v>1.9886363636363632E-4</v>
      </c>
      <c r="L86" s="271" t="str">
        <f t="shared" ref="L86" si="122">IF(F86="na","na",IF(K86="na","na",F86/K86))</f>
        <v>na</v>
      </c>
      <c r="M86" s="271" t="str">
        <f t="shared" ref="M86" si="123">IF(L86="na","na",IF(L86&gt;10,"YES","no"))</f>
        <v>na</v>
      </c>
      <c r="N86" s="271">
        <f t="shared" ref="N86" si="124">IF(M86="YES",10*K86,IF(M86="no",F86,K86))</f>
        <v>1.9886363636363632E-4</v>
      </c>
      <c r="O86" s="330">
        <f t="shared" si="117"/>
        <v>1.9886363636363632E-4</v>
      </c>
      <c r="P86" s="2523" t="str">
        <f>VI!F86</f>
        <v>na</v>
      </c>
      <c r="R86" s="264">
        <f t="shared" si="108"/>
        <v>1.9886363636363632E-4</v>
      </c>
      <c r="S86" s="236" t="str">
        <f t="shared" si="109"/>
        <v/>
      </c>
      <c r="T86" s="236" t="str">
        <f t="shared" si="110"/>
        <v/>
      </c>
      <c r="U86" s="236" t="str">
        <f t="shared" si="111"/>
        <v/>
      </c>
      <c r="V86" s="236" t="str">
        <f t="shared" si="112"/>
        <v/>
      </c>
      <c r="W86" s="236" t="str">
        <f t="shared" si="113"/>
        <v>X</v>
      </c>
      <c r="X86" s="236" t="str">
        <f t="shared" si="114"/>
        <v/>
      </c>
      <c r="Y86" s="236" t="str">
        <f t="shared" si="115"/>
        <v/>
      </c>
      <c r="Z86" s="235" t="str">
        <f t="shared" si="116"/>
        <v/>
      </c>
      <c r="AB86" s="1062"/>
    </row>
    <row r="87" spans="1:28" ht="13.9" customHeight="1" x14ac:dyDescent="0.25">
      <c r="A87" s="847">
        <f>Chem!A87</f>
        <v>85</v>
      </c>
      <c r="B87" s="855" t="str">
        <f>Chem!B87</f>
        <v xml:space="preserve">Bis(2-chloro-1-methylethyl)ether </v>
      </c>
      <c r="C87" s="343" t="s">
        <v>232</v>
      </c>
      <c r="D87" s="384" t="s">
        <v>232</v>
      </c>
      <c r="E87" s="384" t="s">
        <v>232</v>
      </c>
      <c r="F87" s="384" t="str">
        <f t="shared" si="101"/>
        <v>na</v>
      </c>
      <c r="G87" s="400">
        <f>'GW-Eq'!G87</f>
        <v>320</v>
      </c>
      <c r="H87" s="400" t="str">
        <f t="shared" si="102"/>
        <v>na</v>
      </c>
      <c r="I87" s="400" t="str">
        <f t="shared" si="103"/>
        <v>na</v>
      </c>
      <c r="J87" s="403">
        <f t="shared" si="104"/>
        <v>320</v>
      </c>
      <c r="K87" s="271">
        <f>'GW-Eq'!H87</f>
        <v>0.62499999999999978</v>
      </c>
      <c r="L87" s="271" t="str">
        <f t="shared" si="105"/>
        <v>na</v>
      </c>
      <c r="M87" s="271" t="str">
        <f t="shared" si="106"/>
        <v>na</v>
      </c>
      <c r="N87" s="271">
        <f t="shared" si="107"/>
        <v>0.62499999999999978</v>
      </c>
      <c r="O87" s="330">
        <f t="shared" si="117"/>
        <v>0.62499999999999978</v>
      </c>
      <c r="P87" s="2523" t="str">
        <f>VI!F87</f>
        <v>na</v>
      </c>
      <c r="R87" s="264">
        <f t="shared" si="108"/>
        <v>0.62499999999999978</v>
      </c>
      <c r="S87" s="236" t="str">
        <f t="shared" si="109"/>
        <v/>
      </c>
      <c r="T87" s="236" t="str">
        <f t="shared" si="110"/>
        <v/>
      </c>
      <c r="U87" s="236" t="str">
        <f t="shared" si="111"/>
        <v/>
      </c>
      <c r="V87" s="236" t="str">
        <f t="shared" si="112"/>
        <v/>
      </c>
      <c r="W87" s="236" t="str">
        <f t="shared" si="113"/>
        <v>X</v>
      </c>
      <c r="X87" s="236" t="str">
        <f t="shared" si="114"/>
        <v/>
      </c>
      <c r="Y87" s="236" t="str">
        <f t="shared" si="115"/>
        <v/>
      </c>
      <c r="Z87" s="235" t="str">
        <f t="shared" si="116"/>
        <v/>
      </c>
      <c r="AB87" s="1062"/>
    </row>
    <row r="88" spans="1:28" ht="13.9" customHeight="1" x14ac:dyDescent="0.25">
      <c r="A88" s="847">
        <f>Chem!A88</f>
        <v>86</v>
      </c>
      <c r="B88" s="855" t="str">
        <f>Chem!B88</f>
        <v>2,6-Bis(1,1-dimethylethyl) phenol</v>
      </c>
      <c r="C88" s="343" t="s">
        <v>232</v>
      </c>
      <c r="D88" s="384" t="s">
        <v>232</v>
      </c>
      <c r="E88" s="384" t="s">
        <v>232</v>
      </c>
      <c r="F88" s="384" t="str">
        <f t="shared" si="101"/>
        <v>na</v>
      </c>
      <c r="G88" s="400" t="str">
        <f>'GW-Eq'!G88</f>
        <v>na</v>
      </c>
      <c r="H88" s="400" t="str">
        <f t="shared" si="102"/>
        <v>na</v>
      </c>
      <c r="I88" s="400" t="str">
        <f t="shared" si="103"/>
        <v>na</v>
      </c>
      <c r="J88" s="403" t="str">
        <f t="shared" si="104"/>
        <v>na</v>
      </c>
      <c r="K88" s="271" t="str">
        <f>'GW-Eq'!H88</f>
        <v>na</v>
      </c>
      <c r="L88" s="271" t="str">
        <f t="shared" si="105"/>
        <v>na</v>
      </c>
      <c r="M88" s="271" t="str">
        <f t="shared" si="106"/>
        <v>na</v>
      </c>
      <c r="N88" s="271" t="str">
        <f t="shared" si="107"/>
        <v>na</v>
      </c>
      <c r="O88" s="330" t="str">
        <f t="shared" si="117"/>
        <v>na</v>
      </c>
      <c r="P88" s="2523" t="str">
        <f>VI!F88</f>
        <v>na</v>
      </c>
      <c r="R88" s="264" t="str">
        <f t="shared" si="108"/>
        <v>na</v>
      </c>
      <c r="S88" s="236" t="str">
        <f t="shared" si="109"/>
        <v/>
      </c>
      <c r="T88" s="236" t="str">
        <f t="shared" si="110"/>
        <v/>
      </c>
      <c r="U88" s="236" t="str">
        <f t="shared" si="111"/>
        <v/>
      </c>
      <c r="V88" s="236" t="str">
        <f t="shared" si="112"/>
        <v/>
      </c>
      <c r="W88" s="236" t="str">
        <f t="shared" si="113"/>
        <v/>
      </c>
      <c r="X88" s="236" t="str">
        <f t="shared" si="114"/>
        <v/>
      </c>
      <c r="Y88" s="236" t="str">
        <f t="shared" si="115"/>
        <v/>
      </c>
      <c r="Z88" s="235" t="str">
        <f t="shared" si="116"/>
        <v/>
      </c>
      <c r="AB88" s="1062"/>
    </row>
    <row r="89" spans="1:28" ht="13.9" customHeight="1" x14ac:dyDescent="0.25">
      <c r="A89" s="847">
        <f>Chem!A89</f>
        <v>87</v>
      </c>
      <c r="B89" s="855" t="str">
        <f>Chem!B89</f>
        <v>Bis(2-ethylhexyl) phthalate</v>
      </c>
      <c r="C89" s="343">
        <v>6</v>
      </c>
      <c r="D89" s="384" t="s">
        <v>232</v>
      </c>
      <c r="E89" s="384">
        <v>6</v>
      </c>
      <c r="F89" s="384">
        <f t="shared" si="101"/>
        <v>6</v>
      </c>
      <c r="G89" s="400">
        <f>'GW-Eq'!G89</f>
        <v>320</v>
      </c>
      <c r="H89" s="400">
        <f t="shared" si="102"/>
        <v>1.8749999999999999E-2</v>
      </c>
      <c r="I89" s="400" t="str">
        <f t="shared" si="103"/>
        <v>no</v>
      </c>
      <c r="J89" s="403">
        <f t="shared" si="104"/>
        <v>6</v>
      </c>
      <c r="K89" s="271">
        <f>'GW-Eq'!H89</f>
        <v>6.2499999999999982</v>
      </c>
      <c r="L89" s="271">
        <f t="shared" si="105"/>
        <v>0.9600000000000003</v>
      </c>
      <c r="M89" s="271" t="str">
        <f t="shared" si="106"/>
        <v>no</v>
      </c>
      <c r="N89" s="271">
        <f t="shared" si="107"/>
        <v>6</v>
      </c>
      <c r="O89" s="330">
        <f t="shared" si="117"/>
        <v>6</v>
      </c>
      <c r="P89" s="2523" t="str">
        <f>VI!F89</f>
        <v>na</v>
      </c>
      <c r="R89" s="264">
        <f t="shared" si="108"/>
        <v>6</v>
      </c>
      <c r="S89" s="236" t="str">
        <f t="shared" si="109"/>
        <v>X</v>
      </c>
      <c r="T89" s="236" t="str">
        <f t="shared" si="110"/>
        <v/>
      </c>
      <c r="U89" s="236" t="str">
        <f t="shared" si="111"/>
        <v>X</v>
      </c>
      <c r="V89" s="236" t="str">
        <f t="shared" si="112"/>
        <v/>
      </c>
      <c r="W89" s="236" t="str">
        <f t="shared" si="113"/>
        <v/>
      </c>
      <c r="X89" s="236" t="str">
        <f t="shared" si="114"/>
        <v/>
      </c>
      <c r="Y89" s="236" t="str">
        <f t="shared" si="115"/>
        <v/>
      </c>
      <c r="Z89" s="235" t="str">
        <f t="shared" si="116"/>
        <v/>
      </c>
      <c r="AB89" s="1062"/>
    </row>
    <row r="90" spans="1:28" ht="13.9" customHeight="1" x14ac:dyDescent="0.25">
      <c r="A90" s="847">
        <f>Chem!A90</f>
        <v>88</v>
      </c>
      <c r="B90" s="855" t="str">
        <f>Chem!B90</f>
        <v>4-Bromophenyl phenyl ether</v>
      </c>
      <c r="C90" s="343" t="s">
        <v>232</v>
      </c>
      <c r="D90" s="384" t="s">
        <v>232</v>
      </c>
      <c r="E90" s="384" t="s">
        <v>232</v>
      </c>
      <c r="F90" s="384" t="str">
        <f t="shared" si="101"/>
        <v>na</v>
      </c>
      <c r="G90" s="400" t="str">
        <f>'GW-Eq'!G90</f>
        <v>na</v>
      </c>
      <c r="H90" s="400" t="str">
        <f t="shared" si="102"/>
        <v>na</v>
      </c>
      <c r="I90" s="400" t="str">
        <f t="shared" si="103"/>
        <v>na</v>
      </c>
      <c r="J90" s="403" t="str">
        <f t="shared" si="104"/>
        <v>na</v>
      </c>
      <c r="K90" s="271" t="str">
        <f>'GW-Eq'!H90</f>
        <v>na</v>
      </c>
      <c r="L90" s="271" t="str">
        <f t="shared" si="105"/>
        <v>na</v>
      </c>
      <c r="M90" s="271" t="str">
        <f t="shared" si="106"/>
        <v>na</v>
      </c>
      <c r="N90" s="271" t="str">
        <f t="shared" si="107"/>
        <v>na</v>
      </c>
      <c r="O90" s="330" t="str">
        <f t="shared" si="117"/>
        <v>na</v>
      </c>
      <c r="P90" s="2523" t="str">
        <f>VI!F90</f>
        <v>na</v>
      </c>
      <c r="R90" s="264" t="str">
        <f t="shared" si="108"/>
        <v>na</v>
      </c>
      <c r="S90" s="236" t="str">
        <f t="shared" si="109"/>
        <v/>
      </c>
      <c r="T90" s="236" t="str">
        <f t="shared" si="110"/>
        <v/>
      </c>
      <c r="U90" s="236" t="str">
        <f t="shared" si="111"/>
        <v/>
      </c>
      <c r="V90" s="236" t="str">
        <f t="shared" si="112"/>
        <v/>
      </c>
      <c r="W90" s="236" t="str">
        <f t="shared" si="113"/>
        <v/>
      </c>
      <c r="X90" s="236" t="str">
        <f t="shared" si="114"/>
        <v/>
      </c>
      <c r="Y90" s="236" t="str">
        <f t="shared" si="115"/>
        <v/>
      </c>
      <c r="Z90" s="235" t="str">
        <f t="shared" si="116"/>
        <v/>
      </c>
      <c r="AB90" s="1062"/>
    </row>
    <row r="91" spans="1:28" ht="13.9" customHeight="1" x14ac:dyDescent="0.25">
      <c r="A91" s="847">
        <f>Chem!A91</f>
        <v>89</v>
      </c>
      <c r="B91" s="855" t="str">
        <f>Chem!B91</f>
        <v>Butyl benzyl phthalate</v>
      </c>
      <c r="C91" s="343" t="s">
        <v>232</v>
      </c>
      <c r="D91" s="384" t="s">
        <v>232</v>
      </c>
      <c r="E91" s="384" t="s">
        <v>232</v>
      </c>
      <c r="F91" s="384" t="str">
        <f t="shared" si="101"/>
        <v>na</v>
      </c>
      <c r="G91" s="400">
        <f>'GW-Eq'!G91</f>
        <v>3200</v>
      </c>
      <c r="H91" s="400" t="str">
        <f t="shared" si="102"/>
        <v>na</v>
      </c>
      <c r="I91" s="400" t="str">
        <f t="shared" si="103"/>
        <v>na</v>
      </c>
      <c r="J91" s="403">
        <f t="shared" si="104"/>
        <v>3200</v>
      </c>
      <c r="K91" s="271">
        <f>'GW-Eq'!H91</f>
        <v>46.052631578947356</v>
      </c>
      <c r="L91" s="271" t="str">
        <f t="shared" si="105"/>
        <v>na</v>
      </c>
      <c r="M91" s="271" t="str">
        <f t="shared" si="106"/>
        <v>na</v>
      </c>
      <c r="N91" s="271">
        <f t="shared" si="107"/>
        <v>46.052631578947356</v>
      </c>
      <c r="O91" s="330">
        <f t="shared" si="117"/>
        <v>46.052631578947356</v>
      </c>
      <c r="P91" s="2523" t="str">
        <f>VI!F91</f>
        <v>na</v>
      </c>
      <c r="R91" s="264">
        <f t="shared" si="108"/>
        <v>46.052631578947356</v>
      </c>
      <c r="S91" s="236" t="str">
        <f t="shared" si="109"/>
        <v/>
      </c>
      <c r="T91" s="236" t="str">
        <f t="shared" si="110"/>
        <v/>
      </c>
      <c r="U91" s="236" t="str">
        <f t="shared" si="111"/>
        <v/>
      </c>
      <c r="V91" s="236" t="str">
        <f t="shared" si="112"/>
        <v/>
      </c>
      <c r="W91" s="236" t="str">
        <f t="shared" si="113"/>
        <v>X</v>
      </c>
      <c r="X91" s="236" t="str">
        <f t="shared" si="114"/>
        <v/>
      </c>
      <c r="Y91" s="236" t="str">
        <f t="shared" si="115"/>
        <v/>
      </c>
      <c r="Z91" s="235" t="str">
        <f t="shared" si="116"/>
        <v/>
      </c>
      <c r="AB91" s="1062"/>
    </row>
    <row r="92" spans="1:28" ht="13.9" customHeight="1" x14ac:dyDescent="0.25">
      <c r="A92" s="847">
        <f>Chem!A92</f>
        <v>90</v>
      </c>
      <c r="B92" s="855" t="str">
        <f>Chem!B92</f>
        <v>Butyl diphenyl phosphate</v>
      </c>
      <c r="C92" s="343" t="s">
        <v>232</v>
      </c>
      <c r="D92" s="384" t="s">
        <v>232</v>
      </c>
      <c r="E92" s="384" t="s">
        <v>232</v>
      </c>
      <c r="F92" s="384" t="str">
        <f t="shared" si="101"/>
        <v>na</v>
      </c>
      <c r="G92" s="400" t="str">
        <f>'GW-Eq'!G92</f>
        <v>na</v>
      </c>
      <c r="H92" s="400" t="str">
        <f t="shared" si="102"/>
        <v>na</v>
      </c>
      <c r="I92" s="400" t="str">
        <f t="shared" si="103"/>
        <v>na</v>
      </c>
      <c r="J92" s="403" t="str">
        <f t="shared" si="104"/>
        <v>na</v>
      </c>
      <c r="K92" s="271" t="str">
        <f>'GW-Eq'!H92</f>
        <v>na</v>
      </c>
      <c r="L92" s="271" t="str">
        <f t="shared" si="105"/>
        <v>na</v>
      </c>
      <c r="M92" s="271" t="str">
        <f t="shared" si="106"/>
        <v>na</v>
      </c>
      <c r="N92" s="271" t="str">
        <f t="shared" si="107"/>
        <v>na</v>
      </c>
      <c r="O92" s="330" t="str">
        <f t="shared" si="117"/>
        <v>na</v>
      </c>
      <c r="P92" s="2523" t="str">
        <f>VI!F92</f>
        <v>na</v>
      </c>
      <c r="R92" s="264" t="str">
        <f t="shared" si="108"/>
        <v>na</v>
      </c>
      <c r="S92" s="236" t="str">
        <f t="shared" si="109"/>
        <v/>
      </c>
      <c r="T92" s="236" t="str">
        <f t="shared" si="110"/>
        <v/>
      </c>
      <c r="U92" s="236" t="str">
        <f t="shared" si="111"/>
        <v/>
      </c>
      <c r="V92" s="236" t="str">
        <f t="shared" si="112"/>
        <v/>
      </c>
      <c r="W92" s="236" t="str">
        <f t="shared" si="113"/>
        <v/>
      </c>
      <c r="X92" s="236" t="str">
        <f t="shared" si="114"/>
        <v/>
      </c>
      <c r="Y92" s="236" t="str">
        <f t="shared" si="115"/>
        <v/>
      </c>
      <c r="Z92" s="235" t="str">
        <f t="shared" si="116"/>
        <v/>
      </c>
      <c r="AB92" s="1062"/>
    </row>
    <row r="93" spans="1:28" ht="13.9" customHeight="1" x14ac:dyDescent="0.25">
      <c r="A93" s="847">
        <f>Chem!A93</f>
        <v>91</v>
      </c>
      <c r="B93" s="855" t="str">
        <f>Chem!B93</f>
        <v>Carbazole</v>
      </c>
      <c r="C93" s="343" t="s">
        <v>232</v>
      </c>
      <c r="D93" s="384" t="s">
        <v>232</v>
      </c>
      <c r="E93" s="384" t="s">
        <v>232</v>
      </c>
      <c r="F93" s="384" t="str">
        <f t="shared" si="101"/>
        <v>na</v>
      </c>
      <c r="G93" s="400" t="str">
        <f>'GW-Eq'!G93</f>
        <v>na</v>
      </c>
      <c r="H93" s="400" t="str">
        <f t="shared" si="102"/>
        <v>na</v>
      </c>
      <c r="I93" s="400" t="str">
        <f t="shared" si="103"/>
        <v>na</v>
      </c>
      <c r="J93" s="403" t="str">
        <f t="shared" si="104"/>
        <v>na</v>
      </c>
      <c r="K93" s="271" t="str">
        <f>'GW-Eq'!H93</f>
        <v>na</v>
      </c>
      <c r="L93" s="271" t="str">
        <f t="shared" si="105"/>
        <v>na</v>
      </c>
      <c r="M93" s="271" t="str">
        <f t="shared" si="106"/>
        <v>na</v>
      </c>
      <c r="N93" s="271" t="str">
        <f t="shared" si="107"/>
        <v>na</v>
      </c>
      <c r="O93" s="330" t="str">
        <f t="shared" si="117"/>
        <v>na</v>
      </c>
      <c r="P93" s="2523" t="str">
        <f>VI!F93</f>
        <v>na</v>
      </c>
      <c r="R93" s="264" t="str">
        <f t="shared" si="108"/>
        <v>na</v>
      </c>
      <c r="S93" s="236" t="str">
        <f t="shared" si="109"/>
        <v/>
      </c>
      <c r="T93" s="236" t="str">
        <f t="shared" si="110"/>
        <v/>
      </c>
      <c r="U93" s="236" t="str">
        <f t="shared" si="111"/>
        <v/>
      </c>
      <c r="V93" s="236" t="str">
        <f t="shared" si="112"/>
        <v/>
      </c>
      <c r="W93" s="236" t="str">
        <f t="shared" si="113"/>
        <v/>
      </c>
      <c r="X93" s="236" t="str">
        <f t="shared" si="114"/>
        <v/>
      </c>
      <c r="Y93" s="236" t="str">
        <f t="shared" si="115"/>
        <v/>
      </c>
      <c r="Z93" s="235" t="str">
        <f t="shared" si="116"/>
        <v/>
      </c>
      <c r="AB93" s="1062"/>
    </row>
    <row r="94" spans="1:28" ht="13.9" customHeight="1" x14ac:dyDescent="0.25">
      <c r="A94" s="847">
        <f>Chem!A94</f>
        <v>92</v>
      </c>
      <c r="B94" s="855" t="str">
        <f>Chem!B94</f>
        <v>4-Chloroaniline</v>
      </c>
      <c r="C94" s="343" t="s">
        <v>232</v>
      </c>
      <c r="D94" s="384" t="s">
        <v>232</v>
      </c>
      <c r="E94" s="384" t="s">
        <v>232</v>
      </c>
      <c r="F94" s="384" t="str">
        <f t="shared" si="101"/>
        <v>na</v>
      </c>
      <c r="G94" s="400">
        <f>'GW-Eq'!G94</f>
        <v>64</v>
      </c>
      <c r="H94" s="400" t="str">
        <f t="shared" si="102"/>
        <v>na</v>
      </c>
      <c r="I94" s="400" t="str">
        <f t="shared" si="103"/>
        <v>na</v>
      </c>
      <c r="J94" s="403">
        <f t="shared" si="104"/>
        <v>64</v>
      </c>
      <c r="K94" s="271">
        <f>'GW-Eq'!H94</f>
        <v>0.43749999999999989</v>
      </c>
      <c r="L94" s="271" t="str">
        <f t="shared" si="105"/>
        <v>na</v>
      </c>
      <c r="M94" s="271" t="str">
        <f t="shared" si="106"/>
        <v>na</v>
      </c>
      <c r="N94" s="271">
        <f t="shared" si="107"/>
        <v>0.43749999999999989</v>
      </c>
      <c r="O94" s="330">
        <f t="shared" si="117"/>
        <v>0.43749999999999989</v>
      </c>
      <c r="P94" s="2523" t="str">
        <f>VI!F94</f>
        <v>na</v>
      </c>
      <c r="R94" s="264">
        <f t="shared" si="108"/>
        <v>0.43749999999999989</v>
      </c>
      <c r="S94" s="236" t="str">
        <f t="shared" si="109"/>
        <v/>
      </c>
      <c r="T94" s="236" t="str">
        <f t="shared" si="110"/>
        <v/>
      </c>
      <c r="U94" s="236" t="str">
        <f t="shared" si="111"/>
        <v/>
      </c>
      <c r="V94" s="236" t="str">
        <f t="shared" si="112"/>
        <v/>
      </c>
      <c r="W94" s="236" t="str">
        <f t="shared" si="113"/>
        <v>X</v>
      </c>
      <c r="X94" s="236" t="str">
        <f t="shared" si="114"/>
        <v/>
      </c>
      <c r="Y94" s="236" t="str">
        <f t="shared" si="115"/>
        <v/>
      </c>
      <c r="Z94" s="235" t="str">
        <f t="shared" si="116"/>
        <v/>
      </c>
      <c r="AB94" s="1062"/>
    </row>
    <row r="95" spans="1:28" ht="13.9" customHeight="1" x14ac:dyDescent="0.25">
      <c r="A95" s="847">
        <f>Chem!A95</f>
        <v>93</v>
      </c>
      <c r="B95" s="855" t="str">
        <f>Chem!B95</f>
        <v>4-Chloro-3-methylphenol (chlorocresol)</v>
      </c>
      <c r="C95" s="343" t="s">
        <v>232</v>
      </c>
      <c r="D95" s="384" t="s">
        <v>232</v>
      </c>
      <c r="E95" s="384" t="s">
        <v>232</v>
      </c>
      <c r="F95" s="384" t="str">
        <f t="shared" si="101"/>
        <v>na</v>
      </c>
      <c r="G95" s="400">
        <f>'GW-Eq'!G95</f>
        <v>1600</v>
      </c>
      <c r="H95" s="400" t="str">
        <f t="shared" si="102"/>
        <v>na</v>
      </c>
      <c r="I95" s="400" t="str">
        <f t="shared" si="103"/>
        <v>na</v>
      </c>
      <c r="J95" s="403">
        <f t="shared" si="104"/>
        <v>1600</v>
      </c>
      <c r="K95" s="271" t="str">
        <f>'GW-Eq'!H95</f>
        <v>na</v>
      </c>
      <c r="L95" s="271" t="str">
        <f t="shared" si="105"/>
        <v>na</v>
      </c>
      <c r="M95" s="271" t="str">
        <f t="shared" si="106"/>
        <v>na</v>
      </c>
      <c r="N95" s="271" t="str">
        <f t="shared" si="107"/>
        <v>na</v>
      </c>
      <c r="O95" s="330">
        <f t="shared" si="117"/>
        <v>1600</v>
      </c>
      <c r="P95" s="2523" t="str">
        <f>VI!F95</f>
        <v>na</v>
      </c>
      <c r="R95" s="264">
        <f t="shared" si="108"/>
        <v>1600</v>
      </c>
      <c r="S95" s="236" t="str">
        <f t="shared" si="109"/>
        <v/>
      </c>
      <c r="T95" s="236" t="str">
        <f t="shared" si="110"/>
        <v/>
      </c>
      <c r="U95" s="236" t="str">
        <f t="shared" si="111"/>
        <v/>
      </c>
      <c r="V95" s="236" t="str">
        <f t="shared" si="112"/>
        <v>X</v>
      </c>
      <c r="W95" s="236" t="str">
        <f t="shared" si="113"/>
        <v/>
      </c>
      <c r="X95" s="236" t="str">
        <f t="shared" si="114"/>
        <v/>
      </c>
      <c r="Y95" s="236" t="str">
        <f t="shared" si="115"/>
        <v/>
      </c>
      <c r="Z95" s="235" t="str">
        <f t="shared" si="116"/>
        <v/>
      </c>
      <c r="AB95" s="1062"/>
    </row>
    <row r="96" spans="1:28" ht="13.9" customHeight="1" x14ac:dyDescent="0.25">
      <c r="A96" s="847">
        <f>Chem!A96</f>
        <v>94</v>
      </c>
      <c r="B96" s="855" t="str">
        <f>Chem!B96</f>
        <v>2-Chloronaphthalene (beta-)</v>
      </c>
      <c r="C96" s="343" t="s">
        <v>232</v>
      </c>
      <c r="D96" s="384" t="s">
        <v>232</v>
      </c>
      <c r="E96" s="384" t="s">
        <v>232</v>
      </c>
      <c r="F96" s="384" t="str">
        <f t="shared" si="101"/>
        <v>na</v>
      </c>
      <c r="G96" s="400">
        <f>'GW-Eq'!G96</f>
        <v>640</v>
      </c>
      <c r="H96" s="400" t="str">
        <f t="shared" si="102"/>
        <v>na</v>
      </c>
      <c r="I96" s="400" t="str">
        <f t="shared" si="103"/>
        <v>na</v>
      </c>
      <c r="J96" s="403">
        <f t="shared" si="104"/>
        <v>640</v>
      </c>
      <c r="K96" s="271" t="str">
        <f>'GW-Eq'!H96</f>
        <v>na</v>
      </c>
      <c r="L96" s="271" t="str">
        <f t="shared" si="105"/>
        <v>na</v>
      </c>
      <c r="M96" s="271" t="str">
        <f t="shared" si="106"/>
        <v>na</v>
      </c>
      <c r="N96" s="271" t="str">
        <f t="shared" si="107"/>
        <v>na</v>
      </c>
      <c r="O96" s="330">
        <f t="shared" si="117"/>
        <v>640</v>
      </c>
      <c r="P96" s="2523" t="str">
        <f>VI!F96</f>
        <v>na</v>
      </c>
      <c r="R96" s="264">
        <f t="shared" si="108"/>
        <v>640</v>
      </c>
      <c r="S96" s="236" t="str">
        <f t="shared" si="109"/>
        <v/>
      </c>
      <c r="T96" s="236" t="str">
        <f t="shared" si="110"/>
        <v/>
      </c>
      <c r="U96" s="236" t="str">
        <f t="shared" si="111"/>
        <v/>
      </c>
      <c r="V96" s="236" t="str">
        <f t="shared" si="112"/>
        <v>X</v>
      </c>
      <c r="W96" s="236" t="str">
        <f t="shared" si="113"/>
        <v/>
      </c>
      <c r="X96" s="236" t="str">
        <f t="shared" si="114"/>
        <v/>
      </c>
      <c r="Y96" s="236" t="str">
        <f t="shared" si="115"/>
        <v/>
      </c>
      <c r="Z96" s="235" t="str">
        <f t="shared" si="116"/>
        <v/>
      </c>
      <c r="AB96" s="1062"/>
    </row>
    <row r="97" spans="1:28" ht="13.9" customHeight="1" x14ac:dyDescent="0.25">
      <c r="A97" s="847">
        <f>Chem!A97</f>
        <v>95</v>
      </c>
      <c r="B97" s="855" t="str">
        <f>Chem!B97</f>
        <v>2-Chlorophenol</v>
      </c>
      <c r="C97" s="343" t="s">
        <v>232</v>
      </c>
      <c r="D97" s="384" t="s">
        <v>232</v>
      </c>
      <c r="E97" s="384" t="s">
        <v>232</v>
      </c>
      <c r="F97" s="384" t="str">
        <f t="shared" si="101"/>
        <v>na</v>
      </c>
      <c r="G97" s="400">
        <f>'GW-Eq'!G97</f>
        <v>40</v>
      </c>
      <c r="H97" s="400" t="str">
        <f t="shared" si="102"/>
        <v>na</v>
      </c>
      <c r="I97" s="400" t="str">
        <f t="shared" si="103"/>
        <v>na</v>
      </c>
      <c r="J97" s="403">
        <f t="shared" si="104"/>
        <v>40</v>
      </c>
      <c r="K97" s="271" t="str">
        <f>'GW-Eq'!H97</f>
        <v>na</v>
      </c>
      <c r="L97" s="271" t="str">
        <f t="shared" si="105"/>
        <v>na</v>
      </c>
      <c r="M97" s="271" t="str">
        <f t="shared" si="106"/>
        <v>na</v>
      </c>
      <c r="N97" s="271" t="str">
        <f t="shared" si="107"/>
        <v>na</v>
      </c>
      <c r="O97" s="330">
        <f t="shared" si="117"/>
        <v>40</v>
      </c>
      <c r="P97" s="2523" t="str">
        <f>VI!F97</f>
        <v>na</v>
      </c>
      <c r="R97" s="264">
        <f t="shared" si="108"/>
        <v>40</v>
      </c>
      <c r="S97" s="236" t="str">
        <f t="shared" si="109"/>
        <v/>
      </c>
      <c r="T97" s="236" t="str">
        <f t="shared" si="110"/>
        <v/>
      </c>
      <c r="U97" s="236" t="str">
        <f t="shared" si="111"/>
        <v/>
      </c>
      <c r="V97" s="236" t="str">
        <f t="shared" si="112"/>
        <v>X</v>
      </c>
      <c r="W97" s="236" t="str">
        <f t="shared" si="113"/>
        <v/>
      </c>
      <c r="X97" s="236" t="str">
        <f t="shared" si="114"/>
        <v/>
      </c>
      <c r="Y97" s="236" t="str">
        <f t="shared" si="115"/>
        <v/>
      </c>
      <c r="Z97" s="235" t="str">
        <f t="shared" si="116"/>
        <v/>
      </c>
      <c r="AB97" s="1062"/>
    </row>
    <row r="98" spans="1:28" ht="13.9" customHeight="1" x14ac:dyDescent="0.25">
      <c r="A98" s="847">
        <f>Chem!A98</f>
        <v>96</v>
      </c>
      <c r="B98" s="855" t="str">
        <f>Chem!B98</f>
        <v>4-Chlorophenyl phenyl ether</v>
      </c>
      <c r="C98" s="343" t="s">
        <v>232</v>
      </c>
      <c r="D98" s="384" t="s">
        <v>232</v>
      </c>
      <c r="E98" s="384" t="s">
        <v>232</v>
      </c>
      <c r="F98" s="384" t="str">
        <f t="shared" si="101"/>
        <v>na</v>
      </c>
      <c r="G98" s="400" t="str">
        <f>'GW-Eq'!G98</f>
        <v>na</v>
      </c>
      <c r="H98" s="400" t="str">
        <f t="shared" si="102"/>
        <v>na</v>
      </c>
      <c r="I98" s="400" t="str">
        <f t="shared" si="103"/>
        <v>na</v>
      </c>
      <c r="J98" s="403" t="str">
        <f t="shared" si="104"/>
        <v>na</v>
      </c>
      <c r="K98" s="271" t="str">
        <f>'GW-Eq'!H98</f>
        <v>na</v>
      </c>
      <c r="L98" s="271" t="str">
        <f t="shared" si="105"/>
        <v>na</v>
      </c>
      <c r="M98" s="271" t="str">
        <f t="shared" si="106"/>
        <v>na</v>
      </c>
      <c r="N98" s="271" t="str">
        <f t="shared" si="107"/>
        <v>na</v>
      </c>
      <c r="O98" s="330" t="str">
        <f t="shared" si="117"/>
        <v>na</v>
      </c>
      <c r="P98" s="2523" t="str">
        <f>VI!F98</f>
        <v>na</v>
      </c>
      <c r="R98" s="264" t="str">
        <f t="shared" si="108"/>
        <v>na</v>
      </c>
      <c r="S98" s="236" t="str">
        <f t="shared" si="109"/>
        <v/>
      </c>
      <c r="T98" s="236" t="str">
        <f t="shared" si="110"/>
        <v/>
      </c>
      <c r="U98" s="236" t="str">
        <f t="shared" si="111"/>
        <v/>
      </c>
      <c r="V98" s="236" t="str">
        <f t="shared" si="112"/>
        <v/>
      </c>
      <c r="W98" s="236" t="str">
        <f t="shared" si="113"/>
        <v/>
      </c>
      <c r="X98" s="236" t="str">
        <f t="shared" si="114"/>
        <v/>
      </c>
      <c r="Y98" s="236" t="str">
        <f t="shared" si="115"/>
        <v/>
      </c>
      <c r="Z98" s="235" t="str">
        <f t="shared" si="116"/>
        <v/>
      </c>
      <c r="AB98" s="1062"/>
    </row>
    <row r="99" spans="1:28" ht="13.9" customHeight="1" x14ac:dyDescent="0.25">
      <c r="A99" s="847">
        <f>Chem!A99</f>
        <v>97</v>
      </c>
      <c r="B99" s="855" t="str">
        <f>Chem!B99</f>
        <v>Dibutyl phthalate</v>
      </c>
      <c r="C99" s="343" t="s">
        <v>232</v>
      </c>
      <c r="D99" s="384" t="s">
        <v>232</v>
      </c>
      <c r="E99" s="384" t="s">
        <v>232</v>
      </c>
      <c r="F99" s="384" t="str">
        <f t="shared" si="101"/>
        <v>na</v>
      </c>
      <c r="G99" s="400">
        <f>'GW-Eq'!G99</f>
        <v>1600</v>
      </c>
      <c r="H99" s="400" t="str">
        <f t="shared" si="102"/>
        <v>na</v>
      </c>
      <c r="I99" s="400" t="str">
        <f t="shared" si="103"/>
        <v>na</v>
      </c>
      <c r="J99" s="403">
        <f t="shared" si="104"/>
        <v>1600</v>
      </c>
      <c r="K99" s="271" t="str">
        <f>'GW-Eq'!H99</f>
        <v>na</v>
      </c>
      <c r="L99" s="271" t="str">
        <f t="shared" si="105"/>
        <v>na</v>
      </c>
      <c r="M99" s="271" t="str">
        <f t="shared" si="106"/>
        <v>na</v>
      </c>
      <c r="N99" s="271" t="str">
        <f t="shared" si="107"/>
        <v>na</v>
      </c>
      <c r="O99" s="330">
        <f t="shared" si="117"/>
        <v>1600</v>
      </c>
      <c r="P99" s="2523" t="str">
        <f>VI!F99</f>
        <v>na</v>
      </c>
      <c r="R99" s="264">
        <f t="shared" si="108"/>
        <v>1600</v>
      </c>
      <c r="S99" s="236" t="str">
        <f t="shared" si="109"/>
        <v/>
      </c>
      <c r="T99" s="236" t="str">
        <f t="shared" si="110"/>
        <v/>
      </c>
      <c r="U99" s="236" t="str">
        <f t="shared" si="111"/>
        <v/>
      </c>
      <c r="V99" s="236" t="str">
        <f t="shared" si="112"/>
        <v>X</v>
      </c>
      <c r="W99" s="236" t="str">
        <f t="shared" si="113"/>
        <v/>
      </c>
      <c r="X99" s="236" t="str">
        <f t="shared" si="114"/>
        <v/>
      </c>
      <c r="Y99" s="236" t="str">
        <f t="shared" si="115"/>
        <v/>
      </c>
      <c r="Z99" s="235" t="str">
        <f t="shared" si="116"/>
        <v/>
      </c>
      <c r="AB99" s="1062"/>
    </row>
    <row r="100" spans="1:28" ht="13.9" customHeight="1" x14ac:dyDescent="0.25">
      <c r="A100" s="847">
        <f>Chem!A100</f>
        <v>98</v>
      </c>
      <c r="B100" s="855" t="str">
        <f>Chem!B100</f>
        <v>Dibutyl phenyl phosphate</v>
      </c>
      <c r="C100" s="343" t="s">
        <v>232</v>
      </c>
      <c r="D100" s="384" t="s">
        <v>232</v>
      </c>
      <c r="E100" s="384" t="s">
        <v>232</v>
      </c>
      <c r="F100" s="384" t="str">
        <f t="shared" si="101"/>
        <v>na</v>
      </c>
      <c r="G100" s="400" t="str">
        <f>'GW-Eq'!G100</f>
        <v>na</v>
      </c>
      <c r="H100" s="400" t="str">
        <f t="shared" si="102"/>
        <v>na</v>
      </c>
      <c r="I100" s="400" t="str">
        <f t="shared" si="103"/>
        <v>na</v>
      </c>
      <c r="J100" s="403" t="str">
        <f t="shared" si="104"/>
        <v>na</v>
      </c>
      <c r="K100" s="271" t="str">
        <f>'GW-Eq'!H100</f>
        <v>na</v>
      </c>
      <c r="L100" s="271" t="str">
        <f t="shared" si="105"/>
        <v>na</v>
      </c>
      <c r="M100" s="271" t="str">
        <f t="shared" si="106"/>
        <v>na</v>
      </c>
      <c r="N100" s="271" t="str">
        <f t="shared" si="107"/>
        <v>na</v>
      </c>
      <c r="O100" s="330" t="str">
        <f t="shared" si="117"/>
        <v>na</v>
      </c>
      <c r="P100" s="2523" t="str">
        <f>VI!F100</f>
        <v>na</v>
      </c>
      <c r="R100" s="264" t="str">
        <f t="shared" si="108"/>
        <v>na</v>
      </c>
      <c r="S100" s="236" t="str">
        <f t="shared" si="109"/>
        <v/>
      </c>
      <c r="T100" s="236" t="str">
        <f t="shared" si="110"/>
        <v/>
      </c>
      <c r="U100" s="236" t="str">
        <f t="shared" si="111"/>
        <v/>
      </c>
      <c r="V100" s="236" t="str">
        <f t="shared" si="112"/>
        <v/>
      </c>
      <c r="W100" s="236" t="str">
        <f t="shared" si="113"/>
        <v/>
      </c>
      <c r="X100" s="236" t="str">
        <f t="shared" si="114"/>
        <v/>
      </c>
      <c r="Y100" s="236" t="str">
        <f t="shared" si="115"/>
        <v/>
      </c>
      <c r="Z100" s="235" t="str">
        <f t="shared" si="116"/>
        <v/>
      </c>
      <c r="AB100" s="1062"/>
    </row>
    <row r="101" spans="1:28" ht="13.9" customHeight="1" x14ac:dyDescent="0.25">
      <c r="A101" s="847">
        <f>Chem!A101</f>
        <v>99</v>
      </c>
      <c r="B101" s="855" t="str">
        <f>Chem!B101</f>
        <v>1,2-Dichlorobenzene</v>
      </c>
      <c r="C101" s="343">
        <v>600</v>
      </c>
      <c r="D101" s="384">
        <v>600</v>
      </c>
      <c r="E101" s="384">
        <v>600</v>
      </c>
      <c r="F101" s="384">
        <f t="shared" si="101"/>
        <v>600</v>
      </c>
      <c r="G101" s="400">
        <f>'GW-Eq'!G101</f>
        <v>720</v>
      </c>
      <c r="H101" s="400">
        <f t="shared" si="102"/>
        <v>0.83333333333333337</v>
      </c>
      <c r="I101" s="400" t="str">
        <f t="shared" si="103"/>
        <v>no</v>
      </c>
      <c r="J101" s="403">
        <f t="shared" si="104"/>
        <v>600</v>
      </c>
      <c r="K101" s="271" t="str">
        <f>'GW-Eq'!H101</f>
        <v>na</v>
      </c>
      <c r="L101" s="271" t="str">
        <f t="shared" si="105"/>
        <v>na</v>
      </c>
      <c r="M101" s="271" t="str">
        <f t="shared" si="106"/>
        <v>na</v>
      </c>
      <c r="N101" s="271" t="str">
        <f t="shared" si="107"/>
        <v>na</v>
      </c>
      <c r="O101" s="330">
        <f t="shared" si="117"/>
        <v>600</v>
      </c>
      <c r="P101" s="2523">
        <f>VI!F101</f>
        <v>2503.4477579903046</v>
      </c>
      <c r="R101" s="264">
        <f t="shared" si="108"/>
        <v>600</v>
      </c>
      <c r="S101" s="236" t="str">
        <f t="shared" si="109"/>
        <v>X</v>
      </c>
      <c r="T101" s="236" t="str">
        <f t="shared" si="110"/>
        <v>X</v>
      </c>
      <c r="U101" s="236" t="str">
        <f t="shared" si="111"/>
        <v>X</v>
      </c>
      <c r="V101" s="236" t="str">
        <f t="shared" si="112"/>
        <v/>
      </c>
      <c r="W101" s="236" t="str">
        <f t="shared" si="113"/>
        <v/>
      </c>
      <c r="X101" s="236" t="str">
        <f t="shared" si="114"/>
        <v/>
      </c>
      <c r="Y101" s="236" t="str">
        <f t="shared" si="115"/>
        <v/>
      </c>
      <c r="Z101" s="235" t="str">
        <f t="shared" si="116"/>
        <v/>
      </c>
      <c r="AB101" s="1062"/>
    </row>
    <row r="102" spans="1:28" ht="13.9" customHeight="1" x14ac:dyDescent="0.25">
      <c r="A102" s="847">
        <f>Chem!A102</f>
        <v>100</v>
      </c>
      <c r="B102" s="855" t="str">
        <f>Chem!B102</f>
        <v>1,3-Dichlorobenzene</v>
      </c>
      <c r="C102" s="343" t="s">
        <v>232</v>
      </c>
      <c r="D102" s="384" t="s">
        <v>232</v>
      </c>
      <c r="E102" s="384" t="s">
        <v>232</v>
      </c>
      <c r="F102" s="384" t="str">
        <f t="shared" si="101"/>
        <v>na</v>
      </c>
      <c r="G102" s="400" t="str">
        <f>'GW-Eq'!G102</f>
        <v>na</v>
      </c>
      <c r="H102" s="400" t="str">
        <f t="shared" si="102"/>
        <v>na</v>
      </c>
      <c r="I102" s="400" t="str">
        <f t="shared" si="103"/>
        <v>na</v>
      </c>
      <c r="J102" s="403" t="str">
        <f t="shared" si="104"/>
        <v>na</v>
      </c>
      <c r="K102" s="271" t="str">
        <f>'GW-Eq'!H102</f>
        <v>na</v>
      </c>
      <c r="L102" s="271" t="str">
        <f t="shared" si="105"/>
        <v>na</v>
      </c>
      <c r="M102" s="271" t="str">
        <f t="shared" si="106"/>
        <v>na</v>
      </c>
      <c r="N102" s="271" t="str">
        <f t="shared" si="107"/>
        <v>na</v>
      </c>
      <c r="O102" s="330" t="str">
        <f t="shared" si="117"/>
        <v>na</v>
      </c>
      <c r="P102" s="2523" t="str">
        <f>VI!F102</f>
        <v>na</v>
      </c>
      <c r="R102" s="264" t="str">
        <f t="shared" si="108"/>
        <v>na</v>
      </c>
      <c r="S102" s="236" t="str">
        <f t="shared" si="109"/>
        <v/>
      </c>
      <c r="T102" s="236" t="str">
        <f t="shared" si="110"/>
        <v/>
      </c>
      <c r="U102" s="236" t="str">
        <f t="shared" si="111"/>
        <v/>
      </c>
      <c r="V102" s="236" t="str">
        <f t="shared" si="112"/>
        <v/>
      </c>
      <c r="W102" s="236" t="str">
        <f t="shared" si="113"/>
        <v/>
      </c>
      <c r="X102" s="236" t="str">
        <f t="shared" si="114"/>
        <v/>
      </c>
      <c r="Y102" s="236" t="str">
        <f t="shared" si="115"/>
        <v/>
      </c>
      <c r="Z102" s="235" t="str">
        <f t="shared" si="116"/>
        <v/>
      </c>
      <c r="AB102" s="1062"/>
    </row>
    <row r="103" spans="1:28" ht="13.9" customHeight="1" x14ac:dyDescent="0.25">
      <c r="A103" s="847">
        <f>Chem!A103</f>
        <v>101</v>
      </c>
      <c r="B103" s="855" t="str">
        <f>Chem!B103</f>
        <v>1,4-Dichlorobenzene</v>
      </c>
      <c r="C103" s="343">
        <v>75</v>
      </c>
      <c r="D103" s="384">
        <v>75</v>
      </c>
      <c r="E103" s="384">
        <v>75</v>
      </c>
      <c r="F103" s="384">
        <f t="shared" si="101"/>
        <v>75</v>
      </c>
      <c r="G103" s="400">
        <f>'GW-Eq'!G103</f>
        <v>560</v>
      </c>
      <c r="H103" s="400">
        <f t="shared" si="102"/>
        <v>0.13392857142857142</v>
      </c>
      <c r="I103" s="400" t="str">
        <f t="shared" si="103"/>
        <v>no</v>
      </c>
      <c r="J103" s="403">
        <f t="shared" si="104"/>
        <v>75</v>
      </c>
      <c r="K103" s="271">
        <f>'GW-Eq'!H103</f>
        <v>8.1018518518518494</v>
      </c>
      <c r="L103" s="271">
        <f t="shared" si="105"/>
        <v>9.2571428571428598</v>
      </c>
      <c r="M103" s="271" t="str">
        <f t="shared" si="106"/>
        <v>no</v>
      </c>
      <c r="N103" s="271">
        <f t="shared" si="107"/>
        <v>75</v>
      </c>
      <c r="O103" s="330">
        <f t="shared" si="117"/>
        <v>75</v>
      </c>
      <c r="P103" s="2523">
        <f>VI!F103</f>
        <v>4.9637035457744663</v>
      </c>
      <c r="R103" s="264">
        <f t="shared" si="108"/>
        <v>4.9637035457744663</v>
      </c>
      <c r="S103" s="236" t="str">
        <f t="shared" si="109"/>
        <v/>
      </c>
      <c r="T103" s="236" t="str">
        <f t="shared" si="110"/>
        <v/>
      </c>
      <c r="U103" s="236" t="str">
        <f t="shared" si="111"/>
        <v/>
      </c>
      <c r="V103" s="236" t="str">
        <f t="shared" si="112"/>
        <v/>
      </c>
      <c r="W103" s="236" t="str">
        <f t="shared" si="113"/>
        <v/>
      </c>
      <c r="X103" s="236" t="str">
        <f t="shared" si="114"/>
        <v/>
      </c>
      <c r="Y103" s="236" t="str">
        <f t="shared" si="115"/>
        <v/>
      </c>
      <c r="Z103" s="235" t="str">
        <f t="shared" si="116"/>
        <v>X</v>
      </c>
      <c r="AB103" s="1062"/>
    </row>
    <row r="104" spans="1:28" ht="13.9" customHeight="1" x14ac:dyDescent="0.25">
      <c r="A104" s="847">
        <f>Chem!A104</f>
        <v>102</v>
      </c>
      <c r="B104" s="855" t="str">
        <f>Chem!B104</f>
        <v>3,3'-Dichlorobenzidine</v>
      </c>
      <c r="C104" s="343" t="s">
        <v>232</v>
      </c>
      <c r="D104" s="384" t="s">
        <v>232</v>
      </c>
      <c r="E104" s="384" t="s">
        <v>232</v>
      </c>
      <c r="F104" s="384" t="str">
        <f t="shared" si="101"/>
        <v>na</v>
      </c>
      <c r="G104" s="400" t="str">
        <f>'GW-Eq'!G104</f>
        <v>na</v>
      </c>
      <c r="H104" s="400" t="str">
        <f t="shared" si="102"/>
        <v>na</v>
      </c>
      <c r="I104" s="400" t="str">
        <f t="shared" si="103"/>
        <v>na</v>
      </c>
      <c r="J104" s="403" t="str">
        <f t="shared" si="104"/>
        <v>na</v>
      </c>
      <c r="K104" s="271">
        <f>'GW-Eq'!H104</f>
        <v>0.19444444444444439</v>
      </c>
      <c r="L104" s="271" t="str">
        <f t="shared" si="105"/>
        <v>na</v>
      </c>
      <c r="M104" s="271" t="str">
        <f t="shared" si="106"/>
        <v>na</v>
      </c>
      <c r="N104" s="271">
        <f t="shared" si="107"/>
        <v>0.19444444444444439</v>
      </c>
      <c r="O104" s="330">
        <f t="shared" si="117"/>
        <v>0.19444444444444439</v>
      </c>
      <c r="P104" s="2523" t="str">
        <f>VI!F104</f>
        <v>na</v>
      </c>
      <c r="R104" s="264">
        <f t="shared" si="108"/>
        <v>0.19444444444444439</v>
      </c>
      <c r="S104" s="236" t="str">
        <f t="shared" si="109"/>
        <v/>
      </c>
      <c r="T104" s="236" t="str">
        <f t="shared" si="110"/>
        <v/>
      </c>
      <c r="U104" s="236" t="str">
        <f t="shared" si="111"/>
        <v/>
      </c>
      <c r="V104" s="236" t="str">
        <f t="shared" si="112"/>
        <v/>
      </c>
      <c r="W104" s="236" t="str">
        <f t="shared" si="113"/>
        <v>X</v>
      </c>
      <c r="X104" s="236" t="str">
        <f t="shared" si="114"/>
        <v/>
      </c>
      <c r="Y104" s="236" t="str">
        <f t="shared" si="115"/>
        <v/>
      </c>
      <c r="Z104" s="235" t="str">
        <f t="shared" si="116"/>
        <v/>
      </c>
      <c r="AB104" s="1062"/>
    </row>
    <row r="105" spans="1:28" ht="13.9" customHeight="1" x14ac:dyDescent="0.25">
      <c r="A105" s="847">
        <f>Chem!A105</f>
        <v>103</v>
      </c>
      <c r="B105" s="855" t="str">
        <f>Chem!B105</f>
        <v>2,4-Dichlorophenol</v>
      </c>
      <c r="C105" s="343" t="s">
        <v>232</v>
      </c>
      <c r="D105" s="384" t="s">
        <v>232</v>
      </c>
      <c r="E105" s="384" t="s">
        <v>232</v>
      </c>
      <c r="F105" s="384" t="str">
        <f t="shared" si="101"/>
        <v>na</v>
      </c>
      <c r="G105" s="400">
        <f>'GW-Eq'!G105</f>
        <v>48</v>
      </c>
      <c r="H105" s="400" t="str">
        <f t="shared" si="102"/>
        <v>na</v>
      </c>
      <c r="I105" s="400" t="str">
        <f t="shared" si="103"/>
        <v>na</v>
      </c>
      <c r="J105" s="403">
        <f t="shared" si="104"/>
        <v>48</v>
      </c>
      <c r="K105" s="271" t="str">
        <f>'GW-Eq'!H105</f>
        <v>na</v>
      </c>
      <c r="L105" s="271" t="str">
        <f t="shared" si="105"/>
        <v>na</v>
      </c>
      <c r="M105" s="271" t="str">
        <f t="shared" si="106"/>
        <v>na</v>
      </c>
      <c r="N105" s="271" t="str">
        <f t="shared" si="107"/>
        <v>na</v>
      </c>
      <c r="O105" s="330">
        <f t="shared" si="117"/>
        <v>48</v>
      </c>
      <c r="P105" s="2523" t="str">
        <f>VI!F105</f>
        <v>na</v>
      </c>
      <c r="R105" s="264">
        <f t="shared" si="108"/>
        <v>48</v>
      </c>
      <c r="S105" s="236" t="str">
        <f t="shared" si="109"/>
        <v/>
      </c>
      <c r="T105" s="236" t="str">
        <f t="shared" si="110"/>
        <v/>
      </c>
      <c r="U105" s="236" t="str">
        <f t="shared" si="111"/>
        <v/>
      </c>
      <c r="V105" s="236" t="str">
        <f t="shared" si="112"/>
        <v>X</v>
      </c>
      <c r="W105" s="236" t="str">
        <f t="shared" si="113"/>
        <v/>
      </c>
      <c r="X105" s="236" t="str">
        <f t="shared" si="114"/>
        <v/>
      </c>
      <c r="Y105" s="236" t="str">
        <f t="shared" si="115"/>
        <v/>
      </c>
      <c r="Z105" s="235" t="str">
        <f t="shared" si="116"/>
        <v/>
      </c>
      <c r="AB105" s="1062"/>
    </row>
    <row r="106" spans="1:28" ht="13.9" customHeight="1" x14ac:dyDescent="0.25">
      <c r="A106" s="846">
        <f>Chem!A106</f>
        <v>104</v>
      </c>
      <c r="B106" s="855" t="str">
        <f>Chem!B106</f>
        <v>Di(2-ethylhexyl)adipate</v>
      </c>
      <c r="C106" s="343">
        <v>400</v>
      </c>
      <c r="D106" s="384">
        <v>400</v>
      </c>
      <c r="E106" s="384">
        <v>400</v>
      </c>
      <c r="F106" s="384">
        <f t="shared" ref="F106" si="125">IF(C106="na",IF(D106="na",IF(E106="na","na",MIN(C106:E106)),MIN(C106:E106)),MIN(C106:E106))</f>
        <v>400</v>
      </c>
      <c r="G106" s="400">
        <f>'GW-Eq'!G106</f>
        <v>9600</v>
      </c>
      <c r="H106" s="400">
        <f t="shared" ref="H106" si="126">IF(F106="na","na",IF(G106="na","na",F106/G106))</f>
        <v>4.1666666666666664E-2</v>
      </c>
      <c r="I106" s="400" t="str">
        <f t="shared" ref="I106" si="127">IF(H106="na","na",IF(H106&gt;1,"YES","no"))</f>
        <v>no</v>
      </c>
      <c r="J106" s="403">
        <f t="shared" ref="J106" si="128">IF(I106="YES",G106,IF(ISNUMBER(F106),F106,G106))</f>
        <v>400</v>
      </c>
      <c r="K106" s="271">
        <f>'GW-Eq'!H106</f>
        <v>72.916666666666657</v>
      </c>
      <c r="L106" s="271">
        <f t="shared" ref="L106" si="129">IF(F106="na","na",IF(K106="na","na",F106/K106))</f>
        <v>5.4857142857142867</v>
      </c>
      <c r="M106" s="271" t="str">
        <f t="shared" ref="M106" si="130">IF(L106="na","na",IF(L106&gt;10,"YES","no"))</f>
        <v>no</v>
      </c>
      <c r="N106" s="271">
        <f t="shared" ref="N106" si="131">IF(M106="YES",10*K106,IF(M106="no",F106,K106))</f>
        <v>400</v>
      </c>
      <c r="O106" s="330">
        <f t="shared" si="117"/>
        <v>400</v>
      </c>
      <c r="P106" s="2523" t="str">
        <f>VI!F106</f>
        <v>na</v>
      </c>
      <c r="R106" s="264">
        <f t="shared" si="108"/>
        <v>400</v>
      </c>
      <c r="S106" s="236" t="str">
        <f t="shared" si="109"/>
        <v>X</v>
      </c>
      <c r="T106" s="236" t="str">
        <f t="shared" si="110"/>
        <v>X</v>
      </c>
      <c r="U106" s="236" t="str">
        <f t="shared" si="111"/>
        <v>X</v>
      </c>
      <c r="V106" s="236" t="str">
        <f t="shared" si="112"/>
        <v/>
      </c>
      <c r="W106" s="236" t="str">
        <f t="shared" si="113"/>
        <v/>
      </c>
      <c r="X106" s="236" t="str">
        <f t="shared" si="114"/>
        <v/>
      </c>
      <c r="Y106" s="236" t="str">
        <f t="shared" si="115"/>
        <v/>
      </c>
      <c r="Z106" s="235" t="str">
        <f t="shared" si="116"/>
        <v/>
      </c>
      <c r="AB106" s="1062"/>
    </row>
    <row r="107" spans="1:28" ht="13.9" customHeight="1" x14ac:dyDescent="0.25">
      <c r="A107" s="846">
        <f>Chem!A107</f>
        <v>105</v>
      </c>
      <c r="B107" s="855" t="str">
        <f>Chem!B107</f>
        <v>Diethyl phthalate</v>
      </c>
      <c r="C107" s="343" t="s">
        <v>232</v>
      </c>
      <c r="D107" s="384" t="s">
        <v>232</v>
      </c>
      <c r="E107" s="384" t="s">
        <v>232</v>
      </c>
      <c r="F107" s="384" t="str">
        <f t="shared" si="101"/>
        <v>na</v>
      </c>
      <c r="G107" s="400">
        <f>'GW-Eq'!G107</f>
        <v>12800</v>
      </c>
      <c r="H107" s="400" t="str">
        <f t="shared" si="102"/>
        <v>na</v>
      </c>
      <c r="I107" s="400" t="str">
        <f t="shared" si="103"/>
        <v>na</v>
      </c>
      <c r="J107" s="403">
        <f t="shared" si="104"/>
        <v>12800</v>
      </c>
      <c r="K107" s="271" t="str">
        <f>'GW-Eq'!H107</f>
        <v>na</v>
      </c>
      <c r="L107" s="271" t="str">
        <f t="shared" si="105"/>
        <v>na</v>
      </c>
      <c r="M107" s="271" t="str">
        <f t="shared" si="106"/>
        <v>na</v>
      </c>
      <c r="N107" s="271" t="str">
        <f t="shared" si="107"/>
        <v>na</v>
      </c>
      <c r="O107" s="330">
        <f t="shared" si="117"/>
        <v>12800</v>
      </c>
      <c r="P107" s="2523" t="str">
        <f>VI!F107</f>
        <v>na</v>
      </c>
      <c r="R107" s="264">
        <f t="shared" si="108"/>
        <v>12800</v>
      </c>
      <c r="S107" s="236" t="str">
        <f t="shared" si="109"/>
        <v/>
      </c>
      <c r="T107" s="236" t="str">
        <f t="shared" si="110"/>
        <v/>
      </c>
      <c r="U107" s="236" t="str">
        <f t="shared" si="111"/>
        <v/>
      </c>
      <c r="V107" s="236" t="str">
        <f t="shared" si="112"/>
        <v>X</v>
      </c>
      <c r="W107" s="236" t="str">
        <f t="shared" si="113"/>
        <v/>
      </c>
      <c r="X107" s="236" t="str">
        <f t="shared" si="114"/>
        <v/>
      </c>
      <c r="Y107" s="236" t="str">
        <f t="shared" si="115"/>
        <v/>
      </c>
      <c r="Z107" s="235" t="str">
        <f t="shared" si="116"/>
        <v/>
      </c>
      <c r="AB107" s="1062"/>
    </row>
    <row r="108" spans="1:28" ht="13.9" customHeight="1" x14ac:dyDescent="0.25">
      <c r="A108" s="847">
        <f>Chem!A108</f>
        <v>106</v>
      </c>
      <c r="B108" s="855" t="str">
        <f>Chem!B108</f>
        <v>Dimethyl phthalate</v>
      </c>
      <c r="C108" s="343" t="s">
        <v>232</v>
      </c>
      <c r="D108" s="384" t="s">
        <v>232</v>
      </c>
      <c r="E108" s="384" t="s">
        <v>232</v>
      </c>
      <c r="F108" s="384" t="str">
        <f t="shared" si="101"/>
        <v>na</v>
      </c>
      <c r="G108" s="400" t="str">
        <f>'GW-Eq'!G108</f>
        <v>na</v>
      </c>
      <c r="H108" s="400" t="str">
        <f t="shared" si="102"/>
        <v>na</v>
      </c>
      <c r="I108" s="400" t="str">
        <f t="shared" si="103"/>
        <v>na</v>
      </c>
      <c r="J108" s="403" t="str">
        <f t="shared" si="104"/>
        <v>na</v>
      </c>
      <c r="K108" s="271" t="str">
        <f>'GW-Eq'!H108</f>
        <v>na</v>
      </c>
      <c r="L108" s="271" t="str">
        <f t="shared" si="105"/>
        <v>na</v>
      </c>
      <c r="M108" s="271" t="str">
        <f t="shared" si="106"/>
        <v>na</v>
      </c>
      <c r="N108" s="271" t="str">
        <f t="shared" si="107"/>
        <v>na</v>
      </c>
      <c r="O108" s="330" t="str">
        <f t="shared" si="117"/>
        <v>na</v>
      </c>
      <c r="P108" s="2523" t="str">
        <f>VI!F108</f>
        <v>na</v>
      </c>
      <c r="R108" s="264" t="str">
        <f t="shared" si="108"/>
        <v>na</v>
      </c>
      <c r="S108" s="236" t="str">
        <f t="shared" si="109"/>
        <v/>
      </c>
      <c r="T108" s="236" t="str">
        <f t="shared" si="110"/>
        <v/>
      </c>
      <c r="U108" s="236" t="str">
        <f t="shared" si="111"/>
        <v/>
      </c>
      <c r="V108" s="236" t="str">
        <f t="shared" si="112"/>
        <v/>
      </c>
      <c r="W108" s="236" t="str">
        <f t="shared" si="113"/>
        <v/>
      </c>
      <c r="X108" s="236" t="str">
        <f t="shared" si="114"/>
        <v/>
      </c>
      <c r="Y108" s="236" t="str">
        <f t="shared" si="115"/>
        <v/>
      </c>
      <c r="Z108" s="235" t="str">
        <f t="shared" si="116"/>
        <v/>
      </c>
      <c r="AB108" s="1062"/>
    </row>
    <row r="109" spans="1:28" ht="13.9" customHeight="1" x14ac:dyDescent="0.25">
      <c r="A109" s="847">
        <f>Chem!A109</f>
        <v>107</v>
      </c>
      <c r="B109" s="855" t="str">
        <f>Chem!B109</f>
        <v>2,4-Dimethylphenol</v>
      </c>
      <c r="C109" s="343" t="s">
        <v>232</v>
      </c>
      <c r="D109" s="384" t="s">
        <v>232</v>
      </c>
      <c r="E109" s="384" t="s">
        <v>232</v>
      </c>
      <c r="F109" s="384" t="str">
        <f t="shared" si="101"/>
        <v>na</v>
      </c>
      <c r="G109" s="400">
        <f>'GW-Eq'!G109</f>
        <v>320</v>
      </c>
      <c r="H109" s="400" t="str">
        <f t="shared" si="102"/>
        <v>na</v>
      </c>
      <c r="I109" s="400" t="str">
        <f t="shared" si="103"/>
        <v>na</v>
      </c>
      <c r="J109" s="403">
        <f t="shared" si="104"/>
        <v>320</v>
      </c>
      <c r="K109" s="271" t="str">
        <f>'GW-Eq'!H109</f>
        <v>na</v>
      </c>
      <c r="L109" s="271" t="str">
        <f t="shared" si="105"/>
        <v>na</v>
      </c>
      <c r="M109" s="271" t="str">
        <f t="shared" si="106"/>
        <v>na</v>
      </c>
      <c r="N109" s="271" t="str">
        <f t="shared" si="107"/>
        <v>na</v>
      </c>
      <c r="O109" s="330">
        <f t="shared" si="117"/>
        <v>320</v>
      </c>
      <c r="P109" s="2523" t="str">
        <f>VI!F109</f>
        <v>na</v>
      </c>
      <c r="R109" s="264">
        <f t="shared" si="108"/>
        <v>320</v>
      </c>
      <c r="S109" s="236" t="str">
        <f t="shared" si="109"/>
        <v/>
      </c>
      <c r="T109" s="236" t="str">
        <f t="shared" si="110"/>
        <v/>
      </c>
      <c r="U109" s="236" t="str">
        <f t="shared" si="111"/>
        <v/>
      </c>
      <c r="V109" s="236" t="str">
        <f t="shared" si="112"/>
        <v>X</v>
      </c>
      <c r="W109" s="236" t="str">
        <f t="shared" si="113"/>
        <v/>
      </c>
      <c r="X109" s="236" t="str">
        <f t="shared" si="114"/>
        <v/>
      </c>
      <c r="Y109" s="236" t="str">
        <f t="shared" si="115"/>
        <v/>
      </c>
      <c r="Z109" s="235" t="str">
        <f t="shared" si="116"/>
        <v/>
      </c>
      <c r="AB109" s="1062"/>
    </row>
    <row r="110" spans="1:28" ht="13.9" customHeight="1" x14ac:dyDescent="0.25">
      <c r="A110" s="847">
        <f>Chem!A110</f>
        <v>108</v>
      </c>
      <c r="B110" s="855" t="str">
        <f>Chem!B110</f>
        <v>1,2-Dinitrobenzene</v>
      </c>
      <c r="C110" s="343" t="s">
        <v>232</v>
      </c>
      <c r="D110" s="384" t="s">
        <v>232</v>
      </c>
      <c r="E110" s="384" t="s">
        <v>232</v>
      </c>
      <c r="F110" s="384" t="str">
        <f t="shared" ref="F110:F112" si="132">IF(C110="na",IF(D110="na",IF(E110="na","na",MIN(C110:E110)),MIN(C110:E110)),MIN(C110:E110))</f>
        <v>na</v>
      </c>
      <c r="G110" s="400">
        <f>'GW-Eq'!G110</f>
        <v>1.6</v>
      </c>
      <c r="H110" s="400" t="str">
        <f t="shared" ref="H110:H112" si="133">IF(F110="na","na",IF(G110="na","na",F110/G110))</f>
        <v>na</v>
      </c>
      <c r="I110" s="400" t="str">
        <f t="shared" ref="I110:I112" si="134">IF(H110="na","na",IF(H110&gt;1,"YES","no"))</f>
        <v>na</v>
      </c>
      <c r="J110" s="403">
        <f t="shared" ref="J110:J112" si="135">IF(I110="YES",G110,IF(ISNUMBER(F110),F110,G110))</f>
        <v>1.6</v>
      </c>
      <c r="K110" s="271" t="str">
        <f>'GW-Eq'!H110</f>
        <v>na</v>
      </c>
      <c r="L110" s="271" t="str">
        <f t="shared" ref="L110:L112" si="136">IF(F110="na","na",IF(K110="na","na",F110/K110))</f>
        <v>na</v>
      </c>
      <c r="M110" s="271" t="str">
        <f t="shared" ref="M110:M112" si="137">IF(L110="na","na",IF(L110&gt;10,"YES","no"))</f>
        <v>na</v>
      </c>
      <c r="N110" s="271" t="str">
        <f t="shared" ref="N110:N112" si="138">IF(M110="YES",10*K110,IF(M110="no",F110,K110))</f>
        <v>na</v>
      </c>
      <c r="O110" s="330">
        <f t="shared" si="117"/>
        <v>1.6</v>
      </c>
      <c r="P110" s="2523" t="str">
        <f>VI!F110</f>
        <v>na</v>
      </c>
      <c r="R110" s="264">
        <f t="shared" si="108"/>
        <v>1.6</v>
      </c>
      <c r="S110" s="236" t="str">
        <f t="shared" si="109"/>
        <v/>
      </c>
      <c r="T110" s="236" t="str">
        <f t="shared" si="110"/>
        <v/>
      </c>
      <c r="U110" s="236" t="str">
        <f t="shared" si="111"/>
        <v/>
      </c>
      <c r="V110" s="236" t="str">
        <f t="shared" si="112"/>
        <v>X</v>
      </c>
      <c r="W110" s="236" t="str">
        <f t="shared" si="113"/>
        <v/>
      </c>
      <c r="X110" s="236" t="str">
        <f t="shared" si="114"/>
        <v/>
      </c>
      <c r="Y110" s="236" t="str">
        <f t="shared" si="115"/>
        <v/>
      </c>
      <c r="Z110" s="235" t="str">
        <f t="shared" si="116"/>
        <v/>
      </c>
      <c r="AB110" s="1062"/>
    </row>
    <row r="111" spans="1:28" ht="13.9" customHeight="1" x14ac:dyDescent="0.25">
      <c r="A111" s="847">
        <f>Chem!A111</f>
        <v>109</v>
      </c>
      <c r="B111" s="855" t="str">
        <f>Chem!B111</f>
        <v>1,3-Dinitrobenzene</v>
      </c>
      <c r="C111" s="343" t="s">
        <v>232</v>
      </c>
      <c r="D111" s="384" t="s">
        <v>232</v>
      </c>
      <c r="E111" s="384" t="s">
        <v>232</v>
      </c>
      <c r="F111" s="384" t="str">
        <f t="shared" si="132"/>
        <v>na</v>
      </c>
      <c r="G111" s="400">
        <f>'GW-Eq'!G111</f>
        <v>1.6</v>
      </c>
      <c r="H111" s="400" t="str">
        <f t="shared" si="133"/>
        <v>na</v>
      </c>
      <c r="I111" s="400" t="str">
        <f t="shared" si="134"/>
        <v>na</v>
      </c>
      <c r="J111" s="403">
        <f t="shared" si="135"/>
        <v>1.6</v>
      </c>
      <c r="K111" s="271" t="str">
        <f>'GW-Eq'!H111</f>
        <v>na</v>
      </c>
      <c r="L111" s="271" t="str">
        <f t="shared" si="136"/>
        <v>na</v>
      </c>
      <c r="M111" s="271" t="str">
        <f t="shared" si="137"/>
        <v>na</v>
      </c>
      <c r="N111" s="271" t="str">
        <f t="shared" si="138"/>
        <v>na</v>
      </c>
      <c r="O111" s="330">
        <f t="shared" si="117"/>
        <v>1.6</v>
      </c>
      <c r="P111" s="2523" t="str">
        <f>VI!F111</f>
        <v>na</v>
      </c>
      <c r="R111" s="264">
        <f t="shared" ref="R111:R145" si="139">IF(MIN(O111,P111)=0,"na",MIN(O111,P111))</f>
        <v>1.6</v>
      </c>
      <c r="S111" s="236" t="str">
        <f t="shared" ref="S111:S145" si="140">IF($R111="na","",IF($R111=$C111,"X",""))</f>
        <v/>
      </c>
      <c r="T111" s="236" t="str">
        <f t="shared" ref="T111:T145" si="141">IF($R111="na","",IF($R111=$D111,"X",""))</f>
        <v/>
      </c>
      <c r="U111" s="236" t="str">
        <f t="shared" ref="U111:U145" si="142">IF($R111="na","",IF($R111=$E111,"X",""))</f>
        <v/>
      </c>
      <c r="V111" s="236" t="str">
        <f t="shared" ref="V111:V145" si="143">IF($R111="na","",IF(AND($F111="na",$R111=$J111),"X",""))</f>
        <v>X</v>
      </c>
      <c r="W111" s="236" t="str">
        <f t="shared" ref="W111:W145" si="144">IF($R111="na","",IF(AND($F111="na",$R111=$N111),"X",""))</f>
        <v/>
      </c>
      <c r="X111" s="236" t="str">
        <f t="shared" ref="X111:X145" si="145">IF(OR($R111="na",$J111="na"),"",IF(AND(ISNUMBER($F111),I111="YES",$R111=$J111),"X",""))</f>
        <v/>
      </c>
      <c r="Y111" s="236" t="str">
        <f t="shared" ref="Y111:Y145" si="146">IF(OR($R111="na",$N111="na"),"",IF(AND(ISNUMBER($F111),$R111=10*$K111),"X",""))</f>
        <v/>
      </c>
      <c r="Z111" s="235" t="str">
        <f t="shared" ref="Z111:Z145" si="147">IF($R111="na","",IF($R111=$P111,"X",""))</f>
        <v/>
      </c>
      <c r="AB111" s="1062"/>
    </row>
    <row r="112" spans="1:28" ht="13.9" customHeight="1" x14ac:dyDescent="0.25">
      <c r="A112" s="847">
        <f>Chem!A112</f>
        <v>110</v>
      </c>
      <c r="B112" s="855" t="str">
        <f>Chem!B112</f>
        <v>1,4-Dinitrobenzene</v>
      </c>
      <c r="C112" s="343" t="s">
        <v>232</v>
      </c>
      <c r="D112" s="384" t="s">
        <v>232</v>
      </c>
      <c r="E112" s="384" t="s">
        <v>232</v>
      </c>
      <c r="F112" s="384" t="str">
        <f t="shared" si="132"/>
        <v>na</v>
      </c>
      <c r="G112" s="400">
        <f>'GW-Eq'!G112</f>
        <v>1.6</v>
      </c>
      <c r="H112" s="400" t="str">
        <f t="shared" si="133"/>
        <v>na</v>
      </c>
      <c r="I112" s="400" t="str">
        <f t="shared" si="134"/>
        <v>na</v>
      </c>
      <c r="J112" s="403">
        <f t="shared" si="135"/>
        <v>1.6</v>
      </c>
      <c r="K112" s="271" t="str">
        <f>'GW-Eq'!H112</f>
        <v>na</v>
      </c>
      <c r="L112" s="271" t="str">
        <f t="shared" si="136"/>
        <v>na</v>
      </c>
      <c r="M112" s="271" t="str">
        <f t="shared" si="137"/>
        <v>na</v>
      </c>
      <c r="N112" s="271" t="str">
        <f t="shared" si="138"/>
        <v>na</v>
      </c>
      <c r="O112" s="330">
        <f t="shared" si="117"/>
        <v>1.6</v>
      </c>
      <c r="P112" s="2523" t="str">
        <f>VI!F112</f>
        <v>na</v>
      </c>
      <c r="R112" s="264">
        <f t="shared" si="139"/>
        <v>1.6</v>
      </c>
      <c r="S112" s="236" t="str">
        <f t="shared" si="140"/>
        <v/>
      </c>
      <c r="T112" s="236" t="str">
        <f t="shared" si="141"/>
        <v/>
      </c>
      <c r="U112" s="236" t="str">
        <f t="shared" si="142"/>
        <v/>
      </c>
      <c r="V112" s="236" t="str">
        <f t="shared" si="143"/>
        <v>X</v>
      </c>
      <c r="W112" s="236" t="str">
        <f t="shared" si="144"/>
        <v/>
      </c>
      <c r="X112" s="236" t="str">
        <f t="shared" si="145"/>
        <v/>
      </c>
      <c r="Y112" s="236" t="str">
        <f t="shared" si="146"/>
        <v/>
      </c>
      <c r="Z112" s="235" t="str">
        <f t="shared" si="147"/>
        <v/>
      </c>
      <c r="AB112" s="1062"/>
    </row>
    <row r="113" spans="1:28" ht="13.9" customHeight="1" x14ac:dyDescent="0.25">
      <c r="A113" s="847">
        <f>Chem!A113</f>
        <v>111</v>
      </c>
      <c r="B113" s="855" t="str">
        <f>Chem!B113</f>
        <v>4,6-Dinitro-o-cresol (DNOC)</v>
      </c>
      <c r="C113" s="343" t="s">
        <v>232</v>
      </c>
      <c r="D113" s="384" t="s">
        <v>232</v>
      </c>
      <c r="E113" s="384" t="s">
        <v>232</v>
      </c>
      <c r="F113" s="384" t="str">
        <f t="shared" si="101"/>
        <v>na</v>
      </c>
      <c r="G113" s="400">
        <f>'GW-Eq'!G113</f>
        <v>1.28</v>
      </c>
      <c r="H113" s="400" t="str">
        <f t="shared" si="102"/>
        <v>na</v>
      </c>
      <c r="I113" s="400" t="str">
        <f t="shared" si="103"/>
        <v>na</v>
      </c>
      <c r="J113" s="403">
        <f t="shared" si="104"/>
        <v>1.28</v>
      </c>
      <c r="K113" s="271" t="str">
        <f>'GW-Eq'!H113</f>
        <v>na</v>
      </c>
      <c r="L113" s="271" t="str">
        <f t="shared" si="105"/>
        <v>na</v>
      </c>
      <c r="M113" s="271" t="str">
        <f t="shared" si="106"/>
        <v>na</v>
      </c>
      <c r="N113" s="271" t="str">
        <f t="shared" si="107"/>
        <v>na</v>
      </c>
      <c r="O113" s="330">
        <f t="shared" si="117"/>
        <v>1.28</v>
      </c>
      <c r="P113" s="2523" t="str">
        <f>VI!F113</f>
        <v>na</v>
      </c>
      <c r="R113" s="264">
        <f t="shared" si="139"/>
        <v>1.28</v>
      </c>
      <c r="S113" s="236" t="str">
        <f t="shared" si="140"/>
        <v/>
      </c>
      <c r="T113" s="236" t="str">
        <f t="shared" si="141"/>
        <v/>
      </c>
      <c r="U113" s="236" t="str">
        <f t="shared" si="142"/>
        <v/>
      </c>
      <c r="V113" s="236" t="str">
        <f t="shared" si="143"/>
        <v>X</v>
      </c>
      <c r="W113" s="236" t="str">
        <f t="shared" si="144"/>
        <v/>
      </c>
      <c r="X113" s="236" t="str">
        <f t="shared" si="145"/>
        <v/>
      </c>
      <c r="Y113" s="236" t="str">
        <f t="shared" si="146"/>
        <v/>
      </c>
      <c r="Z113" s="235" t="str">
        <f t="shared" si="147"/>
        <v/>
      </c>
      <c r="AB113" s="1062"/>
    </row>
    <row r="114" spans="1:28" ht="13.9" customHeight="1" x14ac:dyDescent="0.25">
      <c r="A114" s="847">
        <f>Chem!A114</f>
        <v>112</v>
      </c>
      <c r="B114" s="855" t="str">
        <f>Chem!B114</f>
        <v>2,4-Dinitrophenol</v>
      </c>
      <c r="C114" s="343" t="s">
        <v>232</v>
      </c>
      <c r="D114" s="384" t="s">
        <v>232</v>
      </c>
      <c r="E114" s="384" t="s">
        <v>232</v>
      </c>
      <c r="F114" s="384" t="str">
        <f t="shared" si="101"/>
        <v>na</v>
      </c>
      <c r="G114" s="400">
        <f>'GW-Eq'!G114</f>
        <v>32</v>
      </c>
      <c r="H114" s="400" t="str">
        <f t="shared" si="102"/>
        <v>na</v>
      </c>
      <c r="I114" s="400" t="str">
        <f t="shared" si="103"/>
        <v>na</v>
      </c>
      <c r="J114" s="403">
        <f t="shared" si="104"/>
        <v>32</v>
      </c>
      <c r="K114" s="271" t="str">
        <f>'GW-Eq'!H114</f>
        <v>na</v>
      </c>
      <c r="L114" s="271" t="str">
        <f t="shared" si="105"/>
        <v>na</v>
      </c>
      <c r="M114" s="271" t="str">
        <f t="shared" si="106"/>
        <v>na</v>
      </c>
      <c r="N114" s="271" t="str">
        <f t="shared" si="107"/>
        <v>na</v>
      </c>
      <c r="O114" s="330">
        <f t="shared" si="117"/>
        <v>32</v>
      </c>
      <c r="P114" s="2523" t="str">
        <f>VI!F114</f>
        <v>na</v>
      </c>
      <c r="R114" s="264">
        <f t="shared" si="139"/>
        <v>32</v>
      </c>
      <c r="S114" s="236" t="str">
        <f t="shared" si="140"/>
        <v/>
      </c>
      <c r="T114" s="236" t="str">
        <f t="shared" si="141"/>
        <v/>
      </c>
      <c r="U114" s="236" t="str">
        <f t="shared" si="142"/>
        <v/>
      </c>
      <c r="V114" s="236" t="str">
        <f t="shared" si="143"/>
        <v>X</v>
      </c>
      <c r="W114" s="236" t="str">
        <f t="shared" si="144"/>
        <v/>
      </c>
      <c r="X114" s="236" t="str">
        <f t="shared" si="145"/>
        <v/>
      </c>
      <c r="Y114" s="236" t="str">
        <f t="shared" si="146"/>
        <v/>
      </c>
      <c r="Z114" s="235" t="str">
        <f t="shared" si="147"/>
        <v/>
      </c>
      <c r="AB114" s="1062"/>
    </row>
    <row r="115" spans="1:28" ht="13.9" customHeight="1" x14ac:dyDescent="0.25">
      <c r="A115" s="847">
        <f>Chem!A115</f>
        <v>113</v>
      </c>
      <c r="B115" s="855" t="str">
        <f>Chem!B115</f>
        <v>2,4-Dinitrotoluene</v>
      </c>
      <c r="C115" s="343" t="s">
        <v>232</v>
      </c>
      <c r="D115" s="384" t="s">
        <v>232</v>
      </c>
      <c r="E115" s="384" t="s">
        <v>232</v>
      </c>
      <c r="F115" s="384" t="str">
        <f t="shared" si="101"/>
        <v>na</v>
      </c>
      <c r="G115" s="400">
        <f>'GW-Eq'!G115</f>
        <v>32</v>
      </c>
      <c r="H115" s="400" t="str">
        <f t="shared" si="102"/>
        <v>na</v>
      </c>
      <c r="I115" s="400" t="str">
        <f t="shared" si="103"/>
        <v>na</v>
      </c>
      <c r="J115" s="403">
        <f t="shared" si="104"/>
        <v>32</v>
      </c>
      <c r="K115" s="271">
        <f>'GW-Eq'!H115</f>
        <v>0.28225806451612895</v>
      </c>
      <c r="L115" s="271" t="str">
        <f t="shared" si="105"/>
        <v>na</v>
      </c>
      <c r="M115" s="271" t="str">
        <f t="shared" si="106"/>
        <v>na</v>
      </c>
      <c r="N115" s="271">
        <f t="shared" si="107"/>
        <v>0.28225806451612895</v>
      </c>
      <c r="O115" s="330">
        <f t="shared" si="117"/>
        <v>0.28225806451612895</v>
      </c>
      <c r="P115" s="2523" t="str">
        <f>VI!F115</f>
        <v>na</v>
      </c>
      <c r="R115" s="264">
        <f t="shared" si="139"/>
        <v>0.28225806451612895</v>
      </c>
      <c r="S115" s="236" t="str">
        <f t="shared" si="140"/>
        <v/>
      </c>
      <c r="T115" s="236" t="str">
        <f t="shared" si="141"/>
        <v/>
      </c>
      <c r="U115" s="236" t="str">
        <f t="shared" si="142"/>
        <v/>
      </c>
      <c r="V115" s="236" t="str">
        <f t="shared" si="143"/>
        <v/>
      </c>
      <c r="W115" s="236" t="str">
        <f t="shared" si="144"/>
        <v>X</v>
      </c>
      <c r="X115" s="236" t="str">
        <f t="shared" si="145"/>
        <v/>
      </c>
      <c r="Y115" s="236" t="str">
        <f t="shared" si="146"/>
        <v/>
      </c>
      <c r="Z115" s="235" t="str">
        <f t="shared" si="147"/>
        <v/>
      </c>
      <c r="AB115" s="1062"/>
    </row>
    <row r="116" spans="1:28" ht="13.9" customHeight="1" x14ac:dyDescent="0.25">
      <c r="A116" s="842">
        <f>Chem!A116</f>
        <v>114</v>
      </c>
      <c r="B116" s="855" t="str">
        <f>Chem!B116</f>
        <v>2,6-Dinitrotoluene</v>
      </c>
      <c r="C116" s="343" t="s">
        <v>232</v>
      </c>
      <c r="D116" s="384" t="s">
        <v>232</v>
      </c>
      <c r="E116" s="384" t="s">
        <v>232</v>
      </c>
      <c r="F116" s="384" t="str">
        <f t="shared" ref="F116:F145" si="148">IF(C116="na",IF(D116="na",IF(E116="na","na",MIN(C116:E116)),MIN(C116:E116)),MIN(C116:E116))</f>
        <v>na</v>
      </c>
      <c r="G116" s="400">
        <f>'GW-Eq'!G116</f>
        <v>4.8</v>
      </c>
      <c r="H116" s="400" t="str">
        <f t="shared" ref="H116:H145" si="149">IF(F116="na","na",IF(G116="na","na",F116/G116))</f>
        <v>na</v>
      </c>
      <c r="I116" s="400" t="str">
        <f t="shared" si="103"/>
        <v>na</v>
      </c>
      <c r="J116" s="403">
        <f t="shared" si="104"/>
        <v>4.8</v>
      </c>
      <c r="K116" s="271">
        <f>'GW-Eq'!H116</f>
        <v>5.833333333333332E-2</v>
      </c>
      <c r="L116" s="271" t="str">
        <f t="shared" ref="L116:L145" si="150">IF(F116="na","na",IF(K116="na","na",F116/K116))</f>
        <v>na</v>
      </c>
      <c r="M116" s="271" t="str">
        <f t="shared" si="106"/>
        <v>na</v>
      </c>
      <c r="N116" s="271">
        <f t="shared" si="107"/>
        <v>5.833333333333332E-2</v>
      </c>
      <c r="O116" s="330">
        <f t="shared" si="117"/>
        <v>5.833333333333332E-2</v>
      </c>
      <c r="P116" s="2523" t="str">
        <f>VI!F116</f>
        <v>na</v>
      </c>
      <c r="R116" s="264">
        <f t="shared" si="139"/>
        <v>5.833333333333332E-2</v>
      </c>
      <c r="S116" s="236" t="str">
        <f t="shared" si="140"/>
        <v/>
      </c>
      <c r="T116" s="236" t="str">
        <f t="shared" si="141"/>
        <v/>
      </c>
      <c r="U116" s="236" t="str">
        <f t="shared" si="142"/>
        <v/>
      </c>
      <c r="V116" s="236" t="str">
        <f t="shared" si="143"/>
        <v/>
      </c>
      <c r="W116" s="236" t="str">
        <f t="shared" si="144"/>
        <v>X</v>
      </c>
      <c r="X116" s="236" t="str">
        <f t="shared" si="145"/>
        <v/>
      </c>
      <c r="Y116" s="236" t="str">
        <f t="shared" si="146"/>
        <v/>
      </c>
      <c r="Z116" s="235" t="str">
        <f t="shared" si="147"/>
        <v/>
      </c>
      <c r="AB116" s="1062"/>
    </row>
    <row r="117" spans="1:28" ht="13.9" customHeight="1" x14ac:dyDescent="0.25">
      <c r="A117" s="847">
        <f>Chem!A117</f>
        <v>115</v>
      </c>
      <c r="B117" s="855" t="str">
        <f>Chem!B117</f>
        <v>Di-n-octyl phthalate</v>
      </c>
      <c r="C117" s="343" t="s">
        <v>232</v>
      </c>
      <c r="D117" s="384" t="s">
        <v>232</v>
      </c>
      <c r="E117" s="384" t="s">
        <v>232</v>
      </c>
      <c r="F117" s="384" t="str">
        <f t="shared" si="148"/>
        <v>na</v>
      </c>
      <c r="G117" s="400">
        <f>'GW-Eq'!G117</f>
        <v>160</v>
      </c>
      <c r="H117" s="400" t="str">
        <f t="shared" si="149"/>
        <v>na</v>
      </c>
      <c r="I117" s="400" t="str">
        <f t="shared" si="103"/>
        <v>na</v>
      </c>
      <c r="J117" s="403">
        <f t="shared" si="104"/>
        <v>160</v>
      </c>
      <c r="K117" s="271" t="str">
        <f>'GW-Eq'!H117</f>
        <v>na</v>
      </c>
      <c r="L117" s="271" t="str">
        <f t="shared" si="150"/>
        <v>na</v>
      </c>
      <c r="M117" s="271" t="str">
        <f t="shared" si="106"/>
        <v>na</v>
      </c>
      <c r="N117" s="271" t="str">
        <f t="shared" si="107"/>
        <v>na</v>
      </c>
      <c r="O117" s="330">
        <f t="shared" si="117"/>
        <v>160</v>
      </c>
      <c r="P117" s="2523" t="str">
        <f>VI!F117</f>
        <v>na</v>
      </c>
      <c r="R117" s="264">
        <f t="shared" si="139"/>
        <v>160</v>
      </c>
      <c r="S117" s="236" t="str">
        <f t="shared" si="140"/>
        <v/>
      </c>
      <c r="T117" s="236" t="str">
        <f t="shared" si="141"/>
        <v/>
      </c>
      <c r="U117" s="236" t="str">
        <f t="shared" si="142"/>
        <v/>
      </c>
      <c r="V117" s="236" t="str">
        <f t="shared" si="143"/>
        <v>X</v>
      </c>
      <c r="W117" s="236" t="str">
        <f t="shared" si="144"/>
        <v/>
      </c>
      <c r="X117" s="236" t="str">
        <f t="shared" si="145"/>
        <v/>
      </c>
      <c r="Y117" s="236" t="str">
        <f t="shared" si="146"/>
        <v/>
      </c>
      <c r="Z117" s="235" t="str">
        <f t="shared" si="147"/>
        <v/>
      </c>
      <c r="AB117" s="1062"/>
    </row>
    <row r="118" spans="1:28" ht="13.9" customHeight="1" x14ac:dyDescent="0.25">
      <c r="A118" s="848">
        <f>Chem!A118</f>
        <v>116</v>
      </c>
      <c r="B118" s="855" t="str">
        <f>Chem!B118</f>
        <v>1,4-Dioxane</v>
      </c>
      <c r="C118" s="338" t="s">
        <v>232</v>
      </c>
      <c r="D118" s="394" t="s">
        <v>232</v>
      </c>
      <c r="E118" s="394" t="s">
        <v>232</v>
      </c>
      <c r="F118" s="394" t="str">
        <f t="shared" si="148"/>
        <v>na</v>
      </c>
      <c r="G118" s="407">
        <f>'GW-Eq'!G118</f>
        <v>240</v>
      </c>
      <c r="H118" s="407" t="str">
        <f t="shared" si="149"/>
        <v>na</v>
      </c>
      <c r="I118" s="407" t="str">
        <f t="shared" si="103"/>
        <v>na</v>
      </c>
      <c r="J118" s="403">
        <f t="shared" si="104"/>
        <v>240</v>
      </c>
      <c r="K118" s="217">
        <f>'GW-Eq'!H118</f>
        <v>0.43749999999999989</v>
      </c>
      <c r="L118" s="217" t="str">
        <f t="shared" si="150"/>
        <v>na</v>
      </c>
      <c r="M118" s="217" t="str">
        <f t="shared" si="106"/>
        <v>na</v>
      </c>
      <c r="N118" s="217">
        <f t="shared" si="107"/>
        <v>0.43749999999999989</v>
      </c>
      <c r="O118" s="330">
        <f t="shared" si="117"/>
        <v>0.43749999999999989</v>
      </c>
      <c r="P118" s="2523">
        <f>VI!F118</f>
        <v>4705.7080608872202</v>
      </c>
      <c r="R118" s="264">
        <f t="shared" si="139"/>
        <v>0.43749999999999989</v>
      </c>
      <c r="S118" s="236" t="str">
        <f t="shared" si="140"/>
        <v/>
      </c>
      <c r="T118" s="236" t="str">
        <f t="shared" si="141"/>
        <v/>
      </c>
      <c r="U118" s="236" t="str">
        <f t="shared" si="142"/>
        <v/>
      </c>
      <c r="V118" s="236" t="str">
        <f t="shared" si="143"/>
        <v/>
      </c>
      <c r="W118" s="236" t="str">
        <f t="shared" si="144"/>
        <v>X</v>
      </c>
      <c r="X118" s="236" t="str">
        <f t="shared" si="145"/>
        <v/>
      </c>
      <c r="Y118" s="236" t="str">
        <f t="shared" si="146"/>
        <v/>
      </c>
      <c r="Z118" s="235" t="str">
        <f t="shared" si="147"/>
        <v/>
      </c>
      <c r="AB118" s="1062"/>
    </row>
    <row r="119" spans="1:28" ht="13.9" customHeight="1" x14ac:dyDescent="0.25">
      <c r="A119" s="848">
        <f>Chem!A119</f>
        <v>117</v>
      </c>
      <c r="B119" s="855" t="str">
        <f>Chem!B119</f>
        <v>1,2-Diphenylhydrazine</v>
      </c>
      <c r="C119" s="338" t="s">
        <v>232</v>
      </c>
      <c r="D119" s="394" t="s">
        <v>232</v>
      </c>
      <c r="E119" s="394" t="s">
        <v>232</v>
      </c>
      <c r="F119" s="394" t="str">
        <f t="shared" si="148"/>
        <v>na</v>
      </c>
      <c r="G119" s="407" t="str">
        <f>'GW-Eq'!G119</f>
        <v>na</v>
      </c>
      <c r="H119" s="407" t="str">
        <f t="shared" si="149"/>
        <v>na</v>
      </c>
      <c r="I119" s="407" t="str">
        <f t="shared" si="103"/>
        <v>na</v>
      </c>
      <c r="J119" s="403" t="str">
        <f t="shared" si="104"/>
        <v>na</v>
      </c>
      <c r="K119" s="217">
        <f>'GW-Eq'!H119</f>
        <v>0.10937499999999997</v>
      </c>
      <c r="L119" s="217" t="str">
        <f t="shared" si="150"/>
        <v>na</v>
      </c>
      <c r="M119" s="217" t="str">
        <f t="shared" si="106"/>
        <v>na</v>
      </c>
      <c r="N119" s="217">
        <f t="shared" si="107"/>
        <v>0.10937499999999997</v>
      </c>
      <c r="O119" s="330">
        <f t="shared" si="117"/>
        <v>0.10937499999999997</v>
      </c>
      <c r="P119" s="2523" t="str">
        <f>VI!F119</f>
        <v>na</v>
      </c>
      <c r="R119" s="264">
        <f t="shared" si="139"/>
        <v>0.10937499999999997</v>
      </c>
      <c r="S119" s="236" t="str">
        <f t="shared" si="140"/>
        <v/>
      </c>
      <c r="T119" s="236" t="str">
        <f t="shared" si="141"/>
        <v/>
      </c>
      <c r="U119" s="236" t="str">
        <f t="shared" si="142"/>
        <v/>
      </c>
      <c r="V119" s="236" t="str">
        <f t="shared" si="143"/>
        <v/>
      </c>
      <c r="W119" s="236" t="str">
        <f t="shared" si="144"/>
        <v>X</v>
      </c>
      <c r="X119" s="236" t="str">
        <f t="shared" si="145"/>
        <v/>
      </c>
      <c r="Y119" s="236" t="str">
        <f t="shared" si="146"/>
        <v/>
      </c>
      <c r="Z119" s="235" t="str">
        <f t="shared" si="147"/>
        <v/>
      </c>
      <c r="AB119" s="1062"/>
    </row>
    <row r="120" spans="1:28" ht="13.9" customHeight="1" x14ac:dyDescent="0.25">
      <c r="A120" s="847">
        <f>Chem!A120</f>
        <v>118</v>
      </c>
      <c r="B120" s="855" t="str">
        <f>Chem!B120</f>
        <v>Hexachlorobenzene</v>
      </c>
      <c r="C120" s="343">
        <v>1</v>
      </c>
      <c r="D120" s="384" t="s">
        <v>232</v>
      </c>
      <c r="E120" s="384">
        <v>1</v>
      </c>
      <c r="F120" s="384">
        <f t="shared" si="148"/>
        <v>1</v>
      </c>
      <c r="G120" s="400">
        <f>'GW-Eq'!G120</f>
        <v>6.4</v>
      </c>
      <c r="H120" s="400">
        <f t="shared" si="149"/>
        <v>0.15625</v>
      </c>
      <c r="I120" s="400" t="str">
        <f t="shared" si="103"/>
        <v>no</v>
      </c>
      <c r="J120" s="403">
        <f t="shared" si="104"/>
        <v>1</v>
      </c>
      <c r="K120" s="271">
        <f>'GW-Eq'!H120</f>
        <v>2.7343749999999993E-2</v>
      </c>
      <c r="L120" s="271">
        <f t="shared" si="150"/>
        <v>36.571428571428584</v>
      </c>
      <c r="M120" s="271" t="str">
        <f t="shared" si="106"/>
        <v>YES</v>
      </c>
      <c r="N120" s="271">
        <f t="shared" si="107"/>
        <v>0.27343749999999994</v>
      </c>
      <c r="O120" s="330">
        <f t="shared" si="117"/>
        <v>0.27343749999999994</v>
      </c>
      <c r="P120" s="2523">
        <f>VI!F120</f>
        <v>0.24475479887319596</v>
      </c>
      <c r="R120" s="264">
        <f t="shared" si="139"/>
        <v>0.24475479887319596</v>
      </c>
      <c r="S120" s="236" t="str">
        <f t="shared" si="140"/>
        <v/>
      </c>
      <c r="T120" s="236" t="str">
        <f t="shared" si="141"/>
        <v/>
      </c>
      <c r="U120" s="236" t="str">
        <f t="shared" si="142"/>
        <v/>
      </c>
      <c r="V120" s="236" t="str">
        <f t="shared" si="143"/>
        <v/>
      </c>
      <c r="W120" s="236" t="str">
        <f t="shared" si="144"/>
        <v/>
      </c>
      <c r="X120" s="236" t="str">
        <f t="shared" si="145"/>
        <v/>
      </c>
      <c r="Y120" s="236" t="str">
        <f t="shared" si="146"/>
        <v/>
      </c>
      <c r="Z120" s="235" t="str">
        <f t="shared" si="147"/>
        <v>X</v>
      </c>
      <c r="AB120" s="1062"/>
    </row>
    <row r="121" spans="1:28" ht="13.9" customHeight="1" x14ac:dyDescent="0.25">
      <c r="A121" s="847">
        <f>Chem!A121</f>
        <v>119</v>
      </c>
      <c r="B121" s="855" t="str">
        <f>Chem!B121</f>
        <v>Hexachlorobutadiene</v>
      </c>
      <c r="C121" s="343" t="s">
        <v>232</v>
      </c>
      <c r="D121" s="384" t="s">
        <v>232</v>
      </c>
      <c r="E121" s="384" t="s">
        <v>232</v>
      </c>
      <c r="F121" s="384" t="str">
        <f t="shared" si="148"/>
        <v>na</v>
      </c>
      <c r="G121" s="400">
        <f>'GW-Eq'!G121</f>
        <v>8</v>
      </c>
      <c r="H121" s="400" t="str">
        <f t="shared" si="149"/>
        <v>na</v>
      </c>
      <c r="I121" s="400" t="str">
        <f t="shared" si="103"/>
        <v>na</v>
      </c>
      <c r="J121" s="403">
        <f t="shared" si="104"/>
        <v>8</v>
      </c>
      <c r="K121" s="271">
        <f>'GW-Eq'!H121</f>
        <v>0.56089743589743579</v>
      </c>
      <c r="L121" s="271" t="str">
        <f t="shared" si="150"/>
        <v>na</v>
      </c>
      <c r="M121" s="271" t="str">
        <f t="shared" si="106"/>
        <v>na</v>
      </c>
      <c r="N121" s="271">
        <f t="shared" si="107"/>
        <v>0.56089743589743579</v>
      </c>
      <c r="O121" s="330">
        <f t="shared" si="117"/>
        <v>0.56089743589743579</v>
      </c>
      <c r="P121" s="2523">
        <f>VI!F121</f>
        <v>0.63832240638214333</v>
      </c>
      <c r="R121" s="264">
        <f t="shared" si="139"/>
        <v>0.56089743589743579</v>
      </c>
      <c r="S121" s="236" t="str">
        <f t="shared" si="140"/>
        <v/>
      </c>
      <c r="T121" s="236" t="str">
        <f t="shared" si="141"/>
        <v/>
      </c>
      <c r="U121" s="236" t="str">
        <f t="shared" si="142"/>
        <v/>
      </c>
      <c r="V121" s="236" t="str">
        <f t="shared" si="143"/>
        <v/>
      </c>
      <c r="W121" s="236" t="str">
        <f t="shared" si="144"/>
        <v>X</v>
      </c>
      <c r="X121" s="236" t="str">
        <f t="shared" si="145"/>
        <v/>
      </c>
      <c r="Y121" s="236" t="str">
        <f t="shared" si="146"/>
        <v/>
      </c>
      <c r="Z121" s="235" t="str">
        <f t="shared" si="147"/>
        <v/>
      </c>
      <c r="AB121" s="1062"/>
    </row>
    <row r="122" spans="1:28" ht="13.9" customHeight="1" x14ac:dyDescent="0.25">
      <c r="A122" s="847">
        <f>Chem!A122</f>
        <v>120</v>
      </c>
      <c r="B122" s="855" t="str">
        <f>Chem!B122</f>
        <v>Hexachlorocyclopentadiene</v>
      </c>
      <c r="C122" s="343">
        <v>50</v>
      </c>
      <c r="D122" s="384">
        <v>50</v>
      </c>
      <c r="E122" s="384">
        <v>50</v>
      </c>
      <c r="F122" s="384">
        <f t="shared" si="148"/>
        <v>50</v>
      </c>
      <c r="G122" s="400">
        <f>'GW-Eq'!G122</f>
        <v>48</v>
      </c>
      <c r="H122" s="400">
        <f t="shared" si="149"/>
        <v>1.0416666666666667</v>
      </c>
      <c r="I122" s="400" t="str">
        <f t="shared" si="103"/>
        <v>YES</v>
      </c>
      <c r="J122" s="403">
        <f t="shared" si="104"/>
        <v>48</v>
      </c>
      <c r="K122" s="271" t="str">
        <f>'GW-Eq'!H122</f>
        <v>na</v>
      </c>
      <c r="L122" s="271" t="str">
        <f t="shared" si="150"/>
        <v>na</v>
      </c>
      <c r="M122" s="271" t="str">
        <f t="shared" si="106"/>
        <v>na</v>
      </c>
      <c r="N122" s="271" t="str">
        <f t="shared" si="107"/>
        <v>na</v>
      </c>
      <c r="O122" s="330">
        <f t="shared" si="117"/>
        <v>48</v>
      </c>
      <c r="P122" s="2523">
        <f>VI!F122</f>
        <v>4.2161959094510761</v>
      </c>
      <c r="R122" s="264">
        <f t="shared" si="139"/>
        <v>4.2161959094510761</v>
      </c>
      <c r="S122" s="236" t="str">
        <f t="shared" si="140"/>
        <v/>
      </c>
      <c r="T122" s="236" t="str">
        <f t="shared" si="141"/>
        <v/>
      </c>
      <c r="U122" s="236" t="str">
        <f t="shared" si="142"/>
        <v/>
      </c>
      <c r="V122" s="236" t="str">
        <f t="shared" si="143"/>
        <v/>
      </c>
      <c r="W122" s="236" t="str">
        <f t="shared" si="144"/>
        <v/>
      </c>
      <c r="X122" s="236" t="str">
        <f t="shared" si="145"/>
        <v/>
      </c>
      <c r="Y122" s="236" t="str">
        <f t="shared" si="146"/>
        <v/>
      </c>
      <c r="Z122" s="235" t="str">
        <f t="shared" si="147"/>
        <v>X</v>
      </c>
      <c r="AB122" s="1062"/>
    </row>
    <row r="123" spans="1:28" ht="13.9" customHeight="1" x14ac:dyDescent="0.25">
      <c r="A123" s="847">
        <f>Chem!A123</f>
        <v>121</v>
      </c>
      <c r="B123" s="855" t="str">
        <f>Chem!B123</f>
        <v>Hexachloroethane</v>
      </c>
      <c r="C123" s="343" t="s">
        <v>232</v>
      </c>
      <c r="D123" s="384" t="s">
        <v>232</v>
      </c>
      <c r="E123" s="384" t="s">
        <v>232</v>
      </c>
      <c r="F123" s="384" t="str">
        <f t="shared" si="148"/>
        <v>na</v>
      </c>
      <c r="G123" s="400">
        <f>'GW-Eq'!G123</f>
        <v>5.6</v>
      </c>
      <c r="H123" s="400" t="str">
        <f t="shared" si="149"/>
        <v>na</v>
      </c>
      <c r="I123" s="400" t="str">
        <f t="shared" si="103"/>
        <v>na</v>
      </c>
      <c r="J123" s="403">
        <f t="shared" si="104"/>
        <v>5.6</v>
      </c>
      <c r="K123" s="271">
        <f>'GW-Eq'!H123</f>
        <v>1.0937499999999998</v>
      </c>
      <c r="L123" s="271" t="str">
        <f t="shared" si="150"/>
        <v>na</v>
      </c>
      <c r="M123" s="271" t="str">
        <f t="shared" si="106"/>
        <v>na</v>
      </c>
      <c r="N123" s="271">
        <f t="shared" si="107"/>
        <v>1.0937499999999998</v>
      </c>
      <c r="O123" s="330">
        <f t="shared" si="117"/>
        <v>1.0937499999999998</v>
      </c>
      <c r="P123" s="2523">
        <f>VI!F123</f>
        <v>3.8455622211967389</v>
      </c>
      <c r="R123" s="264">
        <f t="shared" si="139"/>
        <v>1.0937499999999998</v>
      </c>
      <c r="S123" s="236" t="str">
        <f t="shared" si="140"/>
        <v/>
      </c>
      <c r="T123" s="236" t="str">
        <f t="shared" si="141"/>
        <v/>
      </c>
      <c r="U123" s="236" t="str">
        <f t="shared" si="142"/>
        <v/>
      </c>
      <c r="V123" s="236" t="str">
        <f t="shared" si="143"/>
        <v/>
      </c>
      <c r="W123" s="236" t="str">
        <f t="shared" si="144"/>
        <v>X</v>
      </c>
      <c r="X123" s="236" t="str">
        <f t="shared" si="145"/>
        <v/>
      </c>
      <c r="Y123" s="236" t="str">
        <f t="shared" si="146"/>
        <v/>
      </c>
      <c r="Z123" s="235" t="str">
        <f t="shared" si="147"/>
        <v/>
      </c>
      <c r="AB123" s="1062"/>
    </row>
    <row r="124" spans="1:28" ht="13.9" customHeight="1" x14ac:dyDescent="0.25">
      <c r="A124" s="847">
        <f>Chem!A124</f>
        <v>122</v>
      </c>
      <c r="B124" s="855" t="str">
        <f>Chem!B124</f>
        <v>Isophorone</v>
      </c>
      <c r="C124" s="343" t="s">
        <v>232</v>
      </c>
      <c r="D124" s="384" t="s">
        <v>232</v>
      </c>
      <c r="E124" s="384" t="s">
        <v>232</v>
      </c>
      <c r="F124" s="384" t="str">
        <f t="shared" si="148"/>
        <v>na</v>
      </c>
      <c r="G124" s="400">
        <f>'GW-Eq'!G124</f>
        <v>3200</v>
      </c>
      <c r="H124" s="400" t="str">
        <f t="shared" si="149"/>
        <v>na</v>
      </c>
      <c r="I124" s="400" t="str">
        <f t="shared" si="103"/>
        <v>na</v>
      </c>
      <c r="J124" s="403">
        <f t="shared" si="104"/>
        <v>3200</v>
      </c>
      <c r="K124" s="271">
        <f>'GW-Eq'!H124</f>
        <v>92.105263157894711</v>
      </c>
      <c r="L124" s="271" t="str">
        <f t="shared" si="150"/>
        <v>na</v>
      </c>
      <c r="M124" s="271" t="str">
        <f t="shared" si="106"/>
        <v>na</v>
      </c>
      <c r="N124" s="271">
        <f t="shared" si="107"/>
        <v>92.105263157894711</v>
      </c>
      <c r="O124" s="330">
        <f t="shared" si="117"/>
        <v>92.105263157894711</v>
      </c>
      <c r="P124" s="2523" t="str">
        <f>VI!F124</f>
        <v>na</v>
      </c>
      <c r="R124" s="264">
        <f t="shared" si="139"/>
        <v>92.105263157894711</v>
      </c>
      <c r="S124" s="236" t="str">
        <f t="shared" si="140"/>
        <v/>
      </c>
      <c r="T124" s="236" t="str">
        <f t="shared" si="141"/>
        <v/>
      </c>
      <c r="U124" s="236" t="str">
        <f t="shared" si="142"/>
        <v/>
      </c>
      <c r="V124" s="236" t="str">
        <f t="shared" si="143"/>
        <v/>
      </c>
      <c r="W124" s="236" t="str">
        <f t="shared" si="144"/>
        <v>X</v>
      </c>
      <c r="X124" s="236" t="str">
        <f t="shared" si="145"/>
        <v/>
      </c>
      <c r="Y124" s="236" t="str">
        <f t="shared" si="146"/>
        <v/>
      </c>
      <c r="Z124" s="235" t="str">
        <f t="shared" si="147"/>
        <v/>
      </c>
      <c r="AB124" s="1062"/>
    </row>
    <row r="125" spans="1:28" ht="13.9" customHeight="1" x14ac:dyDescent="0.25">
      <c r="A125" s="847">
        <f>Chem!A125</f>
        <v>123</v>
      </c>
      <c r="B125" s="855" t="str">
        <f>Chem!B125</f>
        <v>2-Methoxynaphthalene</v>
      </c>
      <c r="C125" s="343" t="s">
        <v>232</v>
      </c>
      <c r="D125" s="384" t="s">
        <v>232</v>
      </c>
      <c r="E125" s="384" t="s">
        <v>232</v>
      </c>
      <c r="F125" s="384" t="str">
        <f t="shared" si="148"/>
        <v>na</v>
      </c>
      <c r="G125" s="400" t="str">
        <f>'GW-Eq'!G125</f>
        <v>na</v>
      </c>
      <c r="H125" s="400" t="str">
        <f t="shared" si="149"/>
        <v>na</v>
      </c>
      <c r="I125" s="400" t="str">
        <f t="shared" si="103"/>
        <v>na</v>
      </c>
      <c r="J125" s="403" t="str">
        <f t="shared" si="104"/>
        <v>na</v>
      </c>
      <c r="K125" s="271" t="str">
        <f>'GW-Eq'!H125</f>
        <v>na</v>
      </c>
      <c r="L125" s="271" t="str">
        <f t="shared" si="150"/>
        <v>na</v>
      </c>
      <c r="M125" s="271" t="str">
        <f t="shared" si="106"/>
        <v>na</v>
      </c>
      <c r="N125" s="271" t="str">
        <f t="shared" si="107"/>
        <v>na</v>
      </c>
      <c r="O125" s="330" t="str">
        <f t="shared" si="117"/>
        <v>na</v>
      </c>
      <c r="P125" s="2523" t="str">
        <f>VI!F125</f>
        <v>na</v>
      </c>
      <c r="R125" s="264" t="str">
        <f t="shared" si="139"/>
        <v>na</v>
      </c>
      <c r="S125" s="236" t="str">
        <f t="shared" si="140"/>
        <v/>
      </c>
      <c r="T125" s="236" t="str">
        <f t="shared" si="141"/>
        <v/>
      </c>
      <c r="U125" s="236" t="str">
        <f t="shared" si="142"/>
        <v/>
      </c>
      <c r="V125" s="236" t="str">
        <f t="shared" si="143"/>
        <v/>
      </c>
      <c r="W125" s="236" t="str">
        <f t="shared" si="144"/>
        <v/>
      </c>
      <c r="X125" s="236" t="str">
        <f t="shared" si="145"/>
        <v/>
      </c>
      <c r="Y125" s="236" t="str">
        <f t="shared" si="146"/>
        <v/>
      </c>
      <c r="Z125" s="235" t="str">
        <f t="shared" si="147"/>
        <v/>
      </c>
      <c r="AB125" s="1062"/>
    </row>
    <row r="126" spans="1:28" ht="13.9" customHeight="1" x14ac:dyDescent="0.25">
      <c r="A126" s="847">
        <f>Chem!A126</f>
        <v>124</v>
      </c>
      <c r="B126" s="855" t="str">
        <f>Chem!B126</f>
        <v>2-Methylphenol (o-cresol)</v>
      </c>
      <c r="C126" s="343" t="s">
        <v>232</v>
      </c>
      <c r="D126" s="384" t="s">
        <v>232</v>
      </c>
      <c r="E126" s="384" t="s">
        <v>232</v>
      </c>
      <c r="F126" s="384" t="str">
        <f t="shared" si="148"/>
        <v>na</v>
      </c>
      <c r="G126" s="400">
        <f>'GW-Eq'!G126</f>
        <v>800</v>
      </c>
      <c r="H126" s="400" t="str">
        <f t="shared" si="149"/>
        <v>na</v>
      </c>
      <c r="I126" s="400" t="str">
        <f t="shared" si="103"/>
        <v>na</v>
      </c>
      <c r="J126" s="403">
        <f t="shared" si="104"/>
        <v>800</v>
      </c>
      <c r="K126" s="271" t="str">
        <f>'GW-Eq'!H126</f>
        <v>na</v>
      </c>
      <c r="L126" s="271" t="str">
        <f t="shared" si="150"/>
        <v>na</v>
      </c>
      <c r="M126" s="271" t="str">
        <f t="shared" si="106"/>
        <v>na</v>
      </c>
      <c r="N126" s="271" t="str">
        <f t="shared" si="107"/>
        <v>na</v>
      </c>
      <c r="O126" s="330">
        <f t="shared" si="117"/>
        <v>800</v>
      </c>
      <c r="P126" s="2523" t="str">
        <f>VI!F126</f>
        <v>na</v>
      </c>
      <c r="R126" s="264">
        <f t="shared" si="139"/>
        <v>800</v>
      </c>
      <c r="S126" s="236" t="str">
        <f t="shared" si="140"/>
        <v/>
      </c>
      <c r="T126" s="236" t="str">
        <f t="shared" si="141"/>
        <v/>
      </c>
      <c r="U126" s="236" t="str">
        <f t="shared" si="142"/>
        <v/>
      </c>
      <c r="V126" s="236" t="str">
        <f t="shared" si="143"/>
        <v>X</v>
      </c>
      <c r="W126" s="236" t="str">
        <f t="shared" si="144"/>
        <v/>
      </c>
      <c r="X126" s="236" t="str">
        <f t="shared" si="145"/>
        <v/>
      </c>
      <c r="Y126" s="236" t="str">
        <f t="shared" si="146"/>
        <v/>
      </c>
      <c r="Z126" s="235" t="str">
        <f t="shared" si="147"/>
        <v/>
      </c>
      <c r="AB126" s="1062"/>
    </row>
    <row r="127" spans="1:28" ht="13.9" customHeight="1" x14ac:dyDescent="0.25">
      <c r="A127" s="847">
        <f>Chem!A127</f>
        <v>125</v>
      </c>
      <c r="B127" s="855" t="str">
        <f>Chem!B127</f>
        <v>3-Methylphenol (m-cresol)</v>
      </c>
      <c r="C127" s="343" t="s">
        <v>232</v>
      </c>
      <c r="D127" s="384" t="s">
        <v>232</v>
      </c>
      <c r="E127" s="384" t="s">
        <v>232</v>
      </c>
      <c r="F127" s="384" t="str">
        <f t="shared" ref="F127" si="151">IF(C127="na",IF(D127="na",IF(E127="na","na",MIN(C127:E127)),MIN(C127:E127)),MIN(C127:E127))</f>
        <v>na</v>
      </c>
      <c r="G127" s="400">
        <f>'GW-Eq'!G127</f>
        <v>800</v>
      </c>
      <c r="H127" s="400" t="str">
        <f t="shared" ref="H127" si="152">IF(F127="na","na",IF(G127="na","na",F127/G127))</f>
        <v>na</v>
      </c>
      <c r="I127" s="400" t="str">
        <f t="shared" ref="I127" si="153">IF(H127="na","na",IF(H127&gt;1,"YES","no"))</f>
        <v>na</v>
      </c>
      <c r="J127" s="403">
        <f t="shared" ref="J127" si="154">IF(I127="YES",G127,IF(ISNUMBER(F127),F127,G127))</f>
        <v>800</v>
      </c>
      <c r="K127" s="271" t="str">
        <f>'GW-Eq'!H127</f>
        <v>na</v>
      </c>
      <c r="L127" s="271" t="str">
        <f t="shared" ref="L127" si="155">IF(F127="na","na",IF(K127="na","na",F127/K127))</f>
        <v>na</v>
      </c>
      <c r="M127" s="271" t="str">
        <f t="shared" ref="M127" si="156">IF(L127="na","na",IF(L127&gt;10,"YES","no"))</f>
        <v>na</v>
      </c>
      <c r="N127" s="271" t="str">
        <f t="shared" ref="N127" si="157">IF(M127="YES",10*K127,IF(M127="no",F127,K127))</f>
        <v>na</v>
      </c>
      <c r="O127" s="330">
        <f t="shared" si="117"/>
        <v>800</v>
      </c>
      <c r="P127" s="2523" t="str">
        <f>VI!F127</f>
        <v>na</v>
      </c>
      <c r="R127" s="264">
        <f t="shared" si="139"/>
        <v>800</v>
      </c>
      <c r="S127" s="236" t="str">
        <f t="shared" si="140"/>
        <v/>
      </c>
      <c r="T127" s="236" t="str">
        <f t="shared" si="141"/>
        <v/>
      </c>
      <c r="U127" s="236" t="str">
        <f t="shared" si="142"/>
        <v/>
      </c>
      <c r="V127" s="236" t="str">
        <f t="shared" si="143"/>
        <v>X</v>
      </c>
      <c r="W127" s="236" t="str">
        <f t="shared" si="144"/>
        <v/>
      </c>
      <c r="X127" s="236" t="str">
        <f t="shared" si="145"/>
        <v/>
      </c>
      <c r="Y127" s="236" t="str">
        <f t="shared" si="146"/>
        <v/>
      </c>
      <c r="Z127" s="235" t="str">
        <f t="shared" si="147"/>
        <v/>
      </c>
      <c r="AB127" s="1062"/>
    </row>
    <row r="128" spans="1:28" ht="13.9" customHeight="1" x14ac:dyDescent="0.25">
      <c r="A128" s="847">
        <f>Chem!A128</f>
        <v>126</v>
      </c>
      <c r="B128" s="855" t="str">
        <f>Chem!B128</f>
        <v>4-Methylphenol (p-cresol)</v>
      </c>
      <c r="C128" s="343" t="s">
        <v>232</v>
      </c>
      <c r="D128" s="384" t="s">
        <v>232</v>
      </c>
      <c r="E128" s="384" t="s">
        <v>232</v>
      </c>
      <c r="F128" s="384" t="str">
        <f t="shared" si="148"/>
        <v>na</v>
      </c>
      <c r="G128" s="400">
        <f>'GW-Eq'!G128</f>
        <v>1600</v>
      </c>
      <c r="H128" s="400" t="str">
        <f t="shared" si="149"/>
        <v>na</v>
      </c>
      <c r="I128" s="400" t="str">
        <f t="shared" si="103"/>
        <v>na</v>
      </c>
      <c r="J128" s="403">
        <f t="shared" si="104"/>
        <v>1600</v>
      </c>
      <c r="K128" s="271" t="str">
        <f>'GW-Eq'!H128</f>
        <v>na</v>
      </c>
      <c r="L128" s="271" t="str">
        <f t="shared" si="150"/>
        <v>na</v>
      </c>
      <c r="M128" s="271" t="str">
        <f t="shared" si="106"/>
        <v>na</v>
      </c>
      <c r="N128" s="271" t="str">
        <f t="shared" si="107"/>
        <v>na</v>
      </c>
      <c r="O128" s="330">
        <f t="shared" si="117"/>
        <v>1600</v>
      </c>
      <c r="P128" s="2523" t="str">
        <f>VI!F128</f>
        <v>na</v>
      </c>
      <c r="R128" s="264">
        <f t="shared" si="139"/>
        <v>1600</v>
      </c>
      <c r="S128" s="236" t="str">
        <f t="shared" si="140"/>
        <v/>
      </c>
      <c r="T128" s="236" t="str">
        <f t="shared" si="141"/>
        <v/>
      </c>
      <c r="U128" s="236" t="str">
        <f t="shared" si="142"/>
        <v/>
      </c>
      <c r="V128" s="236" t="str">
        <f t="shared" si="143"/>
        <v>X</v>
      </c>
      <c r="W128" s="236" t="str">
        <f t="shared" si="144"/>
        <v/>
      </c>
      <c r="X128" s="236" t="str">
        <f t="shared" si="145"/>
        <v/>
      </c>
      <c r="Y128" s="236" t="str">
        <f t="shared" si="146"/>
        <v/>
      </c>
      <c r="Z128" s="235" t="str">
        <f t="shared" si="147"/>
        <v/>
      </c>
      <c r="AB128" s="1062"/>
    </row>
    <row r="129" spans="1:28" ht="13.9" customHeight="1" x14ac:dyDescent="0.25">
      <c r="A129" s="847">
        <f>Chem!A129</f>
        <v>127</v>
      </c>
      <c r="B129" s="855" t="str">
        <f>Chem!B129</f>
        <v>2-Nitroaniline</v>
      </c>
      <c r="C129" s="343" t="s">
        <v>232</v>
      </c>
      <c r="D129" s="384" t="s">
        <v>232</v>
      </c>
      <c r="E129" s="384" t="s">
        <v>232</v>
      </c>
      <c r="F129" s="384" t="str">
        <f t="shared" si="148"/>
        <v>na</v>
      </c>
      <c r="G129" s="400">
        <f>'GW-Eq'!G129</f>
        <v>160</v>
      </c>
      <c r="H129" s="400" t="str">
        <f t="shared" si="149"/>
        <v>na</v>
      </c>
      <c r="I129" s="400" t="str">
        <f t="shared" si="103"/>
        <v>na</v>
      </c>
      <c r="J129" s="403">
        <f t="shared" si="104"/>
        <v>160</v>
      </c>
      <c r="K129" s="271" t="str">
        <f>'GW-Eq'!H129</f>
        <v>na</v>
      </c>
      <c r="L129" s="271" t="str">
        <f t="shared" si="150"/>
        <v>na</v>
      </c>
      <c r="M129" s="271" t="str">
        <f t="shared" si="106"/>
        <v>na</v>
      </c>
      <c r="N129" s="271" t="str">
        <f t="shared" si="107"/>
        <v>na</v>
      </c>
      <c r="O129" s="330">
        <f t="shared" si="117"/>
        <v>160</v>
      </c>
      <c r="P129" s="2523" t="str">
        <f>VI!F129</f>
        <v>na</v>
      </c>
      <c r="R129" s="264">
        <f t="shared" si="139"/>
        <v>160</v>
      </c>
      <c r="S129" s="236" t="str">
        <f t="shared" si="140"/>
        <v/>
      </c>
      <c r="T129" s="236" t="str">
        <f t="shared" si="141"/>
        <v/>
      </c>
      <c r="U129" s="236" t="str">
        <f t="shared" si="142"/>
        <v/>
      </c>
      <c r="V129" s="236" t="str">
        <f t="shared" si="143"/>
        <v>X</v>
      </c>
      <c r="W129" s="236" t="str">
        <f t="shared" si="144"/>
        <v/>
      </c>
      <c r="X129" s="236" t="str">
        <f t="shared" si="145"/>
        <v/>
      </c>
      <c r="Y129" s="236" t="str">
        <f t="shared" si="146"/>
        <v/>
      </c>
      <c r="Z129" s="235" t="str">
        <f t="shared" si="147"/>
        <v/>
      </c>
      <c r="AB129" s="1062"/>
    </row>
    <row r="130" spans="1:28" ht="13.9" customHeight="1" x14ac:dyDescent="0.25">
      <c r="A130" s="847">
        <f>Chem!A130</f>
        <v>128</v>
      </c>
      <c r="B130" s="855" t="str">
        <f>Chem!B130</f>
        <v>3-Nitroaniline</v>
      </c>
      <c r="C130" s="343" t="s">
        <v>232</v>
      </c>
      <c r="D130" s="384" t="s">
        <v>232</v>
      </c>
      <c r="E130" s="384" t="s">
        <v>232</v>
      </c>
      <c r="F130" s="384" t="str">
        <f t="shared" si="148"/>
        <v>na</v>
      </c>
      <c r="G130" s="400" t="str">
        <f>'GW-Eq'!G130</f>
        <v>na</v>
      </c>
      <c r="H130" s="400" t="str">
        <f t="shared" si="149"/>
        <v>na</v>
      </c>
      <c r="I130" s="400" t="str">
        <f t="shared" si="103"/>
        <v>na</v>
      </c>
      <c r="J130" s="403" t="str">
        <f t="shared" si="104"/>
        <v>na</v>
      </c>
      <c r="K130" s="271" t="str">
        <f>'GW-Eq'!H130</f>
        <v>na</v>
      </c>
      <c r="L130" s="271" t="str">
        <f t="shared" si="150"/>
        <v>na</v>
      </c>
      <c r="M130" s="271" t="str">
        <f t="shared" si="106"/>
        <v>na</v>
      </c>
      <c r="N130" s="271" t="str">
        <f t="shared" si="107"/>
        <v>na</v>
      </c>
      <c r="O130" s="330" t="str">
        <f t="shared" si="117"/>
        <v>na</v>
      </c>
      <c r="P130" s="2523" t="str">
        <f>VI!F130</f>
        <v>na</v>
      </c>
      <c r="R130" s="264" t="str">
        <f t="shared" si="139"/>
        <v>na</v>
      </c>
      <c r="S130" s="236" t="str">
        <f t="shared" si="140"/>
        <v/>
      </c>
      <c r="T130" s="236" t="str">
        <f t="shared" si="141"/>
        <v/>
      </c>
      <c r="U130" s="236" t="str">
        <f t="shared" si="142"/>
        <v/>
      </c>
      <c r="V130" s="236" t="str">
        <f t="shared" si="143"/>
        <v/>
      </c>
      <c r="W130" s="236" t="str">
        <f t="shared" si="144"/>
        <v/>
      </c>
      <c r="X130" s="236" t="str">
        <f t="shared" si="145"/>
        <v/>
      </c>
      <c r="Y130" s="236" t="str">
        <f t="shared" si="146"/>
        <v/>
      </c>
      <c r="Z130" s="235" t="str">
        <f t="shared" si="147"/>
        <v/>
      </c>
      <c r="AB130" s="1062"/>
    </row>
    <row r="131" spans="1:28" ht="13.9" customHeight="1" x14ac:dyDescent="0.25">
      <c r="A131" s="847">
        <f>Chem!A131</f>
        <v>129</v>
      </c>
      <c r="B131" s="855" t="str">
        <f>Chem!B131</f>
        <v>4-Nitroaniline</v>
      </c>
      <c r="C131" s="343" t="s">
        <v>232</v>
      </c>
      <c r="D131" s="384" t="s">
        <v>232</v>
      </c>
      <c r="E131" s="384" t="s">
        <v>232</v>
      </c>
      <c r="F131" s="384" t="str">
        <f t="shared" si="148"/>
        <v>na</v>
      </c>
      <c r="G131" s="400">
        <f>'GW-Eq'!G131</f>
        <v>64</v>
      </c>
      <c r="H131" s="400" t="str">
        <f t="shared" si="149"/>
        <v>na</v>
      </c>
      <c r="I131" s="400" t="str">
        <f t="shared" si="103"/>
        <v>na</v>
      </c>
      <c r="J131" s="403">
        <f t="shared" si="104"/>
        <v>64</v>
      </c>
      <c r="K131" s="271">
        <f>'GW-Eq'!H131</f>
        <v>4.3749999999999991</v>
      </c>
      <c r="L131" s="271" t="str">
        <f t="shared" si="150"/>
        <v>na</v>
      </c>
      <c r="M131" s="271" t="str">
        <f t="shared" si="106"/>
        <v>na</v>
      </c>
      <c r="N131" s="271">
        <f t="shared" si="107"/>
        <v>4.3749999999999991</v>
      </c>
      <c r="O131" s="330">
        <f t="shared" si="117"/>
        <v>4.3749999999999991</v>
      </c>
      <c r="P131" s="2523" t="str">
        <f>VI!F131</f>
        <v>na</v>
      </c>
      <c r="R131" s="264">
        <f t="shared" si="139"/>
        <v>4.3749999999999991</v>
      </c>
      <c r="S131" s="236" t="str">
        <f t="shared" si="140"/>
        <v/>
      </c>
      <c r="T131" s="236" t="str">
        <f t="shared" si="141"/>
        <v/>
      </c>
      <c r="U131" s="236" t="str">
        <f t="shared" si="142"/>
        <v/>
      </c>
      <c r="V131" s="236" t="str">
        <f t="shared" si="143"/>
        <v/>
      </c>
      <c r="W131" s="236" t="str">
        <f t="shared" si="144"/>
        <v>X</v>
      </c>
      <c r="X131" s="236" t="str">
        <f t="shared" si="145"/>
        <v/>
      </c>
      <c r="Y131" s="236" t="str">
        <f t="shared" si="146"/>
        <v/>
      </c>
      <c r="Z131" s="235" t="str">
        <f t="shared" si="147"/>
        <v/>
      </c>
      <c r="AB131" s="1062"/>
    </row>
    <row r="132" spans="1:28" ht="13.9" customHeight="1" x14ac:dyDescent="0.25">
      <c r="A132" s="847">
        <f>Chem!A132</f>
        <v>130</v>
      </c>
      <c r="B132" s="855" t="str">
        <f>Chem!B132</f>
        <v>Nitrobenzene</v>
      </c>
      <c r="C132" s="343" t="s">
        <v>232</v>
      </c>
      <c r="D132" s="384" t="s">
        <v>232</v>
      </c>
      <c r="E132" s="384" t="s">
        <v>232</v>
      </c>
      <c r="F132" s="384" t="str">
        <f t="shared" si="148"/>
        <v>na</v>
      </c>
      <c r="G132" s="400">
        <f>'GW-Eq'!G132</f>
        <v>16</v>
      </c>
      <c r="H132" s="400" t="str">
        <f t="shared" si="149"/>
        <v>na</v>
      </c>
      <c r="I132" s="400" t="str">
        <f t="shared" si="103"/>
        <v>na</v>
      </c>
      <c r="J132" s="403">
        <f t="shared" si="104"/>
        <v>16</v>
      </c>
      <c r="K132" s="271" t="str">
        <f>'GW-Eq'!H132</f>
        <v>na</v>
      </c>
      <c r="L132" s="271" t="str">
        <f t="shared" si="150"/>
        <v>na</v>
      </c>
      <c r="M132" s="271" t="str">
        <f t="shared" si="106"/>
        <v>na</v>
      </c>
      <c r="N132" s="271" t="str">
        <f t="shared" si="107"/>
        <v>na</v>
      </c>
      <c r="O132" s="330">
        <f t="shared" si="117"/>
        <v>16</v>
      </c>
      <c r="P132" s="2523" t="str">
        <f>VI!F132</f>
        <v>na</v>
      </c>
      <c r="R132" s="264">
        <f t="shared" si="139"/>
        <v>16</v>
      </c>
      <c r="S132" s="236" t="str">
        <f t="shared" si="140"/>
        <v/>
      </c>
      <c r="T132" s="236" t="str">
        <f t="shared" si="141"/>
        <v/>
      </c>
      <c r="U132" s="236" t="str">
        <f t="shared" si="142"/>
        <v/>
      </c>
      <c r="V132" s="236" t="str">
        <f t="shared" si="143"/>
        <v>X</v>
      </c>
      <c r="W132" s="236" t="str">
        <f t="shared" si="144"/>
        <v/>
      </c>
      <c r="X132" s="236" t="str">
        <f t="shared" si="145"/>
        <v/>
      </c>
      <c r="Y132" s="236" t="str">
        <f t="shared" si="146"/>
        <v/>
      </c>
      <c r="Z132" s="235" t="str">
        <f t="shared" si="147"/>
        <v/>
      </c>
      <c r="AB132" s="1062"/>
    </row>
    <row r="133" spans="1:28" ht="13.9" customHeight="1" x14ac:dyDescent="0.25">
      <c r="A133" s="847">
        <f>Chem!A133</f>
        <v>131</v>
      </c>
      <c r="B133" s="855" t="str">
        <f>Chem!B133</f>
        <v>2-Nitrophenol</v>
      </c>
      <c r="C133" s="343" t="s">
        <v>232</v>
      </c>
      <c r="D133" s="384" t="s">
        <v>232</v>
      </c>
      <c r="E133" s="384" t="s">
        <v>232</v>
      </c>
      <c r="F133" s="384" t="str">
        <f t="shared" si="148"/>
        <v>na</v>
      </c>
      <c r="G133" s="400" t="str">
        <f>'GW-Eq'!G133</f>
        <v>na</v>
      </c>
      <c r="H133" s="400" t="str">
        <f t="shared" si="149"/>
        <v>na</v>
      </c>
      <c r="I133" s="400" t="str">
        <f t="shared" si="103"/>
        <v>na</v>
      </c>
      <c r="J133" s="403" t="str">
        <f t="shared" si="104"/>
        <v>na</v>
      </c>
      <c r="K133" s="271" t="str">
        <f>'GW-Eq'!H133</f>
        <v>na</v>
      </c>
      <c r="L133" s="271" t="str">
        <f t="shared" si="150"/>
        <v>na</v>
      </c>
      <c r="M133" s="271" t="str">
        <f t="shared" si="106"/>
        <v>na</v>
      </c>
      <c r="N133" s="271" t="str">
        <f t="shared" si="107"/>
        <v>na</v>
      </c>
      <c r="O133" s="330" t="str">
        <f t="shared" si="117"/>
        <v>na</v>
      </c>
      <c r="P133" s="2523" t="str">
        <f>VI!F133</f>
        <v>na</v>
      </c>
      <c r="R133" s="264" t="str">
        <f t="shared" si="139"/>
        <v>na</v>
      </c>
      <c r="S133" s="236" t="str">
        <f t="shared" si="140"/>
        <v/>
      </c>
      <c r="T133" s="236" t="str">
        <f t="shared" si="141"/>
        <v/>
      </c>
      <c r="U133" s="236" t="str">
        <f t="shared" si="142"/>
        <v/>
      </c>
      <c r="V133" s="236" t="str">
        <f t="shared" si="143"/>
        <v/>
      </c>
      <c r="W133" s="236" t="str">
        <f t="shared" si="144"/>
        <v/>
      </c>
      <c r="X133" s="236" t="str">
        <f t="shared" si="145"/>
        <v/>
      </c>
      <c r="Y133" s="236" t="str">
        <f t="shared" si="146"/>
        <v/>
      </c>
      <c r="Z133" s="235" t="str">
        <f t="shared" si="147"/>
        <v/>
      </c>
      <c r="AB133" s="1062"/>
    </row>
    <row r="134" spans="1:28" ht="13.9" customHeight="1" x14ac:dyDescent="0.25">
      <c r="A134" s="847">
        <f>Chem!A134</f>
        <v>132</v>
      </c>
      <c r="B134" s="855" t="str">
        <f>Chem!B134</f>
        <v>4-Nitrophenol</v>
      </c>
      <c r="C134" s="343" t="s">
        <v>232</v>
      </c>
      <c r="D134" s="384" t="s">
        <v>232</v>
      </c>
      <c r="E134" s="384" t="s">
        <v>232</v>
      </c>
      <c r="F134" s="384" t="str">
        <f t="shared" si="148"/>
        <v>na</v>
      </c>
      <c r="G134" s="400" t="str">
        <f>'GW-Eq'!G134</f>
        <v>na</v>
      </c>
      <c r="H134" s="400" t="str">
        <f t="shared" si="149"/>
        <v>na</v>
      </c>
      <c r="I134" s="400" t="str">
        <f t="shared" si="103"/>
        <v>na</v>
      </c>
      <c r="J134" s="403" t="str">
        <f t="shared" si="104"/>
        <v>na</v>
      </c>
      <c r="K134" s="271" t="str">
        <f>'GW-Eq'!H134</f>
        <v>na</v>
      </c>
      <c r="L134" s="271" t="str">
        <f t="shared" si="150"/>
        <v>na</v>
      </c>
      <c r="M134" s="271" t="str">
        <f t="shared" si="106"/>
        <v>na</v>
      </c>
      <c r="N134" s="271" t="str">
        <f t="shared" si="107"/>
        <v>na</v>
      </c>
      <c r="O134" s="330" t="str">
        <f t="shared" si="117"/>
        <v>na</v>
      </c>
      <c r="P134" s="2523" t="str">
        <f>VI!F134</f>
        <v>na</v>
      </c>
      <c r="R134" s="264" t="str">
        <f t="shared" si="139"/>
        <v>na</v>
      </c>
      <c r="S134" s="236" t="str">
        <f t="shared" si="140"/>
        <v/>
      </c>
      <c r="T134" s="236" t="str">
        <f t="shared" si="141"/>
        <v/>
      </c>
      <c r="U134" s="236" t="str">
        <f t="shared" si="142"/>
        <v/>
      </c>
      <c r="V134" s="236" t="str">
        <f t="shared" si="143"/>
        <v/>
      </c>
      <c r="W134" s="236" t="str">
        <f t="shared" si="144"/>
        <v/>
      </c>
      <c r="X134" s="236" t="str">
        <f t="shared" si="145"/>
        <v/>
      </c>
      <c r="Y134" s="236" t="str">
        <f t="shared" si="146"/>
        <v/>
      </c>
      <c r="Z134" s="235" t="str">
        <f t="shared" si="147"/>
        <v/>
      </c>
      <c r="AB134" s="1062"/>
    </row>
    <row r="135" spans="1:28" ht="13.9" customHeight="1" x14ac:dyDescent="0.25">
      <c r="A135" s="847">
        <f>Chem!A135</f>
        <v>133</v>
      </c>
      <c r="B135" s="855" t="str">
        <f>Chem!B135</f>
        <v>n-Nitrosodimethylamine</v>
      </c>
      <c r="C135" s="343" t="s">
        <v>232</v>
      </c>
      <c r="D135" s="384" t="s">
        <v>232</v>
      </c>
      <c r="E135" s="384" t="s">
        <v>232</v>
      </c>
      <c r="F135" s="384" t="str">
        <f t="shared" si="148"/>
        <v>na</v>
      </c>
      <c r="G135" s="400">
        <f>'GW-Eq'!G135</f>
        <v>6.4000000000000001E-2</v>
      </c>
      <c r="H135" s="400" t="str">
        <f t="shared" si="149"/>
        <v>na</v>
      </c>
      <c r="I135" s="400" t="str">
        <f t="shared" si="103"/>
        <v>na</v>
      </c>
      <c r="J135" s="403">
        <f t="shared" si="104"/>
        <v>6.4000000000000001E-2</v>
      </c>
      <c r="K135" s="271">
        <f>'GW-Eq'!H135</f>
        <v>2.3000000000000001E-4</v>
      </c>
      <c r="L135" s="271" t="str">
        <f t="shared" si="150"/>
        <v>na</v>
      </c>
      <c r="M135" s="271" t="str">
        <f t="shared" si="106"/>
        <v>na</v>
      </c>
      <c r="N135" s="271">
        <f t="shared" si="107"/>
        <v>2.3000000000000001E-4</v>
      </c>
      <c r="O135" s="330">
        <f t="shared" si="117"/>
        <v>2.3000000000000001E-4</v>
      </c>
      <c r="P135" s="2523" t="str">
        <f>VI!F135</f>
        <v>na</v>
      </c>
      <c r="R135" s="264">
        <f t="shared" si="139"/>
        <v>2.3000000000000001E-4</v>
      </c>
      <c r="S135" s="236" t="str">
        <f t="shared" si="140"/>
        <v/>
      </c>
      <c r="T135" s="236" t="str">
        <f t="shared" si="141"/>
        <v/>
      </c>
      <c r="U135" s="236" t="str">
        <f t="shared" si="142"/>
        <v/>
      </c>
      <c r="V135" s="236" t="str">
        <f t="shared" si="143"/>
        <v/>
      </c>
      <c r="W135" s="236" t="str">
        <f t="shared" si="144"/>
        <v>X</v>
      </c>
      <c r="X135" s="236" t="str">
        <f t="shared" si="145"/>
        <v/>
      </c>
      <c r="Y135" s="236" t="str">
        <f t="shared" si="146"/>
        <v/>
      </c>
      <c r="Z135" s="235" t="str">
        <f t="shared" si="147"/>
        <v/>
      </c>
      <c r="AB135" s="1062"/>
    </row>
    <row r="136" spans="1:28" ht="13.9" customHeight="1" x14ac:dyDescent="0.25">
      <c r="A136" s="847">
        <f>Chem!A136</f>
        <v>134</v>
      </c>
      <c r="B136" s="855" t="str">
        <f>Chem!B136</f>
        <v>n-Nitrosodiphenylamine</v>
      </c>
      <c r="C136" s="343" t="s">
        <v>232</v>
      </c>
      <c r="D136" s="384" t="s">
        <v>232</v>
      </c>
      <c r="E136" s="384" t="s">
        <v>232</v>
      </c>
      <c r="F136" s="384" t="str">
        <f t="shared" si="148"/>
        <v>na</v>
      </c>
      <c r="G136" s="400" t="str">
        <f>'GW-Eq'!G136</f>
        <v>na</v>
      </c>
      <c r="H136" s="400" t="str">
        <f t="shared" si="149"/>
        <v>na</v>
      </c>
      <c r="I136" s="400" t="str">
        <f t="shared" si="103"/>
        <v>na</v>
      </c>
      <c r="J136" s="403" t="str">
        <f t="shared" si="104"/>
        <v>na</v>
      </c>
      <c r="K136" s="271">
        <f>'GW-Eq'!H136</f>
        <v>17.857142857142854</v>
      </c>
      <c r="L136" s="271" t="str">
        <f t="shared" si="150"/>
        <v>na</v>
      </c>
      <c r="M136" s="271" t="str">
        <f t="shared" si="106"/>
        <v>na</v>
      </c>
      <c r="N136" s="271">
        <f t="shared" si="107"/>
        <v>17.857142857142854</v>
      </c>
      <c r="O136" s="330">
        <f t="shared" si="117"/>
        <v>17.857142857142854</v>
      </c>
      <c r="P136" s="2523" t="str">
        <f>VI!F136</f>
        <v>na</v>
      </c>
      <c r="R136" s="264">
        <f t="shared" si="139"/>
        <v>17.857142857142854</v>
      </c>
      <c r="S136" s="236" t="str">
        <f t="shared" si="140"/>
        <v/>
      </c>
      <c r="T136" s="236" t="str">
        <f t="shared" si="141"/>
        <v/>
      </c>
      <c r="U136" s="236" t="str">
        <f t="shared" si="142"/>
        <v/>
      </c>
      <c r="V136" s="236" t="str">
        <f t="shared" si="143"/>
        <v/>
      </c>
      <c r="W136" s="236" t="str">
        <f t="shared" si="144"/>
        <v>X</v>
      </c>
      <c r="X136" s="236" t="str">
        <f t="shared" si="145"/>
        <v/>
      </c>
      <c r="Y136" s="236" t="str">
        <f t="shared" si="146"/>
        <v/>
      </c>
      <c r="Z136" s="235" t="str">
        <f t="shared" si="147"/>
        <v/>
      </c>
      <c r="AB136" s="1062"/>
    </row>
    <row r="137" spans="1:28" ht="13.9" customHeight="1" x14ac:dyDescent="0.25">
      <c r="A137" s="847">
        <f>Chem!A137</f>
        <v>135</v>
      </c>
      <c r="B137" s="855" t="str">
        <f>Chem!B137</f>
        <v>n-Nitrosodi-n-propylamine</v>
      </c>
      <c r="C137" s="343" t="s">
        <v>232</v>
      </c>
      <c r="D137" s="384" t="s">
        <v>232</v>
      </c>
      <c r="E137" s="384" t="s">
        <v>232</v>
      </c>
      <c r="F137" s="384" t="str">
        <f t="shared" si="148"/>
        <v>na</v>
      </c>
      <c r="G137" s="400" t="str">
        <f>'GW-Eq'!G137</f>
        <v>na</v>
      </c>
      <c r="H137" s="400" t="str">
        <f t="shared" si="149"/>
        <v>na</v>
      </c>
      <c r="I137" s="400" t="str">
        <f t="shared" si="103"/>
        <v>na</v>
      </c>
      <c r="J137" s="403" t="str">
        <f t="shared" si="104"/>
        <v>na</v>
      </c>
      <c r="K137" s="271">
        <f>'GW-Eq'!H137</f>
        <v>1.2499999999999997E-2</v>
      </c>
      <c r="L137" s="271" t="str">
        <f t="shared" si="150"/>
        <v>na</v>
      </c>
      <c r="M137" s="271" t="str">
        <f t="shared" si="106"/>
        <v>na</v>
      </c>
      <c r="N137" s="271">
        <f t="shared" si="107"/>
        <v>1.2499999999999997E-2</v>
      </c>
      <c r="O137" s="330">
        <f t="shared" si="117"/>
        <v>1.2499999999999997E-2</v>
      </c>
      <c r="P137" s="2523" t="str">
        <f>VI!F137</f>
        <v>na</v>
      </c>
      <c r="R137" s="264">
        <f t="shared" si="139"/>
        <v>1.2499999999999997E-2</v>
      </c>
      <c r="S137" s="236" t="str">
        <f t="shared" si="140"/>
        <v/>
      </c>
      <c r="T137" s="236" t="str">
        <f t="shared" si="141"/>
        <v/>
      </c>
      <c r="U137" s="236" t="str">
        <f t="shared" si="142"/>
        <v/>
      </c>
      <c r="V137" s="236" t="str">
        <f t="shared" si="143"/>
        <v/>
      </c>
      <c r="W137" s="236" t="str">
        <f t="shared" si="144"/>
        <v>X</v>
      </c>
      <c r="X137" s="236" t="str">
        <f t="shared" si="145"/>
        <v/>
      </c>
      <c r="Y137" s="236" t="str">
        <f t="shared" si="146"/>
        <v/>
      </c>
      <c r="Z137" s="235" t="str">
        <f t="shared" si="147"/>
        <v/>
      </c>
      <c r="AB137" s="1062"/>
    </row>
    <row r="138" spans="1:28" ht="13.9" customHeight="1" x14ac:dyDescent="0.25">
      <c r="A138" s="847">
        <f>Chem!A138</f>
        <v>136</v>
      </c>
      <c r="B138" s="855" t="str">
        <f>Chem!B138</f>
        <v>Pentachlorophenol</v>
      </c>
      <c r="C138" s="343">
        <v>1</v>
      </c>
      <c r="D138" s="384" t="s">
        <v>232</v>
      </c>
      <c r="E138" s="384">
        <v>1</v>
      </c>
      <c r="F138" s="384">
        <v>1</v>
      </c>
      <c r="G138" s="400">
        <f>'GW-Eq'!G138</f>
        <v>80</v>
      </c>
      <c r="H138" s="400">
        <f t="shared" si="149"/>
        <v>1.2500000000000001E-2</v>
      </c>
      <c r="I138" s="400" t="str">
        <f t="shared" si="103"/>
        <v>no</v>
      </c>
      <c r="J138" s="403">
        <f t="shared" si="104"/>
        <v>1</v>
      </c>
      <c r="K138" s="271">
        <f>'GW-Eq'!H138</f>
        <v>0.21874999999999994</v>
      </c>
      <c r="L138" s="271">
        <f t="shared" si="150"/>
        <v>4.571428571428573</v>
      </c>
      <c r="M138" s="271" t="str">
        <f t="shared" si="106"/>
        <v>no</v>
      </c>
      <c r="N138" s="271">
        <f t="shared" si="107"/>
        <v>1</v>
      </c>
      <c r="O138" s="330">
        <f t="shared" si="117"/>
        <v>1</v>
      </c>
      <c r="P138" s="2523" t="str">
        <f>VI!F138</f>
        <v>na</v>
      </c>
      <c r="R138" s="264">
        <f t="shared" si="139"/>
        <v>1</v>
      </c>
      <c r="S138" s="236" t="str">
        <f t="shared" si="140"/>
        <v>X</v>
      </c>
      <c r="T138" s="236" t="str">
        <f t="shared" si="141"/>
        <v/>
      </c>
      <c r="U138" s="236" t="str">
        <f t="shared" si="142"/>
        <v>X</v>
      </c>
      <c r="V138" s="236" t="str">
        <f t="shared" si="143"/>
        <v/>
      </c>
      <c r="W138" s="236" t="str">
        <f t="shared" si="144"/>
        <v/>
      </c>
      <c r="X138" s="236" t="str">
        <f t="shared" si="145"/>
        <v/>
      </c>
      <c r="Y138" s="236" t="str">
        <f t="shared" si="146"/>
        <v/>
      </c>
      <c r="Z138" s="235" t="str">
        <f t="shared" si="147"/>
        <v/>
      </c>
      <c r="AB138" s="1062"/>
    </row>
    <row r="139" spans="1:28" ht="13.9" customHeight="1" x14ac:dyDescent="0.25">
      <c r="A139" s="847">
        <f>Chem!A139</f>
        <v>137</v>
      </c>
      <c r="B139" s="855" t="str">
        <f>Chem!B139</f>
        <v>Phenol</v>
      </c>
      <c r="C139" s="343" t="s">
        <v>232</v>
      </c>
      <c r="D139" s="384" t="s">
        <v>232</v>
      </c>
      <c r="E139" s="384" t="s">
        <v>232</v>
      </c>
      <c r="F139" s="384" t="str">
        <f t="shared" si="148"/>
        <v>na</v>
      </c>
      <c r="G139" s="400">
        <f>'GW-Eq'!G139</f>
        <v>4800</v>
      </c>
      <c r="H139" s="400" t="str">
        <f t="shared" si="149"/>
        <v>na</v>
      </c>
      <c r="I139" s="400" t="str">
        <f t="shared" si="103"/>
        <v>na</v>
      </c>
      <c r="J139" s="403">
        <f t="shared" si="104"/>
        <v>4800</v>
      </c>
      <c r="K139" s="271" t="str">
        <f>'GW-Eq'!H139</f>
        <v>na</v>
      </c>
      <c r="L139" s="271" t="str">
        <f t="shared" si="150"/>
        <v>na</v>
      </c>
      <c r="M139" s="271" t="str">
        <f t="shared" si="106"/>
        <v>na</v>
      </c>
      <c r="N139" s="271" t="str">
        <f t="shared" si="107"/>
        <v>na</v>
      </c>
      <c r="O139" s="330">
        <f t="shared" si="117"/>
        <v>4800</v>
      </c>
      <c r="P139" s="2523" t="str">
        <f>VI!F139</f>
        <v>na</v>
      </c>
      <c r="R139" s="264">
        <f t="shared" si="139"/>
        <v>4800</v>
      </c>
      <c r="S139" s="236" t="str">
        <f t="shared" si="140"/>
        <v/>
      </c>
      <c r="T139" s="236" t="str">
        <f t="shared" si="141"/>
        <v/>
      </c>
      <c r="U139" s="236" t="str">
        <f t="shared" si="142"/>
        <v/>
      </c>
      <c r="V139" s="236" t="str">
        <f t="shared" si="143"/>
        <v>X</v>
      </c>
      <c r="W139" s="236" t="str">
        <f t="shared" si="144"/>
        <v/>
      </c>
      <c r="X139" s="236" t="str">
        <f t="shared" si="145"/>
        <v/>
      </c>
      <c r="Y139" s="236" t="str">
        <f t="shared" si="146"/>
        <v/>
      </c>
      <c r="Z139" s="235" t="str">
        <f t="shared" si="147"/>
        <v/>
      </c>
      <c r="AB139" s="1062"/>
    </row>
    <row r="140" spans="1:28" ht="13.9" customHeight="1" x14ac:dyDescent="0.25">
      <c r="A140" s="847">
        <f>Chem!A140</f>
        <v>138</v>
      </c>
      <c r="B140" s="855" t="str">
        <f>Chem!B140</f>
        <v>Pyridine</v>
      </c>
      <c r="C140" s="343" t="s">
        <v>232</v>
      </c>
      <c r="D140" s="384" t="s">
        <v>232</v>
      </c>
      <c r="E140" s="384" t="s">
        <v>232</v>
      </c>
      <c r="F140" s="384" t="str">
        <f t="shared" si="148"/>
        <v>na</v>
      </c>
      <c r="G140" s="400">
        <f>'GW-Eq'!G140</f>
        <v>8</v>
      </c>
      <c r="H140" s="400" t="str">
        <f t="shared" si="149"/>
        <v>na</v>
      </c>
      <c r="I140" s="400" t="str">
        <f t="shared" si="103"/>
        <v>na</v>
      </c>
      <c r="J140" s="403">
        <f t="shared" si="104"/>
        <v>8</v>
      </c>
      <c r="K140" s="271" t="str">
        <f>'GW-Eq'!H140</f>
        <v>na</v>
      </c>
      <c r="L140" s="271" t="str">
        <f t="shared" si="150"/>
        <v>na</v>
      </c>
      <c r="M140" s="271" t="str">
        <f t="shared" si="106"/>
        <v>na</v>
      </c>
      <c r="N140" s="271" t="str">
        <f t="shared" si="107"/>
        <v>na</v>
      </c>
      <c r="O140" s="330">
        <f t="shared" si="117"/>
        <v>8</v>
      </c>
      <c r="P140" s="2523" t="str">
        <f>VI!F140</f>
        <v>na</v>
      </c>
      <c r="R140" s="264">
        <f t="shared" si="139"/>
        <v>8</v>
      </c>
      <c r="S140" s="236" t="str">
        <f t="shared" si="140"/>
        <v/>
      </c>
      <c r="T140" s="236" t="str">
        <f t="shared" si="141"/>
        <v/>
      </c>
      <c r="U140" s="236" t="str">
        <f t="shared" si="142"/>
        <v/>
      </c>
      <c r="V140" s="236" t="str">
        <f t="shared" si="143"/>
        <v>X</v>
      </c>
      <c r="W140" s="236" t="str">
        <f t="shared" si="144"/>
        <v/>
      </c>
      <c r="X140" s="236" t="str">
        <f t="shared" si="145"/>
        <v/>
      </c>
      <c r="Y140" s="236" t="str">
        <f t="shared" si="146"/>
        <v/>
      </c>
      <c r="Z140" s="235" t="str">
        <f t="shared" si="147"/>
        <v/>
      </c>
      <c r="AB140" s="1062"/>
    </row>
    <row r="141" spans="1:28" ht="13.9" customHeight="1" x14ac:dyDescent="0.25">
      <c r="A141" s="847">
        <f>Chem!A141</f>
        <v>139</v>
      </c>
      <c r="B141" s="855" t="str">
        <f>Chem!B141</f>
        <v>2,3,4,5-Tetrachlorophenol</v>
      </c>
      <c r="C141" s="343" t="s">
        <v>232</v>
      </c>
      <c r="D141" s="384" t="s">
        <v>232</v>
      </c>
      <c r="E141" s="384" t="s">
        <v>232</v>
      </c>
      <c r="F141" s="384" t="str">
        <f t="shared" ref="F141" si="158">IF(C141="na",IF(D141="na",IF(E141="na","na",MIN(C141:E141)),MIN(C141:E141)),MIN(C141:E141))</f>
        <v>na</v>
      </c>
      <c r="G141" s="400" t="str">
        <f>'GW-Eq'!G141</f>
        <v>na</v>
      </c>
      <c r="H141" s="400" t="str">
        <f t="shared" ref="H141" si="159">IF(F141="na","na",IF(G141="na","na",F141/G141))</f>
        <v>na</v>
      </c>
      <c r="I141" s="400" t="str">
        <f t="shared" ref="I141" si="160">IF(H141="na","na",IF(H141&gt;1,"YES","no"))</f>
        <v>na</v>
      </c>
      <c r="J141" s="403" t="str">
        <f t="shared" ref="J141" si="161">IF(I141="YES",G141,IF(ISNUMBER(F141),F141,G141))</f>
        <v>na</v>
      </c>
      <c r="K141" s="271" t="str">
        <f>'GW-Eq'!H141</f>
        <v>na</v>
      </c>
      <c r="L141" s="271" t="str">
        <f t="shared" ref="L141" si="162">IF(F141="na","na",IF(K141="na","na",F141/K141))</f>
        <v>na</v>
      </c>
      <c r="M141" s="271" t="str">
        <f t="shared" ref="M141" si="163">IF(L141="na","na",IF(L141&gt;10,"YES","no"))</f>
        <v>na</v>
      </c>
      <c r="N141" s="271" t="str">
        <f t="shared" ref="N141" si="164">IF(M141="YES",10*K141,IF(M141="no",F141,K141))</f>
        <v>na</v>
      </c>
      <c r="O141" s="330" t="str">
        <f t="shared" si="117"/>
        <v>na</v>
      </c>
      <c r="P141" s="2523" t="str">
        <f>VI!F141</f>
        <v>na</v>
      </c>
      <c r="R141" s="264" t="str">
        <f t="shared" si="139"/>
        <v>na</v>
      </c>
      <c r="S141" s="236" t="str">
        <f t="shared" si="140"/>
        <v/>
      </c>
      <c r="T141" s="236" t="str">
        <f t="shared" si="141"/>
        <v/>
      </c>
      <c r="U141" s="236" t="str">
        <f t="shared" si="142"/>
        <v/>
      </c>
      <c r="V141" s="236" t="str">
        <f t="shared" si="143"/>
        <v/>
      </c>
      <c r="W141" s="236" t="str">
        <f t="shared" si="144"/>
        <v/>
      </c>
      <c r="X141" s="236" t="str">
        <f t="shared" si="145"/>
        <v/>
      </c>
      <c r="Y141" s="236" t="str">
        <f t="shared" si="146"/>
        <v/>
      </c>
      <c r="Z141" s="235" t="str">
        <f t="shared" si="147"/>
        <v/>
      </c>
      <c r="AB141" s="1062"/>
    </row>
    <row r="142" spans="1:28" ht="13.9" customHeight="1" x14ac:dyDescent="0.25">
      <c r="A142" s="847">
        <f>Chem!A142</f>
        <v>140</v>
      </c>
      <c r="B142" s="855" t="str">
        <f>Chem!B142</f>
        <v>2,3,4,6-Tetrachlorophenol</v>
      </c>
      <c r="C142" s="343" t="s">
        <v>232</v>
      </c>
      <c r="D142" s="384" t="s">
        <v>232</v>
      </c>
      <c r="E142" s="384" t="s">
        <v>232</v>
      </c>
      <c r="F142" s="384" t="str">
        <f t="shared" ref="F142" si="165">IF(C142="na",IF(D142="na",IF(E142="na","na",MIN(C142:E142)),MIN(C142:E142)),MIN(C142:E142))</f>
        <v>na</v>
      </c>
      <c r="G142" s="400">
        <f>'GW-Eq'!G142</f>
        <v>480</v>
      </c>
      <c r="H142" s="400" t="str">
        <f t="shared" ref="H142" si="166">IF(F142="na","na",IF(G142="na","na",F142/G142))</f>
        <v>na</v>
      </c>
      <c r="I142" s="400" t="str">
        <f t="shared" ref="I142" si="167">IF(H142="na","na",IF(H142&gt;1,"YES","no"))</f>
        <v>na</v>
      </c>
      <c r="J142" s="403">
        <f t="shared" ref="J142" si="168">IF(I142="YES",G142,IF(ISNUMBER(F142),F142,G142))</f>
        <v>480</v>
      </c>
      <c r="K142" s="271" t="str">
        <f>'GW-Eq'!H142</f>
        <v>na</v>
      </c>
      <c r="L142" s="271" t="str">
        <f t="shared" ref="L142" si="169">IF(F142="na","na",IF(K142="na","na",F142/K142))</f>
        <v>na</v>
      </c>
      <c r="M142" s="271" t="str">
        <f t="shared" ref="M142" si="170">IF(L142="na","na",IF(L142&gt;10,"YES","no"))</f>
        <v>na</v>
      </c>
      <c r="N142" s="271" t="str">
        <f t="shared" ref="N142" si="171">IF(M142="YES",10*K142,IF(M142="no",F142,K142))</f>
        <v>na</v>
      </c>
      <c r="O142" s="330">
        <f t="shared" si="117"/>
        <v>480</v>
      </c>
      <c r="P142" s="2523" t="str">
        <f>VI!F142</f>
        <v>na</v>
      </c>
      <c r="R142" s="264">
        <f t="shared" si="139"/>
        <v>480</v>
      </c>
      <c r="S142" s="236" t="str">
        <f t="shared" si="140"/>
        <v/>
      </c>
      <c r="T142" s="236" t="str">
        <f t="shared" si="141"/>
        <v/>
      </c>
      <c r="U142" s="236" t="str">
        <f t="shared" si="142"/>
        <v/>
      </c>
      <c r="V142" s="236" t="str">
        <f t="shared" si="143"/>
        <v>X</v>
      </c>
      <c r="W142" s="236" t="str">
        <f t="shared" si="144"/>
        <v/>
      </c>
      <c r="X142" s="236" t="str">
        <f t="shared" si="145"/>
        <v/>
      </c>
      <c r="Y142" s="236" t="str">
        <f t="shared" si="146"/>
        <v/>
      </c>
      <c r="Z142" s="235" t="str">
        <f t="shared" si="147"/>
        <v/>
      </c>
      <c r="AB142" s="1062"/>
    </row>
    <row r="143" spans="1:28" ht="13.9" customHeight="1" x14ac:dyDescent="0.25">
      <c r="A143" s="847">
        <f>Chem!A143</f>
        <v>141</v>
      </c>
      <c r="B143" s="855" t="str">
        <f>Chem!B143</f>
        <v>1,2,4-Trichlorobenzene</v>
      </c>
      <c r="C143" s="343">
        <v>70</v>
      </c>
      <c r="D143" s="384">
        <v>70</v>
      </c>
      <c r="E143" s="384">
        <v>70</v>
      </c>
      <c r="F143" s="384">
        <f t="shared" si="148"/>
        <v>70</v>
      </c>
      <c r="G143" s="400">
        <f>'GW-Eq'!G143</f>
        <v>80</v>
      </c>
      <c r="H143" s="400">
        <f t="shared" si="149"/>
        <v>0.875</v>
      </c>
      <c r="I143" s="400" t="str">
        <f t="shared" si="103"/>
        <v>no</v>
      </c>
      <c r="J143" s="403">
        <f t="shared" si="104"/>
        <v>70</v>
      </c>
      <c r="K143" s="271">
        <f>'GW-Eq'!H143</f>
        <v>1.5086206896551719</v>
      </c>
      <c r="L143" s="271">
        <f t="shared" si="150"/>
        <v>46.400000000000013</v>
      </c>
      <c r="M143" s="271" t="str">
        <f t="shared" si="106"/>
        <v>YES</v>
      </c>
      <c r="N143" s="271">
        <f t="shared" si="107"/>
        <v>15.086206896551719</v>
      </c>
      <c r="O143" s="330">
        <f t="shared" si="117"/>
        <v>15.086206896551719</v>
      </c>
      <c r="P143" s="2523">
        <f>VI!F143</f>
        <v>38.532432470614744</v>
      </c>
      <c r="R143" s="264">
        <f t="shared" si="139"/>
        <v>15.086206896551719</v>
      </c>
      <c r="S143" s="236" t="str">
        <f t="shared" si="140"/>
        <v/>
      </c>
      <c r="T143" s="236" t="str">
        <f t="shared" si="141"/>
        <v/>
      </c>
      <c r="U143" s="236" t="str">
        <f t="shared" si="142"/>
        <v/>
      </c>
      <c r="V143" s="236" t="str">
        <f t="shared" si="143"/>
        <v/>
      </c>
      <c r="W143" s="236" t="str">
        <f t="shared" si="144"/>
        <v/>
      </c>
      <c r="X143" s="236" t="str">
        <f t="shared" si="145"/>
        <v/>
      </c>
      <c r="Y143" s="236" t="str">
        <f t="shared" si="146"/>
        <v>X</v>
      </c>
      <c r="Z143" s="235" t="str">
        <f t="shared" si="147"/>
        <v/>
      </c>
      <c r="AB143" s="1062"/>
    </row>
    <row r="144" spans="1:28" ht="13.9" customHeight="1" x14ac:dyDescent="0.25">
      <c r="A144" s="847">
        <f>Chem!A144</f>
        <v>142</v>
      </c>
      <c r="B144" s="855" t="str">
        <f>Chem!B144</f>
        <v>2,4,5-Trichlorophenol</v>
      </c>
      <c r="C144" s="343" t="s">
        <v>232</v>
      </c>
      <c r="D144" s="384" t="s">
        <v>232</v>
      </c>
      <c r="E144" s="384" t="s">
        <v>232</v>
      </c>
      <c r="F144" s="384" t="str">
        <f t="shared" si="148"/>
        <v>na</v>
      </c>
      <c r="G144" s="400">
        <f>'GW-Eq'!G144</f>
        <v>1600</v>
      </c>
      <c r="H144" s="400" t="str">
        <f t="shared" si="149"/>
        <v>na</v>
      </c>
      <c r="I144" s="400" t="str">
        <f t="shared" si="103"/>
        <v>na</v>
      </c>
      <c r="J144" s="403">
        <f t="shared" si="104"/>
        <v>1600</v>
      </c>
      <c r="K144" s="271" t="str">
        <f>'GW-Eq'!H144</f>
        <v>na</v>
      </c>
      <c r="L144" s="271" t="str">
        <f t="shared" si="150"/>
        <v>na</v>
      </c>
      <c r="M144" s="271" t="str">
        <f t="shared" si="106"/>
        <v>na</v>
      </c>
      <c r="N144" s="271" t="str">
        <f t="shared" si="107"/>
        <v>na</v>
      </c>
      <c r="O144" s="330">
        <f t="shared" si="117"/>
        <v>1600</v>
      </c>
      <c r="P144" s="2523" t="str">
        <f>VI!F144</f>
        <v>na</v>
      </c>
      <c r="R144" s="264">
        <f t="shared" si="139"/>
        <v>1600</v>
      </c>
      <c r="S144" s="236" t="str">
        <f t="shared" si="140"/>
        <v/>
      </c>
      <c r="T144" s="236" t="str">
        <f t="shared" si="141"/>
        <v/>
      </c>
      <c r="U144" s="236" t="str">
        <f t="shared" si="142"/>
        <v/>
      </c>
      <c r="V144" s="236" t="str">
        <f t="shared" si="143"/>
        <v>X</v>
      </c>
      <c r="W144" s="236" t="str">
        <f t="shared" si="144"/>
        <v/>
      </c>
      <c r="X144" s="236" t="str">
        <f t="shared" si="145"/>
        <v/>
      </c>
      <c r="Y144" s="236" t="str">
        <f t="shared" si="146"/>
        <v/>
      </c>
      <c r="Z144" s="235" t="str">
        <f t="shared" si="147"/>
        <v/>
      </c>
      <c r="AB144" s="1062"/>
    </row>
    <row r="145" spans="1:28" ht="13.9" customHeight="1" x14ac:dyDescent="0.25">
      <c r="A145" s="842">
        <f>Chem!A145</f>
        <v>143</v>
      </c>
      <c r="B145" s="855" t="str">
        <f>Chem!B145</f>
        <v>2,4,6-Trichlorophenol</v>
      </c>
      <c r="C145" s="343" t="s">
        <v>232</v>
      </c>
      <c r="D145" s="384" t="s">
        <v>232</v>
      </c>
      <c r="E145" s="384" t="s">
        <v>232</v>
      </c>
      <c r="F145" s="384" t="str">
        <f t="shared" si="148"/>
        <v>na</v>
      </c>
      <c r="G145" s="400">
        <f>'GW-Eq'!G145</f>
        <v>16</v>
      </c>
      <c r="H145" s="400" t="str">
        <f t="shared" si="149"/>
        <v>na</v>
      </c>
      <c r="I145" s="400" t="str">
        <f t="shared" si="103"/>
        <v>na</v>
      </c>
      <c r="J145" s="542">
        <f t="shared" si="104"/>
        <v>16</v>
      </c>
      <c r="K145" s="271">
        <f>'GW-Eq'!H145</f>
        <v>7.9545454545454533</v>
      </c>
      <c r="L145" s="271" t="str">
        <f t="shared" si="150"/>
        <v>na</v>
      </c>
      <c r="M145" s="271" t="str">
        <f t="shared" si="106"/>
        <v>na</v>
      </c>
      <c r="N145" s="271">
        <f t="shared" si="107"/>
        <v>7.9545454545454533</v>
      </c>
      <c r="O145" s="333">
        <f t="shared" si="117"/>
        <v>7.9545454545454533</v>
      </c>
      <c r="P145" s="2524" t="str">
        <f>VI!F145</f>
        <v>na</v>
      </c>
      <c r="R145" s="264">
        <f t="shared" si="139"/>
        <v>7.9545454545454533</v>
      </c>
      <c r="S145" s="236" t="str">
        <f t="shared" si="140"/>
        <v/>
      </c>
      <c r="T145" s="236" t="str">
        <f t="shared" si="141"/>
        <v/>
      </c>
      <c r="U145" s="236" t="str">
        <f t="shared" si="142"/>
        <v/>
      </c>
      <c r="V145" s="236" t="str">
        <f t="shared" si="143"/>
        <v/>
      </c>
      <c r="W145" s="236" t="str">
        <f t="shared" si="144"/>
        <v>X</v>
      </c>
      <c r="X145" s="236" t="str">
        <f t="shared" si="145"/>
        <v/>
      </c>
      <c r="Y145" s="236" t="str">
        <f t="shared" si="146"/>
        <v/>
      </c>
      <c r="Z145" s="235" t="str">
        <f t="shared" si="147"/>
        <v/>
      </c>
      <c r="AB145" s="1062"/>
    </row>
    <row r="146" spans="1:28" ht="13.9" customHeight="1" x14ac:dyDescent="0.25">
      <c r="A146" s="1197">
        <f>Chem!A146</f>
        <v>144</v>
      </c>
      <c r="B146" s="897" t="str">
        <f>Chem!B146</f>
        <v>Volatile Organic Compounds</v>
      </c>
      <c r="C146" s="297"/>
      <c r="D146" s="297"/>
      <c r="E146" s="297"/>
      <c r="F146" s="297"/>
      <c r="G146" s="297"/>
      <c r="H146" s="297"/>
      <c r="I146" s="2347"/>
      <c r="J146" s="2348"/>
      <c r="K146" s="297"/>
      <c r="L146" s="297"/>
      <c r="M146" s="2347"/>
      <c r="N146" s="297"/>
      <c r="O146" s="2348"/>
      <c r="P146" s="2366"/>
      <c r="R146" s="258" t="s">
        <v>10</v>
      </c>
      <c r="S146" s="127"/>
      <c r="T146" s="127"/>
      <c r="U146" s="127"/>
      <c r="V146" s="127"/>
      <c r="W146" s="127"/>
      <c r="X146" s="127"/>
      <c r="Y146" s="127"/>
      <c r="Z146" s="2364"/>
      <c r="AB146" s="1063"/>
    </row>
    <row r="147" spans="1:28" ht="13.9" customHeight="1" x14ac:dyDescent="0.25">
      <c r="A147" s="846">
        <f>Chem!A147</f>
        <v>145</v>
      </c>
      <c r="B147" s="855" t="str">
        <f>Chem!B147</f>
        <v>Acetone</v>
      </c>
      <c r="C147" s="343" t="s">
        <v>232</v>
      </c>
      <c r="D147" s="384" t="s">
        <v>232</v>
      </c>
      <c r="E147" s="384" t="s">
        <v>232</v>
      </c>
      <c r="F147" s="384" t="str">
        <f t="shared" ref="F147:F179" si="172">IF(C147="na",IF(D147="na",IF(E147="na","na",MIN(C147:E147)),MIN(C147:E147)),MIN(C147:E147))</f>
        <v>na</v>
      </c>
      <c r="G147" s="400">
        <f>'GW-Eq'!G147</f>
        <v>7200</v>
      </c>
      <c r="H147" s="400" t="str">
        <f t="shared" ref="H147:H179" si="173">IF(F147="na","na",IF(G147="na","na",F147/G147))</f>
        <v>na</v>
      </c>
      <c r="I147" s="400" t="str">
        <f t="shared" ref="I147:I215" si="174">IF(H147="na","na",IF(H147&gt;1,"YES","no"))</f>
        <v>na</v>
      </c>
      <c r="J147" s="403">
        <f t="shared" ref="J147:J215" si="175">IF(I147="YES",G147,IF(ISNUMBER(F147),F147,G147))</f>
        <v>7200</v>
      </c>
      <c r="K147" s="271" t="str">
        <f>'GW-Eq'!H147</f>
        <v>na</v>
      </c>
      <c r="L147" s="271" t="str">
        <f t="shared" ref="L147:L179" si="176">IF(F147="na","na",IF(K147="na","na",F147/K147))</f>
        <v>na</v>
      </c>
      <c r="M147" s="271" t="str">
        <f t="shared" ref="M147:M215" si="177">IF(L147="na","na",IF(L147&gt;10,"YES","no"))</f>
        <v>na</v>
      </c>
      <c r="N147" s="271" t="str">
        <f t="shared" ref="N147:N215" si="178">IF(M147="YES",10*K147,IF(M147="no",F147,K147))</f>
        <v>na</v>
      </c>
      <c r="O147" s="330">
        <f t="shared" si="117"/>
        <v>7200</v>
      </c>
      <c r="P147" s="2522" t="str">
        <f>VI!F147</f>
        <v>na</v>
      </c>
      <c r="R147" s="264">
        <f t="shared" ref="R147:R178" si="179">IF(MIN(O147,P147)=0,"na",MIN(O147,P147))</f>
        <v>7200</v>
      </c>
      <c r="S147" s="236" t="str">
        <f t="shared" ref="S147:S178" si="180">IF($R147="na","",IF($R147=$C147,"X",""))</f>
        <v/>
      </c>
      <c r="T147" s="236" t="str">
        <f t="shared" ref="T147:T178" si="181">IF($R147="na","",IF($R147=$D147,"X",""))</f>
        <v/>
      </c>
      <c r="U147" s="236" t="str">
        <f t="shared" ref="U147:U178" si="182">IF($R147="na","",IF($R147=$E147,"X",""))</f>
        <v/>
      </c>
      <c r="V147" s="236" t="str">
        <f t="shared" ref="V147:V178" si="183">IF($R147="na","",IF(AND($F147="na",$R147=$J147),"X",""))</f>
        <v>X</v>
      </c>
      <c r="W147" s="236" t="str">
        <f t="shared" ref="W147:W178" si="184">IF($R147="na","",IF(AND($F147="na",$R147=$N147),"X",""))</f>
        <v/>
      </c>
      <c r="X147" s="236" t="str">
        <f t="shared" ref="X147:X178" si="185">IF(OR($R147="na",$J147="na"),"",IF(AND(ISNUMBER($F147),I147="YES",$R147=$J147),"X",""))</f>
        <v/>
      </c>
      <c r="Y147" s="236" t="str">
        <f t="shared" ref="Y147:Y178" si="186">IF(OR($R147="na",$N147="na"),"",IF(AND(ISNUMBER($F147),$R147=10*$K147),"X",""))</f>
        <v/>
      </c>
      <c r="Z147" s="235" t="str">
        <f t="shared" ref="Z147:Z178" si="187">IF($R147="na","",IF($R147=$P147,"X",""))</f>
        <v/>
      </c>
      <c r="AB147" s="1062"/>
    </row>
    <row r="148" spans="1:28" ht="13.9" customHeight="1" x14ac:dyDescent="0.25">
      <c r="A148" s="846">
        <f>Chem!A148</f>
        <v>146</v>
      </c>
      <c r="B148" s="855" t="str">
        <f>Chem!B148</f>
        <v>Acetaldehyde</v>
      </c>
      <c r="C148" s="343" t="s">
        <v>232</v>
      </c>
      <c r="D148" s="384" t="s">
        <v>232</v>
      </c>
      <c r="E148" s="384" t="s">
        <v>232</v>
      </c>
      <c r="F148" s="384" t="str">
        <f t="shared" si="172"/>
        <v>na</v>
      </c>
      <c r="G148" s="400" t="str">
        <f>'GW-Eq'!G148</f>
        <v>na</v>
      </c>
      <c r="H148" s="400" t="str">
        <f t="shared" ref="H148" si="188">IF(F148="na","na",IF(G148="na","na",F148/G148))</f>
        <v>na</v>
      </c>
      <c r="I148" s="400" t="str">
        <f t="shared" ref="I148" si="189">IF(H148="na","na",IF(H148&gt;1,"YES","no"))</f>
        <v>na</v>
      </c>
      <c r="J148" s="403" t="str">
        <f t="shared" ref="J148" si="190">IF(I148="YES",G148,IF(ISNUMBER(F148),F148,G148))</f>
        <v>na</v>
      </c>
      <c r="K148" s="271" t="str">
        <f>'GW-Eq'!H148</f>
        <v>na</v>
      </c>
      <c r="L148" s="271" t="str">
        <f t="shared" ref="L148" si="191">IF(F148="na","na",IF(K148="na","na",F148/K148))</f>
        <v>na</v>
      </c>
      <c r="M148" s="271" t="str">
        <f t="shared" ref="M148" si="192">IF(L148="na","na",IF(L148&gt;10,"YES","no"))</f>
        <v>na</v>
      </c>
      <c r="N148" s="271" t="str">
        <f t="shared" ref="N148" si="193">IF(M148="YES",10*K148,IF(M148="no",F148,K148))</f>
        <v>na</v>
      </c>
      <c r="O148" s="330" t="str">
        <f t="shared" si="117"/>
        <v>na</v>
      </c>
      <c r="P148" s="2522">
        <f>VI!F148</f>
        <v>622.53476670015914</v>
      </c>
      <c r="R148" s="264">
        <f t="shared" si="179"/>
        <v>622.53476670015914</v>
      </c>
      <c r="S148" s="236" t="str">
        <f t="shared" si="180"/>
        <v/>
      </c>
      <c r="T148" s="236" t="str">
        <f t="shared" si="181"/>
        <v/>
      </c>
      <c r="U148" s="236" t="str">
        <f t="shared" si="182"/>
        <v/>
      </c>
      <c r="V148" s="236" t="str">
        <f t="shared" si="183"/>
        <v/>
      </c>
      <c r="W148" s="236" t="str">
        <f t="shared" si="184"/>
        <v/>
      </c>
      <c r="X148" s="236" t="str">
        <f t="shared" si="185"/>
        <v/>
      </c>
      <c r="Y148" s="236" t="str">
        <f t="shared" si="186"/>
        <v/>
      </c>
      <c r="Z148" s="235" t="str">
        <f t="shared" si="187"/>
        <v>X</v>
      </c>
      <c r="AB148" s="1062"/>
    </row>
    <row r="149" spans="1:28" ht="13.9" customHeight="1" x14ac:dyDescent="0.25">
      <c r="A149" s="846">
        <f>Chem!A149</f>
        <v>147</v>
      </c>
      <c r="B149" s="855" t="str">
        <f>Chem!B149</f>
        <v>Acrolein</v>
      </c>
      <c r="C149" s="343" t="s">
        <v>232</v>
      </c>
      <c r="D149" s="384" t="s">
        <v>232</v>
      </c>
      <c r="E149" s="384" t="s">
        <v>232</v>
      </c>
      <c r="F149" s="384" t="str">
        <f t="shared" si="172"/>
        <v>na</v>
      </c>
      <c r="G149" s="400">
        <f>'GW-Eq'!G149</f>
        <v>4</v>
      </c>
      <c r="H149" s="400" t="str">
        <f t="shared" si="173"/>
        <v>na</v>
      </c>
      <c r="I149" s="400" t="str">
        <f t="shared" si="174"/>
        <v>na</v>
      </c>
      <c r="J149" s="403">
        <f t="shared" si="175"/>
        <v>4</v>
      </c>
      <c r="K149" s="271" t="str">
        <f>'GW-Eq'!H149</f>
        <v>na</v>
      </c>
      <c r="L149" s="271" t="str">
        <f t="shared" si="176"/>
        <v>na</v>
      </c>
      <c r="M149" s="271" t="str">
        <f t="shared" si="177"/>
        <v>na</v>
      </c>
      <c r="N149" s="271" t="str">
        <f t="shared" si="178"/>
        <v>na</v>
      </c>
      <c r="O149" s="330">
        <f t="shared" si="117"/>
        <v>4</v>
      </c>
      <c r="P149" s="2523">
        <f>VI!F149</f>
        <v>2.9432860684367737</v>
      </c>
      <c r="R149" s="264">
        <f t="shared" si="179"/>
        <v>2.9432860684367737</v>
      </c>
      <c r="S149" s="236" t="str">
        <f t="shared" si="180"/>
        <v/>
      </c>
      <c r="T149" s="236" t="str">
        <f t="shared" si="181"/>
        <v/>
      </c>
      <c r="U149" s="236" t="str">
        <f t="shared" si="182"/>
        <v/>
      </c>
      <c r="V149" s="236" t="str">
        <f t="shared" si="183"/>
        <v/>
      </c>
      <c r="W149" s="236" t="str">
        <f t="shared" si="184"/>
        <v/>
      </c>
      <c r="X149" s="236" t="str">
        <f t="shared" si="185"/>
        <v/>
      </c>
      <c r="Y149" s="236" t="str">
        <f t="shared" si="186"/>
        <v/>
      </c>
      <c r="Z149" s="235" t="str">
        <f t="shared" si="187"/>
        <v>X</v>
      </c>
      <c r="AB149" s="1062"/>
    </row>
    <row r="150" spans="1:28" ht="13.9" customHeight="1" x14ac:dyDescent="0.25">
      <c r="A150" s="846">
        <f>Chem!A150</f>
        <v>148</v>
      </c>
      <c r="B150" s="855" t="str">
        <f>Chem!B150</f>
        <v>Acrylonitrile</v>
      </c>
      <c r="C150" s="343" t="s">
        <v>232</v>
      </c>
      <c r="D150" s="384" t="s">
        <v>232</v>
      </c>
      <c r="E150" s="384" t="s">
        <v>232</v>
      </c>
      <c r="F150" s="384" t="str">
        <f t="shared" si="172"/>
        <v>na</v>
      </c>
      <c r="G150" s="400">
        <f>'GW-Eq'!G150</f>
        <v>8</v>
      </c>
      <c r="H150" s="400" t="str">
        <f t="shared" si="173"/>
        <v>na</v>
      </c>
      <c r="I150" s="400" t="str">
        <f t="shared" si="174"/>
        <v>na</v>
      </c>
      <c r="J150" s="403">
        <f t="shared" si="175"/>
        <v>8</v>
      </c>
      <c r="K150" s="271">
        <f>'GW-Eq'!H150</f>
        <v>8.101851851851849E-2</v>
      </c>
      <c r="L150" s="271" t="str">
        <f t="shared" si="176"/>
        <v>na</v>
      </c>
      <c r="M150" s="271" t="str">
        <f t="shared" si="177"/>
        <v>na</v>
      </c>
      <c r="N150" s="271">
        <f t="shared" si="178"/>
        <v>8.101851851851849E-2</v>
      </c>
      <c r="O150" s="330">
        <f t="shared" si="117"/>
        <v>8.101851851851849E-2</v>
      </c>
      <c r="P150" s="2523">
        <f>VI!F150</f>
        <v>11.554752426605909</v>
      </c>
      <c r="R150" s="264">
        <f t="shared" si="179"/>
        <v>8.101851851851849E-2</v>
      </c>
      <c r="S150" s="236" t="str">
        <f t="shared" si="180"/>
        <v/>
      </c>
      <c r="T150" s="236" t="str">
        <f t="shared" si="181"/>
        <v/>
      </c>
      <c r="U150" s="236" t="str">
        <f t="shared" si="182"/>
        <v/>
      </c>
      <c r="V150" s="236" t="str">
        <f t="shared" si="183"/>
        <v/>
      </c>
      <c r="W150" s="236" t="str">
        <f t="shared" si="184"/>
        <v>X</v>
      </c>
      <c r="X150" s="236" t="str">
        <f t="shared" si="185"/>
        <v/>
      </c>
      <c r="Y150" s="236" t="str">
        <f t="shared" si="186"/>
        <v/>
      </c>
      <c r="Z150" s="235" t="str">
        <f t="shared" si="187"/>
        <v/>
      </c>
      <c r="AB150" s="1062"/>
    </row>
    <row r="151" spans="1:28" ht="13.9" customHeight="1" x14ac:dyDescent="0.25">
      <c r="A151" s="846">
        <f>Chem!A151</f>
        <v>149</v>
      </c>
      <c r="B151" s="855" t="str">
        <f>Chem!B151</f>
        <v>Benzaldehyde</v>
      </c>
      <c r="C151" s="343" t="s">
        <v>232</v>
      </c>
      <c r="D151" s="384" t="s">
        <v>232</v>
      </c>
      <c r="E151" s="384" t="s">
        <v>232</v>
      </c>
      <c r="F151" s="384" t="str">
        <f t="shared" si="172"/>
        <v>na</v>
      </c>
      <c r="G151" s="400">
        <f>'GW-Eq'!G151</f>
        <v>800</v>
      </c>
      <c r="H151" s="400" t="str">
        <f t="shared" si="173"/>
        <v>na</v>
      </c>
      <c r="I151" s="400" t="str">
        <f t="shared" si="174"/>
        <v>na</v>
      </c>
      <c r="J151" s="403">
        <f t="shared" si="175"/>
        <v>800</v>
      </c>
      <c r="K151" s="271">
        <f>'GW-Eq'!H151</f>
        <v>10.937499999999998</v>
      </c>
      <c r="L151" s="271" t="str">
        <f t="shared" si="176"/>
        <v>na</v>
      </c>
      <c r="M151" s="271" t="str">
        <f t="shared" si="177"/>
        <v>na</v>
      </c>
      <c r="N151" s="271">
        <f t="shared" si="178"/>
        <v>10.937499999999998</v>
      </c>
      <c r="O151" s="330">
        <f t="shared" si="117"/>
        <v>10.937499999999998</v>
      </c>
      <c r="P151" s="2523" t="str">
        <f>VI!F151</f>
        <v>na</v>
      </c>
      <c r="R151" s="264">
        <f t="shared" si="179"/>
        <v>10.937499999999998</v>
      </c>
      <c r="S151" s="236" t="str">
        <f t="shared" si="180"/>
        <v/>
      </c>
      <c r="T151" s="236" t="str">
        <f t="shared" si="181"/>
        <v/>
      </c>
      <c r="U151" s="236" t="str">
        <f t="shared" si="182"/>
        <v/>
      </c>
      <c r="V151" s="236" t="str">
        <f t="shared" si="183"/>
        <v/>
      </c>
      <c r="W151" s="236" t="str">
        <f t="shared" si="184"/>
        <v>X</v>
      </c>
      <c r="X151" s="236" t="str">
        <f t="shared" si="185"/>
        <v/>
      </c>
      <c r="Y151" s="236" t="str">
        <f t="shared" si="186"/>
        <v/>
      </c>
      <c r="Z151" s="235" t="str">
        <f t="shared" si="187"/>
        <v/>
      </c>
      <c r="AB151" s="1062"/>
    </row>
    <row r="152" spans="1:28" ht="13.9" customHeight="1" x14ac:dyDescent="0.25">
      <c r="A152" s="846">
        <f>Chem!A152</f>
        <v>150</v>
      </c>
      <c r="B152" s="855" t="str">
        <f>Chem!B152</f>
        <v>Benzene</v>
      </c>
      <c r="C152" s="343">
        <v>5</v>
      </c>
      <c r="D152" s="384" t="s">
        <v>232</v>
      </c>
      <c r="E152" s="384">
        <v>5</v>
      </c>
      <c r="F152" s="384">
        <f t="shared" si="172"/>
        <v>5</v>
      </c>
      <c r="G152" s="400">
        <f>'GW-Eq'!G152</f>
        <v>32</v>
      </c>
      <c r="H152" s="400">
        <f t="shared" si="173"/>
        <v>0.15625</v>
      </c>
      <c r="I152" s="400" t="str">
        <f t="shared" si="174"/>
        <v>no</v>
      </c>
      <c r="J152" s="403">
        <f t="shared" si="175"/>
        <v>5</v>
      </c>
      <c r="K152" s="271">
        <f>'GW-Eq'!H152</f>
        <v>0.7954545454545453</v>
      </c>
      <c r="L152" s="271">
        <f t="shared" si="176"/>
        <v>6.2857142857142865</v>
      </c>
      <c r="M152" s="271" t="str">
        <f t="shared" si="177"/>
        <v>no</v>
      </c>
      <c r="N152" s="271">
        <f t="shared" si="178"/>
        <v>5</v>
      </c>
      <c r="O152" s="330">
        <f t="shared" si="117"/>
        <v>5</v>
      </c>
      <c r="P152" s="2523">
        <f>VI!F152</f>
        <v>2.3930475332276453</v>
      </c>
      <c r="R152" s="264">
        <f t="shared" si="179"/>
        <v>2.3930475332276453</v>
      </c>
      <c r="S152" s="236" t="str">
        <f t="shared" si="180"/>
        <v/>
      </c>
      <c r="T152" s="236" t="str">
        <f t="shared" si="181"/>
        <v/>
      </c>
      <c r="U152" s="236" t="str">
        <f t="shared" si="182"/>
        <v/>
      </c>
      <c r="V152" s="236" t="str">
        <f t="shared" si="183"/>
        <v/>
      </c>
      <c r="W152" s="236" t="str">
        <f t="shared" si="184"/>
        <v/>
      </c>
      <c r="X152" s="236" t="str">
        <f t="shared" si="185"/>
        <v/>
      </c>
      <c r="Y152" s="236" t="str">
        <f t="shared" si="186"/>
        <v/>
      </c>
      <c r="Z152" s="235" t="str">
        <f t="shared" si="187"/>
        <v>X</v>
      </c>
      <c r="AB152" s="1062"/>
    </row>
    <row r="153" spans="1:28" ht="13.9" customHeight="1" x14ac:dyDescent="0.25">
      <c r="A153" s="846">
        <f>Chem!A153</f>
        <v>151</v>
      </c>
      <c r="B153" s="855" t="str">
        <f>Chem!B153</f>
        <v>Bromobenzene</v>
      </c>
      <c r="C153" s="532" t="s">
        <v>232</v>
      </c>
      <c r="D153" s="392" t="s">
        <v>232</v>
      </c>
      <c r="E153" s="392" t="s">
        <v>232</v>
      </c>
      <c r="F153" s="392" t="str">
        <f t="shared" si="172"/>
        <v>na</v>
      </c>
      <c r="G153" s="404">
        <f>'GW-Eq'!G153</f>
        <v>64</v>
      </c>
      <c r="H153" s="404" t="str">
        <f t="shared" si="173"/>
        <v>na</v>
      </c>
      <c r="I153" s="404" t="str">
        <f t="shared" si="174"/>
        <v>na</v>
      </c>
      <c r="J153" s="403">
        <f t="shared" si="175"/>
        <v>64</v>
      </c>
      <c r="K153" s="272" t="str">
        <f>'GW-Eq'!H153</f>
        <v>na</v>
      </c>
      <c r="L153" s="272" t="str">
        <f t="shared" si="176"/>
        <v>na</v>
      </c>
      <c r="M153" s="272" t="str">
        <f t="shared" si="177"/>
        <v>na</v>
      </c>
      <c r="N153" s="272" t="str">
        <f t="shared" si="178"/>
        <v>na</v>
      </c>
      <c r="O153" s="330">
        <f t="shared" si="117"/>
        <v>64</v>
      </c>
      <c r="P153" s="2523">
        <f>VI!F153</f>
        <v>634.49755406861038</v>
      </c>
      <c r="R153" s="264">
        <f t="shared" si="179"/>
        <v>64</v>
      </c>
      <c r="S153" s="236" t="str">
        <f t="shared" si="180"/>
        <v/>
      </c>
      <c r="T153" s="236" t="str">
        <f t="shared" si="181"/>
        <v/>
      </c>
      <c r="U153" s="236" t="str">
        <f t="shared" si="182"/>
        <v/>
      </c>
      <c r="V153" s="236" t="str">
        <f t="shared" si="183"/>
        <v>X</v>
      </c>
      <c r="W153" s="236" t="str">
        <f t="shared" si="184"/>
        <v/>
      </c>
      <c r="X153" s="236" t="str">
        <f t="shared" si="185"/>
        <v/>
      </c>
      <c r="Y153" s="236" t="str">
        <f t="shared" si="186"/>
        <v/>
      </c>
      <c r="Z153" s="235" t="str">
        <f t="shared" si="187"/>
        <v/>
      </c>
      <c r="AB153" s="1062"/>
    </row>
    <row r="154" spans="1:28" ht="13.9" customHeight="1" x14ac:dyDescent="0.25">
      <c r="A154" s="846">
        <f>Chem!A154</f>
        <v>152</v>
      </c>
      <c r="B154" s="855" t="str">
        <f>Chem!B154</f>
        <v>Bromochloromethane</v>
      </c>
      <c r="C154" s="343" t="s">
        <v>232</v>
      </c>
      <c r="D154" s="384" t="s">
        <v>232</v>
      </c>
      <c r="E154" s="384" t="s">
        <v>232</v>
      </c>
      <c r="F154" s="384" t="str">
        <f t="shared" si="172"/>
        <v>na</v>
      </c>
      <c r="G154" s="400" t="str">
        <f>'GW-Eq'!G154</f>
        <v>na</v>
      </c>
      <c r="H154" s="400" t="str">
        <f t="shared" si="173"/>
        <v>na</v>
      </c>
      <c r="I154" s="400" t="str">
        <f t="shared" si="174"/>
        <v>na</v>
      </c>
      <c r="J154" s="403" t="str">
        <f t="shared" si="175"/>
        <v>na</v>
      </c>
      <c r="K154" s="271" t="str">
        <f>'GW-Eq'!H154</f>
        <v>na</v>
      </c>
      <c r="L154" s="271" t="str">
        <f t="shared" si="176"/>
        <v>na</v>
      </c>
      <c r="M154" s="271" t="str">
        <f t="shared" si="177"/>
        <v>na</v>
      </c>
      <c r="N154" s="271" t="str">
        <f t="shared" si="178"/>
        <v>na</v>
      </c>
      <c r="O154" s="330" t="str">
        <f t="shared" si="117"/>
        <v>na</v>
      </c>
      <c r="P154" s="2523" t="str">
        <f>VI!F154</f>
        <v>na</v>
      </c>
      <c r="R154" s="264" t="str">
        <f t="shared" si="179"/>
        <v>na</v>
      </c>
      <c r="S154" s="236" t="str">
        <f t="shared" si="180"/>
        <v/>
      </c>
      <c r="T154" s="236" t="str">
        <f t="shared" si="181"/>
        <v/>
      </c>
      <c r="U154" s="236" t="str">
        <f t="shared" si="182"/>
        <v/>
      </c>
      <c r="V154" s="236" t="str">
        <f t="shared" si="183"/>
        <v/>
      </c>
      <c r="W154" s="236" t="str">
        <f t="shared" si="184"/>
        <v/>
      </c>
      <c r="X154" s="236" t="str">
        <f t="shared" si="185"/>
        <v/>
      </c>
      <c r="Y154" s="236" t="str">
        <f t="shared" si="186"/>
        <v/>
      </c>
      <c r="Z154" s="235" t="str">
        <f t="shared" si="187"/>
        <v/>
      </c>
      <c r="AB154" s="1062"/>
    </row>
    <row r="155" spans="1:28" ht="13.9" customHeight="1" x14ac:dyDescent="0.25">
      <c r="A155" s="846">
        <f>Chem!A155</f>
        <v>153</v>
      </c>
      <c r="B155" s="855" t="str">
        <f>Chem!B155</f>
        <v>Bromoethane</v>
      </c>
      <c r="C155" s="531" t="s">
        <v>232</v>
      </c>
      <c r="D155" s="387" t="s">
        <v>232</v>
      </c>
      <c r="E155" s="387" t="s">
        <v>232</v>
      </c>
      <c r="F155" s="387" t="str">
        <f t="shared" si="172"/>
        <v>na</v>
      </c>
      <c r="G155" s="403" t="str">
        <f>'GW-Eq'!G155</f>
        <v>na</v>
      </c>
      <c r="H155" s="403" t="str">
        <f t="shared" si="173"/>
        <v>na</v>
      </c>
      <c r="I155" s="403" t="str">
        <f t="shared" si="174"/>
        <v>na</v>
      </c>
      <c r="J155" s="403" t="str">
        <f t="shared" si="175"/>
        <v>na</v>
      </c>
      <c r="K155" s="270" t="str">
        <f>'GW-Eq'!H155</f>
        <v>na</v>
      </c>
      <c r="L155" s="270" t="str">
        <f t="shared" si="176"/>
        <v>na</v>
      </c>
      <c r="M155" s="270" t="str">
        <f t="shared" si="177"/>
        <v>na</v>
      </c>
      <c r="N155" s="270" t="str">
        <f t="shared" si="178"/>
        <v>na</v>
      </c>
      <c r="O155" s="330" t="str">
        <f t="shared" ref="O155:O222" si="194">IF(OR(ISNUMBER($J155),ISNUMBER($N155)),MIN($J155,$N155),"na")</f>
        <v>na</v>
      </c>
      <c r="P155" s="2523" t="str">
        <f>VI!F155</f>
        <v>na</v>
      </c>
      <c r="R155" s="264" t="str">
        <f t="shared" si="179"/>
        <v>na</v>
      </c>
      <c r="S155" s="236" t="str">
        <f t="shared" si="180"/>
        <v/>
      </c>
      <c r="T155" s="236" t="str">
        <f t="shared" si="181"/>
        <v/>
      </c>
      <c r="U155" s="236" t="str">
        <f t="shared" si="182"/>
        <v/>
      </c>
      <c r="V155" s="236" t="str">
        <f t="shared" si="183"/>
        <v/>
      </c>
      <c r="W155" s="236" t="str">
        <f t="shared" si="184"/>
        <v/>
      </c>
      <c r="X155" s="236" t="str">
        <f t="shared" si="185"/>
        <v/>
      </c>
      <c r="Y155" s="236" t="str">
        <f t="shared" si="186"/>
        <v/>
      </c>
      <c r="Z155" s="235" t="str">
        <f t="shared" si="187"/>
        <v/>
      </c>
      <c r="AB155" s="1062"/>
    </row>
    <row r="156" spans="1:28" ht="13.9" customHeight="1" x14ac:dyDescent="0.25">
      <c r="A156" s="846">
        <f>Chem!A156</f>
        <v>154</v>
      </c>
      <c r="B156" s="855" t="str">
        <f>Chem!B156</f>
        <v>Bromoform</v>
      </c>
      <c r="C156" s="343">
        <v>80</v>
      </c>
      <c r="D156" s="384" t="s">
        <v>232</v>
      </c>
      <c r="E156" s="384">
        <v>80</v>
      </c>
      <c r="F156" s="384">
        <f t="shared" si="172"/>
        <v>80</v>
      </c>
      <c r="G156" s="400">
        <f>'GW-Eq'!G156</f>
        <v>160</v>
      </c>
      <c r="H156" s="400">
        <f t="shared" si="173"/>
        <v>0.5</v>
      </c>
      <c r="I156" s="400" t="str">
        <f t="shared" si="174"/>
        <v>no</v>
      </c>
      <c r="J156" s="403">
        <f t="shared" si="175"/>
        <v>80</v>
      </c>
      <c r="K156" s="271">
        <f>'GW-Eq'!H156</f>
        <v>5.5379746835443022</v>
      </c>
      <c r="L156" s="271">
        <f t="shared" si="176"/>
        <v>14.44571428571429</v>
      </c>
      <c r="M156" s="271" t="str">
        <f t="shared" si="177"/>
        <v>YES</v>
      </c>
      <c r="N156" s="271">
        <f t="shared" si="178"/>
        <v>55.379746835443022</v>
      </c>
      <c r="O156" s="330">
        <f t="shared" si="194"/>
        <v>55.379746835443022</v>
      </c>
      <c r="P156" s="2523">
        <f>VI!F156</f>
        <v>216.58352898353243</v>
      </c>
      <c r="R156" s="264">
        <f t="shared" si="179"/>
        <v>55.379746835443022</v>
      </c>
      <c r="S156" s="236" t="str">
        <f t="shared" si="180"/>
        <v/>
      </c>
      <c r="T156" s="236" t="str">
        <f t="shared" si="181"/>
        <v/>
      </c>
      <c r="U156" s="236" t="str">
        <f t="shared" si="182"/>
        <v/>
      </c>
      <c r="V156" s="236" t="str">
        <f t="shared" si="183"/>
        <v/>
      </c>
      <c r="W156" s="236" t="str">
        <f t="shared" si="184"/>
        <v/>
      </c>
      <c r="X156" s="236" t="str">
        <f t="shared" si="185"/>
        <v/>
      </c>
      <c r="Y156" s="236" t="str">
        <f t="shared" si="186"/>
        <v>X</v>
      </c>
      <c r="Z156" s="235" t="str">
        <f t="shared" si="187"/>
        <v/>
      </c>
      <c r="AB156" s="1062"/>
    </row>
    <row r="157" spans="1:28" ht="13.9" customHeight="1" x14ac:dyDescent="0.25">
      <c r="A157" s="846">
        <f>Chem!A157</f>
        <v>155</v>
      </c>
      <c r="B157" s="855" t="str">
        <f>Chem!B157</f>
        <v>Bromomethane</v>
      </c>
      <c r="C157" s="343" t="s">
        <v>232</v>
      </c>
      <c r="D157" s="384" t="s">
        <v>232</v>
      </c>
      <c r="E157" s="384" t="s">
        <v>232</v>
      </c>
      <c r="F157" s="384" t="str">
        <f t="shared" si="172"/>
        <v>na</v>
      </c>
      <c r="G157" s="400">
        <f>'GW-Eq'!G157</f>
        <v>11.2</v>
      </c>
      <c r="H157" s="400" t="str">
        <f t="shared" si="173"/>
        <v>na</v>
      </c>
      <c r="I157" s="400" t="str">
        <f t="shared" si="174"/>
        <v>na</v>
      </c>
      <c r="J157" s="403">
        <f t="shared" si="175"/>
        <v>11.2</v>
      </c>
      <c r="K157" s="271" t="str">
        <f>'GW-Eq'!H157</f>
        <v>na</v>
      </c>
      <c r="L157" s="271" t="str">
        <f t="shared" si="176"/>
        <v>na</v>
      </c>
      <c r="M157" s="271" t="str">
        <f t="shared" si="177"/>
        <v>na</v>
      </c>
      <c r="N157" s="271" t="str">
        <f t="shared" si="178"/>
        <v>na</v>
      </c>
      <c r="O157" s="330">
        <f t="shared" si="194"/>
        <v>11.2</v>
      </c>
      <c r="P157" s="2523">
        <f>VI!F157</f>
        <v>10.884793669261343</v>
      </c>
      <c r="R157" s="264">
        <f t="shared" si="179"/>
        <v>10.884793669261343</v>
      </c>
      <c r="S157" s="236" t="str">
        <f t="shared" si="180"/>
        <v/>
      </c>
      <c r="T157" s="236" t="str">
        <f t="shared" si="181"/>
        <v/>
      </c>
      <c r="U157" s="236" t="str">
        <f t="shared" si="182"/>
        <v/>
      </c>
      <c r="V157" s="236" t="str">
        <f t="shared" si="183"/>
        <v/>
      </c>
      <c r="W157" s="236" t="str">
        <f t="shared" si="184"/>
        <v/>
      </c>
      <c r="X157" s="236" t="str">
        <f t="shared" si="185"/>
        <v/>
      </c>
      <c r="Y157" s="236" t="str">
        <f t="shared" si="186"/>
        <v/>
      </c>
      <c r="Z157" s="235" t="str">
        <f t="shared" si="187"/>
        <v>X</v>
      </c>
      <c r="AB157" s="1062"/>
    </row>
    <row r="158" spans="1:28" ht="13.9" customHeight="1" x14ac:dyDescent="0.25">
      <c r="A158" s="846">
        <f>Chem!A158</f>
        <v>156</v>
      </c>
      <c r="B158" s="855" t="str">
        <f>Chem!B158</f>
        <v>2-Butoxyethanol (EGBE)</v>
      </c>
      <c r="C158" s="343" t="s">
        <v>232</v>
      </c>
      <c r="D158" s="384" t="s">
        <v>232</v>
      </c>
      <c r="E158" s="384" t="s">
        <v>232</v>
      </c>
      <c r="F158" s="384" t="str">
        <f t="shared" si="172"/>
        <v>na</v>
      </c>
      <c r="G158" s="400">
        <f>'GW-Eq'!G158</f>
        <v>1600</v>
      </c>
      <c r="H158" s="400" t="str">
        <f t="shared" si="173"/>
        <v>na</v>
      </c>
      <c r="I158" s="400" t="str">
        <f t="shared" si="174"/>
        <v>na</v>
      </c>
      <c r="J158" s="403">
        <f t="shared" si="175"/>
        <v>1600</v>
      </c>
      <c r="K158" s="271" t="str">
        <f>'GW-Eq'!H158</f>
        <v>na</v>
      </c>
      <c r="L158" s="271" t="str">
        <f t="shared" si="176"/>
        <v>na</v>
      </c>
      <c r="M158" s="271" t="str">
        <f t="shared" si="177"/>
        <v>na</v>
      </c>
      <c r="N158" s="271" t="str">
        <f t="shared" si="178"/>
        <v>na</v>
      </c>
      <c r="O158" s="330">
        <f t="shared" si="194"/>
        <v>1600</v>
      </c>
      <c r="P158" s="2523" t="str">
        <f>VI!F158</f>
        <v>na</v>
      </c>
      <c r="R158" s="264">
        <f t="shared" si="179"/>
        <v>1600</v>
      </c>
      <c r="S158" s="236" t="str">
        <f t="shared" si="180"/>
        <v/>
      </c>
      <c r="T158" s="236" t="str">
        <f t="shared" si="181"/>
        <v/>
      </c>
      <c r="U158" s="236" t="str">
        <f t="shared" si="182"/>
        <v/>
      </c>
      <c r="V158" s="236" t="str">
        <f t="shared" si="183"/>
        <v>X</v>
      </c>
      <c r="W158" s="236" t="str">
        <f t="shared" si="184"/>
        <v/>
      </c>
      <c r="X158" s="236" t="str">
        <f t="shared" si="185"/>
        <v/>
      </c>
      <c r="Y158" s="236" t="str">
        <f t="shared" si="186"/>
        <v/>
      </c>
      <c r="Z158" s="235" t="str">
        <f t="shared" si="187"/>
        <v/>
      </c>
      <c r="AB158" s="1062"/>
    </row>
    <row r="159" spans="1:28" ht="13.9" customHeight="1" x14ac:dyDescent="0.25">
      <c r="A159" s="846">
        <f>Chem!A159</f>
        <v>157</v>
      </c>
      <c r="B159" s="855" t="str">
        <f>Chem!B159</f>
        <v>n-Butylbenzene</v>
      </c>
      <c r="C159" s="343" t="s">
        <v>232</v>
      </c>
      <c r="D159" s="384" t="s">
        <v>232</v>
      </c>
      <c r="E159" s="384" t="s">
        <v>232</v>
      </c>
      <c r="F159" s="384" t="str">
        <f t="shared" si="172"/>
        <v>na</v>
      </c>
      <c r="G159" s="400">
        <f>'GW-Eq'!G159</f>
        <v>400</v>
      </c>
      <c r="H159" s="400" t="str">
        <f t="shared" si="173"/>
        <v>na</v>
      </c>
      <c r="I159" s="400" t="str">
        <f t="shared" si="174"/>
        <v>na</v>
      </c>
      <c r="J159" s="403">
        <f t="shared" si="175"/>
        <v>400</v>
      </c>
      <c r="K159" s="271" t="str">
        <f>'GW-Eq'!H159</f>
        <v>na</v>
      </c>
      <c r="L159" s="271" t="str">
        <f t="shared" si="176"/>
        <v>na</v>
      </c>
      <c r="M159" s="271" t="str">
        <f t="shared" si="177"/>
        <v>na</v>
      </c>
      <c r="N159" s="271" t="str">
        <f t="shared" si="178"/>
        <v>na</v>
      </c>
      <c r="O159" s="330">
        <f t="shared" si="194"/>
        <v>400</v>
      </c>
      <c r="P159" s="2523" t="str">
        <f>VI!F159</f>
        <v>na</v>
      </c>
      <c r="R159" s="264">
        <f t="shared" si="179"/>
        <v>400</v>
      </c>
      <c r="S159" s="236" t="str">
        <f t="shared" si="180"/>
        <v/>
      </c>
      <c r="T159" s="236" t="str">
        <f t="shared" si="181"/>
        <v/>
      </c>
      <c r="U159" s="236" t="str">
        <f t="shared" si="182"/>
        <v/>
      </c>
      <c r="V159" s="236" t="str">
        <f t="shared" si="183"/>
        <v>X</v>
      </c>
      <c r="W159" s="236" t="str">
        <f t="shared" si="184"/>
        <v/>
      </c>
      <c r="X159" s="236" t="str">
        <f t="shared" si="185"/>
        <v/>
      </c>
      <c r="Y159" s="236" t="str">
        <f t="shared" si="186"/>
        <v/>
      </c>
      <c r="Z159" s="235" t="str">
        <f t="shared" si="187"/>
        <v/>
      </c>
      <c r="AB159" s="1062"/>
    </row>
    <row r="160" spans="1:28" ht="13.9" customHeight="1" x14ac:dyDescent="0.25">
      <c r="A160" s="846">
        <f>Chem!A160</f>
        <v>158</v>
      </c>
      <c r="B160" s="855" t="str">
        <f>Chem!B160</f>
        <v>sec-Butylbenzene</v>
      </c>
      <c r="C160" s="343" t="s">
        <v>232</v>
      </c>
      <c r="D160" s="384" t="s">
        <v>232</v>
      </c>
      <c r="E160" s="384" t="s">
        <v>232</v>
      </c>
      <c r="F160" s="384" t="str">
        <f t="shared" si="172"/>
        <v>na</v>
      </c>
      <c r="G160" s="400">
        <f>'GW-Eq'!G160</f>
        <v>800</v>
      </c>
      <c r="H160" s="400" t="str">
        <f t="shared" si="173"/>
        <v>na</v>
      </c>
      <c r="I160" s="400" t="str">
        <f t="shared" si="174"/>
        <v>na</v>
      </c>
      <c r="J160" s="403">
        <f t="shared" si="175"/>
        <v>800</v>
      </c>
      <c r="K160" s="271" t="str">
        <f>'GW-Eq'!H160</f>
        <v>na</v>
      </c>
      <c r="L160" s="271" t="str">
        <f t="shared" si="176"/>
        <v>na</v>
      </c>
      <c r="M160" s="271" t="str">
        <f t="shared" si="177"/>
        <v>na</v>
      </c>
      <c r="N160" s="271" t="str">
        <f t="shared" si="178"/>
        <v>na</v>
      </c>
      <c r="O160" s="330">
        <f t="shared" si="194"/>
        <v>800</v>
      </c>
      <c r="P160" s="2523" t="str">
        <f>VI!F160</f>
        <v>na</v>
      </c>
      <c r="R160" s="264">
        <f t="shared" si="179"/>
        <v>800</v>
      </c>
      <c r="S160" s="236" t="str">
        <f t="shared" si="180"/>
        <v/>
      </c>
      <c r="T160" s="236" t="str">
        <f t="shared" si="181"/>
        <v/>
      </c>
      <c r="U160" s="236" t="str">
        <f t="shared" si="182"/>
        <v/>
      </c>
      <c r="V160" s="236" t="str">
        <f t="shared" si="183"/>
        <v>X</v>
      </c>
      <c r="W160" s="236" t="str">
        <f t="shared" si="184"/>
        <v/>
      </c>
      <c r="X160" s="236" t="str">
        <f t="shared" si="185"/>
        <v/>
      </c>
      <c r="Y160" s="236" t="str">
        <f t="shared" si="186"/>
        <v/>
      </c>
      <c r="Z160" s="235" t="str">
        <f t="shared" si="187"/>
        <v/>
      </c>
      <c r="AB160" s="1062"/>
    </row>
    <row r="161" spans="1:28" ht="13.9" customHeight="1" x14ac:dyDescent="0.25">
      <c r="A161" s="846">
        <f>Chem!A161</f>
        <v>159</v>
      </c>
      <c r="B161" s="855" t="str">
        <f>Chem!B161</f>
        <v>tert-Butylbenzene</v>
      </c>
      <c r="C161" s="343" t="s">
        <v>232</v>
      </c>
      <c r="D161" s="384" t="s">
        <v>232</v>
      </c>
      <c r="E161" s="384" t="s">
        <v>232</v>
      </c>
      <c r="F161" s="384" t="str">
        <f t="shared" si="172"/>
        <v>na</v>
      </c>
      <c r="G161" s="400">
        <f>'GW-Eq'!G161</f>
        <v>800</v>
      </c>
      <c r="H161" s="400" t="str">
        <f t="shared" si="173"/>
        <v>na</v>
      </c>
      <c r="I161" s="400" t="str">
        <f t="shared" si="174"/>
        <v>na</v>
      </c>
      <c r="J161" s="403">
        <f t="shared" si="175"/>
        <v>800</v>
      </c>
      <c r="K161" s="271" t="str">
        <f>'GW-Eq'!H161</f>
        <v>na</v>
      </c>
      <c r="L161" s="271" t="str">
        <f t="shared" si="176"/>
        <v>na</v>
      </c>
      <c r="M161" s="271" t="str">
        <f t="shared" si="177"/>
        <v>na</v>
      </c>
      <c r="N161" s="271" t="str">
        <f t="shared" si="178"/>
        <v>na</v>
      </c>
      <c r="O161" s="330">
        <f t="shared" si="194"/>
        <v>800</v>
      </c>
      <c r="P161" s="2523" t="str">
        <f>VI!F161</f>
        <v>na</v>
      </c>
      <c r="R161" s="264">
        <f t="shared" si="179"/>
        <v>800</v>
      </c>
      <c r="S161" s="236" t="str">
        <f t="shared" si="180"/>
        <v/>
      </c>
      <c r="T161" s="236" t="str">
        <f t="shared" si="181"/>
        <v/>
      </c>
      <c r="U161" s="236" t="str">
        <f t="shared" si="182"/>
        <v/>
      </c>
      <c r="V161" s="236" t="str">
        <f t="shared" si="183"/>
        <v>X</v>
      </c>
      <c r="W161" s="236" t="str">
        <f t="shared" si="184"/>
        <v/>
      </c>
      <c r="X161" s="236" t="str">
        <f t="shared" si="185"/>
        <v/>
      </c>
      <c r="Y161" s="236" t="str">
        <f t="shared" si="186"/>
        <v/>
      </c>
      <c r="Z161" s="235" t="str">
        <f t="shared" si="187"/>
        <v/>
      </c>
      <c r="AB161" s="1062"/>
    </row>
    <row r="162" spans="1:28" ht="13.9" customHeight="1" x14ac:dyDescent="0.25">
      <c r="A162" s="846">
        <f>Chem!A162</f>
        <v>160</v>
      </c>
      <c r="B162" s="855" t="str">
        <f>Chem!B162</f>
        <v>Carbon disulfide</v>
      </c>
      <c r="C162" s="343" t="s">
        <v>232</v>
      </c>
      <c r="D162" s="384" t="s">
        <v>232</v>
      </c>
      <c r="E162" s="384" t="s">
        <v>232</v>
      </c>
      <c r="F162" s="384" t="str">
        <f t="shared" si="172"/>
        <v>na</v>
      </c>
      <c r="G162" s="400">
        <f>'GW-Eq'!G162</f>
        <v>800</v>
      </c>
      <c r="H162" s="400" t="str">
        <f t="shared" si="173"/>
        <v>na</v>
      </c>
      <c r="I162" s="400" t="str">
        <f t="shared" si="174"/>
        <v>na</v>
      </c>
      <c r="J162" s="403">
        <f t="shared" si="175"/>
        <v>800</v>
      </c>
      <c r="K162" s="271" t="str">
        <f>'GW-Eq'!H162</f>
        <v>na</v>
      </c>
      <c r="L162" s="271" t="str">
        <f t="shared" si="176"/>
        <v>na</v>
      </c>
      <c r="M162" s="271" t="str">
        <f t="shared" si="177"/>
        <v>na</v>
      </c>
      <c r="N162" s="271" t="str">
        <f t="shared" si="178"/>
        <v>na</v>
      </c>
      <c r="O162" s="330">
        <f t="shared" si="194"/>
        <v>800</v>
      </c>
      <c r="P162" s="2523">
        <f>VI!F162</f>
        <v>836.1064406410668</v>
      </c>
      <c r="R162" s="264">
        <f t="shared" si="179"/>
        <v>800</v>
      </c>
      <c r="S162" s="236" t="str">
        <f t="shared" si="180"/>
        <v/>
      </c>
      <c r="T162" s="236" t="str">
        <f t="shared" si="181"/>
        <v/>
      </c>
      <c r="U162" s="236" t="str">
        <f t="shared" si="182"/>
        <v/>
      </c>
      <c r="V162" s="236" t="str">
        <f t="shared" si="183"/>
        <v>X</v>
      </c>
      <c r="W162" s="236" t="str">
        <f t="shared" si="184"/>
        <v/>
      </c>
      <c r="X162" s="236" t="str">
        <f t="shared" si="185"/>
        <v/>
      </c>
      <c r="Y162" s="236" t="str">
        <f t="shared" si="186"/>
        <v/>
      </c>
      <c r="Z162" s="235" t="str">
        <f t="shared" si="187"/>
        <v/>
      </c>
      <c r="AB162" s="1062"/>
    </row>
    <row r="163" spans="1:28" ht="13.9" customHeight="1" x14ac:dyDescent="0.25">
      <c r="A163" s="846">
        <f>Chem!A163</f>
        <v>161</v>
      </c>
      <c r="B163" s="855" t="str">
        <f>Chem!B163</f>
        <v>Carbon tetrachloride</v>
      </c>
      <c r="C163" s="343">
        <v>5</v>
      </c>
      <c r="D163" s="384" t="s">
        <v>232</v>
      </c>
      <c r="E163" s="384">
        <v>5</v>
      </c>
      <c r="F163" s="384">
        <f t="shared" si="172"/>
        <v>5</v>
      </c>
      <c r="G163" s="400">
        <f>'GW-Eq'!G163</f>
        <v>32</v>
      </c>
      <c r="H163" s="400">
        <f t="shared" si="173"/>
        <v>0.15625</v>
      </c>
      <c r="I163" s="400" t="str">
        <f t="shared" si="174"/>
        <v>no</v>
      </c>
      <c r="J163" s="403">
        <f t="shared" si="175"/>
        <v>5</v>
      </c>
      <c r="K163" s="271">
        <f>'GW-Eq'!H163</f>
        <v>0.62499999999999978</v>
      </c>
      <c r="L163" s="271">
        <f t="shared" si="176"/>
        <v>8.0000000000000036</v>
      </c>
      <c r="M163" s="271" t="str">
        <f t="shared" si="177"/>
        <v>no</v>
      </c>
      <c r="N163" s="271">
        <f t="shared" si="178"/>
        <v>5</v>
      </c>
      <c r="O163" s="330">
        <f t="shared" si="194"/>
        <v>5</v>
      </c>
      <c r="P163" s="2523">
        <f>VI!F163</f>
        <v>0.61707928999612771</v>
      </c>
      <c r="R163" s="264">
        <f t="shared" si="179"/>
        <v>0.61707928999612771</v>
      </c>
      <c r="S163" s="236" t="str">
        <f t="shared" si="180"/>
        <v/>
      </c>
      <c r="T163" s="236" t="str">
        <f t="shared" si="181"/>
        <v/>
      </c>
      <c r="U163" s="236" t="str">
        <f t="shared" si="182"/>
        <v/>
      </c>
      <c r="V163" s="236" t="str">
        <f t="shared" si="183"/>
        <v/>
      </c>
      <c r="W163" s="236" t="str">
        <f t="shared" si="184"/>
        <v/>
      </c>
      <c r="X163" s="236" t="str">
        <f t="shared" si="185"/>
        <v/>
      </c>
      <c r="Y163" s="236" t="str">
        <f t="shared" si="186"/>
        <v/>
      </c>
      <c r="Z163" s="235" t="str">
        <f t="shared" si="187"/>
        <v>X</v>
      </c>
      <c r="AB163" s="1062"/>
    </row>
    <row r="164" spans="1:28" ht="13.9" customHeight="1" x14ac:dyDescent="0.25">
      <c r="A164" s="846">
        <f>Chem!A164</f>
        <v>162</v>
      </c>
      <c r="B164" s="855" t="str">
        <f>Chem!B164</f>
        <v>Chlorobenzene</v>
      </c>
      <c r="C164" s="343">
        <v>100</v>
      </c>
      <c r="D164" s="384">
        <v>100</v>
      </c>
      <c r="E164" s="384">
        <v>100</v>
      </c>
      <c r="F164" s="384">
        <f t="shared" si="172"/>
        <v>100</v>
      </c>
      <c r="G164" s="400">
        <f>'GW-Eq'!G164</f>
        <v>160</v>
      </c>
      <c r="H164" s="400">
        <f t="shared" si="173"/>
        <v>0.625</v>
      </c>
      <c r="I164" s="400" t="str">
        <f t="shared" si="174"/>
        <v>no</v>
      </c>
      <c r="J164" s="403">
        <f t="shared" si="175"/>
        <v>100</v>
      </c>
      <c r="K164" s="271" t="str">
        <f>'GW-Eq'!H164</f>
        <v>na</v>
      </c>
      <c r="L164" s="271" t="str">
        <f t="shared" si="176"/>
        <v>na</v>
      </c>
      <c r="M164" s="271" t="str">
        <f t="shared" si="177"/>
        <v>na</v>
      </c>
      <c r="N164" s="271" t="str">
        <f t="shared" si="178"/>
        <v>na</v>
      </c>
      <c r="O164" s="330">
        <f t="shared" si="194"/>
        <v>100</v>
      </c>
      <c r="P164" s="2523">
        <f>VI!F164</f>
        <v>344.7689091132645</v>
      </c>
      <c r="R164" s="264">
        <f t="shared" si="179"/>
        <v>100</v>
      </c>
      <c r="S164" s="236" t="str">
        <f t="shared" si="180"/>
        <v>X</v>
      </c>
      <c r="T164" s="236" t="str">
        <f t="shared" si="181"/>
        <v>X</v>
      </c>
      <c r="U164" s="236" t="str">
        <f t="shared" si="182"/>
        <v>X</v>
      </c>
      <c r="V164" s="236" t="str">
        <f t="shared" si="183"/>
        <v/>
      </c>
      <c r="W164" s="236" t="str">
        <f t="shared" si="184"/>
        <v/>
      </c>
      <c r="X164" s="236" t="str">
        <f t="shared" si="185"/>
        <v/>
      </c>
      <c r="Y164" s="236" t="str">
        <f t="shared" si="186"/>
        <v/>
      </c>
      <c r="Z164" s="235" t="str">
        <f t="shared" si="187"/>
        <v/>
      </c>
      <c r="AB164" s="1062"/>
    </row>
    <row r="165" spans="1:28" ht="13.9" customHeight="1" x14ac:dyDescent="0.25">
      <c r="A165" s="846">
        <f>Chem!A165</f>
        <v>163</v>
      </c>
      <c r="B165" s="855" t="str">
        <f>Chem!B165</f>
        <v>Chloroethane</v>
      </c>
      <c r="C165" s="343" t="s">
        <v>232</v>
      </c>
      <c r="D165" s="384" t="s">
        <v>232</v>
      </c>
      <c r="E165" s="384" t="s">
        <v>232</v>
      </c>
      <c r="F165" s="384" t="str">
        <f t="shared" si="172"/>
        <v>na</v>
      </c>
      <c r="G165" s="400" t="str">
        <f>'GW-Eq'!G165</f>
        <v>na</v>
      </c>
      <c r="H165" s="400" t="str">
        <f t="shared" si="173"/>
        <v>na</v>
      </c>
      <c r="I165" s="400" t="str">
        <f t="shared" si="174"/>
        <v>na</v>
      </c>
      <c r="J165" s="403" t="str">
        <f t="shared" si="175"/>
        <v>na</v>
      </c>
      <c r="K165" s="271" t="str">
        <f>'GW-Eq'!H165</f>
        <v>na</v>
      </c>
      <c r="L165" s="271" t="str">
        <f t="shared" si="176"/>
        <v>na</v>
      </c>
      <c r="M165" s="271" t="str">
        <f t="shared" si="177"/>
        <v>na</v>
      </c>
      <c r="N165" s="271" t="str">
        <f t="shared" si="178"/>
        <v>na</v>
      </c>
      <c r="O165" s="330" t="str">
        <f t="shared" si="194"/>
        <v>na</v>
      </c>
      <c r="P165" s="2523">
        <f>VI!F165</f>
        <v>14665.672993108747</v>
      </c>
      <c r="R165" s="264">
        <f t="shared" si="179"/>
        <v>14665.672993108747</v>
      </c>
      <c r="S165" s="236" t="str">
        <f t="shared" si="180"/>
        <v/>
      </c>
      <c r="T165" s="236" t="str">
        <f t="shared" si="181"/>
        <v/>
      </c>
      <c r="U165" s="236" t="str">
        <f t="shared" si="182"/>
        <v/>
      </c>
      <c r="V165" s="236" t="str">
        <f t="shared" si="183"/>
        <v/>
      </c>
      <c r="W165" s="236" t="str">
        <f t="shared" si="184"/>
        <v/>
      </c>
      <c r="X165" s="236" t="str">
        <f t="shared" si="185"/>
        <v/>
      </c>
      <c r="Y165" s="236" t="str">
        <f t="shared" si="186"/>
        <v/>
      </c>
      <c r="Z165" s="235" t="str">
        <f t="shared" si="187"/>
        <v>X</v>
      </c>
      <c r="AB165" s="1062"/>
    </row>
    <row r="166" spans="1:28" ht="13.9" customHeight="1" x14ac:dyDescent="0.25">
      <c r="A166" s="846">
        <f>Chem!A166</f>
        <v>164</v>
      </c>
      <c r="B166" s="855" t="str">
        <f>Chem!B166</f>
        <v>2-Chloroethyl vinyl ether</v>
      </c>
      <c r="C166" s="343" t="s">
        <v>232</v>
      </c>
      <c r="D166" s="384" t="s">
        <v>232</v>
      </c>
      <c r="E166" s="384" t="s">
        <v>232</v>
      </c>
      <c r="F166" s="384" t="str">
        <f t="shared" si="172"/>
        <v>na</v>
      </c>
      <c r="G166" s="400" t="str">
        <f>'GW-Eq'!G166</f>
        <v>na</v>
      </c>
      <c r="H166" s="400" t="str">
        <f t="shared" si="173"/>
        <v>na</v>
      </c>
      <c r="I166" s="400" t="str">
        <f t="shared" si="174"/>
        <v>na</v>
      </c>
      <c r="J166" s="403" t="str">
        <f t="shared" si="175"/>
        <v>na</v>
      </c>
      <c r="K166" s="271" t="str">
        <f>'GW-Eq'!H166</f>
        <v>na</v>
      </c>
      <c r="L166" s="271" t="str">
        <f t="shared" si="176"/>
        <v>na</v>
      </c>
      <c r="M166" s="271" t="str">
        <f t="shared" si="177"/>
        <v>na</v>
      </c>
      <c r="N166" s="271" t="str">
        <f t="shared" si="178"/>
        <v>na</v>
      </c>
      <c r="O166" s="330" t="str">
        <f t="shared" si="194"/>
        <v>na</v>
      </c>
      <c r="P166" s="2523" t="str">
        <f>VI!F166</f>
        <v>na</v>
      </c>
      <c r="R166" s="264" t="str">
        <f t="shared" si="179"/>
        <v>na</v>
      </c>
      <c r="S166" s="236" t="str">
        <f t="shared" si="180"/>
        <v/>
      </c>
      <c r="T166" s="236" t="str">
        <f t="shared" si="181"/>
        <v/>
      </c>
      <c r="U166" s="236" t="str">
        <f t="shared" si="182"/>
        <v/>
      </c>
      <c r="V166" s="236" t="str">
        <f t="shared" si="183"/>
        <v/>
      </c>
      <c r="W166" s="236" t="str">
        <f t="shared" si="184"/>
        <v/>
      </c>
      <c r="X166" s="236" t="str">
        <f t="shared" si="185"/>
        <v/>
      </c>
      <c r="Y166" s="236" t="str">
        <f t="shared" si="186"/>
        <v/>
      </c>
      <c r="Z166" s="235" t="str">
        <f t="shared" si="187"/>
        <v/>
      </c>
      <c r="AB166" s="1062"/>
    </row>
    <row r="167" spans="1:28" ht="13.9" customHeight="1" x14ac:dyDescent="0.25">
      <c r="A167" s="846">
        <f>Chem!A167</f>
        <v>165</v>
      </c>
      <c r="B167" s="855" t="str">
        <f>Chem!B167</f>
        <v>Chloroform</v>
      </c>
      <c r="C167" s="343">
        <v>80</v>
      </c>
      <c r="D167" s="384">
        <v>70</v>
      </c>
      <c r="E167" s="384">
        <v>80</v>
      </c>
      <c r="F167" s="384">
        <f t="shared" si="172"/>
        <v>70</v>
      </c>
      <c r="G167" s="400">
        <f>'GW-Eq'!G167</f>
        <v>80</v>
      </c>
      <c r="H167" s="400">
        <f t="shared" si="173"/>
        <v>0.875</v>
      </c>
      <c r="I167" s="400" t="str">
        <f t="shared" si="174"/>
        <v>no</v>
      </c>
      <c r="J167" s="403">
        <f t="shared" si="175"/>
        <v>70</v>
      </c>
      <c r="K167" s="271">
        <f>'GW-Eq'!H167</f>
        <v>1.4112903225806448</v>
      </c>
      <c r="L167" s="271">
        <f t="shared" si="176"/>
        <v>49.600000000000016</v>
      </c>
      <c r="M167" s="271" t="str">
        <f t="shared" si="177"/>
        <v>YES</v>
      </c>
      <c r="N167" s="271">
        <f t="shared" si="178"/>
        <v>14.112903225806448</v>
      </c>
      <c r="O167" s="330">
        <f t="shared" si="194"/>
        <v>14.112903225806448</v>
      </c>
      <c r="P167" s="2523">
        <f>VI!F167</f>
        <v>1.1846957377505782</v>
      </c>
      <c r="R167" s="264">
        <f t="shared" si="179"/>
        <v>1.1846957377505782</v>
      </c>
      <c r="S167" s="236" t="str">
        <f t="shared" si="180"/>
        <v/>
      </c>
      <c r="T167" s="236" t="str">
        <f t="shared" si="181"/>
        <v/>
      </c>
      <c r="U167" s="236" t="str">
        <f t="shared" si="182"/>
        <v/>
      </c>
      <c r="V167" s="236" t="str">
        <f t="shared" si="183"/>
        <v/>
      </c>
      <c r="W167" s="236" t="str">
        <f t="shared" si="184"/>
        <v/>
      </c>
      <c r="X167" s="236" t="str">
        <f t="shared" si="185"/>
        <v/>
      </c>
      <c r="Y167" s="236" t="str">
        <f t="shared" si="186"/>
        <v/>
      </c>
      <c r="Z167" s="235" t="str">
        <f t="shared" si="187"/>
        <v>X</v>
      </c>
      <c r="AB167" s="1062"/>
    </row>
    <row r="168" spans="1:28" ht="13.9" customHeight="1" x14ac:dyDescent="0.25">
      <c r="A168" s="846">
        <f>Chem!A168</f>
        <v>166</v>
      </c>
      <c r="B168" s="855" t="str">
        <f>Chem!B168</f>
        <v>Chloromethane</v>
      </c>
      <c r="C168" s="343" t="s">
        <v>232</v>
      </c>
      <c r="D168" s="384" t="s">
        <v>232</v>
      </c>
      <c r="E168" s="384" t="s">
        <v>232</v>
      </c>
      <c r="F168" s="384" t="str">
        <f t="shared" si="172"/>
        <v>na</v>
      </c>
      <c r="G168" s="400" t="str">
        <f>'GW-Eq'!G168</f>
        <v>na</v>
      </c>
      <c r="H168" s="400" t="str">
        <f t="shared" si="173"/>
        <v>na</v>
      </c>
      <c r="I168" s="400" t="str">
        <f t="shared" si="174"/>
        <v>na</v>
      </c>
      <c r="J168" s="403" t="str">
        <f t="shared" si="175"/>
        <v>na</v>
      </c>
      <c r="K168" s="271" t="str">
        <f>'GW-Eq'!H168</f>
        <v>na</v>
      </c>
      <c r="L168" s="271" t="str">
        <f t="shared" si="176"/>
        <v>na</v>
      </c>
      <c r="M168" s="271" t="str">
        <f t="shared" si="177"/>
        <v>na</v>
      </c>
      <c r="N168" s="271" t="str">
        <f t="shared" si="178"/>
        <v>na</v>
      </c>
      <c r="O168" s="330" t="str">
        <f t="shared" si="194"/>
        <v>na</v>
      </c>
      <c r="P168" s="2523">
        <f>VI!F168</f>
        <v>152.89049454899859</v>
      </c>
      <c r="R168" s="264">
        <f t="shared" si="179"/>
        <v>152.89049454899859</v>
      </c>
      <c r="S168" s="236" t="str">
        <f t="shared" si="180"/>
        <v/>
      </c>
      <c r="T168" s="236" t="str">
        <f t="shared" si="181"/>
        <v/>
      </c>
      <c r="U168" s="236" t="str">
        <f t="shared" si="182"/>
        <v/>
      </c>
      <c r="V168" s="236" t="str">
        <f t="shared" si="183"/>
        <v/>
      </c>
      <c r="W168" s="236" t="str">
        <f t="shared" si="184"/>
        <v/>
      </c>
      <c r="X168" s="236" t="str">
        <f t="shared" si="185"/>
        <v/>
      </c>
      <c r="Y168" s="236" t="str">
        <f t="shared" si="186"/>
        <v/>
      </c>
      <c r="Z168" s="235" t="str">
        <f t="shared" si="187"/>
        <v>X</v>
      </c>
      <c r="AB168" s="1062"/>
    </row>
    <row r="169" spans="1:28" ht="13.9" customHeight="1" x14ac:dyDescent="0.25">
      <c r="A169" s="846">
        <f>Chem!A169</f>
        <v>167</v>
      </c>
      <c r="B169" s="855" t="str">
        <f>Chem!B169</f>
        <v>3-Chloro-1-propene (allyl chloride)</v>
      </c>
      <c r="C169" s="343" t="s">
        <v>232</v>
      </c>
      <c r="D169" s="384" t="s">
        <v>232</v>
      </c>
      <c r="E169" s="384" t="s">
        <v>232</v>
      </c>
      <c r="F169" s="384" t="str">
        <f t="shared" si="172"/>
        <v>na</v>
      </c>
      <c r="G169" s="400" t="str">
        <f>'GW-Eq'!G169</f>
        <v>na</v>
      </c>
      <c r="H169" s="400" t="str">
        <f t="shared" si="173"/>
        <v>na</v>
      </c>
      <c r="I169" s="400" t="str">
        <f t="shared" si="174"/>
        <v>na</v>
      </c>
      <c r="J169" s="403" t="str">
        <f t="shared" si="175"/>
        <v>na</v>
      </c>
      <c r="K169" s="271">
        <f>'GW-Eq'!H169</f>
        <v>2.0833333333333326</v>
      </c>
      <c r="L169" s="271" t="str">
        <f t="shared" si="176"/>
        <v>na</v>
      </c>
      <c r="M169" s="271" t="str">
        <f t="shared" si="177"/>
        <v>na</v>
      </c>
      <c r="N169" s="271">
        <f t="shared" si="178"/>
        <v>2.0833333333333326</v>
      </c>
      <c r="O169" s="330">
        <f t="shared" si="194"/>
        <v>2.0833333333333326</v>
      </c>
      <c r="P169" s="2523">
        <f>VI!F169</f>
        <v>1.4913147037440477</v>
      </c>
      <c r="R169" s="264">
        <f t="shared" si="179"/>
        <v>1.4913147037440477</v>
      </c>
      <c r="S169" s="236" t="str">
        <f t="shared" si="180"/>
        <v/>
      </c>
      <c r="T169" s="236" t="str">
        <f t="shared" si="181"/>
        <v/>
      </c>
      <c r="U169" s="236" t="str">
        <f t="shared" si="182"/>
        <v/>
      </c>
      <c r="V169" s="236" t="str">
        <f t="shared" si="183"/>
        <v/>
      </c>
      <c r="W169" s="236" t="str">
        <f t="shared" si="184"/>
        <v/>
      </c>
      <c r="X169" s="236" t="str">
        <f t="shared" si="185"/>
        <v/>
      </c>
      <c r="Y169" s="236" t="str">
        <f t="shared" si="186"/>
        <v/>
      </c>
      <c r="Z169" s="235" t="str">
        <f t="shared" si="187"/>
        <v>X</v>
      </c>
      <c r="AB169" s="1062"/>
    </row>
    <row r="170" spans="1:28" ht="13.9" customHeight="1" x14ac:dyDescent="0.25">
      <c r="A170" s="846">
        <f>Chem!A170</f>
        <v>168</v>
      </c>
      <c r="B170" s="855" t="str">
        <f>Chem!B170</f>
        <v>2-Chlorotoluene</v>
      </c>
      <c r="C170" s="343" t="s">
        <v>232</v>
      </c>
      <c r="D170" s="384" t="s">
        <v>232</v>
      </c>
      <c r="E170" s="384" t="s">
        <v>232</v>
      </c>
      <c r="F170" s="384" t="str">
        <f t="shared" si="172"/>
        <v>na</v>
      </c>
      <c r="G170" s="400">
        <f>'GW-Eq'!G170</f>
        <v>160</v>
      </c>
      <c r="H170" s="400" t="str">
        <f t="shared" si="173"/>
        <v>na</v>
      </c>
      <c r="I170" s="400" t="str">
        <f t="shared" si="174"/>
        <v>na</v>
      </c>
      <c r="J170" s="403">
        <f t="shared" si="175"/>
        <v>160</v>
      </c>
      <c r="K170" s="271" t="str">
        <f>'GW-Eq'!H170</f>
        <v>na</v>
      </c>
      <c r="L170" s="271" t="str">
        <f t="shared" si="176"/>
        <v>na</v>
      </c>
      <c r="M170" s="271" t="str">
        <f t="shared" si="177"/>
        <v>na</v>
      </c>
      <c r="N170" s="271" t="str">
        <f t="shared" si="178"/>
        <v>na</v>
      </c>
      <c r="O170" s="330">
        <f t="shared" si="194"/>
        <v>160</v>
      </c>
      <c r="P170" s="2523" t="str">
        <f>VI!F170</f>
        <v>na</v>
      </c>
      <c r="R170" s="264">
        <f t="shared" si="179"/>
        <v>160</v>
      </c>
      <c r="S170" s="236" t="str">
        <f t="shared" si="180"/>
        <v/>
      </c>
      <c r="T170" s="236" t="str">
        <f t="shared" si="181"/>
        <v/>
      </c>
      <c r="U170" s="236" t="str">
        <f t="shared" si="182"/>
        <v/>
      </c>
      <c r="V170" s="236" t="str">
        <f t="shared" si="183"/>
        <v>X</v>
      </c>
      <c r="W170" s="236" t="str">
        <f t="shared" si="184"/>
        <v/>
      </c>
      <c r="X170" s="236" t="str">
        <f t="shared" si="185"/>
        <v/>
      </c>
      <c r="Y170" s="236" t="str">
        <f t="shared" si="186"/>
        <v/>
      </c>
      <c r="Z170" s="235" t="str">
        <f t="shared" si="187"/>
        <v/>
      </c>
      <c r="AB170" s="1062"/>
    </row>
    <row r="171" spans="1:28" ht="13.9" customHeight="1" x14ac:dyDescent="0.25">
      <c r="A171" s="846">
        <f>Chem!A171</f>
        <v>169</v>
      </c>
      <c r="B171" s="855" t="str">
        <f>Chem!B171</f>
        <v>4-Chlorotoluene</v>
      </c>
      <c r="C171" s="343" t="s">
        <v>232</v>
      </c>
      <c r="D171" s="384" t="s">
        <v>232</v>
      </c>
      <c r="E171" s="384" t="s">
        <v>232</v>
      </c>
      <c r="F171" s="384" t="str">
        <f t="shared" si="172"/>
        <v>na</v>
      </c>
      <c r="G171" s="400">
        <f>'GW-Eq'!G171</f>
        <v>160</v>
      </c>
      <c r="H171" s="400" t="str">
        <f t="shared" si="173"/>
        <v>na</v>
      </c>
      <c r="I171" s="400" t="str">
        <f t="shared" si="174"/>
        <v>na</v>
      </c>
      <c r="J171" s="403">
        <f t="shared" si="175"/>
        <v>160</v>
      </c>
      <c r="K171" s="271" t="str">
        <f>'GW-Eq'!H171</f>
        <v>na</v>
      </c>
      <c r="L171" s="271" t="str">
        <f t="shared" si="176"/>
        <v>na</v>
      </c>
      <c r="M171" s="271" t="str">
        <f t="shared" si="177"/>
        <v>na</v>
      </c>
      <c r="N171" s="271" t="str">
        <f t="shared" si="178"/>
        <v>na</v>
      </c>
      <c r="O171" s="330">
        <f t="shared" si="194"/>
        <v>160</v>
      </c>
      <c r="P171" s="2523" t="str">
        <f>VI!F171</f>
        <v>na</v>
      </c>
      <c r="R171" s="264">
        <f t="shared" si="179"/>
        <v>160</v>
      </c>
      <c r="S171" s="236" t="str">
        <f t="shared" si="180"/>
        <v/>
      </c>
      <c r="T171" s="236" t="str">
        <f t="shared" si="181"/>
        <v/>
      </c>
      <c r="U171" s="236" t="str">
        <f t="shared" si="182"/>
        <v/>
      </c>
      <c r="V171" s="236" t="str">
        <f t="shared" si="183"/>
        <v>X</v>
      </c>
      <c r="W171" s="236" t="str">
        <f t="shared" si="184"/>
        <v/>
      </c>
      <c r="X171" s="236" t="str">
        <f t="shared" si="185"/>
        <v/>
      </c>
      <c r="Y171" s="236" t="str">
        <f t="shared" si="186"/>
        <v/>
      </c>
      <c r="Z171" s="235" t="str">
        <f t="shared" si="187"/>
        <v/>
      </c>
      <c r="AB171" s="1062"/>
    </row>
    <row r="172" spans="1:28" ht="13.9" customHeight="1" x14ac:dyDescent="0.25">
      <c r="A172" s="846">
        <f>Chem!A172</f>
        <v>170</v>
      </c>
      <c r="B172" s="855" t="str">
        <f>Chem!B172</f>
        <v>Dibromochloromethane</v>
      </c>
      <c r="C172" s="343">
        <v>80</v>
      </c>
      <c r="D172" s="384">
        <v>60</v>
      </c>
      <c r="E172" s="384">
        <v>80</v>
      </c>
      <c r="F172" s="384">
        <f t="shared" si="172"/>
        <v>60</v>
      </c>
      <c r="G172" s="400">
        <f>'GW-Eq'!G172</f>
        <v>160</v>
      </c>
      <c r="H172" s="400">
        <f t="shared" si="173"/>
        <v>0.375</v>
      </c>
      <c r="I172" s="400" t="str">
        <f t="shared" si="174"/>
        <v>no</v>
      </c>
      <c r="J172" s="403">
        <f t="shared" si="175"/>
        <v>60</v>
      </c>
      <c r="K172" s="271">
        <f>'GW-Eq'!H172</f>
        <v>0.52083333333333315</v>
      </c>
      <c r="L172" s="271">
        <f t="shared" si="176"/>
        <v>115.20000000000005</v>
      </c>
      <c r="M172" s="271" t="str">
        <f t="shared" si="177"/>
        <v>YES</v>
      </c>
      <c r="N172" s="271">
        <f t="shared" si="178"/>
        <v>5.2083333333333313</v>
      </c>
      <c r="O172" s="330">
        <f t="shared" si="194"/>
        <v>5.2083333333333313</v>
      </c>
      <c r="P172" s="2523" t="str">
        <f>VI!F172</f>
        <v>na</v>
      </c>
      <c r="R172" s="264">
        <f t="shared" si="179"/>
        <v>5.2083333333333313</v>
      </c>
      <c r="S172" s="236" t="str">
        <f t="shared" si="180"/>
        <v/>
      </c>
      <c r="T172" s="236" t="str">
        <f t="shared" si="181"/>
        <v/>
      </c>
      <c r="U172" s="236" t="str">
        <f t="shared" si="182"/>
        <v/>
      </c>
      <c r="V172" s="236" t="str">
        <f t="shared" si="183"/>
        <v/>
      </c>
      <c r="W172" s="236" t="str">
        <f t="shared" si="184"/>
        <v/>
      </c>
      <c r="X172" s="236" t="str">
        <f t="shared" si="185"/>
        <v/>
      </c>
      <c r="Y172" s="236" t="str">
        <f t="shared" si="186"/>
        <v>X</v>
      </c>
      <c r="Z172" s="235" t="str">
        <f t="shared" si="187"/>
        <v/>
      </c>
      <c r="AB172" s="1062"/>
    </row>
    <row r="173" spans="1:28" ht="13.9" customHeight="1" x14ac:dyDescent="0.25">
      <c r="A173" s="846">
        <f>Chem!A173</f>
        <v>171</v>
      </c>
      <c r="B173" s="855" t="str">
        <f>Chem!B173</f>
        <v>1,2-Dibromo-3-chloropropane</v>
      </c>
      <c r="C173" s="343">
        <v>0.2</v>
      </c>
      <c r="D173" s="384" t="s">
        <v>232</v>
      </c>
      <c r="E173" s="384">
        <v>0.2</v>
      </c>
      <c r="F173" s="384">
        <f t="shared" si="172"/>
        <v>0.2</v>
      </c>
      <c r="G173" s="400">
        <f>'GW-Eq'!G173</f>
        <v>1.6</v>
      </c>
      <c r="H173" s="400">
        <f t="shared" si="173"/>
        <v>0.125</v>
      </c>
      <c r="I173" s="400" t="str">
        <f t="shared" si="174"/>
        <v>no</v>
      </c>
      <c r="J173" s="403">
        <f t="shared" si="175"/>
        <v>0.2</v>
      </c>
      <c r="K173" s="271">
        <f>'GW-Eq'!H173</f>
        <v>1.4E-2</v>
      </c>
      <c r="L173" s="271">
        <f t="shared" si="176"/>
        <v>14.285714285714286</v>
      </c>
      <c r="M173" s="271" t="str">
        <f t="shared" si="177"/>
        <v>YES</v>
      </c>
      <c r="N173" s="271">
        <f t="shared" si="178"/>
        <v>0.14000000000000001</v>
      </c>
      <c r="O173" s="330">
        <f t="shared" si="194"/>
        <v>0.14000000000000001</v>
      </c>
      <c r="P173" s="2523">
        <f>VI!F173</f>
        <v>4.2236533199310915E-2</v>
      </c>
      <c r="R173" s="264">
        <f t="shared" si="179"/>
        <v>4.2236533199310915E-2</v>
      </c>
      <c r="S173" s="236" t="str">
        <f t="shared" si="180"/>
        <v/>
      </c>
      <c r="T173" s="236" t="str">
        <f t="shared" si="181"/>
        <v/>
      </c>
      <c r="U173" s="236" t="str">
        <f t="shared" si="182"/>
        <v/>
      </c>
      <c r="V173" s="236" t="str">
        <f t="shared" si="183"/>
        <v/>
      </c>
      <c r="W173" s="236" t="str">
        <f t="shared" si="184"/>
        <v/>
      </c>
      <c r="X173" s="236" t="str">
        <f t="shared" si="185"/>
        <v/>
      </c>
      <c r="Y173" s="236" t="str">
        <f t="shared" si="186"/>
        <v/>
      </c>
      <c r="Z173" s="235" t="str">
        <f t="shared" si="187"/>
        <v>X</v>
      </c>
      <c r="AB173" s="1062"/>
    </row>
    <row r="174" spans="1:28" ht="13.9" customHeight="1" x14ac:dyDescent="0.25">
      <c r="A174" s="846">
        <f>Chem!A174</f>
        <v>172</v>
      </c>
      <c r="B174" s="855" t="str">
        <f>Chem!B174</f>
        <v>Dibromomethane</v>
      </c>
      <c r="C174" s="343" t="s">
        <v>232</v>
      </c>
      <c r="D174" s="384" t="s">
        <v>232</v>
      </c>
      <c r="E174" s="384" t="s">
        <v>232</v>
      </c>
      <c r="F174" s="384" t="str">
        <f t="shared" si="172"/>
        <v>na</v>
      </c>
      <c r="G174" s="400">
        <f>'GW-Eq'!G174</f>
        <v>80</v>
      </c>
      <c r="H174" s="400" t="str">
        <f t="shared" si="173"/>
        <v>na</v>
      </c>
      <c r="I174" s="400" t="str">
        <f t="shared" si="174"/>
        <v>na</v>
      </c>
      <c r="J174" s="403">
        <f t="shared" si="175"/>
        <v>80</v>
      </c>
      <c r="K174" s="271" t="str">
        <f>'GW-Eq'!H174</f>
        <v>na</v>
      </c>
      <c r="L174" s="271" t="str">
        <f t="shared" si="176"/>
        <v>na</v>
      </c>
      <c r="M174" s="271" t="str">
        <f t="shared" si="177"/>
        <v>na</v>
      </c>
      <c r="N174" s="271" t="str">
        <f t="shared" si="178"/>
        <v>na</v>
      </c>
      <c r="O174" s="330">
        <f t="shared" si="194"/>
        <v>80</v>
      </c>
      <c r="P174" s="2523">
        <f>VI!F174</f>
        <v>96.644895539356071</v>
      </c>
      <c r="R174" s="264">
        <f t="shared" si="179"/>
        <v>80</v>
      </c>
      <c r="S174" s="236" t="str">
        <f t="shared" si="180"/>
        <v/>
      </c>
      <c r="T174" s="236" t="str">
        <f t="shared" si="181"/>
        <v/>
      </c>
      <c r="U174" s="236" t="str">
        <f t="shared" si="182"/>
        <v/>
      </c>
      <c r="V174" s="236" t="str">
        <f t="shared" si="183"/>
        <v>X</v>
      </c>
      <c r="W174" s="236" t="str">
        <f t="shared" si="184"/>
        <v/>
      </c>
      <c r="X174" s="236" t="str">
        <f t="shared" si="185"/>
        <v/>
      </c>
      <c r="Y174" s="236" t="str">
        <f t="shared" si="186"/>
        <v/>
      </c>
      <c r="Z174" s="235" t="str">
        <f t="shared" si="187"/>
        <v/>
      </c>
      <c r="AB174" s="1062"/>
    </row>
    <row r="175" spans="1:28" ht="13.9" customHeight="1" x14ac:dyDescent="0.25">
      <c r="A175" s="846">
        <f>Chem!A175</f>
        <v>173</v>
      </c>
      <c r="B175" s="855" t="str">
        <f>Chem!B175</f>
        <v>Dichlorobromomethane</v>
      </c>
      <c r="C175" s="343">
        <v>80</v>
      </c>
      <c r="D175" s="384" t="s">
        <v>232</v>
      </c>
      <c r="E175" s="384">
        <v>80</v>
      </c>
      <c r="F175" s="384">
        <f t="shared" si="172"/>
        <v>80</v>
      </c>
      <c r="G175" s="400">
        <f>'GW-Eq'!G175</f>
        <v>160</v>
      </c>
      <c r="H175" s="400">
        <f t="shared" si="173"/>
        <v>0.5</v>
      </c>
      <c r="I175" s="400" t="str">
        <f t="shared" si="174"/>
        <v>no</v>
      </c>
      <c r="J175" s="403">
        <f t="shared" si="175"/>
        <v>80</v>
      </c>
      <c r="K175" s="271">
        <f>'GW-Eq'!H175</f>
        <v>0.7056451612903224</v>
      </c>
      <c r="L175" s="271">
        <f t="shared" si="176"/>
        <v>113.37142857142859</v>
      </c>
      <c r="M175" s="271" t="str">
        <f t="shared" si="177"/>
        <v>YES</v>
      </c>
      <c r="N175" s="271">
        <f t="shared" si="178"/>
        <v>7.0564516129032242</v>
      </c>
      <c r="O175" s="330">
        <f t="shared" si="194"/>
        <v>7.0564516129032242</v>
      </c>
      <c r="P175" s="2523">
        <f>VI!F175</f>
        <v>1.3792891031383101</v>
      </c>
      <c r="R175" s="264">
        <f t="shared" si="179"/>
        <v>1.3792891031383101</v>
      </c>
      <c r="S175" s="236" t="str">
        <f t="shared" si="180"/>
        <v/>
      </c>
      <c r="T175" s="236" t="str">
        <f t="shared" si="181"/>
        <v/>
      </c>
      <c r="U175" s="236" t="str">
        <f t="shared" si="182"/>
        <v/>
      </c>
      <c r="V175" s="236" t="str">
        <f t="shared" si="183"/>
        <v/>
      </c>
      <c r="W175" s="236" t="str">
        <f t="shared" si="184"/>
        <v/>
      </c>
      <c r="X175" s="236" t="str">
        <f t="shared" si="185"/>
        <v/>
      </c>
      <c r="Y175" s="236" t="str">
        <f t="shared" si="186"/>
        <v/>
      </c>
      <c r="Z175" s="235" t="str">
        <f t="shared" si="187"/>
        <v>X</v>
      </c>
      <c r="AB175" s="1062"/>
    </row>
    <row r="176" spans="1:28" ht="13.9" customHeight="1" x14ac:dyDescent="0.25">
      <c r="A176" s="846">
        <f>Chem!A176</f>
        <v>174</v>
      </c>
      <c r="B176" s="855" t="str">
        <f>Chem!B176</f>
        <v>trans-1,4-Dichloro-2-butene</v>
      </c>
      <c r="C176" s="343" t="s">
        <v>232</v>
      </c>
      <c r="D176" s="384" t="s">
        <v>232</v>
      </c>
      <c r="E176" s="384" t="s">
        <v>232</v>
      </c>
      <c r="F176" s="384" t="str">
        <f t="shared" si="172"/>
        <v>na</v>
      </c>
      <c r="G176" s="400" t="str">
        <f>'GW-Eq'!G176</f>
        <v>na</v>
      </c>
      <c r="H176" s="400" t="str">
        <f t="shared" si="173"/>
        <v>na</v>
      </c>
      <c r="I176" s="400" t="str">
        <f t="shared" si="174"/>
        <v>na</v>
      </c>
      <c r="J176" s="403" t="str">
        <f t="shared" si="175"/>
        <v>na</v>
      </c>
      <c r="K176" s="271" t="str">
        <f>'GW-Eq'!H176</f>
        <v>na</v>
      </c>
      <c r="L176" s="271" t="str">
        <f t="shared" si="176"/>
        <v>na</v>
      </c>
      <c r="M176" s="271" t="str">
        <f t="shared" si="177"/>
        <v>na</v>
      </c>
      <c r="N176" s="271" t="str">
        <f t="shared" si="178"/>
        <v>na</v>
      </c>
      <c r="O176" s="330" t="str">
        <f t="shared" si="194"/>
        <v>na</v>
      </c>
      <c r="P176" s="2523" t="str">
        <f>VI!F176</f>
        <v>na</v>
      </c>
      <c r="R176" s="264" t="str">
        <f t="shared" si="179"/>
        <v>na</v>
      </c>
      <c r="S176" s="236" t="str">
        <f t="shared" si="180"/>
        <v/>
      </c>
      <c r="T176" s="236" t="str">
        <f t="shared" si="181"/>
        <v/>
      </c>
      <c r="U176" s="236" t="str">
        <f t="shared" si="182"/>
        <v/>
      </c>
      <c r="V176" s="236" t="str">
        <f t="shared" si="183"/>
        <v/>
      </c>
      <c r="W176" s="236" t="str">
        <f t="shared" si="184"/>
        <v/>
      </c>
      <c r="X176" s="236" t="str">
        <f t="shared" si="185"/>
        <v/>
      </c>
      <c r="Y176" s="236" t="str">
        <f t="shared" si="186"/>
        <v/>
      </c>
      <c r="Z176" s="235" t="str">
        <f t="shared" si="187"/>
        <v/>
      </c>
      <c r="AB176" s="1062"/>
    </row>
    <row r="177" spans="1:28" ht="13.9" customHeight="1" x14ac:dyDescent="0.25">
      <c r="A177" s="846">
        <f>Chem!A177</f>
        <v>175</v>
      </c>
      <c r="B177" s="855" t="str">
        <f>Chem!B177</f>
        <v>Dichlorodifluoromethane</v>
      </c>
      <c r="C177" s="338" t="s">
        <v>232</v>
      </c>
      <c r="D177" s="394" t="s">
        <v>232</v>
      </c>
      <c r="E177" s="394" t="s">
        <v>232</v>
      </c>
      <c r="F177" s="394" t="str">
        <f t="shared" si="172"/>
        <v>na</v>
      </c>
      <c r="G177" s="407">
        <f>'GW-Eq'!G177</f>
        <v>1600</v>
      </c>
      <c r="H177" s="407" t="str">
        <f t="shared" si="173"/>
        <v>na</v>
      </c>
      <c r="I177" s="407" t="str">
        <f t="shared" si="174"/>
        <v>na</v>
      </c>
      <c r="J177" s="403">
        <f t="shared" si="175"/>
        <v>1600</v>
      </c>
      <c r="K177" s="217" t="str">
        <f>'GW-Eq'!H177</f>
        <v>na</v>
      </c>
      <c r="L177" s="217" t="str">
        <f t="shared" si="176"/>
        <v>na</v>
      </c>
      <c r="M177" s="217" t="str">
        <f t="shared" si="177"/>
        <v>na</v>
      </c>
      <c r="N177" s="217" t="str">
        <f t="shared" si="178"/>
        <v>na</v>
      </c>
      <c r="O177" s="330">
        <f t="shared" si="194"/>
        <v>1600</v>
      </c>
      <c r="P177" s="2528">
        <f>VI!F177</f>
        <v>4.2222428115176038</v>
      </c>
      <c r="R177" s="264">
        <f t="shared" si="179"/>
        <v>4.2222428115176038</v>
      </c>
      <c r="S177" s="236" t="str">
        <f t="shared" si="180"/>
        <v/>
      </c>
      <c r="T177" s="236" t="str">
        <f t="shared" si="181"/>
        <v/>
      </c>
      <c r="U177" s="236" t="str">
        <f t="shared" si="182"/>
        <v/>
      </c>
      <c r="V177" s="236" t="str">
        <f t="shared" si="183"/>
        <v/>
      </c>
      <c r="W177" s="236" t="str">
        <f t="shared" si="184"/>
        <v/>
      </c>
      <c r="X177" s="236" t="str">
        <f t="shared" si="185"/>
        <v/>
      </c>
      <c r="Y177" s="236" t="str">
        <f t="shared" si="186"/>
        <v/>
      </c>
      <c r="Z177" s="235" t="str">
        <f t="shared" si="187"/>
        <v>X</v>
      </c>
      <c r="AB177" s="1062"/>
    </row>
    <row r="178" spans="1:28" ht="13.9" customHeight="1" x14ac:dyDescent="0.25">
      <c r="A178" s="846">
        <f>Chem!A178</f>
        <v>176</v>
      </c>
      <c r="B178" s="855" t="str">
        <f>Chem!B178</f>
        <v>1,1-Dichloroethane</v>
      </c>
      <c r="C178" s="343" t="s">
        <v>232</v>
      </c>
      <c r="D178" s="384" t="s">
        <v>232</v>
      </c>
      <c r="E178" s="384" t="s">
        <v>232</v>
      </c>
      <c r="F178" s="384" t="str">
        <f t="shared" si="172"/>
        <v>na</v>
      </c>
      <c r="G178" s="400">
        <f>'GW-Eq'!G178</f>
        <v>1600</v>
      </c>
      <c r="H178" s="400" t="str">
        <f t="shared" si="173"/>
        <v>na</v>
      </c>
      <c r="I178" s="400" t="str">
        <f t="shared" si="174"/>
        <v>na</v>
      </c>
      <c r="J178" s="403">
        <f t="shared" si="175"/>
        <v>1600</v>
      </c>
      <c r="K178" s="271">
        <f>'GW-Eq'!H178</f>
        <v>7.675438596491226</v>
      </c>
      <c r="L178" s="271" t="str">
        <f t="shared" si="176"/>
        <v>na</v>
      </c>
      <c r="M178" s="271" t="str">
        <f t="shared" si="177"/>
        <v>na</v>
      </c>
      <c r="N178" s="271">
        <f t="shared" si="178"/>
        <v>7.675438596491226</v>
      </c>
      <c r="O178" s="330">
        <f t="shared" si="194"/>
        <v>7.675438596491226</v>
      </c>
      <c r="P178" s="2523">
        <f>VI!F178</f>
        <v>11.036061321934328</v>
      </c>
      <c r="R178" s="264">
        <f t="shared" si="179"/>
        <v>7.675438596491226</v>
      </c>
      <c r="S178" s="236" t="str">
        <f t="shared" si="180"/>
        <v/>
      </c>
      <c r="T178" s="236" t="str">
        <f t="shared" si="181"/>
        <v/>
      </c>
      <c r="U178" s="236" t="str">
        <f t="shared" si="182"/>
        <v/>
      </c>
      <c r="V178" s="236" t="str">
        <f t="shared" si="183"/>
        <v/>
      </c>
      <c r="W178" s="236" t="str">
        <f t="shared" si="184"/>
        <v>X</v>
      </c>
      <c r="X178" s="236" t="str">
        <f t="shared" si="185"/>
        <v/>
      </c>
      <c r="Y178" s="236" t="str">
        <f t="shared" si="186"/>
        <v/>
      </c>
      <c r="Z178" s="235" t="str">
        <f t="shared" si="187"/>
        <v/>
      </c>
      <c r="AB178" s="1062"/>
    </row>
    <row r="179" spans="1:28" ht="13.9" customHeight="1" x14ac:dyDescent="0.25">
      <c r="A179" s="846">
        <f>Chem!A179</f>
        <v>177</v>
      </c>
      <c r="B179" s="855" t="str">
        <f>Chem!B179</f>
        <v>1,2-Dichloroethane (EDC)</v>
      </c>
      <c r="C179" s="343">
        <v>5</v>
      </c>
      <c r="D179" s="384" t="s">
        <v>232</v>
      </c>
      <c r="E179" s="384">
        <v>5</v>
      </c>
      <c r="F179" s="384">
        <f t="shared" si="172"/>
        <v>5</v>
      </c>
      <c r="G179" s="400">
        <f>'GW-Eq'!G179</f>
        <v>48</v>
      </c>
      <c r="H179" s="400">
        <f t="shared" si="173"/>
        <v>0.10416666666666667</v>
      </c>
      <c r="I179" s="400" t="str">
        <f t="shared" si="174"/>
        <v>no</v>
      </c>
      <c r="J179" s="403">
        <f t="shared" si="175"/>
        <v>5</v>
      </c>
      <c r="K179" s="271">
        <f>'GW-Eq'!H179</f>
        <v>0.48076923076923067</v>
      </c>
      <c r="L179" s="271">
        <f t="shared" si="176"/>
        <v>10.400000000000002</v>
      </c>
      <c r="M179" s="271" t="str">
        <f t="shared" si="177"/>
        <v>YES</v>
      </c>
      <c r="N179" s="271">
        <f t="shared" si="178"/>
        <v>4.8076923076923066</v>
      </c>
      <c r="O179" s="330">
        <f t="shared" si="194"/>
        <v>4.8076923076923066</v>
      </c>
      <c r="P179" s="2523">
        <f>VI!F179</f>
        <v>3.4895911432050868</v>
      </c>
      <c r="R179" s="264">
        <f t="shared" ref="R179:R210" si="195">IF(MIN(O179,P179)=0,"na",MIN(O179,P179))</f>
        <v>3.4895911432050868</v>
      </c>
      <c r="S179" s="236" t="str">
        <f t="shared" ref="S179:S210" si="196">IF($R179="na","",IF($R179=$C179,"X",""))</f>
        <v/>
      </c>
      <c r="T179" s="236" t="str">
        <f t="shared" ref="T179:T210" si="197">IF($R179="na","",IF($R179=$D179,"X",""))</f>
        <v/>
      </c>
      <c r="U179" s="236" t="str">
        <f t="shared" ref="U179:U210" si="198">IF($R179="na","",IF($R179=$E179,"X",""))</f>
        <v/>
      </c>
      <c r="V179" s="236" t="str">
        <f t="shared" ref="V179:V210" si="199">IF($R179="na","",IF(AND($F179="na",$R179=$J179),"X",""))</f>
        <v/>
      </c>
      <c r="W179" s="236" t="str">
        <f t="shared" ref="W179:W210" si="200">IF($R179="na","",IF(AND($F179="na",$R179=$N179),"X",""))</f>
        <v/>
      </c>
      <c r="X179" s="236" t="str">
        <f t="shared" ref="X179:X210" si="201">IF(OR($R179="na",$J179="na"),"",IF(AND(ISNUMBER($F179),I179="YES",$R179=$J179),"X",""))</f>
        <v/>
      </c>
      <c r="Y179" s="236" t="str">
        <f t="shared" ref="Y179:Y210" si="202">IF(OR($R179="na",$N179="na"),"",IF(AND(ISNUMBER($F179),$R179=10*$K179),"X",""))</f>
        <v/>
      </c>
      <c r="Z179" s="235" t="str">
        <f t="shared" ref="Z179:Z210" si="203">IF($R179="na","",IF($R179=$P179,"X",""))</f>
        <v>X</v>
      </c>
      <c r="AB179" s="1062"/>
    </row>
    <row r="180" spans="1:28" ht="13.9" customHeight="1" x14ac:dyDescent="0.25">
      <c r="A180" s="846">
        <f>Chem!A180</f>
        <v>178</v>
      </c>
      <c r="B180" s="855" t="str">
        <f>Chem!B180</f>
        <v>1,1-Dichloroethylene</v>
      </c>
      <c r="C180" s="343">
        <v>7</v>
      </c>
      <c r="D180" s="384">
        <v>7</v>
      </c>
      <c r="E180" s="384">
        <v>7</v>
      </c>
      <c r="F180" s="384">
        <f t="shared" ref="F180:F215" si="204">IF(C180="na",IF(D180="na",IF(E180="na","na",MIN(C180:E180)),MIN(C180:E180)),MIN(C180:E180))</f>
        <v>7</v>
      </c>
      <c r="G180" s="400">
        <f>'GW-Eq'!G180</f>
        <v>400</v>
      </c>
      <c r="H180" s="400">
        <f t="shared" ref="H180:H215" si="205">IF(F180="na","na",IF(G180="na","na",F180/G180))</f>
        <v>1.7500000000000002E-2</v>
      </c>
      <c r="I180" s="400" t="str">
        <f t="shared" si="174"/>
        <v>no</v>
      </c>
      <c r="J180" s="403">
        <f t="shared" si="175"/>
        <v>7</v>
      </c>
      <c r="K180" s="271" t="str">
        <f>'GW-Eq'!H180</f>
        <v>na</v>
      </c>
      <c r="L180" s="271" t="str">
        <f t="shared" ref="L180:L215" si="206">IF(F180="na","na",IF(K180="na","na",F180/K180))</f>
        <v>na</v>
      </c>
      <c r="M180" s="271" t="str">
        <f t="shared" si="177"/>
        <v>na</v>
      </c>
      <c r="N180" s="271" t="str">
        <f t="shared" si="178"/>
        <v>na</v>
      </c>
      <c r="O180" s="330">
        <f t="shared" si="194"/>
        <v>7</v>
      </c>
      <c r="P180" s="2523">
        <f>VI!F180</f>
        <v>130.05731580719569</v>
      </c>
      <c r="R180" s="264">
        <f t="shared" si="195"/>
        <v>7</v>
      </c>
      <c r="S180" s="236" t="str">
        <f t="shared" si="196"/>
        <v>X</v>
      </c>
      <c r="T180" s="236" t="str">
        <f t="shared" si="197"/>
        <v>X</v>
      </c>
      <c r="U180" s="236" t="str">
        <f t="shared" si="198"/>
        <v>X</v>
      </c>
      <c r="V180" s="236" t="str">
        <f t="shared" si="199"/>
        <v/>
      </c>
      <c r="W180" s="236" t="str">
        <f t="shared" si="200"/>
        <v/>
      </c>
      <c r="X180" s="236" t="str">
        <f t="shared" si="201"/>
        <v/>
      </c>
      <c r="Y180" s="236" t="str">
        <f t="shared" si="202"/>
        <v/>
      </c>
      <c r="Z180" s="235" t="str">
        <f t="shared" si="203"/>
        <v/>
      </c>
      <c r="AB180" s="1062"/>
    </row>
    <row r="181" spans="1:28" ht="13.9" customHeight="1" x14ac:dyDescent="0.25">
      <c r="A181" s="846">
        <f>Chem!A181</f>
        <v>179</v>
      </c>
      <c r="B181" s="855" t="str">
        <f>Chem!B181</f>
        <v>cis-1,2-Dichloroethylene</v>
      </c>
      <c r="C181" s="343">
        <v>70</v>
      </c>
      <c r="D181" s="384">
        <v>70</v>
      </c>
      <c r="E181" s="384">
        <v>70</v>
      </c>
      <c r="F181" s="384">
        <f t="shared" si="204"/>
        <v>70</v>
      </c>
      <c r="G181" s="400">
        <f>'GW-Eq'!G181</f>
        <v>16</v>
      </c>
      <c r="H181" s="400">
        <f t="shared" si="205"/>
        <v>4.375</v>
      </c>
      <c r="I181" s="400" t="str">
        <f t="shared" si="174"/>
        <v>YES</v>
      </c>
      <c r="J181" s="403">
        <f t="shared" si="175"/>
        <v>16</v>
      </c>
      <c r="K181" s="271" t="str">
        <f>'GW-Eq'!H181</f>
        <v>na</v>
      </c>
      <c r="L181" s="271" t="str">
        <f t="shared" si="206"/>
        <v>na</v>
      </c>
      <c r="M181" s="271" t="str">
        <f t="shared" si="177"/>
        <v>na</v>
      </c>
      <c r="N181" s="271" t="str">
        <f t="shared" si="178"/>
        <v>na</v>
      </c>
      <c r="O181" s="330">
        <f t="shared" si="194"/>
        <v>16</v>
      </c>
      <c r="P181" s="2523">
        <f>VI!F181</f>
        <v>182.24780295288312</v>
      </c>
      <c r="R181" s="264">
        <f t="shared" si="195"/>
        <v>16</v>
      </c>
      <c r="S181" s="236" t="str">
        <f t="shared" si="196"/>
        <v/>
      </c>
      <c r="T181" s="236" t="str">
        <f t="shared" si="197"/>
        <v/>
      </c>
      <c r="U181" s="236" t="str">
        <f t="shared" si="198"/>
        <v/>
      </c>
      <c r="V181" s="236" t="str">
        <f t="shared" si="199"/>
        <v/>
      </c>
      <c r="W181" s="236" t="str">
        <f t="shared" si="200"/>
        <v/>
      </c>
      <c r="X181" s="236" t="str">
        <f t="shared" si="201"/>
        <v>X</v>
      </c>
      <c r="Y181" s="236" t="str">
        <f t="shared" si="202"/>
        <v/>
      </c>
      <c r="Z181" s="235" t="str">
        <f t="shared" si="203"/>
        <v/>
      </c>
      <c r="AB181" s="1062"/>
    </row>
    <row r="182" spans="1:28" ht="13.9" customHeight="1" x14ac:dyDescent="0.25">
      <c r="A182" s="846">
        <f>Chem!A182</f>
        <v>180</v>
      </c>
      <c r="B182" s="855" t="str">
        <f>Chem!B182</f>
        <v>trans-1,2-Dichloroethylene</v>
      </c>
      <c r="C182" s="343">
        <v>100</v>
      </c>
      <c r="D182" s="384">
        <v>100</v>
      </c>
      <c r="E182" s="384">
        <v>100</v>
      </c>
      <c r="F182" s="384">
        <f t="shared" si="204"/>
        <v>100</v>
      </c>
      <c r="G182" s="400">
        <f>'GW-Eq'!G182</f>
        <v>160</v>
      </c>
      <c r="H182" s="400">
        <f t="shared" si="205"/>
        <v>0.625</v>
      </c>
      <c r="I182" s="400" t="str">
        <f t="shared" si="174"/>
        <v>no</v>
      </c>
      <c r="J182" s="403">
        <f t="shared" si="175"/>
        <v>100</v>
      </c>
      <c r="K182" s="271" t="str">
        <f>'GW-Eq'!H182</f>
        <v>na</v>
      </c>
      <c r="L182" s="271" t="str">
        <f t="shared" si="206"/>
        <v>na</v>
      </c>
      <c r="M182" s="271" t="str">
        <f t="shared" si="177"/>
        <v>na</v>
      </c>
      <c r="N182" s="271" t="str">
        <f t="shared" si="178"/>
        <v>na</v>
      </c>
      <c r="O182" s="330">
        <f t="shared" si="194"/>
        <v>100</v>
      </c>
      <c r="P182" s="2523">
        <f>VI!F182</f>
        <v>76.877635439212767</v>
      </c>
      <c r="R182" s="264">
        <f t="shared" si="195"/>
        <v>76.877635439212767</v>
      </c>
      <c r="S182" s="236" t="str">
        <f t="shared" si="196"/>
        <v/>
      </c>
      <c r="T182" s="236" t="str">
        <f t="shared" si="197"/>
        <v/>
      </c>
      <c r="U182" s="236" t="str">
        <f t="shared" si="198"/>
        <v/>
      </c>
      <c r="V182" s="236" t="str">
        <f t="shared" si="199"/>
        <v/>
      </c>
      <c r="W182" s="236" t="str">
        <f t="shared" si="200"/>
        <v/>
      </c>
      <c r="X182" s="236" t="str">
        <f t="shared" si="201"/>
        <v/>
      </c>
      <c r="Y182" s="236" t="str">
        <f t="shared" si="202"/>
        <v/>
      </c>
      <c r="Z182" s="235" t="str">
        <f t="shared" si="203"/>
        <v>X</v>
      </c>
      <c r="AB182" s="1062"/>
    </row>
    <row r="183" spans="1:28" ht="13.9" customHeight="1" x14ac:dyDescent="0.25">
      <c r="A183" s="846">
        <f>Chem!A183</f>
        <v>181</v>
      </c>
      <c r="B183" s="855" t="str">
        <f>Chem!B183</f>
        <v>1,2-Dichloroethylene (mixed isomers)</v>
      </c>
      <c r="C183" s="343" t="s">
        <v>232</v>
      </c>
      <c r="D183" s="384" t="s">
        <v>232</v>
      </c>
      <c r="E183" s="384" t="s">
        <v>232</v>
      </c>
      <c r="F183" s="384" t="str">
        <f t="shared" si="204"/>
        <v>na</v>
      </c>
      <c r="G183" s="400" t="str">
        <f>'GW-Eq'!G183</f>
        <v>na</v>
      </c>
      <c r="H183" s="400" t="str">
        <f t="shared" si="205"/>
        <v>na</v>
      </c>
      <c r="I183" s="400" t="str">
        <f t="shared" si="174"/>
        <v>na</v>
      </c>
      <c r="J183" s="403" t="str">
        <f t="shared" si="175"/>
        <v>na</v>
      </c>
      <c r="K183" s="271" t="str">
        <f>'GW-Eq'!H183</f>
        <v>na</v>
      </c>
      <c r="L183" s="271" t="str">
        <f t="shared" si="206"/>
        <v>na</v>
      </c>
      <c r="M183" s="271" t="str">
        <f t="shared" si="177"/>
        <v>na</v>
      </c>
      <c r="N183" s="271" t="str">
        <f t="shared" si="178"/>
        <v>na</v>
      </c>
      <c r="O183" s="330" t="str">
        <f t="shared" si="194"/>
        <v>na</v>
      </c>
      <c r="P183" s="2523" t="str">
        <f>VI!F183</f>
        <v>na</v>
      </c>
      <c r="R183" s="264" t="str">
        <f t="shared" si="195"/>
        <v>na</v>
      </c>
      <c r="S183" s="236" t="str">
        <f t="shared" si="196"/>
        <v/>
      </c>
      <c r="T183" s="236" t="str">
        <f t="shared" si="197"/>
        <v/>
      </c>
      <c r="U183" s="236" t="str">
        <f t="shared" si="198"/>
        <v/>
      </c>
      <c r="V183" s="236" t="str">
        <f t="shared" si="199"/>
        <v/>
      </c>
      <c r="W183" s="236" t="str">
        <f t="shared" si="200"/>
        <v/>
      </c>
      <c r="X183" s="236" t="str">
        <f t="shared" si="201"/>
        <v/>
      </c>
      <c r="Y183" s="236" t="str">
        <f t="shared" si="202"/>
        <v/>
      </c>
      <c r="Z183" s="235" t="str">
        <f t="shared" si="203"/>
        <v/>
      </c>
      <c r="AB183" s="1062"/>
    </row>
    <row r="184" spans="1:28" ht="13.9" customHeight="1" x14ac:dyDescent="0.25">
      <c r="A184" s="846">
        <f>Chem!A184</f>
        <v>182</v>
      </c>
      <c r="B184" s="855" t="str">
        <f>Chem!B184</f>
        <v>1,2-Dichloropropane</v>
      </c>
      <c r="C184" s="343">
        <v>5</v>
      </c>
      <c r="D184" s="384" t="s">
        <v>232</v>
      </c>
      <c r="E184" s="384">
        <v>5</v>
      </c>
      <c r="F184" s="384">
        <f t="shared" si="204"/>
        <v>5</v>
      </c>
      <c r="G184" s="400">
        <f>'GW-Eq'!G184</f>
        <v>320</v>
      </c>
      <c r="H184" s="400">
        <f t="shared" si="205"/>
        <v>1.5625E-2</v>
      </c>
      <c r="I184" s="400" t="str">
        <f t="shared" si="174"/>
        <v>no</v>
      </c>
      <c r="J184" s="403">
        <f t="shared" si="175"/>
        <v>5</v>
      </c>
      <c r="K184" s="271">
        <f>'GW-Eq'!H184</f>
        <v>1.1824324324324322</v>
      </c>
      <c r="L184" s="271">
        <f t="shared" si="206"/>
        <v>4.2285714285714295</v>
      </c>
      <c r="M184" s="271" t="str">
        <f t="shared" si="177"/>
        <v>no</v>
      </c>
      <c r="N184" s="271">
        <f t="shared" si="178"/>
        <v>5</v>
      </c>
      <c r="O184" s="330">
        <f t="shared" si="194"/>
        <v>5</v>
      </c>
      <c r="P184" s="2523">
        <f>VI!F184</f>
        <v>10.330396985983786</v>
      </c>
      <c r="R184" s="264">
        <f t="shared" si="195"/>
        <v>5</v>
      </c>
      <c r="S184" s="236" t="str">
        <f t="shared" si="196"/>
        <v>X</v>
      </c>
      <c r="T184" s="236" t="str">
        <f t="shared" si="197"/>
        <v/>
      </c>
      <c r="U184" s="236" t="str">
        <f t="shared" si="198"/>
        <v>X</v>
      </c>
      <c r="V184" s="236" t="str">
        <f t="shared" si="199"/>
        <v/>
      </c>
      <c r="W184" s="236" t="str">
        <f t="shared" si="200"/>
        <v/>
      </c>
      <c r="X184" s="236" t="str">
        <f t="shared" si="201"/>
        <v/>
      </c>
      <c r="Y184" s="236" t="str">
        <f t="shared" si="202"/>
        <v/>
      </c>
      <c r="Z184" s="235" t="str">
        <f t="shared" si="203"/>
        <v/>
      </c>
      <c r="AB184" s="1062"/>
    </row>
    <row r="185" spans="1:28" ht="13.9" customHeight="1" x14ac:dyDescent="0.25">
      <c r="A185" s="846">
        <f>Chem!A185</f>
        <v>183</v>
      </c>
      <c r="B185" s="855" t="str">
        <f>Chem!B185</f>
        <v>1,3-Dichloropropane</v>
      </c>
      <c r="C185" s="343" t="s">
        <v>232</v>
      </c>
      <c r="D185" s="384" t="s">
        <v>232</v>
      </c>
      <c r="E185" s="384" t="s">
        <v>232</v>
      </c>
      <c r="F185" s="384" t="str">
        <f t="shared" si="204"/>
        <v>na</v>
      </c>
      <c r="G185" s="400">
        <f>'GW-Eq'!G185</f>
        <v>160</v>
      </c>
      <c r="H185" s="400" t="str">
        <f t="shared" si="205"/>
        <v>na</v>
      </c>
      <c r="I185" s="400" t="str">
        <f t="shared" si="174"/>
        <v>na</v>
      </c>
      <c r="J185" s="403">
        <f t="shared" si="175"/>
        <v>160</v>
      </c>
      <c r="K185" s="271" t="str">
        <f>'GW-Eq'!H185</f>
        <v>na</v>
      </c>
      <c r="L185" s="271" t="str">
        <f t="shared" si="206"/>
        <v>na</v>
      </c>
      <c r="M185" s="271" t="str">
        <f t="shared" si="177"/>
        <v>na</v>
      </c>
      <c r="N185" s="271" t="str">
        <f t="shared" si="178"/>
        <v>na</v>
      </c>
      <c r="O185" s="330">
        <f t="shared" si="194"/>
        <v>160</v>
      </c>
      <c r="P185" s="2523" t="str">
        <f>VI!F185</f>
        <v>na</v>
      </c>
      <c r="R185" s="264">
        <f t="shared" si="195"/>
        <v>160</v>
      </c>
      <c r="S185" s="236" t="str">
        <f t="shared" si="196"/>
        <v/>
      </c>
      <c r="T185" s="236" t="str">
        <f t="shared" si="197"/>
        <v/>
      </c>
      <c r="U185" s="236" t="str">
        <f t="shared" si="198"/>
        <v/>
      </c>
      <c r="V185" s="236" t="str">
        <f t="shared" si="199"/>
        <v>X</v>
      </c>
      <c r="W185" s="236" t="str">
        <f t="shared" si="200"/>
        <v/>
      </c>
      <c r="X185" s="236" t="str">
        <f t="shared" si="201"/>
        <v/>
      </c>
      <c r="Y185" s="236" t="str">
        <f t="shared" si="202"/>
        <v/>
      </c>
      <c r="Z185" s="235" t="str">
        <f t="shared" si="203"/>
        <v/>
      </c>
      <c r="AB185" s="1062"/>
    </row>
    <row r="186" spans="1:28" ht="13.9" customHeight="1" x14ac:dyDescent="0.25">
      <c r="A186" s="846">
        <f>Chem!A186</f>
        <v>184</v>
      </c>
      <c r="B186" s="855" t="str">
        <f>Chem!B186</f>
        <v>2,2-Dichloropropane</v>
      </c>
      <c r="C186" s="343" t="s">
        <v>232</v>
      </c>
      <c r="D186" s="384" t="s">
        <v>232</v>
      </c>
      <c r="E186" s="384" t="s">
        <v>232</v>
      </c>
      <c r="F186" s="384" t="str">
        <f t="shared" si="204"/>
        <v>na</v>
      </c>
      <c r="G186" s="400" t="str">
        <f>'GW-Eq'!G186</f>
        <v>na</v>
      </c>
      <c r="H186" s="400" t="str">
        <f t="shared" si="205"/>
        <v>na</v>
      </c>
      <c r="I186" s="400" t="str">
        <f t="shared" si="174"/>
        <v>na</v>
      </c>
      <c r="J186" s="403" t="str">
        <f t="shared" si="175"/>
        <v>na</v>
      </c>
      <c r="K186" s="271" t="str">
        <f>'GW-Eq'!H186</f>
        <v>na</v>
      </c>
      <c r="L186" s="271" t="str">
        <f t="shared" si="206"/>
        <v>na</v>
      </c>
      <c r="M186" s="271" t="str">
        <f t="shared" si="177"/>
        <v>na</v>
      </c>
      <c r="N186" s="271" t="str">
        <f t="shared" si="178"/>
        <v>na</v>
      </c>
      <c r="O186" s="330" t="str">
        <f t="shared" si="194"/>
        <v>na</v>
      </c>
      <c r="P186" s="2523" t="str">
        <f>VI!F186</f>
        <v>na</v>
      </c>
      <c r="R186" s="264" t="str">
        <f t="shared" si="195"/>
        <v>na</v>
      </c>
      <c r="S186" s="236" t="str">
        <f t="shared" si="196"/>
        <v/>
      </c>
      <c r="T186" s="236" t="str">
        <f t="shared" si="197"/>
        <v/>
      </c>
      <c r="U186" s="236" t="str">
        <f t="shared" si="198"/>
        <v/>
      </c>
      <c r="V186" s="236" t="str">
        <f t="shared" si="199"/>
        <v/>
      </c>
      <c r="W186" s="236" t="str">
        <f t="shared" si="200"/>
        <v/>
      </c>
      <c r="X186" s="236" t="str">
        <f t="shared" si="201"/>
        <v/>
      </c>
      <c r="Y186" s="236" t="str">
        <f t="shared" si="202"/>
        <v/>
      </c>
      <c r="Z186" s="235" t="str">
        <f t="shared" si="203"/>
        <v/>
      </c>
      <c r="AB186" s="1062"/>
    </row>
    <row r="187" spans="1:28" ht="13.9" customHeight="1" x14ac:dyDescent="0.25">
      <c r="A187" s="846">
        <f>Chem!A187</f>
        <v>185</v>
      </c>
      <c r="B187" s="855" t="str">
        <f>Chem!B187</f>
        <v>1,1-Dichloropropene</v>
      </c>
      <c r="C187" s="343" t="s">
        <v>232</v>
      </c>
      <c r="D187" s="384" t="s">
        <v>232</v>
      </c>
      <c r="E187" s="384" t="s">
        <v>232</v>
      </c>
      <c r="F187" s="384" t="str">
        <f t="shared" si="204"/>
        <v>na</v>
      </c>
      <c r="G187" s="400" t="str">
        <f>'GW-Eq'!G187</f>
        <v>na</v>
      </c>
      <c r="H187" s="400" t="str">
        <f t="shared" si="205"/>
        <v>na</v>
      </c>
      <c r="I187" s="400" t="str">
        <f t="shared" si="174"/>
        <v>na</v>
      </c>
      <c r="J187" s="403" t="str">
        <f t="shared" si="175"/>
        <v>na</v>
      </c>
      <c r="K187" s="271" t="str">
        <f>'GW-Eq'!H187</f>
        <v>na</v>
      </c>
      <c r="L187" s="271" t="str">
        <f t="shared" si="206"/>
        <v>na</v>
      </c>
      <c r="M187" s="271" t="str">
        <f t="shared" si="177"/>
        <v>na</v>
      </c>
      <c r="N187" s="271" t="str">
        <f t="shared" si="178"/>
        <v>na</v>
      </c>
      <c r="O187" s="330" t="str">
        <f t="shared" si="194"/>
        <v>na</v>
      </c>
      <c r="P187" s="2523" t="str">
        <f>VI!F187</f>
        <v>na</v>
      </c>
      <c r="R187" s="264" t="str">
        <f t="shared" si="195"/>
        <v>na</v>
      </c>
      <c r="S187" s="236" t="str">
        <f t="shared" si="196"/>
        <v/>
      </c>
      <c r="T187" s="236" t="str">
        <f t="shared" si="197"/>
        <v/>
      </c>
      <c r="U187" s="236" t="str">
        <f t="shared" si="198"/>
        <v/>
      </c>
      <c r="V187" s="236" t="str">
        <f t="shared" si="199"/>
        <v/>
      </c>
      <c r="W187" s="236" t="str">
        <f t="shared" si="200"/>
        <v/>
      </c>
      <c r="X187" s="236" t="str">
        <f t="shared" si="201"/>
        <v/>
      </c>
      <c r="Y187" s="236" t="str">
        <f t="shared" si="202"/>
        <v/>
      </c>
      <c r="Z187" s="235" t="str">
        <f t="shared" si="203"/>
        <v/>
      </c>
      <c r="AB187" s="1062"/>
    </row>
    <row r="188" spans="1:28" ht="13.9" customHeight="1" x14ac:dyDescent="0.25">
      <c r="A188" s="846">
        <f>Chem!A188</f>
        <v>186</v>
      </c>
      <c r="B188" s="855" t="str">
        <f>Chem!B188</f>
        <v>cis-1,3-Dichloropropene</v>
      </c>
      <c r="C188" s="343" t="s">
        <v>232</v>
      </c>
      <c r="D188" s="384" t="s">
        <v>232</v>
      </c>
      <c r="E188" s="384" t="s">
        <v>232</v>
      </c>
      <c r="F188" s="384" t="str">
        <f t="shared" si="204"/>
        <v>na</v>
      </c>
      <c r="G188" s="400">
        <f>'GW-Eq'!G188</f>
        <v>240</v>
      </c>
      <c r="H188" s="400" t="str">
        <f t="shared" si="205"/>
        <v>na</v>
      </c>
      <c r="I188" s="400" t="str">
        <f t="shared" si="174"/>
        <v>na</v>
      </c>
      <c r="J188" s="403">
        <f t="shared" si="175"/>
        <v>240</v>
      </c>
      <c r="K188" s="271">
        <f>'GW-Eq'!H188</f>
        <v>0.43749999999999989</v>
      </c>
      <c r="L188" s="271" t="str">
        <f t="shared" si="206"/>
        <v>na</v>
      </c>
      <c r="M188" s="271" t="str">
        <f t="shared" si="177"/>
        <v>na</v>
      </c>
      <c r="N188" s="271">
        <f t="shared" si="178"/>
        <v>0.43749999999999989</v>
      </c>
      <c r="O188" s="330">
        <f t="shared" si="194"/>
        <v>0.43749999999999989</v>
      </c>
      <c r="P188" s="2523">
        <f>VI!F188</f>
        <v>7.9557148350215652</v>
      </c>
      <c r="R188" s="264">
        <f t="shared" si="195"/>
        <v>0.43749999999999989</v>
      </c>
      <c r="S188" s="236" t="str">
        <f t="shared" si="196"/>
        <v/>
      </c>
      <c r="T188" s="236" t="str">
        <f t="shared" si="197"/>
        <v/>
      </c>
      <c r="U188" s="236" t="str">
        <f t="shared" si="198"/>
        <v/>
      </c>
      <c r="V188" s="236" t="str">
        <f t="shared" si="199"/>
        <v/>
      </c>
      <c r="W188" s="236" t="str">
        <f t="shared" si="200"/>
        <v>X</v>
      </c>
      <c r="X188" s="236" t="str">
        <f t="shared" si="201"/>
        <v/>
      </c>
      <c r="Y188" s="236" t="str">
        <f t="shared" si="202"/>
        <v/>
      </c>
      <c r="Z188" s="235" t="str">
        <f t="shared" si="203"/>
        <v/>
      </c>
      <c r="AB188" s="1062"/>
    </row>
    <row r="189" spans="1:28" ht="13.9" customHeight="1" x14ac:dyDescent="0.25">
      <c r="A189" s="846">
        <f>Chem!A189</f>
        <v>187</v>
      </c>
      <c r="B189" s="855" t="str">
        <f>Chem!B189</f>
        <v>trans-1,3-Dichloropropene</v>
      </c>
      <c r="C189" s="343" t="s">
        <v>232</v>
      </c>
      <c r="D189" s="384" t="s">
        <v>232</v>
      </c>
      <c r="E189" s="384" t="s">
        <v>232</v>
      </c>
      <c r="F189" s="384" t="str">
        <f t="shared" si="204"/>
        <v>na</v>
      </c>
      <c r="G189" s="400">
        <f>'GW-Eq'!G189</f>
        <v>240</v>
      </c>
      <c r="H189" s="400" t="str">
        <f t="shared" si="205"/>
        <v>na</v>
      </c>
      <c r="I189" s="400" t="str">
        <f t="shared" si="174"/>
        <v>na</v>
      </c>
      <c r="J189" s="403">
        <f t="shared" si="175"/>
        <v>240</v>
      </c>
      <c r="K189" s="271">
        <f>'GW-Eq'!H189</f>
        <v>0.43749999999999989</v>
      </c>
      <c r="L189" s="271" t="str">
        <f t="shared" si="206"/>
        <v>na</v>
      </c>
      <c r="M189" s="271" t="str">
        <f t="shared" si="177"/>
        <v>na</v>
      </c>
      <c r="N189" s="271">
        <f t="shared" si="178"/>
        <v>0.43749999999999989</v>
      </c>
      <c r="O189" s="330">
        <f t="shared" si="194"/>
        <v>0.43749999999999989</v>
      </c>
      <c r="P189" s="2523">
        <f>VI!F189</f>
        <v>7.9557148350215652</v>
      </c>
      <c r="R189" s="264">
        <f t="shared" si="195"/>
        <v>0.43749999999999989</v>
      </c>
      <c r="S189" s="236" t="str">
        <f t="shared" si="196"/>
        <v/>
      </c>
      <c r="T189" s="236" t="str">
        <f t="shared" si="197"/>
        <v/>
      </c>
      <c r="U189" s="236" t="str">
        <f t="shared" si="198"/>
        <v/>
      </c>
      <c r="V189" s="236" t="str">
        <f t="shared" si="199"/>
        <v/>
      </c>
      <c r="W189" s="236" t="str">
        <f t="shared" si="200"/>
        <v>X</v>
      </c>
      <c r="X189" s="236" t="str">
        <f t="shared" si="201"/>
        <v/>
      </c>
      <c r="Y189" s="236" t="str">
        <f t="shared" si="202"/>
        <v/>
      </c>
      <c r="Z189" s="235" t="str">
        <f t="shared" si="203"/>
        <v/>
      </c>
      <c r="AB189" s="1062"/>
    </row>
    <row r="190" spans="1:28" ht="13.9" customHeight="1" x14ac:dyDescent="0.25">
      <c r="A190" s="846">
        <f>Chem!A190</f>
        <v>188</v>
      </c>
      <c r="B190" s="855" t="str">
        <f>Chem!B190</f>
        <v>Diisopropyl ether</v>
      </c>
      <c r="C190" s="343" t="s">
        <v>232</v>
      </c>
      <c r="D190" s="384" t="s">
        <v>232</v>
      </c>
      <c r="E190" s="384" t="s">
        <v>232</v>
      </c>
      <c r="F190" s="384" t="str">
        <f t="shared" ref="F190" si="207">IF(C190="na",IF(D190="na",IF(E190="na","na",MIN(C190:E190)),MIN(C190:E190)),MIN(C190:E190))</f>
        <v>na</v>
      </c>
      <c r="G190" s="400" t="str">
        <f>'GW-Eq'!G190</f>
        <v>na</v>
      </c>
      <c r="H190" s="400" t="str">
        <f t="shared" ref="H190" si="208">IF(F190="na","na",IF(G190="na","na",F190/G190))</f>
        <v>na</v>
      </c>
      <c r="I190" s="400" t="str">
        <f t="shared" ref="I190" si="209">IF(H190="na","na",IF(H190&gt;1,"YES","no"))</f>
        <v>na</v>
      </c>
      <c r="J190" s="403" t="str">
        <f t="shared" ref="J190" si="210">IF(I190="YES",G190,IF(ISNUMBER(F190),F190,G190))</f>
        <v>na</v>
      </c>
      <c r="K190" s="271" t="str">
        <f>'GW-Eq'!H190</f>
        <v>na</v>
      </c>
      <c r="L190" s="271" t="str">
        <f t="shared" ref="L190" si="211">IF(F190="na","na",IF(K190="na","na",F190/K190))</f>
        <v>na</v>
      </c>
      <c r="M190" s="271" t="str">
        <f t="shared" ref="M190" si="212">IF(L190="na","na",IF(L190&gt;10,"YES","no"))</f>
        <v>na</v>
      </c>
      <c r="N190" s="271" t="str">
        <f t="shared" ref="N190" si="213">IF(M190="YES",10*K190,IF(M190="no",F190,K190))</f>
        <v>na</v>
      </c>
      <c r="O190" s="330" t="str">
        <f t="shared" si="194"/>
        <v>na</v>
      </c>
      <c r="P190" s="2523" t="str">
        <f>VI!F190</f>
        <v>na</v>
      </c>
      <c r="R190" s="264" t="str">
        <f t="shared" si="195"/>
        <v>na</v>
      </c>
      <c r="S190" s="236" t="str">
        <f t="shared" si="196"/>
        <v/>
      </c>
      <c r="T190" s="236" t="str">
        <f t="shared" si="197"/>
        <v/>
      </c>
      <c r="U190" s="236" t="str">
        <f t="shared" si="198"/>
        <v/>
      </c>
      <c r="V190" s="236" t="str">
        <f t="shared" si="199"/>
        <v/>
      </c>
      <c r="W190" s="236" t="str">
        <f t="shared" si="200"/>
        <v/>
      </c>
      <c r="X190" s="236" t="str">
        <f t="shared" si="201"/>
        <v/>
      </c>
      <c r="Y190" s="236" t="str">
        <f t="shared" si="202"/>
        <v/>
      </c>
      <c r="Z190" s="235" t="str">
        <f t="shared" si="203"/>
        <v/>
      </c>
      <c r="AB190" s="1062"/>
    </row>
    <row r="191" spans="1:28" ht="13.9" customHeight="1" x14ac:dyDescent="0.25">
      <c r="A191" s="846">
        <f>Chem!A191</f>
        <v>189</v>
      </c>
      <c r="B191" s="855" t="str">
        <f>Chem!B191</f>
        <v>Ethane</v>
      </c>
      <c r="C191" s="338" t="s">
        <v>232</v>
      </c>
      <c r="D191" s="394" t="s">
        <v>232</v>
      </c>
      <c r="E191" s="394" t="s">
        <v>232</v>
      </c>
      <c r="F191" s="394" t="str">
        <f t="shared" si="204"/>
        <v>na</v>
      </c>
      <c r="G191" s="407" t="str">
        <f>'GW-Eq'!G191</f>
        <v>na</v>
      </c>
      <c r="H191" s="407" t="str">
        <f t="shared" si="205"/>
        <v>na</v>
      </c>
      <c r="I191" s="407" t="str">
        <f t="shared" si="174"/>
        <v>na</v>
      </c>
      <c r="J191" s="403" t="str">
        <f t="shared" si="175"/>
        <v>na</v>
      </c>
      <c r="K191" s="217" t="str">
        <f>'GW-Eq'!H191</f>
        <v>na</v>
      </c>
      <c r="L191" s="217" t="str">
        <f t="shared" si="206"/>
        <v>na</v>
      </c>
      <c r="M191" s="217" t="str">
        <f t="shared" si="177"/>
        <v>na</v>
      </c>
      <c r="N191" s="217" t="str">
        <f t="shared" si="178"/>
        <v>na</v>
      </c>
      <c r="O191" s="330" t="str">
        <f t="shared" si="194"/>
        <v>na</v>
      </c>
      <c r="P191" s="2528" t="str">
        <f>VI!F191</f>
        <v>na</v>
      </c>
      <c r="R191" s="264" t="str">
        <f t="shared" si="195"/>
        <v>na</v>
      </c>
      <c r="S191" s="236" t="str">
        <f t="shared" si="196"/>
        <v/>
      </c>
      <c r="T191" s="236" t="str">
        <f t="shared" si="197"/>
        <v/>
      </c>
      <c r="U191" s="236" t="str">
        <f t="shared" si="198"/>
        <v/>
      </c>
      <c r="V191" s="236" t="str">
        <f t="shared" si="199"/>
        <v/>
      </c>
      <c r="W191" s="236" t="str">
        <f t="shared" si="200"/>
        <v/>
      </c>
      <c r="X191" s="236" t="str">
        <f t="shared" si="201"/>
        <v/>
      </c>
      <c r="Y191" s="236" t="str">
        <f t="shared" si="202"/>
        <v/>
      </c>
      <c r="Z191" s="235" t="str">
        <f t="shared" si="203"/>
        <v/>
      </c>
      <c r="AB191" s="1062"/>
    </row>
    <row r="192" spans="1:28" ht="13.9" customHeight="1" x14ac:dyDescent="0.25">
      <c r="A192" s="846">
        <f>Chem!A192</f>
        <v>190</v>
      </c>
      <c r="B192" s="855" t="str">
        <f>Chem!B192</f>
        <v>Ethylbenzene</v>
      </c>
      <c r="C192" s="343">
        <v>700</v>
      </c>
      <c r="D192" s="384">
        <v>700</v>
      </c>
      <c r="E192" s="384">
        <v>700</v>
      </c>
      <c r="F192" s="384">
        <f t="shared" si="204"/>
        <v>700</v>
      </c>
      <c r="G192" s="400">
        <f>'GW-Eq'!G192</f>
        <v>800</v>
      </c>
      <c r="H192" s="400">
        <f t="shared" si="205"/>
        <v>0.875</v>
      </c>
      <c r="I192" s="400" t="str">
        <f t="shared" si="174"/>
        <v>no</v>
      </c>
      <c r="J192" s="403">
        <f t="shared" si="175"/>
        <v>700</v>
      </c>
      <c r="K192" s="271" t="str">
        <f>'GW-Eq'!H192</f>
        <v>na</v>
      </c>
      <c r="L192" s="271" t="str">
        <f t="shared" si="206"/>
        <v>na</v>
      </c>
      <c r="M192" s="271" t="str">
        <f t="shared" si="177"/>
        <v>na</v>
      </c>
      <c r="N192" s="271" t="str">
        <f t="shared" si="178"/>
        <v>na</v>
      </c>
      <c r="O192" s="330">
        <f t="shared" si="194"/>
        <v>700</v>
      </c>
      <c r="P192" s="2523">
        <f>VI!F192</f>
        <v>2781.9042006137147</v>
      </c>
      <c r="R192" s="264">
        <f t="shared" si="195"/>
        <v>700</v>
      </c>
      <c r="S192" s="236" t="str">
        <f t="shared" si="196"/>
        <v>X</v>
      </c>
      <c r="T192" s="236" t="str">
        <f t="shared" si="197"/>
        <v>X</v>
      </c>
      <c r="U192" s="236" t="str">
        <f t="shared" si="198"/>
        <v>X</v>
      </c>
      <c r="V192" s="236" t="str">
        <f t="shared" si="199"/>
        <v/>
      </c>
      <c r="W192" s="236" t="str">
        <f t="shared" si="200"/>
        <v/>
      </c>
      <c r="X192" s="236" t="str">
        <f t="shared" si="201"/>
        <v/>
      </c>
      <c r="Y192" s="236" t="str">
        <f t="shared" si="202"/>
        <v/>
      </c>
      <c r="Z192" s="235" t="str">
        <f t="shared" si="203"/>
        <v/>
      </c>
      <c r="AB192" s="1062"/>
    </row>
    <row r="193" spans="1:28" ht="13.9" customHeight="1" x14ac:dyDescent="0.25">
      <c r="A193" s="846">
        <f>Chem!A193</f>
        <v>191</v>
      </c>
      <c r="B193" s="855" t="str">
        <f>Chem!B193</f>
        <v>Ethylene oxide</v>
      </c>
      <c r="C193" s="338" t="s">
        <v>232</v>
      </c>
      <c r="D193" s="394" t="s">
        <v>232</v>
      </c>
      <c r="E193" s="394" t="s">
        <v>232</v>
      </c>
      <c r="F193" s="394" t="str">
        <f t="shared" si="204"/>
        <v>na</v>
      </c>
      <c r="G193" s="407" t="str">
        <f>'GW-Eq'!G193</f>
        <v>na</v>
      </c>
      <c r="H193" s="407" t="str">
        <f t="shared" si="205"/>
        <v>na</v>
      </c>
      <c r="I193" s="407" t="str">
        <f t="shared" si="174"/>
        <v>na</v>
      </c>
      <c r="J193" s="403" t="str">
        <f t="shared" si="175"/>
        <v>na</v>
      </c>
      <c r="K193" s="217">
        <f>'GW-Eq'!H193</f>
        <v>3.6999999999999998E-2</v>
      </c>
      <c r="L193" s="217" t="str">
        <f t="shared" si="206"/>
        <v>na</v>
      </c>
      <c r="M193" s="217" t="str">
        <f t="shared" si="177"/>
        <v>na</v>
      </c>
      <c r="N193" s="217">
        <f t="shared" si="178"/>
        <v>3.6999999999999998E-2</v>
      </c>
      <c r="O193" s="330">
        <f t="shared" si="194"/>
        <v>3.6999999999999998E-2</v>
      </c>
      <c r="P193" s="2528">
        <f>VI!F193</f>
        <v>5.3667994076558659E-2</v>
      </c>
      <c r="R193" s="264">
        <f t="shared" si="195"/>
        <v>3.6999999999999998E-2</v>
      </c>
      <c r="S193" s="236" t="str">
        <f t="shared" si="196"/>
        <v/>
      </c>
      <c r="T193" s="236" t="str">
        <f t="shared" si="197"/>
        <v/>
      </c>
      <c r="U193" s="236" t="str">
        <f t="shared" si="198"/>
        <v/>
      </c>
      <c r="V193" s="236" t="str">
        <f t="shared" si="199"/>
        <v/>
      </c>
      <c r="W193" s="236" t="str">
        <f t="shared" si="200"/>
        <v>X</v>
      </c>
      <c r="X193" s="236" t="str">
        <f t="shared" si="201"/>
        <v/>
      </c>
      <c r="Y193" s="236" t="str">
        <f t="shared" si="202"/>
        <v/>
      </c>
      <c r="Z193" s="235" t="str">
        <f t="shared" si="203"/>
        <v/>
      </c>
      <c r="AB193" s="1062"/>
    </row>
    <row r="194" spans="1:28" ht="13.9" customHeight="1" x14ac:dyDescent="0.25">
      <c r="A194" s="846">
        <f>Chem!A194</f>
        <v>192</v>
      </c>
      <c r="B194" s="855" t="str">
        <f>Chem!B194</f>
        <v>Ethyl ether</v>
      </c>
      <c r="C194" s="338" t="s">
        <v>232</v>
      </c>
      <c r="D194" s="394" t="s">
        <v>232</v>
      </c>
      <c r="E194" s="394" t="s">
        <v>232</v>
      </c>
      <c r="F194" s="394" t="str">
        <f t="shared" si="204"/>
        <v>na</v>
      </c>
      <c r="G194" s="407">
        <f>'GW-Eq'!G194</f>
        <v>1600</v>
      </c>
      <c r="H194" s="407" t="str">
        <f t="shared" si="205"/>
        <v>na</v>
      </c>
      <c r="I194" s="407" t="str">
        <f t="shared" si="174"/>
        <v>na</v>
      </c>
      <c r="J194" s="403">
        <f t="shared" si="175"/>
        <v>1600</v>
      </c>
      <c r="K194" s="217" t="str">
        <f>'GW-Eq'!H194</f>
        <v>na</v>
      </c>
      <c r="L194" s="217" t="str">
        <f t="shared" si="206"/>
        <v>na</v>
      </c>
      <c r="M194" s="217" t="str">
        <f t="shared" si="177"/>
        <v>na</v>
      </c>
      <c r="N194" s="217" t="str">
        <f t="shared" si="178"/>
        <v>na</v>
      </c>
      <c r="O194" s="330">
        <f t="shared" si="194"/>
        <v>1600</v>
      </c>
      <c r="P194" s="2528" t="str">
        <f>VI!F194</f>
        <v>na</v>
      </c>
      <c r="R194" s="264">
        <f t="shared" si="195"/>
        <v>1600</v>
      </c>
      <c r="S194" s="236" t="str">
        <f t="shared" si="196"/>
        <v/>
      </c>
      <c r="T194" s="236" t="str">
        <f t="shared" si="197"/>
        <v/>
      </c>
      <c r="U194" s="236" t="str">
        <f t="shared" si="198"/>
        <v/>
      </c>
      <c r="V194" s="236" t="str">
        <f t="shared" si="199"/>
        <v>X</v>
      </c>
      <c r="W194" s="236" t="str">
        <f t="shared" si="200"/>
        <v/>
      </c>
      <c r="X194" s="236" t="str">
        <f t="shared" si="201"/>
        <v/>
      </c>
      <c r="Y194" s="236" t="str">
        <f t="shared" si="202"/>
        <v/>
      </c>
      <c r="Z194" s="235" t="str">
        <f t="shared" si="203"/>
        <v/>
      </c>
      <c r="AB194" s="1062"/>
    </row>
    <row r="195" spans="1:28" ht="13.9" customHeight="1" x14ac:dyDescent="0.25">
      <c r="A195" s="846">
        <f>Chem!A195</f>
        <v>193</v>
      </c>
      <c r="B195" s="855" t="str">
        <f>Chem!B195</f>
        <v>Ethylene dibromide (EDB)</v>
      </c>
      <c r="C195" s="343">
        <v>0.05</v>
      </c>
      <c r="D195" s="384" t="s">
        <v>232</v>
      </c>
      <c r="E195" s="384">
        <v>0.05</v>
      </c>
      <c r="F195" s="384">
        <f t="shared" si="204"/>
        <v>0.05</v>
      </c>
      <c r="G195" s="400">
        <f>'GW-Eq'!G195</f>
        <v>72</v>
      </c>
      <c r="H195" s="400">
        <f t="shared" si="205"/>
        <v>6.9444444444444447E-4</v>
      </c>
      <c r="I195" s="400" t="str">
        <f t="shared" si="174"/>
        <v>no</v>
      </c>
      <c r="J195" s="403">
        <f t="shared" si="175"/>
        <v>0.05</v>
      </c>
      <c r="K195" s="271">
        <f>'GW-Eq'!H195</f>
        <v>2.1874999999999995E-2</v>
      </c>
      <c r="L195" s="271">
        <f t="shared" si="206"/>
        <v>2.2857142857142865</v>
      </c>
      <c r="M195" s="271" t="str">
        <f t="shared" si="177"/>
        <v>no</v>
      </c>
      <c r="N195" s="271">
        <f t="shared" si="178"/>
        <v>0.05</v>
      </c>
      <c r="O195" s="330">
        <f t="shared" si="194"/>
        <v>0.05</v>
      </c>
      <c r="P195" s="2523">
        <f>VI!F195</f>
        <v>0.29534909428441325</v>
      </c>
      <c r="R195" s="264">
        <f t="shared" si="195"/>
        <v>0.05</v>
      </c>
      <c r="S195" s="236" t="str">
        <f t="shared" si="196"/>
        <v>X</v>
      </c>
      <c r="T195" s="236" t="str">
        <f t="shared" si="197"/>
        <v/>
      </c>
      <c r="U195" s="236" t="str">
        <f t="shared" si="198"/>
        <v>X</v>
      </c>
      <c r="V195" s="236" t="str">
        <f t="shared" si="199"/>
        <v/>
      </c>
      <c r="W195" s="236" t="str">
        <f t="shared" si="200"/>
        <v/>
      </c>
      <c r="X195" s="236" t="str">
        <f t="shared" si="201"/>
        <v/>
      </c>
      <c r="Y195" s="236" t="str">
        <f t="shared" si="202"/>
        <v/>
      </c>
      <c r="Z195" s="235" t="str">
        <f t="shared" si="203"/>
        <v/>
      </c>
      <c r="AB195" s="1062"/>
    </row>
    <row r="196" spans="1:28" ht="13.9" customHeight="1" x14ac:dyDescent="0.25">
      <c r="A196" s="846">
        <f>Chem!A196</f>
        <v>194</v>
      </c>
      <c r="B196" s="855" t="str">
        <f>Chem!B196</f>
        <v>Formaldehyde</v>
      </c>
      <c r="C196" s="343" t="s">
        <v>232</v>
      </c>
      <c r="D196" s="384" t="s">
        <v>232</v>
      </c>
      <c r="E196" s="384" t="s">
        <v>232</v>
      </c>
      <c r="F196" s="384" t="str">
        <f t="shared" ref="F196" si="214">IF(C196="na",IF(D196="na",IF(E196="na","na",MIN(C196:E196)),MIN(C196:E196)),MIN(C196:E196))</f>
        <v>na</v>
      </c>
      <c r="G196" s="400">
        <f>'GW-Eq'!G196</f>
        <v>1600</v>
      </c>
      <c r="H196" s="400" t="str">
        <f t="shared" ref="H196" si="215">IF(F196="na","na",IF(G196="na","na",F196/G196))</f>
        <v>na</v>
      </c>
      <c r="I196" s="400" t="str">
        <f t="shared" ref="I196" si="216">IF(H196="na","na",IF(H196&gt;1,"YES","no"))</f>
        <v>na</v>
      </c>
      <c r="J196" s="403">
        <f t="shared" ref="J196" si="217">IF(I196="YES",G196,IF(ISNUMBER(F196),F196,G196))</f>
        <v>1600</v>
      </c>
      <c r="K196" s="271">
        <f>'GW-Eq'!H196</f>
        <v>0.55000000000000004</v>
      </c>
      <c r="L196" s="271" t="str">
        <f t="shared" ref="L196" si="218">IF(F196="na","na",IF(K196="na","na",F196/K196))</f>
        <v>na</v>
      </c>
      <c r="M196" s="271" t="str">
        <f t="shared" ref="M196" si="219">IF(L196="na","na",IF(L196&gt;10,"YES","no"))</f>
        <v>na</v>
      </c>
      <c r="N196" s="271">
        <f t="shared" ref="N196" si="220">IF(M196="YES",10*K196,IF(M196="no",F196,K196))</f>
        <v>0.55000000000000004</v>
      </c>
      <c r="O196" s="330">
        <f t="shared" si="194"/>
        <v>0.55000000000000004</v>
      </c>
      <c r="P196" s="2523" t="str">
        <f>VI!F196</f>
        <v>na</v>
      </c>
      <c r="R196" s="264">
        <f t="shared" si="195"/>
        <v>0.55000000000000004</v>
      </c>
      <c r="S196" s="236" t="str">
        <f t="shared" si="196"/>
        <v/>
      </c>
      <c r="T196" s="236" t="str">
        <f t="shared" si="197"/>
        <v/>
      </c>
      <c r="U196" s="236" t="str">
        <f t="shared" si="198"/>
        <v/>
      </c>
      <c r="V196" s="236" t="str">
        <f t="shared" si="199"/>
        <v/>
      </c>
      <c r="W196" s="236" t="str">
        <f t="shared" si="200"/>
        <v>X</v>
      </c>
      <c r="X196" s="236" t="str">
        <f t="shared" si="201"/>
        <v/>
      </c>
      <c r="Y196" s="236" t="str">
        <f t="shared" si="202"/>
        <v/>
      </c>
      <c r="Z196" s="235" t="str">
        <f t="shared" si="203"/>
        <v/>
      </c>
      <c r="AB196" s="1062"/>
    </row>
    <row r="197" spans="1:28" ht="13.9" customHeight="1" x14ac:dyDescent="0.25">
      <c r="A197" s="846">
        <f>Chem!A197</f>
        <v>195</v>
      </c>
      <c r="B197" s="855" t="str">
        <f>Chem!B197</f>
        <v>n-Hexane</v>
      </c>
      <c r="C197" s="343" t="s">
        <v>232</v>
      </c>
      <c r="D197" s="384" t="s">
        <v>232</v>
      </c>
      <c r="E197" s="384" t="s">
        <v>232</v>
      </c>
      <c r="F197" s="384" t="str">
        <f t="shared" ref="F197" si="221">IF(C197="na",IF(D197="na",IF(E197="na","na",MIN(C197:E197)),MIN(C197:E197)),MIN(C197:E197))</f>
        <v>na</v>
      </c>
      <c r="G197" s="400">
        <f>'GW-Eq'!G197</f>
        <v>480</v>
      </c>
      <c r="H197" s="400" t="str">
        <f t="shared" ref="H197" si="222">IF(F197="na","na",IF(G197="na","na",F197/G197))</f>
        <v>na</v>
      </c>
      <c r="I197" s="400" t="str">
        <f t="shared" ref="I197" si="223">IF(H197="na","na",IF(H197&gt;1,"YES","no"))</f>
        <v>na</v>
      </c>
      <c r="J197" s="403">
        <f t="shared" ref="J197" si="224">IF(I197="YES",G197,IF(ISNUMBER(F197),F197,G197))</f>
        <v>480</v>
      </c>
      <c r="K197" s="271" t="str">
        <f>'GW-Eq'!H197</f>
        <v>na</v>
      </c>
      <c r="L197" s="271" t="str">
        <f t="shared" ref="L197" si="225">IF(F197="na","na",IF(K197="na","na",F197/K197))</f>
        <v>na</v>
      </c>
      <c r="M197" s="271" t="str">
        <f t="shared" ref="M197" si="226">IF(L197="na","na",IF(L197&gt;10,"YES","no"))</f>
        <v>na</v>
      </c>
      <c r="N197" s="271" t="str">
        <f t="shared" ref="N197" si="227">IF(M197="YES",10*K197,IF(M197="no",F197,K197))</f>
        <v>na</v>
      </c>
      <c r="O197" s="330">
        <f t="shared" si="194"/>
        <v>480</v>
      </c>
      <c r="P197" s="2523">
        <f>VI!F197</f>
        <v>7.1623678730398064</v>
      </c>
      <c r="R197" s="264">
        <f t="shared" si="195"/>
        <v>7.1623678730398064</v>
      </c>
      <c r="S197" s="236" t="str">
        <f t="shared" si="196"/>
        <v/>
      </c>
      <c r="T197" s="236" t="str">
        <f t="shared" si="197"/>
        <v/>
      </c>
      <c r="U197" s="236" t="str">
        <f t="shared" si="198"/>
        <v/>
      </c>
      <c r="V197" s="236" t="str">
        <f t="shared" si="199"/>
        <v/>
      </c>
      <c r="W197" s="236" t="str">
        <f t="shared" si="200"/>
        <v/>
      </c>
      <c r="X197" s="236" t="str">
        <f t="shared" si="201"/>
        <v/>
      </c>
      <c r="Y197" s="236" t="str">
        <f t="shared" si="202"/>
        <v/>
      </c>
      <c r="Z197" s="235" t="str">
        <f t="shared" si="203"/>
        <v>X</v>
      </c>
      <c r="AB197" s="1062"/>
    </row>
    <row r="198" spans="1:28" ht="13.9" customHeight="1" x14ac:dyDescent="0.25">
      <c r="A198" s="846">
        <f>Chem!A198</f>
        <v>196</v>
      </c>
      <c r="B198" s="855" t="str">
        <f>Chem!B198</f>
        <v>2-Hexanone</v>
      </c>
      <c r="C198" s="343" t="s">
        <v>232</v>
      </c>
      <c r="D198" s="384" t="s">
        <v>232</v>
      </c>
      <c r="E198" s="384" t="s">
        <v>232</v>
      </c>
      <c r="F198" s="384" t="str">
        <f t="shared" si="204"/>
        <v>na</v>
      </c>
      <c r="G198" s="400">
        <f>'GW-Eq'!G198</f>
        <v>40</v>
      </c>
      <c r="H198" s="400" t="str">
        <f t="shared" si="205"/>
        <v>na</v>
      </c>
      <c r="I198" s="400" t="str">
        <f t="shared" si="174"/>
        <v>na</v>
      </c>
      <c r="J198" s="403">
        <f t="shared" si="175"/>
        <v>40</v>
      </c>
      <c r="K198" s="271" t="str">
        <f>'GW-Eq'!H198</f>
        <v>na</v>
      </c>
      <c r="L198" s="271" t="str">
        <f t="shared" si="206"/>
        <v>na</v>
      </c>
      <c r="M198" s="271" t="str">
        <f t="shared" si="177"/>
        <v>na</v>
      </c>
      <c r="N198" s="271" t="str">
        <f t="shared" si="178"/>
        <v>na</v>
      </c>
      <c r="O198" s="330">
        <f t="shared" si="194"/>
        <v>40</v>
      </c>
      <c r="P198" s="2523">
        <f>VI!F198</f>
        <v>7254.46475132668</v>
      </c>
      <c r="R198" s="264">
        <f t="shared" si="195"/>
        <v>40</v>
      </c>
      <c r="S198" s="236" t="str">
        <f t="shared" si="196"/>
        <v/>
      </c>
      <c r="T198" s="236" t="str">
        <f t="shared" si="197"/>
        <v/>
      </c>
      <c r="U198" s="236" t="str">
        <f t="shared" si="198"/>
        <v/>
      </c>
      <c r="V198" s="236" t="str">
        <f t="shared" si="199"/>
        <v>X</v>
      </c>
      <c r="W198" s="236" t="str">
        <f t="shared" si="200"/>
        <v/>
      </c>
      <c r="X198" s="236" t="str">
        <f t="shared" si="201"/>
        <v/>
      </c>
      <c r="Y198" s="236" t="str">
        <f t="shared" si="202"/>
        <v/>
      </c>
      <c r="Z198" s="235" t="str">
        <f t="shared" si="203"/>
        <v/>
      </c>
      <c r="AB198" s="1062"/>
    </row>
    <row r="199" spans="1:28" ht="13.9" customHeight="1" x14ac:dyDescent="0.25">
      <c r="A199" s="846">
        <f>Chem!A199</f>
        <v>197</v>
      </c>
      <c r="B199" s="855" t="str">
        <f>Chem!B199</f>
        <v>Isopropylbenzene (cumene)</v>
      </c>
      <c r="C199" s="343" t="s">
        <v>232</v>
      </c>
      <c r="D199" s="384" t="s">
        <v>232</v>
      </c>
      <c r="E199" s="384" t="s">
        <v>232</v>
      </c>
      <c r="F199" s="384" t="str">
        <f t="shared" si="204"/>
        <v>na</v>
      </c>
      <c r="G199" s="400">
        <f>'GW-Eq'!G199</f>
        <v>800</v>
      </c>
      <c r="H199" s="400" t="str">
        <f t="shared" si="205"/>
        <v>na</v>
      </c>
      <c r="I199" s="400" t="str">
        <f t="shared" si="174"/>
        <v>na</v>
      </c>
      <c r="J199" s="403">
        <f t="shared" si="175"/>
        <v>800</v>
      </c>
      <c r="K199" s="271" t="str">
        <f>'GW-Eq'!H199</f>
        <v>na</v>
      </c>
      <c r="L199" s="271" t="str">
        <f t="shared" si="206"/>
        <v>na</v>
      </c>
      <c r="M199" s="271" t="str">
        <f t="shared" si="177"/>
        <v>na</v>
      </c>
      <c r="N199" s="271" t="str">
        <f t="shared" si="178"/>
        <v>na</v>
      </c>
      <c r="O199" s="330">
        <f t="shared" si="194"/>
        <v>800</v>
      </c>
      <c r="P199" s="2523">
        <f>VI!F199</f>
        <v>911.53855295541075</v>
      </c>
      <c r="R199" s="264">
        <f t="shared" si="195"/>
        <v>800</v>
      </c>
      <c r="S199" s="236" t="str">
        <f t="shared" si="196"/>
        <v/>
      </c>
      <c r="T199" s="236" t="str">
        <f t="shared" si="197"/>
        <v/>
      </c>
      <c r="U199" s="236" t="str">
        <f t="shared" si="198"/>
        <v/>
      </c>
      <c r="V199" s="236" t="str">
        <f t="shared" si="199"/>
        <v>X</v>
      </c>
      <c r="W199" s="236" t="str">
        <f t="shared" si="200"/>
        <v/>
      </c>
      <c r="X199" s="236" t="str">
        <f t="shared" si="201"/>
        <v/>
      </c>
      <c r="Y199" s="236" t="str">
        <f t="shared" si="202"/>
        <v/>
      </c>
      <c r="Z199" s="235" t="str">
        <f t="shared" si="203"/>
        <v/>
      </c>
      <c r="AB199" s="1062"/>
    </row>
    <row r="200" spans="1:28" ht="13.9" customHeight="1" x14ac:dyDescent="0.25">
      <c r="A200" s="846">
        <f>Chem!A200</f>
        <v>198</v>
      </c>
      <c r="B200" s="855" t="str">
        <f>Chem!B200</f>
        <v>4-Isopropyltoluene (p-isopropyltoluene)</v>
      </c>
      <c r="C200" s="343" t="s">
        <v>232</v>
      </c>
      <c r="D200" s="384" t="s">
        <v>232</v>
      </c>
      <c r="E200" s="384" t="s">
        <v>232</v>
      </c>
      <c r="F200" s="384" t="str">
        <f t="shared" si="204"/>
        <v>na</v>
      </c>
      <c r="G200" s="400">
        <f>'GW-Eq'!G200</f>
        <v>32</v>
      </c>
      <c r="H200" s="400" t="str">
        <f t="shared" si="205"/>
        <v>na</v>
      </c>
      <c r="I200" s="400" t="str">
        <f t="shared" si="174"/>
        <v>na</v>
      </c>
      <c r="J200" s="403">
        <f t="shared" si="175"/>
        <v>32</v>
      </c>
      <c r="K200" s="271" t="str">
        <f>'GW-Eq'!H200</f>
        <v>na</v>
      </c>
      <c r="L200" s="271" t="str">
        <f t="shared" si="206"/>
        <v>na</v>
      </c>
      <c r="M200" s="271" t="str">
        <f t="shared" si="177"/>
        <v>na</v>
      </c>
      <c r="N200" s="271" t="str">
        <f t="shared" si="178"/>
        <v>na</v>
      </c>
      <c r="O200" s="330">
        <f t="shared" si="194"/>
        <v>32</v>
      </c>
      <c r="P200" s="2523">
        <f>VI!F200</f>
        <v>88.336783988957905</v>
      </c>
      <c r="R200" s="264">
        <f t="shared" si="195"/>
        <v>32</v>
      </c>
      <c r="S200" s="236" t="str">
        <f t="shared" si="196"/>
        <v/>
      </c>
      <c r="T200" s="236" t="str">
        <f t="shared" si="197"/>
        <v/>
      </c>
      <c r="U200" s="236" t="str">
        <f t="shared" si="198"/>
        <v/>
      </c>
      <c r="V200" s="236" t="str">
        <f t="shared" si="199"/>
        <v>X</v>
      </c>
      <c r="W200" s="236" t="str">
        <f t="shared" si="200"/>
        <v/>
      </c>
      <c r="X200" s="236" t="str">
        <f t="shared" si="201"/>
        <v/>
      </c>
      <c r="Y200" s="236" t="str">
        <f t="shared" si="202"/>
        <v/>
      </c>
      <c r="Z200" s="235" t="str">
        <f t="shared" si="203"/>
        <v/>
      </c>
      <c r="AB200" s="1062"/>
    </row>
    <row r="201" spans="1:28" ht="13.9" customHeight="1" x14ac:dyDescent="0.25">
      <c r="A201" s="846">
        <f>Chem!A201</f>
        <v>199</v>
      </c>
      <c r="B201" s="855" t="str">
        <f>Chem!B201</f>
        <v>Methane</v>
      </c>
      <c r="C201" s="338" t="s">
        <v>232</v>
      </c>
      <c r="D201" s="394" t="s">
        <v>232</v>
      </c>
      <c r="E201" s="394" t="s">
        <v>232</v>
      </c>
      <c r="F201" s="394" t="str">
        <f t="shared" si="204"/>
        <v>na</v>
      </c>
      <c r="G201" s="407" t="str">
        <f>'GW-Eq'!G201</f>
        <v>na</v>
      </c>
      <c r="H201" s="407" t="str">
        <f t="shared" si="205"/>
        <v>na</v>
      </c>
      <c r="I201" s="407" t="str">
        <f t="shared" si="174"/>
        <v>na</v>
      </c>
      <c r="J201" s="403" t="str">
        <f t="shared" si="175"/>
        <v>na</v>
      </c>
      <c r="K201" s="217" t="str">
        <f>'GW-Eq'!H201</f>
        <v>na</v>
      </c>
      <c r="L201" s="217" t="str">
        <f t="shared" si="206"/>
        <v>na</v>
      </c>
      <c r="M201" s="217" t="str">
        <f t="shared" si="177"/>
        <v>na</v>
      </c>
      <c r="N201" s="217" t="str">
        <f t="shared" si="178"/>
        <v>na</v>
      </c>
      <c r="O201" s="330" t="str">
        <f t="shared" si="194"/>
        <v>na</v>
      </c>
      <c r="P201" s="2528" t="str">
        <f>VI!F201</f>
        <v>na</v>
      </c>
      <c r="R201" s="264" t="str">
        <f t="shared" si="195"/>
        <v>na</v>
      </c>
      <c r="S201" s="236" t="str">
        <f t="shared" si="196"/>
        <v/>
      </c>
      <c r="T201" s="236" t="str">
        <f t="shared" si="197"/>
        <v/>
      </c>
      <c r="U201" s="236" t="str">
        <f t="shared" si="198"/>
        <v/>
      </c>
      <c r="V201" s="236" t="str">
        <f t="shared" si="199"/>
        <v/>
      </c>
      <c r="W201" s="236" t="str">
        <f t="shared" si="200"/>
        <v/>
      </c>
      <c r="X201" s="236" t="str">
        <f t="shared" si="201"/>
        <v/>
      </c>
      <c r="Y201" s="236" t="str">
        <f t="shared" si="202"/>
        <v/>
      </c>
      <c r="Z201" s="235" t="str">
        <f t="shared" si="203"/>
        <v/>
      </c>
      <c r="AB201" s="1062"/>
    </row>
    <row r="202" spans="1:28" ht="13.9" customHeight="1" x14ac:dyDescent="0.25">
      <c r="A202" s="846">
        <f>Chem!A202</f>
        <v>200</v>
      </c>
      <c r="B202" s="855" t="str">
        <f>Chem!B202</f>
        <v>Methyl ethyl ketone (2-butanone)</v>
      </c>
      <c r="C202" s="343" t="s">
        <v>232</v>
      </c>
      <c r="D202" s="384" t="s">
        <v>232</v>
      </c>
      <c r="E202" s="384" t="s">
        <v>232</v>
      </c>
      <c r="F202" s="384" t="str">
        <f t="shared" si="204"/>
        <v>na</v>
      </c>
      <c r="G202" s="400">
        <f>'GW-Eq'!G202</f>
        <v>4800</v>
      </c>
      <c r="H202" s="400" t="str">
        <f t="shared" si="205"/>
        <v>na</v>
      </c>
      <c r="I202" s="400" t="str">
        <f t="shared" si="174"/>
        <v>na</v>
      </c>
      <c r="J202" s="403">
        <f t="shared" si="175"/>
        <v>4800</v>
      </c>
      <c r="K202" s="271" t="str">
        <f>'GW-Eq'!H202</f>
        <v>na</v>
      </c>
      <c r="L202" s="271" t="str">
        <f t="shared" si="206"/>
        <v>na</v>
      </c>
      <c r="M202" s="271" t="str">
        <f t="shared" si="177"/>
        <v>na</v>
      </c>
      <c r="N202" s="271" t="str">
        <f t="shared" si="178"/>
        <v>na</v>
      </c>
      <c r="O202" s="330">
        <f t="shared" si="194"/>
        <v>4800</v>
      </c>
      <c r="P202" s="2523">
        <f>VI!F202</f>
        <v>1707762.2649205618</v>
      </c>
      <c r="R202" s="264">
        <f t="shared" si="195"/>
        <v>4800</v>
      </c>
      <c r="S202" s="236" t="str">
        <f t="shared" si="196"/>
        <v/>
      </c>
      <c r="T202" s="236" t="str">
        <f t="shared" si="197"/>
        <v/>
      </c>
      <c r="U202" s="236" t="str">
        <f t="shared" si="198"/>
        <v/>
      </c>
      <c r="V202" s="236" t="str">
        <f t="shared" si="199"/>
        <v>X</v>
      </c>
      <c r="W202" s="236" t="str">
        <f t="shared" si="200"/>
        <v/>
      </c>
      <c r="X202" s="236" t="str">
        <f t="shared" si="201"/>
        <v/>
      </c>
      <c r="Y202" s="236" t="str">
        <f t="shared" si="202"/>
        <v/>
      </c>
      <c r="Z202" s="235" t="str">
        <f t="shared" si="203"/>
        <v/>
      </c>
      <c r="AB202" s="1062"/>
    </row>
    <row r="203" spans="1:28" ht="13.9" customHeight="1" x14ac:dyDescent="0.25">
      <c r="A203" s="846">
        <f>Chem!A203</f>
        <v>201</v>
      </c>
      <c r="B203" s="855" t="str">
        <f>Chem!B203</f>
        <v>Methyl iodide</v>
      </c>
      <c r="C203" s="343" t="s">
        <v>232</v>
      </c>
      <c r="D203" s="384" t="s">
        <v>232</v>
      </c>
      <c r="E203" s="384" t="s">
        <v>232</v>
      </c>
      <c r="F203" s="384" t="str">
        <f t="shared" si="204"/>
        <v>na</v>
      </c>
      <c r="G203" s="400" t="str">
        <f>'GW-Eq'!G203</f>
        <v>na</v>
      </c>
      <c r="H203" s="400" t="str">
        <f t="shared" si="205"/>
        <v>na</v>
      </c>
      <c r="I203" s="400" t="str">
        <f t="shared" si="174"/>
        <v>na</v>
      </c>
      <c r="J203" s="403" t="str">
        <f t="shared" si="175"/>
        <v>na</v>
      </c>
      <c r="K203" s="271" t="str">
        <f>'GW-Eq'!H203</f>
        <v>na</v>
      </c>
      <c r="L203" s="271" t="str">
        <f t="shared" si="206"/>
        <v>na</v>
      </c>
      <c r="M203" s="271" t="str">
        <f t="shared" si="177"/>
        <v>na</v>
      </c>
      <c r="N203" s="271" t="str">
        <f t="shared" si="178"/>
        <v>na</v>
      </c>
      <c r="O203" s="330" t="str">
        <f t="shared" si="194"/>
        <v>na</v>
      </c>
      <c r="P203" s="2523" t="str">
        <f>VI!F203</f>
        <v>na</v>
      </c>
      <c r="R203" s="264" t="str">
        <f t="shared" si="195"/>
        <v>na</v>
      </c>
      <c r="S203" s="236" t="str">
        <f t="shared" si="196"/>
        <v/>
      </c>
      <c r="T203" s="236" t="str">
        <f t="shared" si="197"/>
        <v/>
      </c>
      <c r="U203" s="236" t="str">
        <f t="shared" si="198"/>
        <v/>
      </c>
      <c r="V203" s="236" t="str">
        <f t="shared" si="199"/>
        <v/>
      </c>
      <c r="W203" s="236" t="str">
        <f t="shared" si="200"/>
        <v/>
      </c>
      <c r="X203" s="236" t="str">
        <f t="shared" si="201"/>
        <v/>
      </c>
      <c r="Y203" s="236" t="str">
        <f t="shared" si="202"/>
        <v/>
      </c>
      <c r="Z203" s="235" t="str">
        <f t="shared" si="203"/>
        <v/>
      </c>
      <c r="AB203" s="1062"/>
    </row>
    <row r="204" spans="1:28" ht="13.9" customHeight="1" x14ac:dyDescent="0.25">
      <c r="A204" s="846">
        <f>Chem!A204</f>
        <v>202</v>
      </c>
      <c r="B204" s="855" t="str">
        <f>Chem!B204</f>
        <v>Methyl isobutyl ketone</v>
      </c>
      <c r="C204" s="343" t="s">
        <v>232</v>
      </c>
      <c r="D204" s="384" t="s">
        <v>232</v>
      </c>
      <c r="E204" s="384" t="s">
        <v>232</v>
      </c>
      <c r="F204" s="384" t="str">
        <f t="shared" si="204"/>
        <v>na</v>
      </c>
      <c r="G204" s="400">
        <f>'GW-Eq'!G204</f>
        <v>640</v>
      </c>
      <c r="H204" s="400" t="str">
        <f t="shared" si="205"/>
        <v>na</v>
      </c>
      <c r="I204" s="400" t="str">
        <f t="shared" si="174"/>
        <v>na</v>
      </c>
      <c r="J204" s="403">
        <f t="shared" si="175"/>
        <v>640</v>
      </c>
      <c r="K204" s="271" t="str">
        <f>'GW-Eq'!H204</f>
        <v>na</v>
      </c>
      <c r="L204" s="271" t="str">
        <f t="shared" si="206"/>
        <v>na</v>
      </c>
      <c r="M204" s="271" t="str">
        <f t="shared" si="177"/>
        <v>na</v>
      </c>
      <c r="N204" s="271" t="str">
        <f t="shared" si="178"/>
        <v>na</v>
      </c>
      <c r="O204" s="330">
        <f t="shared" si="194"/>
        <v>640</v>
      </c>
      <c r="P204" s="2523">
        <f>VI!F204</f>
        <v>466297.95822366746</v>
      </c>
      <c r="R204" s="264">
        <f t="shared" si="195"/>
        <v>640</v>
      </c>
      <c r="S204" s="236" t="str">
        <f t="shared" si="196"/>
        <v/>
      </c>
      <c r="T204" s="236" t="str">
        <f t="shared" si="197"/>
        <v/>
      </c>
      <c r="U204" s="236" t="str">
        <f t="shared" si="198"/>
        <v/>
      </c>
      <c r="V204" s="236" t="str">
        <f t="shared" si="199"/>
        <v>X</v>
      </c>
      <c r="W204" s="236" t="str">
        <f t="shared" si="200"/>
        <v/>
      </c>
      <c r="X204" s="236" t="str">
        <f t="shared" si="201"/>
        <v/>
      </c>
      <c r="Y204" s="236" t="str">
        <f t="shared" si="202"/>
        <v/>
      </c>
      <c r="Z204" s="235" t="str">
        <f t="shared" si="203"/>
        <v/>
      </c>
      <c r="AB204" s="1062"/>
    </row>
    <row r="205" spans="1:28" ht="13.9" customHeight="1" x14ac:dyDescent="0.25">
      <c r="A205" s="846">
        <f>Chem!A205</f>
        <v>203</v>
      </c>
      <c r="B205" s="855" t="str">
        <f>Chem!B205</f>
        <v>Methyl tert-butyl ether (MTBE)</v>
      </c>
      <c r="C205" s="343" t="s">
        <v>232</v>
      </c>
      <c r="D205" s="384" t="s">
        <v>232</v>
      </c>
      <c r="E205" s="384" t="s">
        <v>232</v>
      </c>
      <c r="F205" s="384" t="str">
        <f t="shared" si="204"/>
        <v>na</v>
      </c>
      <c r="G205" s="400" t="str">
        <f>'GW-Eq'!G205</f>
        <v>na</v>
      </c>
      <c r="H205" s="400" t="str">
        <f t="shared" si="205"/>
        <v>na</v>
      </c>
      <c r="I205" s="400" t="str">
        <f t="shared" si="174"/>
        <v>na</v>
      </c>
      <c r="J205" s="403" t="str">
        <f t="shared" si="175"/>
        <v>na</v>
      </c>
      <c r="K205" s="271">
        <f>'GW-Eq'!H205</f>
        <v>24.30555555555555</v>
      </c>
      <c r="L205" s="271" t="str">
        <f t="shared" si="206"/>
        <v>na</v>
      </c>
      <c r="M205" s="271" t="str">
        <f t="shared" si="177"/>
        <v>na</v>
      </c>
      <c r="N205" s="271">
        <f t="shared" si="178"/>
        <v>24.30555555555555</v>
      </c>
      <c r="O205" s="330">
        <f t="shared" si="194"/>
        <v>24.30555555555555</v>
      </c>
      <c r="P205" s="2523">
        <f>VI!F205</f>
        <v>857.02311794000889</v>
      </c>
      <c r="R205" s="264">
        <f t="shared" si="195"/>
        <v>24.30555555555555</v>
      </c>
      <c r="S205" s="236" t="str">
        <f t="shared" si="196"/>
        <v/>
      </c>
      <c r="T205" s="236" t="str">
        <f t="shared" si="197"/>
        <v/>
      </c>
      <c r="U205" s="236" t="str">
        <f t="shared" si="198"/>
        <v/>
      </c>
      <c r="V205" s="236" t="str">
        <f t="shared" si="199"/>
        <v/>
      </c>
      <c r="W205" s="236" t="str">
        <f t="shared" si="200"/>
        <v>X</v>
      </c>
      <c r="X205" s="236" t="str">
        <f t="shared" si="201"/>
        <v/>
      </c>
      <c r="Y205" s="236" t="str">
        <f t="shared" si="202"/>
        <v/>
      </c>
      <c r="Z205" s="235" t="str">
        <f t="shared" si="203"/>
        <v/>
      </c>
      <c r="AB205" s="1062"/>
    </row>
    <row r="206" spans="1:28" ht="13.9" customHeight="1" x14ac:dyDescent="0.25">
      <c r="A206" s="846">
        <f>Chem!A206</f>
        <v>204</v>
      </c>
      <c r="B206" s="855" t="str">
        <f>Chem!B206</f>
        <v>Methylene chloride</v>
      </c>
      <c r="C206" s="343">
        <v>5</v>
      </c>
      <c r="D206" s="384" t="s">
        <v>232</v>
      </c>
      <c r="E206" s="384">
        <v>5</v>
      </c>
      <c r="F206" s="384">
        <f t="shared" si="204"/>
        <v>5</v>
      </c>
      <c r="G206" s="400">
        <f>'GW-Eq'!G206</f>
        <v>48</v>
      </c>
      <c r="H206" s="400">
        <f t="shared" si="205"/>
        <v>0.10416666666666667</v>
      </c>
      <c r="I206" s="400" t="str">
        <f t="shared" si="174"/>
        <v>no</v>
      </c>
      <c r="J206" s="403">
        <f t="shared" si="175"/>
        <v>5</v>
      </c>
      <c r="K206" s="271">
        <f>'GW-Eq'!H206</f>
        <v>5.8</v>
      </c>
      <c r="L206" s="271">
        <f t="shared" si="206"/>
        <v>0.86206896551724144</v>
      </c>
      <c r="M206" s="271" t="str">
        <f t="shared" si="177"/>
        <v>no</v>
      </c>
      <c r="N206" s="271">
        <f t="shared" si="178"/>
        <v>5</v>
      </c>
      <c r="O206" s="330">
        <f t="shared" si="194"/>
        <v>5</v>
      </c>
      <c r="P206" s="2523">
        <f>VI!F206</f>
        <v>783.19765248896817</v>
      </c>
      <c r="R206" s="264">
        <f t="shared" si="195"/>
        <v>5</v>
      </c>
      <c r="S206" s="236" t="str">
        <f t="shared" si="196"/>
        <v>X</v>
      </c>
      <c r="T206" s="236" t="str">
        <f t="shared" si="197"/>
        <v/>
      </c>
      <c r="U206" s="236" t="str">
        <f t="shared" si="198"/>
        <v>X</v>
      </c>
      <c r="V206" s="236" t="str">
        <f t="shared" si="199"/>
        <v/>
      </c>
      <c r="W206" s="236" t="str">
        <f t="shared" si="200"/>
        <v/>
      </c>
      <c r="X206" s="236" t="str">
        <f t="shared" si="201"/>
        <v/>
      </c>
      <c r="Y206" s="236" t="str">
        <f t="shared" si="202"/>
        <v/>
      </c>
      <c r="Z206" s="235" t="str">
        <f t="shared" si="203"/>
        <v/>
      </c>
      <c r="AB206" s="1062"/>
    </row>
    <row r="207" spans="1:28" ht="13.9" customHeight="1" x14ac:dyDescent="0.25">
      <c r="A207" s="846">
        <f>Chem!A207</f>
        <v>205</v>
      </c>
      <c r="B207" s="855" t="str">
        <f>Chem!B207</f>
        <v>2-Pentanone</v>
      </c>
      <c r="C207" s="343" t="s">
        <v>232</v>
      </c>
      <c r="D207" s="384" t="s">
        <v>232</v>
      </c>
      <c r="E207" s="384" t="s">
        <v>232</v>
      </c>
      <c r="F207" s="384" t="str">
        <f t="shared" si="204"/>
        <v>na</v>
      </c>
      <c r="G207" s="400" t="str">
        <f>'GW-Eq'!G207</f>
        <v>na</v>
      </c>
      <c r="H207" s="400" t="str">
        <f t="shared" si="205"/>
        <v>na</v>
      </c>
      <c r="I207" s="400" t="str">
        <f t="shared" si="174"/>
        <v>na</v>
      </c>
      <c r="J207" s="403" t="str">
        <f t="shared" si="175"/>
        <v>na</v>
      </c>
      <c r="K207" s="271" t="str">
        <f>'GW-Eq'!H207</f>
        <v>na</v>
      </c>
      <c r="L207" s="271" t="str">
        <f t="shared" si="206"/>
        <v>na</v>
      </c>
      <c r="M207" s="271" t="str">
        <f t="shared" si="177"/>
        <v>na</v>
      </c>
      <c r="N207" s="271" t="str">
        <f t="shared" si="178"/>
        <v>na</v>
      </c>
      <c r="O207" s="330" t="str">
        <f t="shared" si="194"/>
        <v>na</v>
      </c>
      <c r="P207" s="2523" t="str">
        <f>VI!F207</f>
        <v>na</v>
      </c>
      <c r="R207" s="264" t="str">
        <f t="shared" si="195"/>
        <v>na</v>
      </c>
      <c r="S207" s="236" t="str">
        <f t="shared" si="196"/>
        <v/>
      </c>
      <c r="T207" s="236" t="str">
        <f t="shared" si="197"/>
        <v/>
      </c>
      <c r="U207" s="236" t="str">
        <f t="shared" si="198"/>
        <v/>
      </c>
      <c r="V207" s="236" t="str">
        <f t="shared" si="199"/>
        <v/>
      </c>
      <c r="W207" s="236" t="str">
        <f t="shared" si="200"/>
        <v/>
      </c>
      <c r="X207" s="236" t="str">
        <f t="shared" si="201"/>
        <v/>
      </c>
      <c r="Y207" s="236" t="str">
        <f t="shared" si="202"/>
        <v/>
      </c>
      <c r="Z207" s="235" t="str">
        <f t="shared" si="203"/>
        <v/>
      </c>
      <c r="AB207" s="1062"/>
    </row>
    <row r="208" spans="1:28" ht="13.9" customHeight="1" x14ac:dyDescent="0.25">
      <c r="A208" s="846">
        <f>Chem!A208</f>
        <v>206</v>
      </c>
      <c r="B208" s="855" t="str">
        <f>Chem!B208</f>
        <v>n-Propylbenzene</v>
      </c>
      <c r="C208" s="343" t="s">
        <v>232</v>
      </c>
      <c r="D208" s="384" t="s">
        <v>232</v>
      </c>
      <c r="E208" s="384" t="s">
        <v>232</v>
      </c>
      <c r="F208" s="384" t="str">
        <f t="shared" si="204"/>
        <v>na</v>
      </c>
      <c r="G208" s="400">
        <f>'GW-Eq'!G208</f>
        <v>800</v>
      </c>
      <c r="H208" s="400" t="str">
        <f t="shared" si="205"/>
        <v>na</v>
      </c>
      <c r="I208" s="400" t="str">
        <f t="shared" si="174"/>
        <v>na</v>
      </c>
      <c r="J208" s="403">
        <f t="shared" si="175"/>
        <v>800</v>
      </c>
      <c r="K208" s="271" t="str">
        <f>'GW-Eq'!H208</f>
        <v>na</v>
      </c>
      <c r="L208" s="271" t="str">
        <f t="shared" si="206"/>
        <v>na</v>
      </c>
      <c r="M208" s="271" t="str">
        <f t="shared" si="177"/>
        <v>na</v>
      </c>
      <c r="N208" s="271" t="str">
        <f t="shared" si="178"/>
        <v>na</v>
      </c>
      <c r="O208" s="330">
        <f t="shared" si="194"/>
        <v>800</v>
      </c>
      <c r="P208" s="2523">
        <f>VI!F208</f>
        <v>2262.3798492969536</v>
      </c>
      <c r="R208" s="264">
        <f t="shared" si="195"/>
        <v>800</v>
      </c>
      <c r="S208" s="236" t="str">
        <f t="shared" si="196"/>
        <v/>
      </c>
      <c r="T208" s="236" t="str">
        <f t="shared" si="197"/>
        <v/>
      </c>
      <c r="U208" s="236" t="str">
        <f t="shared" si="198"/>
        <v/>
      </c>
      <c r="V208" s="236" t="str">
        <f t="shared" si="199"/>
        <v>X</v>
      </c>
      <c r="W208" s="236" t="str">
        <f t="shared" si="200"/>
        <v/>
      </c>
      <c r="X208" s="236" t="str">
        <f t="shared" si="201"/>
        <v/>
      </c>
      <c r="Y208" s="236" t="str">
        <f t="shared" si="202"/>
        <v/>
      </c>
      <c r="Z208" s="235" t="str">
        <f t="shared" si="203"/>
        <v/>
      </c>
      <c r="AB208" s="1062"/>
    </row>
    <row r="209" spans="1:28" ht="13.9" customHeight="1" x14ac:dyDescent="0.25">
      <c r="A209" s="846">
        <f>Chem!A209</f>
        <v>207</v>
      </c>
      <c r="B209" s="855" t="str">
        <f>Chem!B209</f>
        <v>Styrene</v>
      </c>
      <c r="C209" s="343">
        <v>100</v>
      </c>
      <c r="D209" s="384">
        <v>100</v>
      </c>
      <c r="E209" s="384">
        <v>100</v>
      </c>
      <c r="F209" s="384">
        <f t="shared" si="204"/>
        <v>100</v>
      </c>
      <c r="G209" s="400">
        <f>'GW-Eq'!G209</f>
        <v>1600</v>
      </c>
      <c r="H209" s="400">
        <f t="shared" si="205"/>
        <v>6.25E-2</v>
      </c>
      <c r="I209" s="400" t="str">
        <f t="shared" si="174"/>
        <v>no</v>
      </c>
      <c r="J209" s="403">
        <f t="shared" si="175"/>
        <v>100</v>
      </c>
      <c r="K209" s="271" t="str">
        <f>'GW-Eq'!H209</f>
        <v>na</v>
      </c>
      <c r="L209" s="271" t="str">
        <f t="shared" si="206"/>
        <v>na</v>
      </c>
      <c r="M209" s="271" t="str">
        <f t="shared" si="177"/>
        <v>na</v>
      </c>
      <c r="N209" s="271" t="str">
        <f t="shared" si="178"/>
        <v>na</v>
      </c>
      <c r="O209" s="330">
        <f t="shared" si="194"/>
        <v>100</v>
      </c>
      <c r="P209" s="2523">
        <f>VI!F209</f>
        <v>8527.504482864324</v>
      </c>
      <c r="R209" s="264">
        <f t="shared" si="195"/>
        <v>100</v>
      </c>
      <c r="S209" s="236" t="str">
        <f t="shared" si="196"/>
        <v>X</v>
      </c>
      <c r="T209" s="236" t="str">
        <f t="shared" si="197"/>
        <v>X</v>
      </c>
      <c r="U209" s="236" t="str">
        <f t="shared" si="198"/>
        <v>X</v>
      </c>
      <c r="V209" s="236" t="str">
        <f t="shared" si="199"/>
        <v/>
      </c>
      <c r="W209" s="236" t="str">
        <f t="shared" si="200"/>
        <v/>
      </c>
      <c r="X209" s="236" t="str">
        <f t="shared" si="201"/>
        <v/>
      </c>
      <c r="Y209" s="236" t="str">
        <f t="shared" si="202"/>
        <v/>
      </c>
      <c r="Z209" s="235" t="str">
        <f t="shared" si="203"/>
        <v/>
      </c>
      <c r="AB209" s="1062"/>
    </row>
    <row r="210" spans="1:28" ht="13.9" customHeight="1" x14ac:dyDescent="0.25">
      <c r="A210" s="846">
        <f>Chem!A210</f>
        <v>208</v>
      </c>
      <c r="B210" s="855" t="str">
        <f>Chem!B210</f>
        <v>1,1,1,2-Tetrachloroethane</v>
      </c>
      <c r="C210" s="343" t="s">
        <v>232</v>
      </c>
      <c r="D210" s="384" t="s">
        <v>232</v>
      </c>
      <c r="E210" s="384" t="s">
        <v>232</v>
      </c>
      <c r="F210" s="384" t="str">
        <f t="shared" si="204"/>
        <v>na</v>
      </c>
      <c r="G210" s="400">
        <f>'GW-Eq'!G210</f>
        <v>240</v>
      </c>
      <c r="H210" s="400" t="str">
        <f t="shared" si="205"/>
        <v>na</v>
      </c>
      <c r="I210" s="400" t="str">
        <f t="shared" si="174"/>
        <v>na</v>
      </c>
      <c r="J210" s="403">
        <f t="shared" si="175"/>
        <v>240</v>
      </c>
      <c r="K210" s="271">
        <f>'GW-Eq'!H210</f>
        <v>1.6826923076923075</v>
      </c>
      <c r="L210" s="271" t="str">
        <f t="shared" si="206"/>
        <v>na</v>
      </c>
      <c r="M210" s="271" t="str">
        <f t="shared" si="177"/>
        <v>na</v>
      </c>
      <c r="N210" s="271">
        <f t="shared" si="178"/>
        <v>1.6826923076923075</v>
      </c>
      <c r="O210" s="330">
        <f t="shared" si="194"/>
        <v>1.6826923076923075</v>
      </c>
      <c r="P210" s="2523">
        <f>VI!F210</f>
        <v>7.1130692062393912</v>
      </c>
      <c r="R210" s="264">
        <f t="shared" si="195"/>
        <v>1.6826923076923075</v>
      </c>
      <c r="S210" s="236" t="str">
        <f t="shared" si="196"/>
        <v/>
      </c>
      <c r="T210" s="236" t="str">
        <f t="shared" si="197"/>
        <v/>
      </c>
      <c r="U210" s="236" t="str">
        <f t="shared" si="198"/>
        <v/>
      </c>
      <c r="V210" s="236" t="str">
        <f t="shared" si="199"/>
        <v/>
      </c>
      <c r="W210" s="236" t="str">
        <f t="shared" si="200"/>
        <v>X</v>
      </c>
      <c r="X210" s="236" t="str">
        <f t="shared" si="201"/>
        <v/>
      </c>
      <c r="Y210" s="236" t="str">
        <f t="shared" si="202"/>
        <v/>
      </c>
      <c r="Z210" s="235" t="str">
        <f t="shared" si="203"/>
        <v/>
      </c>
      <c r="AB210" s="1062"/>
    </row>
    <row r="211" spans="1:28" ht="13.9" customHeight="1" x14ac:dyDescent="0.25">
      <c r="A211" s="846">
        <f>Chem!A211</f>
        <v>209</v>
      </c>
      <c r="B211" s="855" t="str">
        <f>Chem!B211</f>
        <v>1,1,2,2-Tetrachloroethane</v>
      </c>
      <c r="C211" s="343" t="s">
        <v>232</v>
      </c>
      <c r="D211" s="384" t="s">
        <v>232</v>
      </c>
      <c r="E211" s="384" t="s">
        <v>232</v>
      </c>
      <c r="F211" s="384" t="str">
        <f t="shared" si="204"/>
        <v>na</v>
      </c>
      <c r="G211" s="400">
        <f>'GW-Eq'!G211</f>
        <v>160</v>
      </c>
      <c r="H211" s="400" t="str">
        <f t="shared" si="205"/>
        <v>na</v>
      </c>
      <c r="I211" s="400" t="str">
        <f t="shared" si="174"/>
        <v>na</v>
      </c>
      <c r="J211" s="403">
        <f t="shared" si="175"/>
        <v>160</v>
      </c>
      <c r="K211" s="271">
        <f>'GW-Eq'!H211</f>
        <v>0.21874999999999994</v>
      </c>
      <c r="L211" s="271" t="str">
        <f t="shared" si="206"/>
        <v>na</v>
      </c>
      <c r="M211" s="271" t="str">
        <f t="shared" si="177"/>
        <v>na</v>
      </c>
      <c r="N211" s="271">
        <f t="shared" si="178"/>
        <v>0.21874999999999994</v>
      </c>
      <c r="O211" s="330">
        <f t="shared" si="194"/>
        <v>0.21874999999999994</v>
      </c>
      <c r="P211" s="2523">
        <f>VI!F211</f>
        <v>5.8682037964458607</v>
      </c>
      <c r="R211" s="264">
        <f t="shared" ref="R211:R228" si="228">IF(MIN(O211,P211)=0,"na",MIN(O211,P211))</f>
        <v>0.21874999999999994</v>
      </c>
      <c r="S211" s="236" t="str">
        <f t="shared" ref="S211:S228" si="229">IF($R211="na","",IF($R211=$C211,"X",""))</f>
        <v/>
      </c>
      <c r="T211" s="236" t="str">
        <f t="shared" ref="T211:T228" si="230">IF($R211="na","",IF($R211=$D211,"X",""))</f>
        <v/>
      </c>
      <c r="U211" s="236" t="str">
        <f t="shared" ref="U211:U228" si="231">IF($R211="na","",IF($R211=$E211,"X",""))</f>
        <v/>
      </c>
      <c r="V211" s="236" t="str">
        <f t="shared" ref="V211:V228" si="232">IF($R211="na","",IF(AND($F211="na",$R211=$J211),"X",""))</f>
        <v/>
      </c>
      <c r="W211" s="236" t="str">
        <f t="shared" ref="W211:W228" si="233">IF($R211="na","",IF(AND($F211="na",$R211=$N211),"X",""))</f>
        <v>X</v>
      </c>
      <c r="X211" s="236" t="str">
        <f t="shared" ref="X211:X228" si="234">IF(OR($R211="na",$J211="na"),"",IF(AND(ISNUMBER($F211),I211="YES",$R211=$J211),"X",""))</f>
        <v/>
      </c>
      <c r="Y211" s="236" t="str">
        <f t="shared" ref="Y211:Y228" si="235">IF(OR($R211="na",$N211="na"),"",IF(AND(ISNUMBER($F211),$R211=10*$K211),"X",""))</f>
        <v/>
      </c>
      <c r="Z211" s="235" t="str">
        <f t="shared" ref="Z211:Z228" si="236">IF($R211="na","",IF($R211=$P211,"X",""))</f>
        <v/>
      </c>
      <c r="AB211" s="1062"/>
    </row>
    <row r="212" spans="1:28" ht="13.9" customHeight="1" x14ac:dyDescent="0.25">
      <c r="A212" s="846">
        <f>Chem!A212</f>
        <v>210</v>
      </c>
      <c r="B212" s="855" t="str">
        <f>Chem!B212</f>
        <v>Tetrachloroethylene (PCE)</v>
      </c>
      <c r="C212" s="343">
        <v>5</v>
      </c>
      <c r="D212" s="384" t="s">
        <v>232</v>
      </c>
      <c r="E212" s="384">
        <v>5</v>
      </c>
      <c r="F212" s="384">
        <f t="shared" si="204"/>
        <v>5</v>
      </c>
      <c r="G212" s="400">
        <f>'GW-Eq'!G212</f>
        <v>48</v>
      </c>
      <c r="H212" s="400">
        <f t="shared" si="205"/>
        <v>0.10416666666666667</v>
      </c>
      <c r="I212" s="400" t="str">
        <f t="shared" si="174"/>
        <v>no</v>
      </c>
      <c r="J212" s="403">
        <f t="shared" si="175"/>
        <v>5</v>
      </c>
      <c r="K212" s="271">
        <f>'GW-Eq'!H212</f>
        <v>20.833333333333329</v>
      </c>
      <c r="L212" s="271">
        <f t="shared" si="206"/>
        <v>0.24000000000000005</v>
      </c>
      <c r="M212" s="271" t="str">
        <f t="shared" si="177"/>
        <v>no</v>
      </c>
      <c r="N212" s="271">
        <f t="shared" si="178"/>
        <v>5</v>
      </c>
      <c r="O212" s="330">
        <f t="shared" si="194"/>
        <v>5</v>
      </c>
      <c r="P212" s="2523">
        <f>VI!F212</f>
        <v>25.040752726028533</v>
      </c>
      <c r="R212" s="264">
        <f t="shared" si="228"/>
        <v>5</v>
      </c>
      <c r="S212" s="236" t="str">
        <f t="shared" si="229"/>
        <v>X</v>
      </c>
      <c r="T212" s="236" t="str">
        <f t="shared" si="230"/>
        <v/>
      </c>
      <c r="U212" s="236" t="str">
        <f t="shared" si="231"/>
        <v>X</v>
      </c>
      <c r="V212" s="236" t="str">
        <f t="shared" si="232"/>
        <v/>
      </c>
      <c r="W212" s="236" t="str">
        <f t="shared" si="233"/>
        <v/>
      </c>
      <c r="X212" s="236" t="str">
        <f t="shared" si="234"/>
        <v/>
      </c>
      <c r="Y212" s="236" t="str">
        <f t="shared" si="235"/>
        <v/>
      </c>
      <c r="Z212" s="235" t="str">
        <f t="shared" si="236"/>
        <v/>
      </c>
      <c r="AB212" s="1062"/>
    </row>
    <row r="213" spans="1:28" ht="13.9" customHeight="1" x14ac:dyDescent="0.25">
      <c r="A213" s="846">
        <f>Chem!A213</f>
        <v>211</v>
      </c>
      <c r="B213" s="855" t="str">
        <f>Chem!B213</f>
        <v>Tetrahydrofuran</v>
      </c>
      <c r="C213" s="343" t="s">
        <v>232</v>
      </c>
      <c r="D213" s="384" t="s">
        <v>232</v>
      </c>
      <c r="E213" s="384" t="s">
        <v>232</v>
      </c>
      <c r="F213" s="384" t="str">
        <f t="shared" ref="F213" si="237">IF(C213="na",IF(D213="na",IF(E213="na","na",MIN(C213:E213)),MIN(C213:E213)),MIN(C213:E213))</f>
        <v>na</v>
      </c>
      <c r="G213" s="400">
        <f>'GW-Eq'!G213</f>
        <v>7200</v>
      </c>
      <c r="H213" s="400" t="str">
        <f t="shared" ref="H213" si="238">IF(F213="na","na",IF(G213="na","na",F213/G213))</f>
        <v>na</v>
      </c>
      <c r="I213" s="400" t="str">
        <f t="shared" ref="I213" si="239">IF(H213="na","na",IF(H213&gt;1,"YES","no"))</f>
        <v>na</v>
      </c>
      <c r="J213" s="403">
        <f t="shared" ref="J213" si="240">IF(I213="YES",G213,IF(ISNUMBER(F213),F213,G213))</f>
        <v>7200</v>
      </c>
      <c r="K213" s="271" t="str">
        <f>'GW-Eq'!H213</f>
        <v>na</v>
      </c>
      <c r="L213" s="271" t="str">
        <f t="shared" ref="L213" si="241">IF(F213="na","na",IF(K213="na","na",F213/K213))</f>
        <v>na</v>
      </c>
      <c r="M213" s="271" t="str">
        <f t="shared" ref="M213" si="242">IF(L213="na","na",IF(L213&gt;10,"YES","no"))</f>
        <v>na</v>
      </c>
      <c r="N213" s="271" t="str">
        <f t="shared" ref="N213" si="243">IF(M213="YES",10*K213,IF(M213="no",F213,K213))</f>
        <v>na</v>
      </c>
      <c r="O213" s="330">
        <f t="shared" si="194"/>
        <v>7200</v>
      </c>
      <c r="P213" s="2523">
        <f>VI!F213</f>
        <v>525812.09224963328</v>
      </c>
      <c r="R213" s="264">
        <f t="shared" si="228"/>
        <v>7200</v>
      </c>
      <c r="S213" s="236" t="str">
        <f t="shared" si="229"/>
        <v/>
      </c>
      <c r="T213" s="236" t="str">
        <f t="shared" si="230"/>
        <v/>
      </c>
      <c r="U213" s="236" t="str">
        <f t="shared" si="231"/>
        <v/>
      </c>
      <c r="V213" s="236" t="str">
        <f t="shared" si="232"/>
        <v>X</v>
      </c>
      <c r="W213" s="236" t="str">
        <f t="shared" si="233"/>
        <v/>
      </c>
      <c r="X213" s="236" t="str">
        <f t="shared" si="234"/>
        <v/>
      </c>
      <c r="Y213" s="236" t="str">
        <f t="shared" si="235"/>
        <v/>
      </c>
      <c r="Z213" s="235" t="str">
        <f t="shared" si="236"/>
        <v/>
      </c>
      <c r="AB213" s="1062"/>
    </row>
    <row r="214" spans="1:28" ht="13.9" customHeight="1" x14ac:dyDescent="0.25">
      <c r="A214" s="846">
        <f>Chem!A214</f>
        <v>212</v>
      </c>
      <c r="B214" s="855" t="str">
        <f>Chem!B214</f>
        <v>Toluene</v>
      </c>
      <c r="C214" s="343">
        <v>1000</v>
      </c>
      <c r="D214" s="384">
        <v>1000</v>
      </c>
      <c r="E214" s="384">
        <v>1000</v>
      </c>
      <c r="F214" s="384">
        <f t="shared" si="204"/>
        <v>1000</v>
      </c>
      <c r="G214" s="400">
        <f>'GW-Eq'!G214</f>
        <v>640</v>
      </c>
      <c r="H214" s="400">
        <f t="shared" si="205"/>
        <v>1.5625</v>
      </c>
      <c r="I214" s="400" t="str">
        <f t="shared" si="174"/>
        <v>YES</v>
      </c>
      <c r="J214" s="403">
        <f t="shared" si="175"/>
        <v>640</v>
      </c>
      <c r="K214" s="271" t="str">
        <f>'GW-Eq'!H214</f>
        <v>na</v>
      </c>
      <c r="L214" s="271" t="str">
        <f t="shared" si="206"/>
        <v>na</v>
      </c>
      <c r="M214" s="271" t="str">
        <f t="shared" si="177"/>
        <v>na</v>
      </c>
      <c r="N214" s="271" t="str">
        <f t="shared" si="178"/>
        <v>na</v>
      </c>
      <c r="O214" s="330">
        <f t="shared" si="194"/>
        <v>640</v>
      </c>
      <c r="P214" s="2523">
        <f>VI!F214</f>
        <v>15388.025616591203</v>
      </c>
      <c r="R214" s="264">
        <f t="shared" si="228"/>
        <v>640</v>
      </c>
      <c r="S214" s="236" t="str">
        <f t="shared" si="229"/>
        <v/>
      </c>
      <c r="T214" s="236" t="str">
        <f t="shared" si="230"/>
        <v/>
      </c>
      <c r="U214" s="236" t="str">
        <f t="shared" si="231"/>
        <v/>
      </c>
      <c r="V214" s="236" t="str">
        <f t="shared" si="232"/>
        <v/>
      </c>
      <c r="W214" s="236" t="str">
        <f t="shared" si="233"/>
        <v/>
      </c>
      <c r="X214" s="236" t="str">
        <f t="shared" si="234"/>
        <v>X</v>
      </c>
      <c r="Y214" s="236" t="str">
        <f t="shared" si="235"/>
        <v/>
      </c>
      <c r="Z214" s="235" t="str">
        <f t="shared" si="236"/>
        <v/>
      </c>
      <c r="AB214" s="1062"/>
    </row>
    <row r="215" spans="1:28" ht="13.9" customHeight="1" x14ac:dyDescent="0.25">
      <c r="A215" s="846">
        <f>Chem!A215</f>
        <v>213</v>
      </c>
      <c r="B215" s="855" t="str">
        <f>Chem!B215</f>
        <v>1,2,3-Trichlorobenzene</v>
      </c>
      <c r="C215" s="343" t="s">
        <v>232</v>
      </c>
      <c r="D215" s="384" t="s">
        <v>232</v>
      </c>
      <c r="E215" s="384" t="s">
        <v>232</v>
      </c>
      <c r="F215" s="384" t="str">
        <f t="shared" si="204"/>
        <v>na</v>
      </c>
      <c r="G215" s="400">
        <f>'GW-Eq'!G215</f>
        <v>6.4</v>
      </c>
      <c r="H215" s="400" t="str">
        <f t="shared" si="205"/>
        <v>na</v>
      </c>
      <c r="I215" s="400" t="str">
        <f t="shared" si="174"/>
        <v>na</v>
      </c>
      <c r="J215" s="403">
        <f t="shared" si="175"/>
        <v>6.4</v>
      </c>
      <c r="K215" s="271" t="str">
        <f>'GW-Eq'!H215</f>
        <v>na</v>
      </c>
      <c r="L215" s="271" t="str">
        <f t="shared" si="206"/>
        <v>na</v>
      </c>
      <c r="M215" s="271" t="str">
        <f t="shared" si="177"/>
        <v>na</v>
      </c>
      <c r="N215" s="271" t="str">
        <f t="shared" si="178"/>
        <v>na</v>
      </c>
      <c r="O215" s="330">
        <f t="shared" si="194"/>
        <v>6.4</v>
      </c>
      <c r="P215" s="2523" t="str">
        <f>VI!F215</f>
        <v>na</v>
      </c>
      <c r="R215" s="264">
        <f t="shared" si="228"/>
        <v>6.4</v>
      </c>
      <c r="S215" s="236" t="str">
        <f t="shared" si="229"/>
        <v/>
      </c>
      <c r="T215" s="236" t="str">
        <f t="shared" si="230"/>
        <v/>
      </c>
      <c r="U215" s="236" t="str">
        <f t="shared" si="231"/>
        <v/>
      </c>
      <c r="V215" s="236" t="str">
        <f t="shared" si="232"/>
        <v>X</v>
      </c>
      <c r="W215" s="236" t="str">
        <f t="shared" si="233"/>
        <v/>
      </c>
      <c r="X215" s="236" t="str">
        <f t="shared" si="234"/>
        <v/>
      </c>
      <c r="Y215" s="236" t="str">
        <f t="shared" si="235"/>
        <v/>
      </c>
      <c r="Z215" s="235" t="str">
        <f t="shared" si="236"/>
        <v/>
      </c>
      <c r="AB215" s="1062"/>
    </row>
    <row r="216" spans="1:28" ht="13.9" customHeight="1" x14ac:dyDescent="0.25">
      <c r="A216" s="846">
        <f>Chem!A216</f>
        <v>214</v>
      </c>
      <c r="B216" s="855" t="str">
        <f>Chem!B216</f>
        <v>1,1,1-Trichloroethane</v>
      </c>
      <c r="C216" s="343">
        <v>200</v>
      </c>
      <c r="D216" s="384">
        <v>200</v>
      </c>
      <c r="E216" s="384">
        <v>200</v>
      </c>
      <c r="F216" s="384">
        <f t="shared" ref="F216:F228" si="244">IF(C216="na",IF(D216="na",IF(E216="na","na",MIN(C216:E216)),MIN(C216:E216)),MIN(C216:E216))</f>
        <v>200</v>
      </c>
      <c r="G216" s="400">
        <f>'GW-Eq'!G216</f>
        <v>16000</v>
      </c>
      <c r="H216" s="400">
        <f t="shared" ref="H216:H228" si="245">IF(F216="na","na",IF(G216="na","na",F216/G216))</f>
        <v>1.2500000000000001E-2</v>
      </c>
      <c r="I216" s="400" t="str">
        <f t="shared" ref="I216:I228" si="246">IF(H216="na","na",IF(H216&gt;1,"YES","no"))</f>
        <v>no</v>
      </c>
      <c r="J216" s="403">
        <f t="shared" ref="J216:J228" si="247">IF(I216="YES",G216,IF(ISNUMBER(F216),F216,G216))</f>
        <v>200</v>
      </c>
      <c r="K216" s="271" t="str">
        <f>'GW-Eq'!H216</f>
        <v>na</v>
      </c>
      <c r="L216" s="271" t="str">
        <f t="shared" ref="L216:L228" si="248">IF(F216="na","na",IF(K216="na","na",F216/K216))</f>
        <v>na</v>
      </c>
      <c r="M216" s="271" t="str">
        <f t="shared" ref="M216:M228" si="249">IF(L216="na","na",IF(L216&gt;10,"YES","no"))</f>
        <v>na</v>
      </c>
      <c r="N216" s="271" t="str">
        <f t="shared" ref="N216:N228" si="250">IF(M216="YES",10*K216,IF(M216="no",F216,K216))</f>
        <v>na</v>
      </c>
      <c r="O216" s="330">
        <f t="shared" si="194"/>
        <v>200</v>
      </c>
      <c r="P216" s="2523">
        <f>VI!F216</f>
        <v>5440.4488231728646</v>
      </c>
      <c r="R216" s="264">
        <f t="shared" si="228"/>
        <v>200</v>
      </c>
      <c r="S216" s="236" t="str">
        <f t="shared" si="229"/>
        <v>X</v>
      </c>
      <c r="T216" s="236" t="str">
        <f t="shared" si="230"/>
        <v>X</v>
      </c>
      <c r="U216" s="236" t="str">
        <f t="shared" si="231"/>
        <v>X</v>
      </c>
      <c r="V216" s="236" t="str">
        <f t="shared" si="232"/>
        <v/>
      </c>
      <c r="W216" s="236" t="str">
        <f t="shared" si="233"/>
        <v/>
      </c>
      <c r="X216" s="236" t="str">
        <f t="shared" si="234"/>
        <v/>
      </c>
      <c r="Y216" s="236" t="str">
        <f t="shared" si="235"/>
        <v/>
      </c>
      <c r="Z216" s="235" t="str">
        <f t="shared" si="236"/>
        <v/>
      </c>
      <c r="AB216" s="1062"/>
    </row>
    <row r="217" spans="1:28" ht="13.9" customHeight="1" x14ac:dyDescent="0.25">
      <c r="A217" s="846">
        <f>Chem!A217</f>
        <v>215</v>
      </c>
      <c r="B217" s="855" t="str">
        <f>Chem!B217</f>
        <v>1,1,2-Trichloroethane</v>
      </c>
      <c r="C217" s="343">
        <v>5</v>
      </c>
      <c r="D217" s="384">
        <v>3</v>
      </c>
      <c r="E217" s="384">
        <v>5</v>
      </c>
      <c r="F217" s="384">
        <f t="shared" si="244"/>
        <v>3</v>
      </c>
      <c r="G217" s="400">
        <f>'GW-Eq'!G217</f>
        <v>32</v>
      </c>
      <c r="H217" s="400">
        <f t="shared" si="245"/>
        <v>9.375E-2</v>
      </c>
      <c r="I217" s="400" t="str">
        <f t="shared" si="246"/>
        <v>no</v>
      </c>
      <c r="J217" s="403">
        <f t="shared" si="247"/>
        <v>3</v>
      </c>
      <c r="K217" s="271">
        <f>'GW-Eq'!H217</f>
        <v>0.76754385964912264</v>
      </c>
      <c r="L217" s="271">
        <f t="shared" si="248"/>
        <v>3.9085714285714293</v>
      </c>
      <c r="M217" s="271" t="str">
        <f t="shared" si="249"/>
        <v>no</v>
      </c>
      <c r="N217" s="271">
        <f t="shared" si="250"/>
        <v>3</v>
      </c>
      <c r="O217" s="330">
        <f t="shared" si="194"/>
        <v>3</v>
      </c>
      <c r="P217" s="2523">
        <f>VI!F217</f>
        <v>5.1254927489772664</v>
      </c>
      <c r="R217" s="264">
        <f t="shared" si="228"/>
        <v>3</v>
      </c>
      <c r="S217" s="236" t="str">
        <f t="shared" si="229"/>
        <v/>
      </c>
      <c r="T217" s="236" t="str">
        <f t="shared" si="230"/>
        <v>X</v>
      </c>
      <c r="U217" s="236" t="str">
        <f t="shared" si="231"/>
        <v/>
      </c>
      <c r="V217" s="236" t="str">
        <f t="shared" si="232"/>
        <v/>
      </c>
      <c r="W217" s="236" t="str">
        <f t="shared" si="233"/>
        <v/>
      </c>
      <c r="X217" s="236" t="str">
        <f t="shared" si="234"/>
        <v/>
      </c>
      <c r="Y217" s="236" t="str">
        <f t="shared" si="235"/>
        <v/>
      </c>
      <c r="Z217" s="235" t="str">
        <f t="shared" si="236"/>
        <v/>
      </c>
      <c r="AB217" s="1062"/>
    </row>
    <row r="218" spans="1:28" ht="13.9" customHeight="1" x14ac:dyDescent="0.25">
      <c r="A218" s="846">
        <f>Chem!A218</f>
        <v>216</v>
      </c>
      <c r="B218" s="855" t="str">
        <f>Chem!B218</f>
        <v>Trichloroethylene (TCE)</v>
      </c>
      <c r="C218" s="343">
        <v>5</v>
      </c>
      <c r="D218" s="384" t="s">
        <v>232</v>
      </c>
      <c r="E218" s="384">
        <v>5</v>
      </c>
      <c r="F218" s="384">
        <f t="shared" si="244"/>
        <v>5</v>
      </c>
      <c r="G218" s="400">
        <f>'GW-Eq'!G218</f>
        <v>4</v>
      </c>
      <c r="H218" s="400">
        <f t="shared" si="245"/>
        <v>1.25</v>
      </c>
      <c r="I218" s="400" t="str">
        <f t="shared" si="246"/>
        <v>YES</v>
      </c>
      <c r="J218" s="403">
        <f t="shared" si="247"/>
        <v>4</v>
      </c>
      <c r="K218" s="271">
        <f>'GW-Eq'!H218</f>
        <v>0.54</v>
      </c>
      <c r="L218" s="271">
        <f t="shared" si="248"/>
        <v>9.2592592592592595</v>
      </c>
      <c r="M218" s="271" t="str">
        <f t="shared" si="249"/>
        <v>no</v>
      </c>
      <c r="N218" s="271">
        <f t="shared" si="250"/>
        <v>5</v>
      </c>
      <c r="O218" s="330">
        <f t="shared" si="194"/>
        <v>4</v>
      </c>
      <c r="P218" s="2523">
        <f>VI!F218</f>
        <v>1.4201656950065091</v>
      </c>
      <c r="R218" s="264">
        <f t="shared" si="228"/>
        <v>1.4201656950065091</v>
      </c>
      <c r="S218" s="236" t="str">
        <f t="shared" si="229"/>
        <v/>
      </c>
      <c r="T218" s="236" t="str">
        <f t="shared" si="230"/>
        <v/>
      </c>
      <c r="U218" s="236" t="str">
        <f t="shared" si="231"/>
        <v/>
      </c>
      <c r="V218" s="236" t="str">
        <f t="shared" si="232"/>
        <v/>
      </c>
      <c r="W218" s="236" t="str">
        <f t="shared" si="233"/>
        <v/>
      </c>
      <c r="X218" s="236" t="str">
        <f t="shared" si="234"/>
        <v/>
      </c>
      <c r="Y218" s="236" t="str">
        <f t="shared" si="235"/>
        <v/>
      </c>
      <c r="Z218" s="235" t="str">
        <f t="shared" si="236"/>
        <v>X</v>
      </c>
      <c r="AB218" s="1062"/>
    </row>
    <row r="219" spans="1:28" ht="13.9" customHeight="1" x14ac:dyDescent="0.25">
      <c r="A219" s="846">
        <f>Chem!A219</f>
        <v>217</v>
      </c>
      <c r="B219" s="855" t="str">
        <f>Chem!B219</f>
        <v>Trichlorofluoroethane</v>
      </c>
      <c r="C219" s="343" t="s">
        <v>232</v>
      </c>
      <c r="D219" s="384" t="s">
        <v>232</v>
      </c>
      <c r="E219" s="384" t="s">
        <v>232</v>
      </c>
      <c r="F219" s="384" t="str">
        <f t="shared" si="244"/>
        <v>na</v>
      </c>
      <c r="G219" s="400" t="str">
        <f>'GW-Eq'!G219</f>
        <v>na</v>
      </c>
      <c r="H219" s="400" t="str">
        <f t="shared" si="245"/>
        <v>na</v>
      </c>
      <c r="I219" s="400" t="str">
        <f t="shared" si="246"/>
        <v>na</v>
      </c>
      <c r="J219" s="403" t="str">
        <f t="shared" si="247"/>
        <v>na</v>
      </c>
      <c r="K219" s="271" t="str">
        <f>'GW-Eq'!H219</f>
        <v>na</v>
      </c>
      <c r="L219" s="271" t="str">
        <f t="shared" si="248"/>
        <v>na</v>
      </c>
      <c r="M219" s="271" t="str">
        <f t="shared" si="249"/>
        <v>na</v>
      </c>
      <c r="N219" s="271" t="str">
        <f t="shared" si="250"/>
        <v>na</v>
      </c>
      <c r="O219" s="330" t="str">
        <f t="shared" si="194"/>
        <v>na</v>
      </c>
      <c r="P219" s="2523" t="str">
        <f>VI!F219</f>
        <v>na</v>
      </c>
      <c r="R219" s="264" t="str">
        <f t="shared" si="228"/>
        <v>na</v>
      </c>
      <c r="S219" s="236" t="str">
        <f t="shared" si="229"/>
        <v/>
      </c>
      <c r="T219" s="236" t="str">
        <f t="shared" si="230"/>
        <v/>
      </c>
      <c r="U219" s="236" t="str">
        <f t="shared" si="231"/>
        <v/>
      </c>
      <c r="V219" s="236" t="str">
        <f t="shared" si="232"/>
        <v/>
      </c>
      <c r="W219" s="236" t="str">
        <f t="shared" si="233"/>
        <v/>
      </c>
      <c r="X219" s="236" t="str">
        <f t="shared" si="234"/>
        <v/>
      </c>
      <c r="Y219" s="236" t="str">
        <f t="shared" si="235"/>
        <v/>
      </c>
      <c r="Z219" s="235" t="str">
        <f t="shared" si="236"/>
        <v/>
      </c>
      <c r="AB219" s="1062"/>
    </row>
    <row r="220" spans="1:28" ht="13.9" customHeight="1" x14ac:dyDescent="0.25">
      <c r="A220" s="846">
        <f>Chem!A220</f>
        <v>218</v>
      </c>
      <c r="B220" s="855" t="str">
        <f>Chem!B220</f>
        <v>Trichlorofluoromethane</v>
      </c>
      <c r="C220" s="343" t="s">
        <v>232</v>
      </c>
      <c r="D220" s="384" t="s">
        <v>232</v>
      </c>
      <c r="E220" s="384" t="s">
        <v>232</v>
      </c>
      <c r="F220" s="384" t="str">
        <f t="shared" si="244"/>
        <v>na</v>
      </c>
      <c r="G220" s="400">
        <f>'GW-Eq'!G220</f>
        <v>2400</v>
      </c>
      <c r="H220" s="400" t="str">
        <f t="shared" si="245"/>
        <v>na</v>
      </c>
      <c r="I220" s="400" t="str">
        <f t="shared" si="246"/>
        <v>na</v>
      </c>
      <c r="J220" s="403">
        <f t="shared" si="247"/>
        <v>2400</v>
      </c>
      <c r="K220" s="271" t="str">
        <f>'GW-Eq'!H220</f>
        <v>na</v>
      </c>
      <c r="L220" s="271" t="str">
        <f t="shared" si="248"/>
        <v>na</v>
      </c>
      <c r="M220" s="271" t="str">
        <f t="shared" si="249"/>
        <v>na</v>
      </c>
      <c r="N220" s="271" t="str">
        <f t="shared" si="250"/>
        <v>na</v>
      </c>
      <c r="O220" s="330">
        <f t="shared" si="194"/>
        <v>2400</v>
      </c>
      <c r="P220" s="2523">
        <f>VI!F220</f>
        <v>119.50995316969475</v>
      </c>
      <c r="R220" s="264">
        <f t="shared" si="228"/>
        <v>119.50995316969475</v>
      </c>
      <c r="S220" s="236" t="str">
        <f t="shared" si="229"/>
        <v/>
      </c>
      <c r="T220" s="236" t="str">
        <f t="shared" si="230"/>
        <v/>
      </c>
      <c r="U220" s="236" t="str">
        <f t="shared" si="231"/>
        <v/>
      </c>
      <c r="V220" s="236" t="str">
        <f t="shared" si="232"/>
        <v/>
      </c>
      <c r="W220" s="236" t="str">
        <f t="shared" si="233"/>
        <v/>
      </c>
      <c r="X220" s="236" t="str">
        <f t="shared" si="234"/>
        <v/>
      </c>
      <c r="Y220" s="236" t="str">
        <f t="shared" si="235"/>
        <v/>
      </c>
      <c r="Z220" s="235" t="str">
        <f t="shared" si="236"/>
        <v>X</v>
      </c>
      <c r="AB220" s="1062"/>
    </row>
    <row r="221" spans="1:28" ht="13.9" customHeight="1" x14ac:dyDescent="0.25">
      <c r="A221" s="846">
        <f>Chem!A221</f>
        <v>219</v>
      </c>
      <c r="B221" s="855" t="str">
        <f>Chem!B221</f>
        <v>1,2,3-Trichloropropane</v>
      </c>
      <c r="C221" s="343" t="s">
        <v>232</v>
      </c>
      <c r="D221" s="384" t="s">
        <v>232</v>
      </c>
      <c r="E221" s="384" t="s">
        <v>232</v>
      </c>
      <c r="F221" s="384" t="str">
        <f t="shared" si="244"/>
        <v>na</v>
      </c>
      <c r="G221" s="400">
        <f>'GW-Eq'!G221</f>
        <v>32</v>
      </c>
      <c r="H221" s="400" t="str">
        <f t="shared" si="245"/>
        <v>na</v>
      </c>
      <c r="I221" s="400" t="str">
        <f t="shared" si="246"/>
        <v>na</v>
      </c>
      <c r="J221" s="403">
        <f t="shared" si="247"/>
        <v>32</v>
      </c>
      <c r="K221" s="271">
        <f>'GW-Eq'!H221</f>
        <v>3.8000000000000002E-4</v>
      </c>
      <c r="L221" s="271" t="str">
        <f t="shared" si="248"/>
        <v>na</v>
      </c>
      <c r="M221" s="271" t="str">
        <f t="shared" si="249"/>
        <v>na</v>
      </c>
      <c r="N221" s="271">
        <f t="shared" si="250"/>
        <v>3.8000000000000002E-4</v>
      </c>
      <c r="O221" s="330">
        <f t="shared" si="194"/>
        <v>3.8000000000000002E-4</v>
      </c>
      <c r="P221" s="2523">
        <f>VI!F221</f>
        <v>20.003161908423923</v>
      </c>
      <c r="R221" s="264">
        <f t="shared" si="228"/>
        <v>3.8000000000000002E-4</v>
      </c>
      <c r="S221" s="236" t="str">
        <f t="shared" si="229"/>
        <v/>
      </c>
      <c r="T221" s="236" t="str">
        <f t="shared" si="230"/>
        <v/>
      </c>
      <c r="U221" s="236" t="str">
        <f t="shared" si="231"/>
        <v/>
      </c>
      <c r="V221" s="236" t="str">
        <f t="shared" si="232"/>
        <v/>
      </c>
      <c r="W221" s="236" t="str">
        <f t="shared" si="233"/>
        <v>X</v>
      </c>
      <c r="X221" s="236" t="str">
        <f t="shared" si="234"/>
        <v/>
      </c>
      <c r="Y221" s="236" t="str">
        <f t="shared" si="235"/>
        <v/>
      </c>
      <c r="Z221" s="235" t="str">
        <f t="shared" si="236"/>
        <v/>
      </c>
      <c r="AB221" s="1062"/>
    </row>
    <row r="222" spans="1:28" ht="13.9" customHeight="1" x14ac:dyDescent="0.25">
      <c r="A222" s="846">
        <f>Chem!A222</f>
        <v>220</v>
      </c>
      <c r="B222" s="855" t="str">
        <f>Chem!B222</f>
        <v>Trichlorotrifluoroethane</v>
      </c>
      <c r="C222" s="343" t="s">
        <v>232</v>
      </c>
      <c r="D222" s="384" t="s">
        <v>232</v>
      </c>
      <c r="E222" s="384" t="s">
        <v>232</v>
      </c>
      <c r="F222" s="384" t="str">
        <f t="shared" si="244"/>
        <v>na</v>
      </c>
      <c r="G222" s="400">
        <f>'GW-Eq'!G222</f>
        <v>240000</v>
      </c>
      <c r="H222" s="400" t="str">
        <f t="shared" si="245"/>
        <v>na</v>
      </c>
      <c r="I222" s="400" t="str">
        <f t="shared" si="246"/>
        <v>na</v>
      </c>
      <c r="J222" s="403">
        <f t="shared" si="247"/>
        <v>240000</v>
      </c>
      <c r="K222" s="271" t="str">
        <f>'GW-Eq'!H222</f>
        <v>na</v>
      </c>
      <c r="L222" s="271" t="str">
        <f t="shared" si="248"/>
        <v>na</v>
      </c>
      <c r="M222" s="271" t="str">
        <f t="shared" si="249"/>
        <v>na</v>
      </c>
      <c r="N222" s="271" t="str">
        <f t="shared" si="250"/>
        <v>na</v>
      </c>
      <c r="O222" s="330">
        <f t="shared" si="194"/>
        <v>240000</v>
      </c>
      <c r="P222" s="2523">
        <f>VI!F222</f>
        <v>166.69061302426931</v>
      </c>
      <c r="R222" s="264">
        <f t="shared" si="228"/>
        <v>166.69061302426931</v>
      </c>
      <c r="S222" s="236" t="str">
        <f t="shared" si="229"/>
        <v/>
      </c>
      <c r="T222" s="236" t="str">
        <f t="shared" si="230"/>
        <v/>
      </c>
      <c r="U222" s="236" t="str">
        <f t="shared" si="231"/>
        <v/>
      </c>
      <c r="V222" s="236" t="str">
        <f t="shared" si="232"/>
        <v/>
      </c>
      <c r="W222" s="236" t="str">
        <f t="shared" si="233"/>
        <v/>
      </c>
      <c r="X222" s="236" t="str">
        <f t="shared" si="234"/>
        <v/>
      </c>
      <c r="Y222" s="236" t="str">
        <f t="shared" si="235"/>
        <v/>
      </c>
      <c r="Z222" s="235" t="str">
        <f t="shared" si="236"/>
        <v>X</v>
      </c>
      <c r="AB222" s="1062"/>
    </row>
    <row r="223" spans="1:28" ht="13.9" customHeight="1" x14ac:dyDescent="0.25">
      <c r="A223" s="846">
        <f>Chem!A223</f>
        <v>221</v>
      </c>
      <c r="B223" s="855" t="str">
        <f>Chem!B223</f>
        <v>1,2,3-Trimethylbenzene</v>
      </c>
      <c r="C223" s="338" t="s">
        <v>232</v>
      </c>
      <c r="D223" s="394" t="s">
        <v>232</v>
      </c>
      <c r="E223" s="394" t="s">
        <v>232</v>
      </c>
      <c r="F223" s="394" t="str">
        <f t="shared" si="244"/>
        <v>na</v>
      </c>
      <c r="G223" s="407">
        <f>'GW-Eq'!G223</f>
        <v>80</v>
      </c>
      <c r="H223" s="407" t="str">
        <f t="shared" si="245"/>
        <v>na</v>
      </c>
      <c r="I223" s="407" t="str">
        <f t="shared" si="246"/>
        <v>na</v>
      </c>
      <c r="J223" s="403">
        <f t="shared" si="247"/>
        <v>80</v>
      </c>
      <c r="K223" s="217" t="str">
        <f>'GW-Eq'!H223</f>
        <v>na</v>
      </c>
      <c r="L223" s="217" t="str">
        <f t="shared" si="248"/>
        <v>na</v>
      </c>
      <c r="M223" s="217" t="str">
        <f t="shared" si="249"/>
        <v>na</v>
      </c>
      <c r="N223" s="217" t="str">
        <f t="shared" si="250"/>
        <v>na</v>
      </c>
      <c r="O223" s="330">
        <f t="shared" ref="O223:O291" si="251">IF(OR(ISNUMBER($J223),ISNUMBER($N223)),MIN($J223,$N223),"na")</f>
        <v>80</v>
      </c>
      <c r="P223" s="2528">
        <f>VI!F223</f>
        <v>414.06233185358838</v>
      </c>
      <c r="R223" s="264">
        <f t="shared" si="228"/>
        <v>80</v>
      </c>
      <c r="S223" s="236" t="str">
        <f t="shared" si="229"/>
        <v/>
      </c>
      <c r="T223" s="236" t="str">
        <f t="shared" si="230"/>
        <v/>
      </c>
      <c r="U223" s="236" t="str">
        <f t="shared" si="231"/>
        <v/>
      </c>
      <c r="V223" s="236" t="str">
        <f t="shared" si="232"/>
        <v>X</v>
      </c>
      <c r="W223" s="236" t="str">
        <f t="shared" si="233"/>
        <v/>
      </c>
      <c r="X223" s="236" t="str">
        <f t="shared" si="234"/>
        <v/>
      </c>
      <c r="Y223" s="236" t="str">
        <f t="shared" si="235"/>
        <v/>
      </c>
      <c r="Z223" s="235" t="str">
        <f t="shared" si="236"/>
        <v/>
      </c>
      <c r="AB223" s="1062"/>
    </row>
    <row r="224" spans="1:28" ht="13.9" customHeight="1" x14ac:dyDescent="0.25">
      <c r="A224" s="846">
        <f>Chem!A224</f>
        <v>222</v>
      </c>
      <c r="B224" s="855" t="str">
        <f>Chem!B224</f>
        <v>1,2,4-Trimethylbenzene</v>
      </c>
      <c r="C224" s="343" t="s">
        <v>232</v>
      </c>
      <c r="D224" s="384" t="s">
        <v>232</v>
      </c>
      <c r="E224" s="384" t="s">
        <v>232</v>
      </c>
      <c r="F224" s="384" t="str">
        <f t="shared" si="244"/>
        <v>na</v>
      </c>
      <c r="G224" s="400">
        <f>'GW-Eq'!G224</f>
        <v>80</v>
      </c>
      <c r="H224" s="400" t="str">
        <f t="shared" si="245"/>
        <v>na</v>
      </c>
      <c r="I224" s="400" t="str">
        <f t="shared" si="246"/>
        <v>na</v>
      </c>
      <c r="J224" s="403">
        <f t="shared" si="247"/>
        <v>80</v>
      </c>
      <c r="K224" s="271" t="str">
        <f>'GW-Eq'!H224</f>
        <v>na</v>
      </c>
      <c r="L224" s="271" t="str">
        <f t="shared" si="248"/>
        <v>na</v>
      </c>
      <c r="M224" s="271" t="str">
        <f t="shared" si="249"/>
        <v>na</v>
      </c>
      <c r="N224" s="271" t="str">
        <f t="shared" si="250"/>
        <v>na</v>
      </c>
      <c r="O224" s="330">
        <f t="shared" si="251"/>
        <v>80</v>
      </c>
      <c r="P224" s="2523">
        <f>VI!F224</f>
        <v>238.75232280061539</v>
      </c>
      <c r="R224" s="264">
        <f t="shared" si="228"/>
        <v>80</v>
      </c>
      <c r="S224" s="236" t="str">
        <f t="shared" si="229"/>
        <v/>
      </c>
      <c r="T224" s="236" t="str">
        <f t="shared" si="230"/>
        <v/>
      </c>
      <c r="U224" s="236" t="str">
        <f t="shared" si="231"/>
        <v/>
      </c>
      <c r="V224" s="236" t="str">
        <f t="shared" si="232"/>
        <v>X</v>
      </c>
      <c r="W224" s="236" t="str">
        <f t="shared" si="233"/>
        <v/>
      </c>
      <c r="X224" s="236" t="str">
        <f t="shared" si="234"/>
        <v/>
      </c>
      <c r="Y224" s="236" t="str">
        <f t="shared" si="235"/>
        <v/>
      </c>
      <c r="Z224" s="235" t="str">
        <f t="shared" si="236"/>
        <v/>
      </c>
      <c r="AB224" s="1062"/>
    </row>
    <row r="225" spans="1:28" ht="13.9" customHeight="1" x14ac:dyDescent="0.25">
      <c r="A225" s="846">
        <f>Chem!A225</f>
        <v>223</v>
      </c>
      <c r="B225" s="855" t="str">
        <f>Chem!B225</f>
        <v>1,3,5-Trimethylbenzene</v>
      </c>
      <c r="C225" s="343" t="s">
        <v>232</v>
      </c>
      <c r="D225" s="384" t="s">
        <v>232</v>
      </c>
      <c r="E225" s="384" t="s">
        <v>232</v>
      </c>
      <c r="F225" s="384" t="str">
        <f t="shared" si="244"/>
        <v>na</v>
      </c>
      <c r="G225" s="400">
        <f>'GW-Eq'!G225</f>
        <v>80</v>
      </c>
      <c r="H225" s="400" t="str">
        <f t="shared" si="245"/>
        <v>na</v>
      </c>
      <c r="I225" s="400" t="str">
        <f t="shared" si="246"/>
        <v>na</v>
      </c>
      <c r="J225" s="403">
        <f t="shared" si="247"/>
        <v>80</v>
      </c>
      <c r="K225" s="271" t="str">
        <f>'GW-Eq'!H225</f>
        <v>na</v>
      </c>
      <c r="L225" s="271" t="str">
        <f t="shared" si="248"/>
        <v>na</v>
      </c>
      <c r="M225" s="271" t="str">
        <f t="shared" si="249"/>
        <v>na</v>
      </c>
      <c r="N225" s="271" t="str">
        <f t="shared" si="250"/>
        <v>na</v>
      </c>
      <c r="O225" s="330">
        <f t="shared" si="251"/>
        <v>80</v>
      </c>
      <c r="P225" s="2523">
        <f>VI!F225</f>
        <v>167.4323552246066</v>
      </c>
      <c r="R225" s="264">
        <f t="shared" si="228"/>
        <v>80</v>
      </c>
      <c r="S225" s="236" t="str">
        <f t="shared" si="229"/>
        <v/>
      </c>
      <c r="T225" s="236" t="str">
        <f t="shared" si="230"/>
        <v/>
      </c>
      <c r="U225" s="236" t="str">
        <f t="shared" si="231"/>
        <v/>
      </c>
      <c r="V225" s="236" t="str">
        <f t="shared" si="232"/>
        <v>X</v>
      </c>
      <c r="W225" s="236" t="str">
        <f t="shared" si="233"/>
        <v/>
      </c>
      <c r="X225" s="236" t="str">
        <f t="shared" si="234"/>
        <v/>
      </c>
      <c r="Y225" s="236" t="str">
        <f t="shared" si="235"/>
        <v/>
      </c>
      <c r="Z225" s="235" t="str">
        <f t="shared" si="236"/>
        <v/>
      </c>
      <c r="AB225" s="1062"/>
    </row>
    <row r="226" spans="1:28" ht="13.9" customHeight="1" x14ac:dyDescent="0.25">
      <c r="A226" s="846">
        <f>Chem!A226</f>
        <v>224</v>
      </c>
      <c r="B226" s="855" t="str">
        <f>Chem!B226</f>
        <v>Vinyl acetate</v>
      </c>
      <c r="C226" s="343" t="s">
        <v>232</v>
      </c>
      <c r="D226" s="384" t="s">
        <v>232</v>
      </c>
      <c r="E226" s="384" t="s">
        <v>232</v>
      </c>
      <c r="F226" s="384" t="str">
        <f t="shared" si="244"/>
        <v>na</v>
      </c>
      <c r="G226" s="400">
        <f>'GW-Eq'!G226</f>
        <v>8000</v>
      </c>
      <c r="H226" s="400" t="str">
        <f t="shared" si="245"/>
        <v>na</v>
      </c>
      <c r="I226" s="400" t="str">
        <f t="shared" si="246"/>
        <v>na</v>
      </c>
      <c r="J226" s="403">
        <f t="shared" si="247"/>
        <v>8000</v>
      </c>
      <c r="K226" s="271" t="str">
        <f>'GW-Eq'!H226</f>
        <v>na</v>
      </c>
      <c r="L226" s="271" t="str">
        <f t="shared" si="248"/>
        <v>na</v>
      </c>
      <c r="M226" s="271" t="str">
        <f t="shared" si="249"/>
        <v>na</v>
      </c>
      <c r="N226" s="271" t="str">
        <f t="shared" si="250"/>
        <v>na</v>
      </c>
      <c r="O226" s="330">
        <f t="shared" si="251"/>
        <v>8000</v>
      </c>
      <c r="P226" s="2523">
        <f>VI!F226</f>
        <v>8086.8301870494715</v>
      </c>
      <c r="R226" s="264">
        <f t="shared" si="228"/>
        <v>8000</v>
      </c>
      <c r="S226" s="236" t="str">
        <f t="shared" si="229"/>
        <v/>
      </c>
      <c r="T226" s="236" t="str">
        <f t="shared" si="230"/>
        <v/>
      </c>
      <c r="U226" s="236" t="str">
        <f t="shared" si="231"/>
        <v/>
      </c>
      <c r="V226" s="236" t="str">
        <f t="shared" si="232"/>
        <v>X</v>
      </c>
      <c r="W226" s="236" t="str">
        <f t="shared" si="233"/>
        <v/>
      </c>
      <c r="X226" s="236" t="str">
        <f t="shared" si="234"/>
        <v/>
      </c>
      <c r="Y226" s="236" t="str">
        <f t="shared" si="235"/>
        <v/>
      </c>
      <c r="Z226" s="235" t="str">
        <f t="shared" si="236"/>
        <v/>
      </c>
      <c r="AB226" s="1062"/>
    </row>
    <row r="227" spans="1:28" ht="13.9" customHeight="1" x14ac:dyDescent="0.25">
      <c r="A227" s="846">
        <f>Chem!A227</f>
        <v>225</v>
      </c>
      <c r="B227" s="855" t="str">
        <f>Chem!B227</f>
        <v>Vinyl chloride</v>
      </c>
      <c r="C227" s="343">
        <v>2</v>
      </c>
      <c r="D227" s="384" t="s">
        <v>232</v>
      </c>
      <c r="E227" s="384">
        <v>2</v>
      </c>
      <c r="F227" s="384">
        <f t="shared" si="244"/>
        <v>2</v>
      </c>
      <c r="G227" s="400">
        <f>'GW-Eq'!G227</f>
        <v>24</v>
      </c>
      <c r="H227" s="400">
        <f t="shared" si="245"/>
        <v>8.3333333333333329E-2</v>
      </c>
      <c r="I227" s="400" t="str">
        <f t="shared" si="246"/>
        <v>no</v>
      </c>
      <c r="J227" s="403">
        <f t="shared" si="247"/>
        <v>2</v>
      </c>
      <c r="K227" s="271">
        <f>'GW-Eq'!H227</f>
        <v>2.916666666666666E-2</v>
      </c>
      <c r="L227" s="271">
        <f t="shared" si="248"/>
        <v>68.571428571428584</v>
      </c>
      <c r="M227" s="271" t="str">
        <f t="shared" si="249"/>
        <v>YES</v>
      </c>
      <c r="N227" s="271">
        <f t="shared" si="250"/>
        <v>0.29166666666666663</v>
      </c>
      <c r="O227" s="330">
        <f t="shared" si="251"/>
        <v>0.29166666666666663</v>
      </c>
      <c r="P227" s="2523">
        <f>VI!F227</f>
        <v>0.33438532579369951</v>
      </c>
      <c r="R227" s="264">
        <f t="shared" si="228"/>
        <v>0.29166666666666663</v>
      </c>
      <c r="S227" s="236" t="str">
        <f t="shared" si="229"/>
        <v/>
      </c>
      <c r="T227" s="236" t="str">
        <f t="shared" si="230"/>
        <v/>
      </c>
      <c r="U227" s="236" t="str">
        <f t="shared" si="231"/>
        <v/>
      </c>
      <c r="V227" s="236" t="str">
        <f t="shared" si="232"/>
        <v/>
      </c>
      <c r="W227" s="236" t="str">
        <f t="shared" si="233"/>
        <v/>
      </c>
      <c r="X227" s="236" t="str">
        <f t="shared" si="234"/>
        <v/>
      </c>
      <c r="Y227" s="236" t="str">
        <f t="shared" si="235"/>
        <v>X</v>
      </c>
      <c r="Z227" s="235" t="str">
        <f t="shared" si="236"/>
        <v/>
      </c>
      <c r="AB227" s="1062"/>
    </row>
    <row r="228" spans="1:28" ht="13.9" customHeight="1" x14ac:dyDescent="0.25">
      <c r="A228" s="1661">
        <f>Chem!A228</f>
        <v>226</v>
      </c>
      <c r="B228" s="855" t="str">
        <f>Chem!B228</f>
        <v>Total xylenes</v>
      </c>
      <c r="C228" s="533">
        <v>10000</v>
      </c>
      <c r="D228" s="385">
        <v>10000</v>
      </c>
      <c r="E228" s="385">
        <v>10000</v>
      </c>
      <c r="F228" s="385">
        <f t="shared" si="244"/>
        <v>10000</v>
      </c>
      <c r="G228" s="401">
        <f>'GW-Eq'!G228</f>
        <v>1600</v>
      </c>
      <c r="H228" s="401">
        <f t="shared" si="245"/>
        <v>6.25</v>
      </c>
      <c r="I228" s="401" t="str">
        <f t="shared" si="246"/>
        <v>YES</v>
      </c>
      <c r="J228" s="542">
        <f t="shared" si="247"/>
        <v>1600</v>
      </c>
      <c r="K228" s="274" t="str">
        <f>'GW-Eq'!H228</f>
        <v>na</v>
      </c>
      <c r="L228" s="272" t="str">
        <f t="shared" si="248"/>
        <v>na</v>
      </c>
      <c r="M228" s="272" t="str">
        <f t="shared" si="249"/>
        <v>na</v>
      </c>
      <c r="N228" s="272" t="str">
        <f t="shared" si="250"/>
        <v>na</v>
      </c>
      <c r="O228" s="333">
        <f t="shared" si="251"/>
        <v>1600</v>
      </c>
      <c r="P228" s="2524">
        <f>VI!F228</f>
        <v>323.2107441502381</v>
      </c>
      <c r="R228" s="264">
        <f t="shared" si="228"/>
        <v>323.2107441502381</v>
      </c>
      <c r="S228" s="236" t="str">
        <f t="shared" si="229"/>
        <v/>
      </c>
      <c r="T228" s="236" t="str">
        <f t="shared" si="230"/>
        <v/>
      </c>
      <c r="U228" s="236" t="str">
        <f t="shared" si="231"/>
        <v/>
      </c>
      <c r="V228" s="236" t="str">
        <f t="shared" si="232"/>
        <v/>
      </c>
      <c r="W228" s="236" t="str">
        <f t="shared" si="233"/>
        <v/>
      </c>
      <c r="X228" s="236" t="str">
        <f t="shared" si="234"/>
        <v/>
      </c>
      <c r="Y228" s="236" t="str">
        <f t="shared" si="235"/>
        <v/>
      </c>
      <c r="Z228" s="235" t="str">
        <f t="shared" si="236"/>
        <v>X</v>
      </c>
      <c r="AB228" s="1062"/>
    </row>
    <row r="229" spans="1:28" ht="13.9" customHeight="1" x14ac:dyDescent="0.25">
      <c r="A229" s="1197">
        <f>Chem!A229</f>
        <v>227</v>
      </c>
      <c r="B229" s="897" t="str">
        <f>Chem!B229</f>
        <v>PFAS</v>
      </c>
      <c r="C229" s="297"/>
      <c r="D229" s="297"/>
      <c r="E229" s="297"/>
      <c r="F229" s="297"/>
      <c r="G229" s="297"/>
      <c r="H229" s="297"/>
      <c r="I229" s="2347"/>
      <c r="J229" s="2348"/>
      <c r="K229" s="297"/>
      <c r="L229" s="297"/>
      <c r="M229" s="2347"/>
      <c r="N229" s="297"/>
      <c r="O229" s="2348"/>
      <c r="P229" s="2366"/>
      <c r="R229" s="258" t="s">
        <v>9</v>
      </c>
      <c r="S229" s="127"/>
      <c r="T229" s="127"/>
      <c r="U229" s="127"/>
      <c r="V229" s="127"/>
      <c r="W229" s="127"/>
      <c r="X229" s="127"/>
      <c r="Y229" s="127"/>
      <c r="Z229" s="2364"/>
      <c r="AB229" s="1062"/>
    </row>
    <row r="230" spans="1:28" s="260" customFormat="1" ht="13.9" customHeight="1" x14ac:dyDescent="0.25">
      <c r="A230" s="2251">
        <f>Chem!A230</f>
        <v>228</v>
      </c>
      <c r="B230" s="2280" t="str">
        <f>Chem!B230</f>
        <v>6:2 Fluorotelomer sulfonic acid (6:2 FTS)</v>
      </c>
      <c r="C230" s="1801" t="s">
        <v>232</v>
      </c>
      <c r="D230" s="1801" t="s">
        <v>232</v>
      </c>
      <c r="E230" s="1801" t="s">
        <v>232</v>
      </c>
      <c r="F230" s="1801" t="str">
        <f t="shared" ref="F230" si="252">IF(C230="na",IF(D230="na",IF(E230="na","na",MIN(C230:E230)),MIN(C230:E230)),MIN(C230:E230))</f>
        <v>na</v>
      </c>
      <c r="G230" s="1106">
        <f>'GW-Eq'!G230</f>
        <v>3.2</v>
      </c>
      <c r="H230" s="1106" t="str">
        <f t="shared" ref="H230" si="253">IF(F230="na","na",IF(G230="na","na",F230/G230))</f>
        <v>na</v>
      </c>
      <c r="I230" s="1106" t="str">
        <f t="shared" ref="I230" si="254">IF(H230="na","na",IF(H230&gt;1,"YES","no"))</f>
        <v>na</v>
      </c>
      <c r="J230" s="405">
        <f t="shared" ref="J230" si="255">IF(I230="YES",G230,IF(ISNUMBER(F230),F230,G230))</f>
        <v>3.2</v>
      </c>
      <c r="K230" s="1804" t="str">
        <f>'GW-Eq'!H230</f>
        <v>na</v>
      </c>
      <c r="L230" s="1804" t="str">
        <f t="shared" ref="L230" si="256">IF(F230="na","na",IF(K230="na","na",F230/K230))</f>
        <v>na</v>
      </c>
      <c r="M230" s="1804" t="str">
        <f t="shared" ref="M230" si="257">IF(L230="na","na",IF(L230&gt;10,"YES","no"))</f>
        <v>na</v>
      </c>
      <c r="N230" s="1804" t="str">
        <f t="shared" ref="N230" si="258">IF(M230="YES",10*K230,IF(M230="no",F230,K230))</f>
        <v>na</v>
      </c>
      <c r="O230" s="1557">
        <f t="shared" si="251"/>
        <v>3.2</v>
      </c>
      <c r="P230" s="2529" t="str">
        <f>VI!F230</f>
        <v>na</v>
      </c>
      <c r="R230" s="2267">
        <f t="shared" ref="R230:R239" si="259">IF(MIN(O230,P230)=0,"na",MIN(O230,P230))</f>
        <v>3.2</v>
      </c>
      <c r="S230" s="2258" t="str">
        <f t="shared" ref="S230:S239" si="260">IF($R230="na","",IF($R230=$C230,"X",""))</f>
        <v/>
      </c>
      <c r="T230" s="2258" t="str">
        <f t="shared" ref="T230:T239" si="261">IF($R230="na","",IF($R230=$D230,"X",""))</f>
        <v/>
      </c>
      <c r="U230" s="2258" t="str">
        <f t="shared" ref="U230:U239" si="262">IF($R230="na","",IF($R230=$E230,"X",""))</f>
        <v/>
      </c>
      <c r="V230" s="2258" t="str">
        <f t="shared" ref="V230:V239" si="263">IF($R230="na","",IF(AND($F230="na",$R230=$J230),"X",""))</f>
        <v>X</v>
      </c>
      <c r="W230" s="2258" t="str">
        <f t="shared" ref="W230:W239" si="264">IF($R230="na","",IF(AND($F230="na",$R230=$N230),"X",""))</f>
        <v/>
      </c>
      <c r="X230" s="2258" t="str">
        <f t="shared" ref="X230:X239" si="265">IF(OR($R230="na",$J230="na"),"",IF(AND(ISNUMBER($F230),I230="YES",$R230=$J230),"X",""))</f>
        <v/>
      </c>
      <c r="Y230" s="2258" t="str">
        <f t="shared" ref="Y230:Y239" si="266">IF(OR($R230="na",$N230="na"),"",IF(AND(ISNUMBER($F230),$R230=10*$K230),"X",""))</f>
        <v/>
      </c>
      <c r="Z230" s="2278" t="str">
        <f t="shared" ref="Z230:Z239" si="267">IF($R230="na","",IF($R230=$P230,"X",""))</f>
        <v/>
      </c>
      <c r="AB230" s="1987"/>
    </row>
    <row r="231" spans="1:28" ht="13.9" customHeight="1" x14ac:dyDescent="0.25">
      <c r="A231" s="846">
        <f>Chem!A231</f>
        <v>229</v>
      </c>
      <c r="B231" s="905" t="str">
        <f>Chem!B231</f>
        <v>GenX (HFPO-DA)</v>
      </c>
      <c r="C231" s="531">
        <v>0.01</v>
      </c>
      <c r="D231" s="531">
        <v>0.01</v>
      </c>
      <c r="E231" s="531">
        <v>0.01</v>
      </c>
      <c r="F231" s="531">
        <f t="shared" ref="F231:F239" si="268">IF(C231="na",IF(D231="na",IF(E231="na","na",MIN(C231:E231)),MIN(C231:E231)),MIN(C231:E231))</f>
        <v>0.01</v>
      </c>
      <c r="G231" s="1611">
        <f>'GW-Eq'!G231</f>
        <v>2.4E-2</v>
      </c>
      <c r="H231" s="1611">
        <f t="shared" ref="H231:H239" si="269">IF(F231="na","na",IF(G231="na","na",F231/G231))</f>
        <v>0.41666666666666669</v>
      </c>
      <c r="I231" s="1611" t="str">
        <f t="shared" ref="I231:I239" si="270">IF(H231="na","na",IF(H231&gt;1,"YES","no"))</f>
        <v>no</v>
      </c>
      <c r="J231" s="1611">
        <f t="shared" ref="J231:J239" si="271">IF(I231="YES",G231,IF(ISNUMBER(F231),F231,G231))</f>
        <v>0.01</v>
      </c>
      <c r="K231" s="254" t="str">
        <f>'GW-Eq'!H231</f>
        <v>na</v>
      </c>
      <c r="L231" s="254" t="str">
        <f t="shared" ref="L231:L239" si="272">IF(F231="na","na",IF(K231="na","na",F231/K231))</f>
        <v>na</v>
      </c>
      <c r="M231" s="254" t="str">
        <f t="shared" ref="M231:M239" si="273">IF(L231="na","na",IF(L231&gt;10,"YES","no"))</f>
        <v>na</v>
      </c>
      <c r="N231" s="254" t="str">
        <f t="shared" ref="N231:N239" si="274">IF(M231="YES",10*K231,IF(M231="no",F231,K231))</f>
        <v>na</v>
      </c>
      <c r="O231" s="330">
        <f t="shared" si="251"/>
        <v>0.01</v>
      </c>
      <c r="P231" s="2522" t="str">
        <f>VI!F231</f>
        <v>na</v>
      </c>
      <c r="R231" s="1626">
        <f t="shared" si="259"/>
        <v>0.01</v>
      </c>
      <c r="S231" s="1627" t="str">
        <f t="shared" si="260"/>
        <v>X</v>
      </c>
      <c r="T231" s="1627" t="str">
        <f t="shared" si="261"/>
        <v>X</v>
      </c>
      <c r="U231" s="1627" t="str">
        <f t="shared" si="262"/>
        <v>X</v>
      </c>
      <c r="V231" s="1627" t="str">
        <f t="shared" si="263"/>
        <v/>
      </c>
      <c r="W231" s="1627" t="str">
        <f t="shared" si="264"/>
        <v/>
      </c>
      <c r="X231" s="1627" t="str">
        <f t="shared" si="265"/>
        <v/>
      </c>
      <c r="Y231" s="1627" t="str">
        <f t="shared" si="266"/>
        <v/>
      </c>
      <c r="Z231" s="1628" t="str">
        <f t="shared" si="267"/>
        <v/>
      </c>
      <c r="AB231" s="1062"/>
    </row>
    <row r="232" spans="1:28" ht="13.9" customHeight="1" x14ac:dyDescent="0.25">
      <c r="A232" s="846">
        <f>Chem!A232</f>
        <v>230</v>
      </c>
      <c r="B232" s="905" t="str">
        <f>Chem!B232</f>
        <v>Perfluorobutanoic acid (PFBA)</v>
      </c>
      <c r="C232" s="531" t="s">
        <v>232</v>
      </c>
      <c r="D232" s="531" t="s">
        <v>232</v>
      </c>
      <c r="E232" s="531" t="s">
        <v>232</v>
      </c>
      <c r="F232" s="531" t="str">
        <f t="shared" ref="F232" si="275">IF(C232="na",IF(D232="na",IF(E232="na","na",MIN(C232:E232)),MIN(C232:E232)),MIN(C232:E232))</f>
        <v>na</v>
      </c>
      <c r="G232" s="1611">
        <f>'GW-Eq'!G232</f>
        <v>8</v>
      </c>
      <c r="H232" s="1611" t="str">
        <f t="shared" ref="H232" si="276">IF(F232="na","na",IF(G232="na","na",F232/G232))</f>
        <v>na</v>
      </c>
      <c r="I232" s="1611" t="str">
        <f t="shared" ref="I232" si="277">IF(H232="na","na",IF(H232&gt;1,"YES","no"))</f>
        <v>na</v>
      </c>
      <c r="J232" s="1611">
        <f t="shared" ref="J232" si="278">IF(I232="YES",G232,IF(ISNUMBER(F232),F232,G232))</f>
        <v>8</v>
      </c>
      <c r="K232" s="254" t="str">
        <f>'GW-Eq'!H232</f>
        <v>na</v>
      </c>
      <c r="L232" s="254" t="str">
        <f t="shared" ref="L232" si="279">IF(F232="na","na",IF(K232="na","na",F232/K232))</f>
        <v>na</v>
      </c>
      <c r="M232" s="254" t="str">
        <f t="shared" ref="M232" si="280">IF(L232="na","na",IF(L232&gt;10,"YES","no"))</f>
        <v>na</v>
      </c>
      <c r="N232" s="254" t="str">
        <f t="shared" ref="N232" si="281">IF(M232="YES",10*K232,IF(M232="no",F232,K232))</f>
        <v>na</v>
      </c>
      <c r="O232" s="330">
        <f t="shared" si="251"/>
        <v>8</v>
      </c>
      <c r="P232" s="2522" t="str">
        <f>VI!F232</f>
        <v>na</v>
      </c>
      <c r="R232" s="1626">
        <f t="shared" si="259"/>
        <v>8</v>
      </c>
      <c r="S232" s="1627" t="str">
        <f t="shared" si="260"/>
        <v/>
      </c>
      <c r="T232" s="1627" t="str">
        <f t="shared" si="261"/>
        <v/>
      </c>
      <c r="U232" s="1627" t="str">
        <f t="shared" si="262"/>
        <v/>
      </c>
      <c r="V232" s="1627" t="str">
        <f t="shared" si="263"/>
        <v>X</v>
      </c>
      <c r="W232" s="1627" t="str">
        <f t="shared" si="264"/>
        <v/>
      </c>
      <c r="X232" s="1627" t="str">
        <f t="shared" si="265"/>
        <v/>
      </c>
      <c r="Y232" s="1627" t="str">
        <f t="shared" si="266"/>
        <v/>
      </c>
      <c r="Z232" s="1628" t="str">
        <f t="shared" si="267"/>
        <v/>
      </c>
      <c r="AB232" s="1062"/>
    </row>
    <row r="233" spans="1:28" ht="13.9" customHeight="1" x14ac:dyDescent="0.25">
      <c r="A233" s="846">
        <f>Chem!A233</f>
        <v>231</v>
      </c>
      <c r="B233" s="855" t="str">
        <f>Chem!B233</f>
        <v>Perfluorobutanesulfonic acid (PFBS)</v>
      </c>
      <c r="C233" s="343" t="s">
        <v>232</v>
      </c>
      <c r="D233" s="343" t="s">
        <v>232</v>
      </c>
      <c r="E233" s="343" t="s">
        <v>232</v>
      </c>
      <c r="F233" s="343" t="str">
        <f t="shared" si="268"/>
        <v>na</v>
      </c>
      <c r="G233" s="406">
        <f>'GW-Eq'!G233</f>
        <v>4.8</v>
      </c>
      <c r="H233" s="406" t="str">
        <f t="shared" si="269"/>
        <v>na</v>
      </c>
      <c r="I233" s="406" t="str">
        <f t="shared" si="270"/>
        <v>na</v>
      </c>
      <c r="J233" s="406">
        <f t="shared" si="271"/>
        <v>4.8</v>
      </c>
      <c r="K233" s="221" t="str">
        <f>'GW-Eq'!H233</f>
        <v>na</v>
      </c>
      <c r="L233" s="221" t="str">
        <f t="shared" si="272"/>
        <v>na</v>
      </c>
      <c r="M233" s="221" t="str">
        <f t="shared" si="273"/>
        <v>na</v>
      </c>
      <c r="N233" s="221" t="str">
        <f t="shared" si="274"/>
        <v>na</v>
      </c>
      <c r="O233" s="300">
        <f t="shared" si="251"/>
        <v>4.8</v>
      </c>
      <c r="P233" s="2523" t="str">
        <f>VI!F233</f>
        <v>na</v>
      </c>
      <c r="R233" s="1558">
        <f t="shared" si="259"/>
        <v>4.8</v>
      </c>
      <c r="S233" s="1559" t="str">
        <f t="shared" si="260"/>
        <v/>
      </c>
      <c r="T233" s="1559" t="str">
        <f t="shared" si="261"/>
        <v/>
      </c>
      <c r="U233" s="1559" t="str">
        <f t="shared" si="262"/>
        <v/>
      </c>
      <c r="V233" s="1559" t="str">
        <f t="shared" si="263"/>
        <v>X</v>
      </c>
      <c r="W233" s="1559" t="str">
        <f t="shared" si="264"/>
        <v/>
      </c>
      <c r="X233" s="1559" t="str">
        <f t="shared" si="265"/>
        <v/>
      </c>
      <c r="Y233" s="1559" t="str">
        <f t="shared" si="266"/>
        <v/>
      </c>
      <c r="Z233" s="1560" t="str">
        <f t="shared" si="267"/>
        <v/>
      </c>
      <c r="AB233" s="1062"/>
    </row>
    <row r="234" spans="1:28" ht="13.9" customHeight="1" x14ac:dyDescent="0.25">
      <c r="A234" s="846">
        <f>Chem!A234</f>
        <v>232</v>
      </c>
      <c r="B234" s="855" t="str">
        <f>Chem!B234</f>
        <v>Perfluorodecanoic acid (PFDA)</v>
      </c>
      <c r="C234" s="343" t="s">
        <v>232</v>
      </c>
      <c r="D234" s="343" t="s">
        <v>232</v>
      </c>
      <c r="E234" s="343" t="s">
        <v>232</v>
      </c>
      <c r="F234" s="343" t="str">
        <f t="shared" ref="F234" si="282">IF(C234="na",IF(D234="na",IF(E234="na","na",MIN(C234:E234)),MIN(C234:E234)),MIN(C234:E234))</f>
        <v>na</v>
      </c>
      <c r="G234" s="406">
        <f>'GW-Eq'!G234</f>
        <v>3.2000000000000005E-5</v>
      </c>
      <c r="H234" s="406" t="str">
        <f t="shared" ref="H234" si="283">IF(F234="na","na",IF(G234="na","na",F234/G234))</f>
        <v>na</v>
      </c>
      <c r="I234" s="406" t="str">
        <f t="shared" ref="I234" si="284">IF(H234="na","na",IF(H234&gt;1,"YES","no"))</f>
        <v>na</v>
      </c>
      <c r="J234" s="406">
        <f t="shared" ref="J234" si="285">IF(I234="YES",G234,IF(ISNUMBER(F234),F234,G234))</f>
        <v>3.2000000000000005E-5</v>
      </c>
      <c r="K234" s="221" t="str">
        <f>'GW-Eq'!H234</f>
        <v>na</v>
      </c>
      <c r="L234" s="221" t="str">
        <f t="shared" ref="L234" si="286">IF(F234="na","na",IF(K234="na","na",F234/K234))</f>
        <v>na</v>
      </c>
      <c r="M234" s="221" t="str">
        <f t="shared" ref="M234" si="287">IF(L234="na","na",IF(L234&gt;10,"YES","no"))</f>
        <v>na</v>
      </c>
      <c r="N234" s="221" t="str">
        <f t="shared" ref="N234" si="288">IF(M234="YES",10*K234,IF(M234="no",F234,K234))</f>
        <v>na</v>
      </c>
      <c r="O234" s="300">
        <f t="shared" si="251"/>
        <v>3.2000000000000005E-5</v>
      </c>
      <c r="P234" s="2523" t="str">
        <f>VI!F234</f>
        <v>na</v>
      </c>
      <c r="R234" s="1558">
        <f t="shared" si="259"/>
        <v>3.2000000000000005E-5</v>
      </c>
      <c r="S234" s="1559" t="str">
        <f t="shared" si="260"/>
        <v/>
      </c>
      <c r="T234" s="1559" t="str">
        <f t="shared" si="261"/>
        <v/>
      </c>
      <c r="U234" s="1559" t="str">
        <f t="shared" si="262"/>
        <v/>
      </c>
      <c r="V234" s="1559" t="str">
        <f t="shared" si="263"/>
        <v>X</v>
      </c>
      <c r="W234" s="1559" t="str">
        <f t="shared" si="264"/>
        <v/>
      </c>
      <c r="X234" s="1559" t="str">
        <f t="shared" si="265"/>
        <v/>
      </c>
      <c r="Y234" s="1559" t="str">
        <f t="shared" si="266"/>
        <v/>
      </c>
      <c r="Z234" s="1560" t="str">
        <f t="shared" si="267"/>
        <v/>
      </c>
      <c r="AB234" s="1062"/>
    </row>
    <row r="235" spans="1:28" ht="13.9" customHeight="1" x14ac:dyDescent="0.25">
      <c r="A235" s="846">
        <f>Chem!A235</f>
        <v>233</v>
      </c>
      <c r="B235" s="855" t="str">
        <f>Chem!B235</f>
        <v>Perfluorohexanoic acid (PFHxA)</v>
      </c>
      <c r="C235" s="343" t="s">
        <v>232</v>
      </c>
      <c r="D235" s="343" t="s">
        <v>232</v>
      </c>
      <c r="E235" s="343" t="s">
        <v>232</v>
      </c>
      <c r="F235" s="343" t="str">
        <f t="shared" ref="F235" si="289">IF(C235="na",IF(D235="na",IF(E235="na","na",MIN(C235:E235)),MIN(C235:E235)),MIN(C235:E235))</f>
        <v>na</v>
      </c>
      <c r="G235" s="406">
        <f>'GW-Eq'!G235</f>
        <v>8</v>
      </c>
      <c r="H235" s="406" t="str">
        <f t="shared" ref="H235" si="290">IF(F235="na","na",IF(G235="na","na",F235/G235))</f>
        <v>na</v>
      </c>
      <c r="I235" s="406" t="str">
        <f t="shared" ref="I235" si="291">IF(H235="na","na",IF(H235&gt;1,"YES","no"))</f>
        <v>na</v>
      </c>
      <c r="J235" s="406">
        <f t="shared" ref="J235" si="292">IF(I235="YES",G235,IF(ISNUMBER(F235),F235,G235))</f>
        <v>8</v>
      </c>
      <c r="K235" s="221" t="str">
        <f>'GW-Eq'!H235</f>
        <v>na</v>
      </c>
      <c r="L235" s="221" t="str">
        <f t="shared" ref="L235" si="293">IF(F235="na","na",IF(K235="na","na",F235/K235))</f>
        <v>na</v>
      </c>
      <c r="M235" s="221" t="str">
        <f t="shared" ref="M235" si="294">IF(L235="na","na",IF(L235&gt;10,"YES","no"))</f>
        <v>na</v>
      </c>
      <c r="N235" s="221" t="str">
        <f t="shared" ref="N235" si="295">IF(M235="YES",10*K235,IF(M235="no",F235,K235))</f>
        <v>na</v>
      </c>
      <c r="O235" s="300">
        <f t="shared" si="251"/>
        <v>8</v>
      </c>
      <c r="P235" s="2523" t="str">
        <f>VI!F235</f>
        <v>na</v>
      </c>
      <c r="R235" s="1558">
        <f t="shared" si="259"/>
        <v>8</v>
      </c>
      <c r="S235" s="1559" t="str">
        <f t="shared" si="260"/>
        <v/>
      </c>
      <c r="T235" s="1559" t="str">
        <f t="shared" si="261"/>
        <v/>
      </c>
      <c r="U235" s="1559" t="str">
        <f t="shared" si="262"/>
        <v/>
      </c>
      <c r="V235" s="1559" t="str">
        <f t="shared" si="263"/>
        <v>X</v>
      </c>
      <c r="W235" s="1559" t="str">
        <f t="shared" si="264"/>
        <v/>
      </c>
      <c r="X235" s="1559" t="str">
        <f t="shared" si="265"/>
        <v/>
      </c>
      <c r="Y235" s="1559" t="str">
        <f t="shared" si="266"/>
        <v/>
      </c>
      <c r="Z235" s="1560" t="str">
        <f t="shared" si="267"/>
        <v/>
      </c>
      <c r="AB235" s="1062"/>
    </row>
    <row r="236" spans="1:28" ht="13.9" customHeight="1" x14ac:dyDescent="0.25">
      <c r="A236" s="846">
        <f>Chem!A236</f>
        <v>234</v>
      </c>
      <c r="B236" s="855" t="str">
        <f>Chem!B236</f>
        <v>Perfluorohexanesulfonic acid (PFHxS)</v>
      </c>
      <c r="C236" s="343">
        <v>0.01</v>
      </c>
      <c r="D236" s="343">
        <v>0.01</v>
      </c>
      <c r="E236" s="343">
        <v>0.01</v>
      </c>
      <c r="F236" s="343">
        <f t="shared" si="268"/>
        <v>0.01</v>
      </c>
      <c r="G236" s="406">
        <f>'GW-Eq'!G236</f>
        <v>6.4000000000000006E-6</v>
      </c>
      <c r="H236" s="406">
        <f t="shared" si="269"/>
        <v>1562.5</v>
      </c>
      <c r="I236" s="406" t="str">
        <f t="shared" si="270"/>
        <v>YES</v>
      </c>
      <c r="J236" s="406">
        <f t="shared" si="271"/>
        <v>6.4000000000000006E-6</v>
      </c>
      <c r="K236" s="221" t="str">
        <f>'GW-Eq'!H236</f>
        <v>na</v>
      </c>
      <c r="L236" s="221" t="str">
        <f t="shared" si="272"/>
        <v>na</v>
      </c>
      <c r="M236" s="221" t="str">
        <f t="shared" si="273"/>
        <v>na</v>
      </c>
      <c r="N236" s="221" t="str">
        <f t="shared" si="274"/>
        <v>na</v>
      </c>
      <c r="O236" s="300">
        <f t="shared" si="251"/>
        <v>6.4000000000000006E-6</v>
      </c>
      <c r="P236" s="2523" t="str">
        <f>VI!F236</f>
        <v>na</v>
      </c>
      <c r="R236" s="1558">
        <f t="shared" si="259"/>
        <v>6.4000000000000006E-6</v>
      </c>
      <c r="S236" s="1559" t="str">
        <f t="shared" si="260"/>
        <v/>
      </c>
      <c r="T236" s="1559" t="str">
        <f t="shared" si="261"/>
        <v/>
      </c>
      <c r="U236" s="1559" t="str">
        <f t="shared" si="262"/>
        <v/>
      </c>
      <c r="V236" s="1559" t="str">
        <f t="shared" si="263"/>
        <v/>
      </c>
      <c r="W236" s="1559" t="str">
        <f t="shared" si="264"/>
        <v/>
      </c>
      <c r="X236" s="1559" t="str">
        <f t="shared" si="265"/>
        <v>X</v>
      </c>
      <c r="Y236" s="1559" t="str">
        <f t="shared" si="266"/>
        <v/>
      </c>
      <c r="Z236" s="1560" t="str">
        <f t="shared" si="267"/>
        <v/>
      </c>
      <c r="AB236" s="1062"/>
    </row>
    <row r="237" spans="1:28" ht="13.9" customHeight="1" x14ac:dyDescent="0.25">
      <c r="A237" s="846">
        <f>Chem!A237</f>
        <v>235</v>
      </c>
      <c r="B237" s="855" t="str">
        <f>Chem!B237</f>
        <v>Perfluorononanoic acid (PFNA)</v>
      </c>
      <c r="C237" s="343">
        <v>0.01</v>
      </c>
      <c r="D237" s="343">
        <v>0.01</v>
      </c>
      <c r="E237" s="343">
        <v>0.01</v>
      </c>
      <c r="F237" s="343">
        <f t="shared" si="268"/>
        <v>0.01</v>
      </c>
      <c r="G237" s="406">
        <f>'GW-Eq'!G237</f>
        <v>0.04</v>
      </c>
      <c r="H237" s="406">
        <f t="shared" si="269"/>
        <v>0.25</v>
      </c>
      <c r="I237" s="406" t="str">
        <f t="shared" si="270"/>
        <v>no</v>
      </c>
      <c r="J237" s="406">
        <f t="shared" si="271"/>
        <v>0.01</v>
      </c>
      <c r="K237" s="221" t="str">
        <f>'GW-Eq'!H237</f>
        <v>na</v>
      </c>
      <c r="L237" s="221" t="str">
        <f t="shared" si="272"/>
        <v>na</v>
      </c>
      <c r="M237" s="221" t="str">
        <f t="shared" si="273"/>
        <v>na</v>
      </c>
      <c r="N237" s="221" t="str">
        <f t="shared" si="274"/>
        <v>na</v>
      </c>
      <c r="O237" s="300">
        <f t="shared" si="251"/>
        <v>0.01</v>
      </c>
      <c r="P237" s="2523" t="str">
        <f>VI!F237</f>
        <v>na</v>
      </c>
      <c r="R237" s="1558">
        <f t="shared" si="259"/>
        <v>0.01</v>
      </c>
      <c r="S237" s="1559" t="str">
        <f t="shared" si="260"/>
        <v>X</v>
      </c>
      <c r="T237" s="1559" t="str">
        <f t="shared" si="261"/>
        <v>X</v>
      </c>
      <c r="U237" s="1559" t="str">
        <f t="shared" si="262"/>
        <v>X</v>
      </c>
      <c r="V237" s="1559" t="str">
        <f t="shared" si="263"/>
        <v/>
      </c>
      <c r="W237" s="1559" t="str">
        <f t="shared" si="264"/>
        <v/>
      </c>
      <c r="X237" s="1559" t="str">
        <f t="shared" si="265"/>
        <v/>
      </c>
      <c r="Y237" s="1559" t="str">
        <f t="shared" si="266"/>
        <v/>
      </c>
      <c r="Z237" s="1560" t="str">
        <f t="shared" si="267"/>
        <v/>
      </c>
      <c r="AB237" s="1062"/>
    </row>
    <row r="238" spans="1:28" ht="13.9" customHeight="1" x14ac:dyDescent="0.25">
      <c r="A238" s="846">
        <f>Chem!A238</f>
        <v>236</v>
      </c>
      <c r="B238" s="855" t="str">
        <f>Chem!B238</f>
        <v>Perfluorooctanesulfonic acid (PFOS)</v>
      </c>
      <c r="C238" s="343">
        <v>4.0000000000000001E-3</v>
      </c>
      <c r="D238" s="343" t="s">
        <v>232</v>
      </c>
      <c r="E238" s="343">
        <v>4.0000000000000001E-3</v>
      </c>
      <c r="F238" s="343">
        <f t="shared" si="268"/>
        <v>4.0000000000000001E-3</v>
      </c>
      <c r="G238" s="406">
        <f>'GW-Eq'!G238</f>
        <v>1.5999999999999999E-3</v>
      </c>
      <c r="H238" s="406">
        <f t="shared" si="269"/>
        <v>2.5000000000000004</v>
      </c>
      <c r="I238" s="406" t="str">
        <f t="shared" si="270"/>
        <v>YES</v>
      </c>
      <c r="J238" s="406">
        <f t="shared" si="271"/>
        <v>1.5999999999999999E-3</v>
      </c>
      <c r="K238" s="221">
        <f>'GW-Eq'!H238</f>
        <v>2.2151898734177212E-3</v>
      </c>
      <c r="L238" s="221">
        <f t="shared" si="272"/>
        <v>1.805714285714286</v>
      </c>
      <c r="M238" s="221" t="str">
        <f t="shared" si="273"/>
        <v>no</v>
      </c>
      <c r="N238" s="221">
        <f t="shared" si="274"/>
        <v>4.0000000000000001E-3</v>
      </c>
      <c r="O238" s="300">
        <f>F238</f>
        <v>4.0000000000000001E-3</v>
      </c>
      <c r="P238" s="2523" t="str">
        <f>VI!F238</f>
        <v>na</v>
      </c>
      <c r="R238" s="1558">
        <f t="shared" si="259"/>
        <v>4.0000000000000001E-3</v>
      </c>
      <c r="S238" s="1559" t="str">
        <f t="shared" si="260"/>
        <v>X</v>
      </c>
      <c r="T238" s="1559" t="str">
        <f t="shared" si="261"/>
        <v/>
      </c>
      <c r="U238" s="1559" t="str">
        <f t="shared" si="262"/>
        <v>X</v>
      </c>
      <c r="V238" s="1559" t="str">
        <f t="shared" si="263"/>
        <v/>
      </c>
      <c r="W238" s="1559" t="str">
        <f t="shared" si="264"/>
        <v/>
      </c>
      <c r="X238" s="1559" t="str">
        <f t="shared" si="265"/>
        <v/>
      </c>
      <c r="Y238" s="1559" t="str">
        <f t="shared" si="266"/>
        <v/>
      </c>
      <c r="Z238" s="1560" t="str">
        <f t="shared" si="267"/>
        <v/>
      </c>
      <c r="AB238" s="1062"/>
    </row>
    <row r="239" spans="1:28" ht="13.9" customHeight="1" x14ac:dyDescent="0.25">
      <c r="A239" s="1661">
        <f>Chem!A239</f>
        <v>237</v>
      </c>
      <c r="B239" s="885" t="str">
        <f>Chem!B239</f>
        <v>Perfluorooctanoic acid (PFOA)</v>
      </c>
      <c r="C239" s="533">
        <v>4.0000000000000001E-3</v>
      </c>
      <c r="D239" s="533" t="s">
        <v>232</v>
      </c>
      <c r="E239" s="533">
        <v>4.0000000000000001E-3</v>
      </c>
      <c r="F239" s="533">
        <f t="shared" si="268"/>
        <v>4.0000000000000001E-3</v>
      </c>
      <c r="G239" s="543">
        <f>'GW-Eq'!G239</f>
        <v>4.7999999999999996E-4</v>
      </c>
      <c r="H239" s="543">
        <f t="shared" si="269"/>
        <v>8.3333333333333339</v>
      </c>
      <c r="I239" s="543" t="str">
        <f t="shared" si="270"/>
        <v>YES</v>
      </c>
      <c r="J239" s="543">
        <f t="shared" si="271"/>
        <v>4.7999999999999996E-4</v>
      </c>
      <c r="K239" s="257">
        <f>'GW-Eq'!H239</f>
        <v>2.9863481228668937E-6</v>
      </c>
      <c r="L239" s="257">
        <f t="shared" si="272"/>
        <v>1339.4285714285716</v>
      </c>
      <c r="M239" s="257" t="str">
        <f t="shared" si="273"/>
        <v>YES</v>
      </c>
      <c r="N239" s="257">
        <f t="shared" si="274"/>
        <v>2.9863481228668936E-5</v>
      </c>
      <c r="O239" s="355">
        <f>F239</f>
        <v>4.0000000000000001E-3</v>
      </c>
      <c r="P239" s="2525" t="str">
        <f>VI!F239</f>
        <v>na</v>
      </c>
      <c r="R239" s="1561">
        <f t="shared" si="259"/>
        <v>4.0000000000000001E-3</v>
      </c>
      <c r="S239" s="1562" t="str">
        <f t="shared" si="260"/>
        <v>X</v>
      </c>
      <c r="T239" s="1562" t="str">
        <f t="shared" si="261"/>
        <v/>
      </c>
      <c r="U239" s="1562" t="str">
        <f t="shared" si="262"/>
        <v>X</v>
      </c>
      <c r="V239" s="1562" t="str">
        <f t="shared" si="263"/>
        <v/>
      </c>
      <c r="W239" s="1562" t="str">
        <f t="shared" si="264"/>
        <v/>
      </c>
      <c r="X239" s="1562" t="str">
        <f t="shared" si="265"/>
        <v/>
      </c>
      <c r="Y239" s="1562" t="str">
        <f t="shared" si="266"/>
        <v/>
      </c>
      <c r="Z239" s="1563" t="str">
        <f t="shared" si="267"/>
        <v/>
      </c>
      <c r="AB239" s="1062"/>
    </row>
    <row r="240" spans="1:28" ht="13.9" customHeight="1" x14ac:dyDescent="0.25">
      <c r="A240" s="1197">
        <f>Chem!A240</f>
        <v>238</v>
      </c>
      <c r="B240" s="897" t="str">
        <f>Chem!B240</f>
        <v>Petroleum Hydrocarbons</v>
      </c>
      <c r="C240" s="297"/>
      <c r="D240" s="297"/>
      <c r="E240" s="297"/>
      <c r="F240" s="297"/>
      <c r="G240" s="297"/>
      <c r="H240" s="297"/>
      <c r="I240" s="2347"/>
      <c r="J240" s="2348"/>
      <c r="K240" s="297"/>
      <c r="L240" s="297"/>
      <c r="M240" s="2347"/>
      <c r="N240" s="297"/>
      <c r="O240" s="2348"/>
      <c r="P240" s="2366"/>
      <c r="R240" s="258" t="s">
        <v>9</v>
      </c>
      <c r="S240" s="127"/>
      <c r="T240" s="127"/>
      <c r="U240" s="127"/>
      <c r="V240" s="127"/>
      <c r="W240" s="127"/>
      <c r="X240" s="127"/>
      <c r="Y240" s="127"/>
      <c r="Z240" s="2364"/>
      <c r="AB240" s="1063"/>
    </row>
    <row r="241" spans="1:28" ht="13.9" customHeight="1" x14ac:dyDescent="0.25">
      <c r="A241" s="846">
        <f>Chem!A241</f>
        <v>239</v>
      </c>
      <c r="B241" s="855" t="str">
        <f>Chem!B241</f>
        <v>Gasoline range hydrocarbons, fresh</v>
      </c>
      <c r="C241" s="397" t="s">
        <v>232</v>
      </c>
      <c r="D241" s="398" t="s">
        <v>232</v>
      </c>
      <c r="E241" s="398" t="s">
        <v>232</v>
      </c>
      <c r="F241" s="398" t="str">
        <f t="shared" ref="F241:F246" si="296">IF(C241="na",IF(D241="na",IF(E241="na","na",MIN(C241:E241)),MIN(C241:E241)),MIN(C241:E241))</f>
        <v>na</v>
      </c>
      <c r="G241" s="411">
        <f>'GW-Eq'!G241</f>
        <v>800</v>
      </c>
      <c r="H241" s="411" t="str">
        <f t="shared" ref="H241:H246" si="297">IF(F241="na","na",IF(G241="na","na",F241/G241))</f>
        <v>na</v>
      </c>
      <c r="I241" s="411" t="str">
        <f t="shared" ref="I241:I245" si="298">IF(H241="na","na",IF(H241&gt;1,"YES","no"))</f>
        <v>na</v>
      </c>
      <c r="J241" s="403">
        <f t="shared" ref="J241:J245" si="299">IF(I241="YES",G241,IF(ISNUMBER(F241),F241,G241))</f>
        <v>800</v>
      </c>
      <c r="K241" s="275" t="str">
        <f>'GW-Eq'!H241</f>
        <v>na</v>
      </c>
      <c r="L241" s="275" t="str">
        <f t="shared" ref="L241:L246" si="300">IF(F241="na","na",IF(K241="na","na",F241/K241))</f>
        <v>na</v>
      </c>
      <c r="M241" s="275" t="str">
        <f t="shared" ref="M241:M245" si="301">IF(L241="na","na",IF(L241&gt;10,"YES","no"))</f>
        <v>na</v>
      </c>
      <c r="N241" s="275" t="str">
        <f t="shared" ref="N241:N245" si="302">IF(M241="YES",10*K241,IF(M241="no",F241,K241))</f>
        <v>na</v>
      </c>
      <c r="O241" s="330">
        <f t="shared" si="251"/>
        <v>800</v>
      </c>
      <c r="P241" s="2522" t="str">
        <f>VI!F241</f>
        <v>na</v>
      </c>
      <c r="R241" s="264">
        <f t="shared" ref="R241:R246" si="303">IF(MIN(O241,P241)=0,"na",MIN(O241,P241))</f>
        <v>800</v>
      </c>
      <c r="S241" s="236" t="str">
        <f t="shared" ref="S241:S246" si="304">IF($R241="na","",IF($R241=$C241,"X",""))</f>
        <v/>
      </c>
      <c r="T241" s="236" t="str">
        <f t="shared" ref="T241:T246" si="305">IF($R241="na","",IF($R241=$D241,"X",""))</f>
        <v/>
      </c>
      <c r="U241" s="236" t="str">
        <f t="shared" ref="U241:U246" si="306">IF($R241="na","",IF($R241=$E241,"X",""))</f>
        <v/>
      </c>
      <c r="V241" s="236" t="str">
        <f t="shared" ref="V241:V246" si="307">IF($R241="na","",IF(AND($F241="na",$R241=$J241),"X",""))</f>
        <v>X</v>
      </c>
      <c r="W241" s="236" t="str">
        <f t="shared" ref="W241:W246" si="308">IF($R241="na","",IF(AND($F241="na",$R241=$N241),"X",""))</f>
        <v/>
      </c>
      <c r="X241" s="236" t="str">
        <f t="shared" ref="X241:X246" si="309">IF(OR($R241="na",$J241="na"),"",IF(AND(ISNUMBER($F241),I241="YES",$R241=$J241),"X",""))</f>
        <v/>
      </c>
      <c r="Y241" s="236" t="str">
        <f t="shared" ref="Y241:Y246" si="310">IF(OR($R241="na",$N241="na"),"",IF(AND(ISNUMBER($F241),$R241=10*$K241),"X",""))</f>
        <v/>
      </c>
      <c r="Z241" s="235" t="str">
        <f t="shared" ref="Z241:Z246" si="311">IF($R241="na","",IF($R241=$P241,"X",""))</f>
        <v/>
      </c>
      <c r="AB241" s="1062"/>
    </row>
    <row r="242" spans="1:28" ht="13.9" customHeight="1" x14ac:dyDescent="0.25">
      <c r="A242" s="846">
        <f>Chem!A242</f>
        <v>240</v>
      </c>
      <c r="B242" s="855" t="str">
        <f>Chem!B242</f>
        <v>Gasoline range hydrocarbons, weathered</v>
      </c>
      <c r="C242" s="397" t="s">
        <v>232</v>
      </c>
      <c r="D242" s="398" t="s">
        <v>232</v>
      </c>
      <c r="E242" s="398" t="s">
        <v>232</v>
      </c>
      <c r="F242" s="398" t="str">
        <f t="shared" si="296"/>
        <v>na</v>
      </c>
      <c r="G242" s="411">
        <v>1000</v>
      </c>
      <c r="H242" s="411" t="str">
        <f t="shared" si="297"/>
        <v>na</v>
      </c>
      <c r="I242" s="411" t="str">
        <f t="shared" ref="I242" si="312">IF(H242="na","na",IF(H242&gt;1,"YES","no"))</f>
        <v>na</v>
      </c>
      <c r="J242" s="403">
        <f t="shared" ref="J242" si="313">IF(I242="YES",G242,IF(ISNUMBER(F242),F242,G242))</f>
        <v>1000</v>
      </c>
      <c r="K242" s="275" t="str">
        <f>'GW-Eq'!H242</f>
        <v>na</v>
      </c>
      <c r="L242" s="275" t="str">
        <f t="shared" si="300"/>
        <v>na</v>
      </c>
      <c r="M242" s="275" t="str">
        <f t="shared" ref="M242" si="314">IF(L242="na","na",IF(L242&gt;10,"YES","no"))</f>
        <v>na</v>
      </c>
      <c r="N242" s="275" t="str">
        <f t="shared" ref="N242" si="315">IF(M242="YES",10*K242,IF(M242="no",F242,K242))</f>
        <v>na</v>
      </c>
      <c r="O242" s="330">
        <f t="shared" si="251"/>
        <v>1000</v>
      </c>
      <c r="P242" s="2522" t="str">
        <f>VI!F242</f>
        <v>na</v>
      </c>
      <c r="R242" s="264">
        <f t="shared" si="303"/>
        <v>1000</v>
      </c>
      <c r="S242" s="236" t="str">
        <f t="shared" si="304"/>
        <v/>
      </c>
      <c r="T242" s="236" t="str">
        <f t="shared" si="305"/>
        <v/>
      </c>
      <c r="U242" s="236" t="str">
        <f t="shared" si="306"/>
        <v/>
      </c>
      <c r="V242" s="236" t="str">
        <f t="shared" si="307"/>
        <v>X</v>
      </c>
      <c r="W242" s="236" t="str">
        <f t="shared" si="308"/>
        <v/>
      </c>
      <c r="X242" s="236" t="str">
        <f t="shared" si="309"/>
        <v/>
      </c>
      <c r="Y242" s="236" t="str">
        <f t="shared" si="310"/>
        <v/>
      </c>
      <c r="Z242" s="235" t="str">
        <f t="shared" si="311"/>
        <v/>
      </c>
      <c r="AB242" s="1062"/>
    </row>
    <row r="243" spans="1:28" ht="13.9" customHeight="1" x14ac:dyDescent="0.25">
      <c r="A243" s="846">
        <f>Chem!A243</f>
        <v>241</v>
      </c>
      <c r="B243" s="855" t="str">
        <f>Chem!B243</f>
        <v>Diesel range hydrocarbons, fresh</v>
      </c>
      <c r="C243" s="397" t="s">
        <v>232</v>
      </c>
      <c r="D243" s="398" t="s">
        <v>232</v>
      </c>
      <c r="E243" s="398" t="s">
        <v>232</v>
      </c>
      <c r="F243" s="398" t="str">
        <f t="shared" si="296"/>
        <v>na</v>
      </c>
      <c r="G243" s="411">
        <f>'GW-Eq'!G243</f>
        <v>500</v>
      </c>
      <c r="H243" s="411" t="str">
        <f t="shared" si="297"/>
        <v>na</v>
      </c>
      <c r="I243" s="411" t="str">
        <f t="shared" si="298"/>
        <v>na</v>
      </c>
      <c r="J243" s="403">
        <f t="shared" si="299"/>
        <v>500</v>
      </c>
      <c r="K243" s="275" t="str">
        <f>'GW-Eq'!H243</f>
        <v>na</v>
      </c>
      <c r="L243" s="275" t="str">
        <f t="shared" si="300"/>
        <v>na</v>
      </c>
      <c r="M243" s="275" t="str">
        <f t="shared" si="301"/>
        <v>na</v>
      </c>
      <c r="N243" s="275" t="str">
        <f t="shared" si="302"/>
        <v>na</v>
      </c>
      <c r="O243" s="330">
        <f t="shared" si="251"/>
        <v>500</v>
      </c>
      <c r="P243" s="2530" t="str">
        <f>VI!F243</f>
        <v>na</v>
      </c>
      <c r="R243" s="264">
        <f t="shared" si="303"/>
        <v>500</v>
      </c>
      <c r="S243" s="236" t="str">
        <f t="shared" si="304"/>
        <v/>
      </c>
      <c r="T243" s="236" t="str">
        <f t="shared" si="305"/>
        <v/>
      </c>
      <c r="U243" s="236" t="str">
        <f t="shared" si="306"/>
        <v/>
      </c>
      <c r="V243" s="236" t="str">
        <f t="shared" si="307"/>
        <v>X</v>
      </c>
      <c r="W243" s="236" t="str">
        <f t="shared" si="308"/>
        <v/>
      </c>
      <c r="X243" s="236" t="str">
        <f t="shared" si="309"/>
        <v/>
      </c>
      <c r="Y243" s="236" t="str">
        <f t="shared" si="310"/>
        <v/>
      </c>
      <c r="Z243" s="235" t="str">
        <f t="shared" si="311"/>
        <v/>
      </c>
      <c r="AB243" s="1062"/>
    </row>
    <row r="244" spans="1:28" ht="13.9" customHeight="1" x14ac:dyDescent="0.25">
      <c r="A244" s="846">
        <f>Chem!A244</f>
        <v>242</v>
      </c>
      <c r="B244" s="855" t="str">
        <f>Chem!B244</f>
        <v>Diesel range hydrocarbons, weathered</v>
      </c>
      <c r="C244" s="397" t="s">
        <v>232</v>
      </c>
      <c r="D244" s="398" t="s">
        <v>232</v>
      </c>
      <c r="E244" s="398" t="s">
        <v>232</v>
      </c>
      <c r="F244" s="398" t="str">
        <f t="shared" si="296"/>
        <v>na</v>
      </c>
      <c r="G244" s="411">
        <f>'GW-Eq'!G244</f>
        <v>500</v>
      </c>
      <c r="H244" s="411" t="str">
        <f t="shared" si="297"/>
        <v>na</v>
      </c>
      <c r="I244" s="411" t="str">
        <f t="shared" ref="I244" si="316">IF(H244="na","na",IF(H244&gt;1,"YES","no"))</f>
        <v>na</v>
      </c>
      <c r="J244" s="403">
        <f t="shared" ref="J244" si="317">IF(I244="YES",G244,IF(ISNUMBER(F244),F244,G244))</f>
        <v>500</v>
      </c>
      <c r="K244" s="275" t="str">
        <f>'GW-Eq'!H244</f>
        <v>na</v>
      </c>
      <c r="L244" s="275" t="str">
        <f t="shared" si="300"/>
        <v>na</v>
      </c>
      <c r="M244" s="275" t="str">
        <f t="shared" ref="M244" si="318">IF(L244="na","na",IF(L244&gt;10,"YES","no"))</f>
        <v>na</v>
      </c>
      <c r="N244" s="275" t="str">
        <f t="shared" ref="N244" si="319">IF(M244="YES",10*K244,IF(M244="no",F244,K244))</f>
        <v>na</v>
      </c>
      <c r="O244" s="330">
        <f t="shared" si="251"/>
        <v>500</v>
      </c>
      <c r="P244" s="2530" t="str">
        <f>VI!F244</f>
        <v>na</v>
      </c>
      <c r="R244" s="264">
        <f t="shared" si="303"/>
        <v>500</v>
      </c>
      <c r="S244" s="236" t="str">
        <f t="shared" si="304"/>
        <v/>
      </c>
      <c r="T244" s="236" t="str">
        <f t="shared" si="305"/>
        <v/>
      </c>
      <c r="U244" s="236" t="str">
        <f t="shared" si="306"/>
        <v/>
      </c>
      <c r="V244" s="236" t="str">
        <f t="shared" si="307"/>
        <v>X</v>
      </c>
      <c r="W244" s="236" t="str">
        <f t="shared" si="308"/>
        <v/>
      </c>
      <c r="X244" s="236" t="str">
        <f t="shared" si="309"/>
        <v/>
      </c>
      <c r="Y244" s="236" t="str">
        <f t="shared" si="310"/>
        <v/>
      </c>
      <c r="Z244" s="235" t="str">
        <f t="shared" si="311"/>
        <v/>
      </c>
      <c r="AB244" s="1062"/>
    </row>
    <row r="245" spans="1:28" ht="13.9" customHeight="1" x14ac:dyDescent="0.25">
      <c r="A245" s="846">
        <f>Chem!A245</f>
        <v>243</v>
      </c>
      <c r="B245" s="855" t="str">
        <f>Chem!B245</f>
        <v>Oil range hydrocarbons</v>
      </c>
      <c r="C245" s="547" t="s">
        <v>232</v>
      </c>
      <c r="D245" s="548" t="s">
        <v>232</v>
      </c>
      <c r="E245" s="548" t="s">
        <v>232</v>
      </c>
      <c r="F245" s="548" t="str">
        <f t="shared" si="296"/>
        <v>na</v>
      </c>
      <c r="G245" s="549">
        <f>'GW-Eq'!G245</f>
        <v>500</v>
      </c>
      <c r="H245" s="549" t="str">
        <f t="shared" si="297"/>
        <v>na</v>
      </c>
      <c r="I245" s="549" t="str">
        <f t="shared" si="298"/>
        <v>na</v>
      </c>
      <c r="J245" s="406">
        <f t="shared" si="299"/>
        <v>500</v>
      </c>
      <c r="K245" s="275" t="str">
        <f>'GW-Eq'!H245</f>
        <v>na</v>
      </c>
      <c r="L245" s="275" t="str">
        <f t="shared" si="300"/>
        <v>na</v>
      </c>
      <c r="M245" s="275" t="str">
        <f t="shared" si="301"/>
        <v>na</v>
      </c>
      <c r="N245" s="275" t="str">
        <f t="shared" si="302"/>
        <v>na</v>
      </c>
      <c r="O245" s="300">
        <f t="shared" si="251"/>
        <v>500</v>
      </c>
      <c r="P245" s="2531" t="str">
        <f>VI!F245</f>
        <v>na</v>
      </c>
      <c r="R245" s="264">
        <f t="shared" si="303"/>
        <v>500</v>
      </c>
      <c r="S245" s="236" t="str">
        <f t="shared" si="304"/>
        <v/>
      </c>
      <c r="T245" s="236" t="str">
        <f t="shared" si="305"/>
        <v/>
      </c>
      <c r="U245" s="236" t="str">
        <f t="shared" si="306"/>
        <v/>
      </c>
      <c r="V245" s="236" t="str">
        <f t="shared" si="307"/>
        <v>X</v>
      </c>
      <c r="W245" s="236" t="str">
        <f t="shared" si="308"/>
        <v/>
      </c>
      <c r="X245" s="236" t="str">
        <f t="shared" si="309"/>
        <v/>
      </c>
      <c r="Y245" s="236" t="str">
        <f t="shared" si="310"/>
        <v/>
      </c>
      <c r="Z245" s="235" t="str">
        <f t="shared" si="311"/>
        <v/>
      </c>
      <c r="AB245" s="1062"/>
    </row>
    <row r="246" spans="1:28" ht="13.9" customHeight="1" x14ac:dyDescent="0.25">
      <c r="A246" s="1661">
        <f>Chem!A246</f>
        <v>244</v>
      </c>
      <c r="B246" s="855" t="str">
        <f>Chem!B246</f>
        <v>Total diesel &amp; oil range hydrocarbons</v>
      </c>
      <c r="C246" s="547" t="s">
        <v>232</v>
      </c>
      <c r="D246" s="548" t="s">
        <v>232</v>
      </c>
      <c r="E246" s="548" t="s">
        <v>232</v>
      </c>
      <c r="F246" s="548" t="str">
        <f t="shared" si="296"/>
        <v>na</v>
      </c>
      <c r="G246" s="549">
        <f>'GW-Eq'!G246</f>
        <v>500</v>
      </c>
      <c r="H246" s="549" t="str">
        <f t="shared" si="297"/>
        <v>na</v>
      </c>
      <c r="I246" s="549" t="str">
        <f t="shared" ref="I246" si="320">IF(H246="na","na",IF(H246&gt;1,"YES","no"))</f>
        <v>na</v>
      </c>
      <c r="J246" s="543">
        <f t="shared" ref="J246" si="321">IF(I246="YES",G246,IF(ISNUMBER(F246),F246,G246))</f>
        <v>500</v>
      </c>
      <c r="K246" s="1607" t="str">
        <f>'GW-Eq'!H246</f>
        <v>na</v>
      </c>
      <c r="L246" s="1607" t="str">
        <f t="shared" si="300"/>
        <v>na</v>
      </c>
      <c r="M246" s="1607" t="str">
        <f t="shared" ref="M246" si="322">IF(L246="na","na",IF(L246&gt;10,"YES","no"))</f>
        <v>na</v>
      </c>
      <c r="N246" s="1607" t="str">
        <f t="shared" ref="N246" si="323">IF(M246="YES",10*K246,IF(M246="no",F246,K246))</f>
        <v>na</v>
      </c>
      <c r="O246" s="355">
        <f t="shared" si="251"/>
        <v>500</v>
      </c>
      <c r="P246" s="2531" t="str">
        <f>VI!F246</f>
        <v>na</v>
      </c>
      <c r="R246" s="264">
        <f t="shared" si="303"/>
        <v>500</v>
      </c>
      <c r="S246" s="236" t="str">
        <f t="shared" si="304"/>
        <v/>
      </c>
      <c r="T246" s="236" t="str">
        <f t="shared" si="305"/>
        <v/>
      </c>
      <c r="U246" s="236" t="str">
        <f t="shared" si="306"/>
        <v/>
      </c>
      <c r="V246" s="236" t="str">
        <f t="shared" si="307"/>
        <v>X</v>
      </c>
      <c r="W246" s="236" t="str">
        <f t="shared" si="308"/>
        <v/>
      </c>
      <c r="X246" s="236" t="str">
        <f t="shared" si="309"/>
        <v/>
      </c>
      <c r="Y246" s="236" t="str">
        <f t="shared" si="310"/>
        <v/>
      </c>
      <c r="Z246" s="235" t="str">
        <f t="shared" si="311"/>
        <v/>
      </c>
      <c r="AB246" s="1062"/>
    </row>
    <row r="247" spans="1:28" ht="13.9" customHeight="1" x14ac:dyDescent="0.25">
      <c r="A247" s="1197">
        <f>Chem!A247</f>
        <v>245</v>
      </c>
      <c r="B247" s="897" t="str">
        <f>Chem!B247</f>
        <v>Pesticides</v>
      </c>
      <c r="C247" s="297"/>
      <c r="D247" s="297"/>
      <c r="E247" s="297"/>
      <c r="F247" s="297"/>
      <c r="G247" s="297"/>
      <c r="H247" s="297"/>
      <c r="I247" s="2347"/>
      <c r="J247" s="2348"/>
      <c r="K247" s="297"/>
      <c r="L247" s="297"/>
      <c r="M247" s="2347"/>
      <c r="N247" s="297"/>
      <c r="O247" s="2348"/>
      <c r="P247" s="2366"/>
      <c r="R247" s="258" t="s">
        <v>8</v>
      </c>
      <c r="S247" s="127"/>
      <c r="T247" s="127"/>
      <c r="U247" s="127"/>
      <c r="V247" s="127"/>
      <c r="W247" s="127"/>
      <c r="X247" s="127"/>
      <c r="Y247" s="127"/>
      <c r="Z247" s="2364"/>
      <c r="AB247" s="1063"/>
    </row>
    <row r="248" spans="1:28" ht="13.9" customHeight="1" x14ac:dyDescent="0.25">
      <c r="A248" s="846">
        <f>Chem!A248</f>
        <v>246</v>
      </c>
      <c r="B248" s="855" t="str">
        <f>Chem!B248</f>
        <v>Aldrin</v>
      </c>
      <c r="C248" s="343" t="s">
        <v>232</v>
      </c>
      <c r="D248" s="384" t="s">
        <v>232</v>
      </c>
      <c r="E248" s="384" t="s">
        <v>232</v>
      </c>
      <c r="F248" s="384" t="str">
        <f t="shared" ref="F248:F291" si="324">IF(C248="na",IF(D248="na",IF(E248="na","na",MIN(C248:E248)),MIN(C248:E248)),MIN(C248:E248))</f>
        <v>na</v>
      </c>
      <c r="G248" s="400">
        <f>'GW-Eq'!G248</f>
        <v>0.24000000000000002</v>
      </c>
      <c r="H248" s="400" t="str">
        <f t="shared" ref="H248:H291" si="325">IF(F248="na","na",IF(G248="na","na",F248/G248))</f>
        <v>na</v>
      </c>
      <c r="I248" s="400" t="str">
        <f t="shared" ref="I248:I291" si="326">IF(H248="na","na",IF(H248&gt;1,"YES","no"))</f>
        <v>na</v>
      </c>
      <c r="J248" s="403">
        <f t="shared" ref="J248:J291" si="327">IF(I248="YES",G248,IF(ISNUMBER(F248),F248,G248))</f>
        <v>0.24000000000000002</v>
      </c>
      <c r="K248" s="271">
        <f>'GW-Eq'!H248</f>
        <v>2.5735294117647054E-3</v>
      </c>
      <c r="L248" s="271" t="str">
        <f t="shared" ref="L248:L291" si="328">IF(F248="na","na",IF(K248="na","na",F248/K248))</f>
        <v>na</v>
      </c>
      <c r="M248" s="271" t="str">
        <f t="shared" ref="M248:M291" si="329">IF(L248="na","na",IF(L248&gt;10,"YES","no"))</f>
        <v>na</v>
      </c>
      <c r="N248" s="271">
        <f t="shared" ref="N248:N291" si="330">IF(M248="YES",10*K248,IF(M248="no",F248,K248))</f>
        <v>2.5735294117647054E-3</v>
      </c>
      <c r="O248" s="330">
        <f t="shared" si="251"/>
        <v>2.5735294117647054E-3</v>
      </c>
      <c r="P248" s="2522" t="str">
        <f>VI!F248</f>
        <v>na</v>
      </c>
      <c r="R248" s="264">
        <f t="shared" ref="R248:R280" si="331">IF(MIN(O248,P248)=0,"na",MIN(O248,P248))</f>
        <v>2.5735294117647054E-3</v>
      </c>
      <c r="S248" s="236" t="str">
        <f t="shared" ref="S248:S280" si="332">IF($R248="na","",IF($R248=$C248,"X",""))</f>
        <v/>
      </c>
      <c r="T248" s="236" t="str">
        <f t="shared" ref="T248:T280" si="333">IF($R248="na","",IF($R248=$D248,"X",""))</f>
        <v/>
      </c>
      <c r="U248" s="236" t="str">
        <f t="shared" ref="U248:U280" si="334">IF($R248="na","",IF($R248=$E248,"X",""))</f>
        <v/>
      </c>
      <c r="V248" s="236" t="str">
        <f t="shared" ref="V248:V280" si="335">IF($R248="na","",IF(AND($F248="na",$R248=$J248),"X",""))</f>
        <v/>
      </c>
      <c r="W248" s="236" t="str">
        <f t="shared" ref="W248:W280" si="336">IF($R248="na","",IF(AND($F248="na",$R248=$N248),"X",""))</f>
        <v>X</v>
      </c>
      <c r="X248" s="236" t="str">
        <f t="shared" ref="X248:X280" si="337">IF(OR($R248="na",$J248="na"),"",IF(AND(ISNUMBER($F248),I248="YES",$R248=$J248),"X",""))</f>
        <v/>
      </c>
      <c r="Y248" s="236" t="str">
        <f t="shared" ref="Y248:Y280" si="338">IF(OR($R248="na",$N248="na"),"",IF(AND(ISNUMBER($F248),$R248=10*$K248),"X",""))</f>
        <v/>
      </c>
      <c r="Z248" s="235" t="str">
        <f t="shared" ref="Z248:Z280" si="339">IF($R248="na","",IF($R248=$P248,"X",""))</f>
        <v/>
      </c>
      <c r="AB248" s="1062"/>
    </row>
    <row r="249" spans="1:28" ht="13.9" customHeight="1" x14ac:dyDescent="0.25">
      <c r="A249" s="846">
        <f>Chem!A249</f>
        <v>247</v>
      </c>
      <c r="B249" s="855" t="str">
        <f>Chem!B249</f>
        <v>alpha-BHC (alpha-HCH)</v>
      </c>
      <c r="C249" s="343" t="s">
        <v>232</v>
      </c>
      <c r="D249" s="384" t="s">
        <v>232</v>
      </c>
      <c r="E249" s="384" t="s">
        <v>232</v>
      </c>
      <c r="F249" s="384" t="str">
        <f t="shared" si="324"/>
        <v>na</v>
      </c>
      <c r="G249" s="400">
        <f>'GW-Eq'!G249</f>
        <v>14.4</v>
      </c>
      <c r="H249" s="400" t="str">
        <f t="shared" si="325"/>
        <v>na</v>
      </c>
      <c r="I249" s="400" t="str">
        <f t="shared" si="326"/>
        <v>na</v>
      </c>
      <c r="J249" s="403">
        <f t="shared" si="327"/>
        <v>14.4</v>
      </c>
      <c r="K249" s="271">
        <f>'GW-Eq'!H249</f>
        <v>1.3888888888888886E-2</v>
      </c>
      <c r="L249" s="271" t="str">
        <f t="shared" si="328"/>
        <v>na</v>
      </c>
      <c r="M249" s="271" t="str">
        <f t="shared" si="329"/>
        <v>na</v>
      </c>
      <c r="N249" s="271">
        <f t="shared" si="330"/>
        <v>1.3888888888888886E-2</v>
      </c>
      <c r="O249" s="330">
        <f t="shared" si="251"/>
        <v>1.3888888888888886E-2</v>
      </c>
      <c r="P249" s="2523" t="str">
        <f>VI!F249</f>
        <v>na</v>
      </c>
      <c r="R249" s="264">
        <f t="shared" si="331"/>
        <v>1.3888888888888886E-2</v>
      </c>
      <c r="S249" s="236" t="str">
        <f t="shared" si="332"/>
        <v/>
      </c>
      <c r="T249" s="236" t="str">
        <f t="shared" si="333"/>
        <v/>
      </c>
      <c r="U249" s="236" t="str">
        <f t="shared" si="334"/>
        <v/>
      </c>
      <c r="V249" s="236" t="str">
        <f t="shared" si="335"/>
        <v/>
      </c>
      <c r="W249" s="236" t="str">
        <f t="shared" si="336"/>
        <v>X</v>
      </c>
      <c r="X249" s="236" t="str">
        <f t="shared" si="337"/>
        <v/>
      </c>
      <c r="Y249" s="236" t="str">
        <f t="shared" si="338"/>
        <v/>
      </c>
      <c r="Z249" s="235" t="str">
        <f t="shared" si="339"/>
        <v/>
      </c>
      <c r="AB249" s="1062"/>
    </row>
    <row r="250" spans="1:28" ht="13.9" customHeight="1" x14ac:dyDescent="0.25">
      <c r="A250" s="846">
        <f>Chem!A250</f>
        <v>248</v>
      </c>
      <c r="B250" s="855" t="str">
        <f>Chem!B250</f>
        <v>beta-BHC (beta-HCH)</v>
      </c>
      <c r="C250" s="343" t="s">
        <v>232</v>
      </c>
      <c r="D250" s="384" t="s">
        <v>232</v>
      </c>
      <c r="E250" s="384" t="s">
        <v>232</v>
      </c>
      <c r="F250" s="384" t="str">
        <f t="shared" si="324"/>
        <v>na</v>
      </c>
      <c r="G250" s="400" t="str">
        <f>'GW-Eq'!G250</f>
        <v>na</v>
      </c>
      <c r="H250" s="400" t="str">
        <f t="shared" si="325"/>
        <v>na</v>
      </c>
      <c r="I250" s="400" t="str">
        <f t="shared" si="326"/>
        <v>na</v>
      </c>
      <c r="J250" s="403" t="str">
        <f t="shared" si="327"/>
        <v>na</v>
      </c>
      <c r="K250" s="271">
        <f>'GW-Eq'!H250</f>
        <v>4.8611111111111098E-2</v>
      </c>
      <c r="L250" s="271" t="str">
        <f t="shared" si="328"/>
        <v>na</v>
      </c>
      <c r="M250" s="271" t="str">
        <f t="shared" si="329"/>
        <v>na</v>
      </c>
      <c r="N250" s="271">
        <f t="shared" si="330"/>
        <v>4.8611111111111098E-2</v>
      </c>
      <c r="O250" s="330">
        <f t="shared" si="251"/>
        <v>4.8611111111111098E-2</v>
      </c>
      <c r="P250" s="2523" t="str">
        <f>VI!F250</f>
        <v>na</v>
      </c>
      <c r="R250" s="264">
        <f t="shared" si="331"/>
        <v>4.8611111111111098E-2</v>
      </c>
      <c r="S250" s="236" t="str">
        <f t="shared" si="332"/>
        <v/>
      </c>
      <c r="T250" s="236" t="str">
        <f t="shared" si="333"/>
        <v/>
      </c>
      <c r="U250" s="236" t="str">
        <f t="shared" si="334"/>
        <v/>
      </c>
      <c r="V250" s="236" t="str">
        <f t="shared" si="335"/>
        <v/>
      </c>
      <c r="W250" s="236" t="str">
        <f t="shared" si="336"/>
        <v>X</v>
      </c>
      <c r="X250" s="236" t="str">
        <f t="shared" si="337"/>
        <v/>
      </c>
      <c r="Y250" s="236" t="str">
        <f t="shared" si="338"/>
        <v/>
      </c>
      <c r="Z250" s="235" t="str">
        <f t="shared" si="339"/>
        <v/>
      </c>
      <c r="AB250" s="1062"/>
    </row>
    <row r="251" spans="1:28" ht="13.9" customHeight="1" x14ac:dyDescent="0.25">
      <c r="A251" s="846">
        <f>Chem!A251</f>
        <v>249</v>
      </c>
      <c r="B251" s="855" t="str">
        <f>Chem!B251</f>
        <v>delta-BHC (delta-HCH)</v>
      </c>
      <c r="C251" s="343" t="s">
        <v>232</v>
      </c>
      <c r="D251" s="384" t="s">
        <v>232</v>
      </c>
      <c r="E251" s="384" t="s">
        <v>232</v>
      </c>
      <c r="F251" s="384" t="str">
        <f t="shared" si="324"/>
        <v>na</v>
      </c>
      <c r="G251" s="400">
        <f>'GW-Eq'!G251</f>
        <v>9.5999999999999992E-4</v>
      </c>
      <c r="H251" s="400" t="str">
        <f t="shared" si="325"/>
        <v>na</v>
      </c>
      <c r="I251" s="400" t="str">
        <f t="shared" si="326"/>
        <v>na</v>
      </c>
      <c r="J251" s="403">
        <f t="shared" si="327"/>
        <v>9.5999999999999992E-4</v>
      </c>
      <c r="K251" s="271" t="str">
        <f>'GW-Eq'!H251</f>
        <v>na</v>
      </c>
      <c r="L251" s="271" t="str">
        <f t="shared" si="328"/>
        <v>na</v>
      </c>
      <c r="M251" s="271" t="str">
        <f t="shared" si="329"/>
        <v>na</v>
      </c>
      <c r="N251" s="271" t="str">
        <f t="shared" si="330"/>
        <v>na</v>
      </c>
      <c r="O251" s="330">
        <f t="shared" si="251"/>
        <v>9.5999999999999992E-4</v>
      </c>
      <c r="P251" s="2523" t="str">
        <f>VI!F251</f>
        <v>na</v>
      </c>
      <c r="R251" s="264">
        <f t="shared" si="331"/>
        <v>9.5999999999999992E-4</v>
      </c>
      <c r="S251" s="236" t="str">
        <f t="shared" si="332"/>
        <v/>
      </c>
      <c r="T251" s="236" t="str">
        <f t="shared" si="333"/>
        <v/>
      </c>
      <c r="U251" s="236" t="str">
        <f t="shared" si="334"/>
        <v/>
      </c>
      <c r="V251" s="236" t="str">
        <f t="shared" si="335"/>
        <v>X</v>
      </c>
      <c r="W251" s="236" t="str">
        <f t="shared" si="336"/>
        <v/>
      </c>
      <c r="X251" s="236" t="str">
        <f t="shared" si="337"/>
        <v/>
      </c>
      <c r="Y251" s="236" t="str">
        <f t="shared" si="338"/>
        <v/>
      </c>
      <c r="Z251" s="235" t="str">
        <f t="shared" si="339"/>
        <v/>
      </c>
      <c r="AB251" s="1062"/>
    </row>
    <row r="252" spans="1:28" ht="13.9" customHeight="1" x14ac:dyDescent="0.25">
      <c r="A252" s="846">
        <f>Chem!A252</f>
        <v>250</v>
      </c>
      <c r="B252" s="855" t="str">
        <f>Chem!B252</f>
        <v>Carbaryl</v>
      </c>
      <c r="C252" s="343" t="s">
        <v>232</v>
      </c>
      <c r="D252" s="384" t="s">
        <v>232</v>
      </c>
      <c r="E252" s="384" t="s">
        <v>232</v>
      </c>
      <c r="F252" s="384" t="s">
        <v>232</v>
      </c>
      <c r="G252" s="400">
        <f>'GW-Eq'!G252</f>
        <v>1600</v>
      </c>
      <c r="H252" s="400" t="str">
        <f t="shared" ref="H252" si="340">IF(F252="na","na",IF(G252="na","na",F252/G252))</f>
        <v>na</v>
      </c>
      <c r="I252" s="400" t="str">
        <f t="shared" ref="I252" si="341">IF(H252="na","na",IF(H252&gt;1,"YES","no"))</f>
        <v>na</v>
      </c>
      <c r="J252" s="403">
        <f t="shared" ref="J252" si="342">IF(I252="YES",G252,IF(ISNUMBER(F252),F252,G252))</f>
        <v>1600</v>
      </c>
      <c r="K252" s="271" t="str">
        <f>'GW-Eq'!H252</f>
        <v>na</v>
      </c>
      <c r="L252" s="271" t="str">
        <f t="shared" ref="L252" si="343">IF(F252="na","na",IF(K252="na","na",F252/K252))</f>
        <v>na</v>
      </c>
      <c r="M252" s="271" t="str">
        <f t="shared" ref="M252" si="344">IF(L252="na","na",IF(L252&gt;10,"YES","no"))</f>
        <v>na</v>
      </c>
      <c r="N252" s="271" t="str">
        <f t="shared" ref="N252" si="345">IF(M252="YES",10*K252,IF(M252="no",F252,K252))</f>
        <v>na</v>
      </c>
      <c r="O252" s="330">
        <f t="shared" si="251"/>
        <v>1600</v>
      </c>
      <c r="P252" s="2523" t="str">
        <f>VI!F252</f>
        <v>na</v>
      </c>
      <c r="R252" s="264">
        <f t="shared" si="331"/>
        <v>1600</v>
      </c>
      <c r="S252" s="236" t="str">
        <f t="shared" si="332"/>
        <v/>
      </c>
      <c r="T252" s="236" t="str">
        <f t="shared" si="333"/>
        <v/>
      </c>
      <c r="U252" s="236" t="str">
        <f t="shared" si="334"/>
        <v/>
      </c>
      <c r="V252" s="236" t="str">
        <f t="shared" si="335"/>
        <v>X</v>
      </c>
      <c r="W252" s="236" t="str">
        <f t="shared" si="336"/>
        <v/>
      </c>
      <c r="X252" s="236" t="str">
        <f t="shared" si="337"/>
        <v/>
      </c>
      <c r="Y252" s="236" t="str">
        <f t="shared" si="338"/>
        <v/>
      </c>
      <c r="Z252" s="235" t="str">
        <f t="shared" si="339"/>
        <v/>
      </c>
      <c r="AB252" s="1062"/>
    </row>
    <row r="253" spans="1:28" ht="13.9" customHeight="1" x14ac:dyDescent="0.25">
      <c r="A253" s="846">
        <f>Chem!A253</f>
        <v>251</v>
      </c>
      <c r="B253" s="855" t="str">
        <f>Chem!B253</f>
        <v>cis-Chlordane (alpha)</v>
      </c>
      <c r="C253" s="343" t="s">
        <v>232</v>
      </c>
      <c r="D253" s="384" t="s">
        <v>232</v>
      </c>
      <c r="E253" s="384" t="s">
        <v>232</v>
      </c>
      <c r="F253" s="384" t="str">
        <f t="shared" si="324"/>
        <v>na</v>
      </c>
      <c r="G253" s="400">
        <f>'GW-Eq'!G253</f>
        <v>4</v>
      </c>
      <c r="H253" s="400" t="str">
        <f t="shared" si="325"/>
        <v>na</v>
      </c>
      <c r="I253" s="400" t="str">
        <f t="shared" si="326"/>
        <v>na</v>
      </c>
      <c r="J253" s="403">
        <f t="shared" si="327"/>
        <v>4</v>
      </c>
      <c r="K253" s="271" t="str">
        <f>'GW-Eq'!H253</f>
        <v>na</v>
      </c>
      <c r="L253" s="271" t="str">
        <f t="shared" si="328"/>
        <v>na</v>
      </c>
      <c r="M253" s="271" t="str">
        <f t="shared" si="329"/>
        <v>na</v>
      </c>
      <c r="N253" s="271" t="str">
        <f t="shared" si="330"/>
        <v>na</v>
      </c>
      <c r="O253" s="330">
        <f t="shared" si="251"/>
        <v>4</v>
      </c>
      <c r="P253" s="2523" t="str">
        <f>VI!F253</f>
        <v>na</v>
      </c>
      <c r="R253" s="264">
        <f t="shared" si="331"/>
        <v>4</v>
      </c>
      <c r="S253" s="236" t="str">
        <f t="shared" si="332"/>
        <v/>
      </c>
      <c r="T253" s="236" t="str">
        <f t="shared" si="333"/>
        <v/>
      </c>
      <c r="U253" s="236" t="str">
        <f t="shared" si="334"/>
        <v/>
      </c>
      <c r="V253" s="236" t="str">
        <f t="shared" si="335"/>
        <v>X</v>
      </c>
      <c r="W253" s="236" t="str">
        <f t="shared" si="336"/>
        <v/>
      </c>
      <c r="X253" s="236" t="str">
        <f t="shared" si="337"/>
        <v/>
      </c>
      <c r="Y253" s="236" t="str">
        <f t="shared" si="338"/>
        <v/>
      </c>
      <c r="Z253" s="235" t="str">
        <f t="shared" si="339"/>
        <v/>
      </c>
      <c r="AB253" s="1062"/>
    </row>
    <row r="254" spans="1:28" ht="13.9" customHeight="1" x14ac:dyDescent="0.25">
      <c r="A254" s="846">
        <f>Chem!A254</f>
        <v>252</v>
      </c>
      <c r="B254" s="855" t="str">
        <f>Chem!B254</f>
        <v>trans-Chlordane (gamma)</v>
      </c>
      <c r="C254" s="343" t="s">
        <v>232</v>
      </c>
      <c r="D254" s="384" t="s">
        <v>232</v>
      </c>
      <c r="E254" s="384" t="s">
        <v>232</v>
      </c>
      <c r="F254" s="384" t="str">
        <f t="shared" si="324"/>
        <v>na</v>
      </c>
      <c r="G254" s="400">
        <f>'GW-Eq'!G254</f>
        <v>4</v>
      </c>
      <c r="H254" s="400" t="str">
        <f t="shared" si="325"/>
        <v>na</v>
      </c>
      <c r="I254" s="400" t="str">
        <f t="shared" si="326"/>
        <v>na</v>
      </c>
      <c r="J254" s="403">
        <f t="shared" si="327"/>
        <v>4</v>
      </c>
      <c r="K254" s="271" t="str">
        <f>'GW-Eq'!H254</f>
        <v>na</v>
      </c>
      <c r="L254" s="271" t="str">
        <f t="shared" si="328"/>
        <v>na</v>
      </c>
      <c r="M254" s="271" t="str">
        <f t="shared" si="329"/>
        <v>na</v>
      </c>
      <c r="N254" s="271" t="str">
        <f t="shared" si="330"/>
        <v>na</v>
      </c>
      <c r="O254" s="330">
        <f t="shared" si="251"/>
        <v>4</v>
      </c>
      <c r="P254" s="2523" t="str">
        <f>VI!F254</f>
        <v>na</v>
      </c>
      <c r="R254" s="264">
        <f t="shared" si="331"/>
        <v>4</v>
      </c>
      <c r="S254" s="236" t="str">
        <f t="shared" si="332"/>
        <v/>
      </c>
      <c r="T254" s="236" t="str">
        <f t="shared" si="333"/>
        <v/>
      </c>
      <c r="U254" s="236" t="str">
        <f t="shared" si="334"/>
        <v/>
      </c>
      <c r="V254" s="236" t="str">
        <f t="shared" si="335"/>
        <v>X</v>
      </c>
      <c r="W254" s="236" t="str">
        <f t="shared" si="336"/>
        <v/>
      </c>
      <c r="X254" s="236" t="str">
        <f t="shared" si="337"/>
        <v/>
      </c>
      <c r="Y254" s="236" t="str">
        <f t="shared" si="338"/>
        <v/>
      </c>
      <c r="Z254" s="235" t="str">
        <f t="shared" si="339"/>
        <v/>
      </c>
      <c r="AB254" s="1062"/>
    </row>
    <row r="255" spans="1:28" ht="13.9" customHeight="1" x14ac:dyDescent="0.25">
      <c r="A255" s="846">
        <f>Chem!A255</f>
        <v>253</v>
      </c>
      <c r="B255" s="855" t="str">
        <f>Chem!B255</f>
        <v>Chlordane</v>
      </c>
      <c r="C255" s="343">
        <v>2</v>
      </c>
      <c r="D255" s="384" t="s">
        <v>232</v>
      </c>
      <c r="E255" s="343">
        <v>2</v>
      </c>
      <c r="F255" s="384">
        <f t="shared" si="324"/>
        <v>2</v>
      </c>
      <c r="G255" s="400">
        <f>'GW-Eq'!G255</f>
        <v>4</v>
      </c>
      <c r="H255" s="400">
        <f t="shared" si="325"/>
        <v>0.5</v>
      </c>
      <c r="I255" s="400" t="str">
        <f t="shared" si="326"/>
        <v>no</v>
      </c>
      <c r="J255" s="403">
        <f t="shared" si="327"/>
        <v>2</v>
      </c>
      <c r="K255" s="271">
        <f>'GW-Eq'!H255</f>
        <v>0.12499999999999999</v>
      </c>
      <c r="L255" s="271">
        <f t="shared" si="328"/>
        <v>16</v>
      </c>
      <c r="M255" s="271" t="str">
        <f t="shared" si="329"/>
        <v>YES</v>
      </c>
      <c r="N255" s="271">
        <f t="shared" si="330"/>
        <v>1.2499999999999998</v>
      </c>
      <c r="O255" s="330">
        <f t="shared" si="251"/>
        <v>1.2499999999999998</v>
      </c>
      <c r="P255" s="2523" t="str">
        <f>VI!F255</f>
        <v>na</v>
      </c>
      <c r="R255" s="264">
        <f t="shared" si="331"/>
        <v>1.2499999999999998</v>
      </c>
      <c r="S255" s="236" t="str">
        <f t="shared" si="332"/>
        <v/>
      </c>
      <c r="T255" s="236" t="str">
        <f t="shared" si="333"/>
        <v/>
      </c>
      <c r="U255" s="236" t="str">
        <f t="shared" si="334"/>
        <v/>
      </c>
      <c r="V255" s="236" t="str">
        <f t="shared" si="335"/>
        <v/>
      </c>
      <c r="W255" s="236" t="str">
        <f t="shared" si="336"/>
        <v/>
      </c>
      <c r="X255" s="236" t="str">
        <f t="shared" si="337"/>
        <v/>
      </c>
      <c r="Y255" s="236" t="str">
        <f t="shared" si="338"/>
        <v>X</v>
      </c>
      <c r="Z255" s="235" t="str">
        <f t="shared" si="339"/>
        <v/>
      </c>
      <c r="AB255" s="1062"/>
    </row>
    <row r="256" spans="1:28" ht="13.9" customHeight="1" x14ac:dyDescent="0.25">
      <c r="A256" s="846">
        <f>Chem!A256</f>
        <v>254</v>
      </c>
      <c r="B256" s="855" t="str">
        <f>Chem!B256</f>
        <v>Chlorpyrifos</v>
      </c>
      <c r="C256" s="343" t="s">
        <v>232</v>
      </c>
      <c r="D256" s="384" t="s">
        <v>232</v>
      </c>
      <c r="E256" s="384" t="s">
        <v>232</v>
      </c>
      <c r="F256" s="384" t="str">
        <f t="shared" si="324"/>
        <v>na</v>
      </c>
      <c r="G256" s="400">
        <f>'GW-Eq'!G256</f>
        <v>16</v>
      </c>
      <c r="H256" s="400" t="str">
        <f t="shared" si="325"/>
        <v>na</v>
      </c>
      <c r="I256" s="400" t="str">
        <f t="shared" si="326"/>
        <v>na</v>
      </c>
      <c r="J256" s="403">
        <f t="shared" si="327"/>
        <v>16</v>
      </c>
      <c r="K256" s="271" t="str">
        <f>'GW-Eq'!H256</f>
        <v>na</v>
      </c>
      <c r="L256" s="271" t="str">
        <f t="shared" si="328"/>
        <v>na</v>
      </c>
      <c r="M256" s="271" t="str">
        <f t="shared" si="329"/>
        <v>na</v>
      </c>
      <c r="N256" s="271" t="str">
        <f t="shared" si="330"/>
        <v>na</v>
      </c>
      <c r="O256" s="330">
        <f t="shared" si="251"/>
        <v>16</v>
      </c>
      <c r="P256" s="2523" t="str">
        <f>VI!F256</f>
        <v>na</v>
      </c>
      <c r="R256" s="264">
        <f t="shared" si="331"/>
        <v>16</v>
      </c>
      <c r="S256" s="236" t="str">
        <f t="shared" si="332"/>
        <v/>
      </c>
      <c r="T256" s="236" t="str">
        <f t="shared" si="333"/>
        <v/>
      </c>
      <c r="U256" s="236" t="str">
        <f t="shared" si="334"/>
        <v/>
      </c>
      <c r="V256" s="236" t="str">
        <f t="shared" si="335"/>
        <v>X</v>
      </c>
      <c r="W256" s="236" t="str">
        <f t="shared" si="336"/>
        <v/>
      </c>
      <c r="X256" s="236" t="str">
        <f t="shared" si="337"/>
        <v/>
      </c>
      <c r="Y256" s="236" t="str">
        <f t="shared" si="338"/>
        <v/>
      </c>
      <c r="Z256" s="235" t="str">
        <f t="shared" si="339"/>
        <v/>
      </c>
      <c r="AB256" s="1062"/>
    </row>
    <row r="257" spans="1:28" ht="13.9" customHeight="1" x14ac:dyDescent="0.25">
      <c r="A257" s="846">
        <f>Chem!A257</f>
        <v>255</v>
      </c>
      <c r="B257" s="855" t="str">
        <f>Chem!B257</f>
        <v>4,4'-DDD</v>
      </c>
      <c r="C257" s="343" t="s">
        <v>232</v>
      </c>
      <c r="D257" s="384" t="s">
        <v>232</v>
      </c>
      <c r="E257" s="384" t="s">
        <v>232</v>
      </c>
      <c r="F257" s="384" t="str">
        <f t="shared" si="324"/>
        <v>na</v>
      </c>
      <c r="G257" s="400">
        <f>'GW-Eq'!G257</f>
        <v>8</v>
      </c>
      <c r="H257" s="400" t="str">
        <f t="shared" si="325"/>
        <v>na</v>
      </c>
      <c r="I257" s="400" t="str">
        <f t="shared" si="326"/>
        <v>na</v>
      </c>
      <c r="J257" s="403">
        <f t="shared" si="327"/>
        <v>8</v>
      </c>
      <c r="K257" s="271">
        <f>'GW-Eq'!H257</f>
        <v>0.36458333333333326</v>
      </c>
      <c r="L257" s="271" t="str">
        <f t="shared" si="328"/>
        <v>na</v>
      </c>
      <c r="M257" s="271" t="str">
        <f t="shared" si="329"/>
        <v>na</v>
      </c>
      <c r="N257" s="271">
        <f t="shared" si="330"/>
        <v>0.36458333333333326</v>
      </c>
      <c r="O257" s="330">
        <f t="shared" si="251"/>
        <v>0.36458333333333326</v>
      </c>
      <c r="P257" s="2523" t="str">
        <f>VI!F257</f>
        <v>na</v>
      </c>
      <c r="R257" s="264">
        <f t="shared" si="331"/>
        <v>0.36458333333333326</v>
      </c>
      <c r="S257" s="236" t="str">
        <f t="shared" si="332"/>
        <v/>
      </c>
      <c r="T257" s="236" t="str">
        <f t="shared" si="333"/>
        <v/>
      </c>
      <c r="U257" s="236" t="str">
        <f t="shared" si="334"/>
        <v/>
      </c>
      <c r="V257" s="236" t="str">
        <f t="shared" si="335"/>
        <v/>
      </c>
      <c r="W257" s="236" t="str">
        <f t="shared" si="336"/>
        <v>X</v>
      </c>
      <c r="X257" s="236" t="str">
        <f t="shared" si="337"/>
        <v/>
      </c>
      <c r="Y257" s="236" t="str">
        <f t="shared" si="338"/>
        <v/>
      </c>
      <c r="Z257" s="235" t="str">
        <f t="shared" si="339"/>
        <v/>
      </c>
      <c r="AB257" s="1062"/>
    </row>
    <row r="258" spans="1:28" ht="13.9" customHeight="1" x14ac:dyDescent="0.25">
      <c r="A258" s="846">
        <f>Chem!A258</f>
        <v>256</v>
      </c>
      <c r="B258" s="855" t="str">
        <f>Chem!B258</f>
        <v>4,4'-DDE</v>
      </c>
      <c r="C258" s="343" t="s">
        <v>232</v>
      </c>
      <c r="D258" s="384" t="s">
        <v>232</v>
      </c>
      <c r="E258" s="384" t="s">
        <v>232</v>
      </c>
      <c r="F258" s="384" t="str">
        <f t="shared" si="324"/>
        <v>na</v>
      </c>
      <c r="G258" s="400">
        <f>'GW-Eq'!G258</f>
        <v>4</v>
      </c>
      <c r="H258" s="400" t="str">
        <f t="shared" si="325"/>
        <v>na</v>
      </c>
      <c r="I258" s="400" t="str">
        <f t="shared" si="326"/>
        <v>na</v>
      </c>
      <c r="J258" s="403">
        <f t="shared" si="327"/>
        <v>4</v>
      </c>
      <c r="K258" s="271">
        <f>'GW-Eq'!H258</f>
        <v>0.12867647058823525</v>
      </c>
      <c r="L258" s="271" t="str">
        <f t="shared" si="328"/>
        <v>na</v>
      </c>
      <c r="M258" s="271" t="str">
        <f t="shared" si="329"/>
        <v>na</v>
      </c>
      <c r="N258" s="271">
        <f t="shared" si="330"/>
        <v>0.12867647058823525</v>
      </c>
      <c r="O258" s="330">
        <f t="shared" si="251"/>
        <v>0.12867647058823525</v>
      </c>
      <c r="P258" s="2523" t="str">
        <f>VI!F258</f>
        <v>na</v>
      </c>
      <c r="R258" s="264">
        <f t="shared" si="331"/>
        <v>0.12867647058823525</v>
      </c>
      <c r="S258" s="236" t="str">
        <f t="shared" si="332"/>
        <v/>
      </c>
      <c r="T258" s="236" t="str">
        <f t="shared" si="333"/>
        <v/>
      </c>
      <c r="U258" s="236" t="str">
        <f t="shared" si="334"/>
        <v/>
      </c>
      <c r="V258" s="236" t="str">
        <f t="shared" si="335"/>
        <v/>
      </c>
      <c r="W258" s="236" t="str">
        <f t="shared" si="336"/>
        <v>X</v>
      </c>
      <c r="X258" s="236" t="str">
        <f t="shared" si="337"/>
        <v/>
      </c>
      <c r="Y258" s="236" t="str">
        <f t="shared" si="338"/>
        <v/>
      </c>
      <c r="Z258" s="235" t="str">
        <f t="shared" si="339"/>
        <v/>
      </c>
      <c r="AB258" s="1062"/>
    </row>
    <row r="259" spans="1:28" ht="13.9" customHeight="1" x14ac:dyDescent="0.25">
      <c r="A259" s="846">
        <f>Chem!A259</f>
        <v>257</v>
      </c>
      <c r="B259" s="855" t="str">
        <f>Chem!B259</f>
        <v>4,4'-DDT</v>
      </c>
      <c r="C259" s="343" t="s">
        <v>232</v>
      </c>
      <c r="D259" s="384" t="s">
        <v>232</v>
      </c>
      <c r="E259" s="384" t="s">
        <v>232</v>
      </c>
      <c r="F259" s="384" t="str">
        <f t="shared" si="324"/>
        <v>na</v>
      </c>
      <c r="G259" s="400">
        <f>'GW-Eq'!G259</f>
        <v>8</v>
      </c>
      <c r="H259" s="400" t="str">
        <f t="shared" si="325"/>
        <v>na</v>
      </c>
      <c r="I259" s="400" t="str">
        <f t="shared" si="326"/>
        <v>na</v>
      </c>
      <c r="J259" s="403">
        <f t="shared" si="327"/>
        <v>8</v>
      </c>
      <c r="K259" s="271">
        <f>'GW-Eq'!H259</f>
        <v>0.25735294117647051</v>
      </c>
      <c r="L259" s="271" t="str">
        <f t="shared" si="328"/>
        <v>na</v>
      </c>
      <c r="M259" s="271" t="str">
        <f t="shared" si="329"/>
        <v>na</v>
      </c>
      <c r="N259" s="271">
        <f t="shared" si="330"/>
        <v>0.25735294117647051</v>
      </c>
      <c r="O259" s="330">
        <f t="shared" si="251"/>
        <v>0.25735294117647051</v>
      </c>
      <c r="P259" s="2523" t="str">
        <f>VI!F259</f>
        <v>na</v>
      </c>
      <c r="R259" s="264">
        <f t="shared" si="331"/>
        <v>0.25735294117647051</v>
      </c>
      <c r="S259" s="236" t="str">
        <f t="shared" si="332"/>
        <v/>
      </c>
      <c r="T259" s="236" t="str">
        <f t="shared" si="333"/>
        <v/>
      </c>
      <c r="U259" s="236" t="str">
        <f t="shared" si="334"/>
        <v/>
      </c>
      <c r="V259" s="236" t="str">
        <f t="shared" si="335"/>
        <v/>
      </c>
      <c r="W259" s="236" t="str">
        <f t="shared" si="336"/>
        <v>X</v>
      </c>
      <c r="X259" s="236" t="str">
        <f t="shared" si="337"/>
        <v/>
      </c>
      <c r="Y259" s="236" t="str">
        <f t="shared" si="338"/>
        <v/>
      </c>
      <c r="Z259" s="235" t="str">
        <f t="shared" si="339"/>
        <v/>
      </c>
      <c r="AB259" s="1062"/>
    </row>
    <row r="260" spans="1:28" ht="13.9" customHeight="1" x14ac:dyDescent="0.25">
      <c r="A260" s="846">
        <f>Chem!A260</f>
        <v>258</v>
      </c>
      <c r="B260" s="855" t="str">
        <f>Chem!B260</f>
        <v xml:space="preserve">Total DDD </v>
      </c>
      <c r="C260" s="343" t="s">
        <v>232</v>
      </c>
      <c r="D260" s="384" t="s">
        <v>232</v>
      </c>
      <c r="E260" s="384" t="s">
        <v>232</v>
      </c>
      <c r="F260" s="384" t="str">
        <f t="shared" si="324"/>
        <v>na</v>
      </c>
      <c r="G260" s="400">
        <f>'GW-Eq'!G260</f>
        <v>8</v>
      </c>
      <c r="H260" s="400" t="str">
        <f t="shared" si="325"/>
        <v>na</v>
      </c>
      <c r="I260" s="400" t="str">
        <f t="shared" si="326"/>
        <v>na</v>
      </c>
      <c r="J260" s="403">
        <f t="shared" si="327"/>
        <v>8</v>
      </c>
      <c r="K260" s="271">
        <f>'GW-Eq'!H260</f>
        <v>0.36458333333333326</v>
      </c>
      <c r="L260" s="271" t="str">
        <f t="shared" si="328"/>
        <v>na</v>
      </c>
      <c r="M260" s="271" t="str">
        <f t="shared" si="329"/>
        <v>na</v>
      </c>
      <c r="N260" s="271">
        <f t="shared" si="330"/>
        <v>0.36458333333333326</v>
      </c>
      <c r="O260" s="330">
        <f t="shared" si="251"/>
        <v>0.36458333333333326</v>
      </c>
      <c r="P260" s="2523" t="str">
        <f>VI!F260</f>
        <v>na</v>
      </c>
      <c r="R260" s="264">
        <f t="shared" si="331"/>
        <v>0.36458333333333326</v>
      </c>
      <c r="S260" s="236" t="str">
        <f t="shared" si="332"/>
        <v/>
      </c>
      <c r="T260" s="236" t="str">
        <f t="shared" si="333"/>
        <v/>
      </c>
      <c r="U260" s="236" t="str">
        <f t="shared" si="334"/>
        <v/>
      </c>
      <c r="V260" s="236" t="str">
        <f t="shared" si="335"/>
        <v/>
      </c>
      <c r="W260" s="236" t="str">
        <f t="shared" si="336"/>
        <v>X</v>
      </c>
      <c r="X260" s="236" t="str">
        <f t="shared" si="337"/>
        <v/>
      </c>
      <c r="Y260" s="236" t="str">
        <f t="shared" si="338"/>
        <v/>
      </c>
      <c r="Z260" s="235" t="str">
        <f t="shared" si="339"/>
        <v/>
      </c>
      <c r="AB260" s="1062"/>
    </row>
    <row r="261" spans="1:28" ht="13.9" customHeight="1" x14ac:dyDescent="0.25">
      <c r="A261" s="846">
        <f>Chem!A261</f>
        <v>259</v>
      </c>
      <c r="B261" s="855" t="str">
        <f>Chem!B261</f>
        <v>Total DDE</v>
      </c>
      <c r="C261" s="343" t="s">
        <v>232</v>
      </c>
      <c r="D261" s="384" t="s">
        <v>232</v>
      </c>
      <c r="E261" s="384" t="s">
        <v>232</v>
      </c>
      <c r="F261" s="384" t="str">
        <f t="shared" si="324"/>
        <v>na</v>
      </c>
      <c r="G261" s="400">
        <f>'GW-Eq'!G261</f>
        <v>4</v>
      </c>
      <c r="H261" s="400" t="str">
        <f t="shared" si="325"/>
        <v>na</v>
      </c>
      <c r="I261" s="400" t="str">
        <f t="shared" si="326"/>
        <v>na</v>
      </c>
      <c r="J261" s="403">
        <f t="shared" si="327"/>
        <v>4</v>
      </c>
      <c r="K261" s="271">
        <f>'GW-Eq'!H261</f>
        <v>0.12867647058823525</v>
      </c>
      <c r="L261" s="271" t="str">
        <f t="shared" si="328"/>
        <v>na</v>
      </c>
      <c r="M261" s="271" t="str">
        <f t="shared" si="329"/>
        <v>na</v>
      </c>
      <c r="N261" s="271">
        <f t="shared" si="330"/>
        <v>0.12867647058823525</v>
      </c>
      <c r="O261" s="330">
        <f t="shared" si="251"/>
        <v>0.12867647058823525</v>
      </c>
      <c r="P261" s="2523" t="str">
        <f>VI!F261</f>
        <v>na</v>
      </c>
      <c r="R261" s="264">
        <f t="shared" si="331"/>
        <v>0.12867647058823525</v>
      </c>
      <c r="S261" s="236" t="str">
        <f t="shared" si="332"/>
        <v/>
      </c>
      <c r="T261" s="236" t="str">
        <f t="shared" si="333"/>
        <v/>
      </c>
      <c r="U261" s="236" t="str">
        <f t="shared" si="334"/>
        <v/>
      </c>
      <c r="V261" s="236" t="str">
        <f t="shared" si="335"/>
        <v/>
      </c>
      <c r="W261" s="236" t="str">
        <f t="shared" si="336"/>
        <v>X</v>
      </c>
      <c r="X261" s="236" t="str">
        <f t="shared" si="337"/>
        <v/>
      </c>
      <c r="Y261" s="236" t="str">
        <f t="shared" si="338"/>
        <v/>
      </c>
      <c r="Z261" s="235" t="str">
        <f t="shared" si="339"/>
        <v/>
      </c>
      <c r="AB261" s="1062"/>
    </row>
    <row r="262" spans="1:28" ht="13.9" customHeight="1" x14ac:dyDescent="0.25">
      <c r="A262" s="846">
        <f>Chem!A262</f>
        <v>260</v>
      </c>
      <c r="B262" s="855" t="str">
        <f>Chem!B262</f>
        <v>Total DDT</v>
      </c>
      <c r="C262" s="343" t="s">
        <v>232</v>
      </c>
      <c r="D262" s="384" t="s">
        <v>232</v>
      </c>
      <c r="E262" s="384" t="s">
        <v>232</v>
      </c>
      <c r="F262" s="384" t="str">
        <f t="shared" si="324"/>
        <v>na</v>
      </c>
      <c r="G262" s="400">
        <f>'GW-Eq'!G262</f>
        <v>8</v>
      </c>
      <c r="H262" s="400" t="str">
        <f t="shared" si="325"/>
        <v>na</v>
      </c>
      <c r="I262" s="400" t="str">
        <f t="shared" si="326"/>
        <v>na</v>
      </c>
      <c r="J262" s="403">
        <f t="shared" si="327"/>
        <v>8</v>
      </c>
      <c r="K262" s="271">
        <f>'GW-Eq'!H262</f>
        <v>0.25735294117647051</v>
      </c>
      <c r="L262" s="271" t="str">
        <f t="shared" si="328"/>
        <v>na</v>
      </c>
      <c r="M262" s="271" t="str">
        <f t="shared" si="329"/>
        <v>na</v>
      </c>
      <c r="N262" s="271">
        <f t="shared" si="330"/>
        <v>0.25735294117647051</v>
      </c>
      <c r="O262" s="330">
        <f t="shared" si="251"/>
        <v>0.25735294117647051</v>
      </c>
      <c r="P262" s="2523" t="str">
        <f>VI!F262</f>
        <v>na</v>
      </c>
      <c r="R262" s="264">
        <f t="shared" si="331"/>
        <v>0.25735294117647051</v>
      </c>
      <c r="S262" s="236" t="str">
        <f t="shared" si="332"/>
        <v/>
      </c>
      <c r="T262" s="236" t="str">
        <f t="shared" si="333"/>
        <v/>
      </c>
      <c r="U262" s="236" t="str">
        <f t="shared" si="334"/>
        <v/>
      </c>
      <c r="V262" s="236" t="str">
        <f t="shared" si="335"/>
        <v/>
      </c>
      <c r="W262" s="236" t="str">
        <f t="shared" si="336"/>
        <v>X</v>
      </c>
      <c r="X262" s="236" t="str">
        <f t="shared" si="337"/>
        <v/>
      </c>
      <c r="Y262" s="236" t="str">
        <f t="shared" si="338"/>
        <v/>
      </c>
      <c r="Z262" s="235" t="str">
        <f t="shared" si="339"/>
        <v/>
      </c>
      <c r="AB262" s="1062"/>
    </row>
    <row r="263" spans="1:28" ht="13.9" customHeight="1" x14ac:dyDescent="0.25">
      <c r="A263" s="846">
        <f>Chem!A263</f>
        <v>261</v>
      </c>
      <c r="B263" s="855" t="str">
        <f>Chem!B263</f>
        <v>Diazinon</v>
      </c>
      <c r="C263" s="343" t="s">
        <v>232</v>
      </c>
      <c r="D263" s="384" t="s">
        <v>232</v>
      </c>
      <c r="E263" s="384" t="s">
        <v>232</v>
      </c>
      <c r="F263" s="384" t="str">
        <f t="shared" si="324"/>
        <v>na</v>
      </c>
      <c r="G263" s="400">
        <f>'GW-Eq'!G263</f>
        <v>11.2</v>
      </c>
      <c r="H263" s="400" t="str">
        <f t="shared" si="325"/>
        <v>na</v>
      </c>
      <c r="I263" s="400" t="str">
        <f t="shared" si="326"/>
        <v>na</v>
      </c>
      <c r="J263" s="403">
        <f t="shared" si="327"/>
        <v>11.2</v>
      </c>
      <c r="K263" s="271" t="str">
        <f>'GW-Eq'!H263</f>
        <v>na</v>
      </c>
      <c r="L263" s="271" t="str">
        <f t="shared" si="328"/>
        <v>na</v>
      </c>
      <c r="M263" s="271" t="str">
        <f t="shared" si="329"/>
        <v>na</v>
      </c>
      <c r="N263" s="271" t="str">
        <f t="shared" si="330"/>
        <v>na</v>
      </c>
      <c r="O263" s="330">
        <f t="shared" si="251"/>
        <v>11.2</v>
      </c>
      <c r="P263" s="2523" t="str">
        <f>VI!F263</f>
        <v>na</v>
      </c>
      <c r="R263" s="264">
        <f t="shared" si="331"/>
        <v>11.2</v>
      </c>
      <c r="S263" s="236" t="str">
        <f t="shared" si="332"/>
        <v/>
      </c>
      <c r="T263" s="236" t="str">
        <f t="shared" si="333"/>
        <v/>
      </c>
      <c r="U263" s="236" t="str">
        <f t="shared" si="334"/>
        <v/>
      </c>
      <c r="V263" s="236" t="str">
        <f t="shared" si="335"/>
        <v>X</v>
      </c>
      <c r="W263" s="236" t="str">
        <f t="shared" si="336"/>
        <v/>
      </c>
      <c r="X263" s="236" t="str">
        <f t="shared" si="337"/>
        <v/>
      </c>
      <c r="Y263" s="236" t="str">
        <f t="shared" si="338"/>
        <v/>
      </c>
      <c r="Z263" s="235" t="str">
        <f t="shared" si="339"/>
        <v/>
      </c>
      <c r="AB263" s="1062"/>
    </row>
    <row r="264" spans="1:28" ht="13.9" customHeight="1" x14ac:dyDescent="0.25">
      <c r="A264" s="846">
        <f>Chem!A264</f>
        <v>262</v>
      </c>
      <c r="B264" s="855" t="str">
        <f>Chem!B264</f>
        <v>Dieldrin</v>
      </c>
      <c r="C264" s="343" t="s">
        <v>232</v>
      </c>
      <c r="D264" s="384" t="s">
        <v>232</v>
      </c>
      <c r="E264" s="384" t="s">
        <v>232</v>
      </c>
      <c r="F264" s="384" t="str">
        <f t="shared" si="324"/>
        <v>na</v>
      </c>
      <c r="G264" s="400">
        <f>'GW-Eq'!G264</f>
        <v>0.8</v>
      </c>
      <c r="H264" s="400" t="str">
        <f t="shared" si="325"/>
        <v>na</v>
      </c>
      <c r="I264" s="400" t="str">
        <f t="shared" si="326"/>
        <v>na</v>
      </c>
      <c r="J264" s="403">
        <f t="shared" si="327"/>
        <v>0.8</v>
      </c>
      <c r="K264" s="271">
        <f>'GW-Eq'!H264</f>
        <v>5.4687499999999988E-3</v>
      </c>
      <c r="L264" s="271" t="str">
        <f t="shared" si="328"/>
        <v>na</v>
      </c>
      <c r="M264" s="271" t="str">
        <f t="shared" si="329"/>
        <v>na</v>
      </c>
      <c r="N264" s="271">
        <f t="shared" si="330"/>
        <v>5.4687499999999988E-3</v>
      </c>
      <c r="O264" s="330">
        <f t="shared" si="251"/>
        <v>5.4687499999999988E-3</v>
      </c>
      <c r="P264" s="2523" t="str">
        <f>VI!F264</f>
        <v>na</v>
      </c>
      <c r="R264" s="264">
        <f t="shared" si="331"/>
        <v>5.4687499999999988E-3</v>
      </c>
      <c r="S264" s="236" t="str">
        <f t="shared" si="332"/>
        <v/>
      </c>
      <c r="T264" s="236" t="str">
        <f t="shared" si="333"/>
        <v/>
      </c>
      <c r="U264" s="236" t="str">
        <f t="shared" si="334"/>
        <v/>
      </c>
      <c r="V264" s="236" t="str">
        <f t="shared" si="335"/>
        <v/>
      </c>
      <c r="W264" s="236" t="str">
        <f t="shared" si="336"/>
        <v>X</v>
      </c>
      <c r="X264" s="236" t="str">
        <f t="shared" si="337"/>
        <v/>
      </c>
      <c r="Y264" s="236" t="str">
        <f t="shared" si="338"/>
        <v/>
      </c>
      <c r="Z264" s="235" t="str">
        <f t="shared" si="339"/>
        <v/>
      </c>
      <c r="AB264" s="1062"/>
    </row>
    <row r="265" spans="1:28" ht="13.9" customHeight="1" x14ac:dyDescent="0.25">
      <c r="A265" s="846">
        <f>Chem!A265</f>
        <v>263</v>
      </c>
      <c r="B265" s="855" t="str">
        <f>Chem!B265</f>
        <v>alpha-Endosulfan</v>
      </c>
      <c r="C265" s="343" t="s">
        <v>232</v>
      </c>
      <c r="D265" s="384" t="s">
        <v>232</v>
      </c>
      <c r="E265" s="384" t="s">
        <v>232</v>
      </c>
      <c r="F265" s="384" t="str">
        <f t="shared" ref="F265:F269" si="346">IF(C265="na",IF(D265="na",IF(E265="na","na",MIN(C265:E265)),MIN(C265:E265)),MIN(C265:E265))</f>
        <v>na</v>
      </c>
      <c r="G265" s="400" t="str">
        <f>'GW-Eq'!G265</f>
        <v>na</v>
      </c>
      <c r="H265" s="400" t="str">
        <f t="shared" ref="H265:H269" si="347">IF(F265="na","na",IF(G265="na","na",F265/G265))</f>
        <v>na</v>
      </c>
      <c r="I265" s="400" t="str">
        <f t="shared" ref="I265:I269" si="348">IF(H265="na","na",IF(H265&gt;1,"YES","no"))</f>
        <v>na</v>
      </c>
      <c r="J265" s="403" t="str">
        <f t="shared" ref="J265:J269" si="349">IF(I265="YES",G265,IF(ISNUMBER(F265),F265,G265))</f>
        <v>na</v>
      </c>
      <c r="K265" s="271" t="str">
        <f>'GW-Eq'!H265</f>
        <v>na</v>
      </c>
      <c r="L265" s="271" t="str">
        <f t="shared" ref="L265:L269" si="350">IF(F265="na","na",IF(K265="na","na",F265/K265))</f>
        <v>na</v>
      </c>
      <c r="M265" s="271" t="str">
        <f t="shared" ref="M265:M269" si="351">IF(L265="na","na",IF(L265&gt;10,"YES","no"))</f>
        <v>na</v>
      </c>
      <c r="N265" s="271" t="str">
        <f t="shared" ref="N265:N269" si="352">IF(M265="YES",10*K265,IF(M265="no",F265,K265))</f>
        <v>na</v>
      </c>
      <c r="O265" s="330" t="str">
        <f t="shared" si="251"/>
        <v>na</v>
      </c>
      <c r="P265" s="2523" t="str">
        <f>VI!F265</f>
        <v>na</v>
      </c>
      <c r="R265" s="264" t="str">
        <f t="shared" ref="R265:R269" si="353">IF(MIN(O265,P265)=0,"na",MIN(O265,P265))</f>
        <v>na</v>
      </c>
      <c r="S265" s="236" t="str">
        <f t="shared" si="332"/>
        <v/>
      </c>
      <c r="T265" s="236" t="str">
        <f t="shared" si="333"/>
        <v/>
      </c>
      <c r="U265" s="236" t="str">
        <f t="shared" si="334"/>
        <v/>
      </c>
      <c r="V265" s="236" t="str">
        <f t="shared" si="335"/>
        <v/>
      </c>
      <c r="W265" s="236" t="str">
        <f t="shared" si="336"/>
        <v/>
      </c>
      <c r="X265" s="236" t="str">
        <f t="shared" ref="X265:X269" si="354">IF(OR($R265="na",$J265="na"),"",IF(AND(ISNUMBER($F265),I265="YES",$R265=$J265),"X",""))</f>
        <v/>
      </c>
      <c r="Y265" s="236" t="str">
        <f t="shared" si="338"/>
        <v/>
      </c>
      <c r="Z265" s="235" t="str">
        <f t="shared" si="339"/>
        <v/>
      </c>
      <c r="AB265" s="1062"/>
    </row>
    <row r="266" spans="1:28" ht="13.9" customHeight="1" x14ac:dyDescent="0.25">
      <c r="A266" s="846">
        <f>Chem!A266</f>
        <v>264</v>
      </c>
      <c r="B266" s="855" t="str">
        <f>Chem!B266</f>
        <v>beta-Endosulfan</v>
      </c>
      <c r="C266" s="343" t="s">
        <v>232</v>
      </c>
      <c r="D266" s="384" t="s">
        <v>232</v>
      </c>
      <c r="E266" s="384" t="s">
        <v>232</v>
      </c>
      <c r="F266" s="384" t="str">
        <f t="shared" si="346"/>
        <v>na</v>
      </c>
      <c r="G266" s="400" t="str">
        <f>'GW-Eq'!G266</f>
        <v>na</v>
      </c>
      <c r="H266" s="400" t="str">
        <f t="shared" si="347"/>
        <v>na</v>
      </c>
      <c r="I266" s="400" t="str">
        <f t="shared" si="348"/>
        <v>na</v>
      </c>
      <c r="J266" s="403" t="str">
        <f t="shared" si="349"/>
        <v>na</v>
      </c>
      <c r="K266" s="271" t="str">
        <f>'GW-Eq'!H266</f>
        <v>na</v>
      </c>
      <c r="L266" s="271" t="str">
        <f t="shared" si="350"/>
        <v>na</v>
      </c>
      <c r="M266" s="271" t="str">
        <f t="shared" si="351"/>
        <v>na</v>
      </c>
      <c r="N266" s="271" t="str">
        <f t="shared" si="352"/>
        <v>na</v>
      </c>
      <c r="O266" s="330" t="str">
        <f t="shared" si="251"/>
        <v>na</v>
      </c>
      <c r="P266" s="2523" t="str">
        <f>VI!F266</f>
        <v>na</v>
      </c>
      <c r="R266" s="264" t="str">
        <f t="shared" si="353"/>
        <v>na</v>
      </c>
      <c r="S266" s="236" t="str">
        <f t="shared" si="332"/>
        <v/>
      </c>
      <c r="T266" s="236" t="str">
        <f t="shared" si="333"/>
        <v/>
      </c>
      <c r="U266" s="236" t="str">
        <f t="shared" si="334"/>
        <v/>
      </c>
      <c r="V266" s="236" t="str">
        <f t="shared" si="335"/>
        <v/>
      </c>
      <c r="W266" s="236" t="str">
        <f t="shared" si="336"/>
        <v/>
      </c>
      <c r="X266" s="236" t="str">
        <f t="shared" si="354"/>
        <v/>
      </c>
      <c r="Y266" s="236" t="str">
        <f t="shared" si="338"/>
        <v/>
      </c>
      <c r="Z266" s="235" t="str">
        <f t="shared" si="339"/>
        <v/>
      </c>
      <c r="AB266" s="1062"/>
    </row>
    <row r="267" spans="1:28" ht="13.9" customHeight="1" x14ac:dyDescent="0.25">
      <c r="A267" s="846">
        <f>Chem!A267</f>
        <v>265</v>
      </c>
      <c r="B267" s="855" t="str">
        <f>Chem!B267</f>
        <v>Sum of alpha and beta endosuflan</v>
      </c>
      <c r="C267" s="343" t="s">
        <v>232</v>
      </c>
      <c r="D267" s="384" t="s">
        <v>232</v>
      </c>
      <c r="E267" s="384" t="s">
        <v>232</v>
      </c>
      <c r="F267" s="384" t="str">
        <f t="shared" si="346"/>
        <v>na</v>
      </c>
      <c r="G267" s="400">
        <f>'GW-Eq'!G267</f>
        <v>48</v>
      </c>
      <c r="H267" s="400" t="str">
        <f t="shared" si="347"/>
        <v>na</v>
      </c>
      <c r="I267" s="400" t="str">
        <f t="shared" si="348"/>
        <v>na</v>
      </c>
      <c r="J267" s="403">
        <f t="shared" si="349"/>
        <v>48</v>
      </c>
      <c r="K267" s="271" t="str">
        <f>'GW-Eq'!H267</f>
        <v>na</v>
      </c>
      <c r="L267" s="271" t="str">
        <f t="shared" si="350"/>
        <v>na</v>
      </c>
      <c r="M267" s="271" t="str">
        <f t="shared" si="351"/>
        <v>na</v>
      </c>
      <c r="N267" s="271" t="str">
        <f t="shared" si="352"/>
        <v>na</v>
      </c>
      <c r="O267" s="330">
        <f t="shared" si="251"/>
        <v>48</v>
      </c>
      <c r="P267" s="2523" t="str">
        <f>VI!F267</f>
        <v>na</v>
      </c>
      <c r="R267" s="264">
        <f t="shared" si="353"/>
        <v>48</v>
      </c>
      <c r="S267" s="236" t="str">
        <f t="shared" si="332"/>
        <v/>
      </c>
      <c r="T267" s="236" t="str">
        <f t="shared" si="333"/>
        <v/>
      </c>
      <c r="U267" s="236" t="str">
        <f t="shared" si="334"/>
        <v/>
      </c>
      <c r="V267" s="236" t="str">
        <f t="shared" si="335"/>
        <v>X</v>
      </c>
      <c r="W267" s="236" t="str">
        <f t="shared" si="336"/>
        <v/>
      </c>
      <c r="X267" s="236" t="str">
        <f t="shared" si="354"/>
        <v/>
      </c>
      <c r="Y267" s="236" t="str">
        <f t="shared" si="338"/>
        <v/>
      </c>
      <c r="Z267" s="235" t="str">
        <f t="shared" si="339"/>
        <v/>
      </c>
      <c r="AB267" s="1062"/>
    </row>
    <row r="268" spans="1:28" ht="13.9" customHeight="1" x14ac:dyDescent="0.25">
      <c r="A268" s="846">
        <f>Chem!A268</f>
        <v>266</v>
      </c>
      <c r="B268" s="855" t="str">
        <f>Chem!B268</f>
        <v>Endosulfan sulfate</v>
      </c>
      <c r="C268" s="343" t="s">
        <v>232</v>
      </c>
      <c r="D268" s="384" t="s">
        <v>232</v>
      </c>
      <c r="E268" s="384" t="s">
        <v>232</v>
      </c>
      <c r="F268" s="384" t="str">
        <f t="shared" si="346"/>
        <v>na</v>
      </c>
      <c r="G268" s="400">
        <f>'GW-Eq'!G268</f>
        <v>96</v>
      </c>
      <c r="H268" s="400" t="str">
        <f t="shared" si="347"/>
        <v>na</v>
      </c>
      <c r="I268" s="400" t="str">
        <f t="shared" si="348"/>
        <v>na</v>
      </c>
      <c r="J268" s="403">
        <f t="shared" si="349"/>
        <v>96</v>
      </c>
      <c r="K268" s="271" t="str">
        <f>'GW-Eq'!H268</f>
        <v>na</v>
      </c>
      <c r="L268" s="271" t="str">
        <f t="shared" si="350"/>
        <v>na</v>
      </c>
      <c r="M268" s="271" t="str">
        <f t="shared" si="351"/>
        <v>na</v>
      </c>
      <c r="N268" s="271" t="str">
        <f t="shared" si="352"/>
        <v>na</v>
      </c>
      <c r="O268" s="330">
        <f t="shared" si="251"/>
        <v>96</v>
      </c>
      <c r="P268" s="2523" t="str">
        <f>VI!F268</f>
        <v>na</v>
      </c>
      <c r="R268" s="264">
        <f t="shared" si="353"/>
        <v>96</v>
      </c>
      <c r="S268" s="236" t="str">
        <f t="shared" si="332"/>
        <v/>
      </c>
      <c r="T268" s="236" t="str">
        <f t="shared" si="333"/>
        <v/>
      </c>
      <c r="U268" s="236" t="str">
        <f t="shared" si="334"/>
        <v/>
      </c>
      <c r="V268" s="236" t="str">
        <f t="shared" si="335"/>
        <v>X</v>
      </c>
      <c r="W268" s="236" t="str">
        <f t="shared" si="336"/>
        <v/>
      </c>
      <c r="X268" s="236" t="str">
        <f t="shared" si="354"/>
        <v/>
      </c>
      <c r="Y268" s="236" t="str">
        <f t="shared" si="338"/>
        <v/>
      </c>
      <c r="Z268" s="235" t="str">
        <f t="shared" si="339"/>
        <v/>
      </c>
      <c r="AB268" s="1062"/>
    </row>
    <row r="269" spans="1:28" ht="13.9" customHeight="1" x14ac:dyDescent="0.25">
      <c r="A269" s="846">
        <f>Chem!A269</f>
        <v>267</v>
      </c>
      <c r="B269" s="855" t="str">
        <f>Chem!B269</f>
        <v>Sum of alpha, beta, and endosulfan sulfate</v>
      </c>
      <c r="C269" s="343" t="s">
        <v>232</v>
      </c>
      <c r="D269" s="384" t="s">
        <v>232</v>
      </c>
      <c r="E269" s="384" t="s">
        <v>232</v>
      </c>
      <c r="F269" s="384" t="str">
        <f t="shared" si="346"/>
        <v>na</v>
      </c>
      <c r="G269" s="400">
        <f>'GW-Eq'!G269</f>
        <v>96</v>
      </c>
      <c r="H269" s="400" t="str">
        <f t="shared" si="347"/>
        <v>na</v>
      </c>
      <c r="I269" s="400" t="str">
        <f t="shared" si="348"/>
        <v>na</v>
      </c>
      <c r="J269" s="403">
        <f t="shared" si="349"/>
        <v>96</v>
      </c>
      <c r="K269" s="271" t="str">
        <f>'GW-Eq'!H269</f>
        <v>na</v>
      </c>
      <c r="L269" s="271" t="str">
        <f t="shared" si="350"/>
        <v>na</v>
      </c>
      <c r="M269" s="271" t="str">
        <f t="shared" si="351"/>
        <v>na</v>
      </c>
      <c r="N269" s="271" t="str">
        <f t="shared" si="352"/>
        <v>na</v>
      </c>
      <c r="O269" s="330">
        <f t="shared" si="251"/>
        <v>96</v>
      </c>
      <c r="P269" s="2523" t="str">
        <f>VI!F269</f>
        <v>na</v>
      </c>
      <c r="R269" s="264">
        <f t="shared" si="353"/>
        <v>96</v>
      </c>
      <c r="S269" s="236" t="str">
        <f t="shared" si="332"/>
        <v/>
      </c>
      <c r="T269" s="236" t="str">
        <f t="shared" si="333"/>
        <v/>
      </c>
      <c r="U269" s="236" t="str">
        <f t="shared" si="334"/>
        <v/>
      </c>
      <c r="V269" s="236" t="str">
        <f t="shared" si="335"/>
        <v>X</v>
      </c>
      <c r="W269" s="236" t="str">
        <f t="shared" si="336"/>
        <v/>
      </c>
      <c r="X269" s="236" t="str">
        <f t="shared" si="354"/>
        <v/>
      </c>
      <c r="Y269" s="236" t="str">
        <f t="shared" si="338"/>
        <v/>
      </c>
      <c r="Z269" s="235" t="str">
        <f t="shared" si="339"/>
        <v/>
      </c>
      <c r="AB269" s="1062"/>
    </row>
    <row r="270" spans="1:28" ht="13.9" customHeight="1" x14ac:dyDescent="0.25">
      <c r="A270" s="846">
        <f>Chem!A270</f>
        <v>268</v>
      </c>
      <c r="B270" s="855" t="str">
        <f>Chem!B270</f>
        <v>Endrin</v>
      </c>
      <c r="C270" s="343">
        <v>2</v>
      </c>
      <c r="D270" s="384">
        <v>2</v>
      </c>
      <c r="E270" s="343">
        <v>2</v>
      </c>
      <c r="F270" s="384">
        <f t="shared" si="324"/>
        <v>2</v>
      </c>
      <c r="G270" s="400">
        <f>'GW-Eq'!G270</f>
        <v>4.8</v>
      </c>
      <c r="H270" s="400">
        <f t="shared" si="325"/>
        <v>0.41666666666666669</v>
      </c>
      <c r="I270" s="400" t="str">
        <f t="shared" si="326"/>
        <v>no</v>
      </c>
      <c r="J270" s="403">
        <f t="shared" si="327"/>
        <v>2</v>
      </c>
      <c r="K270" s="271" t="str">
        <f>'GW-Eq'!H270</f>
        <v>na</v>
      </c>
      <c r="L270" s="271" t="str">
        <f t="shared" si="328"/>
        <v>na</v>
      </c>
      <c r="M270" s="271" t="str">
        <f t="shared" si="329"/>
        <v>na</v>
      </c>
      <c r="N270" s="271" t="str">
        <f t="shared" si="330"/>
        <v>na</v>
      </c>
      <c r="O270" s="330">
        <f t="shared" si="251"/>
        <v>2</v>
      </c>
      <c r="P270" s="2523" t="str">
        <f>VI!F270</f>
        <v>na</v>
      </c>
      <c r="R270" s="264">
        <f t="shared" si="331"/>
        <v>2</v>
      </c>
      <c r="S270" s="236" t="str">
        <f t="shared" si="332"/>
        <v>X</v>
      </c>
      <c r="T270" s="236" t="str">
        <f t="shared" si="333"/>
        <v>X</v>
      </c>
      <c r="U270" s="236" t="str">
        <f t="shared" si="334"/>
        <v>X</v>
      </c>
      <c r="V270" s="236" t="str">
        <f t="shared" si="335"/>
        <v/>
      </c>
      <c r="W270" s="236" t="str">
        <f t="shared" si="336"/>
        <v/>
      </c>
      <c r="X270" s="236" t="str">
        <f t="shared" si="337"/>
        <v/>
      </c>
      <c r="Y270" s="236" t="str">
        <f t="shared" si="338"/>
        <v/>
      </c>
      <c r="Z270" s="235" t="str">
        <f t="shared" si="339"/>
        <v/>
      </c>
      <c r="AB270" s="1062"/>
    </row>
    <row r="271" spans="1:28" ht="13.9" customHeight="1" x14ac:dyDescent="0.25">
      <c r="A271" s="846">
        <f>Chem!A271</f>
        <v>269</v>
      </c>
      <c r="B271" s="855" t="str">
        <f>Chem!B271</f>
        <v>Endrin aldehyde</v>
      </c>
      <c r="C271" s="343" t="s">
        <v>232</v>
      </c>
      <c r="D271" s="384" t="s">
        <v>232</v>
      </c>
      <c r="E271" s="384" t="s">
        <v>232</v>
      </c>
      <c r="F271" s="384" t="str">
        <f t="shared" si="324"/>
        <v>na</v>
      </c>
      <c r="G271" s="400" t="str">
        <f>'GW-Eq'!G271</f>
        <v>na</v>
      </c>
      <c r="H271" s="400" t="str">
        <f t="shared" si="325"/>
        <v>na</v>
      </c>
      <c r="I271" s="400" t="str">
        <f t="shared" si="326"/>
        <v>na</v>
      </c>
      <c r="J271" s="403" t="str">
        <f t="shared" si="327"/>
        <v>na</v>
      </c>
      <c r="K271" s="271" t="str">
        <f>'GW-Eq'!H271</f>
        <v>na</v>
      </c>
      <c r="L271" s="271" t="str">
        <f t="shared" si="328"/>
        <v>na</v>
      </c>
      <c r="M271" s="271" t="str">
        <f t="shared" si="329"/>
        <v>na</v>
      </c>
      <c r="N271" s="271" t="str">
        <f t="shared" si="330"/>
        <v>na</v>
      </c>
      <c r="O271" s="330" t="str">
        <f t="shared" si="251"/>
        <v>na</v>
      </c>
      <c r="P271" s="2523" t="str">
        <f>VI!F271</f>
        <v>na</v>
      </c>
      <c r="R271" s="264" t="str">
        <f t="shared" si="331"/>
        <v>na</v>
      </c>
      <c r="S271" s="236" t="str">
        <f t="shared" si="332"/>
        <v/>
      </c>
      <c r="T271" s="236" t="str">
        <f t="shared" si="333"/>
        <v/>
      </c>
      <c r="U271" s="236" t="str">
        <f t="shared" si="334"/>
        <v/>
      </c>
      <c r="V271" s="236" t="str">
        <f t="shared" si="335"/>
        <v/>
      </c>
      <c r="W271" s="236" t="str">
        <f t="shared" si="336"/>
        <v/>
      </c>
      <c r="X271" s="236" t="str">
        <f t="shared" si="337"/>
        <v/>
      </c>
      <c r="Y271" s="236" t="str">
        <f t="shared" si="338"/>
        <v/>
      </c>
      <c r="Z271" s="235" t="str">
        <f t="shared" si="339"/>
        <v/>
      </c>
      <c r="AB271" s="1062"/>
    </row>
    <row r="272" spans="1:28" ht="13.9" customHeight="1" x14ac:dyDescent="0.25">
      <c r="A272" s="846">
        <f>Chem!A272</f>
        <v>270</v>
      </c>
      <c r="B272" s="855" t="str">
        <f>Chem!B272</f>
        <v>Endrin ketone</v>
      </c>
      <c r="C272" s="343" t="s">
        <v>232</v>
      </c>
      <c r="D272" s="384" t="s">
        <v>232</v>
      </c>
      <c r="E272" s="384" t="s">
        <v>232</v>
      </c>
      <c r="F272" s="384" t="str">
        <f t="shared" si="324"/>
        <v>na</v>
      </c>
      <c r="G272" s="400" t="str">
        <f>'GW-Eq'!G272</f>
        <v>na</v>
      </c>
      <c r="H272" s="400" t="str">
        <f t="shared" si="325"/>
        <v>na</v>
      </c>
      <c r="I272" s="400" t="str">
        <f t="shared" si="326"/>
        <v>na</v>
      </c>
      <c r="J272" s="403" t="str">
        <f t="shared" si="327"/>
        <v>na</v>
      </c>
      <c r="K272" s="271" t="str">
        <f>'GW-Eq'!H272</f>
        <v>na</v>
      </c>
      <c r="L272" s="271" t="str">
        <f t="shared" si="328"/>
        <v>na</v>
      </c>
      <c r="M272" s="271" t="str">
        <f t="shared" si="329"/>
        <v>na</v>
      </c>
      <c r="N272" s="271" t="str">
        <f t="shared" si="330"/>
        <v>na</v>
      </c>
      <c r="O272" s="330" t="str">
        <f t="shared" si="251"/>
        <v>na</v>
      </c>
      <c r="P272" s="2523" t="str">
        <f>VI!F272</f>
        <v>na</v>
      </c>
      <c r="R272" s="264" t="str">
        <f t="shared" si="331"/>
        <v>na</v>
      </c>
      <c r="S272" s="236" t="str">
        <f t="shared" si="332"/>
        <v/>
      </c>
      <c r="T272" s="236" t="str">
        <f t="shared" si="333"/>
        <v/>
      </c>
      <c r="U272" s="236" t="str">
        <f t="shared" si="334"/>
        <v/>
      </c>
      <c r="V272" s="236" t="str">
        <f t="shared" si="335"/>
        <v/>
      </c>
      <c r="W272" s="236" t="str">
        <f t="shared" si="336"/>
        <v/>
      </c>
      <c r="X272" s="236" t="str">
        <f t="shared" si="337"/>
        <v/>
      </c>
      <c r="Y272" s="236" t="str">
        <f t="shared" si="338"/>
        <v/>
      </c>
      <c r="Z272" s="235" t="str">
        <f t="shared" si="339"/>
        <v/>
      </c>
      <c r="AB272" s="1062"/>
    </row>
    <row r="273" spans="1:28" ht="13.9" customHeight="1" x14ac:dyDescent="0.25">
      <c r="A273" s="846">
        <f>Chem!A273</f>
        <v>271</v>
      </c>
      <c r="B273" s="855" t="str">
        <f>Chem!B273</f>
        <v>Heptachlor</v>
      </c>
      <c r="C273" s="343">
        <v>0.4</v>
      </c>
      <c r="D273" s="384" t="s">
        <v>232</v>
      </c>
      <c r="E273" s="343">
        <v>0.4</v>
      </c>
      <c r="F273" s="384">
        <f t="shared" si="324"/>
        <v>0.4</v>
      </c>
      <c r="G273" s="400">
        <f>'GW-Eq'!G273</f>
        <v>4</v>
      </c>
      <c r="H273" s="400">
        <f t="shared" si="325"/>
        <v>0.1</v>
      </c>
      <c r="I273" s="400" t="str">
        <f t="shared" si="326"/>
        <v>no</v>
      </c>
      <c r="J273" s="403">
        <f t="shared" si="327"/>
        <v>0.4</v>
      </c>
      <c r="K273" s="271">
        <f>'GW-Eq'!H273</f>
        <v>9.7222222222222206E-3</v>
      </c>
      <c r="L273" s="271">
        <f t="shared" si="328"/>
        <v>41.142857142857153</v>
      </c>
      <c r="M273" s="271" t="str">
        <f t="shared" si="329"/>
        <v>YES</v>
      </c>
      <c r="N273" s="271">
        <f t="shared" si="330"/>
        <v>9.722222222222221E-2</v>
      </c>
      <c r="O273" s="330">
        <f t="shared" si="251"/>
        <v>9.722222222222221E-2</v>
      </c>
      <c r="P273" s="2523">
        <f>VI!F273</f>
        <v>0.51004123030361503</v>
      </c>
      <c r="R273" s="264">
        <f t="shared" si="331"/>
        <v>9.722222222222221E-2</v>
      </c>
      <c r="S273" s="236" t="str">
        <f t="shared" si="332"/>
        <v/>
      </c>
      <c r="T273" s="236" t="str">
        <f t="shared" si="333"/>
        <v/>
      </c>
      <c r="U273" s="236" t="str">
        <f t="shared" si="334"/>
        <v/>
      </c>
      <c r="V273" s="236" t="str">
        <f t="shared" si="335"/>
        <v/>
      </c>
      <c r="W273" s="236" t="str">
        <f t="shared" si="336"/>
        <v/>
      </c>
      <c r="X273" s="236" t="str">
        <f t="shared" si="337"/>
        <v/>
      </c>
      <c r="Y273" s="236" t="str">
        <f t="shared" si="338"/>
        <v>X</v>
      </c>
      <c r="Z273" s="235" t="str">
        <f t="shared" si="339"/>
        <v/>
      </c>
      <c r="AB273" s="1062"/>
    </row>
    <row r="274" spans="1:28" ht="13.9" customHeight="1" x14ac:dyDescent="0.25">
      <c r="A274" s="846">
        <f>Chem!A274</f>
        <v>272</v>
      </c>
      <c r="B274" s="855" t="str">
        <f>Chem!B274</f>
        <v>Heptachlor epoxide</v>
      </c>
      <c r="C274" s="343">
        <v>0.2</v>
      </c>
      <c r="D274" s="384" t="s">
        <v>232</v>
      </c>
      <c r="E274" s="343">
        <v>0.2</v>
      </c>
      <c r="F274" s="384">
        <f t="shared" si="324"/>
        <v>0.2</v>
      </c>
      <c r="G274" s="400">
        <f>'GW-Eq'!G274</f>
        <v>0.104</v>
      </c>
      <c r="H274" s="400">
        <f t="shared" si="325"/>
        <v>1.9230769230769234</v>
      </c>
      <c r="I274" s="400" t="str">
        <f t="shared" si="326"/>
        <v>YES</v>
      </c>
      <c r="J274" s="403">
        <f t="shared" si="327"/>
        <v>0.104</v>
      </c>
      <c r="K274" s="271">
        <f>'GW-Eq'!H274</f>
        <v>4.8076923076923071E-3</v>
      </c>
      <c r="L274" s="271">
        <f t="shared" si="328"/>
        <v>41.600000000000009</v>
      </c>
      <c r="M274" s="271" t="str">
        <f t="shared" si="329"/>
        <v>YES</v>
      </c>
      <c r="N274" s="271">
        <f t="shared" si="330"/>
        <v>4.8076923076923073E-2</v>
      </c>
      <c r="O274" s="330">
        <f t="shared" si="251"/>
        <v>4.8076923076923073E-2</v>
      </c>
      <c r="P274" s="2523" t="str">
        <f>VI!F274</f>
        <v>na</v>
      </c>
      <c r="R274" s="264">
        <f t="shared" si="331"/>
        <v>4.8076923076923073E-2</v>
      </c>
      <c r="S274" s="236" t="str">
        <f t="shared" si="332"/>
        <v/>
      </c>
      <c r="T274" s="236" t="str">
        <f t="shared" si="333"/>
        <v/>
      </c>
      <c r="U274" s="236" t="str">
        <f t="shared" si="334"/>
        <v/>
      </c>
      <c r="V274" s="236" t="str">
        <f t="shared" si="335"/>
        <v/>
      </c>
      <c r="W274" s="236" t="str">
        <f t="shared" si="336"/>
        <v/>
      </c>
      <c r="X274" s="236" t="str">
        <f t="shared" si="337"/>
        <v/>
      </c>
      <c r="Y274" s="236" t="str">
        <f t="shared" si="338"/>
        <v>X</v>
      </c>
      <c r="Z274" s="235" t="str">
        <f t="shared" si="339"/>
        <v/>
      </c>
      <c r="AB274" s="1062"/>
    </row>
    <row r="275" spans="1:28" ht="13.9" customHeight="1" x14ac:dyDescent="0.25">
      <c r="A275" s="846">
        <f>Chem!A275</f>
        <v>273</v>
      </c>
      <c r="B275" s="855" t="str">
        <f>Chem!B275</f>
        <v>Lindane (gamma-BHC)</v>
      </c>
      <c r="C275" s="532">
        <v>0.2</v>
      </c>
      <c r="D275" s="392">
        <v>0.2</v>
      </c>
      <c r="E275" s="384">
        <v>0.2</v>
      </c>
      <c r="F275" s="384">
        <f t="shared" ref="F275" si="355">IF(C275="na",IF(D275="na",IF(E275="na","na",MIN(C275:E275)),MIN(C275:E275)),MIN(C275:E275))</f>
        <v>0.2</v>
      </c>
      <c r="G275" s="400">
        <f>'GW-Eq'!G275</f>
        <v>4.8</v>
      </c>
      <c r="H275" s="400">
        <f t="shared" ref="H275" si="356">IF(F275="na","na",IF(G275="na","na",F275/G275))</f>
        <v>4.1666666666666671E-2</v>
      </c>
      <c r="I275" s="400" t="str">
        <f t="shared" ref="I275" si="357">IF(H275="na","na",IF(H275&gt;1,"YES","no"))</f>
        <v>no</v>
      </c>
      <c r="J275" s="403">
        <f t="shared" ref="J275" si="358">IF(I275="YES",G275,IF(ISNUMBER(F275),F275,G275))</f>
        <v>0.2</v>
      </c>
      <c r="K275" s="271">
        <f>'GW-Eq'!H275</f>
        <v>7.9545454545454516E-2</v>
      </c>
      <c r="L275" s="271">
        <f t="shared" ref="L275" si="359">IF(F275="na","na",IF(K275="na","na",F275/K275))</f>
        <v>2.5142857142857151</v>
      </c>
      <c r="M275" s="271" t="str">
        <f t="shared" ref="M275" si="360">IF(L275="na","na",IF(L275&gt;10,"YES","no"))</f>
        <v>no</v>
      </c>
      <c r="N275" s="271">
        <f t="shared" ref="N275" si="361">IF(M275="YES",10*K275,IF(M275="no",F275,K275))</f>
        <v>0.2</v>
      </c>
      <c r="O275" s="330">
        <f t="shared" si="251"/>
        <v>0.2</v>
      </c>
      <c r="P275" s="2523" t="str">
        <f>VI!F275</f>
        <v>na</v>
      </c>
      <c r="R275" s="264">
        <f t="shared" si="331"/>
        <v>0.2</v>
      </c>
      <c r="S275" s="236" t="str">
        <f t="shared" si="332"/>
        <v>X</v>
      </c>
      <c r="T275" s="236" t="str">
        <f t="shared" si="333"/>
        <v>X</v>
      </c>
      <c r="U275" s="236" t="str">
        <f t="shared" si="334"/>
        <v>X</v>
      </c>
      <c r="V275" s="236" t="str">
        <f t="shared" si="335"/>
        <v/>
      </c>
      <c r="W275" s="236" t="str">
        <f t="shared" si="336"/>
        <v/>
      </c>
      <c r="X275" s="236" t="str">
        <f t="shared" si="337"/>
        <v/>
      </c>
      <c r="Y275" s="236" t="str">
        <f t="shared" si="338"/>
        <v/>
      </c>
      <c r="Z275" s="235" t="str">
        <f t="shared" si="339"/>
        <v/>
      </c>
      <c r="AB275" s="1062"/>
    </row>
    <row r="276" spans="1:28" ht="13.9" customHeight="1" x14ac:dyDescent="0.25">
      <c r="A276" s="846">
        <f>Chem!A276</f>
        <v>274</v>
      </c>
      <c r="B276" s="855" t="str">
        <f>Chem!B276</f>
        <v>Malathion</v>
      </c>
      <c r="C276" s="532" t="s">
        <v>232</v>
      </c>
      <c r="D276" s="392" t="s">
        <v>232</v>
      </c>
      <c r="E276" s="384" t="s">
        <v>232</v>
      </c>
      <c r="F276" s="392" t="str">
        <f t="shared" si="324"/>
        <v>na</v>
      </c>
      <c r="G276" s="404">
        <f>'GW-Eq'!G276</f>
        <v>320</v>
      </c>
      <c r="H276" s="404" t="str">
        <f t="shared" si="325"/>
        <v>na</v>
      </c>
      <c r="I276" s="404" t="str">
        <f t="shared" si="326"/>
        <v>na</v>
      </c>
      <c r="J276" s="403">
        <f t="shared" si="327"/>
        <v>320</v>
      </c>
      <c r="K276" s="272" t="str">
        <f>'GW-Eq'!H276</f>
        <v>na</v>
      </c>
      <c r="L276" s="272" t="str">
        <f t="shared" si="328"/>
        <v>na</v>
      </c>
      <c r="M276" s="272" t="str">
        <f t="shared" si="329"/>
        <v>na</v>
      </c>
      <c r="N276" s="272" t="str">
        <f t="shared" si="330"/>
        <v>na</v>
      </c>
      <c r="O276" s="330">
        <f t="shared" si="251"/>
        <v>320</v>
      </c>
      <c r="P276" s="2523" t="str">
        <f>VI!F276</f>
        <v>na</v>
      </c>
      <c r="R276" s="264">
        <f t="shared" si="331"/>
        <v>320</v>
      </c>
      <c r="S276" s="236" t="str">
        <f t="shared" si="332"/>
        <v/>
      </c>
      <c r="T276" s="236" t="str">
        <f t="shared" si="333"/>
        <v/>
      </c>
      <c r="U276" s="236" t="str">
        <f t="shared" si="334"/>
        <v/>
      </c>
      <c r="V276" s="236" t="str">
        <f t="shared" si="335"/>
        <v>X</v>
      </c>
      <c r="W276" s="236" t="str">
        <f t="shared" si="336"/>
        <v/>
      </c>
      <c r="X276" s="236" t="str">
        <f t="shared" si="337"/>
        <v/>
      </c>
      <c r="Y276" s="236" t="str">
        <f t="shared" si="338"/>
        <v/>
      </c>
      <c r="Z276" s="235" t="str">
        <f t="shared" si="339"/>
        <v/>
      </c>
      <c r="AB276" s="1062"/>
    </row>
    <row r="277" spans="1:28" ht="13.9" customHeight="1" x14ac:dyDescent="0.25">
      <c r="A277" s="846">
        <f>Chem!A277</f>
        <v>275</v>
      </c>
      <c r="B277" s="855" t="str">
        <f>Chem!B277</f>
        <v>Methoxychlor</v>
      </c>
      <c r="C277" s="532">
        <v>40</v>
      </c>
      <c r="D277" s="392">
        <v>40</v>
      </c>
      <c r="E277" s="392">
        <v>40</v>
      </c>
      <c r="F277" s="392">
        <f t="shared" si="324"/>
        <v>40</v>
      </c>
      <c r="G277" s="404">
        <f>'GW-Eq'!G277</f>
        <v>80</v>
      </c>
      <c r="H277" s="404">
        <f t="shared" si="325"/>
        <v>0.5</v>
      </c>
      <c r="I277" s="404" t="str">
        <f t="shared" si="326"/>
        <v>no</v>
      </c>
      <c r="J277" s="403">
        <f t="shared" si="327"/>
        <v>40</v>
      </c>
      <c r="K277" s="272" t="str">
        <f>'GW-Eq'!H277</f>
        <v>na</v>
      </c>
      <c r="L277" s="272" t="str">
        <f t="shared" si="328"/>
        <v>na</v>
      </c>
      <c r="M277" s="272" t="str">
        <f t="shared" si="329"/>
        <v>na</v>
      </c>
      <c r="N277" s="272" t="str">
        <f t="shared" si="330"/>
        <v>na</v>
      </c>
      <c r="O277" s="330">
        <f t="shared" si="251"/>
        <v>40</v>
      </c>
      <c r="P277" s="2523" t="str">
        <f>VI!F277</f>
        <v>na</v>
      </c>
      <c r="R277" s="264">
        <f t="shared" si="331"/>
        <v>40</v>
      </c>
      <c r="S277" s="236" t="str">
        <f t="shared" si="332"/>
        <v>X</v>
      </c>
      <c r="T277" s="236" t="str">
        <f t="shared" si="333"/>
        <v>X</v>
      </c>
      <c r="U277" s="236" t="str">
        <f t="shared" si="334"/>
        <v>X</v>
      </c>
      <c r="V277" s="236" t="str">
        <f t="shared" si="335"/>
        <v/>
      </c>
      <c r="W277" s="236" t="str">
        <f t="shared" si="336"/>
        <v/>
      </c>
      <c r="X277" s="236" t="str">
        <f t="shared" si="337"/>
        <v/>
      </c>
      <c r="Y277" s="236" t="str">
        <f t="shared" si="338"/>
        <v/>
      </c>
      <c r="Z277" s="235" t="str">
        <f t="shared" si="339"/>
        <v/>
      </c>
      <c r="AB277" s="1062"/>
    </row>
    <row r="278" spans="1:28" ht="13.9" customHeight="1" x14ac:dyDescent="0.25">
      <c r="A278" s="846">
        <f>Chem!A278</f>
        <v>276</v>
      </c>
      <c r="B278" s="855" t="str">
        <f>Chem!B278</f>
        <v>Mirex</v>
      </c>
      <c r="C278" s="532" t="s">
        <v>232</v>
      </c>
      <c r="D278" s="392" t="s">
        <v>232</v>
      </c>
      <c r="E278" s="384" t="s">
        <v>232</v>
      </c>
      <c r="F278" s="392" t="str">
        <f t="shared" si="324"/>
        <v>na</v>
      </c>
      <c r="G278" s="404">
        <f>'GW-Eq'!G278</f>
        <v>1.6</v>
      </c>
      <c r="H278" s="404" t="str">
        <f t="shared" si="325"/>
        <v>na</v>
      </c>
      <c r="I278" s="404" t="str">
        <f t="shared" si="326"/>
        <v>na</v>
      </c>
      <c r="J278" s="403">
        <f t="shared" si="327"/>
        <v>1.6</v>
      </c>
      <c r="K278" s="272">
        <f>'GW-Eq'!H278</f>
        <v>2.4305555555555552E-3</v>
      </c>
      <c r="L278" s="272" t="str">
        <f t="shared" si="328"/>
        <v>na</v>
      </c>
      <c r="M278" s="272" t="str">
        <f t="shared" si="329"/>
        <v>na</v>
      </c>
      <c r="N278" s="272">
        <f t="shared" si="330"/>
        <v>2.4305555555555552E-3</v>
      </c>
      <c r="O278" s="330">
        <f t="shared" si="251"/>
        <v>2.4305555555555552E-3</v>
      </c>
      <c r="P278" s="2523">
        <f>VI!F278</f>
        <v>1.4784458789681092E-2</v>
      </c>
      <c r="R278" s="264">
        <f t="shared" si="331"/>
        <v>2.4305555555555552E-3</v>
      </c>
      <c r="S278" s="236" t="str">
        <f t="shared" si="332"/>
        <v/>
      </c>
      <c r="T278" s="236" t="str">
        <f t="shared" si="333"/>
        <v/>
      </c>
      <c r="U278" s="236" t="str">
        <f t="shared" si="334"/>
        <v/>
      </c>
      <c r="V278" s="236" t="str">
        <f t="shared" si="335"/>
        <v/>
      </c>
      <c r="W278" s="236" t="str">
        <f t="shared" si="336"/>
        <v>X</v>
      </c>
      <c r="X278" s="236" t="str">
        <f t="shared" si="337"/>
        <v/>
      </c>
      <c r="Y278" s="236" t="str">
        <f t="shared" si="338"/>
        <v/>
      </c>
      <c r="Z278" s="235" t="str">
        <f t="shared" si="339"/>
        <v/>
      </c>
      <c r="AB278" s="1062"/>
    </row>
    <row r="279" spans="1:28" ht="13.9" customHeight="1" x14ac:dyDescent="0.25">
      <c r="A279" s="846">
        <f>Chem!A279</f>
        <v>277</v>
      </c>
      <c r="B279" s="855" t="str">
        <f>Chem!B279</f>
        <v>Nonachlor</v>
      </c>
      <c r="C279" s="532" t="s">
        <v>232</v>
      </c>
      <c r="D279" s="392" t="s">
        <v>232</v>
      </c>
      <c r="E279" s="384" t="s">
        <v>232</v>
      </c>
      <c r="F279" s="392" t="str">
        <f t="shared" si="324"/>
        <v>na</v>
      </c>
      <c r="G279" s="404" t="str">
        <f>'GW-Eq'!G279</f>
        <v>na</v>
      </c>
      <c r="H279" s="404" t="str">
        <f t="shared" si="325"/>
        <v>na</v>
      </c>
      <c r="I279" s="404" t="str">
        <f t="shared" si="326"/>
        <v>na</v>
      </c>
      <c r="J279" s="403" t="str">
        <f t="shared" si="327"/>
        <v>na</v>
      </c>
      <c r="K279" s="272" t="str">
        <f>'GW-Eq'!H279</f>
        <v>na</v>
      </c>
      <c r="L279" s="272" t="str">
        <f t="shared" si="328"/>
        <v>na</v>
      </c>
      <c r="M279" s="272" t="str">
        <f t="shared" si="329"/>
        <v>na</v>
      </c>
      <c r="N279" s="272" t="str">
        <f t="shared" si="330"/>
        <v>na</v>
      </c>
      <c r="O279" s="330" t="str">
        <f t="shared" si="251"/>
        <v>na</v>
      </c>
      <c r="P279" s="2523" t="str">
        <f>VI!F279</f>
        <v>na</v>
      </c>
      <c r="R279" s="264" t="str">
        <f t="shared" si="331"/>
        <v>na</v>
      </c>
      <c r="S279" s="236" t="str">
        <f t="shared" si="332"/>
        <v/>
      </c>
      <c r="T279" s="236" t="str">
        <f t="shared" si="333"/>
        <v/>
      </c>
      <c r="U279" s="236" t="str">
        <f t="shared" si="334"/>
        <v/>
      </c>
      <c r="V279" s="236" t="str">
        <f t="shared" si="335"/>
        <v/>
      </c>
      <c r="W279" s="236" t="str">
        <f t="shared" si="336"/>
        <v/>
      </c>
      <c r="X279" s="236" t="str">
        <f t="shared" si="337"/>
        <v/>
      </c>
      <c r="Y279" s="236" t="str">
        <f t="shared" si="338"/>
        <v/>
      </c>
      <c r="Z279" s="235" t="str">
        <f t="shared" si="339"/>
        <v/>
      </c>
      <c r="AB279" s="1062"/>
    </row>
    <row r="280" spans="1:28" ht="13.9" customHeight="1" x14ac:dyDescent="0.25">
      <c r="A280" s="1661">
        <f>Chem!A280</f>
        <v>278</v>
      </c>
      <c r="B280" s="885" t="str">
        <f>Chem!B280</f>
        <v>Toxaphene</v>
      </c>
      <c r="C280" s="533">
        <v>3</v>
      </c>
      <c r="D280" s="385" t="s">
        <v>232</v>
      </c>
      <c r="E280" s="533">
        <v>3</v>
      </c>
      <c r="F280" s="385">
        <f t="shared" si="324"/>
        <v>3</v>
      </c>
      <c r="G280" s="401">
        <f>'GW-Eq'!G280</f>
        <v>1.4400000000000002</v>
      </c>
      <c r="H280" s="401">
        <f t="shared" si="325"/>
        <v>2.083333333333333</v>
      </c>
      <c r="I280" s="401" t="str">
        <f t="shared" si="326"/>
        <v>YES</v>
      </c>
      <c r="J280" s="401">
        <f t="shared" si="327"/>
        <v>1.4400000000000002</v>
      </c>
      <c r="K280" s="274">
        <f>'GW-Eq'!H280</f>
        <v>7.9545454545454516E-2</v>
      </c>
      <c r="L280" s="274">
        <f t="shared" si="328"/>
        <v>37.71428571428573</v>
      </c>
      <c r="M280" s="274" t="str">
        <f t="shared" si="329"/>
        <v>YES</v>
      </c>
      <c r="N280" s="274">
        <f t="shared" si="330"/>
        <v>0.79545454545454519</v>
      </c>
      <c r="O280" s="355">
        <f t="shared" si="251"/>
        <v>0.79545454545454519</v>
      </c>
      <c r="P280" s="2525" t="str">
        <f>VI!F280</f>
        <v>na</v>
      </c>
      <c r="R280" s="1182">
        <f t="shared" si="331"/>
        <v>0.79545454545454519</v>
      </c>
      <c r="S280" s="1183" t="str">
        <f t="shared" si="332"/>
        <v/>
      </c>
      <c r="T280" s="1183" t="str">
        <f t="shared" si="333"/>
        <v/>
      </c>
      <c r="U280" s="1183" t="str">
        <f t="shared" si="334"/>
        <v/>
      </c>
      <c r="V280" s="1183" t="str">
        <f t="shared" si="335"/>
        <v/>
      </c>
      <c r="W280" s="1183" t="str">
        <f t="shared" si="336"/>
        <v/>
      </c>
      <c r="X280" s="1183" t="str">
        <f t="shared" si="337"/>
        <v/>
      </c>
      <c r="Y280" s="1183" t="str">
        <f t="shared" si="338"/>
        <v>X</v>
      </c>
      <c r="Z280" s="1184" t="str">
        <f t="shared" si="339"/>
        <v/>
      </c>
      <c r="AB280" s="1137"/>
    </row>
    <row r="281" spans="1:28" ht="13.9" customHeight="1" x14ac:dyDescent="0.25">
      <c r="A281" s="1197">
        <f>Chem!A281</f>
        <v>279</v>
      </c>
      <c r="B281" s="1151" t="str">
        <f>Chem!B281</f>
        <v>Herbicides</v>
      </c>
      <c r="C281" s="2348"/>
      <c r="D281" s="2348"/>
      <c r="E281" s="2348"/>
      <c r="F281" s="2348"/>
      <c r="G281" s="2348"/>
      <c r="H281" s="2348"/>
      <c r="I281" s="2348"/>
      <c r="J281" s="2348"/>
      <c r="K281" s="2348"/>
      <c r="L281" s="2348"/>
      <c r="M281" s="2348"/>
      <c r="N281" s="2348"/>
      <c r="O281" s="2348"/>
      <c r="P281" s="2362"/>
      <c r="R281" s="1185" t="str">
        <f>B281</f>
        <v>Herbicides</v>
      </c>
      <c r="S281" s="127"/>
      <c r="T281" s="127"/>
      <c r="U281" s="127"/>
      <c r="V281" s="127"/>
      <c r="W281" s="127"/>
      <c r="X281" s="127"/>
      <c r="Y281" s="127"/>
      <c r="Z281" s="2364"/>
      <c r="AB281" s="1063"/>
    </row>
    <row r="282" spans="1:28" ht="13.9" customHeight="1" x14ac:dyDescent="0.25">
      <c r="A282" s="846">
        <f>Chem!A282</f>
        <v>280</v>
      </c>
      <c r="B282" s="1698" t="str">
        <f>Chem!B282</f>
        <v>2,4-Dichlorophenoxyacetic acid (2,4-D)</v>
      </c>
      <c r="C282" s="384">
        <v>70</v>
      </c>
      <c r="D282" s="392">
        <v>70</v>
      </c>
      <c r="E282" s="384">
        <v>70</v>
      </c>
      <c r="F282" s="392">
        <f t="shared" si="324"/>
        <v>70</v>
      </c>
      <c r="G282" s="404">
        <f>'GW-Eq'!G282</f>
        <v>160</v>
      </c>
      <c r="H282" s="404">
        <f t="shared" si="325"/>
        <v>0.4375</v>
      </c>
      <c r="I282" s="404" t="str">
        <f t="shared" si="326"/>
        <v>no</v>
      </c>
      <c r="J282" s="403">
        <f t="shared" si="327"/>
        <v>70</v>
      </c>
      <c r="K282" s="272" t="str">
        <f>'GW-Eq'!H282</f>
        <v>na</v>
      </c>
      <c r="L282" s="272" t="str">
        <f t="shared" si="328"/>
        <v>na</v>
      </c>
      <c r="M282" s="272" t="str">
        <f t="shared" si="329"/>
        <v>na</v>
      </c>
      <c r="N282" s="272" t="str">
        <f t="shared" si="330"/>
        <v>na</v>
      </c>
      <c r="O282" s="330">
        <f t="shared" si="251"/>
        <v>70</v>
      </c>
      <c r="P282" s="2523" t="str">
        <f>VI!F282</f>
        <v>na</v>
      </c>
      <c r="R282" s="264">
        <f t="shared" ref="R282:R291" si="362">IF(MIN(O282,P282)=0,"na",MIN(O282,P282))</f>
        <v>70</v>
      </c>
      <c r="S282" s="236" t="str">
        <f t="shared" ref="S282:S291" si="363">IF($R282="na","",IF($R282=$C282,"X",""))</f>
        <v>X</v>
      </c>
      <c r="T282" s="236" t="str">
        <f t="shared" ref="T282:T291" si="364">IF($R282="na","",IF($R282=$D282,"X",""))</f>
        <v>X</v>
      </c>
      <c r="U282" s="236" t="str">
        <f t="shared" ref="U282:U291" si="365">IF($R282="na","",IF($R282=$E282,"X",""))</f>
        <v>X</v>
      </c>
      <c r="V282" s="236" t="str">
        <f t="shared" ref="V282:V291" si="366">IF($R282="na","",IF(AND($F282="na",$R282=$J282),"X",""))</f>
        <v/>
      </c>
      <c r="W282" s="236" t="str">
        <f t="shared" ref="W282:W291" si="367">IF($R282="na","",IF(AND($F282="na",$R282=$N282),"X",""))</f>
        <v/>
      </c>
      <c r="X282" s="236" t="str">
        <f t="shared" ref="X282:X291" si="368">IF(OR($R282="na",$J282="na"),"",IF(AND(ISNUMBER($F282),I282="YES",$R282=$J282),"X",""))</f>
        <v/>
      </c>
      <c r="Y282" s="236" t="str">
        <f t="shared" ref="Y282:Y291" si="369">IF(OR($R282="na",$N282="na"),"",IF(AND(ISNUMBER($F282),$R282=10*$K282),"X",""))</f>
        <v/>
      </c>
      <c r="Z282" s="235" t="str">
        <f t="shared" ref="Z282:Z291" si="370">IF($R282="na","",IF($R282=$P282,"X",""))</f>
        <v/>
      </c>
      <c r="AB282" s="1062"/>
    </row>
    <row r="283" spans="1:28" ht="13.9" customHeight="1" x14ac:dyDescent="0.25">
      <c r="A283" s="846">
        <f>Chem!A283</f>
        <v>281</v>
      </c>
      <c r="B283" s="1699" t="str">
        <f>Chem!B283</f>
        <v>4-(2,4-Dichlorophenoxy)butanoic acid 2,4-DB</v>
      </c>
      <c r="C283" s="384" t="s">
        <v>232</v>
      </c>
      <c r="D283" s="392" t="s">
        <v>232</v>
      </c>
      <c r="E283" s="384" t="s">
        <v>232</v>
      </c>
      <c r="F283" s="392" t="str">
        <f t="shared" si="324"/>
        <v>na</v>
      </c>
      <c r="G283" s="404" t="str">
        <f>'GW-Eq'!G283</f>
        <v>na</v>
      </c>
      <c r="H283" s="404" t="str">
        <f t="shared" si="325"/>
        <v>na</v>
      </c>
      <c r="I283" s="404" t="str">
        <f t="shared" si="326"/>
        <v>na</v>
      </c>
      <c r="J283" s="403" t="str">
        <f t="shared" si="327"/>
        <v>na</v>
      </c>
      <c r="K283" s="272" t="str">
        <f>'GW-Eq'!H283</f>
        <v>na</v>
      </c>
      <c r="L283" s="272" t="str">
        <f t="shared" si="328"/>
        <v>na</v>
      </c>
      <c r="M283" s="272" t="str">
        <f t="shared" si="329"/>
        <v>na</v>
      </c>
      <c r="N283" s="272" t="str">
        <f t="shared" si="330"/>
        <v>na</v>
      </c>
      <c r="O283" s="330" t="str">
        <f t="shared" si="251"/>
        <v>na</v>
      </c>
      <c r="P283" s="2523" t="str">
        <f>VI!F283</f>
        <v>na</v>
      </c>
      <c r="R283" s="264" t="str">
        <f t="shared" si="362"/>
        <v>na</v>
      </c>
      <c r="S283" s="236" t="str">
        <f t="shared" si="363"/>
        <v/>
      </c>
      <c r="T283" s="236" t="str">
        <f t="shared" si="364"/>
        <v/>
      </c>
      <c r="U283" s="236" t="str">
        <f t="shared" si="365"/>
        <v/>
      </c>
      <c r="V283" s="236" t="str">
        <f t="shared" si="366"/>
        <v/>
      </c>
      <c r="W283" s="236" t="str">
        <f t="shared" si="367"/>
        <v/>
      </c>
      <c r="X283" s="236" t="str">
        <f t="shared" si="368"/>
        <v/>
      </c>
      <c r="Y283" s="236" t="str">
        <f t="shared" si="369"/>
        <v/>
      </c>
      <c r="Z283" s="235" t="str">
        <f t="shared" si="370"/>
        <v/>
      </c>
      <c r="AB283" s="1062"/>
    </row>
    <row r="284" spans="1:28" ht="13.9" customHeight="1" x14ac:dyDescent="0.25">
      <c r="A284" s="846">
        <f>Chem!A284</f>
        <v>282</v>
      </c>
      <c r="B284" s="1699" t="str">
        <f>Chem!B284</f>
        <v>2-(2,4,5-Trichlorophenoxy)propionic acid (2,4,5-TP)</v>
      </c>
      <c r="C284" s="384">
        <v>50</v>
      </c>
      <c r="D284" s="392">
        <v>50</v>
      </c>
      <c r="E284" s="384">
        <v>50</v>
      </c>
      <c r="F284" s="392">
        <f t="shared" si="324"/>
        <v>50</v>
      </c>
      <c r="G284" s="404">
        <f>'GW-Eq'!G284</f>
        <v>128</v>
      </c>
      <c r="H284" s="404">
        <f t="shared" si="325"/>
        <v>0.390625</v>
      </c>
      <c r="I284" s="404" t="str">
        <f t="shared" si="326"/>
        <v>no</v>
      </c>
      <c r="J284" s="403">
        <f t="shared" si="327"/>
        <v>50</v>
      </c>
      <c r="K284" s="272" t="str">
        <f>'GW-Eq'!H284</f>
        <v>na</v>
      </c>
      <c r="L284" s="272" t="str">
        <f t="shared" si="328"/>
        <v>na</v>
      </c>
      <c r="M284" s="272" t="str">
        <f t="shared" si="329"/>
        <v>na</v>
      </c>
      <c r="N284" s="272" t="str">
        <f t="shared" si="330"/>
        <v>na</v>
      </c>
      <c r="O284" s="330">
        <f t="shared" si="251"/>
        <v>50</v>
      </c>
      <c r="P284" s="2523" t="str">
        <f>VI!F284</f>
        <v>na</v>
      </c>
      <c r="R284" s="264">
        <f t="shared" si="362"/>
        <v>50</v>
      </c>
      <c r="S284" s="236" t="str">
        <f t="shared" si="363"/>
        <v>X</v>
      </c>
      <c r="T284" s="236" t="str">
        <f t="shared" si="364"/>
        <v>X</v>
      </c>
      <c r="U284" s="236" t="str">
        <f t="shared" si="365"/>
        <v>X</v>
      </c>
      <c r="V284" s="236" t="str">
        <f t="shared" si="366"/>
        <v/>
      </c>
      <c r="W284" s="236" t="str">
        <f t="shared" si="367"/>
        <v/>
      </c>
      <c r="X284" s="236" t="str">
        <f t="shared" si="368"/>
        <v/>
      </c>
      <c r="Y284" s="236" t="str">
        <f t="shared" si="369"/>
        <v/>
      </c>
      <c r="Z284" s="235" t="str">
        <f t="shared" si="370"/>
        <v/>
      </c>
      <c r="AB284" s="1062"/>
    </row>
    <row r="285" spans="1:28" ht="13.9" customHeight="1" x14ac:dyDescent="0.25">
      <c r="A285" s="846">
        <f>Chem!A285</f>
        <v>283</v>
      </c>
      <c r="B285" s="1699" t="str">
        <f>Chem!B285</f>
        <v>2,4,5-Trichlorophenoxyacetic acid (2,4,5-T)</v>
      </c>
      <c r="C285" s="384" t="s">
        <v>232</v>
      </c>
      <c r="D285" s="392" t="s">
        <v>232</v>
      </c>
      <c r="E285" s="384" t="s">
        <v>232</v>
      </c>
      <c r="F285" s="392" t="str">
        <f t="shared" si="324"/>
        <v>na</v>
      </c>
      <c r="G285" s="404">
        <f>'GW-Eq'!G285</f>
        <v>160</v>
      </c>
      <c r="H285" s="404" t="str">
        <f t="shared" si="325"/>
        <v>na</v>
      </c>
      <c r="I285" s="404" t="str">
        <f t="shared" si="326"/>
        <v>na</v>
      </c>
      <c r="J285" s="403">
        <f t="shared" si="327"/>
        <v>160</v>
      </c>
      <c r="K285" s="272" t="str">
        <f>'GW-Eq'!H285</f>
        <v>na</v>
      </c>
      <c r="L285" s="272" t="str">
        <f t="shared" si="328"/>
        <v>na</v>
      </c>
      <c r="M285" s="272" t="str">
        <f t="shared" si="329"/>
        <v>na</v>
      </c>
      <c r="N285" s="272" t="str">
        <f t="shared" si="330"/>
        <v>na</v>
      </c>
      <c r="O285" s="330">
        <f t="shared" si="251"/>
        <v>160</v>
      </c>
      <c r="P285" s="2523" t="str">
        <f>VI!F285</f>
        <v>na</v>
      </c>
      <c r="R285" s="264">
        <f t="shared" si="362"/>
        <v>160</v>
      </c>
      <c r="S285" s="236" t="str">
        <f t="shared" si="363"/>
        <v/>
      </c>
      <c r="T285" s="236" t="str">
        <f t="shared" si="364"/>
        <v/>
      </c>
      <c r="U285" s="236" t="str">
        <f t="shared" si="365"/>
        <v/>
      </c>
      <c r="V285" s="236" t="str">
        <f t="shared" si="366"/>
        <v>X</v>
      </c>
      <c r="W285" s="236" t="str">
        <f t="shared" si="367"/>
        <v/>
      </c>
      <c r="X285" s="236" t="str">
        <f t="shared" si="368"/>
        <v/>
      </c>
      <c r="Y285" s="236" t="str">
        <f t="shared" si="369"/>
        <v/>
      </c>
      <c r="Z285" s="235" t="str">
        <f t="shared" si="370"/>
        <v/>
      </c>
      <c r="AB285" s="1062"/>
    </row>
    <row r="286" spans="1:28" ht="13.9" customHeight="1" x14ac:dyDescent="0.25">
      <c r="A286" s="846">
        <f>Chem!A286</f>
        <v>284</v>
      </c>
      <c r="B286" s="1699" t="str">
        <f>Chem!B286</f>
        <v>Dalapon</v>
      </c>
      <c r="C286" s="384">
        <v>200</v>
      </c>
      <c r="D286" s="392">
        <v>200</v>
      </c>
      <c r="E286" s="384">
        <v>200</v>
      </c>
      <c r="F286" s="392">
        <f t="shared" si="324"/>
        <v>200</v>
      </c>
      <c r="G286" s="404">
        <f>'GW-Eq'!G286</f>
        <v>480</v>
      </c>
      <c r="H286" s="404">
        <f t="shared" si="325"/>
        <v>0.41666666666666669</v>
      </c>
      <c r="I286" s="404" t="str">
        <f t="shared" si="326"/>
        <v>no</v>
      </c>
      <c r="J286" s="403">
        <f t="shared" si="327"/>
        <v>200</v>
      </c>
      <c r="K286" s="272" t="str">
        <f>'GW-Eq'!H286</f>
        <v>na</v>
      </c>
      <c r="L286" s="272" t="str">
        <f t="shared" si="328"/>
        <v>na</v>
      </c>
      <c r="M286" s="272" t="str">
        <f t="shared" si="329"/>
        <v>na</v>
      </c>
      <c r="N286" s="272" t="str">
        <f t="shared" si="330"/>
        <v>na</v>
      </c>
      <c r="O286" s="330">
        <f t="shared" si="251"/>
        <v>200</v>
      </c>
      <c r="P286" s="2523" t="str">
        <f>VI!F286</f>
        <v>na</v>
      </c>
      <c r="R286" s="264">
        <f t="shared" si="362"/>
        <v>200</v>
      </c>
      <c r="S286" s="236" t="str">
        <f t="shared" si="363"/>
        <v>X</v>
      </c>
      <c r="T286" s="236" t="str">
        <f t="shared" si="364"/>
        <v>X</v>
      </c>
      <c r="U286" s="236" t="str">
        <f t="shared" si="365"/>
        <v>X</v>
      </c>
      <c r="V286" s="236" t="str">
        <f t="shared" si="366"/>
        <v/>
      </c>
      <c r="W286" s="236" t="str">
        <f t="shared" si="367"/>
        <v/>
      </c>
      <c r="X286" s="236" t="str">
        <f t="shared" si="368"/>
        <v/>
      </c>
      <c r="Y286" s="236" t="str">
        <f t="shared" si="369"/>
        <v/>
      </c>
      <c r="Z286" s="235" t="str">
        <f t="shared" si="370"/>
        <v/>
      </c>
      <c r="AB286" s="1062"/>
    </row>
    <row r="287" spans="1:28" ht="13.9" customHeight="1" x14ac:dyDescent="0.25">
      <c r="A287" s="846">
        <f>Chem!A287</f>
        <v>285</v>
      </c>
      <c r="B287" s="1699" t="str">
        <f>Chem!B287</f>
        <v>Dicamba</v>
      </c>
      <c r="C287" s="384" t="s">
        <v>232</v>
      </c>
      <c r="D287" s="392" t="s">
        <v>232</v>
      </c>
      <c r="E287" s="384" t="s">
        <v>232</v>
      </c>
      <c r="F287" s="392" t="str">
        <f t="shared" si="324"/>
        <v>na</v>
      </c>
      <c r="G287" s="404">
        <f>'GW-Eq'!G287</f>
        <v>480</v>
      </c>
      <c r="H287" s="404" t="str">
        <f t="shared" si="325"/>
        <v>na</v>
      </c>
      <c r="I287" s="404" t="str">
        <f t="shared" si="326"/>
        <v>na</v>
      </c>
      <c r="J287" s="403">
        <f t="shared" si="327"/>
        <v>480</v>
      </c>
      <c r="K287" s="272" t="str">
        <f>'GW-Eq'!H287</f>
        <v>na</v>
      </c>
      <c r="L287" s="272" t="str">
        <f t="shared" si="328"/>
        <v>na</v>
      </c>
      <c r="M287" s="272" t="str">
        <f t="shared" si="329"/>
        <v>na</v>
      </c>
      <c r="N287" s="272" t="str">
        <f t="shared" si="330"/>
        <v>na</v>
      </c>
      <c r="O287" s="330">
        <f t="shared" si="251"/>
        <v>480</v>
      </c>
      <c r="P287" s="2523" t="str">
        <f>VI!F287</f>
        <v>na</v>
      </c>
      <c r="R287" s="264">
        <f t="shared" si="362"/>
        <v>480</v>
      </c>
      <c r="S287" s="236" t="str">
        <f t="shared" si="363"/>
        <v/>
      </c>
      <c r="T287" s="236" t="str">
        <f t="shared" si="364"/>
        <v/>
      </c>
      <c r="U287" s="236" t="str">
        <f t="shared" si="365"/>
        <v/>
      </c>
      <c r="V287" s="236" t="str">
        <f t="shared" si="366"/>
        <v>X</v>
      </c>
      <c r="W287" s="236" t="str">
        <f t="shared" si="367"/>
        <v/>
      </c>
      <c r="X287" s="236" t="str">
        <f t="shared" si="368"/>
        <v/>
      </c>
      <c r="Y287" s="236" t="str">
        <f t="shared" si="369"/>
        <v/>
      </c>
      <c r="Z287" s="235" t="str">
        <f t="shared" si="370"/>
        <v/>
      </c>
      <c r="AB287" s="1062"/>
    </row>
    <row r="288" spans="1:28" ht="13.9" customHeight="1" x14ac:dyDescent="0.25">
      <c r="A288" s="846">
        <f>Chem!A288</f>
        <v>286</v>
      </c>
      <c r="B288" s="1699" t="str">
        <f>Chem!B288</f>
        <v>Dichloroprop</v>
      </c>
      <c r="C288" s="384" t="s">
        <v>232</v>
      </c>
      <c r="D288" s="392" t="s">
        <v>232</v>
      </c>
      <c r="E288" s="384" t="s">
        <v>232</v>
      </c>
      <c r="F288" s="392" t="str">
        <f t="shared" si="324"/>
        <v>na</v>
      </c>
      <c r="G288" s="404" t="str">
        <f>'GW-Eq'!G288</f>
        <v>na</v>
      </c>
      <c r="H288" s="404" t="str">
        <f t="shared" si="325"/>
        <v>na</v>
      </c>
      <c r="I288" s="404" t="str">
        <f t="shared" si="326"/>
        <v>na</v>
      </c>
      <c r="J288" s="403" t="str">
        <f t="shared" si="327"/>
        <v>na</v>
      </c>
      <c r="K288" s="272" t="str">
        <f>'GW-Eq'!H288</f>
        <v>na</v>
      </c>
      <c r="L288" s="272" t="str">
        <f t="shared" si="328"/>
        <v>na</v>
      </c>
      <c r="M288" s="272" t="str">
        <f t="shared" si="329"/>
        <v>na</v>
      </c>
      <c r="N288" s="272" t="str">
        <f t="shared" si="330"/>
        <v>na</v>
      </c>
      <c r="O288" s="330" t="str">
        <f t="shared" si="251"/>
        <v>na</v>
      </c>
      <c r="P288" s="2523" t="str">
        <f>VI!F288</f>
        <v>na</v>
      </c>
      <c r="R288" s="264" t="str">
        <f t="shared" si="362"/>
        <v>na</v>
      </c>
      <c r="S288" s="236" t="str">
        <f t="shared" si="363"/>
        <v/>
      </c>
      <c r="T288" s="236" t="str">
        <f t="shared" si="364"/>
        <v/>
      </c>
      <c r="U288" s="236" t="str">
        <f t="shared" si="365"/>
        <v/>
      </c>
      <c r="V288" s="236" t="str">
        <f t="shared" si="366"/>
        <v/>
      </c>
      <c r="W288" s="236" t="str">
        <f t="shared" si="367"/>
        <v/>
      </c>
      <c r="X288" s="236" t="str">
        <f t="shared" si="368"/>
        <v/>
      </c>
      <c r="Y288" s="236" t="str">
        <f t="shared" si="369"/>
        <v/>
      </c>
      <c r="Z288" s="235" t="str">
        <f t="shared" si="370"/>
        <v/>
      </c>
      <c r="AB288" s="1062"/>
    </row>
    <row r="289" spans="1:28" ht="13.9" customHeight="1" x14ac:dyDescent="0.25">
      <c r="A289" s="846">
        <f>Chem!A289</f>
        <v>287</v>
      </c>
      <c r="B289" s="1699" t="str">
        <f>Chem!B289</f>
        <v>Dinoseb</v>
      </c>
      <c r="C289" s="384">
        <v>7</v>
      </c>
      <c r="D289" s="392">
        <v>7</v>
      </c>
      <c r="E289" s="384">
        <v>7</v>
      </c>
      <c r="F289" s="392">
        <f t="shared" si="324"/>
        <v>7</v>
      </c>
      <c r="G289" s="404">
        <f>'GW-Eq'!G289</f>
        <v>16</v>
      </c>
      <c r="H289" s="404">
        <f t="shared" si="325"/>
        <v>0.4375</v>
      </c>
      <c r="I289" s="404" t="str">
        <f t="shared" si="326"/>
        <v>no</v>
      </c>
      <c r="J289" s="403">
        <f t="shared" si="327"/>
        <v>7</v>
      </c>
      <c r="K289" s="272" t="str">
        <f>'GW-Eq'!H289</f>
        <v>na</v>
      </c>
      <c r="L289" s="272" t="str">
        <f t="shared" si="328"/>
        <v>na</v>
      </c>
      <c r="M289" s="272" t="str">
        <f t="shared" si="329"/>
        <v>na</v>
      </c>
      <c r="N289" s="272" t="str">
        <f t="shared" si="330"/>
        <v>na</v>
      </c>
      <c r="O289" s="330">
        <f t="shared" si="251"/>
        <v>7</v>
      </c>
      <c r="P289" s="2523" t="str">
        <f>VI!F289</f>
        <v>na</v>
      </c>
      <c r="R289" s="264">
        <f t="shared" si="362"/>
        <v>7</v>
      </c>
      <c r="S289" s="236" t="str">
        <f t="shared" si="363"/>
        <v>X</v>
      </c>
      <c r="T289" s="236" t="str">
        <f t="shared" si="364"/>
        <v>X</v>
      </c>
      <c r="U289" s="236" t="str">
        <f t="shared" si="365"/>
        <v>X</v>
      </c>
      <c r="V289" s="236" t="str">
        <f t="shared" si="366"/>
        <v/>
      </c>
      <c r="W289" s="236" t="str">
        <f t="shared" si="367"/>
        <v/>
      </c>
      <c r="X289" s="236" t="str">
        <f t="shared" si="368"/>
        <v/>
      </c>
      <c r="Y289" s="236" t="str">
        <f t="shared" si="369"/>
        <v/>
      </c>
      <c r="Z289" s="235" t="str">
        <f t="shared" si="370"/>
        <v/>
      </c>
      <c r="AB289" s="1062"/>
    </row>
    <row r="290" spans="1:28" ht="13.9" customHeight="1" x14ac:dyDescent="0.25">
      <c r="A290" s="846">
        <f>Chem!A290</f>
        <v>288</v>
      </c>
      <c r="B290" s="1590" t="str">
        <f>Chem!B290</f>
        <v>2-Methyl-4-chlorophenoxy acetic acid (MCPA)</v>
      </c>
      <c r="C290" s="384" t="s">
        <v>232</v>
      </c>
      <c r="D290" s="392" t="s">
        <v>232</v>
      </c>
      <c r="E290" s="384" t="s">
        <v>232</v>
      </c>
      <c r="F290" s="392" t="str">
        <f t="shared" si="324"/>
        <v>na</v>
      </c>
      <c r="G290" s="404">
        <f>'GW-Eq'!G290</f>
        <v>8</v>
      </c>
      <c r="H290" s="404" t="str">
        <f t="shared" si="325"/>
        <v>na</v>
      </c>
      <c r="I290" s="404" t="str">
        <f t="shared" si="326"/>
        <v>na</v>
      </c>
      <c r="J290" s="403">
        <f t="shared" si="327"/>
        <v>8</v>
      </c>
      <c r="K290" s="272" t="str">
        <f>'GW-Eq'!H290</f>
        <v>na</v>
      </c>
      <c r="L290" s="272" t="str">
        <f t="shared" si="328"/>
        <v>na</v>
      </c>
      <c r="M290" s="272" t="str">
        <f t="shared" si="329"/>
        <v>na</v>
      </c>
      <c r="N290" s="272" t="str">
        <f t="shared" si="330"/>
        <v>na</v>
      </c>
      <c r="O290" s="330">
        <f t="shared" si="251"/>
        <v>8</v>
      </c>
      <c r="P290" s="2523" t="str">
        <f>VI!F290</f>
        <v>na</v>
      </c>
      <c r="R290" s="264">
        <f t="shared" si="362"/>
        <v>8</v>
      </c>
      <c r="S290" s="236" t="str">
        <f t="shared" si="363"/>
        <v/>
      </c>
      <c r="T290" s="236" t="str">
        <f t="shared" si="364"/>
        <v/>
      </c>
      <c r="U290" s="236" t="str">
        <f t="shared" si="365"/>
        <v/>
      </c>
      <c r="V290" s="236" t="str">
        <f t="shared" si="366"/>
        <v>X</v>
      </c>
      <c r="W290" s="236" t="str">
        <f t="shared" si="367"/>
        <v/>
      </c>
      <c r="X290" s="236" t="str">
        <f t="shared" si="368"/>
        <v/>
      </c>
      <c r="Y290" s="236" t="str">
        <f t="shared" si="369"/>
        <v/>
      </c>
      <c r="Z290" s="235" t="str">
        <f t="shared" si="370"/>
        <v/>
      </c>
      <c r="AB290" s="1062"/>
    </row>
    <row r="291" spans="1:28" ht="13.9" customHeight="1" thickBot="1" x14ac:dyDescent="0.3">
      <c r="A291" s="1662">
        <f>Chem!A291</f>
        <v>289</v>
      </c>
      <c r="B291" s="1590" t="str">
        <f>Chem!B291</f>
        <v>(2-Methyl-4-chlorophenol)2-propionic acid (MCPP)</v>
      </c>
      <c r="C291" s="384" t="s">
        <v>232</v>
      </c>
      <c r="D291" s="392" t="s">
        <v>232</v>
      </c>
      <c r="E291" s="384" t="s">
        <v>232</v>
      </c>
      <c r="F291" s="392" t="str">
        <f t="shared" si="324"/>
        <v>na</v>
      </c>
      <c r="G291" s="404">
        <f>'GW-Eq'!G291</f>
        <v>16</v>
      </c>
      <c r="H291" s="404" t="str">
        <f t="shared" si="325"/>
        <v>na</v>
      </c>
      <c r="I291" s="404" t="str">
        <f t="shared" si="326"/>
        <v>na</v>
      </c>
      <c r="J291" s="403">
        <f t="shared" si="327"/>
        <v>16</v>
      </c>
      <c r="K291" s="272" t="str">
        <f>'GW-Eq'!H291</f>
        <v>na</v>
      </c>
      <c r="L291" s="272" t="str">
        <f t="shared" si="328"/>
        <v>na</v>
      </c>
      <c r="M291" s="272" t="str">
        <f t="shared" si="329"/>
        <v>na</v>
      </c>
      <c r="N291" s="272" t="str">
        <f t="shared" si="330"/>
        <v>na</v>
      </c>
      <c r="O291" s="330">
        <f t="shared" si="251"/>
        <v>16</v>
      </c>
      <c r="P291" s="2532" t="str">
        <f>VI!F291</f>
        <v>na</v>
      </c>
      <c r="R291" s="276">
        <f t="shared" si="362"/>
        <v>16</v>
      </c>
      <c r="S291" s="237" t="str">
        <f t="shared" si="363"/>
        <v/>
      </c>
      <c r="T291" s="237" t="str">
        <f t="shared" si="364"/>
        <v/>
      </c>
      <c r="U291" s="237" t="str">
        <f t="shared" si="365"/>
        <v/>
      </c>
      <c r="V291" s="237" t="str">
        <f t="shared" si="366"/>
        <v>X</v>
      </c>
      <c r="W291" s="237" t="str">
        <f t="shared" si="367"/>
        <v/>
      </c>
      <c r="X291" s="237" t="str">
        <f t="shared" si="368"/>
        <v/>
      </c>
      <c r="Y291" s="237" t="str">
        <f t="shared" si="369"/>
        <v/>
      </c>
      <c r="Z291" s="238" t="str">
        <f t="shared" si="370"/>
        <v/>
      </c>
      <c r="AB291" s="1065"/>
    </row>
    <row r="292" spans="1:28" ht="13.9" customHeight="1" thickTop="1" x14ac:dyDescent="0.2">
      <c r="A292" s="280"/>
      <c r="B292" s="278"/>
      <c r="C292" s="140"/>
      <c r="D292" s="279"/>
      <c r="E292" s="279"/>
      <c r="F292" s="279"/>
      <c r="G292" s="140"/>
      <c r="H292" s="140"/>
      <c r="I292" s="335"/>
      <c r="J292" s="140"/>
      <c r="K292" s="140"/>
      <c r="L292" s="140"/>
      <c r="M292" s="140"/>
      <c r="N292" s="140"/>
      <c r="O292" s="140"/>
      <c r="P292" s="140"/>
      <c r="R292" s="829" t="s">
        <v>440</v>
      </c>
      <c r="S292" s="825">
        <f t="shared" ref="S292:Z292" si="371">COUNTIF(S$3:S$291,"X")</f>
        <v>34</v>
      </c>
      <c r="T292" s="825">
        <f t="shared" si="371"/>
        <v>25</v>
      </c>
      <c r="U292" s="825">
        <f t="shared" si="371"/>
        <v>37</v>
      </c>
      <c r="V292" s="825">
        <f t="shared" si="371"/>
        <v>90</v>
      </c>
      <c r="W292" s="825">
        <f t="shared" si="371"/>
        <v>44</v>
      </c>
      <c r="X292" s="825"/>
      <c r="Y292" s="825">
        <f t="shared" si="371"/>
        <v>14</v>
      </c>
      <c r="Z292" s="825">
        <f t="shared" si="371"/>
        <v>25</v>
      </c>
      <c r="AB292" s="968">
        <f>COUNTA(AB4:AB291)</f>
        <v>0</v>
      </c>
    </row>
    <row r="293" spans="1:28" ht="13.9" customHeight="1" x14ac:dyDescent="0.25">
      <c r="A293" s="280"/>
      <c r="B293" s="280"/>
    </row>
    <row r="294" spans="1:28" ht="13.9" customHeight="1" x14ac:dyDescent="0.25">
      <c r="A294" s="280"/>
      <c r="B294" s="260"/>
    </row>
    <row r="295" spans="1:28" ht="13.9" customHeight="1" x14ac:dyDescent="0.25">
      <c r="A295" s="283"/>
      <c r="B295" s="280"/>
    </row>
    <row r="296" spans="1:28" ht="13.9" customHeight="1" x14ac:dyDescent="0.25">
      <c r="A296" s="283"/>
      <c r="B296" s="280"/>
    </row>
    <row r="297" spans="1:28" ht="13.9" customHeight="1" x14ac:dyDescent="0.25">
      <c r="A297" s="283"/>
      <c r="B297" s="280"/>
    </row>
    <row r="298" spans="1:28" ht="13.9" customHeight="1" x14ac:dyDescent="0.25">
      <c r="A298" s="283"/>
      <c r="B298" s="280"/>
    </row>
    <row r="299" spans="1:28" ht="13.9" customHeight="1" x14ac:dyDescent="0.25"/>
    <row r="300" spans="1:28" ht="13.9" customHeight="1" x14ac:dyDescent="0.25">
      <c r="A300" s="283"/>
      <c r="B300" s="280"/>
    </row>
    <row r="301" spans="1:28" ht="13.9" customHeight="1" x14ac:dyDescent="0.25">
      <c r="B301" s="281"/>
    </row>
    <row r="302" spans="1:28" ht="13.9" customHeight="1" x14ac:dyDescent="0.25">
      <c r="B302" s="281"/>
    </row>
    <row r="303" spans="1:28" ht="13.9" customHeight="1" x14ac:dyDescent="0.25">
      <c r="B303" s="282"/>
    </row>
    <row r="304" spans="1:28" ht="13.9" customHeight="1" x14ac:dyDescent="0.25"/>
    <row r="305" ht="13.9" customHeight="1" x14ac:dyDescent="0.25"/>
    <row r="306" ht="13.9" customHeight="1" x14ac:dyDescent="0.25"/>
    <row r="307" ht="13.9" customHeight="1" x14ac:dyDescent="0.25"/>
    <row r="308" ht="13.9" customHeight="1" x14ac:dyDescent="0.25"/>
    <row r="309" ht="13.9" customHeight="1" x14ac:dyDescent="0.25"/>
    <row r="310" ht="13.9" customHeight="1" x14ac:dyDescent="0.25"/>
    <row r="311" ht="13.9" customHeight="1" x14ac:dyDescent="0.25"/>
    <row r="312" ht="13.9" customHeight="1" x14ac:dyDescent="0.25"/>
    <row r="313" ht="13.9" customHeight="1" x14ac:dyDescent="0.25"/>
    <row r="314" ht="13.9" customHeight="1" x14ac:dyDescent="0.25"/>
    <row r="315" ht="13.9" customHeight="1" x14ac:dyDescent="0.25"/>
    <row r="316" ht="13.9" customHeight="1" x14ac:dyDescent="0.25"/>
    <row r="317" ht="13.9" customHeight="1" x14ac:dyDescent="0.25"/>
    <row r="318" ht="13.9" customHeight="1" x14ac:dyDescent="0.25"/>
    <row r="319" ht="13.9" customHeight="1" x14ac:dyDescent="0.25"/>
    <row r="320" ht="13.9" customHeight="1" x14ac:dyDescent="0.25"/>
    <row r="321" ht="13.9" customHeight="1" x14ac:dyDescent="0.25"/>
    <row r="322" ht="13.9" customHeight="1" x14ac:dyDescent="0.25"/>
    <row r="323" ht="13.9" customHeight="1" x14ac:dyDescent="0.25"/>
    <row r="324" ht="13.9" customHeight="1" x14ac:dyDescent="0.25"/>
    <row r="325" ht="13.9" customHeight="1" x14ac:dyDescent="0.25"/>
    <row r="326" ht="13.9" customHeight="1" x14ac:dyDescent="0.25"/>
    <row r="327" ht="13.9" customHeight="1" x14ac:dyDescent="0.25"/>
    <row r="328" ht="13.9" customHeight="1" x14ac:dyDescent="0.25"/>
    <row r="329" ht="13.9" customHeight="1" x14ac:dyDescent="0.25"/>
    <row r="330" ht="13.9" customHeight="1" x14ac:dyDescent="0.25"/>
    <row r="331" ht="13.9" customHeight="1" x14ac:dyDescent="0.25"/>
    <row r="332" ht="13.9" customHeight="1" x14ac:dyDescent="0.25"/>
    <row r="333" ht="13.9" customHeight="1" x14ac:dyDescent="0.25"/>
    <row r="334" ht="13.9" customHeight="1" x14ac:dyDescent="0.25"/>
    <row r="335" ht="13.9" customHeight="1" x14ac:dyDescent="0.25"/>
    <row r="336" ht="13.9" customHeight="1" x14ac:dyDescent="0.25"/>
  </sheetData>
  <autoFilter ref="A2:AB291" xr:uid="{00000000-0009-0000-0000-00000C000000}"/>
  <mergeCells count="1">
    <mergeCell ref="S1:Z1"/>
  </mergeCells>
  <printOptions horizontalCentered="1"/>
  <pageMargins left="0.7" right="0.7" top="0.75" bottom="0.75" header="0.3" footer="0.3"/>
  <pageSetup paperSize="3" orientation="landscape" r:id="rId1"/>
  <headerFooter scaleWithDoc="0">
    <oddHeader xml:space="preserve">&amp;L
&amp;R
</oddHeader>
    <oddFooter>&amp;R&amp;"Arial,Regular"&amp;9Page &amp;P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AG332"/>
  <sheetViews>
    <sheetView zoomScaleNormal="100" workbookViewId="0">
      <pane xSplit="2" ySplit="2" topLeftCell="E265" activePane="bottomRight" state="frozen"/>
      <selection activeCell="B1" sqref="B1"/>
      <selection pane="topRight" activeCell="C1" sqref="C1"/>
      <selection pane="bottomLeft" activeCell="B3" sqref="B3"/>
      <selection pane="bottomRight" activeCell="I268" sqref="I268"/>
    </sheetView>
  </sheetViews>
  <sheetFormatPr defaultColWidth="8.85546875" defaultRowHeight="12" x14ac:dyDescent="0.25"/>
  <cols>
    <col min="1" max="1" width="5.7109375" style="372" customWidth="1"/>
    <col min="2" max="2" width="34" style="245" customWidth="1"/>
    <col min="3" max="3" width="14.140625" style="245" customWidth="1"/>
    <col min="4" max="5" width="14" style="245" customWidth="1"/>
    <col min="6" max="6" width="13.28515625" style="245" customWidth="1"/>
    <col min="7" max="8" width="15.140625" style="124" customWidth="1"/>
    <col min="9" max="9" width="12.7109375" style="124" customWidth="1"/>
    <col min="10" max="10" width="15.28515625" style="245" customWidth="1"/>
    <col min="11" max="11" width="10.7109375" style="124" customWidth="1"/>
    <col min="12" max="12" width="12.85546875" style="267" customWidth="1"/>
    <col min="13" max="13" width="10.7109375" style="124" customWidth="1"/>
    <col min="14" max="14" width="16.28515625" style="245" customWidth="1"/>
    <col min="15" max="15" width="11.140625" style="124" customWidth="1"/>
    <col min="16" max="16" width="12.85546875" style="267" customWidth="1"/>
    <col min="17" max="17" width="10.140625" style="124" customWidth="1"/>
    <col min="18" max="18" width="13.5703125" style="245" customWidth="1"/>
    <col min="19" max="19" width="4.140625" style="245" customWidth="1"/>
    <col min="20" max="27" width="3.42578125" style="245" customWidth="1"/>
    <col min="28" max="28" width="3.85546875" style="245" customWidth="1"/>
    <col min="29" max="29" width="3.28515625" style="245" customWidth="1"/>
    <col min="30" max="30" width="3.85546875" style="245" customWidth="1"/>
    <col min="31" max="31" width="9.5703125" style="245" customWidth="1"/>
    <col min="32" max="16384" width="8.85546875" style="245"/>
  </cols>
  <sheetData>
    <row r="1" spans="1:33" s="239" customFormat="1" ht="13.5" customHeight="1" thickTop="1" thickBot="1" x14ac:dyDescent="0.3">
      <c r="A1" s="898"/>
      <c r="B1" s="248" t="s">
        <v>1695</v>
      </c>
      <c r="I1" s="246"/>
      <c r="J1" s="48"/>
      <c r="K1" s="246"/>
      <c r="L1" s="336"/>
      <c r="M1" s="246"/>
      <c r="N1" s="48"/>
      <c r="O1" s="246"/>
      <c r="P1" s="336"/>
      <c r="Q1" s="246"/>
      <c r="T1" s="2658" t="s">
        <v>233</v>
      </c>
      <c r="U1" s="2659"/>
      <c r="V1" s="2659"/>
      <c r="W1" s="2659"/>
      <c r="X1" s="2659"/>
      <c r="Y1" s="2659"/>
      <c r="Z1" s="2659"/>
      <c r="AA1" s="2659"/>
      <c r="AB1" s="2659"/>
      <c r="AC1" s="2660"/>
    </row>
    <row r="2" spans="1:33" s="358" customFormat="1" ht="76.900000000000006" customHeight="1" thickTop="1" thickBot="1" x14ac:dyDescent="0.25">
      <c r="A2" s="1709" t="s">
        <v>445</v>
      </c>
      <c r="B2" s="1738" t="s">
        <v>640</v>
      </c>
      <c r="C2" s="1727" t="s">
        <v>246</v>
      </c>
      <c r="D2" s="1738" t="s">
        <v>247</v>
      </c>
      <c r="E2" s="1738" t="s">
        <v>678</v>
      </c>
      <c r="F2" s="1738" t="s">
        <v>504</v>
      </c>
      <c r="G2" s="1738" t="s">
        <v>443</v>
      </c>
      <c r="H2" s="1738" t="s">
        <v>469</v>
      </c>
      <c r="I2" s="1738" t="s">
        <v>220</v>
      </c>
      <c r="J2" s="1727" t="s">
        <v>430</v>
      </c>
      <c r="K2" s="1727" t="s">
        <v>627</v>
      </c>
      <c r="L2" s="1738" t="s">
        <v>234</v>
      </c>
      <c r="M2" s="1738" t="s">
        <v>299</v>
      </c>
      <c r="N2" s="1727" t="s">
        <v>431</v>
      </c>
      <c r="O2" s="1727" t="s">
        <v>628</v>
      </c>
      <c r="P2" s="1738" t="s">
        <v>235</v>
      </c>
      <c r="Q2" s="1738" t="s">
        <v>298</v>
      </c>
      <c r="R2" s="1743" t="s">
        <v>447</v>
      </c>
      <c r="T2" s="1752" t="s">
        <v>236</v>
      </c>
      <c r="U2" s="1753" t="s">
        <v>237</v>
      </c>
      <c r="V2" s="1753" t="s">
        <v>223</v>
      </c>
      <c r="W2" s="1753" t="s">
        <v>503</v>
      </c>
      <c r="X2" s="1753" t="s">
        <v>638</v>
      </c>
      <c r="Y2" s="1753" t="s">
        <v>256</v>
      </c>
      <c r="Z2" s="1753" t="s">
        <v>224</v>
      </c>
      <c r="AA2" s="1753" t="s">
        <v>225</v>
      </c>
      <c r="AB2" s="1754" t="s">
        <v>636</v>
      </c>
      <c r="AC2" s="1755" t="s">
        <v>637</v>
      </c>
      <c r="AE2" s="1724" t="s">
        <v>465</v>
      </c>
    </row>
    <row r="3" spans="1:33" s="130" customFormat="1" ht="13.9" customHeight="1" thickTop="1" x14ac:dyDescent="0.25">
      <c r="A3" s="907">
        <f>Chem!A3</f>
        <v>1</v>
      </c>
      <c r="B3" s="876" t="str">
        <f>Chem!B3</f>
        <v>PCBs</v>
      </c>
      <c r="C3" s="244"/>
      <c r="D3" s="244"/>
      <c r="E3" s="244"/>
      <c r="F3" s="244"/>
      <c r="G3" s="244"/>
      <c r="H3" s="211"/>
      <c r="I3" s="211"/>
      <c r="J3" s="244"/>
      <c r="K3" s="211"/>
      <c r="L3" s="334"/>
      <c r="M3" s="211"/>
      <c r="N3" s="244"/>
      <c r="O3" s="211"/>
      <c r="P3" s="334"/>
      <c r="Q3" s="211"/>
      <c r="R3" s="1052"/>
      <c r="T3" s="250" t="str">
        <f>B3</f>
        <v>PCBs</v>
      </c>
      <c r="U3" s="331"/>
      <c r="V3" s="331"/>
      <c r="W3" s="331"/>
      <c r="X3" s="331"/>
      <c r="Y3" s="331"/>
      <c r="Z3" s="331"/>
      <c r="AA3" s="331"/>
      <c r="AB3" s="331"/>
      <c r="AC3" s="332"/>
      <c r="AE3" s="1061"/>
    </row>
    <row r="4" spans="1:33" s="130" customFormat="1" ht="13.9" customHeight="1" x14ac:dyDescent="0.25">
      <c r="A4" s="842">
        <f>Chem!A4</f>
        <v>2</v>
      </c>
      <c r="B4" s="903" t="str">
        <f>Chem!B4</f>
        <v>Total PCB Aroclors</v>
      </c>
      <c r="C4" s="394">
        <v>0.03</v>
      </c>
      <c r="D4" s="338">
        <v>0.03</v>
      </c>
      <c r="E4" s="394">
        <v>6.9999999999999999E-6</v>
      </c>
      <c r="F4" s="394">
        <v>6.9999999999999999E-6</v>
      </c>
      <c r="G4" s="552">
        <v>6.3999999999999997E-5</v>
      </c>
      <c r="H4" s="384" t="s">
        <v>232</v>
      </c>
      <c r="I4" s="338">
        <f>IF(MIN(C4:H4)=0,"na",(MIN(C4:H4)))</f>
        <v>6.9999999999999999E-6</v>
      </c>
      <c r="J4" s="407" t="str">
        <f>'GW-Eq'!I4</f>
        <v>na</v>
      </c>
      <c r="K4" s="407" t="str">
        <f>IF(I4="na","na",IF(J4="na","na",I4/J4))</f>
        <v>na</v>
      </c>
      <c r="L4" s="407" t="str">
        <f>IF(K4="na","na",IF(K4&gt;1,"YES","no"))</f>
        <v>na</v>
      </c>
      <c r="M4" s="407">
        <f>IF(L4="YES",J4,IF(ISNUMBER(I4),I4,J4))</f>
        <v>6.9999999999999999E-6</v>
      </c>
      <c r="N4" s="217">
        <f>'GW-Eq'!J4</f>
        <v>2.8763971071663373E-5</v>
      </c>
      <c r="O4" s="217">
        <f>IF(I4="na","na",IF(N4="na","na",I4/N4))</f>
        <v>0.24336000000000005</v>
      </c>
      <c r="P4" s="217" t="str">
        <f>IF(O4="na","na",IF(O4&gt;10,"YES","no"))</f>
        <v>no</v>
      </c>
      <c r="Q4" s="217">
        <f>IF(P4="YES",10*N4,IF(P4="no",I4,N4))</f>
        <v>6.9999999999999999E-6</v>
      </c>
      <c r="R4" s="1053">
        <f>IF(MIN($M4,$Q4,$H4)=0,"na",MIN($M4,$Q4,$H4))</f>
        <v>6.9999999999999999E-6</v>
      </c>
      <c r="T4" s="1110" t="str">
        <f t="shared" ref="T4:Y6" si="0">IF($R4="na","",IF($R4=C4,"X",""))</f>
        <v/>
      </c>
      <c r="U4" s="1111" t="str">
        <f t="shared" si="0"/>
        <v/>
      </c>
      <c r="V4" s="1111" t="str">
        <f t="shared" si="0"/>
        <v>X</v>
      </c>
      <c r="W4" s="1111" t="str">
        <f t="shared" si="0"/>
        <v>X</v>
      </c>
      <c r="X4" s="1111" t="str">
        <f t="shared" si="0"/>
        <v/>
      </c>
      <c r="Y4" s="1111" t="str">
        <f t="shared" si="0"/>
        <v/>
      </c>
      <c r="Z4" s="1111" t="str">
        <f>IF($R4="na","",IF($R4=J4,"X",""))</f>
        <v/>
      </c>
      <c r="AA4" s="1111" t="str">
        <f>IF($R4="na","",IF($R4=N4,"X",""))</f>
        <v/>
      </c>
      <c r="AB4" s="1703" t="str">
        <f>IF(R4="na","",IF(AND(L4="YES",R4=J4),"X",""))</f>
        <v/>
      </c>
      <c r="AC4" s="1112" t="str">
        <f>IF(OR($R4="na",N4="na"),"",IF($R4=10*N4,"X",""))</f>
        <v/>
      </c>
      <c r="AE4" s="1062"/>
      <c r="AG4" s="130" t="str">
        <f>IF(R4=J4,"X","")</f>
        <v/>
      </c>
    </row>
    <row r="5" spans="1:33" s="130" customFormat="1" ht="13.9" customHeight="1" x14ac:dyDescent="0.25">
      <c r="A5" s="842">
        <f>Chem!A5</f>
        <v>3</v>
      </c>
      <c r="B5" s="856" t="str">
        <f>Chem!B5</f>
        <v>Total PCB congeners</v>
      </c>
      <c r="C5" s="553">
        <v>0.03</v>
      </c>
      <c r="D5" s="338">
        <v>0.03</v>
      </c>
      <c r="E5" s="394">
        <v>6.9999999999999999E-6</v>
      </c>
      <c r="F5" s="394">
        <v>6.9999999999999999E-6</v>
      </c>
      <c r="G5" s="552">
        <v>6.3999999999999997E-5</v>
      </c>
      <c r="H5" s="392" t="s">
        <v>232</v>
      </c>
      <c r="I5" s="338">
        <f>IF(MIN(C5:H5)=0,"na",(MIN(C5:H5)))</f>
        <v>6.9999999999999999E-6</v>
      </c>
      <c r="J5" s="562" t="str">
        <f>'GW-Eq'!I5</f>
        <v>na</v>
      </c>
      <c r="K5" s="562" t="str">
        <f>IF(I5="na","na",IF(J5="na","na",I5/J5))</f>
        <v>na</v>
      </c>
      <c r="L5" s="562" t="str">
        <f t="shared" ref="L5:L6" si="1">IF(K5="na","na",IF(K5&gt;1,"YES","no"))</f>
        <v>na</v>
      </c>
      <c r="M5" s="562">
        <f t="shared" ref="M5:M6" si="2">IF(L5="YES",J5,IF(ISNUMBER(I5),I5,J5))</f>
        <v>6.9999999999999999E-6</v>
      </c>
      <c r="N5" s="285">
        <f>'GW-Eq'!J5</f>
        <v>2.8763971071663373E-5</v>
      </c>
      <c r="O5" s="285">
        <f>IF(I5="na","na",IF(N5="na","na",I5/N5))</f>
        <v>0.24336000000000005</v>
      </c>
      <c r="P5" s="285" t="str">
        <f t="shared" ref="P5:P6" si="3">IF(O5="na","na",IF(O5&gt;10,"YES","no"))</f>
        <v>no</v>
      </c>
      <c r="Q5" s="285">
        <f t="shared" ref="Q5:Q6" si="4">IF(P5="YES",10*N5,IF(P5="no",I5,N5))</f>
        <v>6.9999999999999999E-6</v>
      </c>
      <c r="R5" s="1054">
        <f t="shared" ref="R5:R6" si="5">IF(MIN($M5,$Q5,$H5)=0,"na",MIN($M5,$Q5,$H5))</f>
        <v>6.9999999999999999E-6</v>
      </c>
      <c r="T5" s="1113" t="str">
        <f t="shared" si="0"/>
        <v/>
      </c>
      <c r="U5" s="1114" t="str">
        <f t="shared" si="0"/>
        <v/>
      </c>
      <c r="V5" s="1114" t="str">
        <f t="shared" si="0"/>
        <v>X</v>
      </c>
      <c r="W5" s="1114" t="str">
        <f t="shared" si="0"/>
        <v>X</v>
      </c>
      <c r="X5" s="1114" t="str">
        <f t="shared" si="0"/>
        <v/>
      </c>
      <c r="Y5" s="1114" t="str">
        <f t="shared" si="0"/>
        <v/>
      </c>
      <c r="Z5" s="1114" t="str">
        <f>IF($R5="na","",IF($R5=J5,"X",""))</f>
        <v/>
      </c>
      <c r="AA5" s="1114" t="str">
        <f>IF($R5="na","",IF($R5=N5,"X",""))</f>
        <v/>
      </c>
      <c r="AB5" s="1704" t="str">
        <f t="shared" ref="AB5:AB6" si="6">IF(R5="na","",IF(AND(L5="YES",R5=J5),"X",""))</f>
        <v/>
      </c>
      <c r="AC5" s="1115" t="str">
        <f>IF(OR($R5="na",N5="na"),"",IF($R5=10*N5,"X",""))</f>
        <v/>
      </c>
      <c r="AE5" s="1062"/>
      <c r="AG5" s="130" t="str">
        <f>IF(R5=J5,"X","")</f>
        <v/>
      </c>
    </row>
    <row r="6" spans="1:33" s="130" customFormat="1" ht="13.9" customHeight="1" x14ac:dyDescent="0.25">
      <c r="A6" s="842">
        <f>Chem!A6</f>
        <v>4</v>
      </c>
      <c r="B6" s="901" t="str">
        <f>Chem!B6</f>
        <v>Total PCB TEQ</v>
      </c>
      <c r="C6" s="553" t="s">
        <v>232</v>
      </c>
      <c r="D6" s="338" t="s">
        <v>232</v>
      </c>
      <c r="E6" s="394">
        <v>6.4000000000000004E-8</v>
      </c>
      <c r="F6" s="394" t="s">
        <v>232</v>
      </c>
      <c r="G6" s="552">
        <v>5.1000000000000002E-9</v>
      </c>
      <c r="H6" s="392">
        <v>1.2E-5</v>
      </c>
      <c r="I6" s="338">
        <f>IF(MIN(C6:H6)=0,"na",(MIN(C6:H6)))</f>
        <v>5.1000000000000002E-9</v>
      </c>
      <c r="J6" s="562">
        <f>'GW-Eq'!I6</f>
        <v>1.6107823800131493E-8</v>
      </c>
      <c r="K6" s="562">
        <f>IF(I6="na","na",IF(J6="na","na",I6/J6))</f>
        <v>0.31661632653061222</v>
      </c>
      <c r="L6" s="562" t="str">
        <f t="shared" si="1"/>
        <v>no</v>
      </c>
      <c r="M6" s="562">
        <f t="shared" si="2"/>
        <v>5.1000000000000002E-9</v>
      </c>
      <c r="N6" s="285">
        <f>'GW-Eq'!J6</f>
        <v>4.4252263187174421E-10</v>
      </c>
      <c r="O6" s="285">
        <f>IF(I6="na","na",IF(N6="na","na",I6/N6))</f>
        <v>11.524834285714288</v>
      </c>
      <c r="P6" s="285" t="str">
        <f t="shared" si="3"/>
        <v>YES</v>
      </c>
      <c r="Q6" s="285">
        <f t="shared" si="4"/>
        <v>4.4252263187174422E-9</v>
      </c>
      <c r="R6" s="1054">
        <f t="shared" si="5"/>
        <v>4.4252263187174422E-9</v>
      </c>
      <c r="T6" s="1336" t="str">
        <f t="shared" si="0"/>
        <v/>
      </c>
      <c r="U6" s="1337" t="str">
        <f t="shared" si="0"/>
        <v/>
      </c>
      <c r="V6" s="1337" t="str">
        <f t="shared" si="0"/>
        <v/>
      </c>
      <c r="W6" s="1337" t="str">
        <f t="shared" si="0"/>
        <v/>
      </c>
      <c r="X6" s="1337" t="str">
        <f t="shared" si="0"/>
        <v/>
      </c>
      <c r="Y6" s="1337" t="str">
        <f t="shared" si="0"/>
        <v/>
      </c>
      <c r="Z6" s="1337" t="str">
        <f>IF($R6="na","",IF($R6=J6,"X",""))</f>
        <v/>
      </c>
      <c r="AA6" s="1337" t="str">
        <f>IF($R6="na","",IF($R6=N6,"X",""))</f>
        <v/>
      </c>
      <c r="AB6" s="1705" t="str">
        <f t="shared" si="6"/>
        <v/>
      </c>
      <c r="AC6" s="1338" t="str">
        <f>IF(OR($R6="na",N6="na"),"",IF($R6=10*N6,"X",""))</f>
        <v>X</v>
      </c>
      <c r="AE6" s="1062"/>
      <c r="AG6" s="130" t="str">
        <f>IF(R6=J6,"X","")</f>
        <v/>
      </c>
    </row>
    <row r="7" spans="1:33" s="130" customFormat="1" ht="13.9" customHeight="1" x14ac:dyDescent="0.25">
      <c r="A7" s="906">
        <f>Chem!A7</f>
        <v>5</v>
      </c>
      <c r="B7" s="850" t="str">
        <f>Chem!B7</f>
        <v xml:space="preserve">Dioxins/Furans </v>
      </c>
      <c r="C7" s="2368"/>
      <c r="D7" s="2368"/>
      <c r="E7" s="2368"/>
      <c r="F7" s="2368"/>
      <c r="G7" s="2368"/>
      <c r="H7" s="297"/>
      <c r="I7" s="297"/>
      <c r="J7" s="2368"/>
      <c r="K7" s="297"/>
      <c r="L7" s="2347"/>
      <c r="M7" s="297"/>
      <c r="N7" s="2368"/>
      <c r="O7" s="297"/>
      <c r="P7" s="2347"/>
      <c r="Q7" s="297"/>
      <c r="R7" s="2369"/>
      <c r="T7" s="258" t="str">
        <f>B7</f>
        <v xml:space="preserve">Dioxins/Furans </v>
      </c>
      <c r="U7" s="2372"/>
      <c r="V7" s="2372"/>
      <c r="W7" s="2372"/>
      <c r="X7" s="2372"/>
      <c r="Y7" s="2372"/>
      <c r="Z7" s="2372"/>
      <c r="AA7" s="2372"/>
      <c r="AB7" s="2372"/>
      <c r="AC7" s="2373"/>
      <c r="AE7" s="1063"/>
    </row>
    <row r="8" spans="1:33" s="130" customFormat="1" ht="13.9" customHeight="1" x14ac:dyDescent="0.25">
      <c r="A8" s="844">
        <f>Chem!A8</f>
        <v>6</v>
      </c>
      <c r="B8" s="856" t="str">
        <f>Chem!B8</f>
        <v>Total dioxin/furan TEQ</v>
      </c>
      <c r="C8" s="553" t="s">
        <v>232</v>
      </c>
      <c r="D8" s="342" t="s">
        <v>232</v>
      </c>
      <c r="E8" s="338">
        <v>6.4000000000000004E-8</v>
      </c>
      <c r="F8" s="394" t="s">
        <v>232</v>
      </c>
      <c r="G8" s="557">
        <v>5.1000000000000002E-9</v>
      </c>
      <c r="H8" s="392">
        <v>1.2E-5</v>
      </c>
      <c r="I8" s="556">
        <f>IF(MIN(C8:H8)=0,"na",(MIN(C8:H8)))</f>
        <v>5.1000000000000002E-9</v>
      </c>
      <c r="J8" s="562">
        <f>'GW-Eq'!I8</f>
        <v>1.0051282051282051E-7</v>
      </c>
      <c r="K8" s="562">
        <f>IF(I8="na","na",IF(J8="na","na",I8/J8))</f>
        <v>5.0739795918367352E-2</v>
      </c>
      <c r="L8" s="562" t="str">
        <f t="shared" ref="L8" si="7">IF(K8="na","na",IF(K8&gt;1,"YES","no"))</f>
        <v>no</v>
      </c>
      <c r="M8" s="562">
        <f t="shared" ref="M8" si="8">IF(L8="YES",J8,IF(ISNUMBER(I8),I8,J8))</f>
        <v>5.1000000000000002E-9</v>
      </c>
      <c r="N8" s="285">
        <f>'GW-Eq'!J8</f>
        <v>2.7613412228796837E-9</v>
      </c>
      <c r="O8" s="285">
        <f>IF(I8="na","na",IF(N8="na","na",I8/N8))</f>
        <v>1.8469285714285719</v>
      </c>
      <c r="P8" s="285" t="str">
        <f t="shared" ref="P8" si="9">IF(O8="na","na",IF(O8&gt;10,"YES","no"))</f>
        <v>no</v>
      </c>
      <c r="Q8" s="285">
        <f t="shared" ref="Q8" si="10">IF(P8="YES",10*N8,IF(P8="no",I8,N8))</f>
        <v>5.1000000000000002E-9</v>
      </c>
      <c r="R8" s="1054">
        <f t="shared" ref="R8:R20" si="11">IF(MIN($M8,$Q8,$H8)=0,"na",MIN($M8,$Q8,$H8))</f>
        <v>5.1000000000000002E-9</v>
      </c>
      <c r="T8" s="1110" t="str">
        <f t="shared" ref="T8:Y11" si="12">IF($R8="na","",IF($R8=C8,"X",""))</f>
        <v/>
      </c>
      <c r="U8" s="1111" t="str">
        <f t="shared" si="12"/>
        <v/>
      </c>
      <c r="V8" s="1111" t="str">
        <f t="shared" si="12"/>
        <v/>
      </c>
      <c r="W8" s="1111" t="str">
        <f t="shared" si="12"/>
        <v/>
      </c>
      <c r="X8" s="1111" t="str">
        <f t="shared" si="12"/>
        <v>X</v>
      </c>
      <c r="Y8" s="1111" t="str">
        <f t="shared" si="12"/>
        <v/>
      </c>
      <c r="Z8" s="1111" t="str">
        <f>IF($R8="na","",IF($R8=J8,"X",""))</f>
        <v/>
      </c>
      <c r="AA8" s="1111" t="str">
        <f>IF($R8="na","",IF($R8=N8,"X",""))</f>
        <v/>
      </c>
      <c r="AB8" s="1703" t="str">
        <f t="shared" ref="AB8:AB11" si="13">IF(R8="na","",IF(AND(L8="YES",R8=J8),"X",""))</f>
        <v/>
      </c>
      <c r="AC8" s="1112" t="str">
        <f>IF(OR($R8="na",N8="na"),"",IF($R8=10*N8,"X",""))</f>
        <v/>
      </c>
      <c r="AE8" s="1062"/>
      <c r="AG8" s="130" t="str">
        <f>IF(R8=J8,"X","")</f>
        <v/>
      </c>
    </row>
    <row r="9" spans="1:33" s="130" customFormat="1" ht="13.9" customHeight="1" x14ac:dyDescent="0.25">
      <c r="A9" s="845">
        <f>Chem!A9</f>
        <v>7</v>
      </c>
      <c r="B9" s="856" t="str">
        <f>Chem!B9</f>
        <v>2,3,7,8-TCDD</v>
      </c>
      <c r="C9" s="553" t="s">
        <v>232</v>
      </c>
      <c r="D9" s="342" t="s">
        <v>232</v>
      </c>
      <c r="E9" s="338">
        <v>6.4000000000000004E-8</v>
      </c>
      <c r="F9" s="394" t="s">
        <v>232</v>
      </c>
      <c r="G9" s="552">
        <v>5.1000000000000002E-9</v>
      </c>
      <c r="H9" s="392">
        <v>1.2E-5</v>
      </c>
      <c r="I9" s="556">
        <f>IF(MIN(C9:H9)=0,"na",(MIN(C9:H9)))</f>
        <v>5.1000000000000002E-9</v>
      </c>
      <c r="J9" s="562">
        <f>'GW-Eq'!I9</f>
        <v>1.0051282051282051E-7</v>
      </c>
      <c r="K9" s="562">
        <f>IF(I9="na","na",IF(J9="na","na",I9/J9))</f>
        <v>5.0739795918367352E-2</v>
      </c>
      <c r="L9" s="562" t="str">
        <f t="shared" ref="L9" si="14">IF(K9="na","na",IF(K9&gt;1,"YES","no"))</f>
        <v>no</v>
      </c>
      <c r="M9" s="562">
        <f t="shared" ref="M9" si="15">IF(L9="YES",J9,IF(ISNUMBER(I9),I9,J9))</f>
        <v>5.1000000000000002E-9</v>
      </c>
      <c r="N9" s="285">
        <f>'GW-Eq'!J9</f>
        <v>2.7613412228796837E-9</v>
      </c>
      <c r="O9" s="285">
        <f>IF(I9="na","na",IF(N9="na","na",I9/N9))</f>
        <v>1.8469285714285719</v>
      </c>
      <c r="P9" s="285" t="str">
        <f t="shared" ref="P9" si="16">IF(O9="na","na",IF(O9&gt;10,"YES","no"))</f>
        <v>no</v>
      </c>
      <c r="Q9" s="285">
        <f t="shared" ref="Q9" si="17">IF(P9="YES",10*N9,IF(P9="no",I9,N9))</f>
        <v>5.1000000000000002E-9</v>
      </c>
      <c r="R9" s="1054">
        <f t="shared" si="11"/>
        <v>5.1000000000000002E-9</v>
      </c>
      <c r="T9" s="1468" t="str">
        <f t="shared" ref="T9" si="18">IF($R9="na","",IF($R9=C9,"X",""))</f>
        <v/>
      </c>
      <c r="U9" s="1469" t="str">
        <f t="shared" ref="U9" si="19">IF($R9="na","",IF($R9=D9,"X",""))</f>
        <v/>
      </c>
      <c r="V9" s="1469" t="str">
        <f t="shared" ref="V9" si="20">IF($R9="na","",IF($R9=E9,"X",""))</f>
        <v/>
      </c>
      <c r="W9" s="1469" t="str">
        <f t="shared" ref="W9" si="21">IF($R9="na","",IF($R9=F9,"X",""))</f>
        <v/>
      </c>
      <c r="X9" s="1469" t="str">
        <f t="shared" ref="X9" si="22">IF($R9="na","",IF($R9=G9,"X",""))</f>
        <v>X</v>
      </c>
      <c r="Y9" s="1469" t="str">
        <f t="shared" ref="Y9" si="23">IF($R9="na","",IF($R9=H9,"X",""))</f>
        <v/>
      </c>
      <c r="Z9" s="1469" t="str">
        <f>IF($R9="na","",IF($R9=J9,"X",""))</f>
        <v/>
      </c>
      <c r="AA9" s="1469" t="str">
        <f>IF($R9="na","",IF($R9=N9,"X",""))</f>
        <v/>
      </c>
      <c r="AB9" s="1706" t="str">
        <f t="shared" si="13"/>
        <v/>
      </c>
      <c r="AC9" s="1470" t="str">
        <f>IF(OR($R9="na",N9="na"),"",IF($R9=10*N9,"X",""))</f>
        <v/>
      </c>
      <c r="AE9" s="1062"/>
      <c r="AG9" s="130" t="str">
        <f>IF(R9=J9,"X","")</f>
        <v/>
      </c>
    </row>
    <row r="10" spans="1:33" s="247" customFormat="1" ht="13.9" customHeight="1" x14ac:dyDescent="0.2">
      <c r="A10" s="845">
        <f>Chem!A10</f>
        <v>8</v>
      </c>
      <c r="B10" s="899" t="str">
        <f>Chem!B10</f>
        <v>Total chlorinated dioxins</v>
      </c>
      <c r="C10" s="394" t="s">
        <v>232</v>
      </c>
      <c r="D10" s="338" t="s">
        <v>232</v>
      </c>
      <c r="E10" s="338" t="s">
        <v>232</v>
      </c>
      <c r="F10" s="338" t="s">
        <v>232</v>
      </c>
      <c r="G10" s="557" t="s">
        <v>232</v>
      </c>
      <c r="H10" s="343" t="s">
        <v>232</v>
      </c>
      <c r="I10" s="557" t="str">
        <f>IF(MIN(C10:H10)=0,"na",(MIN(C10:H10)))</f>
        <v>na</v>
      </c>
      <c r="J10" s="550" t="str">
        <f>'GW-Eq'!I10</f>
        <v>na</v>
      </c>
      <c r="K10" s="550" t="str">
        <f t="shared" ref="K10:K11" si="24">IF(I10="na","na",IF(J10="na","na",I10/J10))</f>
        <v>na</v>
      </c>
      <c r="L10" s="550" t="str">
        <f t="shared" ref="L10:L11" si="25">IF(K10="na","na",IF(K10&gt;1,"YES","no"))</f>
        <v>na</v>
      </c>
      <c r="M10" s="550" t="str">
        <f t="shared" ref="M10:M11" si="26">IF(L10="YES",J10,IF(ISNUMBER(I10),I10,J10))</f>
        <v>na</v>
      </c>
      <c r="N10" s="219" t="str">
        <f>'GW-Eq'!J10</f>
        <v>na</v>
      </c>
      <c r="O10" s="219" t="str">
        <f t="shared" ref="O10:O11" si="27">IF(I10="na","na",IF(N10="na","na",I10/N10))</f>
        <v>na</v>
      </c>
      <c r="P10" s="219" t="str">
        <f t="shared" ref="P10:P11" si="28">IF(O10="na","na",IF(O10&gt;10,"YES","no"))</f>
        <v>na</v>
      </c>
      <c r="Q10" s="219" t="str">
        <f t="shared" ref="Q10:Q11" si="29">IF(P10="YES",10*N10,IF(P10="no",I10,N10))</f>
        <v>na</v>
      </c>
      <c r="R10" s="1056" t="str">
        <f t="shared" si="11"/>
        <v>na</v>
      </c>
      <c r="T10" s="1339" t="str">
        <f t="shared" si="12"/>
        <v/>
      </c>
      <c r="U10" s="348" t="str">
        <f t="shared" si="12"/>
        <v/>
      </c>
      <c r="V10" s="348" t="str">
        <f t="shared" si="12"/>
        <v/>
      </c>
      <c r="W10" s="348" t="str">
        <f t="shared" si="12"/>
        <v/>
      </c>
      <c r="X10" s="348" t="str">
        <f t="shared" si="12"/>
        <v/>
      </c>
      <c r="Y10" s="348" t="str">
        <f t="shared" si="12"/>
        <v/>
      </c>
      <c r="Z10" s="348" t="str">
        <f>IF($R10="na","",IF($R10=J10,"X",""))</f>
        <v/>
      </c>
      <c r="AA10" s="348" t="str">
        <f>IF($R10="na","",IF($R10=N10,"X",""))</f>
        <v/>
      </c>
      <c r="AB10" s="695" t="str">
        <f t="shared" si="13"/>
        <v/>
      </c>
      <c r="AC10" s="367" t="str">
        <f>IF(OR($R10="na",N10="na"),"",IF($R10=10*N10,"X",""))</f>
        <v/>
      </c>
      <c r="AE10" s="1064"/>
      <c r="AG10" s="130"/>
    </row>
    <row r="11" spans="1:33" s="247" customFormat="1" ht="13.9" customHeight="1" x14ac:dyDescent="0.2">
      <c r="A11" s="845">
        <f>Chem!A11</f>
        <v>9</v>
      </c>
      <c r="B11" s="902" t="str">
        <f>Chem!B11</f>
        <v>Total chlorinated furans</v>
      </c>
      <c r="C11" s="559" t="s">
        <v>232</v>
      </c>
      <c r="D11" s="344" t="s">
        <v>232</v>
      </c>
      <c r="E11" s="344" t="s">
        <v>232</v>
      </c>
      <c r="F11" s="344" t="s">
        <v>232</v>
      </c>
      <c r="G11" s="558" t="s">
        <v>232</v>
      </c>
      <c r="H11" s="533" t="s">
        <v>232</v>
      </c>
      <c r="I11" s="558" t="str">
        <f>IF(MIN(C11:H11)=0,"na",(MIN(C11:H11)))</f>
        <v>na</v>
      </c>
      <c r="J11" s="563" t="str">
        <f>'GW-Eq'!I11</f>
        <v>na</v>
      </c>
      <c r="K11" s="563" t="str">
        <f t="shared" si="24"/>
        <v>na</v>
      </c>
      <c r="L11" s="563" t="str">
        <f t="shared" si="25"/>
        <v>na</v>
      </c>
      <c r="M11" s="563" t="str">
        <f t="shared" si="26"/>
        <v>na</v>
      </c>
      <c r="N11" s="290" t="str">
        <f>'GW-Eq'!J11</f>
        <v>na</v>
      </c>
      <c r="O11" s="290" t="str">
        <f t="shared" si="27"/>
        <v>na</v>
      </c>
      <c r="P11" s="290" t="str">
        <f t="shared" si="28"/>
        <v>na</v>
      </c>
      <c r="Q11" s="290" t="str">
        <f t="shared" si="29"/>
        <v>na</v>
      </c>
      <c r="R11" s="1057" t="str">
        <f t="shared" si="11"/>
        <v>na</v>
      </c>
      <c r="T11" s="1340" t="str">
        <f t="shared" si="12"/>
        <v/>
      </c>
      <c r="U11" s="723" t="str">
        <f t="shared" si="12"/>
        <v/>
      </c>
      <c r="V11" s="723" t="str">
        <f t="shared" si="12"/>
        <v/>
      </c>
      <c r="W11" s="723" t="str">
        <f t="shared" si="12"/>
        <v/>
      </c>
      <c r="X11" s="723" t="str">
        <f t="shared" si="12"/>
        <v/>
      </c>
      <c r="Y11" s="723" t="str">
        <f t="shared" si="12"/>
        <v/>
      </c>
      <c r="Z11" s="723" t="str">
        <f>IF($R11="na","",IF($R11=J11,"X",""))</f>
        <v/>
      </c>
      <c r="AA11" s="723" t="str">
        <f>IF($R11="na","",IF($R11=N11,"X",""))</f>
        <v/>
      </c>
      <c r="AB11" s="1492" t="str">
        <f t="shared" si="13"/>
        <v/>
      </c>
      <c r="AC11" s="724" t="str">
        <f>IF(OR($R11="na",N11="na"),"",IF($R11=10*N11,"X",""))</f>
        <v/>
      </c>
      <c r="AE11" s="1064"/>
      <c r="AG11" s="130"/>
    </row>
    <row r="12" spans="1:33" s="247" customFormat="1" ht="13.9" customHeight="1" x14ac:dyDescent="0.25">
      <c r="A12" s="906">
        <f>Chem!A12</f>
        <v>10</v>
      </c>
      <c r="B12" s="850" t="str">
        <f>Chem!B12</f>
        <v>Inorganics</v>
      </c>
      <c r="C12" s="2368"/>
      <c r="D12" s="2368"/>
      <c r="E12" s="2368"/>
      <c r="F12" s="2368"/>
      <c r="G12" s="2368"/>
      <c r="H12" s="297"/>
      <c r="I12" s="297"/>
      <c r="J12" s="2368"/>
      <c r="K12" s="297"/>
      <c r="L12" s="2347"/>
      <c r="M12" s="297"/>
      <c r="N12" s="2368"/>
      <c r="O12" s="297"/>
      <c r="P12" s="2347"/>
      <c r="Q12" s="297"/>
      <c r="R12" s="2369"/>
      <c r="S12" s="130"/>
      <c r="T12" s="258" t="str">
        <f>B12</f>
        <v>Inorganics</v>
      </c>
      <c r="U12" s="2372"/>
      <c r="V12" s="2372"/>
      <c r="W12" s="2372"/>
      <c r="X12" s="2372"/>
      <c r="Y12" s="2372"/>
      <c r="Z12" s="2372"/>
      <c r="AA12" s="2372"/>
      <c r="AB12" s="2372"/>
      <c r="AC12" s="2373"/>
      <c r="AD12" s="130"/>
      <c r="AE12" s="1063"/>
      <c r="AG12" s="130"/>
    </row>
    <row r="13" spans="1:33" s="247" customFormat="1" ht="13.9" customHeight="1" x14ac:dyDescent="0.25">
      <c r="A13" s="2000">
        <f>Chem!A13</f>
        <v>11</v>
      </c>
      <c r="B13" s="1549" t="str">
        <f>Chem!B13</f>
        <v>Ammonia</v>
      </c>
      <c r="C13" s="1972">
        <v>35</v>
      </c>
      <c r="D13" s="1972" t="s">
        <v>667</v>
      </c>
      <c r="E13" s="1972" t="s">
        <v>232</v>
      </c>
      <c r="F13" s="1972" t="s">
        <v>232</v>
      </c>
      <c r="G13" s="1972" t="s">
        <v>232</v>
      </c>
      <c r="H13" s="1972" t="s">
        <v>232</v>
      </c>
      <c r="I13" s="1972">
        <f t="shared" ref="I13:I14" si="30">IF(MIN(C13:H13)=0,"na",(MIN(C13:H13)))</f>
        <v>35</v>
      </c>
      <c r="J13" s="2001" t="str">
        <f>'GW-Eq'!I13</f>
        <v>na</v>
      </c>
      <c r="K13" s="562" t="str">
        <f t="shared" ref="K13:K14" si="31">IF(I13="na","na",IF(J13="na","na",I13/J13))</f>
        <v>na</v>
      </c>
      <c r="L13" s="562" t="str">
        <f t="shared" ref="L13:L14" si="32">IF(K13="na","na",IF(K13&gt;1,"YES","no"))</f>
        <v>na</v>
      </c>
      <c r="M13" s="562">
        <f t="shared" ref="M13:M14" si="33">IF(L13="YES",J13,IF(ISNUMBER(I13),I13,J13))</f>
        <v>35</v>
      </c>
      <c r="N13" s="285" t="str">
        <f>'GW-Eq'!J13</f>
        <v>na</v>
      </c>
      <c r="O13" s="285" t="str">
        <f t="shared" ref="O13:O14" si="34">IF(I13="na","na",IF(N13="na","na",I13/N13))</f>
        <v>na</v>
      </c>
      <c r="P13" s="285" t="str">
        <f t="shared" ref="P13:P14" si="35">IF(O13="na","na",IF(O13&gt;10,"YES","no"))</f>
        <v>na</v>
      </c>
      <c r="Q13" s="285" t="str">
        <f t="shared" ref="Q13:Q14" si="36">IF(P13="YES",10*N13,IF(P13="no",I13,N13))</f>
        <v>na</v>
      </c>
      <c r="R13" s="1054">
        <f t="shared" si="11"/>
        <v>35</v>
      </c>
      <c r="S13" s="130"/>
      <c r="T13" s="1996" t="str">
        <f t="shared" ref="T13:T14" si="37">IF($R13="na","",IF($R13=C13,"X",""))</f>
        <v>X</v>
      </c>
      <c r="U13" s="1111" t="str">
        <f t="shared" ref="U13:U14" si="38">IF($R13="na","",IF($R13=D13,"X",""))</f>
        <v/>
      </c>
      <c r="V13" s="1111" t="str">
        <f t="shared" ref="V13:V14" si="39">IF($R13="na","",IF($R13=E13,"X",""))</f>
        <v/>
      </c>
      <c r="W13" s="1111" t="str">
        <f t="shared" ref="W13:W14" si="40">IF($R13="na","",IF($R13=F13,"X",""))</f>
        <v/>
      </c>
      <c r="X13" s="1111" t="str">
        <f t="shared" ref="X13:X14" si="41">IF($R13="na","",IF($R13=G13,"X",""))</f>
        <v/>
      </c>
      <c r="Y13" s="1111" t="str">
        <f t="shared" ref="Y13:Y14" si="42">IF($R13="na","",IF($R13=H13,"X",""))</f>
        <v/>
      </c>
      <c r="Z13" s="1111" t="str">
        <f t="shared" ref="Z13:Z14" si="43">IF($R13="na","",IF($R13=J13,"X",""))</f>
        <v/>
      </c>
      <c r="AA13" s="1111" t="str">
        <f t="shared" ref="AA13:AA14" si="44">IF($R13="na","",IF($R13=N13,"X",""))</f>
        <v/>
      </c>
      <c r="AB13" s="1111" t="str">
        <f t="shared" ref="AB13:AB14" si="45">IF(R13="na","",IF(AND(L13="YES",R13=J13),"X",""))</f>
        <v/>
      </c>
      <c r="AC13" s="1112" t="str">
        <f t="shared" ref="AC13:AC14" si="46">IF(OR($R13="na",N13="na"),"",IF($R13=10*N13,"X",""))</f>
        <v/>
      </c>
      <c r="AD13" s="130"/>
      <c r="AE13" s="1062"/>
      <c r="AG13" s="130"/>
    </row>
    <row r="14" spans="1:33" s="247" customFormat="1" ht="13.9" customHeight="1" x14ac:dyDescent="0.25">
      <c r="A14" s="2002">
        <f>Chem!A14</f>
        <v>12</v>
      </c>
      <c r="B14" s="856" t="str">
        <f>Chem!B14</f>
        <v>Chloride</v>
      </c>
      <c r="C14" s="339" t="s">
        <v>232</v>
      </c>
      <c r="D14" s="339" t="s">
        <v>232</v>
      </c>
      <c r="E14" s="339" t="s">
        <v>232</v>
      </c>
      <c r="F14" s="339" t="s">
        <v>232</v>
      </c>
      <c r="G14" s="339" t="s">
        <v>232</v>
      </c>
      <c r="H14" s="339" t="s">
        <v>232</v>
      </c>
      <c r="I14" s="339" t="str">
        <f t="shared" si="30"/>
        <v>na</v>
      </c>
      <c r="J14" s="550" t="str">
        <f>'GW-Eq'!I14</f>
        <v>na</v>
      </c>
      <c r="K14" s="407" t="str">
        <f t="shared" si="31"/>
        <v>na</v>
      </c>
      <c r="L14" s="407" t="str">
        <f t="shared" si="32"/>
        <v>na</v>
      </c>
      <c r="M14" s="407" t="str">
        <f t="shared" si="33"/>
        <v>na</v>
      </c>
      <c r="N14" s="217" t="str">
        <f>'GW-Eq'!J14</f>
        <v>na</v>
      </c>
      <c r="O14" s="217" t="str">
        <f t="shared" si="34"/>
        <v>na</v>
      </c>
      <c r="P14" s="217" t="str">
        <f t="shared" si="35"/>
        <v>na</v>
      </c>
      <c r="Q14" s="217" t="str">
        <f t="shared" si="36"/>
        <v>na</v>
      </c>
      <c r="R14" s="1056" t="str">
        <f t="shared" si="11"/>
        <v>na</v>
      </c>
      <c r="S14" s="130"/>
      <c r="T14" s="1997" t="str">
        <f t="shared" si="37"/>
        <v/>
      </c>
      <c r="U14" s="1114" t="str">
        <f t="shared" si="38"/>
        <v/>
      </c>
      <c r="V14" s="1114" t="str">
        <f t="shared" si="39"/>
        <v/>
      </c>
      <c r="W14" s="1114" t="str">
        <f t="shared" si="40"/>
        <v/>
      </c>
      <c r="X14" s="1114" t="str">
        <f t="shared" si="41"/>
        <v/>
      </c>
      <c r="Y14" s="1114" t="str">
        <f t="shared" si="42"/>
        <v/>
      </c>
      <c r="Z14" s="1114" t="str">
        <f t="shared" si="43"/>
        <v/>
      </c>
      <c r="AA14" s="1114" t="str">
        <f t="shared" si="44"/>
        <v/>
      </c>
      <c r="AB14" s="1114" t="str">
        <f t="shared" si="45"/>
        <v/>
      </c>
      <c r="AC14" s="1115" t="str">
        <f t="shared" si="46"/>
        <v/>
      </c>
      <c r="AD14" s="130"/>
      <c r="AE14" s="1062"/>
      <c r="AG14" s="130"/>
    </row>
    <row r="15" spans="1:33" s="247" customFormat="1" ht="13.9" customHeight="1" x14ac:dyDescent="0.2">
      <c r="A15" s="843">
        <f>Chem!A15</f>
        <v>13</v>
      </c>
      <c r="B15" s="903" t="str">
        <f>Chem!B15</f>
        <v>Cyanide (multiple forms, see notes)</v>
      </c>
      <c r="C15" s="1998">
        <v>2.8</v>
      </c>
      <c r="D15" s="1999">
        <v>1</v>
      </c>
      <c r="E15" s="337">
        <v>100</v>
      </c>
      <c r="F15" s="395">
        <v>100</v>
      </c>
      <c r="G15" s="1119">
        <v>400</v>
      </c>
      <c r="H15" s="389" t="s">
        <v>232</v>
      </c>
      <c r="I15" s="1990">
        <f t="shared" ref="I15:I20" si="47">IF(MIN(C15:H15)=0,"na",(MIN(C15:H15)))</f>
        <v>1</v>
      </c>
      <c r="J15" s="2046">
        <f>'GW-Eq'!I15</f>
        <v>452.30769230769238</v>
      </c>
      <c r="K15" s="2046">
        <f t="shared" ref="K15" si="48">IF(I15="na","na",IF(J15="na","na",I15/J15))</f>
        <v>2.2108843537414964E-3</v>
      </c>
      <c r="L15" s="2046" t="str">
        <f t="shared" ref="L15" si="49">IF(K15="na","na",IF(K15&gt;1,"YES","no"))</f>
        <v>no</v>
      </c>
      <c r="M15" s="2046">
        <f t="shared" ref="M15" si="50">IF(L15="YES",J15,IF(ISNUMBER(I15),I15,J15))</f>
        <v>1</v>
      </c>
      <c r="N15" s="2047" t="str">
        <f>'GW-Eq'!J15</f>
        <v>na</v>
      </c>
      <c r="O15" s="2047" t="str">
        <f t="shared" ref="O15" si="51">IF(I15="na","na",IF(N15="na","na",I15/N15))</f>
        <v>na</v>
      </c>
      <c r="P15" s="2047" t="str">
        <f t="shared" ref="P15" si="52">IF(O15="na","na",IF(O15&gt;10,"YES","no"))</f>
        <v>na</v>
      </c>
      <c r="Q15" s="2047" t="str">
        <f t="shared" ref="Q15" si="53">IF(P15="YES",10*N15,IF(P15="no",I15,N15))</f>
        <v>na</v>
      </c>
      <c r="R15" s="1055">
        <f t="shared" si="11"/>
        <v>1</v>
      </c>
      <c r="S15" s="130"/>
      <c r="T15" s="1113" t="str">
        <f t="shared" ref="T15:U20" si="54">IF($R15="na","",IF($R15=C15,"X",""))</f>
        <v/>
      </c>
      <c r="U15" s="1114" t="str">
        <f t="shared" si="54"/>
        <v>X</v>
      </c>
      <c r="V15" s="1114" t="str">
        <f t="shared" ref="V15:V19" si="55">IF($R15="na","",IF($R15=E15,"X",""))</f>
        <v/>
      </c>
      <c r="W15" s="1114" t="str">
        <f t="shared" ref="W15:W19" si="56">IF($R15="na","",IF($R15=F15,"X",""))</f>
        <v/>
      </c>
      <c r="X15" s="1114" t="str">
        <f t="shared" ref="X15:X19" si="57">IF($R15="na","",IF($R15=G15,"X",""))</f>
        <v/>
      </c>
      <c r="Y15" s="1114" t="str">
        <f t="shared" ref="Y15:Y19" si="58">IF($R15="na","",IF($R15=H15,"X",""))</f>
        <v/>
      </c>
      <c r="Z15" s="1114" t="str">
        <f t="shared" ref="Z15:Z19" si="59">IF($R15="na","",IF($R15=J15,"X",""))</f>
        <v/>
      </c>
      <c r="AA15" s="1114" t="str">
        <f t="shared" ref="AA15:AA19" si="60">IF($R15="na","",IF($R15=N15,"X",""))</f>
        <v/>
      </c>
      <c r="AB15" s="1704" t="str">
        <f t="shared" ref="AB15:AB20" si="61">IF(R15="na","",IF(AND(L15="YES",R15=J15),"X",""))</f>
        <v/>
      </c>
      <c r="AC15" s="1115" t="str">
        <f t="shared" ref="AC15:AC19" si="62">IF(OR($R15="na",N15="na"),"",IF($R15=10*N15,"X",""))</f>
        <v/>
      </c>
      <c r="AE15" s="1064"/>
      <c r="AG15" s="130" t="str">
        <f>IF(R15=J15,"X","")</f>
        <v/>
      </c>
    </row>
    <row r="16" spans="1:33" s="247" customFormat="1" ht="13.9" customHeight="1" x14ac:dyDescent="0.2">
      <c r="A16" s="843">
        <f>Chem!A16</f>
        <v>14</v>
      </c>
      <c r="B16" s="856" t="str">
        <f>Chem!B16</f>
        <v>Fluoride</v>
      </c>
      <c r="C16" s="553" t="s">
        <v>232</v>
      </c>
      <c r="D16" s="339" t="s">
        <v>232</v>
      </c>
      <c r="E16" s="339" t="s">
        <v>232</v>
      </c>
      <c r="F16" s="339" t="s">
        <v>232</v>
      </c>
      <c r="G16" s="339" t="s">
        <v>232</v>
      </c>
      <c r="H16" s="339" t="s">
        <v>232</v>
      </c>
      <c r="I16" s="556" t="str">
        <f t="shared" si="47"/>
        <v>na</v>
      </c>
      <c r="J16" s="562" t="str">
        <f>'GW-Eq'!I16</f>
        <v>na</v>
      </c>
      <c r="K16" s="562" t="str">
        <f t="shared" ref="K16" si="63">IF(I16="na","na",IF(J16="na","na",I16/J16))</f>
        <v>na</v>
      </c>
      <c r="L16" s="562" t="str">
        <f t="shared" ref="L16" si="64">IF(K16="na","na",IF(K16&gt;1,"YES","no"))</f>
        <v>na</v>
      </c>
      <c r="M16" s="562" t="str">
        <f t="shared" ref="M16" si="65">IF(L16="YES",J16,IF(ISNUMBER(I16),I16,J16))</f>
        <v>na</v>
      </c>
      <c r="N16" s="285" t="str">
        <f>'GW-Eq'!J16</f>
        <v>na</v>
      </c>
      <c r="O16" s="285" t="str">
        <f t="shared" ref="O16" si="66">IF(I16="na","na",IF(N16="na","na",I16/N16))</f>
        <v>na</v>
      </c>
      <c r="P16" s="285" t="str">
        <f t="shared" ref="P16" si="67">IF(O16="na","na",IF(O16&gt;10,"YES","no"))</f>
        <v>na</v>
      </c>
      <c r="Q16" s="285" t="str">
        <f t="shared" ref="Q16" si="68">IF(P16="YES",10*N16,IF(P16="no",I16,N16))</f>
        <v>na</v>
      </c>
      <c r="R16" s="1054" t="str">
        <f t="shared" si="11"/>
        <v>na</v>
      </c>
      <c r="S16" s="130"/>
      <c r="T16" s="1468" t="str">
        <f t="shared" ref="T16" si="69">IF($R16="na","",IF($R16=C16,"X",""))</f>
        <v/>
      </c>
      <c r="U16" s="1469" t="str">
        <f t="shared" ref="U16" si="70">IF($R16="na","",IF($R16=D16,"X",""))</f>
        <v/>
      </c>
      <c r="V16" s="1469" t="str">
        <f t="shared" ref="V16" si="71">IF($R16="na","",IF($R16=E16,"X",""))</f>
        <v/>
      </c>
      <c r="W16" s="1469" t="str">
        <f t="shared" ref="W16" si="72">IF($R16="na","",IF($R16=F16,"X",""))</f>
        <v/>
      </c>
      <c r="X16" s="1469" t="str">
        <f t="shared" ref="X16" si="73">IF($R16="na","",IF($R16=G16,"X",""))</f>
        <v/>
      </c>
      <c r="Y16" s="1469" t="str">
        <f t="shared" ref="Y16" si="74">IF($R16="na","",IF($R16=H16,"X",""))</f>
        <v/>
      </c>
      <c r="Z16" s="1469" t="str">
        <f t="shared" ref="Z16" si="75">IF($R16="na","",IF($R16=J16,"X",""))</f>
        <v/>
      </c>
      <c r="AA16" s="1469" t="str">
        <f t="shared" ref="AA16" si="76">IF($R16="na","",IF($R16=N16,"X",""))</f>
        <v/>
      </c>
      <c r="AB16" s="1706" t="str">
        <f t="shared" ref="AB16" si="77">IF(R16="na","",IF(AND(L16="YES",R16=J16),"X",""))</f>
        <v/>
      </c>
      <c r="AC16" s="1470" t="str">
        <f t="shared" ref="AC16" si="78">IF(OR($R16="na",N16="na"),"",IF($R16=10*N16,"X",""))</f>
        <v/>
      </c>
      <c r="AE16" s="1064"/>
      <c r="AG16" s="130"/>
    </row>
    <row r="17" spans="1:33" s="247" customFormat="1" ht="13.9" customHeight="1" x14ac:dyDescent="0.2">
      <c r="A17" s="1069">
        <f>Chem!A17</f>
        <v>15</v>
      </c>
      <c r="B17" s="856" t="str">
        <f>Chem!B17</f>
        <v>Nitrate</v>
      </c>
      <c r="C17" s="553" t="s">
        <v>232</v>
      </c>
      <c r="D17" s="342" t="s">
        <v>232</v>
      </c>
      <c r="E17" s="338" t="s">
        <v>232</v>
      </c>
      <c r="F17" s="394" t="s">
        <v>232</v>
      </c>
      <c r="G17" s="557" t="s">
        <v>232</v>
      </c>
      <c r="H17" s="392" t="s">
        <v>232</v>
      </c>
      <c r="I17" s="556" t="str">
        <f t="shared" si="47"/>
        <v>na</v>
      </c>
      <c r="J17" s="562" t="str">
        <f>'GW-Eq'!I17</f>
        <v>na</v>
      </c>
      <c r="K17" s="562" t="str">
        <f t="shared" ref="K17:K19" si="79">IF(I17="na","na",IF(J17="na","na",I17/J17))</f>
        <v>na</v>
      </c>
      <c r="L17" s="562" t="str">
        <f t="shared" ref="L17:L19" si="80">IF(K17="na","na",IF(K17&gt;1,"YES","no"))</f>
        <v>na</v>
      </c>
      <c r="M17" s="562" t="str">
        <f t="shared" ref="M17:M19" si="81">IF(L17="YES",J17,IF(ISNUMBER(I17),I17,J17))</f>
        <v>na</v>
      </c>
      <c r="N17" s="285" t="str">
        <f>'GW-Eq'!J17</f>
        <v>na</v>
      </c>
      <c r="O17" s="285" t="str">
        <f t="shared" ref="O17:O19" si="82">IF(I17="na","na",IF(N17="na","na",I17/N17))</f>
        <v>na</v>
      </c>
      <c r="P17" s="285" t="str">
        <f t="shared" ref="P17:P19" si="83">IF(O17="na","na",IF(O17&gt;10,"YES","no"))</f>
        <v>na</v>
      </c>
      <c r="Q17" s="285" t="str">
        <f t="shared" ref="Q17:Q19" si="84">IF(P17="YES",10*N17,IF(P17="no",I17,N17))</f>
        <v>na</v>
      </c>
      <c r="R17" s="1054" t="str">
        <f t="shared" si="11"/>
        <v>na</v>
      </c>
      <c r="S17" s="130"/>
      <c r="T17" s="1113" t="str">
        <f t="shared" si="54"/>
        <v/>
      </c>
      <c r="U17" s="1114" t="str">
        <f t="shared" si="54"/>
        <v/>
      </c>
      <c r="V17" s="1114" t="str">
        <f t="shared" si="55"/>
        <v/>
      </c>
      <c r="W17" s="1114" t="str">
        <f t="shared" si="56"/>
        <v/>
      </c>
      <c r="X17" s="1114" t="str">
        <f t="shared" si="57"/>
        <v/>
      </c>
      <c r="Y17" s="1114" t="str">
        <f t="shared" si="58"/>
        <v/>
      </c>
      <c r="Z17" s="1114" t="str">
        <f t="shared" si="59"/>
        <v/>
      </c>
      <c r="AA17" s="1114" t="str">
        <f t="shared" si="60"/>
        <v/>
      </c>
      <c r="AB17" s="1704" t="str">
        <f t="shared" si="61"/>
        <v/>
      </c>
      <c r="AC17" s="1115" t="str">
        <f t="shared" si="62"/>
        <v/>
      </c>
      <c r="AE17" s="1064"/>
      <c r="AG17" s="130"/>
    </row>
    <row r="18" spans="1:33" s="247" customFormat="1" ht="13.9" customHeight="1" x14ac:dyDescent="0.2">
      <c r="A18" s="844">
        <f>Chem!A18</f>
        <v>16</v>
      </c>
      <c r="B18" s="856" t="str">
        <f>Chem!B18</f>
        <v>Nitrite</v>
      </c>
      <c r="C18" s="553" t="s">
        <v>232</v>
      </c>
      <c r="D18" s="342" t="s">
        <v>232</v>
      </c>
      <c r="E18" s="338" t="s">
        <v>232</v>
      </c>
      <c r="F18" s="394" t="s">
        <v>232</v>
      </c>
      <c r="G18" s="557" t="s">
        <v>232</v>
      </c>
      <c r="H18" s="392" t="s">
        <v>232</v>
      </c>
      <c r="I18" s="556" t="str">
        <f t="shared" si="47"/>
        <v>na</v>
      </c>
      <c r="J18" s="562" t="str">
        <f>'GW-Eq'!I18</f>
        <v>na</v>
      </c>
      <c r="K18" s="562" t="str">
        <f t="shared" si="79"/>
        <v>na</v>
      </c>
      <c r="L18" s="562" t="str">
        <f t="shared" si="80"/>
        <v>na</v>
      </c>
      <c r="M18" s="562" t="str">
        <f t="shared" si="81"/>
        <v>na</v>
      </c>
      <c r="N18" s="285" t="str">
        <f>'GW-Eq'!J18</f>
        <v>na</v>
      </c>
      <c r="O18" s="285" t="str">
        <f t="shared" si="82"/>
        <v>na</v>
      </c>
      <c r="P18" s="285" t="str">
        <f t="shared" si="83"/>
        <v>na</v>
      </c>
      <c r="Q18" s="285" t="str">
        <f t="shared" si="84"/>
        <v>na</v>
      </c>
      <c r="R18" s="1054" t="str">
        <f t="shared" si="11"/>
        <v>na</v>
      </c>
      <c r="S18" s="130"/>
      <c r="T18" s="1113" t="str">
        <f t="shared" si="54"/>
        <v/>
      </c>
      <c r="U18" s="1114" t="str">
        <f t="shared" si="54"/>
        <v/>
      </c>
      <c r="V18" s="1114" t="str">
        <f t="shared" si="55"/>
        <v/>
      </c>
      <c r="W18" s="1114" t="str">
        <f t="shared" si="56"/>
        <v/>
      </c>
      <c r="X18" s="1114" t="str">
        <f t="shared" si="57"/>
        <v/>
      </c>
      <c r="Y18" s="1114" t="str">
        <f t="shared" si="58"/>
        <v/>
      </c>
      <c r="Z18" s="1114" t="str">
        <f t="shared" si="59"/>
        <v/>
      </c>
      <c r="AA18" s="1114" t="str">
        <f t="shared" si="60"/>
        <v/>
      </c>
      <c r="AB18" s="1704" t="str">
        <f t="shared" si="61"/>
        <v/>
      </c>
      <c r="AC18" s="1115" t="str">
        <f t="shared" si="62"/>
        <v/>
      </c>
      <c r="AE18" s="1064"/>
      <c r="AG18" s="130"/>
    </row>
    <row r="19" spans="1:33" s="247" customFormat="1" ht="13.9" customHeight="1" x14ac:dyDescent="0.2">
      <c r="A19" s="1321">
        <f>Chem!A19</f>
        <v>17</v>
      </c>
      <c r="B19" s="856" t="str">
        <f>Chem!B19</f>
        <v>Sulfate</v>
      </c>
      <c r="C19" s="338" t="s">
        <v>232</v>
      </c>
      <c r="D19" s="338" t="s">
        <v>232</v>
      </c>
      <c r="E19" s="338" t="s">
        <v>232</v>
      </c>
      <c r="F19" s="338" t="s">
        <v>232</v>
      </c>
      <c r="G19" s="557" t="s">
        <v>232</v>
      </c>
      <c r="H19" s="343" t="s">
        <v>232</v>
      </c>
      <c r="I19" s="552" t="str">
        <f t="shared" si="47"/>
        <v>na</v>
      </c>
      <c r="J19" s="550" t="str">
        <f>'GW-Eq'!I19</f>
        <v>na</v>
      </c>
      <c r="K19" s="550" t="str">
        <f t="shared" si="79"/>
        <v>na</v>
      </c>
      <c r="L19" s="550" t="str">
        <f t="shared" si="80"/>
        <v>na</v>
      </c>
      <c r="M19" s="550" t="str">
        <f t="shared" si="81"/>
        <v>na</v>
      </c>
      <c r="N19" s="219" t="str">
        <f>'GW-Eq'!J19</f>
        <v>na</v>
      </c>
      <c r="O19" s="219" t="str">
        <f t="shared" si="82"/>
        <v>na</v>
      </c>
      <c r="P19" s="219" t="str">
        <f t="shared" si="83"/>
        <v>na</v>
      </c>
      <c r="Q19" s="219" t="str">
        <f t="shared" si="84"/>
        <v>na</v>
      </c>
      <c r="R19" s="1056" t="str">
        <f t="shared" si="11"/>
        <v>na</v>
      </c>
      <c r="S19" s="130"/>
      <c r="T19" s="1113" t="str">
        <f t="shared" si="54"/>
        <v/>
      </c>
      <c r="U19" s="1114" t="str">
        <f t="shared" si="54"/>
        <v/>
      </c>
      <c r="V19" s="1114" t="str">
        <f t="shared" si="55"/>
        <v/>
      </c>
      <c r="W19" s="1114" t="str">
        <f t="shared" si="56"/>
        <v/>
      </c>
      <c r="X19" s="1114" t="str">
        <f t="shared" si="57"/>
        <v/>
      </c>
      <c r="Y19" s="1114" t="str">
        <f t="shared" si="58"/>
        <v/>
      </c>
      <c r="Z19" s="1114" t="str">
        <f t="shared" si="59"/>
        <v/>
      </c>
      <c r="AA19" s="1114" t="str">
        <f t="shared" si="60"/>
        <v/>
      </c>
      <c r="AB19" s="1704" t="str">
        <f t="shared" si="61"/>
        <v/>
      </c>
      <c r="AC19" s="1115" t="str">
        <f t="shared" si="62"/>
        <v/>
      </c>
      <c r="AE19" s="1064"/>
      <c r="AG19" s="130"/>
    </row>
    <row r="20" spans="1:33" s="247" customFormat="1" ht="13.9" customHeight="1" x14ac:dyDescent="0.2">
      <c r="A20" s="1322">
        <f>Chem!A20</f>
        <v>18</v>
      </c>
      <c r="B20" s="1153" t="str">
        <f>Chem!B20</f>
        <v>Sulfide</v>
      </c>
      <c r="C20" s="344" t="s">
        <v>232</v>
      </c>
      <c r="D20" s="344" t="s">
        <v>232</v>
      </c>
      <c r="E20" s="344" t="s">
        <v>232</v>
      </c>
      <c r="F20" s="344" t="s">
        <v>232</v>
      </c>
      <c r="G20" s="558" t="s">
        <v>232</v>
      </c>
      <c r="H20" s="533" t="s">
        <v>232</v>
      </c>
      <c r="I20" s="589" t="str">
        <f t="shared" si="47"/>
        <v>na</v>
      </c>
      <c r="J20" s="563" t="str">
        <f>'GW-Eq'!I20</f>
        <v>na</v>
      </c>
      <c r="K20" s="563" t="str">
        <f t="shared" ref="K20" si="85">IF(I20="na","na",IF(J20="na","na",I20/J20))</f>
        <v>na</v>
      </c>
      <c r="L20" s="563" t="str">
        <f t="shared" ref="L20" si="86">IF(K20="na","na",IF(K20&gt;1,"YES","no"))</f>
        <v>na</v>
      </c>
      <c r="M20" s="563" t="str">
        <f t="shared" ref="M20" si="87">IF(L20="YES",J20,IF(ISNUMBER(I20),I20,J20))</f>
        <v>na</v>
      </c>
      <c r="N20" s="290" t="str">
        <f>'GW-Eq'!J20</f>
        <v>na</v>
      </c>
      <c r="O20" s="290" t="str">
        <f t="shared" ref="O20" si="88">IF(I20="na","na",IF(N20="na","na",I20/N20))</f>
        <v>na</v>
      </c>
      <c r="P20" s="290" t="str">
        <f t="shared" ref="P20" si="89">IF(O20="na","na",IF(O20&gt;10,"YES","no"))</f>
        <v>na</v>
      </c>
      <c r="Q20" s="290" t="str">
        <f t="shared" ref="Q20" si="90">IF(P20="YES",10*N20,IF(P20="no",I20,N20))</f>
        <v>na</v>
      </c>
      <c r="R20" s="1057" t="str">
        <f t="shared" si="11"/>
        <v>na</v>
      </c>
      <c r="S20" s="130"/>
      <c r="T20" s="1116" t="str">
        <f t="shared" si="54"/>
        <v/>
      </c>
      <c r="U20" s="1117" t="str">
        <f t="shared" si="54"/>
        <v/>
      </c>
      <c r="V20" s="1117" t="str">
        <f t="shared" ref="V20" si="91">IF($R20="na","",IF($R20=E20,"X",""))</f>
        <v/>
      </c>
      <c r="W20" s="1117" t="str">
        <f t="shared" ref="W20" si="92">IF($R20="na","",IF($R20=F20,"X",""))</f>
        <v/>
      </c>
      <c r="X20" s="1117" t="str">
        <f t="shared" ref="X20" si="93">IF($R20="na","",IF($R20=G20,"X",""))</f>
        <v/>
      </c>
      <c r="Y20" s="1117" t="str">
        <f t="shared" ref="Y20" si="94">IF($R20="na","",IF($R20=H20,"X",""))</f>
        <v/>
      </c>
      <c r="Z20" s="1117" t="str">
        <f t="shared" ref="Z20" si="95">IF($R20="na","",IF($R20=J20,"X",""))</f>
        <v/>
      </c>
      <c r="AA20" s="1117" t="str">
        <f t="shared" ref="AA20" si="96">IF($R20="na","",IF($R20=N20,"X",""))</f>
        <v/>
      </c>
      <c r="AB20" s="1707" t="str">
        <f t="shared" si="61"/>
        <v/>
      </c>
      <c r="AC20" s="1118" t="str">
        <f t="shared" ref="AC20" si="97">IF(OR($R20="na",N20="na"),"",IF($R20=10*N20,"X",""))</f>
        <v/>
      </c>
      <c r="AE20" s="1064"/>
      <c r="AG20" s="130" t="str">
        <f>IF(R20=J20,"X","")</f>
        <v>X</v>
      </c>
    </row>
    <row r="21" spans="1:33" s="130" customFormat="1" ht="13.9" customHeight="1" x14ac:dyDescent="0.25">
      <c r="A21" s="906">
        <f>Chem!A21</f>
        <v>19</v>
      </c>
      <c r="B21" s="850" t="str">
        <f>Chem!B21</f>
        <v>Metals</v>
      </c>
      <c r="C21" s="2368"/>
      <c r="D21" s="2368"/>
      <c r="E21" s="2368"/>
      <c r="F21" s="2368"/>
      <c r="G21" s="2368"/>
      <c r="H21" s="297"/>
      <c r="I21" s="297"/>
      <c r="J21" s="2368"/>
      <c r="K21" s="297"/>
      <c r="L21" s="2347"/>
      <c r="M21" s="297"/>
      <c r="N21" s="2368"/>
      <c r="O21" s="297"/>
      <c r="P21" s="2347"/>
      <c r="Q21" s="297"/>
      <c r="R21" s="2369"/>
      <c r="T21" s="258" t="str">
        <f>B21</f>
        <v>Metals</v>
      </c>
      <c r="U21" s="2372"/>
      <c r="V21" s="2372"/>
      <c r="W21" s="2372"/>
      <c r="X21" s="2372"/>
      <c r="Y21" s="2372"/>
      <c r="Z21" s="2372"/>
      <c r="AA21" s="2372"/>
      <c r="AB21" s="2372"/>
      <c r="AC21" s="2373"/>
      <c r="AE21" s="1063"/>
    </row>
    <row r="22" spans="1:33" s="130" customFormat="1" ht="13.9" customHeight="1" x14ac:dyDescent="0.25">
      <c r="A22" s="846">
        <f>Chem!A22</f>
        <v>20</v>
      </c>
      <c r="B22" s="903" t="str">
        <f>Chem!B22</f>
        <v>Aluminum</v>
      </c>
      <c r="C22" s="555" t="s">
        <v>232</v>
      </c>
      <c r="D22" s="338" t="s">
        <v>232</v>
      </c>
      <c r="E22" s="395" t="s">
        <v>232</v>
      </c>
      <c r="F22" s="555" t="s">
        <v>232</v>
      </c>
      <c r="G22" s="552" t="s">
        <v>232</v>
      </c>
      <c r="H22" s="384" t="s">
        <v>232</v>
      </c>
      <c r="I22" s="554" t="str">
        <f t="shared" ref="I22:I45" si="98">IF(MIN(C22:H22)=0,"na",(MIN(C22:H22)))</f>
        <v>na</v>
      </c>
      <c r="J22" s="564" t="str">
        <f>'GW-Eq'!I22</f>
        <v>na</v>
      </c>
      <c r="K22" s="564" t="str">
        <f t="shared" ref="K22:K45" si="99">IF(I22="na","na",IF(J22="na","na",I22/J22))</f>
        <v>na</v>
      </c>
      <c r="L22" s="564" t="str">
        <f t="shared" ref="L22:L45" si="100">IF(K22="na","na",IF(K22&gt;1,"YES","no"))</f>
        <v>na</v>
      </c>
      <c r="M22" s="564" t="str">
        <f t="shared" ref="M22:M45" si="101">IF(L22="YES",J22,IF(ISNUMBER(I22),I22,J22))</f>
        <v>na</v>
      </c>
      <c r="N22" s="286" t="str">
        <f>'GW-Eq'!J22</f>
        <v>na</v>
      </c>
      <c r="O22" s="286" t="str">
        <f t="shared" ref="O22:O45" si="102">IF(I22="na","na",IF(N22="na","na",I22/N22))</f>
        <v>na</v>
      </c>
      <c r="P22" s="286" t="str">
        <f t="shared" ref="P22:P45" si="103">IF(O22="na","na",IF(O22&gt;10,"YES","no"))</f>
        <v>na</v>
      </c>
      <c r="Q22" s="286" t="str">
        <f t="shared" ref="Q22:Q45" si="104">IF(P22="YES",10*N22,IF(P22="no",I22,N22))</f>
        <v>na</v>
      </c>
      <c r="R22" s="1053" t="str">
        <f t="shared" ref="R22:R45" si="105">IF(MIN($M22,$Q22,$H22)=0,"na",MIN($M22,$Q22,$H22))</f>
        <v>na</v>
      </c>
      <c r="T22" s="1110" t="str">
        <f t="shared" ref="T22:T45" si="106">IF($R22="na","",IF($R22=C22,"X",""))</f>
        <v/>
      </c>
      <c r="U22" s="1111" t="str">
        <f t="shared" ref="U22:U45" si="107">IF($R22="na","",IF($R22=D22,"X",""))</f>
        <v/>
      </c>
      <c r="V22" s="1111" t="str">
        <f t="shared" ref="V22:V45" si="108">IF($R22="na","",IF($R22=E22,"X",""))</f>
        <v/>
      </c>
      <c r="W22" s="1111" t="str">
        <f t="shared" ref="W22:W45" si="109">IF($R22="na","",IF($R22=F22,"X",""))</f>
        <v/>
      </c>
      <c r="X22" s="1111" t="str">
        <f t="shared" ref="X22:X45" si="110">IF($R22="na","",IF($R22=G22,"X",""))</f>
        <v/>
      </c>
      <c r="Y22" s="1111" t="str">
        <f t="shared" ref="Y22:Y45" si="111">IF($R22="na","",IF($R22=H22,"X",""))</f>
        <v/>
      </c>
      <c r="Z22" s="1111" t="str">
        <f t="shared" ref="Z22:Z45" si="112">IF($R22="na","",IF($R22=J22,"X",""))</f>
        <v/>
      </c>
      <c r="AA22" s="1111" t="str">
        <f t="shared" ref="AA22:AA45" si="113">IF($R22="na","",IF($R22=N22,"X",""))</f>
        <v/>
      </c>
      <c r="AB22" s="1703" t="str">
        <f t="shared" ref="AB22:AB45" si="114">IF(R22="na","",IF(AND(L22="YES",R22=J22),"X",""))</f>
        <v/>
      </c>
      <c r="AC22" s="1112" t="str">
        <f t="shared" ref="AC22:AC45" si="115">IF(OR($R22="na",N22="na"),"",IF($R22=10*N22,"X",""))</f>
        <v/>
      </c>
      <c r="AE22" s="1062"/>
    </row>
    <row r="23" spans="1:33" s="130" customFormat="1" ht="13.9" customHeight="1" x14ac:dyDescent="0.25">
      <c r="A23" s="847">
        <f>Chem!A23</f>
        <v>21</v>
      </c>
      <c r="B23" s="856" t="str">
        <f>Chem!B23</f>
        <v>Antimony</v>
      </c>
      <c r="C23" s="394" t="s">
        <v>232</v>
      </c>
      <c r="D23" s="338" t="s">
        <v>232</v>
      </c>
      <c r="E23" s="394">
        <v>90</v>
      </c>
      <c r="F23" s="394">
        <v>90</v>
      </c>
      <c r="G23" s="552">
        <v>640</v>
      </c>
      <c r="H23" s="384" t="s">
        <v>232</v>
      </c>
      <c r="I23" s="338">
        <f t="shared" si="98"/>
        <v>90</v>
      </c>
      <c r="J23" s="407">
        <f>'GW-Eq'!I23</f>
        <v>287.17948717948724</v>
      </c>
      <c r="K23" s="407">
        <f t="shared" si="99"/>
        <v>0.31339285714285708</v>
      </c>
      <c r="L23" s="407" t="str">
        <f t="shared" si="100"/>
        <v>no</v>
      </c>
      <c r="M23" s="407">
        <f t="shared" si="101"/>
        <v>90</v>
      </c>
      <c r="N23" s="217" t="str">
        <f>'GW-Eq'!J23</f>
        <v>na</v>
      </c>
      <c r="O23" s="217" t="str">
        <f t="shared" si="102"/>
        <v>na</v>
      </c>
      <c r="P23" s="217" t="str">
        <f t="shared" si="103"/>
        <v>na</v>
      </c>
      <c r="Q23" s="217" t="str">
        <f t="shared" si="104"/>
        <v>na</v>
      </c>
      <c r="R23" s="1056">
        <f t="shared" si="105"/>
        <v>90</v>
      </c>
      <c r="T23" s="1113" t="str">
        <f t="shared" si="106"/>
        <v/>
      </c>
      <c r="U23" s="1114" t="str">
        <f t="shared" si="107"/>
        <v/>
      </c>
      <c r="V23" s="1114" t="str">
        <f t="shared" si="108"/>
        <v>X</v>
      </c>
      <c r="W23" s="1114" t="str">
        <f t="shared" si="109"/>
        <v>X</v>
      </c>
      <c r="X23" s="1114" t="str">
        <f t="shared" si="110"/>
        <v/>
      </c>
      <c r="Y23" s="1114" t="str">
        <f t="shared" si="111"/>
        <v/>
      </c>
      <c r="Z23" s="1114" t="str">
        <f t="shared" si="112"/>
        <v/>
      </c>
      <c r="AA23" s="1114" t="str">
        <f t="shared" si="113"/>
        <v/>
      </c>
      <c r="AB23" s="1704" t="str">
        <f t="shared" si="114"/>
        <v/>
      </c>
      <c r="AC23" s="1115" t="str">
        <f t="shared" si="115"/>
        <v/>
      </c>
      <c r="AE23" s="1062"/>
      <c r="AG23" s="130" t="str">
        <f>IF(R23=J23,"X","")</f>
        <v/>
      </c>
    </row>
    <row r="24" spans="1:33" s="130" customFormat="1" ht="13.9" customHeight="1" x14ac:dyDescent="0.25">
      <c r="A24" s="847">
        <f>Chem!A24</f>
        <v>22</v>
      </c>
      <c r="B24" s="856" t="str">
        <f>Chem!B24</f>
        <v>Arsenic</v>
      </c>
      <c r="C24" s="394">
        <v>36</v>
      </c>
      <c r="D24" s="338">
        <v>36</v>
      </c>
      <c r="E24" s="394">
        <v>0.14000000000000001</v>
      </c>
      <c r="F24" s="394">
        <v>0.14000000000000001</v>
      </c>
      <c r="G24" s="552">
        <v>0.14000000000000001</v>
      </c>
      <c r="H24" s="384" t="s">
        <v>232</v>
      </c>
      <c r="I24" s="338">
        <f t="shared" si="98"/>
        <v>0.14000000000000001</v>
      </c>
      <c r="J24" s="407">
        <f>'GW-Eq'!I24</f>
        <v>0.97902097902097907</v>
      </c>
      <c r="K24" s="407">
        <f t="shared" si="99"/>
        <v>0.14300000000000002</v>
      </c>
      <c r="L24" s="407" t="str">
        <f t="shared" si="100"/>
        <v>no</v>
      </c>
      <c r="M24" s="407">
        <f t="shared" si="101"/>
        <v>0.14000000000000001</v>
      </c>
      <c r="N24" s="217">
        <f>'GW-Eq'!J24</f>
        <v>1.2747668997668995E-3</v>
      </c>
      <c r="O24" s="217">
        <f t="shared" si="102"/>
        <v>109.82400000000003</v>
      </c>
      <c r="P24" s="217" t="str">
        <f t="shared" si="103"/>
        <v>YES</v>
      </c>
      <c r="Q24" s="217">
        <f t="shared" si="104"/>
        <v>1.2747668997668996E-2</v>
      </c>
      <c r="R24" s="1056">
        <f t="shared" si="105"/>
        <v>1.2747668997668996E-2</v>
      </c>
      <c r="T24" s="1113" t="str">
        <f t="shared" si="106"/>
        <v/>
      </c>
      <c r="U24" s="1114" t="str">
        <f t="shared" si="107"/>
        <v/>
      </c>
      <c r="V24" s="1114" t="str">
        <f t="shared" si="108"/>
        <v/>
      </c>
      <c r="W24" s="1114" t="str">
        <f t="shared" si="109"/>
        <v/>
      </c>
      <c r="X24" s="1114" t="str">
        <f t="shared" si="110"/>
        <v/>
      </c>
      <c r="Y24" s="1114" t="str">
        <f t="shared" si="111"/>
        <v/>
      </c>
      <c r="Z24" s="1114" t="str">
        <f t="shared" si="112"/>
        <v/>
      </c>
      <c r="AA24" s="1114" t="str">
        <f t="shared" si="113"/>
        <v/>
      </c>
      <c r="AB24" s="1704" t="str">
        <f t="shared" si="114"/>
        <v/>
      </c>
      <c r="AC24" s="1115" t="str">
        <f t="shared" si="115"/>
        <v>X</v>
      </c>
      <c r="AE24" s="1062"/>
      <c r="AG24" s="130" t="str">
        <f>IF(R24=J24,"X","")</f>
        <v/>
      </c>
    </row>
    <row r="25" spans="1:33" s="130" customFormat="1" ht="13.9" customHeight="1" x14ac:dyDescent="0.25">
      <c r="A25" s="847">
        <f>Chem!A25</f>
        <v>23</v>
      </c>
      <c r="B25" s="856" t="str">
        <f>Chem!B25</f>
        <v>Barium</v>
      </c>
      <c r="C25" s="394" t="s">
        <v>232</v>
      </c>
      <c r="D25" s="338" t="s">
        <v>232</v>
      </c>
      <c r="E25" s="394" t="s">
        <v>232</v>
      </c>
      <c r="F25" s="394" t="s">
        <v>232</v>
      </c>
      <c r="G25" s="552" t="s">
        <v>232</v>
      </c>
      <c r="H25" s="384">
        <v>200</v>
      </c>
      <c r="I25" s="552">
        <f t="shared" si="98"/>
        <v>200</v>
      </c>
      <c r="J25" s="407" t="str">
        <f>'GW-Eq'!I25</f>
        <v>na</v>
      </c>
      <c r="K25" s="407" t="str">
        <f t="shared" si="99"/>
        <v>na</v>
      </c>
      <c r="L25" s="407" t="str">
        <f t="shared" si="100"/>
        <v>na</v>
      </c>
      <c r="M25" s="407">
        <f t="shared" si="101"/>
        <v>200</v>
      </c>
      <c r="N25" s="217" t="str">
        <f>'GW-Eq'!J25</f>
        <v>na</v>
      </c>
      <c r="O25" s="217" t="str">
        <f t="shared" si="102"/>
        <v>na</v>
      </c>
      <c r="P25" s="217" t="str">
        <f t="shared" si="103"/>
        <v>na</v>
      </c>
      <c r="Q25" s="217" t="str">
        <f t="shared" si="104"/>
        <v>na</v>
      </c>
      <c r="R25" s="1056">
        <f t="shared" si="105"/>
        <v>200</v>
      </c>
      <c r="T25" s="1113" t="str">
        <f t="shared" si="106"/>
        <v/>
      </c>
      <c r="U25" s="1114" t="str">
        <f t="shared" si="107"/>
        <v/>
      </c>
      <c r="V25" s="1114" t="str">
        <f t="shared" si="108"/>
        <v/>
      </c>
      <c r="W25" s="1114" t="str">
        <f t="shared" si="109"/>
        <v/>
      </c>
      <c r="X25" s="1114" t="str">
        <f t="shared" si="110"/>
        <v/>
      </c>
      <c r="Y25" s="1114" t="str">
        <f t="shared" si="111"/>
        <v>X</v>
      </c>
      <c r="Z25" s="1114" t="str">
        <f t="shared" si="112"/>
        <v/>
      </c>
      <c r="AA25" s="1114" t="str">
        <f t="shared" si="113"/>
        <v/>
      </c>
      <c r="AB25" s="1704" t="str">
        <f t="shared" si="114"/>
        <v/>
      </c>
      <c r="AC25" s="1115" t="str">
        <f t="shared" si="115"/>
        <v/>
      </c>
      <c r="AE25" s="1062"/>
      <c r="AG25" s="130" t="str">
        <f>IF(R25=J25,"X","")</f>
        <v/>
      </c>
    </row>
    <row r="26" spans="1:33" s="130" customFormat="1" ht="13.9" customHeight="1" x14ac:dyDescent="0.25">
      <c r="A26" s="847">
        <f>Chem!A26</f>
        <v>24</v>
      </c>
      <c r="B26" s="856" t="str">
        <f>Chem!B26</f>
        <v>Beryllium</v>
      </c>
      <c r="C26" s="394" t="s">
        <v>232</v>
      </c>
      <c r="D26" s="338" t="s">
        <v>232</v>
      </c>
      <c r="E26" s="394" t="s">
        <v>232</v>
      </c>
      <c r="F26" s="394" t="s">
        <v>232</v>
      </c>
      <c r="G26" s="552" t="s">
        <v>232</v>
      </c>
      <c r="H26" s="384" t="s">
        <v>232</v>
      </c>
      <c r="I26" s="338" t="str">
        <f t="shared" si="98"/>
        <v>na</v>
      </c>
      <c r="J26" s="407">
        <f>'GW-Eq'!I26</f>
        <v>75.573549257759794</v>
      </c>
      <c r="K26" s="407" t="str">
        <f t="shared" si="99"/>
        <v>na</v>
      </c>
      <c r="L26" s="407" t="str">
        <f t="shared" si="100"/>
        <v>na</v>
      </c>
      <c r="M26" s="407">
        <f t="shared" si="101"/>
        <v>75.573549257759794</v>
      </c>
      <c r="N26" s="217" t="str">
        <f>'GW-Eq'!J26</f>
        <v>na</v>
      </c>
      <c r="O26" s="217" t="str">
        <f t="shared" si="102"/>
        <v>na</v>
      </c>
      <c r="P26" s="217" t="str">
        <f t="shared" si="103"/>
        <v>na</v>
      </c>
      <c r="Q26" s="217" t="str">
        <f t="shared" si="104"/>
        <v>na</v>
      </c>
      <c r="R26" s="1056">
        <f t="shared" si="105"/>
        <v>75.573549257759794</v>
      </c>
      <c r="T26" s="1113" t="str">
        <f t="shared" si="106"/>
        <v/>
      </c>
      <c r="U26" s="1114" t="str">
        <f t="shared" si="107"/>
        <v/>
      </c>
      <c r="V26" s="1114" t="str">
        <f t="shared" si="108"/>
        <v/>
      </c>
      <c r="W26" s="1114" t="str">
        <f t="shared" si="109"/>
        <v/>
      </c>
      <c r="X26" s="1114" t="str">
        <f t="shared" si="110"/>
        <v/>
      </c>
      <c r="Y26" s="1114" t="str">
        <f t="shared" si="111"/>
        <v/>
      </c>
      <c r="Z26" s="1114" t="str">
        <f t="shared" si="112"/>
        <v>X</v>
      </c>
      <c r="AA26" s="1114" t="str">
        <f t="shared" si="113"/>
        <v/>
      </c>
      <c r="AB26" s="1704" t="str">
        <f t="shared" si="114"/>
        <v/>
      </c>
      <c r="AC26" s="1115" t="str">
        <f t="shared" si="115"/>
        <v/>
      </c>
      <c r="AE26" s="1062"/>
    </row>
    <row r="27" spans="1:33" s="130" customFormat="1" ht="13.9" customHeight="1" x14ac:dyDescent="0.25">
      <c r="A27" s="847">
        <f>Chem!A27</f>
        <v>25</v>
      </c>
      <c r="B27" s="856" t="str">
        <f>Chem!B27</f>
        <v>Cadmium</v>
      </c>
      <c r="C27" s="394">
        <v>7.9</v>
      </c>
      <c r="D27" s="338">
        <v>7.9</v>
      </c>
      <c r="E27" s="394" t="s">
        <v>232</v>
      </c>
      <c r="F27" s="394" t="s">
        <v>232</v>
      </c>
      <c r="G27" s="552" t="s">
        <v>232</v>
      </c>
      <c r="H27" s="384" t="s">
        <v>232</v>
      </c>
      <c r="I27" s="338">
        <f t="shared" si="98"/>
        <v>7.9</v>
      </c>
      <c r="J27" s="407">
        <f>'GW-Eq'!I27</f>
        <v>11.217948717948719</v>
      </c>
      <c r="K27" s="407">
        <f t="shared" si="99"/>
        <v>0.70422857142857143</v>
      </c>
      <c r="L27" s="407" t="str">
        <f t="shared" si="100"/>
        <v>no</v>
      </c>
      <c r="M27" s="407">
        <f t="shared" si="101"/>
        <v>7.9</v>
      </c>
      <c r="N27" s="217" t="str">
        <f>'GW-Eq'!J27</f>
        <v>na</v>
      </c>
      <c r="O27" s="217" t="str">
        <f t="shared" si="102"/>
        <v>na</v>
      </c>
      <c r="P27" s="217" t="str">
        <f t="shared" si="103"/>
        <v>na</v>
      </c>
      <c r="Q27" s="217" t="str">
        <f t="shared" si="104"/>
        <v>na</v>
      </c>
      <c r="R27" s="1056">
        <f t="shared" si="105"/>
        <v>7.9</v>
      </c>
      <c r="T27" s="1113" t="str">
        <f t="shared" si="106"/>
        <v>X</v>
      </c>
      <c r="U27" s="1114" t="str">
        <f t="shared" si="107"/>
        <v>X</v>
      </c>
      <c r="V27" s="1114" t="str">
        <f t="shared" si="108"/>
        <v/>
      </c>
      <c r="W27" s="1114" t="str">
        <f t="shared" si="109"/>
        <v/>
      </c>
      <c r="X27" s="1114" t="str">
        <f t="shared" si="110"/>
        <v/>
      </c>
      <c r="Y27" s="1114" t="str">
        <f t="shared" si="111"/>
        <v/>
      </c>
      <c r="Z27" s="1114" t="str">
        <f t="shared" si="112"/>
        <v/>
      </c>
      <c r="AA27" s="1114" t="str">
        <f t="shared" si="113"/>
        <v/>
      </c>
      <c r="AB27" s="1704" t="str">
        <f t="shared" si="114"/>
        <v/>
      </c>
      <c r="AC27" s="1115" t="str">
        <f t="shared" si="115"/>
        <v/>
      </c>
      <c r="AE27" s="1062"/>
      <c r="AG27" s="130" t="str">
        <f>IF(R27=J27,"X","")</f>
        <v/>
      </c>
    </row>
    <row r="28" spans="1:33" s="130" customFormat="1" ht="13.9" customHeight="1" x14ac:dyDescent="0.25">
      <c r="A28" s="847">
        <f>Chem!A28</f>
        <v>26</v>
      </c>
      <c r="B28" s="856" t="str">
        <f>Chem!B28</f>
        <v>Chromium, total</v>
      </c>
      <c r="C28" s="394" t="s">
        <v>232</v>
      </c>
      <c r="D28" s="338" t="s">
        <v>232</v>
      </c>
      <c r="E28" s="394" t="s">
        <v>232</v>
      </c>
      <c r="F28" s="394" t="s">
        <v>232</v>
      </c>
      <c r="G28" s="557" t="s">
        <v>232</v>
      </c>
      <c r="H28" s="384" t="s">
        <v>232</v>
      </c>
      <c r="I28" s="338" t="str">
        <f t="shared" si="98"/>
        <v>na</v>
      </c>
      <c r="J28" s="407" t="str">
        <f>'GW-Eq'!I28</f>
        <v>na</v>
      </c>
      <c r="K28" s="407" t="str">
        <f t="shared" ref="K28" si="116">IF(I28="na","na",IF(J28="na","na",I28/J28))</f>
        <v>na</v>
      </c>
      <c r="L28" s="407" t="str">
        <f t="shared" ref="L28" si="117">IF(K28="na","na",IF(K28&gt;1,"YES","no"))</f>
        <v>na</v>
      </c>
      <c r="M28" s="407" t="str">
        <f t="shared" ref="M28" si="118">IF(L28="YES",J28,IF(ISNUMBER(I28),I28,J28))</f>
        <v>na</v>
      </c>
      <c r="N28" s="217" t="str">
        <f>'GW-Eq'!J28</f>
        <v>na</v>
      </c>
      <c r="O28" s="217" t="str">
        <f t="shared" ref="O28" si="119">IF(I28="na","na",IF(N28="na","na",I28/N28))</f>
        <v>na</v>
      </c>
      <c r="P28" s="217" t="str">
        <f t="shared" ref="P28" si="120">IF(O28="na","na",IF(O28&gt;10,"YES","no"))</f>
        <v>na</v>
      </c>
      <c r="Q28" s="217" t="str">
        <f t="shared" ref="Q28" si="121">IF(P28="YES",10*N28,IF(P28="no",I28,N28))</f>
        <v>na</v>
      </c>
      <c r="R28" s="1056" t="str">
        <f t="shared" si="105"/>
        <v>na</v>
      </c>
      <c r="T28" s="1113" t="str">
        <f t="shared" si="106"/>
        <v/>
      </c>
      <c r="U28" s="1114" t="str">
        <f t="shared" si="107"/>
        <v/>
      </c>
      <c r="V28" s="1114" t="str">
        <f t="shared" ref="V28" si="122">IF($R28="na","",IF($R28=E28,"X",""))</f>
        <v/>
      </c>
      <c r="W28" s="1114" t="str">
        <f t="shared" ref="W28" si="123">IF($R28="na","",IF($R28=F28,"X",""))</f>
        <v/>
      </c>
      <c r="X28" s="1114" t="str">
        <f t="shared" ref="X28" si="124">IF($R28="na","",IF($R28=G28,"X",""))</f>
        <v/>
      </c>
      <c r="Y28" s="1114" t="str">
        <f t="shared" ref="Y28" si="125">IF($R28="na","",IF($R28=H28,"X",""))</f>
        <v/>
      </c>
      <c r="Z28" s="1114" t="str">
        <f t="shared" ref="Z28" si="126">IF($R28="na","",IF($R28=J28,"X",""))</f>
        <v/>
      </c>
      <c r="AA28" s="1114" t="str">
        <f t="shared" ref="AA28" si="127">IF($R28="na","",IF($R28=N28,"X",""))</f>
        <v/>
      </c>
      <c r="AB28" s="1704" t="str">
        <f t="shared" si="114"/>
        <v/>
      </c>
      <c r="AC28" s="1115" t="str">
        <f t="shared" ref="AC28" si="128">IF(OR($R28="na",N28="na"),"",IF($R28=10*N28,"X",""))</f>
        <v/>
      </c>
      <c r="AE28" s="1062"/>
    </row>
    <row r="29" spans="1:33" s="130" customFormat="1" ht="13.9" customHeight="1" x14ac:dyDescent="0.25">
      <c r="A29" s="847">
        <f>Chem!A29</f>
        <v>27</v>
      </c>
      <c r="B29" s="856" t="str">
        <f>Chem!B29</f>
        <v>Chromium, trivalent</v>
      </c>
      <c r="C29" s="394" t="s">
        <v>232</v>
      </c>
      <c r="D29" s="338" t="s">
        <v>232</v>
      </c>
      <c r="E29" s="394" t="s">
        <v>232</v>
      </c>
      <c r="F29" s="394" t="s">
        <v>232</v>
      </c>
      <c r="G29" s="552" t="s">
        <v>232</v>
      </c>
      <c r="H29" s="384">
        <v>27.4</v>
      </c>
      <c r="I29" s="552">
        <f t="shared" si="98"/>
        <v>27.4</v>
      </c>
      <c r="J29" s="407">
        <f>'GW-Eq'!I29</f>
        <v>67307.692307692312</v>
      </c>
      <c r="K29" s="407">
        <f t="shared" si="99"/>
        <v>4.0708571428571424E-4</v>
      </c>
      <c r="L29" s="407" t="str">
        <f t="shared" si="100"/>
        <v>no</v>
      </c>
      <c r="M29" s="407">
        <f t="shared" si="101"/>
        <v>27.4</v>
      </c>
      <c r="N29" s="217" t="str">
        <f>'GW-Eq'!J29</f>
        <v>na</v>
      </c>
      <c r="O29" s="217" t="str">
        <f t="shared" si="102"/>
        <v>na</v>
      </c>
      <c r="P29" s="217" t="str">
        <f t="shared" si="103"/>
        <v>na</v>
      </c>
      <c r="Q29" s="217" t="str">
        <f t="shared" si="104"/>
        <v>na</v>
      </c>
      <c r="R29" s="1056">
        <f t="shared" si="105"/>
        <v>27.4</v>
      </c>
      <c r="T29" s="1113" t="str">
        <f t="shared" si="106"/>
        <v/>
      </c>
      <c r="U29" s="1114" t="str">
        <f t="shared" si="107"/>
        <v/>
      </c>
      <c r="V29" s="1114" t="str">
        <f t="shared" si="108"/>
        <v/>
      </c>
      <c r="W29" s="1114" t="str">
        <f t="shared" si="109"/>
        <v/>
      </c>
      <c r="X29" s="1114" t="str">
        <f t="shared" si="110"/>
        <v/>
      </c>
      <c r="Y29" s="1114" t="str">
        <f t="shared" si="111"/>
        <v>X</v>
      </c>
      <c r="Z29" s="1114" t="str">
        <f t="shared" si="112"/>
        <v/>
      </c>
      <c r="AA29" s="1114" t="str">
        <f t="shared" si="113"/>
        <v/>
      </c>
      <c r="AB29" s="1704" t="str">
        <f t="shared" si="114"/>
        <v/>
      </c>
      <c r="AC29" s="1115" t="str">
        <f t="shared" si="115"/>
        <v/>
      </c>
      <c r="AE29" s="1062"/>
      <c r="AG29" s="130" t="str">
        <f>IF(R29=J29,"X","")</f>
        <v/>
      </c>
    </row>
    <row r="30" spans="1:33" s="130" customFormat="1" ht="13.9" customHeight="1" x14ac:dyDescent="0.25">
      <c r="A30" s="847">
        <f>Chem!A30</f>
        <v>28</v>
      </c>
      <c r="B30" s="856" t="str">
        <f>Chem!B30</f>
        <v>Chromium, hexavalent</v>
      </c>
      <c r="C30" s="394">
        <v>50</v>
      </c>
      <c r="D30" s="338">
        <v>50</v>
      </c>
      <c r="E30" s="394" t="s">
        <v>232</v>
      </c>
      <c r="F30" s="394" t="s">
        <v>232</v>
      </c>
      <c r="G30" s="552" t="s">
        <v>232</v>
      </c>
      <c r="H30" s="384" t="s">
        <v>232</v>
      </c>
      <c r="I30" s="338">
        <f t="shared" si="98"/>
        <v>50</v>
      </c>
      <c r="J30" s="407">
        <f>'GW-Eq'!I30</f>
        <v>40.384615384615387</v>
      </c>
      <c r="K30" s="407">
        <f t="shared" si="99"/>
        <v>1.2380952380952381</v>
      </c>
      <c r="L30" s="407" t="str">
        <f t="shared" si="100"/>
        <v>YES</v>
      </c>
      <c r="M30" s="407">
        <f t="shared" si="101"/>
        <v>40.384615384615387</v>
      </c>
      <c r="N30" s="217">
        <f>'GW-Eq'!J30</f>
        <v>0.16151726557700138</v>
      </c>
      <c r="O30" s="217">
        <f t="shared" si="102"/>
        <v>309.56442843048944</v>
      </c>
      <c r="P30" s="217" t="str">
        <f t="shared" si="103"/>
        <v>YES</v>
      </c>
      <c r="Q30" s="217">
        <f t="shared" si="104"/>
        <v>1.6151726557700139</v>
      </c>
      <c r="R30" s="1056">
        <f t="shared" si="105"/>
        <v>1.6151726557700139</v>
      </c>
      <c r="T30" s="1113" t="str">
        <f t="shared" si="106"/>
        <v/>
      </c>
      <c r="U30" s="1114" t="str">
        <f t="shared" si="107"/>
        <v/>
      </c>
      <c r="V30" s="1114" t="str">
        <f t="shared" si="108"/>
        <v/>
      </c>
      <c r="W30" s="1114" t="str">
        <f t="shared" si="109"/>
        <v/>
      </c>
      <c r="X30" s="1114" t="str">
        <f t="shared" si="110"/>
        <v/>
      </c>
      <c r="Y30" s="1114" t="str">
        <f t="shared" si="111"/>
        <v/>
      </c>
      <c r="Z30" s="1114" t="str">
        <f t="shared" si="112"/>
        <v/>
      </c>
      <c r="AA30" s="1114" t="str">
        <f t="shared" si="113"/>
        <v/>
      </c>
      <c r="AB30" s="1704" t="str">
        <f t="shared" si="114"/>
        <v/>
      </c>
      <c r="AC30" s="1115" t="str">
        <f t="shared" si="115"/>
        <v>X</v>
      </c>
      <c r="AE30" s="1062"/>
      <c r="AG30" s="130" t="str">
        <f>IF(R30=J30,"X","")</f>
        <v/>
      </c>
    </row>
    <row r="31" spans="1:33" s="130" customFormat="1" ht="13.9" customHeight="1" x14ac:dyDescent="0.25">
      <c r="A31" s="847">
        <f>Chem!A31</f>
        <v>29</v>
      </c>
      <c r="B31" s="856" t="str">
        <f>Chem!B31</f>
        <v>Cobalt</v>
      </c>
      <c r="C31" s="394" t="s">
        <v>232</v>
      </c>
      <c r="D31" s="338" t="s">
        <v>232</v>
      </c>
      <c r="E31" s="394" t="s">
        <v>232</v>
      </c>
      <c r="F31" s="394" t="s">
        <v>232</v>
      </c>
      <c r="G31" s="552" t="s">
        <v>232</v>
      </c>
      <c r="H31" s="384" t="s">
        <v>232</v>
      </c>
      <c r="I31" s="338" t="str">
        <f t="shared" si="98"/>
        <v>na</v>
      </c>
      <c r="J31" s="407" t="str">
        <f>'GW-Eq'!I31</f>
        <v>na</v>
      </c>
      <c r="K31" s="407" t="str">
        <f t="shared" si="99"/>
        <v>na</v>
      </c>
      <c r="L31" s="407" t="str">
        <f t="shared" si="100"/>
        <v>na</v>
      </c>
      <c r="M31" s="407" t="str">
        <f t="shared" si="101"/>
        <v>na</v>
      </c>
      <c r="N31" s="217" t="str">
        <f>'GW-Eq'!J31</f>
        <v>na</v>
      </c>
      <c r="O31" s="217" t="str">
        <f t="shared" si="102"/>
        <v>na</v>
      </c>
      <c r="P31" s="217" t="str">
        <f t="shared" si="103"/>
        <v>na</v>
      </c>
      <c r="Q31" s="217" t="str">
        <f t="shared" si="104"/>
        <v>na</v>
      </c>
      <c r="R31" s="1056" t="str">
        <f t="shared" si="105"/>
        <v>na</v>
      </c>
      <c r="T31" s="1113" t="str">
        <f t="shared" si="106"/>
        <v/>
      </c>
      <c r="U31" s="1114" t="str">
        <f t="shared" si="107"/>
        <v/>
      </c>
      <c r="V31" s="1114" t="str">
        <f t="shared" si="108"/>
        <v/>
      </c>
      <c r="W31" s="1114" t="str">
        <f t="shared" si="109"/>
        <v/>
      </c>
      <c r="X31" s="1114" t="str">
        <f t="shared" si="110"/>
        <v/>
      </c>
      <c r="Y31" s="1114" t="str">
        <f t="shared" si="111"/>
        <v/>
      </c>
      <c r="Z31" s="1114" t="str">
        <f t="shared" si="112"/>
        <v/>
      </c>
      <c r="AA31" s="1114" t="str">
        <f t="shared" si="113"/>
        <v/>
      </c>
      <c r="AB31" s="1704" t="str">
        <f t="shared" si="114"/>
        <v/>
      </c>
      <c r="AC31" s="1115" t="str">
        <f t="shared" si="115"/>
        <v/>
      </c>
      <c r="AE31" s="1062"/>
    </row>
    <row r="32" spans="1:33" s="130" customFormat="1" ht="13.9" customHeight="1" x14ac:dyDescent="0.25">
      <c r="A32" s="847">
        <f>Chem!A32</f>
        <v>30</v>
      </c>
      <c r="B32" s="856" t="str">
        <f>Chem!B32</f>
        <v>Copper</v>
      </c>
      <c r="C32" s="394">
        <v>3.1</v>
      </c>
      <c r="D32" s="338">
        <v>3.1</v>
      </c>
      <c r="E32" s="394" t="s">
        <v>232</v>
      </c>
      <c r="F32" s="394" t="s">
        <v>232</v>
      </c>
      <c r="G32" s="552" t="s">
        <v>232</v>
      </c>
      <c r="H32" s="384" t="s">
        <v>232</v>
      </c>
      <c r="I32" s="338">
        <f t="shared" si="98"/>
        <v>3.1</v>
      </c>
      <c r="J32" s="407">
        <f>'GW-Eq'!I32</f>
        <v>797.72079772079769</v>
      </c>
      <c r="K32" s="407">
        <f t="shared" si="99"/>
        <v>3.8860714285714288E-3</v>
      </c>
      <c r="L32" s="407" t="str">
        <f t="shared" si="100"/>
        <v>no</v>
      </c>
      <c r="M32" s="407">
        <f t="shared" si="101"/>
        <v>3.1</v>
      </c>
      <c r="N32" s="217" t="str">
        <f>'GW-Eq'!J32</f>
        <v>na</v>
      </c>
      <c r="O32" s="217" t="str">
        <f t="shared" si="102"/>
        <v>na</v>
      </c>
      <c r="P32" s="217" t="str">
        <f t="shared" si="103"/>
        <v>na</v>
      </c>
      <c r="Q32" s="217" t="str">
        <f t="shared" si="104"/>
        <v>na</v>
      </c>
      <c r="R32" s="1056">
        <f t="shared" si="105"/>
        <v>3.1</v>
      </c>
      <c r="T32" s="1113" t="str">
        <f t="shared" si="106"/>
        <v>X</v>
      </c>
      <c r="U32" s="1114" t="str">
        <f t="shared" si="107"/>
        <v>X</v>
      </c>
      <c r="V32" s="1114" t="str">
        <f t="shared" si="108"/>
        <v/>
      </c>
      <c r="W32" s="1114" t="str">
        <f t="shared" si="109"/>
        <v/>
      </c>
      <c r="X32" s="1114" t="str">
        <f t="shared" si="110"/>
        <v/>
      </c>
      <c r="Y32" s="1114" t="str">
        <f t="shared" si="111"/>
        <v/>
      </c>
      <c r="Z32" s="1114" t="str">
        <f t="shared" si="112"/>
        <v/>
      </c>
      <c r="AA32" s="1114" t="str">
        <f t="shared" si="113"/>
        <v/>
      </c>
      <c r="AB32" s="1704" t="str">
        <f t="shared" si="114"/>
        <v/>
      </c>
      <c r="AC32" s="1115" t="str">
        <f t="shared" si="115"/>
        <v/>
      </c>
      <c r="AE32" s="1062"/>
      <c r="AG32" s="130" t="str">
        <f>IF(R32=J32,"X","")</f>
        <v/>
      </c>
    </row>
    <row r="33" spans="1:33" s="130" customFormat="1" ht="13.9" customHeight="1" x14ac:dyDescent="0.25">
      <c r="A33" s="847">
        <f>Chem!A33</f>
        <v>31</v>
      </c>
      <c r="B33" s="856" t="str">
        <f>Chem!B33</f>
        <v>Iron</v>
      </c>
      <c r="C33" s="394" t="s">
        <v>232</v>
      </c>
      <c r="D33" s="338" t="s">
        <v>232</v>
      </c>
      <c r="E33" s="394" t="s">
        <v>232</v>
      </c>
      <c r="F33" s="394" t="s">
        <v>232</v>
      </c>
      <c r="G33" s="552" t="s">
        <v>232</v>
      </c>
      <c r="H33" s="384" t="s">
        <v>232</v>
      </c>
      <c r="I33" s="338" t="str">
        <f t="shared" si="98"/>
        <v>na</v>
      </c>
      <c r="J33" s="407" t="str">
        <f>'GW-Eq'!I33</f>
        <v>na</v>
      </c>
      <c r="K33" s="407" t="str">
        <f t="shared" si="99"/>
        <v>na</v>
      </c>
      <c r="L33" s="407" t="str">
        <f t="shared" si="100"/>
        <v>na</v>
      </c>
      <c r="M33" s="407" t="str">
        <f t="shared" si="101"/>
        <v>na</v>
      </c>
      <c r="N33" s="217" t="str">
        <f>'GW-Eq'!J33</f>
        <v>na</v>
      </c>
      <c r="O33" s="217" t="str">
        <f t="shared" si="102"/>
        <v>na</v>
      </c>
      <c r="P33" s="217" t="str">
        <f t="shared" si="103"/>
        <v>na</v>
      </c>
      <c r="Q33" s="217" t="str">
        <f t="shared" si="104"/>
        <v>na</v>
      </c>
      <c r="R33" s="1056" t="str">
        <f t="shared" si="105"/>
        <v>na</v>
      </c>
      <c r="T33" s="1113" t="str">
        <f t="shared" si="106"/>
        <v/>
      </c>
      <c r="U33" s="1114" t="str">
        <f t="shared" si="107"/>
        <v/>
      </c>
      <c r="V33" s="1114" t="str">
        <f t="shared" si="108"/>
        <v/>
      </c>
      <c r="W33" s="1114" t="str">
        <f t="shared" si="109"/>
        <v/>
      </c>
      <c r="X33" s="1114" t="str">
        <f t="shared" si="110"/>
        <v/>
      </c>
      <c r="Y33" s="1114" t="str">
        <f t="shared" si="111"/>
        <v/>
      </c>
      <c r="Z33" s="1114" t="str">
        <f t="shared" si="112"/>
        <v/>
      </c>
      <c r="AA33" s="1114" t="str">
        <f t="shared" si="113"/>
        <v/>
      </c>
      <c r="AB33" s="1704" t="str">
        <f t="shared" si="114"/>
        <v/>
      </c>
      <c r="AC33" s="1115" t="str">
        <f t="shared" si="115"/>
        <v/>
      </c>
      <c r="AE33" s="1062"/>
    </row>
    <row r="34" spans="1:33" s="130" customFormat="1" ht="13.9" customHeight="1" x14ac:dyDescent="0.25">
      <c r="A34" s="847">
        <f>Chem!A34</f>
        <v>32</v>
      </c>
      <c r="B34" s="856" t="str">
        <f>Chem!B34</f>
        <v>Lead</v>
      </c>
      <c r="C34" s="394">
        <v>8.1</v>
      </c>
      <c r="D34" s="338">
        <v>8.1</v>
      </c>
      <c r="E34" s="394" t="s">
        <v>232</v>
      </c>
      <c r="F34" s="394" t="s">
        <v>232</v>
      </c>
      <c r="G34" s="552" t="s">
        <v>232</v>
      </c>
      <c r="H34" s="384" t="s">
        <v>232</v>
      </c>
      <c r="I34" s="338">
        <f t="shared" si="98"/>
        <v>8.1</v>
      </c>
      <c r="J34" s="407" t="str">
        <f>'GW-Eq'!I34</f>
        <v>na</v>
      </c>
      <c r="K34" s="407" t="str">
        <f t="shared" si="99"/>
        <v>na</v>
      </c>
      <c r="L34" s="407" t="str">
        <f t="shared" si="100"/>
        <v>na</v>
      </c>
      <c r="M34" s="407">
        <f t="shared" si="101"/>
        <v>8.1</v>
      </c>
      <c r="N34" s="217" t="str">
        <f>'GW-Eq'!J34</f>
        <v>na</v>
      </c>
      <c r="O34" s="217" t="str">
        <f t="shared" si="102"/>
        <v>na</v>
      </c>
      <c r="P34" s="217" t="str">
        <f t="shared" si="103"/>
        <v>na</v>
      </c>
      <c r="Q34" s="217" t="str">
        <f t="shared" si="104"/>
        <v>na</v>
      </c>
      <c r="R34" s="1056">
        <f t="shared" si="105"/>
        <v>8.1</v>
      </c>
      <c r="T34" s="1113" t="str">
        <f t="shared" si="106"/>
        <v>X</v>
      </c>
      <c r="U34" s="1114" t="str">
        <f t="shared" si="107"/>
        <v>X</v>
      </c>
      <c r="V34" s="1114" t="str">
        <f t="shared" si="108"/>
        <v/>
      </c>
      <c r="W34" s="1114" t="str">
        <f t="shared" si="109"/>
        <v/>
      </c>
      <c r="X34" s="1114" t="str">
        <f t="shared" si="110"/>
        <v/>
      </c>
      <c r="Y34" s="1114" t="str">
        <f t="shared" si="111"/>
        <v/>
      </c>
      <c r="Z34" s="1114" t="str">
        <f t="shared" si="112"/>
        <v/>
      </c>
      <c r="AA34" s="1114" t="str">
        <f t="shared" si="113"/>
        <v/>
      </c>
      <c r="AB34" s="1704" t="str">
        <f t="shared" si="114"/>
        <v/>
      </c>
      <c r="AC34" s="1115" t="str">
        <f t="shared" si="115"/>
        <v/>
      </c>
      <c r="AE34" s="1062"/>
      <c r="AG34" s="130" t="str">
        <f>IF(R34=J34,"X","")</f>
        <v/>
      </c>
    </row>
    <row r="35" spans="1:33" s="130" customFormat="1" ht="13.9" customHeight="1" x14ac:dyDescent="0.25">
      <c r="A35" s="847">
        <f>Chem!A35</f>
        <v>33</v>
      </c>
      <c r="B35" s="856" t="str">
        <f>Chem!B35</f>
        <v>Manganese</v>
      </c>
      <c r="C35" s="394" t="s">
        <v>232</v>
      </c>
      <c r="D35" s="338" t="s">
        <v>232</v>
      </c>
      <c r="E35" s="394" t="s">
        <v>232</v>
      </c>
      <c r="F35" s="394" t="s">
        <v>232</v>
      </c>
      <c r="G35" s="552">
        <v>100</v>
      </c>
      <c r="H35" s="384" t="s">
        <v>232</v>
      </c>
      <c r="I35" s="338">
        <f t="shared" si="98"/>
        <v>100</v>
      </c>
      <c r="J35" s="407" t="str">
        <f>'GW-Eq'!I35</f>
        <v>na</v>
      </c>
      <c r="K35" s="407" t="str">
        <f t="shared" si="99"/>
        <v>na</v>
      </c>
      <c r="L35" s="407" t="str">
        <f t="shared" si="100"/>
        <v>na</v>
      </c>
      <c r="M35" s="407">
        <f t="shared" si="101"/>
        <v>100</v>
      </c>
      <c r="N35" s="217" t="str">
        <f>'GW-Eq'!J35</f>
        <v>na</v>
      </c>
      <c r="O35" s="217" t="str">
        <f t="shared" si="102"/>
        <v>na</v>
      </c>
      <c r="P35" s="217" t="str">
        <f t="shared" si="103"/>
        <v>na</v>
      </c>
      <c r="Q35" s="217" t="str">
        <f t="shared" si="104"/>
        <v>na</v>
      </c>
      <c r="R35" s="1056">
        <f t="shared" si="105"/>
        <v>100</v>
      </c>
      <c r="T35" s="1113" t="str">
        <f t="shared" si="106"/>
        <v/>
      </c>
      <c r="U35" s="1114" t="str">
        <f t="shared" si="107"/>
        <v/>
      </c>
      <c r="V35" s="1114" t="str">
        <f t="shared" si="108"/>
        <v/>
      </c>
      <c r="W35" s="1114" t="str">
        <f t="shared" si="109"/>
        <v/>
      </c>
      <c r="X35" s="1114" t="str">
        <f t="shared" si="110"/>
        <v>X</v>
      </c>
      <c r="Y35" s="1114" t="str">
        <f t="shared" si="111"/>
        <v/>
      </c>
      <c r="Z35" s="1114" t="str">
        <f t="shared" si="112"/>
        <v/>
      </c>
      <c r="AA35" s="1114" t="str">
        <f t="shared" si="113"/>
        <v/>
      </c>
      <c r="AB35" s="1704" t="str">
        <f t="shared" si="114"/>
        <v/>
      </c>
      <c r="AC35" s="1115" t="str">
        <f t="shared" si="115"/>
        <v/>
      </c>
      <c r="AE35" s="1062"/>
      <c r="AG35" s="130" t="str">
        <f>IF(R35=J35,"X","")</f>
        <v/>
      </c>
    </row>
    <row r="36" spans="1:33" s="130" customFormat="1" ht="13.9" customHeight="1" x14ac:dyDescent="0.25">
      <c r="A36" s="847">
        <f>Chem!A36</f>
        <v>34</v>
      </c>
      <c r="B36" s="856" t="str">
        <f>Chem!B36</f>
        <v>Mercury, inorganic</v>
      </c>
      <c r="C36" s="394">
        <v>2.5000000000000001E-2</v>
      </c>
      <c r="D36" s="338">
        <v>0.94</v>
      </c>
      <c r="E36" s="394" t="s">
        <v>232</v>
      </c>
      <c r="F36" s="394" t="s">
        <v>232</v>
      </c>
      <c r="G36" s="557" t="s">
        <v>232</v>
      </c>
      <c r="H36" s="384" t="s">
        <v>232</v>
      </c>
      <c r="I36" s="338">
        <f t="shared" si="98"/>
        <v>2.5000000000000001E-2</v>
      </c>
      <c r="J36" s="407" t="str">
        <f>'GW-Eq'!I36</f>
        <v>na</v>
      </c>
      <c r="K36" s="407" t="str">
        <f t="shared" si="99"/>
        <v>na</v>
      </c>
      <c r="L36" s="407" t="str">
        <f t="shared" si="100"/>
        <v>na</v>
      </c>
      <c r="M36" s="407">
        <f t="shared" si="101"/>
        <v>2.5000000000000001E-2</v>
      </c>
      <c r="N36" s="217" t="str">
        <f>'GW-Eq'!J36</f>
        <v>na</v>
      </c>
      <c r="O36" s="217" t="str">
        <f t="shared" si="102"/>
        <v>na</v>
      </c>
      <c r="P36" s="217" t="str">
        <f t="shared" si="103"/>
        <v>na</v>
      </c>
      <c r="Q36" s="217" t="str">
        <f t="shared" si="104"/>
        <v>na</v>
      </c>
      <c r="R36" s="1056">
        <f t="shared" si="105"/>
        <v>2.5000000000000001E-2</v>
      </c>
      <c r="T36" s="1113" t="str">
        <f t="shared" si="106"/>
        <v>X</v>
      </c>
      <c r="U36" s="1114" t="str">
        <f t="shared" si="107"/>
        <v/>
      </c>
      <c r="V36" s="1114" t="str">
        <f t="shared" si="108"/>
        <v/>
      </c>
      <c r="W36" s="1114" t="str">
        <f t="shared" si="109"/>
        <v/>
      </c>
      <c r="X36" s="1114" t="str">
        <f t="shared" si="110"/>
        <v/>
      </c>
      <c r="Y36" s="1114" t="str">
        <f t="shared" si="111"/>
        <v/>
      </c>
      <c r="Z36" s="1114" t="str">
        <f t="shared" si="112"/>
        <v/>
      </c>
      <c r="AA36" s="1114" t="str">
        <f t="shared" si="113"/>
        <v/>
      </c>
      <c r="AB36" s="1704" t="str">
        <f t="shared" si="114"/>
        <v/>
      </c>
      <c r="AC36" s="1115" t="str">
        <f t="shared" si="115"/>
        <v/>
      </c>
      <c r="AE36" s="1062"/>
      <c r="AG36" s="130" t="str">
        <f>IF(R36=J36,"X","")</f>
        <v/>
      </c>
    </row>
    <row r="37" spans="1:33" s="130" customFormat="1" ht="13.9" customHeight="1" x14ac:dyDescent="0.25">
      <c r="A37" s="847">
        <f>Chem!A37</f>
        <v>35</v>
      </c>
      <c r="B37" s="855" t="str">
        <f>Chem!B37</f>
        <v>Methylmercury</v>
      </c>
      <c r="C37" s="394" t="s">
        <v>232</v>
      </c>
      <c r="D37" s="338" t="s">
        <v>232</v>
      </c>
      <c r="E37" s="394" t="s">
        <v>232</v>
      </c>
      <c r="F37" s="394" t="s">
        <v>232</v>
      </c>
      <c r="G37" s="557" t="s">
        <v>232</v>
      </c>
      <c r="H37" s="384" t="s">
        <v>232</v>
      </c>
      <c r="I37" s="338" t="str">
        <f t="shared" si="98"/>
        <v>na</v>
      </c>
      <c r="J37" s="407" t="str">
        <f>'GW-Eq'!I37</f>
        <v>na</v>
      </c>
      <c r="K37" s="407" t="str">
        <f t="shared" si="99"/>
        <v>na</v>
      </c>
      <c r="L37" s="407" t="str">
        <f t="shared" si="100"/>
        <v>na</v>
      </c>
      <c r="M37" s="407" t="str">
        <f t="shared" si="101"/>
        <v>na</v>
      </c>
      <c r="N37" s="217" t="str">
        <f>'GW-Eq'!J37</f>
        <v>na</v>
      </c>
      <c r="O37" s="217" t="str">
        <f t="shared" si="102"/>
        <v>na</v>
      </c>
      <c r="P37" s="217" t="str">
        <f t="shared" si="103"/>
        <v>na</v>
      </c>
      <c r="Q37" s="217" t="str">
        <f t="shared" si="104"/>
        <v>na</v>
      </c>
      <c r="R37" s="1056" t="str">
        <f t="shared" si="105"/>
        <v>na</v>
      </c>
      <c r="T37" s="1113" t="str">
        <f t="shared" si="106"/>
        <v/>
      </c>
      <c r="U37" s="1114" t="str">
        <f t="shared" si="107"/>
        <v/>
      </c>
      <c r="V37" s="1114" t="str">
        <f t="shared" si="108"/>
        <v/>
      </c>
      <c r="W37" s="1114" t="str">
        <f t="shared" si="109"/>
        <v/>
      </c>
      <c r="X37" s="1114" t="str">
        <f t="shared" si="110"/>
        <v/>
      </c>
      <c r="Y37" s="1114" t="str">
        <f t="shared" si="111"/>
        <v/>
      </c>
      <c r="Z37" s="1114" t="str">
        <f t="shared" si="112"/>
        <v/>
      </c>
      <c r="AA37" s="1114" t="str">
        <f t="shared" si="113"/>
        <v/>
      </c>
      <c r="AB37" s="1704" t="str">
        <f t="shared" si="114"/>
        <v/>
      </c>
      <c r="AC37" s="1115" t="str">
        <f t="shared" si="115"/>
        <v/>
      </c>
      <c r="AE37" s="1062"/>
    </row>
    <row r="38" spans="1:33" s="130" customFormat="1" ht="13.9" customHeight="1" x14ac:dyDescent="0.25">
      <c r="A38" s="847">
        <f>Chem!A38</f>
        <v>36</v>
      </c>
      <c r="B38" s="856" t="str">
        <f>Chem!B38</f>
        <v>Molybdenum</v>
      </c>
      <c r="C38" s="394" t="s">
        <v>232</v>
      </c>
      <c r="D38" s="338" t="s">
        <v>232</v>
      </c>
      <c r="E38" s="394" t="s">
        <v>232</v>
      </c>
      <c r="F38" s="394" t="s">
        <v>232</v>
      </c>
      <c r="G38" s="552" t="s">
        <v>232</v>
      </c>
      <c r="H38" s="384" t="s">
        <v>232</v>
      </c>
      <c r="I38" s="338" t="str">
        <f t="shared" si="98"/>
        <v>na</v>
      </c>
      <c r="J38" s="407" t="str">
        <f>'GW-Eq'!I38</f>
        <v>na</v>
      </c>
      <c r="K38" s="407" t="str">
        <f t="shared" si="99"/>
        <v>na</v>
      </c>
      <c r="L38" s="407" t="str">
        <f t="shared" si="100"/>
        <v>na</v>
      </c>
      <c r="M38" s="407" t="str">
        <f t="shared" si="101"/>
        <v>na</v>
      </c>
      <c r="N38" s="217" t="str">
        <f>'GW-Eq'!J38</f>
        <v>na</v>
      </c>
      <c r="O38" s="217" t="str">
        <f t="shared" si="102"/>
        <v>na</v>
      </c>
      <c r="P38" s="217" t="str">
        <f t="shared" si="103"/>
        <v>na</v>
      </c>
      <c r="Q38" s="217" t="str">
        <f t="shared" si="104"/>
        <v>na</v>
      </c>
      <c r="R38" s="1056" t="str">
        <f t="shared" si="105"/>
        <v>na</v>
      </c>
      <c r="T38" s="1113" t="str">
        <f t="shared" si="106"/>
        <v/>
      </c>
      <c r="U38" s="1114" t="str">
        <f t="shared" si="107"/>
        <v/>
      </c>
      <c r="V38" s="1114" t="str">
        <f t="shared" si="108"/>
        <v/>
      </c>
      <c r="W38" s="1114" t="str">
        <f t="shared" si="109"/>
        <v/>
      </c>
      <c r="X38" s="1114" t="str">
        <f t="shared" si="110"/>
        <v/>
      </c>
      <c r="Y38" s="1114" t="str">
        <f t="shared" si="111"/>
        <v/>
      </c>
      <c r="Z38" s="1114" t="str">
        <f t="shared" si="112"/>
        <v/>
      </c>
      <c r="AA38" s="1114" t="str">
        <f t="shared" si="113"/>
        <v/>
      </c>
      <c r="AB38" s="1704" t="str">
        <f t="shared" si="114"/>
        <v/>
      </c>
      <c r="AC38" s="1115" t="str">
        <f t="shared" si="115"/>
        <v/>
      </c>
      <c r="AE38" s="1062"/>
    </row>
    <row r="39" spans="1:33" s="130" customFormat="1" ht="13.9" customHeight="1" x14ac:dyDescent="0.25">
      <c r="A39" s="847">
        <f>Chem!A39</f>
        <v>37</v>
      </c>
      <c r="B39" s="856" t="str">
        <f>Chem!B39</f>
        <v>Nickel</v>
      </c>
      <c r="C39" s="394">
        <v>8.1999999999999993</v>
      </c>
      <c r="D39" s="338">
        <v>8.1999999999999993</v>
      </c>
      <c r="E39" s="394">
        <v>100</v>
      </c>
      <c r="F39" s="394">
        <v>100</v>
      </c>
      <c r="G39" s="552">
        <v>4600</v>
      </c>
      <c r="H39" s="384" t="s">
        <v>232</v>
      </c>
      <c r="I39" s="338">
        <f t="shared" si="98"/>
        <v>8.1999999999999993</v>
      </c>
      <c r="J39" s="407">
        <f>'GW-Eq'!I39</f>
        <v>305.51009274413531</v>
      </c>
      <c r="K39" s="407">
        <f t="shared" si="99"/>
        <v>2.6840357142857138E-2</v>
      </c>
      <c r="L39" s="407" t="str">
        <f t="shared" si="100"/>
        <v>no</v>
      </c>
      <c r="M39" s="407">
        <f t="shared" si="101"/>
        <v>8.1999999999999993</v>
      </c>
      <c r="N39" s="217" t="str">
        <f>'GW-Eq'!J39</f>
        <v>na</v>
      </c>
      <c r="O39" s="217" t="str">
        <f t="shared" si="102"/>
        <v>na</v>
      </c>
      <c r="P39" s="217" t="str">
        <f t="shared" si="103"/>
        <v>na</v>
      </c>
      <c r="Q39" s="217" t="str">
        <f t="shared" si="104"/>
        <v>na</v>
      </c>
      <c r="R39" s="1056">
        <f t="shared" si="105"/>
        <v>8.1999999999999993</v>
      </c>
      <c r="T39" s="1113" t="str">
        <f t="shared" si="106"/>
        <v>X</v>
      </c>
      <c r="U39" s="1114" t="str">
        <f t="shared" si="107"/>
        <v>X</v>
      </c>
      <c r="V39" s="1114" t="str">
        <f t="shared" si="108"/>
        <v/>
      </c>
      <c r="W39" s="1114" t="str">
        <f t="shared" si="109"/>
        <v/>
      </c>
      <c r="X39" s="1114" t="str">
        <f t="shared" si="110"/>
        <v/>
      </c>
      <c r="Y39" s="1114" t="str">
        <f t="shared" si="111"/>
        <v/>
      </c>
      <c r="Z39" s="1114" t="str">
        <f t="shared" si="112"/>
        <v/>
      </c>
      <c r="AA39" s="1114" t="str">
        <f t="shared" si="113"/>
        <v/>
      </c>
      <c r="AB39" s="1704" t="str">
        <f t="shared" si="114"/>
        <v/>
      </c>
      <c r="AC39" s="1115" t="str">
        <f t="shared" si="115"/>
        <v/>
      </c>
      <c r="AE39" s="1062"/>
      <c r="AG39" s="130" t="str">
        <f>IF(R39=J39,"X","")</f>
        <v/>
      </c>
    </row>
    <row r="40" spans="1:33" s="130" customFormat="1" ht="13.9" customHeight="1" x14ac:dyDescent="0.25">
      <c r="A40" s="847">
        <f>Chem!A40</f>
        <v>38</v>
      </c>
      <c r="B40" s="856" t="str">
        <f>Chem!B40</f>
        <v>Selenium</v>
      </c>
      <c r="C40" s="394">
        <v>71</v>
      </c>
      <c r="D40" s="338">
        <v>71</v>
      </c>
      <c r="E40" s="394">
        <v>200</v>
      </c>
      <c r="F40" s="394">
        <v>200</v>
      </c>
      <c r="G40" s="552">
        <v>4200</v>
      </c>
      <c r="H40" s="384" t="s">
        <v>232</v>
      </c>
      <c r="I40" s="338">
        <f t="shared" si="98"/>
        <v>71</v>
      </c>
      <c r="J40" s="407">
        <f>'GW-Eq'!I40</f>
        <v>747.86324786324792</v>
      </c>
      <c r="K40" s="407">
        <f t="shared" si="99"/>
        <v>9.4937142857142845E-2</v>
      </c>
      <c r="L40" s="407" t="str">
        <f t="shared" si="100"/>
        <v>no</v>
      </c>
      <c r="M40" s="407">
        <f t="shared" si="101"/>
        <v>71</v>
      </c>
      <c r="N40" s="217" t="str">
        <f>'GW-Eq'!J40</f>
        <v>na</v>
      </c>
      <c r="O40" s="217" t="str">
        <f t="shared" si="102"/>
        <v>na</v>
      </c>
      <c r="P40" s="217" t="str">
        <f t="shared" si="103"/>
        <v>na</v>
      </c>
      <c r="Q40" s="217" t="str">
        <f t="shared" si="104"/>
        <v>na</v>
      </c>
      <c r="R40" s="1056">
        <f t="shared" si="105"/>
        <v>71</v>
      </c>
      <c r="T40" s="1113" t="str">
        <f t="shared" si="106"/>
        <v>X</v>
      </c>
      <c r="U40" s="1114" t="str">
        <f t="shared" si="107"/>
        <v>X</v>
      </c>
      <c r="V40" s="1114" t="str">
        <f t="shared" si="108"/>
        <v/>
      </c>
      <c r="W40" s="1114" t="str">
        <f t="shared" si="109"/>
        <v/>
      </c>
      <c r="X40" s="1114" t="str">
        <f t="shared" si="110"/>
        <v/>
      </c>
      <c r="Y40" s="1114" t="str">
        <f t="shared" si="111"/>
        <v/>
      </c>
      <c r="Z40" s="1114" t="str">
        <f t="shared" si="112"/>
        <v/>
      </c>
      <c r="AA40" s="1114" t="str">
        <f t="shared" si="113"/>
        <v/>
      </c>
      <c r="AB40" s="1704" t="str">
        <f t="shared" si="114"/>
        <v/>
      </c>
      <c r="AC40" s="1115" t="str">
        <f t="shared" si="115"/>
        <v/>
      </c>
      <c r="AE40" s="1062"/>
      <c r="AG40" s="130" t="str">
        <f>IF(R40=J40,"X","")</f>
        <v/>
      </c>
    </row>
    <row r="41" spans="1:33" s="130" customFormat="1" ht="13.9" customHeight="1" x14ac:dyDescent="0.25">
      <c r="A41" s="847">
        <f>Chem!A41</f>
        <v>39</v>
      </c>
      <c r="B41" s="856" t="str">
        <f>Chem!B41</f>
        <v>Silver</v>
      </c>
      <c r="C41" s="394">
        <v>0.91</v>
      </c>
      <c r="D41" s="338">
        <v>1.9</v>
      </c>
      <c r="E41" s="394" t="s">
        <v>232</v>
      </c>
      <c r="F41" s="394" t="s">
        <v>232</v>
      </c>
      <c r="G41" s="552" t="s">
        <v>232</v>
      </c>
      <c r="H41" s="384" t="s">
        <v>232</v>
      </c>
      <c r="I41" s="338">
        <f t="shared" si="98"/>
        <v>0.91</v>
      </c>
      <c r="J41" s="407">
        <f>'GW-Eq'!I41</f>
        <v>7179.4871794871797</v>
      </c>
      <c r="K41" s="407">
        <f t="shared" si="99"/>
        <v>1.2674999999999999E-4</v>
      </c>
      <c r="L41" s="407" t="str">
        <f t="shared" si="100"/>
        <v>no</v>
      </c>
      <c r="M41" s="407">
        <f t="shared" si="101"/>
        <v>0.91</v>
      </c>
      <c r="N41" s="217" t="str">
        <f>'GW-Eq'!J41</f>
        <v>na</v>
      </c>
      <c r="O41" s="217" t="str">
        <f t="shared" si="102"/>
        <v>na</v>
      </c>
      <c r="P41" s="217" t="str">
        <f t="shared" si="103"/>
        <v>na</v>
      </c>
      <c r="Q41" s="217" t="str">
        <f t="shared" si="104"/>
        <v>na</v>
      </c>
      <c r="R41" s="1056">
        <f t="shared" si="105"/>
        <v>0.91</v>
      </c>
      <c r="T41" s="1113" t="str">
        <f t="shared" si="106"/>
        <v>X</v>
      </c>
      <c r="U41" s="1114" t="str">
        <f t="shared" si="107"/>
        <v/>
      </c>
      <c r="V41" s="1114" t="str">
        <f t="shared" si="108"/>
        <v/>
      </c>
      <c r="W41" s="1114" t="str">
        <f t="shared" si="109"/>
        <v/>
      </c>
      <c r="X41" s="1114" t="str">
        <f t="shared" si="110"/>
        <v/>
      </c>
      <c r="Y41" s="1114" t="str">
        <f t="shared" si="111"/>
        <v/>
      </c>
      <c r="Z41" s="1114" t="str">
        <f t="shared" si="112"/>
        <v/>
      </c>
      <c r="AA41" s="1114" t="str">
        <f t="shared" si="113"/>
        <v/>
      </c>
      <c r="AB41" s="1704" t="str">
        <f t="shared" si="114"/>
        <v/>
      </c>
      <c r="AC41" s="1115" t="str">
        <f t="shared" si="115"/>
        <v/>
      </c>
      <c r="AE41" s="1062"/>
      <c r="AG41" s="130" t="str">
        <f>IF(R41=J41,"X","")</f>
        <v/>
      </c>
    </row>
    <row r="42" spans="1:33" s="130" customFormat="1" ht="13.9" customHeight="1" x14ac:dyDescent="0.25">
      <c r="A42" s="847">
        <f>Chem!A42</f>
        <v>40</v>
      </c>
      <c r="B42" s="856" t="str">
        <f>Chem!B42</f>
        <v>Thallium</v>
      </c>
      <c r="C42" s="394" t="s">
        <v>232</v>
      </c>
      <c r="D42" s="338" t="s">
        <v>232</v>
      </c>
      <c r="E42" s="394">
        <v>0.27</v>
      </c>
      <c r="F42" s="394" t="s">
        <v>232</v>
      </c>
      <c r="G42" s="552">
        <v>0.47</v>
      </c>
      <c r="H42" s="384" t="s">
        <v>232</v>
      </c>
      <c r="I42" s="338">
        <f t="shared" si="98"/>
        <v>0.27</v>
      </c>
      <c r="J42" s="407">
        <f>'GW-Eq'!I42</f>
        <v>6.1892130857648109E-2</v>
      </c>
      <c r="K42" s="407">
        <f t="shared" si="99"/>
        <v>4.3624285714285707</v>
      </c>
      <c r="L42" s="407" t="str">
        <f t="shared" si="100"/>
        <v>YES</v>
      </c>
      <c r="M42" s="407">
        <f t="shared" si="101"/>
        <v>6.1892130857648109E-2</v>
      </c>
      <c r="N42" s="217" t="str">
        <f>'GW-Eq'!J42</f>
        <v>na</v>
      </c>
      <c r="O42" s="217" t="str">
        <f t="shared" si="102"/>
        <v>na</v>
      </c>
      <c r="P42" s="217" t="str">
        <f t="shared" si="103"/>
        <v>na</v>
      </c>
      <c r="Q42" s="217" t="str">
        <f t="shared" si="104"/>
        <v>na</v>
      </c>
      <c r="R42" s="1056">
        <f t="shared" si="105"/>
        <v>6.1892130857648109E-2</v>
      </c>
      <c r="T42" s="1113" t="str">
        <f t="shared" si="106"/>
        <v/>
      </c>
      <c r="U42" s="1114" t="str">
        <f t="shared" si="107"/>
        <v/>
      </c>
      <c r="V42" s="1114" t="str">
        <f t="shared" si="108"/>
        <v/>
      </c>
      <c r="W42" s="1114" t="str">
        <f t="shared" si="109"/>
        <v/>
      </c>
      <c r="X42" s="1114" t="str">
        <f t="shared" si="110"/>
        <v/>
      </c>
      <c r="Y42" s="1114" t="str">
        <f t="shared" si="111"/>
        <v/>
      </c>
      <c r="Z42" s="1114" t="str">
        <f t="shared" si="112"/>
        <v>X</v>
      </c>
      <c r="AA42" s="1114" t="str">
        <f t="shared" si="113"/>
        <v/>
      </c>
      <c r="AB42" s="1704" t="str">
        <f t="shared" si="114"/>
        <v>X</v>
      </c>
      <c r="AC42" s="1115" t="str">
        <f t="shared" si="115"/>
        <v/>
      </c>
      <c r="AE42" s="1062"/>
    </row>
    <row r="43" spans="1:33" s="130" customFormat="1" ht="13.9" customHeight="1" x14ac:dyDescent="0.25">
      <c r="A43" s="847">
        <f>Chem!A43</f>
        <v>41</v>
      </c>
      <c r="B43" s="856" t="str">
        <f>Chem!B43</f>
        <v>Tin</v>
      </c>
      <c r="C43" s="394" t="s">
        <v>232</v>
      </c>
      <c r="D43" s="338" t="s">
        <v>232</v>
      </c>
      <c r="E43" s="394" t="s">
        <v>232</v>
      </c>
      <c r="F43" s="394" t="s">
        <v>232</v>
      </c>
      <c r="G43" s="552" t="s">
        <v>232</v>
      </c>
      <c r="H43" s="384" t="s">
        <v>232</v>
      </c>
      <c r="I43" s="338" t="str">
        <f t="shared" si="98"/>
        <v>na</v>
      </c>
      <c r="J43" s="407" t="str">
        <f>'GW-Eq'!I43</f>
        <v>na</v>
      </c>
      <c r="K43" s="407" t="str">
        <f t="shared" si="99"/>
        <v>na</v>
      </c>
      <c r="L43" s="407" t="str">
        <f t="shared" si="100"/>
        <v>na</v>
      </c>
      <c r="M43" s="407" t="str">
        <f t="shared" si="101"/>
        <v>na</v>
      </c>
      <c r="N43" s="217" t="str">
        <f>'GW-Eq'!J43</f>
        <v>na</v>
      </c>
      <c r="O43" s="217" t="str">
        <f t="shared" si="102"/>
        <v>na</v>
      </c>
      <c r="P43" s="217" t="str">
        <f t="shared" si="103"/>
        <v>na</v>
      </c>
      <c r="Q43" s="217" t="str">
        <f t="shared" si="104"/>
        <v>na</v>
      </c>
      <c r="R43" s="1056" t="str">
        <f t="shared" si="105"/>
        <v>na</v>
      </c>
      <c r="T43" s="1113" t="str">
        <f t="shared" si="106"/>
        <v/>
      </c>
      <c r="U43" s="1114" t="str">
        <f t="shared" si="107"/>
        <v/>
      </c>
      <c r="V43" s="1114" t="str">
        <f t="shared" si="108"/>
        <v/>
      </c>
      <c r="W43" s="1114" t="str">
        <f t="shared" si="109"/>
        <v/>
      </c>
      <c r="X43" s="1114" t="str">
        <f t="shared" si="110"/>
        <v/>
      </c>
      <c r="Y43" s="1114" t="str">
        <f t="shared" si="111"/>
        <v/>
      </c>
      <c r="Z43" s="1114" t="str">
        <f t="shared" si="112"/>
        <v/>
      </c>
      <c r="AA43" s="1114" t="str">
        <f t="shared" si="113"/>
        <v/>
      </c>
      <c r="AB43" s="1704" t="str">
        <f t="shared" si="114"/>
        <v/>
      </c>
      <c r="AC43" s="1115" t="str">
        <f t="shared" si="115"/>
        <v/>
      </c>
      <c r="AE43" s="1062"/>
    </row>
    <row r="44" spans="1:33" s="130" customFormat="1" ht="13.9" customHeight="1" x14ac:dyDescent="0.25">
      <c r="A44" s="847">
        <f>Chem!A44</f>
        <v>42</v>
      </c>
      <c r="B44" s="856" t="str">
        <f>Chem!B44</f>
        <v>Vanadium</v>
      </c>
      <c r="C44" s="553" t="s">
        <v>232</v>
      </c>
      <c r="D44" s="338" t="s">
        <v>232</v>
      </c>
      <c r="E44" s="553" t="s">
        <v>232</v>
      </c>
      <c r="F44" s="553" t="s">
        <v>232</v>
      </c>
      <c r="G44" s="552" t="s">
        <v>232</v>
      </c>
      <c r="H44" s="392" t="s">
        <v>232</v>
      </c>
      <c r="I44" s="342" t="str">
        <f t="shared" si="98"/>
        <v>na</v>
      </c>
      <c r="J44" s="562" t="str">
        <f>'GW-Eq'!I44</f>
        <v>na</v>
      </c>
      <c r="K44" s="562" t="str">
        <f t="shared" si="99"/>
        <v>na</v>
      </c>
      <c r="L44" s="562" t="str">
        <f t="shared" si="100"/>
        <v>na</v>
      </c>
      <c r="M44" s="562" t="str">
        <f t="shared" si="101"/>
        <v>na</v>
      </c>
      <c r="N44" s="285" t="str">
        <f>'GW-Eq'!J44</f>
        <v>na</v>
      </c>
      <c r="O44" s="285" t="str">
        <f t="shared" si="102"/>
        <v>na</v>
      </c>
      <c r="P44" s="285" t="str">
        <f t="shared" si="103"/>
        <v>na</v>
      </c>
      <c r="Q44" s="285" t="str">
        <f t="shared" si="104"/>
        <v>na</v>
      </c>
      <c r="R44" s="1054" t="str">
        <f t="shared" si="105"/>
        <v>na</v>
      </c>
      <c r="T44" s="1113" t="str">
        <f t="shared" si="106"/>
        <v/>
      </c>
      <c r="U44" s="1114" t="str">
        <f t="shared" si="107"/>
        <v/>
      </c>
      <c r="V44" s="1114" t="str">
        <f t="shared" si="108"/>
        <v/>
      </c>
      <c r="W44" s="1114" t="str">
        <f t="shared" si="109"/>
        <v/>
      </c>
      <c r="X44" s="1114" t="str">
        <f t="shared" si="110"/>
        <v/>
      </c>
      <c r="Y44" s="1114" t="str">
        <f t="shared" si="111"/>
        <v/>
      </c>
      <c r="Z44" s="1114" t="str">
        <f t="shared" si="112"/>
        <v/>
      </c>
      <c r="AA44" s="1114" t="str">
        <f t="shared" si="113"/>
        <v/>
      </c>
      <c r="AB44" s="1704" t="str">
        <f t="shared" si="114"/>
        <v/>
      </c>
      <c r="AC44" s="1115" t="str">
        <f t="shared" si="115"/>
        <v/>
      </c>
      <c r="AE44" s="1062"/>
    </row>
    <row r="45" spans="1:33" s="130" customFormat="1" ht="13.9" customHeight="1" x14ac:dyDescent="0.25">
      <c r="A45" s="844">
        <f>Chem!A45</f>
        <v>43</v>
      </c>
      <c r="B45" s="901" t="str">
        <f>Chem!B45</f>
        <v>Zinc</v>
      </c>
      <c r="C45" s="553">
        <v>81</v>
      </c>
      <c r="D45" s="338">
        <v>81</v>
      </c>
      <c r="E45" s="553">
        <v>1000</v>
      </c>
      <c r="F45" s="553">
        <v>1000</v>
      </c>
      <c r="G45" s="552">
        <v>26000</v>
      </c>
      <c r="H45" s="392" t="s">
        <v>232</v>
      </c>
      <c r="I45" s="342">
        <f t="shared" si="98"/>
        <v>81</v>
      </c>
      <c r="J45" s="562">
        <f>'GW-Eq'!I45</f>
        <v>4582.6513911620295</v>
      </c>
      <c r="K45" s="562">
        <f t="shared" si="99"/>
        <v>1.7675357142857142E-2</v>
      </c>
      <c r="L45" s="562" t="str">
        <f t="shared" si="100"/>
        <v>no</v>
      </c>
      <c r="M45" s="562">
        <f t="shared" si="101"/>
        <v>81</v>
      </c>
      <c r="N45" s="285" t="str">
        <f>'GW-Eq'!J45</f>
        <v>na</v>
      </c>
      <c r="O45" s="285" t="str">
        <f t="shared" si="102"/>
        <v>na</v>
      </c>
      <c r="P45" s="285" t="str">
        <f t="shared" si="103"/>
        <v>na</v>
      </c>
      <c r="Q45" s="285" t="str">
        <f t="shared" si="104"/>
        <v>na</v>
      </c>
      <c r="R45" s="1054">
        <f t="shared" si="105"/>
        <v>81</v>
      </c>
      <c r="T45" s="1336" t="str">
        <f t="shared" si="106"/>
        <v>X</v>
      </c>
      <c r="U45" s="1337" t="str">
        <f t="shared" si="107"/>
        <v>X</v>
      </c>
      <c r="V45" s="1337" t="str">
        <f t="shared" si="108"/>
        <v/>
      </c>
      <c r="W45" s="1337" t="str">
        <f t="shared" si="109"/>
        <v/>
      </c>
      <c r="X45" s="1337" t="str">
        <f t="shared" si="110"/>
        <v/>
      </c>
      <c r="Y45" s="1337" t="str">
        <f t="shared" si="111"/>
        <v/>
      </c>
      <c r="Z45" s="1337" t="str">
        <f t="shared" si="112"/>
        <v/>
      </c>
      <c r="AA45" s="1337" t="str">
        <f t="shared" si="113"/>
        <v/>
      </c>
      <c r="AB45" s="1705" t="str">
        <f t="shared" si="114"/>
        <v/>
      </c>
      <c r="AC45" s="1338" t="str">
        <f t="shared" si="115"/>
        <v/>
      </c>
      <c r="AE45" s="1062"/>
      <c r="AG45" s="130" t="str">
        <f>IF(R45=J45,"X","")</f>
        <v/>
      </c>
    </row>
    <row r="46" spans="1:33" s="130" customFormat="1" ht="13.9" customHeight="1" x14ac:dyDescent="0.25">
      <c r="A46" s="906">
        <f>Chem!A46</f>
        <v>44</v>
      </c>
      <c r="B46" s="850" t="str">
        <f>Chem!B46</f>
        <v>Metals - Butyltins</v>
      </c>
      <c r="C46" s="2368"/>
      <c r="D46" s="2368"/>
      <c r="E46" s="2368"/>
      <c r="F46" s="2368"/>
      <c r="G46" s="2368"/>
      <c r="H46" s="297"/>
      <c r="I46" s="297"/>
      <c r="J46" s="2368"/>
      <c r="K46" s="297"/>
      <c r="L46" s="2347"/>
      <c r="M46" s="297"/>
      <c r="N46" s="2368"/>
      <c r="O46" s="297"/>
      <c r="P46" s="2347"/>
      <c r="Q46" s="297"/>
      <c r="R46" s="2369"/>
      <c r="T46" s="258" t="str">
        <f>B46</f>
        <v>Metals - Butyltins</v>
      </c>
      <c r="U46" s="2372"/>
      <c r="V46" s="2372"/>
      <c r="W46" s="2372"/>
      <c r="X46" s="2372"/>
      <c r="Y46" s="2372"/>
      <c r="Z46" s="2372"/>
      <c r="AA46" s="2372"/>
      <c r="AB46" s="2372"/>
      <c r="AC46" s="2373"/>
      <c r="AE46" s="987"/>
    </row>
    <row r="47" spans="1:33" s="130" customFormat="1" ht="13.9" customHeight="1" x14ac:dyDescent="0.25">
      <c r="A47" s="847">
        <f>Chem!A47</f>
        <v>45</v>
      </c>
      <c r="B47" s="905" t="str">
        <f>Chem!B47</f>
        <v>Monobutyltin</v>
      </c>
      <c r="C47" s="553" t="s">
        <v>232</v>
      </c>
      <c r="D47" s="338" t="s">
        <v>232</v>
      </c>
      <c r="E47" s="553" t="s">
        <v>232</v>
      </c>
      <c r="F47" s="553" t="s">
        <v>232</v>
      </c>
      <c r="G47" s="552" t="s">
        <v>232</v>
      </c>
      <c r="H47" s="384" t="s">
        <v>232</v>
      </c>
      <c r="I47" s="342" t="str">
        <f>IF(MIN(C47:H47)=0,"na",(MIN(C47:H47)))</f>
        <v>na</v>
      </c>
      <c r="J47" s="562" t="str">
        <f>'GW-Eq'!I47</f>
        <v>na</v>
      </c>
      <c r="K47" s="562" t="str">
        <f>IF(I47="na","na",IF(J47="na","na",I47/J47))</f>
        <v>na</v>
      </c>
      <c r="L47" s="562" t="str">
        <f t="shared" ref="L47:L51" si="129">IF(K47="na","na",IF(K47&gt;1,"YES","no"))</f>
        <v>na</v>
      </c>
      <c r="M47" s="562" t="str">
        <f t="shared" ref="M47:M51" si="130">IF(L47="YES",J47,IF(ISNUMBER(I47),I47,J47))</f>
        <v>na</v>
      </c>
      <c r="N47" s="285" t="str">
        <f>'GW-Eq'!J47</f>
        <v>na</v>
      </c>
      <c r="O47" s="285" t="str">
        <f>IF(I47="na","na",IF(N47="na","na",I47/N47))</f>
        <v>na</v>
      </c>
      <c r="P47" s="285" t="str">
        <f t="shared" ref="P47:P51" si="131">IF(O47="na","na",IF(O47&gt;10,"YES","no"))</f>
        <v>na</v>
      </c>
      <c r="Q47" s="285" t="str">
        <f t="shared" ref="Q47:Q51" si="132">IF(P47="YES",10*N47,IF(P47="no",I47,N47))</f>
        <v>na</v>
      </c>
      <c r="R47" s="1055" t="str">
        <f t="shared" ref="R47:R51" si="133">IF(MIN($M47,$Q47,$H47)=0,"na",MIN($M47,$Q47,$H47))</f>
        <v>na</v>
      </c>
      <c r="T47" s="1110" t="str">
        <f t="shared" ref="T47:Y51" si="134">IF($R47="na","",IF($R47=C47,"X",""))</f>
        <v/>
      </c>
      <c r="U47" s="1111" t="str">
        <f t="shared" si="134"/>
        <v/>
      </c>
      <c r="V47" s="1111" t="str">
        <f t="shared" si="134"/>
        <v/>
      </c>
      <c r="W47" s="1111" t="str">
        <f t="shared" si="134"/>
        <v/>
      </c>
      <c r="X47" s="1111" t="str">
        <f t="shared" si="134"/>
        <v/>
      </c>
      <c r="Y47" s="1111" t="str">
        <f t="shared" si="134"/>
        <v/>
      </c>
      <c r="Z47" s="1111" t="str">
        <f>IF($R47="na","",IF($R47=J47,"X",""))</f>
        <v/>
      </c>
      <c r="AA47" s="1111" t="str">
        <f>IF($R47="na","",IF($R47=N47,"X",""))</f>
        <v/>
      </c>
      <c r="AB47" s="1703" t="str">
        <f t="shared" ref="AB47:AB51" si="135">IF(R47="na","",IF(AND(L47="YES",R47=J47),"X",""))</f>
        <v/>
      </c>
      <c r="AC47" s="1112" t="str">
        <f>IF(OR($R47="na",N47="na"),"",IF($R47=10*N47,"X",""))</f>
        <v/>
      </c>
      <c r="AE47" s="985"/>
    </row>
    <row r="48" spans="1:33" s="130" customFormat="1" ht="13.9" customHeight="1" x14ac:dyDescent="0.25">
      <c r="A48" s="847">
        <f>Chem!A48</f>
        <v>46</v>
      </c>
      <c r="B48" s="855" t="str">
        <f>Chem!B48</f>
        <v>Dibutyltin</v>
      </c>
      <c r="C48" s="553" t="s">
        <v>232</v>
      </c>
      <c r="D48" s="338" t="s">
        <v>232</v>
      </c>
      <c r="E48" s="553" t="s">
        <v>232</v>
      </c>
      <c r="F48" s="553" t="s">
        <v>232</v>
      </c>
      <c r="G48" s="552" t="s">
        <v>232</v>
      </c>
      <c r="H48" s="384" t="s">
        <v>232</v>
      </c>
      <c r="I48" s="342" t="str">
        <f>IF(MIN(C48:H48)=0,"na",(MIN(C48:H48)))</f>
        <v>na</v>
      </c>
      <c r="J48" s="562" t="str">
        <f>'GW-Eq'!I48</f>
        <v>na</v>
      </c>
      <c r="K48" s="562" t="str">
        <f>IF(I48="na","na",IF(J48="na","na",I48/J48))</f>
        <v>na</v>
      </c>
      <c r="L48" s="562" t="str">
        <f t="shared" si="129"/>
        <v>na</v>
      </c>
      <c r="M48" s="562" t="str">
        <f t="shared" si="130"/>
        <v>na</v>
      </c>
      <c r="N48" s="285" t="str">
        <f>'GW-Eq'!J48</f>
        <v>na</v>
      </c>
      <c r="O48" s="285" t="str">
        <f>IF(I48="na","na",IF(N48="na","na",I48/N48))</f>
        <v>na</v>
      </c>
      <c r="P48" s="285" t="str">
        <f t="shared" si="131"/>
        <v>na</v>
      </c>
      <c r="Q48" s="285" t="str">
        <f t="shared" si="132"/>
        <v>na</v>
      </c>
      <c r="R48" s="1054" t="str">
        <f t="shared" si="133"/>
        <v>na</v>
      </c>
      <c r="T48" s="1113" t="str">
        <f t="shared" si="134"/>
        <v/>
      </c>
      <c r="U48" s="1114" t="str">
        <f t="shared" si="134"/>
        <v/>
      </c>
      <c r="V48" s="1114" t="str">
        <f t="shared" si="134"/>
        <v/>
      </c>
      <c r="W48" s="1114" t="str">
        <f t="shared" si="134"/>
        <v/>
      </c>
      <c r="X48" s="1114" t="str">
        <f t="shared" si="134"/>
        <v/>
      </c>
      <c r="Y48" s="1114" t="str">
        <f t="shared" si="134"/>
        <v/>
      </c>
      <c r="Z48" s="1114" t="str">
        <f>IF($R48="na","",IF($R48=J48,"X",""))</f>
        <v/>
      </c>
      <c r="AA48" s="1114" t="str">
        <f>IF($R48="na","",IF($R48=N48,"X",""))</f>
        <v/>
      </c>
      <c r="AB48" s="1704" t="str">
        <f t="shared" si="135"/>
        <v/>
      </c>
      <c r="AC48" s="1115" t="str">
        <f>IF(OR($R48="na",N48="na"),"",IF($R48=10*N48,"X",""))</f>
        <v/>
      </c>
      <c r="AE48" s="985"/>
    </row>
    <row r="49" spans="1:33" s="130" customFormat="1" ht="13.9" customHeight="1" x14ac:dyDescent="0.25">
      <c r="A49" s="847">
        <f>Chem!A49</f>
        <v>47</v>
      </c>
      <c r="B49" s="855" t="str">
        <f>Chem!B49</f>
        <v>Tributyl tin</v>
      </c>
      <c r="C49" s="553">
        <v>7.4000000000000003E-3</v>
      </c>
      <c r="D49" s="338">
        <v>7.4000000000000003E-3</v>
      </c>
      <c r="E49" s="553" t="s">
        <v>232</v>
      </c>
      <c r="F49" s="553" t="s">
        <v>232</v>
      </c>
      <c r="G49" s="552" t="s">
        <v>232</v>
      </c>
      <c r="H49" s="384" t="s">
        <v>232</v>
      </c>
      <c r="I49" s="342">
        <f>IF(MIN(C49:H49)=0,"na",(MIN(C49:H49)))</f>
        <v>7.4000000000000003E-3</v>
      </c>
      <c r="J49" s="562" t="str">
        <f>'GW-Eq'!I49</f>
        <v>na</v>
      </c>
      <c r="K49" s="562" t="str">
        <f>IF(I49="na","na",IF(J49="na","na",I49/J49))</f>
        <v>na</v>
      </c>
      <c r="L49" s="562" t="str">
        <f t="shared" ref="L49" si="136">IF(K49="na","na",IF(K49&gt;1,"YES","no"))</f>
        <v>na</v>
      </c>
      <c r="M49" s="562">
        <f t="shared" ref="M49" si="137">IF(L49="YES",J49,IF(ISNUMBER(I49),I49,J49))</f>
        <v>7.4000000000000003E-3</v>
      </c>
      <c r="N49" s="285" t="str">
        <f>'GW-Eq'!J49</f>
        <v>na</v>
      </c>
      <c r="O49" s="285" t="str">
        <f>IF(I49="na","na",IF(N49="na","na",I49/N49))</f>
        <v>na</v>
      </c>
      <c r="P49" s="285" t="str">
        <f t="shared" ref="P49" si="138">IF(O49="na","na",IF(O49&gt;10,"YES","no"))</f>
        <v>na</v>
      </c>
      <c r="Q49" s="285" t="str">
        <f t="shared" ref="Q49" si="139">IF(P49="YES",10*N49,IF(P49="no",I49,N49))</f>
        <v>na</v>
      </c>
      <c r="R49" s="1054">
        <f t="shared" si="133"/>
        <v>7.4000000000000003E-3</v>
      </c>
      <c r="T49" s="1113"/>
      <c r="U49" s="1114"/>
      <c r="V49" s="1114"/>
      <c r="W49" s="1114"/>
      <c r="X49" s="1114"/>
      <c r="Y49" s="1114"/>
      <c r="Z49" s="1114"/>
      <c r="AA49" s="1114"/>
      <c r="AB49" s="1704"/>
      <c r="AC49" s="1115"/>
      <c r="AE49" s="985"/>
    </row>
    <row r="50" spans="1:33" s="130" customFormat="1" ht="13.9" customHeight="1" x14ac:dyDescent="0.25">
      <c r="A50" s="847">
        <f>Chem!A50</f>
        <v>48</v>
      </c>
      <c r="B50" s="856" t="str">
        <f>Chem!B50</f>
        <v>Tributyltin oxide</v>
      </c>
      <c r="C50" s="553" t="s">
        <v>232</v>
      </c>
      <c r="D50" s="338" t="s">
        <v>232</v>
      </c>
      <c r="E50" s="553" t="s">
        <v>232</v>
      </c>
      <c r="F50" s="553" t="s">
        <v>232</v>
      </c>
      <c r="G50" s="552" t="s">
        <v>232</v>
      </c>
      <c r="H50" s="384" t="s">
        <v>232</v>
      </c>
      <c r="I50" s="342" t="str">
        <f>IF(MIN(C50:H50)=0,"na",(MIN(C50:H50)))</f>
        <v>na</v>
      </c>
      <c r="J50" s="562" t="str">
        <f>'GW-Eq'!I50</f>
        <v>na</v>
      </c>
      <c r="K50" s="562" t="str">
        <f>IF(I50="na","na",IF(J50="na","na",I50/J50))</f>
        <v>na</v>
      </c>
      <c r="L50" s="562" t="str">
        <f t="shared" si="129"/>
        <v>na</v>
      </c>
      <c r="M50" s="562" t="str">
        <f t="shared" si="130"/>
        <v>na</v>
      </c>
      <c r="N50" s="285" t="str">
        <f>'GW-Eq'!J50</f>
        <v>na</v>
      </c>
      <c r="O50" s="285" t="str">
        <f>IF(I50="na","na",IF(N50="na","na",I50/N50))</f>
        <v>na</v>
      </c>
      <c r="P50" s="285" t="str">
        <f t="shared" si="131"/>
        <v>na</v>
      </c>
      <c r="Q50" s="285" t="str">
        <f t="shared" si="132"/>
        <v>na</v>
      </c>
      <c r="R50" s="1054" t="str">
        <f t="shared" si="133"/>
        <v>na</v>
      </c>
      <c r="T50" s="1113" t="str">
        <f t="shared" si="134"/>
        <v/>
      </c>
      <c r="U50" s="1114" t="str">
        <f t="shared" si="134"/>
        <v/>
      </c>
      <c r="V50" s="1114" t="str">
        <f t="shared" si="134"/>
        <v/>
      </c>
      <c r="W50" s="1114" t="str">
        <f t="shared" si="134"/>
        <v/>
      </c>
      <c r="X50" s="1114" t="str">
        <f t="shared" si="134"/>
        <v/>
      </c>
      <c r="Y50" s="1114" t="str">
        <f t="shared" si="134"/>
        <v/>
      </c>
      <c r="Z50" s="1114" t="str">
        <f>IF($R50="na","",IF($R50=J50,"X",""))</f>
        <v/>
      </c>
      <c r="AA50" s="1114" t="str">
        <f>IF($R50="na","",IF($R50=N50,"X",""))</f>
        <v/>
      </c>
      <c r="AB50" s="1704" t="str">
        <f t="shared" si="135"/>
        <v/>
      </c>
      <c r="AC50" s="1115" t="str">
        <f>IF(OR($R50="na",N50="na"),"",IF($R50=10*N50,"X",""))</f>
        <v/>
      </c>
      <c r="AE50" s="985"/>
      <c r="AG50" s="130" t="str">
        <f>IF(R50=J50,"X","")</f>
        <v>X</v>
      </c>
    </row>
    <row r="51" spans="1:33" s="130" customFormat="1" ht="13.9" customHeight="1" x14ac:dyDescent="0.25">
      <c r="A51" s="847">
        <f>Chem!A51</f>
        <v>49</v>
      </c>
      <c r="B51" s="859" t="str">
        <f>Chem!B51</f>
        <v>Tetrabutyltin</v>
      </c>
      <c r="C51" s="553" t="s">
        <v>232</v>
      </c>
      <c r="D51" s="338" t="s">
        <v>232</v>
      </c>
      <c r="E51" s="553" t="s">
        <v>232</v>
      </c>
      <c r="F51" s="553" t="s">
        <v>232</v>
      </c>
      <c r="G51" s="552" t="s">
        <v>232</v>
      </c>
      <c r="H51" s="384" t="s">
        <v>232</v>
      </c>
      <c r="I51" s="342" t="str">
        <f>IF(MIN(C51:H51)=0,"na",(MIN(C51:H51)))</f>
        <v>na</v>
      </c>
      <c r="J51" s="562" t="str">
        <f>'GW-Eq'!I51</f>
        <v>na</v>
      </c>
      <c r="K51" s="562" t="str">
        <f>IF(I51="na","na",IF(J51="na","na",I51/J51))</f>
        <v>na</v>
      </c>
      <c r="L51" s="562" t="str">
        <f t="shared" si="129"/>
        <v>na</v>
      </c>
      <c r="M51" s="562" t="str">
        <f t="shared" si="130"/>
        <v>na</v>
      </c>
      <c r="N51" s="285" t="str">
        <f>'GW-Eq'!J51</f>
        <v>na</v>
      </c>
      <c r="O51" s="285" t="str">
        <f>IF(I51="na","na",IF(N51="na","na",I51/N51))</f>
        <v>na</v>
      </c>
      <c r="P51" s="285" t="str">
        <f t="shared" si="131"/>
        <v>na</v>
      </c>
      <c r="Q51" s="285" t="str">
        <f t="shared" si="132"/>
        <v>na</v>
      </c>
      <c r="R51" s="1054" t="str">
        <f t="shared" si="133"/>
        <v>na</v>
      </c>
      <c r="T51" s="1336" t="str">
        <f t="shared" si="134"/>
        <v/>
      </c>
      <c r="U51" s="1337" t="str">
        <f t="shared" si="134"/>
        <v/>
      </c>
      <c r="V51" s="1337" t="str">
        <f t="shared" si="134"/>
        <v/>
      </c>
      <c r="W51" s="1337" t="str">
        <f t="shared" si="134"/>
        <v/>
      </c>
      <c r="X51" s="1337" t="str">
        <f t="shared" si="134"/>
        <v/>
      </c>
      <c r="Y51" s="1337" t="str">
        <f t="shared" si="134"/>
        <v/>
      </c>
      <c r="Z51" s="1337" t="str">
        <f>IF($R51="na","",IF($R51=J51,"X",""))</f>
        <v/>
      </c>
      <c r="AA51" s="1337" t="str">
        <f>IF($R51="na","",IF($R51=N51,"X",""))</f>
        <v/>
      </c>
      <c r="AB51" s="1705" t="str">
        <f t="shared" si="135"/>
        <v/>
      </c>
      <c r="AC51" s="1338" t="str">
        <f>IF(OR($R51="na",N51="na"),"",IF($R51=10*N51,"X",""))</f>
        <v/>
      </c>
      <c r="AE51" s="985"/>
    </row>
    <row r="52" spans="1:33" s="130" customFormat="1" ht="13.9" customHeight="1" x14ac:dyDescent="0.25">
      <c r="A52" s="906">
        <f>Chem!A52</f>
        <v>50</v>
      </c>
      <c r="B52" s="850" t="str">
        <f>Chem!B52</f>
        <v>SVOCs - PAHs</v>
      </c>
      <c r="C52" s="2368"/>
      <c r="D52" s="2368"/>
      <c r="E52" s="2368"/>
      <c r="F52" s="2368"/>
      <c r="G52" s="2368"/>
      <c r="H52" s="297"/>
      <c r="I52" s="297"/>
      <c r="J52" s="2368"/>
      <c r="K52" s="297"/>
      <c r="L52" s="2347"/>
      <c r="M52" s="297"/>
      <c r="N52" s="2368"/>
      <c r="O52" s="297"/>
      <c r="P52" s="2347"/>
      <c r="Q52" s="297"/>
      <c r="R52" s="2369"/>
      <c r="T52" s="258" t="str">
        <f>B52</f>
        <v>SVOCs - PAHs</v>
      </c>
      <c r="U52" s="2372"/>
      <c r="V52" s="2372"/>
      <c r="W52" s="2372"/>
      <c r="X52" s="2372"/>
      <c r="Y52" s="2372"/>
      <c r="Z52" s="2372"/>
      <c r="AA52" s="2372"/>
      <c r="AB52" s="2372"/>
      <c r="AC52" s="2373"/>
      <c r="AE52" s="987"/>
    </row>
    <row r="53" spans="1:33" s="130" customFormat="1" ht="13.9" customHeight="1" x14ac:dyDescent="0.25">
      <c r="A53" s="846">
        <f>Chem!A53</f>
        <v>51</v>
      </c>
      <c r="B53" s="903" t="str">
        <f>Chem!B53</f>
        <v>Acenaphthene</v>
      </c>
      <c r="C53" s="394" t="s">
        <v>232</v>
      </c>
      <c r="D53" s="338" t="s">
        <v>232</v>
      </c>
      <c r="E53" s="394">
        <v>30</v>
      </c>
      <c r="F53" s="394">
        <v>30</v>
      </c>
      <c r="G53" s="552">
        <v>90</v>
      </c>
      <c r="H53" s="387" t="s">
        <v>232</v>
      </c>
      <c r="I53" s="338">
        <f t="shared" ref="I53:I77" si="140">IF(MIN(C53:H53)=0,"na",(MIN(C53:H53)))</f>
        <v>30</v>
      </c>
      <c r="J53" s="407">
        <f>'GW-Eq'!I53</f>
        <v>178.00381436745073</v>
      </c>
      <c r="K53" s="407">
        <f t="shared" ref="K53:K77" si="141">IF(I53="na","na",IF(J53="na","na",I53/J53))</f>
        <v>0.16853571428571429</v>
      </c>
      <c r="L53" s="407" t="str">
        <f t="shared" ref="L53:L77" si="142">IF(K53="na","na",IF(K53&gt;1,"YES","no"))</f>
        <v>no</v>
      </c>
      <c r="M53" s="407">
        <f t="shared" ref="M53:M77" si="143">IF(L53="YES",J53,IF(ISNUMBER(I53),I53,J53))</f>
        <v>30</v>
      </c>
      <c r="N53" s="217" t="str">
        <f>'GW-Eq'!J53</f>
        <v>na</v>
      </c>
      <c r="O53" s="217" t="str">
        <f t="shared" ref="O53:O77" si="144">IF(I53="na","na",IF(N53="na","na",I53/N53))</f>
        <v>na</v>
      </c>
      <c r="P53" s="217" t="str">
        <f t="shared" ref="P53:P77" si="145">IF(O53="na","na",IF(O53&gt;10,"YES","no"))</f>
        <v>na</v>
      </c>
      <c r="Q53" s="217" t="str">
        <f t="shared" ref="Q53:Q77" si="146">IF(P53="YES",10*N53,IF(P53="no",I53,N53))</f>
        <v>na</v>
      </c>
      <c r="R53" s="1053">
        <f t="shared" ref="R53:R77" si="147">IF(MIN($M53,$Q53,$H53)=0,"na",MIN($M53,$Q53,$H53))</f>
        <v>30</v>
      </c>
      <c r="T53" s="1110" t="str">
        <f t="shared" ref="T53:T77" si="148">IF($R53="na","",IF($R53=C53,"X",""))</f>
        <v/>
      </c>
      <c r="U53" s="1111" t="str">
        <f t="shared" ref="U53:U77" si="149">IF($R53="na","",IF($R53=D53,"X",""))</f>
        <v/>
      </c>
      <c r="V53" s="1111" t="str">
        <f t="shared" ref="V53:V77" si="150">IF($R53="na","",IF($R53=E53,"X",""))</f>
        <v>X</v>
      </c>
      <c r="W53" s="1111" t="str">
        <f t="shared" ref="W53:W77" si="151">IF($R53="na","",IF($R53=F53,"X",""))</f>
        <v>X</v>
      </c>
      <c r="X53" s="1111" t="str">
        <f t="shared" ref="X53:X77" si="152">IF($R53="na","",IF($R53=G53,"X",""))</f>
        <v/>
      </c>
      <c r="Y53" s="1111" t="str">
        <f t="shared" ref="Y53:Y77" si="153">IF($R53="na","",IF($R53=H53,"X",""))</f>
        <v/>
      </c>
      <c r="Z53" s="1111" t="str">
        <f t="shared" ref="Z53:Z77" si="154">IF($R53="na","",IF($R53=J53,"X",""))</f>
        <v/>
      </c>
      <c r="AA53" s="1111" t="str">
        <f t="shared" ref="AA53:AA77" si="155">IF($R53="na","",IF($R53=N53,"X",""))</f>
        <v/>
      </c>
      <c r="AB53" s="1703" t="str">
        <f t="shared" ref="AB53:AB77" si="156">IF(R53="na","",IF(AND(L53="YES",R53=J53),"X",""))</f>
        <v/>
      </c>
      <c r="AC53" s="1112" t="str">
        <f t="shared" ref="AC53:AC77" si="157">IF(OR($R53="na",N53="na"),"",IF($R53=10*N53,"X",""))</f>
        <v/>
      </c>
      <c r="AE53" s="985"/>
      <c r="AG53" s="130" t="str">
        <f>IF(R53=J53,"X","")</f>
        <v/>
      </c>
    </row>
    <row r="54" spans="1:33" s="130" customFormat="1" ht="13.9" customHeight="1" x14ac:dyDescent="0.25">
      <c r="A54" s="847">
        <f>Chem!A54</f>
        <v>52</v>
      </c>
      <c r="B54" s="856" t="str">
        <f>Chem!B54</f>
        <v>Acenaphthylene</v>
      </c>
      <c r="C54" s="394" t="s">
        <v>232</v>
      </c>
      <c r="D54" s="338" t="s">
        <v>232</v>
      </c>
      <c r="E54" s="394" t="s">
        <v>232</v>
      </c>
      <c r="F54" s="394" t="s">
        <v>232</v>
      </c>
      <c r="G54" s="552" t="s">
        <v>232</v>
      </c>
      <c r="H54" s="387" t="s">
        <v>232</v>
      </c>
      <c r="I54" s="338" t="str">
        <f t="shared" si="140"/>
        <v>na</v>
      </c>
      <c r="J54" s="407" t="str">
        <f>'GW-Eq'!I54</f>
        <v>na</v>
      </c>
      <c r="K54" s="407" t="str">
        <f t="shared" si="141"/>
        <v>na</v>
      </c>
      <c r="L54" s="407" t="str">
        <f t="shared" si="142"/>
        <v>na</v>
      </c>
      <c r="M54" s="407" t="str">
        <f t="shared" si="143"/>
        <v>na</v>
      </c>
      <c r="N54" s="217" t="str">
        <f>'GW-Eq'!J54</f>
        <v>na</v>
      </c>
      <c r="O54" s="217" t="str">
        <f t="shared" si="144"/>
        <v>na</v>
      </c>
      <c r="P54" s="217" t="str">
        <f t="shared" si="145"/>
        <v>na</v>
      </c>
      <c r="Q54" s="217" t="str">
        <f t="shared" si="146"/>
        <v>na</v>
      </c>
      <c r="R54" s="1056" t="str">
        <f t="shared" si="147"/>
        <v>na</v>
      </c>
      <c r="T54" s="1113" t="str">
        <f t="shared" si="148"/>
        <v/>
      </c>
      <c r="U54" s="1114" t="str">
        <f t="shared" si="149"/>
        <v/>
      </c>
      <c r="V54" s="1114" t="str">
        <f t="shared" si="150"/>
        <v/>
      </c>
      <c r="W54" s="1114" t="str">
        <f t="shared" si="151"/>
        <v/>
      </c>
      <c r="X54" s="1114" t="str">
        <f t="shared" si="152"/>
        <v/>
      </c>
      <c r="Y54" s="1114" t="str">
        <f t="shared" si="153"/>
        <v/>
      </c>
      <c r="Z54" s="1114" t="str">
        <f t="shared" si="154"/>
        <v/>
      </c>
      <c r="AA54" s="1114" t="str">
        <f t="shared" si="155"/>
        <v/>
      </c>
      <c r="AB54" s="1704" t="str">
        <f t="shared" si="156"/>
        <v/>
      </c>
      <c r="AC54" s="1115" t="str">
        <f t="shared" si="157"/>
        <v/>
      </c>
      <c r="AE54" s="985"/>
    </row>
    <row r="55" spans="1:33" s="130" customFormat="1" ht="13.9" customHeight="1" x14ac:dyDescent="0.25">
      <c r="A55" s="847">
        <f>Chem!A55</f>
        <v>53</v>
      </c>
      <c r="B55" s="856" t="str">
        <f>Chem!B55</f>
        <v>Anthracene</v>
      </c>
      <c r="C55" s="394" t="s">
        <v>232</v>
      </c>
      <c r="D55" s="338" t="s">
        <v>232</v>
      </c>
      <c r="E55" s="394">
        <v>100</v>
      </c>
      <c r="F55" s="394">
        <v>100</v>
      </c>
      <c r="G55" s="552">
        <v>400</v>
      </c>
      <c r="H55" s="387" t="s">
        <v>232</v>
      </c>
      <c r="I55" s="338">
        <f t="shared" si="140"/>
        <v>100</v>
      </c>
      <c r="J55" s="407">
        <f>'GW-Eq'!I55</f>
        <v>7179.4871794871806</v>
      </c>
      <c r="K55" s="407">
        <f t="shared" si="141"/>
        <v>1.3928571428571426E-2</v>
      </c>
      <c r="L55" s="407" t="str">
        <f t="shared" si="142"/>
        <v>no</v>
      </c>
      <c r="M55" s="407">
        <f t="shared" si="143"/>
        <v>100</v>
      </c>
      <c r="N55" s="217" t="str">
        <f>'GW-Eq'!J55</f>
        <v>na</v>
      </c>
      <c r="O55" s="217" t="str">
        <f t="shared" si="144"/>
        <v>na</v>
      </c>
      <c r="P55" s="217" t="str">
        <f t="shared" si="145"/>
        <v>na</v>
      </c>
      <c r="Q55" s="217" t="str">
        <f t="shared" si="146"/>
        <v>na</v>
      </c>
      <c r="R55" s="1056">
        <f t="shared" si="147"/>
        <v>100</v>
      </c>
      <c r="T55" s="1113" t="str">
        <f t="shared" si="148"/>
        <v/>
      </c>
      <c r="U55" s="1114" t="str">
        <f t="shared" si="149"/>
        <v/>
      </c>
      <c r="V55" s="1114" t="str">
        <f t="shared" si="150"/>
        <v>X</v>
      </c>
      <c r="W55" s="1114" t="str">
        <f t="shared" si="151"/>
        <v>X</v>
      </c>
      <c r="X55" s="1114" t="str">
        <f t="shared" si="152"/>
        <v/>
      </c>
      <c r="Y55" s="1114" t="str">
        <f t="shared" si="153"/>
        <v/>
      </c>
      <c r="Z55" s="1114" t="str">
        <f t="shared" si="154"/>
        <v/>
      </c>
      <c r="AA55" s="1114" t="str">
        <f t="shared" si="155"/>
        <v/>
      </c>
      <c r="AB55" s="1704" t="str">
        <f t="shared" si="156"/>
        <v/>
      </c>
      <c r="AC55" s="1115" t="str">
        <f t="shared" si="157"/>
        <v/>
      </c>
      <c r="AE55" s="985"/>
      <c r="AG55" s="130" t="str">
        <f>IF(R55=J55,"X","")</f>
        <v/>
      </c>
    </row>
    <row r="56" spans="1:33" s="130" customFormat="1" ht="13.9" customHeight="1" x14ac:dyDescent="0.25">
      <c r="A56" s="847">
        <f>Chem!A56</f>
        <v>54</v>
      </c>
      <c r="B56" s="856" t="str">
        <f>Chem!B56</f>
        <v>Benzo(a)anthracene</v>
      </c>
      <c r="C56" s="394" t="s">
        <v>232</v>
      </c>
      <c r="D56" s="338" t="s">
        <v>232</v>
      </c>
      <c r="E56" s="394">
        <v>1.6000000000000001E-4</v>
      </c>
      <c r="F56" s="394">
        <v>1.6000000000000001E-4</v>
      </c>
      <c r="G56" s="552">
        <v>1.2999999999999999E-3</v>
      </c>
      <c r="H56" s="387">
        <v>1.2E-2</v>
      </c>
      <c r="I56" s="338">
        <f t="shared" si="140"/>
        <v>1.6000000000000001E-4</v>
      </c>
      <c r="J56" s="407" t="str">
        <f>'GW-Eq'!I56</f>
        <v>na</v>
      </c>
      <c r="K56" s="407" t="str">
        <f t="shared" si="141"/>
        <v>na</v>
      </c>
      <c r="L56" s="407" t="str">
        <f t="shared" si="142"/>
        <v>na</v>
      </c>
      <c r="M56" s="407">
        <f t="shared" si="143"/>
        <v>1.6000000000000001E-4</v>
      </c>
      <c r="N56" s="217" t="str">
        <f>'GW-Eq'!J56</f>
        <v>na</v>
      </c>
      <c r="O56" s="217" t="str">
        <f t="shared" si="144"/>
        <v>na</v>
      </c>
      <c r="P56" s="217" t="str">
        <f t="shared" si="145"/>
        <v>na</v>
      </c>
      <c r="Q56" s="217" t="str">
        <f t="shared" si="146"/>
        <v>na</v>
      </c>
      <c r="R56" s="1056">
        <f t="shared" si="147"/>
        <v>1.6000000000000001E-4</v>
      </c>
      <c r="T56" s="1113" t="str">
        <f t="shared" si="148"/>
        <v/>
      </c>
      <c r="U56" s="1114" t="str">
        <f t="shared" si="149"/>
        <v/>
      </c>
      <c r="V56" s="1114" t="str">
        <f t="shared" si="150"/>
        <v>X</v>
      </c>
      <c r="W56" s="1114" t="str">
        <f t="shared" si="151"/>
        <v>X</v>
      </c>
      <c r="X56" s="1114" t="str">
        <f t="shared" si="152"/>
        <v/>
      </c>
      <c r="Y56" s="1114" t="str">
        <f t="shared" si="153"/>
        <v/>
      </c>
      <c r="Z56" s="1114" t="str">
        <f t="shared" si="154"/>
        <v/>
      </c>
      <c r="AA56" s="1114" t="str">
        <f t="shared" si="155"/>
        <v/>
      </c>
      <c r="AB56" s="1704" t="str">
        <f t="shared" si="156"/>
        <v/>
      </c>
      <c r="AC56" s="1115" t="str">
        <f t="shared" si="157"/>
        <v/>
      </c>
      <c r="AE56" s="985"/>
      <c r="AG56" s="130" t="str">
        <f>IF(R56=J56,"X","")</f>
        <v/>
      </c>
    </row>
    <row r="57" spans="1:33" s="130" customFormat="1" ht="13.9" customHeight="1" x14ac:dyDescent="0.25">
      <c r="A57" s="847">
        <f>Chem!A57</f>
        <v>55</v>
      </c>
      <c r="B57" s="856" t="str">
        <f>Chem!B57</f>
        <v>Benzo(b)fluoranthene</v>
      </c>
      <c r="C57" s="394" t="s">
        <v>232</v>
      </c>
      <c r="D57" s="338" t="s">
        <v>232</v>
      </c>
      <c r="E57" s="394">
        <v>1.6000000000000001E-4</v>
      </c>
      <c r="F57" s="394">
        <v>1.6000000000000001E-4</v>
      </c>
      <c r="G57" s="552">
        <v>1.2999999999999999E-3</v>
      </c>
      <c r="H57" s="387">
        <v>1.7000000000000001E-2</v>
      </c>
      <c r="I57" s="338">
        <f t="shared" si="140"/>
        <v>1.6000000000000001E-4</v>
      </c>
      <c r="J57" s="407" t="str">
        <f>'GW-Eq'!I57</f>
        <v>na</v>
      </c>
      <c r="K57" s="407" t="str">
        <f t="shared" si="141"/>
        <v>na</v>
      </c>
      <c r="L57" s="407" t="str">
        <f t="shared" si="142"/>
        <v>na</v>
      </c>
      <c r="M57" s="407">
        <f t="shared" si="143"/>
        <v>1.6000000000000001E-4</v>
      </c>
      <c r="N57" s="217" t="str">
        <f>'GW-Eq'!J57</f>
        <v>na</v>
      </c>
      <c r="O57" s="217" t="str">
        <f t="shared" si="144"/>
        <v>na</v>
      </c>
      <c r="P57" s="217" t="str">
        <f t="shared" si="145"/>
        <v>na</v>
      </c>
      <c r="Q57" s="217" t="str">
        <f t="shared" si="146"/>
        <v>na</v>
      </c>
      <c r="R57" s="1056">
        <f t="shared" si="147"/>
        <v>1.6000000000000001E-4</v>
      </c>
      <c r="T57" s="1113" t="str">
        <f t="shared" si="148"/>
        <v/>
      </c>
      <c r="U57" s="1114" t="str">
        <f t="shared" si="149"/>
        <v/>
      </c>
      <c r="V57" s="1114" t="str">
        <f t="shared" si="150"/>
        <v>X</v>
      </c>
      <c r="W57" s="1114" t="str">
        <f t="shared" si="151"/>
        <v>X</v>
      </c>
      <c r="X57" s="1114" t="str">
        <f t="shared" si="152"/>
        <v/>
      </c>
      <c r="Y57" s="1114" t="str">
        <f t="shared" si="153"/>
        <v/>
      </c>
      <c r="Z57" s="1114" t="str">
        <f t="shared" si="154"/>
        <v/>
      </c>
      <c r="AA57" s="1114" t="str">
        <f t="shared" si="155"/>
        <v/>
      </c>
      <c r="AB57" s="1704" t="str">
        <f t="shared" si="156"/>
        <v/>
      </c>
      <c r="AC57" s="1115" t="str">
        <f t="shared" si="157"/>
        <v/>
      </c>
      <c r="AE57" s="985"/>
      <c r="AG57" s="130" t="str">
        <f>IF(R57=J57,"X","")</f>
        <v/>
      </c>
    </row>
    <row r="58" spans="1:33" s="130" customFormat="1" ht="13.9" customHeight="1" x14ac:dyDescent="0.25">
      <c r="A58" s="847">
        <f>Chem!A58</f>
        <v>56</v>
      </c>
      <c r="B58" s="856" t="str">
        <f>Chem!B58</f>
        <v>Benzo(k)fluoranthene</v>
      </c>
      <c r="C58" s="394" t="s">
        <v>232</v>
      </c>
      <c r="D58" s="338" t="s">
        <v>232</v>
      </c>
      <c r="E58" s="394">
        <v>1.6000000000000001E-3</v>
      </c>
      <c r="F58" s="394">
        <v>1.6000000000000001E-3</v>
      </c>
      <c r="G58" s="552">
        <v>1.2999999999999999E-2</v>
      </c>
      <c r="H58" s="387">
        <v>1.7000000000000001E-2</v>
      </c>
      <c r="I58" s="338">
        <f t="shared" si="140"/>
        <v>1.6000000000000001E-3</v>
      </c>
      <c r="J58" s="407" t="str">
        <f>'GW-Eq'!I58</f>
        <v>na</v>
      </c>
      <c r="K58" s="407" t="str">
        <f t="shared" si="141"/>
        <v>na</v>
      </c>
      <c r="L58" s="407" t="str">
        <f t="shared" si="142"/>
        <v>na</v>
      </c>
      <c r="M58" s="407">
        <f t="shared" si="143"/>
        <v>1.6000000000000001E-3</v>
      </c>
      <c r="N58" s="217" t="str">
        <f>'GW-Eq'!J58</f>
        <v>na</v>
      </c>
      <c r="O58" s="217" t="str">
        <f t="shared" si="144"/>
        <v>na</v>
      </c>
      <c r="P58" s="217" t="str">
        <f t="shared" si="145"/>
        <v>na</v>
      </c>
      <c r="Q58" s="217" t="str">
        <f t="shared" si="146"/>
        <v>na</v>
      </c>
      <c r="R58" s="1056">
        <f t="shared" si="147"/>
        <v>1.6000000000000001E-3</v>
      </c>
      <c r="T58" s="1113" t="str">
        <f t="shared" si="148"/>
        <v/>
      </c>
      <c r="U58" s="1114" t="str">
        <f t="shared" si="149"/>
        <v/>
      </c>
      <c r="V58" s="1114" t="str">
        <f t="shared" si="150"/>
        <v>X</v>
      </c>
      <c r="W58" s="1114" t="str">
        <f t="shared" si="151"/>
        <v>X</v>
      </c>
      <c r="X58" s="1114" t="str">
        <f t="shared" si="152"/>
        <v/>
      </c>
      <c r="Y58" s="1114" t="str">
        <f t="shared" si="153"/>
        <v/>
      </c>
      <c r="Z58" s="1114" t="str">
        <f t="shared" si="154"/>
        <v/>
      </c>
      <c r="AA58" s="1114" t="str">
        <f t="shared" si="155"/>
        <v/>
      </c>
      <c r="AB58" s="1704" t="str">
        <f t="shared" si="156"/>
        <v/>
      </c>
      <c r="AC58" s="1115" t="str">
        <f t="shared" si="157"/>
        <v/>
      </c>
      <c r="AE58" s="985"/>
      <c r="AG58" s="130" t="str">
        <f>IF(R58=J58,"X","")</f>
        <v/>
      </c>
    </row>
    <row r="59" spans="1:33" s="130" customFormat="1" ht="13.9" customHeight="1" x14ac:dyDescent="0.25">
      <c r="A59" s="847">
        <f>Chem!A59</f>
        <v>57</v>
      </c>
      <c r="B59" s="856" t="str">
        <f>Chem!B59</f>
        <v>Total benzofluoranthenes</v>
      </c>
      <c r="C59" s="394" t="s">
        <v>232</v>
      </c>
      <c r="D59" s="338" t="s">
        <v>232</v>
      </c>
      <c r="E59" s="394" t="s">
        <v>232</v>
      </c>
      <c r="F59" s="394" t="s">
        <v>232</v>
      </c>
      <c r="G59" s="552" t="s">
        <v>232</v>
      </c>
      <c r="H59" s="387" t="s">
        <v>232</v>
      </c>
      <c r="I59" s="338" t="str">
        <f t="shared" si="140"/>
        <v>na</v>
      </c>
      <c r="J59" s="407" t="str">
        <f>'GW-Eq'!I59</f>
        <v>na</v>
      </c>
      <c r="K59" s="407" t="str">
        <f t="shared" si="141"/>
        <v>na</v>
      </c>
      <c r="L59" s="407" t="str">
        <f t="shared" si="142"/>
        <v>na</v>
      </c>
      <c r="M59" s="407" t="str">
        <f t="shared" si="143"/>
        <v>na</v>
      </c>
      <c r="N59" s="217" t="str">
        <f>'GW-Eq'!J59</f>
        <v>na</v>
      </c>
      <c r="O59" s="217" t="str">
        <f t="shared" si="144"/>
        <v>na</v>
      </c>
      <c r="P59" s="217" t="str">
        <f t="shared" si="145"/>
        <v>na</v>
      </c>
      <c r="Q59" s="217" t="str">
        <f t="shared" si="146"/>
        <v>na</v>
      </c>
      <c r="R59" s="1056" t="str">
        <f t="shared" si="147"/>
        <v>na</v>
      </c>
      <c r="T59" s="1113" t="str">
        <f t="shared" si="148"/>
        <v/>
      </c>
      <c r="U59" s="1114" t="str">
        <f t="shared" si="149"/>
        <v/>
      </c>
      <c r="V59" s="1114" t="str">
        <f t="shared" si="150"/>
        <v/>
      </c>
      <c r="W59" s="1114" t="str">
        <f t="shared" si="151"/>
        <v/>
      </c>
      <c r="X59" s="1114" t="str">
        <f t="shared" si="152"/>
        <v/>
      </c>
      <c r="Y59" s="1114" t="str">
        <f t="shared" si="153"/>
        <v/>
      </c>
      <c r="Z59" s="1114" t="str">
        <f t="shared" si="154"/>
        <v/>
      </c>
      <c r="AA59" s="1114" t="str">
        <f t="shared" si="155"/>
        <v/>
      </c>
      <c r="AB59" s="1704" t="str">
        <f t="shared" si="156"/>
        <v/>
      </c>
      <c r="AC59" s="1115" t="str">
        <f t="shared" si="157"/>
        <v/>
      </c>
      <c r="AE59" s="985"/>
    </row>
    <row r="60" spans="1:33" s="130" customFormat="1" ht="13.9" customHeight="1" x14ac:dyDescent="0.25">
      <c r="A60" s="847">
        <f>Chem!A60</f>
        <v>58</v>
      </c>
      <c r="B60" s="856" t="str">
        <f>Chem!B60</f>
        <v>Benzo(g,h,i)perylene</v>
      </c>
      <c r="C60" s="394" t="s">
        <v>232</v>
      </c>
      <c r="D60" s="338" t="s">
        <v>232</v>
      </c>
      <c r="E60" s="394" t="s">
        <v>232</v>
      </c>
      <c r="F60" s="394" t="s">
        <v>232</v>
      </c>
      <c r="G60" s="552" t="s">
        <v>232</v>
      </c>
      <c r="H60" s="387" t="s">
        <v>232</v>
      </c>
      <c r="I60" s="338" t="str">
        <f t="shared" si="140"/>
        <v>na</v>
      </c>
      <c r="J60" s="407" t="str">
        <f>'GW-Eq'!I60</f>
        <v>na</v>
      </c>
      <c r="K60" s="407" t="str">
        <f t="shared" si="141"/>
        <v>na</v>
      </c>
      <c r="L60" s="407" t="str">
        <f t="shared" si="142"/>
        <v>na</v>
      </c>
      <c r="M60" s="407" t="str">
        <f t="shared" si="143"/>
        <v>na</v>
      </c>
      <c r="N60" s="217" t="str">
        <f>'GW-Eq'!J60</f>
        <v>na</v>
      </c>
      <c r="O60" s="217" t="str">
        <f t="shared" si="144"/>
        <v>na</v>
      </c>
      <c r="P60" s="217" t="str">
        <f t="shared" si="145"/>
        <v>na</v>
      </c>
      <c r="Q60" s="217" t="str">
        <f t="shared" si="146"/>
        <v>na</v>
      </c>
      <c r="R60" s="1056" t="str">
        <f t="shared" si="147"/>
        <v>na</v>
      </c>
      <c r="T60" s="1113" t="str">
        <f t="shared" si="148"/>
        <v/>
      </c>
      <c r="U60" s="1114" t="str">
        <f t="shared" si="149"/>
        <v/>
      </c>
      <c r="V60" s="1114" t="str">
        <f t="shared" si="150"/>
        <v/>
      </c>
      <c r="W60" s="1114" t="str">
        <f t="shared" si="151"/>
        <v/>
      </c>
      <c r="X60" s="1114" t="str">
        <f t="shared" si="152"/>
        <v/>
      </c>
      <c r="Y60" s="1114" t="str">
        <f t="shared" si="153"/>
        <v/>
      </c>
      <c r="Z60" s="1114" t="str">
        <f t="shared" si="154"/>
        <v/>
      </c>
      <c r="AA60" s="1114" t="str">
        <f t="shared" si="155"/>
        <v/>
      </c>
      <c r="AB60" s="1704" t="str">
        <f t="shared" si="156"/>
        <v/>
      </c>
      <c r="AC60" s="1115" t="str">
        <f t="shared" si="157"/>
        <v/>
      </c>
      <c r="AE60" s="985"/>
    </row>
    <row r="61" spans="1:33" s="130" customFormat="1" ht="13.9" customHeight="1" x14ac:dyDescent="0.25">
      <c r="A61" s="847">
        <f>Chem!A61</f>
        <v>59</v>
      </c>
      <c r="B61" s="856" t="str">
        <f>Chem!B61</f>
        <v>Benzo(a)pyrene</v>
      </c>
      <c r="C61" s="394" t="s">
        <v>232</v>
      </c>
      <c r="D61" s="338" t="s">
        <v>232</v>
      </c>
      <c r="E61" s="394">
        <v>1.5999999999999999E-5</v>
      </c>
      <c r="F61" s="394">
        <v>1.5999999999999999E-5</v>
      </c>
      <c r="G61" s="552">
        <v>1.2999999999999999E-4</v>
      </c>
      <c r="H61" s="387">
        <v>2.1999999999999999E-2</v>
      </c>
      <c r="I61" s="338">
        <f t="shared" si="140"/>
        <v>1.5999999999999999E-5</v>
      </c>
      <c r="J61" s="407" t="str">
        <f>'GW-Eq'!I61</f>
        <v>na</v>
      </c>
      <c r="K61" s="407" t="str">
        <f t="shared" si="141"/>
        <v>na</v>
      </c>
      <c r="L61" s="407" t="str">
        <f t="shared" si="142"/>
        <v>na</v>
      </c>
      <c r="M61" s="407">
        <f t="shared" si="143"/>
        <v>1.5999999999999999E-5</v>
      </c>
      <c r="N61" s="217" t="str">
        <f>'GW-Eq'!J61</f>
        <v>na</v>
      </c>
      <c r="O61" s="217" t="str">
        <f t="shared" si="144"/>
        <v>na</v>
      </c>
      <c r="P61" s="217" t="str">
        <f t="shared" si="145"/>
        <v>na</v>
      </c>
      <c r="Q61" s="217" t="str">
        <f t="shared" si="146"/>
        <v>na</v>
      </c>
      <c r="R61" s="1056">
        <f t="shared" si="147"/>
        <v>1.5999999999999999E-5</v>
      </c>
      <c r="T61" s="1113" t="str">
        <f t="shared" si="148"/>
        <v/>
      </c>
      <c r="U61" s="1114" t="str">
        <f t="shared" si="149"/>
        <v/>
      </c>
      <c r="V61" s="1114" t="str">
        <f t="shared" si="150"/>
        <v>X</v>
      </c>
      <c r="W61" s="1114" t="str">
        <f t="shared" si="151"/>
        <v>X</v>
      </c>
      <c r="X61" s="1114" t="str">
        <f t="shared" si="152"/>
        <v/>
      </c>
      <c r="Y61" s="1114" t="str">
        <f t="shared" si="153"/>
        <v/>
      </c>
      <c r="Z61" s="1114" t="str">
        <f t="shared" si="154"/>
        <v/>
      </c>
      <c r="AA61" s="1114" t="str">
        <f t="shared" si="155"/>
        <v/>
      </c>
      <c r="AB61" s="1704" t="str">
        <f t="shared" si="156"/>
        <v/>
      </c>
      <c r="AC61" s="1115" t="str">
        <f t="shared" si="157"/>
        <v/>
      </c>
      <c r="AE61" s="985"/>
      <c r="AG61" s="130" t="str">
        <f>IF(R61=J61,"X","")</f>
        <v/>
      </c>
    </row>
    <row r="62" spans="1:33" s="130" customFormat="1" ht="13.9" customHeight="1" x14ac:dyDescent="0.25">
      <c r="A62" s="847">
        <f>Chem!A62</f>
        <v>60</v>
      </c>
      <c r="B62" s="856" t="str">
        <f>Chem!B62</f>
        <v>Chrysene</v>
      </c>
      <c r="C62" s="394" t="s">
        <v>232</v>
      </c>
      <c r="D62" s="338" t="s">
        <v>232</v>
      </c>
      <c r="E62" s="394">
        <v>1.6E-2</v>
      </c>
      <c r="F62" s="394">
        <v>1.6E-2</v>
      </c>
      <c r="G62" s="552">
        <v>0.13</v>
      </c>
      <c r="H62" s="387">
        <v>7.0000000000000007E-2</v>
      </c>
      <c r="I62" s="338">
        <f t="shared" si="140"/>
        <v>1.6E-2</v>
      </c>
      <c r="J62" s="407" t="str">
        <f>'GW-Eq'!I62</f>
        <v>na</v>
      </c>
      <c r="K62" s="407" t="str">
        <f t="shared" si="141"/>
        <v>na</v>
      </c>
      <c r="L62" s="407" t="str">
        <f t="shared" si="142"/>
        <v>na</v>
      </c>
      <c r="M62" s="407">
        <f t="shared" si="143"/>
        <v>1.6E-2</v>
      </c>
      <c r="N62" s="217" t="str">
        <f>'GW-Eq'!J62</f>
        <v>na</v>
      </c>
      <c r="O62" s="217" t="str">
        <f t="shared" si="144"/>
        <v>na</v>
      </c>
      <c r="P62" s="217" t="str">
        <f t="shared" si="145"/>
        <v>na</v>
      </c>
      <c r="Q62" s="217" t="str">
        <f t="shared" si="146"/>
        <v>na</v>
      </c>
      <c r="R62" s="1056">
        <f t="shared" si="147"/>
        <v>1.6E-2</v>
      </c>
      <c r="T62" s="1113" t="str">
        <f t="shared" si="148"/>
        <v/>
      </c>
      <c r="U62" s="1114" t="str">
        <f t="shared" si="149"/>
        <v/>
      </c>
      <c r="V62" s="1114" t="str">
        <f t="shared" si="150"/>
        <v>X</v>
      </c>
      <c r="W62" s="1114" t="str">
        <f t="shared" si="151"/>
        <v>X</v>
      </c>
      <c r="X62" s="1114" t="str">
        <f t="shared" si="152"/>
        <v/>
      </c>
      <c r="Y62" s="1114" t="str">
        <f t="shared" si="153"/>
        <v/>
      </c>
      <c r="Z62" s="1114" t="str">
        <f t="shared" si="154"/>
        <v/>
      </c>
      <c r="AA62" s="1114" t="str">
        <f t="shared" si="155"/>
        <v/>
      </c>
      <c r="AB62" s="1704" t="str">
        <f t="shared" si="156"/>
        <v/>
      </c>
      <c r="AC62" s="1115" t="str">
        <f t="shared" si="157"/>
        <v/>
      </c>
      <c r="AE62" s="985"/>
      <c r="AG62" s="130" t="str">
        <f>IF(R62=J62,"X","")</f>
        <v/>
      </c>
    </row>
    <row r="63" spans="1:33" s="130" customFormat="1" ht="13.9" customHeight="1" x14ac:dyDescent="0.25">
      <c r="A63" s="847">
        <f>Chem!A63</f>
        <v>61</v>
      </c>
      <c r="B63" s="856" t="str">
        <f>Chem!B63</f>
        <v>Dibenz(a,h)anthracene</v>
      </c>
      <c r="C63" s="394" t="s">
        <v>232</v>
      </c>
      <c r="D63" s="338" t="s">
        <v>232</v>
      </c>
      <c r="E63" s="394">
        <v>1.5999999999999999E-5</v>
      </c>
      <c r="F63" s="394">
        <v>1.5999999999999999E-5</v>
      </c>
      <c r="G63" s="552">
        <v>1.2999999999999999E-4</v>
      </c>
      <c r="H63" s="387">
        <v>1.4E-3</v>
      </c>
      <c r="I63" s="338">
        <f t="shared" si="140"/>
        <v>1.5999999999999999E-5</v>
      </c>
      <c r="J63" s="407" t="str">
        <f>'GW-Eq'!I63</f>
        <v>na</v>
      </c>
      <c r="K63" s="407" t="str">
        <f t="shared" si="141"/>
        <v>na</v>
      </c>
      <c r="L63" s="407" t="str">
        <f t="shared" si="142"/>
        <v>na</v>
      </c>
      <c r="M63" s="407">
        <f t="shared" si="143"/>
        <v>1.5999999999999999E-5</v>
      </c>
      <c r="N63" s="217" t="str">
        <f>'GW-Eq'!J63</f>
        <v>na</v>
      </c>
      <c r="O63" s="217" t="str">
        <f t="shared" si="144"/>
        <v>na</v>
      </c>
      <c r="P63" s="217" t="str">
        <f t="shared" si="145"/>
        <v>na</v>
      </c>
      <c r="Q63" s="217" t="str">
        <f t="shared" si="146"/>
        <v>na</v>
      </c>
      <c r="R63" s="1056">
        <f t="shared" si="147"/>
        <v>1.5999999999999999E-5</v>
      </c>
      <c r="T63" s="1113" t="str">
        <f t="shared" si="148"/>
        <v/>
      </c>
      <c r="U63" s="1114" t="str">
        <f t="shared" si="149"/>
        <v/>
      </c>
      <c r="V63" s="1114" t="str">
        <f t="shared" si="150"/>
        <v>X</v>
      </c>
      <c r="W63" s="1114" t="str">
        <f t="shared" si="151"/>
        <v>X</v>
      </c>
      <c r="X63" s="1114" t="str">
        <f t="shared" si="152"/>
        <v/>
      </c>
      <c r="Y63" s="1114" t="str">
        <f t="shared" si="153"/>
        <v/>
      </c>
      <c r="Z63" s="1114" t="str">
        <f t="shared" si="154"/>
        <v/>
      </c>
      <c r="AA63" s="1114" t="str">
        <f t="shared" si="155"/>
        <v/>
      </c>
      <c r="AB63" s="1704" t="str">
        <f t="shared" si="156"/>
        <v/>
      </c>
      <c r="AC63" s="1115" t="str">
        <f t="shared" si="157"/>
        <v/>
      </c>
      <c r="AE63" s="985"/>
      <c r="AG63" s="130" t="str">
        <f>IF(R63=J63,"X","")</f>
        <v/>
      </c>
    </row>
    <row r="64" spans="1:33" s="130" customFormat="1" ht="13.9" customHeight="1" x14ac:dyDescent="0.25">
      <c r="A64" s="847">
        <f>Chem!A64</f>
        <v>62</v>
      </c>
      <c r="B64" s="856" t="str">
        <f>Chem!B64</f>
        <v>Dibenzofuran</v>
      </c>
      <c r="C64" s="394" t="s">
        <v>232</v>
      </c>
      <c r="D64" s="338" t="s">
        <v>232</v>
      </c>
      <c r="E64" s="394" t="s">
        <v>232</v>
      </c>
      <c r="F64" s="394" t="s">
        <v>232</v>
      </c>
      <c r="G64" s="552" t="s">
        <v>232</v>
      </c>
      <c r="H64" s="387" t="s">
        <v>232</v>
      </c>
      <c r="I64" s="338" t="str">
        <f t="shared" si="140"/>
        <v>na</v>
      </c>
      <c r="J64" s="407" t="str">
        <f>'GW-Eq'!I64</f>
        <v>na</v>
      </c>
      <c r="K64" s="407" t="str">
        <f t="shared" si="141"/>
        <v>na</v>
      </c>
      <c r="L64" s="407" t="str">
        <f t="shared" si="142"/>
        <v>na</v>
      </c>
      <c r="M64" s="407" t="str">
        <f t="shared" si="143"/>
        <v>na</v>
      </c>
      <c r="N64" s="217" t="str">
        <f>'GW-Eq'!J64</f>
        <v>na</v>
      </c>
      <c r="O64" s="217" t="str">
        <f t="shared" si="144"/>
        <v>na</v>
      </c>
      <c r="P64" s="217" t="str">
        <f t="shared" si="145"/>
        <v>na</v>
      </c>
      <c r="Q64" s="217" t="str">
        <f t="shared" si="146"/>
        <v>na</v>
      </c>
      <c r="R64" s="1056" t="str">
        <f t="shared" si="147"/>
        <v>na</v>
      </c>
      <c r="T64" s="1113" t="str">
        <f t="shared" si="148"/>
        <v/>
      </c>
      <c r="U64" s="1114" t="str">
        <f t="shared" si="149"/>
        <v/>
      </c>
      <c r="V64" s="1114" t="str">
        <f t="shared" si="150"/>
        <v/>
      </c>
      <c r="W64" s="1114" t="str">
        <f t="shared" si="151"/>
        <v/>
      </c>
      <c r="X64" s="1114" t="str">
        <f t="shared" si="152"/>
        <v/>
      </c>
      <c r="Y64" s="1114" t="str">
        <f t="shared" si="153"/>
        <v/>
      </c>
      <c r="Z64" s="1114" t="str">
        <f t="shared" si="154"/>
        <v/>
      </c>
      <c r="AA64" s="1114" t="str">
        <f t="shared" si="155"/>
        <v/>
      </c>
      <c r="AB64" s="1704" t="str">
        <f t="shared" si="156"/>
        <v/>
      </c>
      <c r="AC64" s="1115" t="str">
        <f t="shared" si="157"/>
        <v/>
      </c>
      <c r="AE64" s="985"/>
    </row>
    <row r="65" spans="1:33" s="130" customFormat="1" ht="13.9" customHeight="1" x14ac:dyDescent="0.25">
      <c r="A65" s="847">
        <f>Chem!A65</f>
        <v>63</v>
      </c>
      <c r="B65" s="856" t="str">
        <f>Chem!B65</f>
        <v>Fluoranthene</v>
      </c>
      <c r="C65" s="394" t="s">
        <v>232</v>
      </c>
      <c r="D65" s="338" t="s">
        <v>232</v>
      </c>
      <c r="E65" s="394">
        <v>6</v>
      </c>
      <c r="F65" s="394">
        <v>6</v>
      </c>
      <c r="G65" s="552">
        <v>20</v>
      </c>
      <c r="H65" s="387" t="s">
        <v>232</v>
      </c>
      <c r="I65" s="338">
        <f t="shared" si="140"/>
        <v>6</v>
      </c>
      <c r="J65" s="407">
        <f>'GW-Eq'!I65</f>
        <v>24.972129319955407</v>
      </c>
      <c r="K65" s="407">
        <f t="shared" si="141"/>
        <v>0.24026785714285714</v>
      </c>
      <c r="L65" s="407" t="str">
        <f t="shared" si="142"/>
        <v>no</v>
      </c>
      <c r="M65" s="407">
        <f t="shared" si="143"/>
        <v>6</v>
      </c>
      <c r="N65" s="217" t="str">
        <f>'GW-Eq'!J65</f>
        <v>na</v>
      </c>
      <c r="O65" s="217" t="str">
        <f t="shared" si="144"/>
        <v>na</v>
      </c>
      <c r="P65" s="217" t="str">
        <f t="shared" si="145"/>
        <v>na</v>
      </c>
      <c r="Q65" s="217" t="str">
        <f t="shared" si="146"/>
        <v>na</v>
      </c>
      <c r="R65" s="1056">
        <f t="shared" si="147"/>
        <v>6</v>
      </c>
      <c r="T65" s="1113" t="str">
        <f t="shared" si="148"/>
        <v/>
      </c>
      <c r="U65" s="1114" t="str">
        <f t="shared" si="149"/>
        <v/>
      </c>
      <c r="V65" s="1114" t="str">
        <f t="shared" si="150"/>
        <v>X</v>
      </c>
      <c r="W65" s="1114" t="str">
        <f t="shared" si="151"/>
        <v>X</v>
      </c>
      <c r="X65" s="1114" t="str">
        <f t="shared" si="152"/>
        <v/>
      </c>
      <c r="Y65" s="1114" t="str">
        <f t="shared" si="153"/>
        <v/>
      </c>
      <c r="Z65" s="1114" t="str">
        <f t="shared" si="154"/>
        <v/>
      </c>
      <c r="AA65" s="1114" t="str">
        <f t="shared" si="155"/>
        <v/>
      </c>
      <c r="AB65" s="1704" t="str">
        <f t="shared" si="156"/>
        <v/>
      </c>
      <c r="AC65" s="1115" t="str">
        <f t="shared" si="157"/>
        <v/>
      </c>
      <c r="AE65" s="985"/>
      <c r="AG65" s="130" t="str">
        <f>IF(R65=J65,"X","")</f>
        <v/>
      </c>
    </row>
    <row r="66" spans="1:33" s="130" customFormat="1" ht="13.9" customHeight="1" x14ac:dyDescent="0.25">
      <c r="A66" s="847">
        <f>Chem!A66</f>
        <v>64</v>
      </c>
      <c r="B66" s="856" t="str">
        <f>Chem!B66</f>
        <v>Fluorene</v>
      </c>
      <c r="C66" s="394" t="s">
        <v>232</v>
      </c>
      <c r="D66" s="338" t="s">
        <v>232</v>
      </c>
      <c r="E66" s="394">
        <v>10</v>
      </c>
      <c r="F66" s="394">
        <v>10</v>
      </c>
      <c r="G66" s="552">
        <v>70</v>
      </c>
      <c r="H66" s="387" t="s">
        <v>232</v>
      </c>
      <c r="I66" s="338">
        <f t="shared" si="140"/>
        <v>10</v>
      </c>
      <c r="J66" s="407">
        <f>'GW-Eq'!I66</f>
        <v>957.26495726495727</v>
      </c>
      <c r="K66" s="407">
        <f t="shared" si="141"/>
        <v>1.0446428571428572E-2</v>
      </c>
      <c r="L66" s="407" t="str">
        <f t="shared" si="142"/>
        <v>no</v>
      </c>
      <c r="M66" s="407">
        <f t="shared" si="143"/>
        <v>10</v>
      </c>
      <c r="N66" s="217" t="str">
        <f>'GW-Eq'!J66</f>
        <v>na</v>
      </c>
      <c r="O66" s="217" t="str">
        <f t="shared" si="144"/>
        <v>na</v>
      </c>
      <c r="P66" s="217" t="str">
        <f t="shared" si="145"/>
        <v>na</v>
      </c>
      <c r="Q66" s="217" t="str">
        <f t="shared" si="146"/>
        <v>na</v>
      </c>
      <c r="R66" s="1056">
        <f t="shared" si="147"/>
        <v>10</v>
      </c>
      <c r="T66" s="1113" t="str">
        <f t="shared" si="148"/>
        <v/>
      </c>
      <c r="U66" s="1114" t="str">
        <f t="shared" si="149"/>
        <v/>
      </c>
      <c r="V66" s="1114" t="str">
        <f t="shared" si="150"/>
        <v>X</v>
      </c>
      <c r="W66" s="1114" t="str">
        <f t="shared" si="151"/>
        <v>X</v>
      </c>
      <c r="X66" s="1114" t="str">
        <f t="shared" si="152"/>
        <v/>
      </c>
      <c r="Y66" s="1114" t="str">
        <f t="shared" si="153"/>
        <v/>
      </c>
      <c r="Z66" s="1114" t="str">
        <f t="shared" si="154"/>
        <v/>
      </c>
      <c r="AA66" s="1114" t="str">
        <f t="shared" si="155"/>
        <v/>
      </c>
      <c r="AB66" s="1704" t="str">
        <f t="shared" si="156"/>
        <v/>
      </c>
      <c r="AC66" s="1115" t="str">
        <f t="shared" si="157"/>
        <v/>
      </c>
      <c r="AE66" s="985"/>
      <c r="AG66" s="130" t="str">
        <f>IF(R66=J66,"X","")</f>
        <v/>
      </c>
    </row>
    <row r="67" spans="1:33" s="130" customFormat="1" ht="13.9" customHeight="1" x14ac:dyDescent="0.25">
      <c r="A67" s="847">
        <f>Chem!A67</f>
        <v>65</v>
      </c>
      <c r="B67" s="856" t="str">
        <f>Chem!B67</f>
        <v>Indeno(1,2,3-cd)pyrene</v>
      </c>
      <c r="C67" s="394" t="s">
        <v>232</v>
      </c>
      <c r="D67" s="338" t="s">
        <v>232</v>
      </c>
      <c r="E67" s="394">
        <v>1.6000000000000001E-4</v>
      </c>
      <c r="F67" s="394">
        <v>1.6000000000000001E-4</v>
      </c>
      <c r="G67" s="552">
        <v>1.2999999999999999E-3</v>
      </c>
      <c r="H67" s="387">
        <v>2.7000000000000001E-3</v>
      </c>
      <c r="I67" s="338">
        <f t="shared" si="140"/>
        <v>1.6000000000000001E-4</v>
      </c>
      <c r="J67" s="407" t="str">
        <f>'GW-Eq'!I67</f>
        <v>na</v>
      </c>
      <c r="K67" s="407" t="str">
        <f t="shared" si="141"/>
        <v>na</v>
      </c>
      <c r="L67" s="407" t="str">
        <f t="shared" si="142"/>
        <v>na</v>
      </c>
      <c r="M67" s="407">
        <f t="shared" si="143"/>
        <v>1.6000000000000001E-4</v>
      </c>
      <c r="N67" s="217" t="str">
        <f>'GW-Eq'!J67</f>
        <v>na</v>
      </c>
      <c r="O67" s="217" t="str">
        <f t="shared" si="144"/>
        <v>na</v>
      </c>
      <c r="P67" s="217" t="str">
        <f t="shared" si="145"/>
        <v>na</v>
      </c>
      <c r="Q67" s="217" t="str">
        <f t="shared" si="146"/>
        <v>na</v>
      </c>
      <c r="R67" s="1056">
        <f t="shared" si="147"/>
        <v>1.6000000000000001E-4</v>
      </c>
      <c r="T67" s="1113" t="str">
        <f t="shared" si="148"/>
        <v/>
      </c>
      <c r="U67" s="1114" t="str">
        <f t="shared" si="149"/>
        <v/>
      </c>
      <c r="V67" s="1114" t="str">
        <f t="shared" si="150"/>
        <v>X</v>
      </c>
      <c r="W67" s="1114" t="str">
        <f t="shared" si="151"/>
        <v>X</v>
      </c>
      <c r="X67" s="1114" t="str">
        <f t="shared" si="152"/>
        <v/>
      </c>
      <c r="Y67" s="1114" t="str">
        <f t="shared" si="153"/>
        <v/>
      </c>
      <c r="Z67" s="1114" t="str">
        <f t="shared" si="154"/>
        <v/>
      </c>
      <c r="AA67" s="1114" t="str">
        <f t="shared" si="155"/>
        <v/>
      </c>
      <c r="AB67" s="1704" t="str">
        <f t="shared" si="156"/>
        <v/>
      </c>
      <c r="AC67" s="1115" t="str">
        <f t="shared" si="157"/>
        <v/>
      </c>
      <c r="AE67" s="985"/>
      <c r="AG67" s="130" t="str">
        <f>IF(R67=J67,"X","")</f>
        <v/>
      </c>
    </row>
    <row r="68" spans="1:33" s="130" customFormat="1" ht="13.9" customHeight="1" x14ac:dyDescent="0.25">
      <c r="A68" s="847">
        <f>Chem!A68</f>
        <v>66</v>
      </c>
      <c r="B68" s="856" t="str">
        <f>Chem!B68</f>
        <v>Methyl isopropyl phenanthrene (retene)</v>
      </c>
      <c r="C68" s="394" t="s">
        <v>232</v>
      </c>
      <c r="D68" s="338" t="s">
        <v>232</v>
      </c>
      <c r="E68" s="394" t="s">
        <v>232</v>
      </c>
      <c r="F68" s="394" t="s">
        <v>232</v>
      </c>
      <c r="G68" s="552" t="s">
        <v>232</v>
      </c>
      <c r="H68" s="387" t="s">
        <v>232</v>
      </c>
      <c r="I68" s="338" t="str">
        <f t="shared" si="140"/>
        <v>na</v>
      </c>
      <c r="J68" s="407" t="str">
        <f>'GW-Eq'!I68</f>
        <v>na</v>
      </c>
      <c r="K68" s="407" t="str">
        <f t="shared" si="141"/>
        <v>na</v>
      </c>
      <c r="L68" s="407" t="str">
        <f t="shared" si="142"/>
        <v>na</v>
      </c>
      <c r="M68" s="407" t="str">
        <f t="shared" si="143"/>
        <v>na</v>
      </c>
      <c r="N68" s="217" t="str">
        <f>'GW-Eq'!J68</f>
        <v>na</v>
      </c>
      <c r="O68" s="217" t="str">
        <f t="shared" si="144"/>
        <v>na</v>
      </c>
      <c r="P68" s="217" t="str">
        <f t="shared" si="145"/>
        <v>na</v>
      </c>
      <c r="Q68" s="217" t="str">
        <f t="shared" si="146"/>
        <v>na</v>
      </c>
      <c r="R68" s="1056" t="str">
        <f t="shared" si="147"/>
        <v>na</v>
      </c>
      <c r="T68" s="1113" t="str">
        <f t="shared" si="148"/>
        <v/>
      </c>
      <c r="U68" s="1114" t="str">
        <f t="shared" si="149"/>
        <v/>
      </c>
      <c r="V68" s="1114" t="str">
        <f t="shared" si="150"/>
        <v/>
      </c>
      <c r="W68" s="1114" t="str">
        <f t="shared" si="151"/>
        <v/>
      </c>
      <c r="X68" s="1114" t="str">
        <f t="shared" si="152"/>
        <v/>
      </c>
      <c r="Y68" s="1114" t="str">
        <f t="shared" si="153"/>
        <v/>
      </c>
      <c r="Z68" s="1114" t="str">
        <f t="shared" si="154"/>
        <v/>
      </c>
      <c r="AA68" s="1114" t="str">
        <f t="shared" si="155"/>
        <v/>
      </c>
      <c r="AB68" s="1704" t="str">
        <f t="shared" si="156"/>
        <v/>
      </c>
      <c r="AC68" s="1115" t="str">
        <f t="shared" si="157"/>
        <v/>
      </c>
      <c r="AE68" s="985"/>
    </row>
    <row r="69" spans="1:33" s="130" customFormat="1" ht="13.9" customHeight="1" x14ac:dyDescent="0.25">
      <c r="A69" s="847">
        <f>Chem!A69</f>
        <v>67</v>
      </c>
      <c r="B69" s="856" t="str">
        <f>Chem!B69</f>
        <v>1-Methylnaphthalene</v>
      </c>
      <c r="C69" s="394" t="s">
        <v>232</v>
      </c>
      <c r="D69" s="338" t="s">
        <v>232</v>
      </c>
      <c r="E69" s="394" t="s">
        <v>232</v>
      </c>
      <c r="F69" s="394" t="s">
        <v>232</v>
      </c>
      <c r="G69" s="552" t="s">
        <v>232</v>
      </c>
      <c r="H69" s="387" t="s">
        <v>232</v>
      </c>
      <c r="I69" s="338" t="str">
        <f t="shared" si="140"/>
        <v>na</v>
      </c>
      <c r="J69" s="407" t="str">
        <f>'GW-Eq'!I69</f>
        <v>na</v>
      </c>
      <c r="K69" s="407" t="str">
        <f t="shared" si="141"/>
        <v>na</v>
      </c>
      <c r="L69" s="407" t="str">
        <f t="shared" si="142"/>
        <v>na</v>
      </c>
      <c r="M69" s="407" t="str">
        <f t="shared" si="143"/>
        <v>na</v>
      </c>
      <c r="N69" s="217" t="str">
        <f>'GW-Eq'!J69</f>
        <v>na</v>
      </c>
      <c r="O69" s="217" t="str">
        <f t="shared" si="144"/>
        <v>na</v>
      </c>
      <c r="P69" s="217" t="str">
        <f t="shared" si="145"/>
        <v>na</v>
      </c>
      <c r="Q69" s="217" t="str">
        <f t="shared" si="146"/>
        <v>na</v>
      </c>
      <c r="R69" s="1056" t="str">
        <f t="shared" si="147"/>
        <v>na</v>
      </c>
      <c r="T69" s="1113" t="str">
        <f t="shared" si="148"/>
        <v/>
      </c>
      <c r="U69" s="1114" t="str">
        <f t="shared" si="149"/>
        <v/>
      </c>
      <c r="V69" s="1114" t="str">
        <f t="shared" si="150"/>
        <v/>
      </c>
      <c r="W69" s="1114" t="str">
        <f t="shared" si="151"/>
        <v/>
      </c>
      <c r="X69" s="1114" t="str">
        <f t="shared" si="152"/>
        <v/>
      </c>
      <c r="Y69" s="1114" t="str">
        <f t="shared" si="153"/>
        <v/>
      </c>
      <c r="Z69" s="1114" t="str">
        <f t="shared" si="154"/>
        <v/>
      </c>
      <c r="AA69" s="1114" t="str">
        <f t="shared" si="155"/>
        <v/>
      </c>
      <c r="AB69" s="1704" t="str">
        <f t="shared" si="156"/>
        <v/>
      </c>
      <c r="AC69" s="1115" t="str">
        <f t="shared" si="157"/>
        <v/>
      </c>
      <c r="AE69" s="985"/>
    </row>
    <row r="70" spans="1:33" s="130" customFormat="1" ht="13.9" customHeight="1" x14ac:dyDescent="0.25">
      <c r="A70" s="847">
        <f>Chem!A70</f>
        <v>68</v>
      </c>
      <c r="B70" s="856" t="str">
        <f>Chem!B70</f>
        <v>2-Methylnaphthalene</v>
      </c>
      <c r="C70" s="394" t="s">
        <v>232</v>
      </c>
      <c r="D70" s="338" t="s">
        <v>232</v>
      </c>
      <c r="E70" s="394" t="s">
        <v>232</v>
      </c>
      <c r="F70" s="394" t="s">
        <v>232</v>
      </c>
      <c r="G70" s="552" t="s">
        <v>232</v>
      </c>
      <c r="H70" s="387" t="s">
        <v>232</v>
      </c>
      <c r="I70" s="338" t="str">
        <f t="shared" si="140"/>
        <v>na</v>
      </c>
      <c r="J70" s="407" t="str">
        <f>'GW-Eq'!I70</f>
        <v>na</v>
      </c>
      <c r="K70" s="407" t="str">
        <f t="shared" si="141"/>
        <v>na</v>
      </c>
      <c r="L70" s="407" t="str">
        <f t="shared" si="142"/>
        <v>na</v>
      </c>
      <c r="M70" s="407" t="str">
        <f t="shared" si="143"/>
        <v>na</v>
      </c>
      <c r="N70" s="217" t="str">
        <f>'GW-Eq'!J70</f>
        <v>na</v>
      </c>
      <c r="O70" s="217" t="str">
        <f t="shared" si="144"/>
        <v>na</v>
      </c>
      <c r="P70" s="217" t="str">
        <f t="shared" si="145"/>
        <v>na</v>
      </c>
      <c r="Q70" s="217" t="str">
        <f t="shared" si="146"/>
        <v>na</v>
      </c>
      <c r="R70" s="1056" t="str">
        <f t="shared" si="147"/>
        <v>na</v>
      </c>
      <c r="T70" s="1113" t="str">
        <f t="shared" si="148"/>
        <v/>
      </c>
      <c r="U70" s="1114" t="str">
        <f t="shared" si="149"/>
        <v/>
      </c>
      <c r="V70" s="1114" t="str">
        <f t="shared" si="150"/>
        <v/>
      </c>
      <c r="W70" s="1114" t="str">
        <f t="shared" si="151"/>
        <v/>
      </c>
      <c r="X70" s="1114" t="str">
        <f t="shared" si="152"/>
        <v/>
      </c>
      <c r="Y70" s="1114" t="str">
        <f t="shared" si="153"/>
        <v/>
      </c>
      <c r="Z70" s="1114" t="str">
        <f t="shared" si="154"/>
        <v/>
      </c>
      <c r="AA70" s="1114" t="str">
        <f t="shared" si="155"/>
        <v/>
      </c>
      <c r="AB70" s="1704" t="str">
        <f t="shared" si="156"/>
        <v/>
      </c>
      <c r="AC70" s="1115" t="str">
        <f t="shared" si="157"/>
        <v/>
      </c>
      <c r="AE70" s="985"/>
    </row>
    <row r="71" spans="1:33" s="130" customFormat="1" ht="13.9" customHeight="1" x14ac:dyDescent="0.25">
      <c r="A71" s="847">
        <f>Chem!A71</f>
        <v>69</v>
      </c>
      <c r="B71" s="856" t="str">
        <f>Chem!B71</f>
        <v>Naphthalene</v>
      </c>
      <c r="C71" s="394" t="s">
        <v>232</v>
      </c>
      <c r="D71" s="338" t="s">
        <v>232</v>
      </c>
      <c r="E71" s="394" t="s">
        <v>232</v>
      </c>
      <c r="F71" s="394" t="s">
        <v>232</v>
      </c>
      <c r="G71" s="552" t="s">
        <v>232</v>
      </c>
      <c r="H71" s="387">
        <v>1.4</v>
      </c>
      <c r="I71" s="338">
        <f t="shared" si="140"/>
        <v>1.4</v>
      </c>
      <c r="J71" s="407">
        <f>'GW-Eq'!I71</f>
        <v>1367.5213675213677</v>
      </c>
      <c r="K71" s="407">
        <f t="shared" si="141"/>
        <v>1.0237499999999999E-3</v>
      </c>
      <c r="L71" s="407" t="str">
        <f t="shared" si="142"/>
        <v>no</v>
      </c>
      <c r="M71" s="407">
        <f t="shared" si="143"/>
        <v>1.4</v>
      </c>
      <c r="N71" s="217" t="str">
        <f>'GW-Eq'!J71</f>
        <v>na</v>
      </c>
      <c r="O71" s="217" t="str">
        <f t="shared" si="144"/>
        <v>na</v>
      </c>
      <c r="P71" s="217" t="str">
        <f t="shared" si="145"/>
        <v>na</v>
      </c>
      <c r="Q71" s="217" t="str">
        <f t="shared" si="146"/>
        <v>na</v>
      </c>
      <c r="R71" s="1056">
        <f t="shared" si="147"/>
        <v>1.4</v>
      </c>
      <c r="T71" s="1113" t="str">
        <f t="shared" si="148"/>
        <v/>
      </c>
      <c r="U71" s="1114" t="str">
        <f t="shared" si="149"/>
        <v/>
      </c>
      <c r="V71" s="1114" t="str">
        <f t="shared" si="150"/>
        <v/>
      </c>
      <c r="W71" s="1114" t="str">
        <f t="shared" si="151"/>
        <v/>
      </c>
      <c r="X71" s="1114" t="str">
        <f t="shared" si="152"/>
        <v/>
      </c>
      <c r="Y71" s="1114" t="str">
        <f t="shared" si="153"/>
        <v>X</v>
      </c>
      <c r="Z71" s="1114" t="str">
        <f t="shared" si="154"/>
        <v/>
      </c>
      <c r="AA71" s="1114" t="str">
        <f t="shared" si="155"/>
        <v/>
      </c>
      <c r="AB71" s="1704" t="str">
        <f t="shared" si="156"/>
        <v/>
      </c>
      <c r="AC71" s="1115" t="str">
        <f t="shared" si="157"/>
        <v/>
      </c>
      <c r="AE71" s="985"/>
      <c r="AG71" s="130" t="str">
        <f>IF(R71=J71,"X","")</f>
        <v/>
      </c>
    </row>
    <row r="72" spans="1:33" s="130" customFormat="1" ht="13.9" customHeight="1" x14ac:dyDescent="0.25">
      <c r="A72" s="847">
        <f>Chem!A72</f>
        <v>70</v>
      </c>
      <c r="B72" s="856" t="str">
        <f>Chem!B72</f>
        <v>Phenanthrene</v>
      </c>
      <c r="C72" s="394" t="s">
        <v>232</v>
      </c>
      <c r="D72" s="338" t="s">
        <v>232</v>
      </c>
      <c r="E72" s="394" t="s">
        <v>232</v>
      </c>
      <c r="F72" s="394" t="s">
        <v>232</v>
      </c>
      <c r="G72" s="552" t="s">
        <v>232</v>
      </c>
      <c r="H72" s="387" t="s">
        <v>232</v>
      </c>
      <c r="I72" s="338" t="str">
        <f t="shared" si="140"/>
        <v>na</v>
      </c>
      <c r="J72" s="407" t="str">
        <f>'GW-Eq'!I72</f>
        <v>na</v>
      </c>
      <c r="K72" s="407" t="str">
        <f t="shared" si="141"/>
        <v>na</v>
      </c>
      <c r="L72" s="407" t="str">
        <f t="shared" si="142"/>
        <v>na</v>
      </c>
      <c r="M72" s="407" t="str">
        <f t="shared" si="143"/>
        <v>na</v>
      </c>
      <c r="N72" s="217" t="str">
        <f>'GW-Eq'!J72</f>
        <v>na</v>
      </c>
      <c r="O72" s="217" t="str">
        <f t="shared" si="144"/>
        <v>na</v>
      </c>
      <c r="P72" s="217" t="str">
        <f t="shared" si="145"/>
        <v>na</v>
      </c>
      <c r="Q72" s="217" t="str">
        <f t="shared" si="146"/>
        <v>na</v>
      </c>
      <c r="R72" s="1056" t="str">
        <f t="shared" si="147"/>
        <v>na</v>
      </c>
      <c r="T72" s="1113" t="str">
        <f t="shared" si="148"/>
        <v/>
      </c>
      <c r="U72" s="1114" t="str">
        <f t="shared" si="149"/>
        <v/>
      </c>
      <c r="V72" s="1114" t="str">
        <f t="shared" si="150"/>
        <v/>
      </c>
      <c r="W72" s="1114" t="str">
        <f t="shared" si="151"/>
        <v/>
      </c>
      <c r="X72" s="1114" t="str">
        <f t="shared" si="152"/>
        <v/>
      </c>
      <c r="Y72" s="1114" t="str">
        <f t="shared" si="153"/>
        <v/>
      </c>
      <c r="Z72" s="1114" t="str">
        <f t="shared" si="154"/>
        <v/>
      </c>
      <c r="AA72" s="1114" t="str">
        <f t="shared" si="155"/>
        <v/>
      </c>
      <c r="AB72" s="1704" t="str">
        <f t="shared" si="156"/>
        <v/>
      </c>
      <c r="AC72" s="1115" t="str">
        <f t="shared" si="157"/>
        <v/>
      </c>
      <c r="AE72" s="985"/>
    </row>
    <row r="73" spans="1:33" s="130" customFormat="1" ht="13.9" customHeight="1" x14ac:dyDescent="0.25">
      <c r="A73" s="847">
        <f>Chem!A73</f>
        <v>71</v>
      </c>
      <c r="B73" s="856" t="str">
        <f>Chem!B73</f>
        <v>Pyrene</v>
      </c>
      <c r="C73" s="394" t="s">
        <v>232</v>
      </c>
      <c r="D73" s="338" t="s">
        <v>232</v>
      </c>
      <c r="E73" s="394">
        <v>8</v>
      </c>
      <c r="F73" s="394">
        <v>8</v>
      </c>
      <c r="G73" s="552">
        <v>30</v>
      </c>
      <c r="H73" s="387" t="s">
        <v>232</v>
      </c>
      <c r="I73" s="338">
        <f t="shared" si="140"/>
        <v>8</v>
      </c>
      <c r="J73" s="407">
        <f>'GW-Eq'!I73</f>
        <v>717.94871794871801</v>
      </c>
      <c r="K73" s="407">
        <f t="shared" si="141"/>
        <v>1.1142857142857142E-2</v>
      </c>
      <c r="L73" s="407" t="str">
        <f t="shared" si="142"/>
        <v>no</v>
      </c>
      <c r="M73" s="407">
        <f t="shared" si="143"/>
        <v>8</v>
      </c>
      <c r="N73" s="217" t="str">
        <f>'GW-Eq'!J73</f>
        <v>na</v>
      </c>
      <c r="O73" s="217" t="str">
        <f t="shared" si="144"/>
        <v>na</v>
      </c>
      <c r="P73" s="217" t="str">
        <f t="shared" si="145"/>
        <v>na</v>
      </c>
      <c r="Q73" s="217" t="str">
        <f t="shared" si="146"/>
        <v>na</v>
      </c>
      <c r="R73" s="1056">
        <f t="shared" si="147"/>
        <v>8</v>
      </c>
      <c r="T73" s="1113" t="str">
        <f t="shared" si="148"/>
        <v/>
      </c>
      <c r="U73" s="1114" t="str">
        <f t="shared" si="149"/>
        <v/>
      </c>
      <c r="V73" s="1114" t="str">
        <f t="shared" si="150"/>
        <v>X</v>
      </c>
      <c r="W73" s="1114" t="str">
        <f t="shared" si="151"/>
        <v>X</v>
      </c>
      <c r="X73" s="1114" t="str">
        <f t="shared" si="152"/>
        <v/>
      </c>
      <c r="Y73" s="1114" t="str">
        <f t="shared" si="153"/>
        <v/>
      </c>
      <c r="Z73" s="1114" t="str">
        <f t="shared" si="154"/>
        <v/>
      </c>
      <c r="AA73" s="1114" t="str">
        <f t="shared" si="155"/>
        <v/>
      </c>
      <c r="AB73" s="1704" t="str">
        <f t="shared" si="156"/>
        <v/>
      </c>
      <c r="AC73" s="1115" t="str">
        <f t="shared" si="157"/>
        <v/>
      </c>
      <c r="AE73" s="985"/>
      <c r="AG73" s="130" t="str">
        <f>IF(R73=J73,"X","")</f>
        <v/>
      </c>
    </row>
    <row r="74" spans="1:33" s="130" customFormat="1" ht="13.9" customHeight="1" x14ac:dyDescent="0.25">
      <c r="A74" s="847">
        <f>Chem!A74</f>
        <v>72</v>
      </c>
      <c r="B74" s="856" t="str">
        <f>Chem!B74</f>
        <v>Total LPAHs</v>
      </c>
      <c r="C74" s="394" t="s">
        <v>232</v>
      </c>
      <c r="D74" s="338" t="s">
        <v>232</v>
      </c>
      <c r="E74" s="394" t="s">
        <v>232</v>
      </c>
      <c r="F74" s="394" t="s">
        <v>232</v>
      </c>
      <c r="G74" s="552" t="s">
        <v>232</v>
      </c>
      <c r="H74" s="387" t="s">
        <v>232</v>
      </c>
      <c r="I74" s="338" t="str">
        <f t="shared" si="140"/>
        <v>na</v>
      </c>
      <c r="J74" s="407" t="str">
        <f>'GW-Eq'!I74</f>
        <v>na</v>
      </c>
      <c r="K74" s="407" t="str">
        <f t="shared" si="141"/>
        <v>na</v>
      </c>
      <c r="L74" s="407" t="str">
        <f t="shared" si="142"/>
        <v>na</v>
      </c>
      <c r="M74" s="407" t="str">
        <f t="shared" si="143"/>
        <v>na</v>
      </c>
      <c r="N74" s="217" t="str">
        <f>'GW-Eq'!J74</f>
        <v>na</v>
      </c>
      <c r="O74" s="217" t="str">
        <f t="shared" si="144"/>
        <v>na</v>
      </c>
      <c r="P74" s="217" t="str">
        <f t="shared" si="145"/>
        <v>na</v>
      </c>
      <c r="Q74" s="217" t="str">
        <f t="shared" si="146"/>
        <v>na</v>
      </c>
      <c r="R74" s="1056" t="str">
        <f t="shared" si="147"/>
        <v>na</v>
      </c>
      <c r="T74" s="1113" t="str">
        <f t="shared" si="148"/>
        <v/>
      </c>
      <c r="U74" s="1114" t="str">
        <f t="shared" si="149"/>
        <v/>
      </c>
      <c r="V74" s="1114" t="str">
        <f t="shared" si="150"/>
        <v/>
      </c>
      <c r="W74" s="1114" t="str">
        <f t="shared" si="151"/>
        <v/>
      </c>
      <c r="X74" s="1114" t="str">
        <f t="shared" si="152"/>
        <v/>
      </c>
      <c r="Y74" s="1114" t="str">
        <f t="shared" si="153"/>
        <v/>
      </c>
      <c r="Z74" s="1114" t="str">
        <f t="shared" si="154"/>
        <v/>
      </c>
      <c r="AA74" s="1114" t="str">
        <f t="shared" si="155"/>
        <v/>
      </c>
      <c r="AB74" s="1704" t="str">
        <f t="shared" si="156"/>
        <v/>
      </c>
      <c r="AC74" s="1115" t="str">
        <f t="shared" si="157"/>
        <v/>
      </c>
      <c r="AE74" s="985"/>
    </row>
    <row r="75" spans="1:33" s="130" customFormat="1" ht="13.9" customHeight="1" x14ac:dyDescent="0.25">
      <c r="A75" s="847">
        <f>Chem!A75</f>
        <v>73</v>
      </c>
      <c r="B75" s="856" t="str">
        <f>Chem!B75</f>
        <v>Total HPAHs</v>
      </c>
      <c r="C75" s="553" t="s">
        <v>232</v>
      </c>
      <c r="D75" s="338" t="s">
        <v>232</v>
      </c>
      <c r="E75" s="553" t="s">
        <v>232</v>
      </c>
      <c r="F75" s="553" t="s">
        <v>232</v>
      </c>
      <c r="G75" s="552" t="s">
        <v>232</v>
      </c>
      <c r="H75" s="343" t="s">
        <v>232</v>
      </c>
      <c r="I75" s="342" t="str">
        <f t="shared" si="140"/>
        <v>na</v>
      </c>
      <c r="J75" s="562" t="str">
        <f>'GW-Eq'!I75</f>
        <v>na</v>
      </c>
      <c r="K75" s="562" t="str">
        <f t="shared" si="141"/>
        <v>na</v>
      </c>
      <c r="L75" s="562" t="str">
        <f t="shared" si="142"/>
        <v>na</v>
      </c>
      <c r="M75" s="562" t="str">
        <f t="shared" si="143"/>
        <v>na</v>
      </c>
      <c r="N75" s="285" t="str">
        <f>'GW-Eq'!J75</f>
        <v>na</v>
      </c>
      <c r="O75" s="285" t="str">
        <f t="shared" si="144"/>
        <v>na</v>
      </c>
      <c r="P75" s="285" t="str">
        <f t="shared" si="145"/>
        <v>na</v>
      </c>
      <c r="Q75" s="285" t="str">
        <f t="shared" si="146"/>
        <v>na</v>
      </c>
      <c r="R75" s="1054" t="str">
        <f t="shared" si="147"/>
        <v>na</v>
      </c>
      <c r="T75" s="1113" t="str">
        <f t="shared" si="148"/>
        <v/>
      </c>
      <c r="U75" s="1114" t="str">
        <f t="shared" si="149"/>
        <v/>
      </c>
      <c r="V75" s="1114" t="str">
        <f t="shared" si="150"/>
        <v/>
      </c>
      <c r="W75" s="1114" t="str">
        <f t="shared" si="151"/>
        <v/>
      </c>
      <c r="X75" s="1114" t="str">
        <f t="shared" si="152"/>
        <v/>
      </c>
      <c r="Y75" s="1114" t="str">
        <f t="shared" si="153"/>
        <v/>
      </c>
      <c r="Z75" s="1114" t="str">
        <f t="shared" si="154"/>
        <v/>
      </c>
      <c r="AA75" s="1114" t="str">
        <f t="shared" si="155"/>
        <v/>
      </c>
      <c r="AB75" s="1704" t="str">
        <f t="shared" si="156"/>
        <v/>
      </c>
      <c r="AC75" s="1115" t="str">
        <f t="shared" si="157"/>
        <v/>
      </c>
      <c r="AE75" s="985"/>
    </row>
    <row r="76" spans="1:33" s="130" customFormat="1" ht="13.9" customHeight="1" x14ac:dyDescent="0.25">
      <c r="A76" s="842">
        <f>Chem!A76</f>
        <v>74</v>
      </c>
      <c r="B76" s="856" t="str">
        <f>Chem!B76</f>
        <v>Total PAHs</v>
      </c>
      <c r="C76" s="553" t="s">
        <v>232</v>
      </c>
      <c r="D76" s="338" t="s">
        <v>232</v>
      </c>
      <c r="E76" s="553" t="s">
        <v>232</v>
      </c>
      <c r="F76" s="553" t="s">
        <v>232</v>
      </c>
      <c r="G76" s="552" t="s">
        <v>232</v>
      </c>
      <c r="H76" s="343" t="s">
        <v>232</v>
      </c>
      <c r="I76" s="342" t="str">
        <f t="shared" si="140"/>
        <v>na</v>
      </c>
      <c r="J76" s="562" t="str">
        <f>'GW-Eq'!I76</f>
        <v>na</v>
      </c>
      <c r="K76" s="562" t="str">
        <f t="shared" si="141"/>
        <v>na</v>
      </c>
      <c r="L76" s="562" t="str">
        <f t="shared" si="142"/>
        <v>na</v>
      </c>
      <c r="M76" s="562" t="str">
        <f t="shared" si="143"/>
        <v>na</v>
      </c>
      <c r="N76" s="285" t="str">
        <f>'GW-Eq'!J76</f>
        <v>na</v>
      </c>
      <c r="O76" s="285" t="str">
        <f t="shared" si="144"/>
        <v>na</v>
      </c>
      <c r="P76" s="285" t="str">
        <f t="shared" si="145"/>
        <v>na</v>
      </c>
      <c r="Q76" s="285" t="str">
        <f t="shared" si="146"/>
        <v>na</v>
      </c>
      <c r="R76" s="1054" t="str">
        <f t="shared" si="147"/>
        <v>na</v>
      </c>
      <c r="T76" s="1113" t="str">
        <f t="shared" si="148"/>
        <v/>
      </c>
      <c r="U76" s="1114" t="str">
        <f t="shared" si="149"/>
        <v/>
      </c>
      <c r="V76" s="1114" t="str">
        <f t="shared" si="150"/>
        <v/>
      </c>
      <c r="W76" s="1114" t="str">
        <f t="shared" si="151"/>
        <v/>
      </c>
      <c r="X76" s="1114" t="str">
        <f t="shared" si="152"/>
        <v/>
      </c>
      <c r="Y76" s="1114" t="str">
        <f t="shared" si="153"/>
        <v/>
      </c>
      <c r="Z76" s="1114" t="str">
        <f t="shared" si="154"/>
        <v/>
      </c>
      <c r="AA76" s="1114" t="str">
        <f t="shared" si="155"/>
        <v/>
      </c>
      <c r="AB76" s="1704" t="str">
        <f t="shared" si="156"/>
        <v/>
      </c>
      <c r="AC76" s="1115" t="str">
        <f t="shared" si="157"/>
        <v/>
      </c>
      <c r="AE76" s="985"/>
    </row>
    <row r="77" spans="1:33" s="130" customFormat="1" ht="13.9" customHeight="1" x14ac:dyDescent="0.25">
      <c r="A77" s="844">
        <f>Chem!A77</f>
        <v>75</v>
      </c>
      <c r="B77" s="901" t="str">
        <f>Chem!B77</f>
        <v>Total cPAH TEQ</v>
      </c>
      <c r="C77" s="394" t="str">
        <f>C61</f>
        <v>na</v>
      </c>
      <c r="D77" s="394" t="str">
        <f t="shared" ref="D77:H77" si="158">D61</f>
        <v>na</v>
      </c>
      <c r="E77" s="394">
        <f t="shared" si="158"/>
        <v>1.5999999999999999E-5</v>
      </c>
      <c r="F77" s="394">
        <f t="shared" si="158"/>
        <v>1.5999999999999999E-5</v>
      </c>
      <c r="G77" s="394">
        <f t="shared" si="158"/>
        <v>1.2999999999999999E-4</v>
      </c>
      <c r="H77" s="394">
        <f t="shared" si="158"/>
        <v>2.1999999999999999E-2</v>
      </c>
      <c r="I77" s="342">
        <f t="shared" si="140"/>
        <v>1.5999999999999999E-5</v>
      </c>
      <c r="J77" s="407" t="str">
        <f>'GW-Eq'!I77</f>
        <v>na</v>
      </c>
      <c r="K77" s="407" t="str">
        <f t="shared" si="141"/>
        <v>na</v>
      </c>
      <c r="L77" s="407" t="str">
        <f t="shared" si="142"/>
        <v>na</v>
      </c>
      <c r="M77" s="407">
        <f t="shared" si="143"/>
        <v>1.5999999999999999E-5</v>
      </c>
      <c r="N77" s="217">
        <f>'GW-Eq'!J77</f>
        <v>1.3782806662570783E-2</v>
      </c>
      <c r="O77" s="217">
        <f t="shared" si="144"/>
        <v>1.1608666066143356E-3</v>
      </c>
      <c r="P77" s="217" t="str">
        <f t="shared" si="145"/>
        <v>no</v>
      </c>
      <c r="Q77" s="217">
        <f t="shared" si="146"/>
        <v>1.5999999999999999E-5</v>
      </c>
      <c r="R77" s="1054">
        <f t="shared" si="147"/>
        <v>1.5999999999999999E-5</v>
      </c>
      <c r="T77" s="1336" t="str">
        <f t="shared" si="148"/>
        <v/>
      </c>
      <c r="U77" s="1337" t="str">
        <f t="shared" si="149"/>
        <v/>
      </c>
      <c r="V77" s="1337" t="str">
        <f t="shared" si="150"/>
        <v>X</v>
      </c>
      <c r="W77" s="1337" t="str">
        <f t="shared" si="151"/>
        <v>X</v>
      </c>
      <c r="X77" s="1337" t="str">
        <f t="shared" si="152"/>
        <v/>
      </c>
      <c r="Y77" s="1337" t="str">
        <f t="shared" si="153"/>
        <v/>
      </c>
      <c r="Z77" s="1337" t="str">
        <f t="shared" si="154"/>
        <v/>
      </c>
      <c r="AA77" s="1337" t="str">
        <f t="shared" si="155"/>
        <v/>
      </c>
      <c r="AB77" s="1705" t="str">
        <f t="shared" si="156"/>
        <v/>
      </c>
      <c r="AC77" s="1338" t="str">
        <f t="shared" si="157"/>
        <v/>
      </c>
      <c r="AE77" s="985"/>
      <c r="AG77" s="130" t="str">
        <f>IF(R77=J77,"X","")</f>
        <v/>
      </c>
    </row>
    <row r="78" spans="1:33" s="130" customFormat="1" ht="13.9" customHeight="1" x14ac:dyDescent="0.25">
      <c r="A78" s="906">
        <f>Chem!A78</f>
        <v>76</v>
      </c>
      <c r="B78" s="850" t="str">
        <f>Chem!B78</f>
        <v>Other SVOCs</v>
      </c>
      <c r="C78" s="2368"/>
      <c r="D78" s="2368"/>
      <c r="E78" s="2368"/>
      <c r="F78" s="2368"/>
      <c r="G78" s="2368"/>
      <c r="H78" s="297"/>
      <c r="I78" s="297"/>
      <c r="J78" s="2368"/>
      <c r="K78" s="297"/>
      <c r="L78" s="2347"/>
      <c r="M78" s="297"/>
      <c r="N78" s="2368"/>
      <c r="O78" s="297"/>
      <c r="P78" s="2347"/>
      <c r="Q78" s="297"/>
      <c r="R78" s="2369"/>
      <c r="T78" s="258" t="str">
        <f>B78</f>
        <v>Other SVOCs</v>
      </c>
      <c r="U78" s="2372"/>
      <c r="V78" s="2372"/>
      <c r="W78" s="2372"/>
      <c r="X78" s="2372"/>
      <c r="Y78" s="2372"/>
      <c r="Z78" s="2372"/>
      <c r="AA78" s="2372"/>
      <c r="AB78" s="2372"/>
      <c r="AC78" s="2373"/>
      <c r="AE78" s="987"/>
    </row>
    <row r="79" spans="1:33" s="130" customFormat="1" ht="13.9" customHeight="1" x14ac:dyDescent="0.25">
      <c r="A79" s="846">
        <f>Chem!A79</f>
        <v>77</v>
      </c>
      <c r="B79" s="903" t="str">
        <f>Chem!B79</f>
        <v>Aniline</v>
      </c>
      <c r="C79" s="390" t="s">
        <v>232</v>
      </c>
      <c r="D79" s="339" t="s">
        <v>232</v>
      </c>
      <c r="E79" s="390" t="s">
        <v>232</v>
      </c>
      <c r="F79" s="390" t="s">
        <v>232</v>
      </c>
      <c r="G79" s="552" t="s">
        <v>232</v>
      </c>
      <c r="H79" s="387" t="s">
        <v>232</v>
      </c>
      <c r="I79" s="339" t="str">
        <f t="shared" ref="I79:I110" si="159">IF(MIN(C79:H79)=0,"na",(MIN(C79:H79)))</f>
        <v>na</v>
      </c>
      <c r="J79" s="402" t="str">
        <f>'GW-Eq'!I79</f>
        <v>na</v>
      </c>
      <c r="K79" s="402" t="str">
        <f t="shared" ref="K79:K115" si="160">IF(I79="na","na",IF(J79="na","na",I79/J79))</f>
        <v>na</v>
      </c>
      <c r="L79" s="402" t="str">
        <f t="shared" ref="L79:L140" si="161">IF(K79="na","na",IF(K79&gt;1,"YES","no"))</f>
        <v>na</v>
      </c>
      <c r="M79" s="402" t="str">
        <f t="shared" ref="M79:M140" si="162">IF(L79="YES",J79,IF(ISNUMBER(I79),I79,J79))</f>
        <v>na</v>
      </c>
      <c r="N79" s="288" t="str">
        <f>'GW-Eq'!J79</f>
        <v>na</v>
      </c>
      <c r="O79" s="288" t="str">
        <f t="shared" ref="O79:O115" si="163">IF(I79="na","na",IF(N79="na","na",I79/N79))</f>
        <v>na</v>
      </c>
      <c r="P79" s="288" t="str">
        <f t="shared" ref="P79:P140" si="164">IF(O79="na","na",IF(O79&gt;10,"YES","no"))</f>
        <v>na</v>
      </c>
      <c r="Q79" s="288" t="str">
        <f t="shared" ref="Q79:Q140" si="165">IF(P79="YES",10*N79,IF(P79="no",I79,N79))</f>
        <v>na</v>
      </c>
      <c r="R79" s="1058" t="str">
        <f t="shared" ref="R79:R144" si="166">IF(MIN($M79,$Q79,$H79)=0,"na",MIN($M79,$Q79,$H79))</f>
        <v>na</v>
      </c>
      <c r="T79" s="1110" t="str">
        <f t="shared" ref="T79:T110" si="167">IF($R79="na","",IF($R79=C79,"X",""))</f>
        <v/>
      </c>
      <c r="U79" s="1111" t="str">
        <f t="shared" ref="U79:U110" si="168">IF($R79="na","",IF($R79=D79,"X",""))</f>
        <v/>
      </c>
      <c r="V79" s="1111" t="str">
        <f t="shared" ref="V79:V115" si="169">IF($R79="na","",IF($R79=E79,"X",""))</f>
        <v/>
      </c>
      <c r="W79" s="1111" t="str">
        <f t="shared" ref="W79:W115" si="170">IF($R79="na","",IF($R79=F79,"X",""))</f>
        <v/>
      </c>
      <c r="X79" s="1111" t="str">
        <f t="shared" ref="X79:X115" si="171">IF($R79="na","",IF($R79=G79,"X",""))</f>
        <v/>
      </c>
      <c r="Y79" s="1111" t="str">
        <f t="shared" ref="Y79:Y115" si="172">IF($R79="na","",IF($R79=H79,"X",""))</f>
        <v/>
      </c>
      <c r="Z79" s="1111" t="str">
        <f t="shared" ref="Z79:Z115" si="173">IF($R79="na","",IF($R79=J79,"X",""))</f>
        <v/>
      </c>
      <c r="AA79" s="1111" t="str">
        <f t="shared" ref="AA79:AA115" si="174">IF($R79="na","",IF($R79=N79,"X",""))</f>
        <v/>
      </c>
      <c r="AB79" s="1703" t="str">
        <f t="shared" ref="AB79:AB142" si="175">IF(R79="na","",IF(AND(L79="YES",R79=J79),"X",""))</f>
        <v/>
      </c>
      <c r="AC79" s="1112" t="str">
        <f t="shared" ref="AC79:AC115" si="176">IF(OR($R79="na",N79="na"),"",IF($R79=10*N79,"X",""))</f>
        <v/>
      </c>
      <c r="AE79" s="985"/>
    </row>
    <row r="80" spans="1:33" s="130" customFormat="1" ht="13.9" customHeight="1" x14ac:dyDescent="0.25">
      <c r="A80" s="847">
        <f>Chem!A80</f>
        <v>78</v>
      </c>
      <c r="B80" s="856" t="str">
        <f>Chem!B80</f>
        <v>Azobenzene</v>
      </c>
      <c r="C80" s="390" t="s">
        <v>232</v>
      </c>
      <c r="D80" s="339" t="s">
        <v>232</v>
      </c>
      <c r="E80" s="390" t="s">
        <v>232</v>
      </c>
      <c r="F80" s="390" t="s">
        <v>232</v>
      </c>
      <c r="G80" s="552" t="s">
        <v>232</v>
      </c>
      <c r="H80" s="343" t="s">
        <v>232</v>
      </c>
      <c r="I80" s="339" t="str">
        <f t="shared" si="159"/>
        <v>na</v>
      </c>
      <c r="J80" s="402" t="str">
        <f>'GW-Eq'!I80</f>
        <v>na</v>
      </c>
      <c r="K80" s="402" t="str">
        <f t="shared" si="160"/>
        <v>na</v>
      </c>
      <c r="L80" s="402" t="str">
        <f t="shared" si="161"/>
        <v>na</v>
      </c>
      <c r="M80" s="402" t="str">
        <f t="shared" si="162"/>
        <v>na</v>
      </c>
      <c r="N80" s="288" t="str">
        <f>'GW-Eq'!J80</f>
        <v>na</v>
      </c>
      <c r="O80" s="288" t="str">
        <f t="shared" si="163"/>
        <v>na</v>
      </c>
      <c r="P80" s="288" t="str">
        <f t="shared" si="164"/>
        <v>na</v>
      </c>
      <c r="Q80" s="288" t="str">
        <f t="shared" si="165"/>
        <v>na</v>
      </c>
      <c r="R80" s="1059" t="str">
        <f t="shared" si="166"/>
        <v>na</v>
      </c>
      <c r="T80" s="1113" t="str">
        <f t="shared" si="167"/>
        <v/>
      </c>
      <c r="U80" s="1114" t="str">
        <f t="shared" si="168"/>
        <v/>
      </c>
      <c r="V80" s="1114" t="str">
        <f t="shared" si="169"/>
        <v/>
      </c>
      <c r="W80" s="1114" t="str">
        <f t="shared" si="170"/>
        <v/>
      </c>
      <c r="X80" s="1114" t="str">
        <f t="shared" si="171"/>
        <v/>
      </c>
      <c r="Y80" s="1114" t="str">
        <f t="shared" si="172"/>
        <v/>
      </c>
      <c r="Z80" s="1114" t="str">
        <f t="shared" si="173"/>
        <v/>
      </c>
      <c r="AA80" s="1114" t="str">
        <f t="shared" si="174"/>
        <v/>
      </c>
      <c r="AB80" s="1704" t="str">
        <f t="shared" si="175"/>
        <v/>
      </c>
      <c r="AC80" s="1115" t="str">
        <f t="shared" si="176"/>
        <v/>
      </c>
      <c r="AE80" s="985"/>
    </row>
    <row r="81" spans="1:33" s="130" customFormat="1" ht="13.9" customHeight="1" x14ac:dyDescent="0.25">
      <c r="A81" s="847">
        <f>Chem!A81</f>
        <v>79</v>
      </c>
      <c r="B81" s="856" t="str">
        <f>Chem!B81</f>
        <v>Benzidine</v>
      </c>
      <c r="C81" s="390" t="s">
        <v>232</v>
      </c>
      <c r="D81" s="339" t="s">
        <v>232</v>
      </c>
      <c r="E81" s="390">
        <v>2.3E-5</v>
      </c>
      <c r="F81" s="390" t="s">
        <v>232</v>
      </c>
      <c r="G81" s="552">
        <v>1.0999999999999999E-2</v>
      </c>
      <c r="H81" s="343" t="s">
        <v>232</v>
      </c>
      <c r="I81" s="339">
        <f t="shared" si="159"/>
        <v>2.3E-5</v>
      </c>
      <c r="J81" s="402">
        <f>'GW-Eq'!I81</f>
        <v>24.615384615384617</v>
      </c>
      <c r="K81" s="402">
        <f t="shared" si="160"/>
        <v>9.3437499999999995E-7</v>
      </c>
      <c r="L81" s="402" t="str">
        <f t="shared" si="161"/>
        <v>no</v>
      </c>
      <c r="M81" s="402">
        <f t="shared" si="162"/>
        <v>2.3E-5</v>
      </c>
      <c r="N81" s="288">
        <f>'GW-Eq'!J81</f>
        <v>2.0545798751658312E-5</v>
      </c>
      <c r="O81" s="288">
        <f t="shared" si="163"/>
        <v>1.119450271951272</v>
      </c>
      <c r="P81" s="288" t="str">
        <f t="shared" si="164"/>
        <v>no</v>
      </c>
      <c r="Q81" s="288">
        <f t="shared" si="165"/>
        <v>2.3E-5</v>
      </c>
      <c r="R81" s="1059">
        <f t="shared" si="166"/>
        <v>2.3E-5</v>
      </c>
      <c r="T81" s="1113" t="str">
        <f t="shared" si="167"/>
        <v/>
      </c>
      <c r="U81" s="1114" t="str">
        <f t="shared" si="168"/>
        <v/>
      </c>
      <c r="V81" s="1114" t="str">
        <f t="shared" si="169"/>
        <v>X</v>
      </c>
      <c r="W81" s="1114" t="str">
        <f t="shared" si="170"/>
        <v/>
      </c>
      <c r="X81" s="1114" t="str">
        <f t="shared" si="171"/>
        <v/>
      </c>
      <c r="Y81" s="1114" t="str">
        <f t="shared" si="172"/>
        <v/>
      </c>
      <c r="Z81" s="1114" t="str">
        <f t="shared" si="173"/>
        <v/>
      </c>
      <c r="AA81" s="1114" t="str">
        <f t="shared" si="174"/>
        <v/>
      </c>
      <c r="AB81" s="1704" t="str">
        <f t="shared" si="175"/>
        <v/>
      </c>
      <c r="AC81" s="1115" t="str">
        <f t="shared" si="176"/>
        <v/>
      </c>
      <c r="AE81" s="985"/>
      <c r="AG81" s="130" t="str">
        <f>IF(R81=J81,"X","")</f>
        <v/>
      </c>
    </row>
    <row r="82" spans="1:33" s="130" customFormat="1" ht="13.9" customHeight="1" x14ac:dyDescent="0.25">
      <c r="A82" s="847">
        <f>Chem!A82</f>
        <v>80</v>
      </c>
      <c r="B82" s="856" t="str">
        <f>Chem!B82</f>
        <v>Benzoic acid</v>
      </c>
      <c r="C82" s="394" t="s">
        <v>232</v>
      </c>
      <c r="D82" s="338" t="s">
        <v>232</v>
      </c>
      <c r="E82" s="394" t="s">
        <v>232</v>
      </c>
      <c r="F82" s="394" t="s">
        <v>232</v>
      </c>
      <c r="G82" s="552" t="s">
        <v>232</v>
      </c>
      <c r="H82" s="343" t="s">
        <v>232</v>
      </c>
      <c r="I82" s="338" t="str">
        <f t="shared" si="159"/>
        <v>na</v>
      </c>
      <c r="J82" s="407" t="str">
        <f>'GW-Eq'!I82</f>
        <v>na</v>
      </c>
      <c r="K82" s="407" t="str">
        <f t="shared" si="160"/>
        <v>na</v>
      </c>
      <c r="L82" s="407" t="str">
        <f t="shared" si="161"/>
        <v>na</v>
      </c>
      <c r="M82" s="407" t="str">
        <f t="shared" si="162"/>
        <v>na</v>
      </c>
      <c r="N82" s="217" t="str">
        <f>'GW-Eq'!J82</f>
        <v>na</v>
      </c>
      <c r="O82" s="217" t="str">
        <f t="shared" si="163"/>
        <v>na</v>
      </c>
      <c r="P82" s="217" t="str">
        <f t="shared" si="164"/>
        <v>na</v>
      </c>
      <c r="Q82" s="217" t="str">
        <f t="shared" si="165"/>
        <v>na</v>
      </c>
      <c r="R82" s="1056" t="str">
        <f t="shared" si="166"/>
        <v>na</v>
      </c>
      <c r="T82" s="1113" t="str">
        <f t="shared" si="167"/>
        <v/>
      </c>
      <c r="U82" s="1114" t="str">
        <f t="shared" si="168"/>
        <v/>
      </c>
      <c r="V82" s="1114" t="str">
        <f t="shared" si="169"/>
        <v/>
      </c>
      <c r="W82" s="1114" t="str">
        <f t="shared" si="170"/>
        <v/>
      </c>
      <c r="X82" s="1114" t="str">
        <f t="shared" si="171"/>
        <v/>
      </c>
      <c r="Y82" s="1114" t="str">
        <f t="shared" si="172"/>
        <v/>
      </c>
      <c r="Z82" s="1114" t="str">
        <f t="shared" si="173"/>
        <v/>
      </c>
      <c r="AA82" s="1114" t="str">
        <f t="shared" si="174"/>
        <v/>
      </c>
      <c r="AB82" s="1704" t="str">
        <f t="shared" si="175"/>
        <v/>
      </c>
      <c r="AC82" s="1115" t="str">
        <f t="shared" si="176"/>
        <v/>
      </c>
      <c r="AE82" s="985"/>
    </row>
    <row r="83" spans="1:33" s="130" customFormat="1" ht="13.9" customHeight="1" x14ac:dyDescent="0.25">
      <c r="A83" s="847">
        <f>Chem!A83</f>
        <v>81</v>
      </c>
      <c r="B83" s="856" t="str">
        <f>Chem!B83</f>
        <v>Benzyl alcohol</v>
      </c>
      <c r="C83" s="394" t="s">
        <v>232</v>
      </c>
      <c r="D83" s="338" t="s">
        <v>232</v>
      </c>
      <c r="E83" s="394" t="s">
        <v>232</v>
      </c>
      <c r="F83" s="394" t="s">
        <v>232</v>
      </c>
      <c r="G83" s="552" t="s">
        <v>232</v>
      </c>
      <c r="H83" s="343" t="s">
        <v>232</v>
      </c>
      <c r="I83" s="338" t="str">
        <f t="shared" si="159"/>
        <v>na</v>
      </c>
      <c r="J83" s="407" t="str">
        <f>'GW-Eq'!I83</f>
        <v>na</v>
      </c>
      <c r="K83" s="407" t="str">
        <f t="shared" si="160"/>
        <v>na</v>
      </c>
      <c r="L83" s="407" t="str">
        <f t="shared" si="161"/>
        <v>na</v>
      </c>
      <c r="M83" s="407" t="str">
        <f t="shared" si="162"/>
        <v>na</v>
      </c>
      <c r="N83" s="217" t="str">
        <f>'GW-Eq'!J83</f>
        <v>na</v>
      </c>
      <c r="O83" s="217" t="str">
        <f t="shared" si="163"/>
        <v>na</v>
      </c>
      <c r="P83" s="217" t="str">
        <f t="shared" si="164"/>
        <v>na</v>
      </c>
      <c r="Q83" s="217" t="str">
        <f t="shared" si="165"/>
        <v>na</v>
      </c>
      <c r="R83" s="1056" t="str">
        <f t="shared" si="166"/>
        <v>na</v>
      </c>
      <c r="T83" s="1113" t="str">
        <f t="shared" si="167"/>
        <v/>
      </c>
      <c r="U83" s="1114" t="str">
        <f t="shared" si="168"/>
        <v/>
      </c>
      <c r="V83" s="1114" t="str">
        <f t="shared" si="169"/>
        <v/>
      </c>
      <c r="W83" s="1114" t="str">
        <f t="shared" si="170"/>
        <v/>
      </c>
      <c r="X83" s="1114" t="str">
        <f t="shared" si="171"/>
        <v/>
      </c>
      <c r="Y83" s="1114" t="str">
        <f t="shared" si="172"/>
        <v/>
      </c>
      <c r="Z83" s="1114" t="str">
        <f t="shared" si="173"/>
        <v/>
      </c>
      <c r="AA83" s="1114" t="str">
        <f t="shared" si="174"/>
        <v/>
      </c>
      <c r="AB83" s="1704" t="str">
        <f t="shared" si="175"/>
        <v/>
      </c>
      <c r="AC83" s="1115" t="str">
        <f t="shared" si="176"/>
        <v/>
      </c>
      <c r="AE83" s="985"/>
    </row>
    <row r="84" spans="1:33" s="130" customFormat="1" ht="13.9" customHeight="1" x14ac:dyDescent="0.25">
      <c r="A84" s="847">
        <f>Chem!A84</f>
        <v>82</v>
      </c>
      <c r="B84" s="856" t="str">
        <f>Chem!B84</f>
        <v>Bis(2-chloroethoxy)methane</v>
      </c>
      <c r="C84" s="394" t="s">
        <v>232</v>
      </c>
      <c r="D84" s="338" t="s">
        <v>232</v>
      </c>
      <c r="E84" s="394" t="s">
        <v>232</v>
      </c>
      <c r="F84" s="394" t="s">
        <v>232</v>
      </c>
      <c r="G84" s="552" t="s">
        <v>232</v>
      </c>
      <c r="H84" s="343" t="s">
        <v>232</v>
      </c>
      <c r="I84" s="338" t="str">
        <f t="shared" si="159"/>
        <v>na</v>
      </c>
      <c r="J84" s="407" t="str">
        <f>'GW-Eq'!I84</f>
        <v>na</v>
      </c>
      <c r="K84" s="407" t="str">
        <f t="shared" si="160"/>
        <v>na</v>
      </c>
      <c r="L84" s="407" t="str">
        <f t="shared" si="161"/>
        <v>na</v>
      </c>
      <c r="M84" s="407" t="str">
        <f t="shared" si="162"/>
        <v>na</v>
      </c>
      <c r="N84" s="217" t="str">
        <f>'GW-Eq'!J84</f>
        <v>na</v>
      </c>
      <c r="O84" s="217" t="str">
        <f t="shared" si="163"/>
        <v>na</v>
      </c>
      <c r="P84" s="217" t="str">
        <f t="shared" si="164"/>
        <v>na</v>
      </c>
      <c r="Q84" s="217" t="str">
        <f t="shared" si="165"/>
        <v>na</v>
      </c>
      <c r="R84" s="1056" t="str">
        <f t="shared" si="166"/>
        <v>na</v>
      </c>
      <c r="T84" s="1113" t="str">
        <f t="shared" si="167"/>
        <v/>
      </c>
      <c r="U84" s="1114" t="str">
        <f t="shared" si="168"/>
        <v/>
      </c>
      <c r="V84" s="1114" t="str">
        <f t="shared" si="169"/>
        <v/>
      </c>
      <c r="W84" s="1114" t="str">
        <f t="shared" si="170"/>
        <v/>
      </c>
      <c r="X84" s="1114" t="str">
        <f t="shared" si="171"/>
        <v/>
      </c>
      <c r="Y84" s="1114" t="str">
        <f t="shared" si="172"/>
        <v/>
      </c>
      <c r="Z84" s="1114" t="str">
        <f t="shared" si="173"/>
        <v/>
      </c>
      <c r="AA84" s="1114" t="str">
        <f t="shared" si="174"/>
        <v/>
      </c>
      <c r="AB84" s="1704" t="str">
        <f t="shared" si="175"/>
        <v/>
      </c>
      <c r="AC84" s="1115" t="str">
        <f t="shared" si="176"/>
        <v/>
      </c>
      <c r="AE84" s="985"/>
    </row>
    <row r="85" spans="1:33" s="130" customFormat="1" ht="13.9" customHeight="1" x14ac:dyDescent="0.25">
      <c r="A85" s="847">
        <f>Chem!A85</f>
        <v>83</v>
      </c>
      <c r="B85" s="856" t="str">
        <f>Chem!B85</f>
        <v>Bis(2-chloroethyl)ether</v>
      </c>
      <c r="C85" s="395" t="s">
        <v>232</v>
      </c>
      <c r="D85" s="338" t="s">
        <v>232</v>
      </c>
      <c r="E85" s="395">
        <v>0.06</v>
      </c>
      <c r="F85" s="395" t="s">
        <v>232</v>
      </c>
      <c r="G85" s="552">
        <v>2.2000000000000002</v>
      </c>
      <c r="H85" s="387" t="s">
        <v>232</v>
      </c>
      <c r="I85" s="337">
        <f t="shared" si="159"/>
        <v>0.06</v>
      </c>
      <c r="J85" s="408" t="str">
        <f>'GW-Eq'!I85</f>
        <v>na</v>
      </c>
      <c r="K85" s="408" t="str">
        <f t="shared" si="160"/>
        <v>na</v>
      </c>
      <c r="L85" s="408" t="str">
        <f t="shared" si="161"/>
        <v>na</v>
      </c>
      <c r="M85" s="408">
        <f t="shared" si="162"/>
        <v>0.06</v>
      </c>
      <c r="N85" s="287">
        <f>'GW-Eq'!J85</f>
        <v>0.23647849734806251</v>
      </c>
      <c r="O85" s="287">
        <f t="shared" si="163"/>
        <v>0.25372285714285719</v>
      </c>
      <c r="P85" s="287" t="str">
        <f t="shared" si="164"/>
        <v>no</v>
      </c>
      <c r="Q85" s="287">
        <f t="shared" si="165"/>
        <v>0.06</v>
      </c>
      <c r="R85" s="1053">
        <f t="shared" si="166"/>
        <v>0.06</v>
      </c>
      <c r="T85" s="1113" t="str">
        <f t="shared" si="167"/>
        <v/>
      </c>
      <c r="U85" s="1114" t="str">
        <f t="shared" si="168"/>
        <v/>
      </c>
      <c r="V85" s="1114" t="str">
        <f t="shared" si="169"/>
        <v>X</v>
      </c>
      <c r="W85" s="1114" t="str">
        <f t="shared" si="170"/>
        <v/>
      </c>
      <c r="X85" s="1114" t="str">
        <f t="shared" si="171"/>
        <v/>
      </c>
      <c r="Y85" s="1114" t="str">
        <f t="shared" si="172"/>
        <v/>
      </c>
      <c r="Z85" s="1114" t="str">
        <f t="shared" si="173"/>
        <v/>
      </c>
      <c r="AA85" s="1114" t="str">
        <f t="shared" si="174"/>
        <v/>
      </c>
      <c r="AB85" s="1704" t="str">
        <f t="shared" si="175"/>
        <v/>
      </c>
      <c r="AC85" s="1115" t="str">
        <f t="shared" si="176"/>
        <v/>
      </c>
      <c r="AE85" s="985"/>
      <c r="AG85" s="130" t="str">
        <f>IF(R85=J85,"X","")</f>
        <v/>
      </c>
    </row>
    <row r="86" spans="1:33" s="130" customFormat="1" ht="13.9" customHeight="1" x14ac:dyDescent="0.25">
      <c r="A86" s="847">
        <f>Chem!A86</f>
        <v>84</v>
      </c>
      <c r="B86" s="856" t="str">
        <f>Chem!B86</f>
        <v>Bis(chloromethyl)ether</v>
      </c>
      <c r="C86" s="395" t="s">
        <v>232</v>
      </c>
      <c r="D86" s="338" t="s">
        <v>232</v>
      </c>
      <c r="E86" s="395" t="s">
        <v>232</v>
      </c>
      <c r="F86" s="395" t="s">
        <v>232</v>
      </c>
      <c r="G86" s="552">
        <v>1.7000000000000001E-2</v>
      </c>
      <c r="H86" s="387" t="s">
        <v>232</v>
      </c>
      <c r="I86" s="337">
        <f t="shared" si="159"/>
        <v>1.7000000000000001E-2</v>
      </c>
      <c r="J86" s="408" t="str">
        <f>'GW-Eq'!I86</f>
        <v>na</v>
      </c>
      <c r="K86" s="408" t="str">
        <f t="shared" ref="K86" si="177">IF(I86="na","na",IF(J86="na","na",I86/J86))</f>
        <v>na</v>
      </c>
      <c r="L86" s="408" t="str">
        <f t="shared" ref="L86" si="178">IF(K86="na","na",IF(K86&gt;1,"YES","no"))</f>
        <v>na</v>
      </c>
      <c r="M86" s="408">
        <f t="shared" ref="M86" si="179">IF(L86="YES",J86,IF(ISNUMBER(I86),I86,J86))</f>
        <v>1.7000000000000001E-2</v>
      </c>
      <c r="N86" s="287" t="str">
        <f>'GW-Eq'!J86</f>
        <v>na</v>
      </c>
      <c r="O86" s="287" t="str">
        <f t="shared" ref="O86" si="180">IF(I86="na","na",IF(N86="na","na",I86/N86))</f>
        <v>na</v>
      </c>
      <c r="P86" s="287" t="str">
        <f t="shared" ref="P86" si="181">IF(O86="na","na",IF(O86&gt;10,"YES","no"))</f>
        <v>na</v>
      </c>
      <c r="Q86" s="287" t="str">
        <f t="shared" ref="Q86" si="182">IF(P86="YES",10*N86,IF(P86="no",I86,N86))</f>
        <v>na</v>
      </c>
      <c r="R86" s="1053">
        <f t="shared" si="166"/>
        <v>1.7000000000000001E-2</v>
      </c>
      <c r="T86" s="1113" t="str">
        <f t="shared" si="167"/>
        <v/>
      </c>
      <c r="U86" s="1114" t="str">
        <f t="shared" si="168"/>
        <v/>
      </c>
      <c r="V86" s="1114" t="str">
        <f t="shared" ref="V86" si="183">IF($R86="na","",IF($R86=E86,"X",""))</f>
        <v/>
      </c>
      <c r="W86" s="1114" t="str">
        <f t="shared" ref="W86" si="184">IF($R86="na","",IF($R86=F86,"X",""))</f>
        <v/>
      </c>
      <c r="X86" s="1114" t="str">
        <f t="shared" ref="X86" si="185">IF($R86="na","",IF($R86=G86,"X",""))</f>
        <v>X</v>
      </c>
      <c r="Y86" s="1114" t="str">
        <f t="shared" ref="Y86" si="186">IF($R86="na","",IF($R86=H86,"X",""))</f>
        <v/>
      </c>
      <c r="Z86" s="1114" t="str">
        <f t="shared" ref="Z86" si="187">IF($R86="na","",IF($R86=J86,"X",""))</f>
        <v/>
      </c>
      <c r="AA86" s="1114" t="str">
        <f t="shared" ref="AA86" si="188">IF($R86="na","",IF($R86=N86,"X",""))</f>
        <v/>
      </c>
      <c r="AB86" s="1704" t="str">
        <f t="shared" si="175"/>
        <v/>
      </c>
      <c r="AC86" s="1115" t="str">
        <f t="shared" ref="AC86" si="189">IF(OR($R86="na",N86="na"),"",IF($R86=10*N86,"X",""))</f>
        <v/>
      </c>
      <c r="AE86" s="985"/>
      <c r="AG86" s="130" t="str">
        <f>IF(R86=J86,"X","")</f>
        <v/>
      </c>
    </row>
    <row r="87" spans="1:33" s="130" customFormat="1" ht="13.9" customHeight="1" x14ac:dyDescent="0.25">
      <c r="A87" s="847">
        <f>Chem!A87</f>
        <v>85</v>
      </c>
      <c r="B87" s="856" t="str">
        <f>Chem!B87</f>
        <v xml:space="preserve">Bis(2-chloro-1-methylethyl)ether </v>
      </c>
      <c r="C87" s="394" t="s">
        <v>232</v>
      </c>
      <c r="D87" s="338" t="s">
        <v>232</v>
      </c>
      <c r="E87" s="394">
        <v>900</v>
      </c>
      <c r="F87" s="394">
        <v>900</v>
      </c>
      <c r="G87" s="552">
        <v>4000</v>
      </c>
      <c r="H87" s="387" t="s">
        <v>232</v>
      </c>
      <c r="I87" s="338">
        <f t="shared" si="159"/>
        <v>900</v>
      </c>
      <c r="J87" s="407">
        <f>'GW-Eq'!I87</f>
        <v>11626.699885809197</v>
      </c>
      <c r="K87" s="407">
        <f t="shared" si="160"/>
        <v>7.7408035714285714E-2</v>
      </c>
      <c r="L87" s="407" t="str">
        <f t="shared" si="161"/>
        <v>no</v>
      </c>
      <c r="M87" s="407">
        <f t="shared" si="162"/>
        <v>900</v>
      </c>
      <c r="N87" s="217">
        <f>'GW-Eq'!J87</f>
        <v>10.380982040901065</v>
      </c>
      <c r="O87" s="217">
        <f t="shared" si="163"/>
        <v>86.697000000000031</v>
      </c>
      <c r="P87" s="217" t="str">
        <f t="shared" si="164"/>
        <v>YES</v>
      </c>
      <c r="Q87" s="217">
        <f t="shared" si="165"/>
        <v>103.80982040901065</v>
      </c>
      <c r="R87" s="1056">
        <f t="shared" si="166"/>
        <v>103.80982040901065</v>
      </c>
      <c r="T87" s="1113" t="str">
        <f t="shared" si="167"/>
        <v/>
      </c>
      <c r="U87" s="1114" t="str">
        <f t="shared" si="168"/>
        <v/>
      </c>
      <c r="V87" s="1114" t="str">
        <f t="shared" si="169"/>
        <v/>
      </c>
      <c r="W87" s="1114" t="str">
        <f t="shared" si="170"/>
        <v/>
      </c>
      <c r="X87" s="1114" t="str">
        <f t="shared" si="171"/>
        <v/>
      </c>
      <c r="Y87" s="1114" t="str">
        <f t="shared" si="172"/>
        <v/>
      </c>
      <c r="Z87" s="1114" t="str">
        <f t="shared" si="173"/>
        <v/>
      </c>
      <c r="AA87" s="1114" t="str">
        <f t="shared" si="174"/>
        <v/>
      </c>
      <c r="AB87" s="1704" t="str">
        <f t="shared" si="175"/>
        <v/>
      </c>
      <c r="AC87" s="1115" t="str">
        <f t="shared" si="176"/>
        <v>X</v>
      </c>
      <c r="AE87" s="985"/>
      <c r="AG87" s="130" t="str">
        <f>IF(R87=J87,"X","")</f>
        <v/>
      </c>
    </row>
    <row r="88" spans="1:33" s="130" customFormat="1" ht="13.9" customHeight="1" x14ac:dyDescent="0.25">
      <c r="A88" s="847">
        <f>Chem!A88</f>
        <v>86</v>
      </c>
      <c r="B88" s="856" t="str">
        <f>Chem!B88</f>
        <v>2,6-Bis(1,1-dimethylethyl) phenol</v>
      </c>
      <c r="C88" s="390" t="s">
        <v>232</v>
      </c>
      <c r="D88" s="339" t="s">
        <v>232</v>
      </c>
      <c r="E88" s="390" t="s">
        <v>232</v>
      </c>
      <c r="F88" s="390" t="s">
        <v>232</v>
      </c>
      <c r="G88" s="552" t="s">
        <v>232</v>
      </c>
      <c r="H88" s="387" t="s">
        <v>232</v>
      </c>
      <c r="I88" s="339" t="str">
        <f t="shared" si="159"/>
        <v>na</v>
      </c>
      <c r="J88" s="402" t="str">
        <f>'GW-Eq'!I88</f>
        <v>na</v>
      </c>
      <c r="K88" s="402" t="str">
        <f t="shared" si="160"/>
        <v>na</v>
      </c>
      <c r="L88" s="402" t="str">
        <f t="shared" si="161"/>
        <v>na</v>
      </c>
      <c r="M88" s="402" t="str">
        <f t="shared" si="162"/>
        <v>na</v>
      </c>
      <c r="N88" s="288" t="str">
        <f>'GW-Eq'!J88</f>
        <v>na</v>
      </c>
      <c r="O88" s="288" t="str">
        <f t="shared" si="163"/>
        <v>na</v>
      </c>
      <c r="P88" s="288" t="str">
        <f t="shared" si="164"/>
        <v>na</v>
      </c>
      <c r="Q88" s="288" t="str">
        <f t="shared" si="165"/>
        <v>na</v>
      </c>
      <c r="R88" s="1059" t="str">
        <f t="shared" si="166"/>
        <v>na</v>
      </c>
      <c r="T88" s="1113" t="str">
        <f t="shared" si="167"/>
        <v/>
      </c>
      <c r="U88" s="1114" t="str">
        <f t="shared" si="168"/>
        <v/>
      </c>
      <c r="V88" s="1114" t="str">
        <f t="shared" si="169"/>
        <v/>
      </c>
      <c r="W88" s="1114" t="str">
        <f t="shared" si="170"/>
        <v/>
      </c>
      <c r="X88" s="1114" t="str">
        <f t="shared" si="171"/>
        <v/>
      </c>
      <c r="Y88" s="1114" t="str">
        <f t="shared" si="172"/>
        <v/>
      </c>
      <c r="Z88" s="1114" t="str">
        <f t="shared" si="173"/>
        <v/>
      </c>
      <c r="AA88" s="1114" t="str">
        <f t="shared" si="174"/>
        <v/>
      </c>
      <c r="AB88" s="1704" t="str">
        <f t="shared" si="175"/>
        <v/>
      </c>
      <c r="AC88" s="1115" t="str">
        <f t="shared" si="176"/>
        <v/>
      </c>
      <c r="AE88" s="985"/>
    </row>
    <row r="89" spans="1:33" s="130" customFormat="1" ht="13.9" customHeight="1" x14ac:dyDescent="0.25">
      <c r="A89" s="847">
        <f>Chem!A89</f>
        <v>87</v>
      </c>
      <c r="B89" s="856" t="str">
        <f>Chem!B89</f>
        <v>Bis(2-ethylhexyl) phthalate</v>
      </c>
      <c r="C89" s="394" t="s">
        <v>232</v>
      </c>
      <c r="D89" s="338" t="s">
        <v>232</v>
      </c>
      <c r="E89" s="394">
        <v>4.5999999999999999E-2</v>
      </c>
      <c r="F89" s="394">
        <v>4.5999999999999999E-2</v>
      </c>
      <c r="G89" s="552">
        <v>0.37</v>
      </c>
      <c r="H89" s="387">
        <v>360</v>
      </c>
      <c r="I89" s="338">
        <f t="shared" si="159"/>
        <v>4.5999999999999999E-2</v>
      </c>
      <c r="J89" s="407">
        <f>'GW-Eq'!I89</f>
        <v>110.45364891518739</v>
      </c>
      <c r="K89" s="407">
        <f t="shared" si="160"/>
        <v>4.1646428571428569E-4</v>
      </c>
      <c r="L89" s="407" t="str">
        <f t="shared" si="161"/>
        <v>no</v>
      </c>
      <c r="M89" s="407">
        <f t="shared" si="162"/>
        <v>4.5999999999999999E-2</v>
      </c>
      <c r="N89" s="217">
        <f>'GW-Eq'!J89</f>
        <v>0.98619329388560129</v>
      </c>
      <c r="O89" s="217">
        <f t="shared" si="163"/>
        <v>4.6644000000000012E-2</v>
      </c>
      <c r="P89" s="217" t="str">
        <f t="shared" si="164"/>
        <v>no</v>
      </c>
      <c r="Q89" s="217">
        <f t="shared" si="165"/>
        <v>4.5999999999999999E-2</v>
      </c>
      <c r="R89" s="1056">
        <f t="shared" si="166"/>
        <v>4.5999999999999999E-2</v>
      </c>
      <c r="T89" s="1113" t="str">
        <f t="shared" si="167"/>
        <v/>
      </c>
      <c r="U89" s="1114" t="str">
        <f t="shared" si="168"/>
        <v/>
      </c>
      <c r="V89" s="1114" t="str">
        <f t="shared" si="169"/>
        <v>X</v>
      </c>
      <c r="W89" s="1114" t="str">
        <f t="shared" si="170"/>
        <v>X</v>
      </c>
      <c r="X89" s="1114" t="str">
        <f t="shared" si="171"/>
        <v/>
      </c>
      <c r="Y89" s="1114" t="str">
        <f t="shared" si="172"/>
        <v/>
      </c>
      <c r="Z89" s="1114" t="str">
        <f t="shared" si="173"/>
        <v/>
      </c>
      <c r="AA89" s="1114" t="str">
        <f t="shared" si="174"/>
        <v/>
      </c>
      <c r="AB89" s="1704" t="str">
        <f t="shared" si="175"/>
        <v/>
      </c>
      <c r="AC89" s="1115" t="str">
        <f t="shared" si="176"/>
        <v/>
      </c>
      <c r="AE89" s="985"/>
      <c r="AG89" s="130" t="str">
        <f>IF(R89=J89,"X","")</f>
        <v/>
      </c>
    </row>
    <row r="90" spans="1:33" s="130" customFormat="1" ht="13.9" customHeight="1" x14ac:dyDescent="0.25">
      <c r="A90" s="847">
        <f>Chem!A90</f>
        <v>88</v>
      </c>
      <c r="B90" s="856" t="str">
        <f>Chem!B90</f>
        <v>4-Bromophenyl phenyl ether</v>
      </c>
      <c r="C90" s="394" t="s">
        <v>232</v>
      </c>
      <c r="D90" s="338" t="s">
        <v>232</v>
      </c>
      <c r="E90" s="394" t="s">
        <v>232</v>
      </c>
      <c r="F90" s="394" t="s">
        <v>232</v>
      </c>
      <c r="G90" s="552" t="s">
        <v>232</v>
      </c>
      <c r="H90" s="387" t="s">
        <v>232</v>
      </c>
      <c r="I90" s="338" t="str">
        <f t="shared" si="159"/>
        <v>na</v>
      </c>
      <c r="J90" s="407" t="str">
        <f>'GW-Eq'!I90</f>
        <v>na</v>
      </c>
      <c r="K90" s="407" t="str">
        <f t="shared" si="160"/>
        <v>na</v>
      </c>
      <c r="L90" s="407" t="str">
        <f t="shared" si="161"/>
        <v>na</v>
      </c>
      <c r="M90" s="407" t="str">
        <f t="shared" si="162"/>
        <v>na</v>
      </c>
      <c r="N90" s="217" t="str">
        <f>'GW-Eq'!J90</f>
        <v>na</v>
      </c>
      <c r="O90" s="217" t="str">
        <f t="shared" si="163"/>
        <v>na</v>
      </c>
      <c r="P90" s="217" t="str">
        <f t="shared" si="164"/>
        <v>na</v>
      </c>
      <c r="Q90" s="217" t="str">
        <f t="shared" si="165"/>
        <v>na</v>
      </c>
      <c r="R90" s="1056" t="str">
        <f t="shared" si="166"/>
        <v>na</v>
      </c>
      <c r="T90" s="1113" t="str">
        <f t="shared" si="167"/>
        <v/>
      </c>
      <c r="U90" s="1114" t="str">
        <f t="shared" si="168"/>
        <v/>
      </c>
      <c r="V90" s="1114" t="str">
        <f t="shared" si="169"/>
        <v/>
      </c>
      <c r="W90" s="1114" t="str">
        <f t="shared" si="170"/>
        <v/>
      </c>
      <c r="X90" s="1114" t="str">
        <f t="shared" si="171"/>
        <v/>
      </c>
      <c r="Y90" s="1114" t="str">
        <f t="shared" si="172"/>
        <v/>
      </c>
      <c r="Z90" s="1114" t="str">
        <f t="shared" si="173"/>
        <v/>
      </c>
      <c r="AA90" s="1114" t="str">
        <f t="shared" si="174"/>
        <v/>
      </c>
      <c r="AB90" s="1704" t="str">
        <f t="shared" si="175"/>
        <v/>
      </c>
      <c r="AC90" s="1115" t="str">
        <f t="shared" si="176"/>
        <v/>
      </c>
      <c r="AE90" s="985"/>
    </row>
    <row r="91" spans="1:33" s="130" customFormat="1" ht="13.9" customHeight="1" x14ac:dyDescent="0.25">
      <c r="A91" s="847">
        <f>Chem!A91</f>
        <v>89</v>
      </c>
      <c r="B91" s="856" t="str">
        <f>Chem!B91</f>
        <v>Butyl benzyl phthalate</v>
      </c>
      <c r="C91" s="394" t="s">
        <v>232</v>
      </c>
      <c r="D91" s="338" t="s">
        <v>232</v>
      </c>
      <c r="E91" s="394">
        <v>1.2999999999999999E-2</v>
      </c>
      <c r="F91" s="394">
        <v>1.2999999999999999E-2</v>
      </c>
      <c r="G91" s="552">
        <v>0.1</v>
      </c>
      <c r="H91" s="387">
        <v>3.4</v>
      </c>
      <c r="I91" s="338">
        <f t="shared" si="159"/>
        <v>1.2999999999999999E-2</v>
      </c>
      <c r="J91" s="407">
        <f>'GW-Eq'!I91</f>
        <v>346.83512944382511</v>
      </c>
      <c r="K91" s="407">
        <f t="shared" si="160"/>
        <v>3.748178571428571E-5</v>
      </c>
      <c r="L91" s="407" t="str">
        <f t="shared" si="161"/>
        <v>no</v>
      </c>
      <c r="M91" s="407">
        <f t="shared" si="162"/>
        <v>1.2999999999999999E-2</v>
      </c>
      <c r="N91" s="217">
        <f>'GW-Eq'!J91</f>
        <v>2.281810062130428</v>
      </c>
      <c r="O91" s="217">
        <f t="shared" si="163"/>
        <v>5.6972314285714289E-3</v>
      </c>
      <c r="P91" s="217" t="str">
        <f t="shared" si="164"/>
        <v>no</v>
      </c>
      <c r="Q91" s="217">
        <f t="shared" si="165"/>
        <v>1.2999999999999999E-2</v>
      </c>
      <c r="R91" s="1056">
        <f t="shared" si="166"/>
        <v>1.2999999999999999E-2</v>
      </c>
      <c r="T91" s="1113" t="str">
        <f t="shared" si="167"/>
        <v/>
      </c>
      <c r="U91" s="1114" t="str">
        <f t="shared" si="168"/>
        <v/>
      </c>
      <c r="V91" s="1114" t="str">
        <f t="shared" si="169"/>
        <v>X</v>
      </c>
      <c r="W91" s="1114" t="str">
        <f t="shared" si="170"/>
        <v>X</v>
      </c>
      <c r="X91" s="1114" t="str">
        <f t="shared" si="171"/>
        <v/>
      </c>
      <c r="Y91" s="1114" t="str">
        <f t="shared" si="172"/>
        <v/>
      </c>
      <c r="Z91" s="1114" t="str">
        <f t="shared" si="173"/>
        <v/>
      </c>
      <c r="AA91" s="1114" t="str">
        <f t="shared" si="174"/>
        <v/>
      </c>
      <c r="AB91" s="1704" t="str">
        <f t="shared" si="175"/>
        <v/>
      </c>
      <c r="AC91" s="1115" t="str">
        <f t="shared" si="176"/>
        <v/>
      </c>
      <c r="AE91" s="985"/>
      <c r="AG91" s="130" t="str">
        <f>IF(R91=J91,"X","")</f>
        <v/>
      </c>
    </row>
    <row r="92" spans="1:33" s="130" customFormat="1" ht="13.9" customHeight="1" x14ac:dyDescent="0.25">
      <c r="A92" s="847">
        <f>Chem!A92</f>
        <v>90</v>
      </c>
      <c r="B92" s="856" t="str">
        <f>Chem!B92</f>
        <v>Butyl diphenyl phosphate</v>
      </c>
      <c r="C92" s="394" t="s">
        <v>232</v>
      </c>
      <c r="D92" s="338" t="s">
        <v>232</v>
      </c>
      <c r="E92" s="394" t="s">
        <v>232</v>
      </c>
      <c r="F92" s="394" t="s">
        <v>232</v>
      </c>
      <c r="G92" s="552" t="s">
        <v>232</v>
      </c>
      <c r="H92" s="387" t="s">
        <v>232</v>
      </c>
      <c r="I92" s="338" t="str">
        <f t="shared" si="159"/>
        <v>na</v>
      </c>
      <c r="J92" s="407" t="str">
        <f>'GW-Eq'!I92</f>
        <v>na</v>
      </c>
      <c r="K92" s="407" t="str">
        <f t="shared" si="160"/>
        <v>na</v>
      </c>
      <c r="L92" s="407" t="str">
        <f t="shared" si="161"/>
        <v>na</v>
      </c>
      <c r="M92" s="407" t="str">
        <f t="shared" si="162"/>
        <v>na</v>
      </c>
      <c r="N92" s="217" t="str">
        <f>'GW-Eq'!J92</f>
        <v>na</v>
      </c>
      <c r="O92" s="217" t="str">
        <f t="shared" si="163"/>
        <v>na</v>
      </c>
      <c r="P92" s="217" t="str">
        <f t="shared" si="164"/>
        <v>na</v>
      </c>
      <c r="Q92" s="217" t="str">
        <f t="shared" si="165"/>
        <v>na</v>
      </c>
      <c r="R92" s="1056" t="str">
        <f t="shared" si="166"/>
        <v>na</v>
      </c>
      <c r="T92" s="1113" t="str">
        <f t="shared" si="167"/>
        <v/>
      </c>
      <c r="U92" s="1114" t="str">
        <f t="shared" si="168"/>
        <v/>
      </c>
      <c r="V92" s="1114" t="str">
        <f t="shared" si="169"/>
        <v/>
      </c>
      <c r="W92" s="1114" t="str">
        <f t="shared" si="170"/>
        <v/>
      </c>
      <c r="X92" s="1114" t="str">
        <f t="shared" si="171"/>
        <v/>
      </c>
      <c r="Y92" s="1114" t="str">
        <f t="shared" si="172"/>
        <v/>
      </c>
      <c r="Z92" s="1114" t="str">
        <f t="shared" si="173"/>
        <v/>
      </c>
      <c r="AA92" s="1114" t="str">
        <f t="shared" si="174"/>
        <v/>
      </c>
      <c r="AB92" s="1704" t="str">
        <f t="shared" si="175"/>
        <v/>
      </c>
      <c r="AC92" s="1115" t="str">
        <f t="shared" si="176"/>
        <v/>
      </c>
      <c r="AE92" s="985"/>
    </row>
    <row r="93" spans="1:33" s="130" customFormat="1" ht="13.9" customHeight="1" x14ac:dyDescent="0.25">
      <c r="A93" s="847">
        <f>Chem!A93</f>
        <v>91</v>
      </c>
      <c r="B93" s="856" t="str">
        <f>Chem!B93</f>
        <v>Carbazole</v>
      </c>
      <c r="C93" s="394" t="s">
        <v>232</v>
      </c>
      <c r="D93" s="338" t="s">
        <v>232</v>
      </c>
      <c r="E93" s="394" t="s">
        <v>232</v>
      </c>
      <c r="F93" s="394" t="s">
        <v>232</v>
      </c>
      <c r="G93" s="552" t="s">
        <v>232</v>
      </c>
      <c r="H93" s="387" t="s">
        <v>232</v>
      </c>
      <c r="I93" s="338" t="str">
        <f t="shared" si="159"/>
        <v>na</v>
      </c>
      <c r="J93" s="407" t="str">
        <f>'GW-Eq'!I93</f>
        <v>na</v>
      </c>
      <c r="K93" s="407" t="str">
        <f t="shared" si="160"/>
        <v>na</v>
      </c>
      <c r="L93" s="407" t="str">
        <f t="shared" si="161"/>
        <v>na</v>
      </c>
      <c r="M93" s="407" t="str">
        <f t="shared" si="162"/>
        <v>na</v>
      </c>
      <c r="N93" s="217" t="str">
        <f>'GW-Eq'!J93</f>
        <v>na</v>
      </c>
      <c r="O93" s="217" t="str">
        <f t="shared" si="163"/>
        <v>na</v>
      </c>
      <c r="P93" s="217" t="str">
        <f t="shared" si="164"/>
        <v>na</v>
      </c>
      <c r="Q93" s="217" t="str">
        <f t="shared" si="165"/>
        <v>na</v>
      </c>
      <c r="R93" s="1056" t="str">
        <f t="shared" si="166"/>
        <v>na</v>
      </c>
      <c r="T93" s="1113" t="str">
        <f t="shared" si="167"/>
        <v/>
      </c>
      <c r="U93" s="1114" t="str">
        <f t="shared" si="168"/>
        <v/>
      </c>
      <c r="V93" s="1114" t="str">
        <f t="shared" si="169"/>
        <v/>
      </c>
      <c r="W93" s="1114" t="str">
        <f t="shared" si="170"/>
        <v/>
      </c>
      <c r="X93" s="1114" t="str">
        <f t="shared" si="171"/>
        <v/>
      </c>
      <c r="Y93" s="1114" t="str">
        <f t="shared" si="172"/>
        <v/>
      </c>
      <c r="Z93" s="1114" t="str">
        <f t="shared" si="173"/>
        <v/>
      </c>
      <c r="AA93" s="1114" t="str">
        <f t="shared" si="174"/>
        <v/>
      </c>
      <c r="AB93" s="1704" t="str">
        <f t="shared" si="175"/>
        <v/>
      </c>
      <c r="AC93" s="1115" t="str">
        <f t="shared" si="176"/>
        <v/>
      </c>
      <c r="AE93" s="985"/>
    </row>
    <row r="94" spans="1:33" s="130" customFormat="1" ht="13.9" customHeight="1" x14ac:dyDescent="0.25">
      <c r="A94" s="847">
        <f>Chem!A94</f>
        <v>92</v>
      </c>
      <c r="B94" s="856" t="str">
        <f>Chem!B94</f>
        <v>4-Chloroaniline</v>
      </c>
      <c r="C94" s="394" t="s">
        <v>232</v>
      </c>
      <c r="D94" s="338" t="s">
        <v>232</v>
      </c>
      <c r="E94" s="394" t="s">
        <v>232</v>
      </c>
      <c r="F94" s="394" t="s">
        <v>232</v>
      </c>
      <c r="G94" s="552" t="s">
        <v>232</v>
      </c>
      <c r="H94" s="387" t="s">
        <v>232</v>
      </c>
      <c r="I94" s="338" t="str">
        <f t="shared" si="159"/>
        <v>na</v>
      </c>
      <c r="J94" s="407" t="str">
        <f>'GW-Eq'!I94</f>
        <v>na</v>
      </c>
      <c r="K94" s="407" t="str">
        <f t="shared" si="160"/>
        <v>na</v>
      </c>
      <c r="L94" s="407" t="str">
        <f t="shared" si="161"/>
        <v>na</v>
      </c>
      <c r="M94" s="407" t="str">
        <f t="shared" si="162"/>
        <v>na</v>
      </c>
      <c r="N94" s="217" t="str">
        <f>'GW-Eq'!J94</f>
        <v>na</v>
      </c>
      <c r="O94" s="217" t="str">
        <f t="shared" si="163"/>
        <v>na</v>
      </c>
      <c r="P94" s="217" t="str">
        <f t="shared" si="164"/>
        <v>na</v>
      </c>
      <c r="Q94" s="217" t="str">
        <f t="shared" si="165"/>
        <v>na</v>
      </c>
      <c r="R94" s="1056" t="str">
        <f t="shared" si="166"/>
        <v>na</v>
      </c>
      <c r="T94" s="1113" t="str">
        <f t="shared" si="167"/>
        <v/>
      </c>
      <c r="U94" s="1114" t="str">
        <f t="shared" si="168"/>
        <v/>
      </c>
      <c r="V94" s="1114" t="str">
        <f t="shared" si="169"/>
        <v/>
      </c>
      <c r="W94" s="1114" t="str">
        <f t="shared" si="170"/>
        <v/>
      </c>
      <c r="X94" s="1114" t="str">
        <f t="shared" si="171"/>
        <v/>
      </c>
      <c r="Y94" s="1114" t="str">
        <f t="shared" si="172"/>
        <v/>
      </c>
      <c r="Z94" s="1114" t="str">
        <f t="shared" si="173"/>
        <v/>
      </c>
      <c r="AA94" s="1114" t="str">
        <f t="shared" si="174"/>
        <v/>
      </c>
      <c r="AB94" s="1704" t="str">
        <f t="shared" si="175"/>
        <v/>
      </c>
      <c r="AC94" s="1115" t="str">
        <f t="shared" si="176"/>
        <v/>
      </c>
      <c r="AE94" s="985"/>
    </row>
    <row r="95" spans="1:33" s="130" customFormat="1" ht="13.9" customHeight="1" x14ac:dyDescent="0.25">
      <c r="A95" s="847">
        <f>Chem!A95</f>
        <v>93</v>
      </c>
      <c r="B95" s="856" t="str">
        <f>Chem!B95</f>
        <v>4-Chloro-3-methylphenol (chlorocresol)</v>
      </c>
      <c r="C95" s="390" t="s">
        <v>232</v>
      </c>
      <c r="D95" s="339" t="s">
        <v>232</v>
      </c>
      <c r="E95" s="390">
        <v>36</v>
      </c>
      <c r="F95" s="390" t="s">
        <v>232</v>
      </c>
      <c r="G95" s="557">
        <v>2000</v>
      </c>
      <c r="H95" s="387" t="s">
        <v>232</v>
      </c>
      <c r="I95" s="339">
        <f t="shared" si="159"/>
        <v>36</v>
      </c>
      <c r="J95" s="402" t="str">
        <f>'GW-Eq'!I95</f>
        <v>na</v>
      </c>
      <c r="K95" s="402" t="str">
        <f t="shared" si="160"/>
        <v>na</v>
      </c>
      <c r="L95" s="402" t="str">
        <f t="shared" si="161"/>
        <v>na</v>
      </c>
      <c r="M95" s="402">
        <f t="shared" si="162"/>
        <v>36</v>
      </c>
      <c r="N95" s="288" t="str">
        <f>'GW-Eq'!J95</f>
        <v>na</v>
      </c>
      <c r="O95" s="288" t="str">
        <f t="shared" si="163"/>
        <v>na</v>
      </c>
      <c r="P95" s="288" t="str">
        <f t="shared" si="164"/>
        <v>na</v>
      </c>
      <c r="Q95" s="288" t="str">
        <f t="shared" si="165"/>
        <v>na</v>
      </c>
      <c r="R95" s="1059">
        <f t="shared" si="166"/>
        <v>36</v>
      </c>
      <c r="T95" s="1113" t="str">
        <f t="shared" si="167"/>
        <v/>
      </c>
      <c r="U95" s="1114" t="str">
        <f t="shared" si="168"/>
        <v/>
      </c>
      <c r="V95" s="1114" t="str">
        <f t="shared" si="169"/>
        <v>X</v>
      </c>
      <c r="W95" s="1114" t="str">
        <f t="shared" si="170"/>
        <v/>
      </c>
      <c r="X95" s="1114" t="str">
        <f t="shared" si="171"/>
        <v/>
      </c>
      <c r="Y95" s="1114" t="str">
        <f t="shared" si="172"/>
        <v/>
      </c>
      <c r="Z95" s="1114" t="str">
        <f t="shared" si="173"/>
        <v/>
      </c>
      <c r="AA95" s="1114" t="str">
        <f t="shared" si="174"/>
        <v/>
      </c>
      <c r="AB95" s="1704" t="str">
        <f t="shared" si="175"/>
        <v/>
      </c>
      <c r="AC95" s="1115" t="str">
        <f t="shared" si="176"/>
        <v/>
      </c>
      <c r="AE95" s="985"/>
      <c r="AG95" s="130" t="str">
        <f>IF(R95=J95,"X","")</f>
        <v/>
      </c>
    </row>
    <row r="96" spans="1:33" s="130" customFormat="1" ht="13.9" customHeight="1" x14ac:dyDescent="0.25">
      <c r="A96" s="847">
        <f>Chem!A96</f>
        <v>94</v>
      </c>
      <c r="B96" s="856" t="str">
        <f>Chem!B96</f>
        <v>2-Chloronaphthalene (beta-)</v>
      </c>
      <c r="C96" s="394" t="s">
        <v>232</v>
      </c>
      <c r="D96" s="338" t="s">
        <v>232</v>
      </c>
      <c r="E96" s="394">
        <v>100</v>
      </c>
      <c r="F96" s="394">
        <v>100</v>
      </c>
      <c r="G96" s="552">
        <v>1000</v>
      </c>
      <c r="H96" s="387" t="s">
        <v>232</v>
      </c>
      <c r="I96" s="338">
        <f t="shared" si="159"/>
        <v>100</v>
      </c>
      <c r="J96" s="407">
        <f>'GW-Eq'!I96</f>
        <v>284.33612592028436</v>
      </c>
      <c r="K96" s="407">
        <f t="shared" si="160"/>
        <v>0.35169642857142852</v>
      </c>
      <c r="L96" s="407" t="str">
        <f t="shared" si="161"/>
        <v>no</v>
      </c>
      <c r="M96" s="407">
        <f t="shared" si="162"/>
        <v>100</v>
      </c>
      <c r="N96" s="217" t="str">
        <f>'GW-Eq'!J96</f>
        <v>na</v>
      </c>
      <c r="O96" s="217" t="str">
        <f t="shared" si="163"/>
        <v>na</v>
      </c>
      <c r="P96" s="217" t="str">
        <f t="shared" si="164"/>
        <v>na</v>
      </c>
      <c r="Q96" s="217" t="str">
        <f t="shared" si="165"/>
        <v>na</v>
      </c>
      <c r="R96" s="1056">
        <f t="shared" si="166"/>
        <v>100</v>
      </c>
      <c r="T96" s="1113" t="str">
        <f t="shared" si="167"/>
        <v/>
      </c>
      <c r="U96" s="1114" t="str">
        <f t="shared" si="168"/>
        <v/>
      </c>
      <c r="V96" s="1114" t="str">
        <f t="shared" si="169"/>
        <v>X</v>
      </c>
      <c r="W96" s="1114" t="str">
        <f t="shared" si="170"/>
        <v>X</v>
      </c>
      <c r="X96" s="1114" t="str">
        <f t="shared" si="171"/>
        <v/>
      </c>
      <c r="Y96" s="1114" t="str">
        <f t="shared" si="172"/>
        <v/>
      </c>
      <c r="Z96" s="1114" t="str">
        <f t="shared" si="173"/>
        <v/>
      </c>
      <c r="AA96" s="1114" t="str">
        <f t="shared" si="174"/>
        <v/>
      </c>
      <c r="AB96" s="1704" t="str">
        <f t="shared" si="175"/>
        <v/>
      </c>
      <c r="AC96" s="1115" t="str">
        <f t="shared" si="176"/>
        <v/>
      </c>
      <c r="AE96" s="985"/>
      <c r="AG96" s="130" t="str">
        <f>IF(R96=J96,"X","")</f>
        <v/>
      </c>
    </row>
    <row r="97" spans="1:33" s="130" customFormat="1" ht="13.9" customHeight="1" x14ac:dyDescent="0.25">
      <c r="A97" s="847">
        <f>Chem!A97</f>
        <v>95</v>
      </c>
      <c r="B97" s="856" t="str">
        <f>Chem!B97</f>
        <v>2-Chlorophenol</v>
      </c>
      <c r="C97" s="390" t="s">
        <v>232</v>
      </c>
      <c r="D97" s="339" t="s">
        <v>232</v>
      </c>
      <c r="E97" s="390">
        <v>17</v>
      </c>
      <c r="F97" s="390" t="s">
        <v>232</v>
      </c>
      <c r="G97" s="552">
        <v>800</v>
      </c>
      <c r="H97" s="387" t="s">
        <v>232</v>
      </c>
      <c r="I97" s="339">
        <f t="shared" si="159"/>
        <v>17</v>
      </c>
      <c r="J97" s="402">
        <f>'GW-Eq'!I97</f>
        <v>26.789131266743208</v>
      </c>
      <c r="K97" s="402">
        <f t="shared" si="160"/>
        <v>0.63458571428571431</v>
      </c>
      <c r="L97" s="402" t="str">
        <f t="shared" si="161"/>
        <v>no</v>
      </c>
      <c r="M97" s="402">
        <f t="shared" si="162"/>
        <v>17</v>
      </c>
      <c r="N97" s="288" t="str">
        <f>'GW-Eq'!J97</f>
        <v>na</v>
      </c>
      <c r="O97" s="288" t="str">
        <f t="shared" si="163"/>
        <v>na</v>
      </c>
      <c r="P97" s="288" t="str">
        <f t="shared" si="164"/>
        <v>na</v>
      </c>
      <c r="Q97" s="288" t="str">
        <f t="shared" si="165"/>
        <v>na</v>
      </c>
      <c r="R97" s="1059">
        <f t="shared" si="166"/>
        <v>17</v>
      </c>
      <c r="T97" s="1113" t="str">
        <f t="shared" si="167"/>
        <v/>
      </c>
      <c r="U97" s="1114" t="str">
        <f t="shared" si="168"/>
        <v/>
      </c>
      <c r="V97" s="1114" t="str">
        <f t="shared" si="169"/>
        <v>X</v>
      </c>
      <c r="W97" s="1114" t="str">
        <f t="shared" si="170"/>
        <v/>
      </c>
      <c r="X97" s="1114" t="str">
        <f t="shared" si="171"/>
        <v/>
      </c>
      <c r="Y97" s="1114" t="str">
        <f t="shared" si="172"/>
        <v/>
      </c>
      <c r="Z97" s="1114" t="str">
        <f t="shared" si="173"/>
        <v/>
      </c>
      <c r="AA97" s="1114" t="str">
        <f t="shared" si="174"/>
        <v/>
      </c>
      <c r="AB97" s="1704" t="str">
        <f t="shared" si="175"/>
        <v/>
      </c>
      <c r="AC97" s="1115" t="str">
        <f t="shared" si="176"/>
        <v/>
      </c>
      <c r="AE97" s="985"/>
      <c r="AG97" s="130" t="str">
        <f>IF(R97=J97,"X","")</f>
        <v/>
      </c>
    </row>
    <row r="98" spans="1:33" s="130" customFormat="1" ht="13.9" customHeight="1" x14ac:dyDescent="0.25">
      <c r="A98" s="847">
        <f>Chem!A98</f>
        <v>96</v>
      </c>
      <c r="B98" s="856" t="str">
        <f>Chem!B98</f>
        <v>4-Chlorophenyl phenyl ether</v>
      </c>
      <c r="C98" s="394" t="s">
        <v>232</v>
      </c>
      <c r="D98" s="338" t="s">
        <v>232</v>
      </c>
      <c r="E98" s="394" t="s">
        <v>232</v>
      </c>
      <c r="F98" s="394" t="s">
        <v>232</v>
      </c>
      <c r="G98" s="552" t="s">
        <v>232</v>
      </c>
      <c r="H98" s="387" t="s">
        <v>232</v>
      </c>
      <c r="I98" s="338" t="str">
        <f t="shared" si="159"/>
        <v>na</v>
      </c>
      <c r="J98" s="407" t="str">
        <f>'GW-Eq'!I98</f>
        <v>na</v>
      </c>
      <c r="K98" s="407" t="str">
        <f t="shared" si="160"/>
        <v>na</v>
      </c>
      <c r="L98" s="407" t="str">
        <f t="shared" si="161"/>
        <v>na</v>
      </c>
      <c r="M98" s="407" t="str">
        <f t="shared" si="162"/>
        <v>na</v>
      </c>
      <c r="N98" s="217" t="str">
        <f>'GW-Eq'!J98</f>
        <v>na</v>
      </c>
      <c r="O98" s="217" t="str">
        <f t="shared" si="163"/>
        <v>na</v>
      </c>
      <c r="P98" s="217" t="str">
        <f t="shared" si="164"/>
        <v>na</v>
      </c>
      <c r="Q98" s="217" t="str">
        <f t="shared" si="165"/>
        <v>na</v>
      </c>
      <c r="R98" s="1056" t="str">
        <f t="shared" si="166"/>
        <v>na</v>
      </c>
      <c r="T98" s="1113" t="str">
        <f t="shared" si="167"/>
        <v/>
      </c>
      <c r="U98" s="1114" t="str">
        <f t="shared" si="168"/>
        <v/>
      </c>
      <c r="V98" s="1114" t="str">
        <f t="shared" si="169"/>
        <v/>
      </c>
      <c r="W98" s="1114" t="str">
        <f t="shared" si="170"/>
        <v/>
      </c>
      <c r="X98" s="1114" t="str">
        <f t="shared" si="171"/>
        <v/>
      </c>
      <c r="Y98" s="1114" t="str">
        <f t="shared" si="172"/>
        <v/>
      </c>
      <c r="Z98" s="1114" t="str">
        <f t="shared" si="173"/>
        <v/>
      </c>
      <c r="AA98" s="1114" t="str">
        <f t="shared" si="174"/>
        <v/>
      </c>
      <c r="AB98" s="1704" t="str">
        <f t="shared" si="175"/>
        <v/>
      </c>
      <c r="AC98" s="1115" t="str">
        <f t="shared" si="176"/>
        <v/>
      </c>
      <c r="AE98" s="985"/>
    </row>
    <row r="99" spans="1:33" s="130" customFormat="1" ht="13.9" customHeight="1" x14ac:dyDescent="0.25">
      <c r="A99" s="847">
        <f>Chem!A99</f>
        <v>97</v>
      </c>
      <c r="B99" s="856" t="str">
        <f>Chem!B99</f>
        <v>Dibutyl phthalate</v>
      </c>
      <c r="C99" s="394" t="s">
        <v>232</v>
      </c>
      <c r="D99" s="338" t="s">
        <v>232</v>
      </c>
      <c r="E99" s="394">
        <v>8</v>
      </c>
      <c r="F99" s="394">
        <v>8</v>
      </c>
      <c r="G99" s="552">
        <v>30</v>
      </c>
      <c r="H99" s="387" t="s">
        <v>232</v>
      </c>
      <c r="I99" s="338">
        <f t="shared" si="159"/>
        <v>8</v>
      </c>
      <c r="J99" s="407">
        <f>'GW-Eq'!I99</f>
        <v>806.68395275136845</v>
      </c>
      <c r="K99" s="407">
        <f t="shared" si="160"/>
        <v>9.917142857142857E-3</v>
      </c>
      <c r="L99" s="407" t="str">
        <f t="shared" si="161"/>
        <v>no</v>
      </c>
      <c r="M99" s="407">
        <f t="shared" si="162"/>
        <v>8</v>
      </c>
      <c r="N99" s="217" t="str">
        <f>'GW-Eq'!J99</f>
        <v>na</v>
      </c>
      <c r="O99" s="217" t="str">
        <f t="shared" si="163"/>
        <v>na</v>
      </c>
      <c r="P99" s="217" t="str">
        <f t="shared" si="164"/>
        <v>na</v>
      </c>
      <c r="Q99" s="217" t="str">
        <f t="shared" si="165"/>
        <v>na</v>
      </c>
      <c r="R99" s="1056">
        <f t="shared" si="166"/>
        <v>8</v>
      </c>
      <c r="T99" s="1113" t="str">
        <f t="shared" si="167"/>
        <v/>
      </c>
      <c r="U99" s="1114" t="str">
        <f t="shared" si="168"/>
        <v/>
      </c>
      <c r="V99" s="1114" t="str">
        <f t="shared" si="169"/>
        <v>X</v>
      </c>
      <c r="W99" s="1114" t="str">
        <f t="shared" si="170"/>
        <v>X</v>
      </c>
      <c r="X99" s="1114" t="str">
        <f t="shared" si="171"/>
        <v/>
      </c>
      <c r="Y99" s="1114" t="str">
        <f t="shared" si="172"/>
        <v/>
      </c>
      <c r="Z99" s="1114" t="str">
        <f t="shared" si="173"/>
        <v/>
      </c>
      <c r="AA99" s="1114" t="str">
        <f t="shared" si="174"/>
        <v/>
      </c>
      <c r="AB99" s="1704" t="str">
        <f t="shared" si="175"/>
        <v/>
      </c>
      <c r="AC99" s="1115" t="str">
        <f t="shared" si="176"/>
        <v/>
      </c>
      <c r="AE99" s="985"/>
      <c r="AG99" s="130" t="str">
        <f>IF(R99=J99,"X","")</f>
        <v/>
      </c>
    </row>
    <row r="100" spans="1:33" s="130" customFormat="1" ht="13.9" customHeight="1" x14ac:dyDescent="0.25">
      <c r="A100" s="847">
        <f>Chem!A100</f>
        <v>98</v>
      </c>
      <c r="B100" s="856" t="str">
        <f>Chem!B100</f>
        <v>Dibutyl phenyl phosphate</v>
      </c>
      <c r="C100" s="394" t="s">
        <v>232</v>
      </c>
      <c r="D100" s="338" t="s">
        <v>232</v>
      </c>
      <c r="E100" s="394" t="s">
        <v>232</v>
      </c>
      <c r="F100" s="394" t="s">
        <v>232</v>
      </c>
      <c r="G100" s="552" t="s">
        <v>232</v>
      </c>
      <c r="H100" s="387" t="s">
        <v>232</v>
      </c>
      <c r="I100" s="338" t="str">
        <f t="shared" si="159"/>
        <v>na</v>
      </c>
      <c r="J100" s="407" t="str">
        <f>'GW-Eq'!I100</f>
        <v>na</v>
      </c>
      <c r="K100" s="407" t="str">
        <f t="shared" si="160"/>
        <v>na</v>
      </c>
      <c r="L100" s="407" t="str">
        <f t="shared" si="161"/>
        <v>na</v>
      </c>
      <c r="M100" s="407" t="str">
        <f t="shared" si="162"/>
        <v>na</v>
      </c>
      <c r="N100" s="217" t="str">
        <f>'GW-Eq'!J100</f>
        <v>na</v>
      </c>
      <c r="O100" s="217" t="str">
        <f t="shared" si="163"/>
        <v>na</v>
      </c>
      <c r="P100" s="217" t="str">
        <f t="shared" si="164"/>
        <v>na</v>
      </c>
      <c r="Q100" s="217" t="str">
        <f t="shared" si="165"/>
        <v>na</v>
      </c>
      <c r="R100" s="1056" t="str">
        <f t="shared" si="166"/>
        <v>na</v>
      </c>
      <c r="T100" s="1113" t="str">
        <f t="shared" si="167"/>
        <v/>
      </c>
      <c r="U100" s="1114" t="str">
        <f t="shared" si="168"/>
        <v/>
      </c>
      <c r="V100" s="1114" t="str">
        <f t="shared" si="169"/>
        <v/>
      </c>
      <c r="W100" s="1114" t="str">
        <f t="shared" si="170"/>
        <v/>
      </c>
      <c r="X100" s="1114" t="str">
        <f t="shared" si="171"/>
        <v/>
      </c>
      <c r="Y100" s="1114" t="str">
        <f t="shared" si="172"/>
        <v/>
      </c>
      <c r="Z100" s="1114" t="str">
        <f t="shared" si="173"/>
        <v/>
      </c>
      <c r="AA100" s="1114" t="str">
        <f t="shared" si="174"/>
        <v/>
      </c>
      <c r="AB100" s="1704" t="str">
        <f t="shared" si="175"/>
        <v/>
      </c>
      <c r="AC100" s="1115" t="str">
        <f t="shared" si="176"/>
        <v/>
      </c>
      <c r="AE100" s="985"/>
    </row>
    <row r="101" spans="1:33" s="130" customFormat="1" ht="13.9" customHeight="1" x14ac:dyDescent="0.25">
      <c r="A101" s="847">
        <f>Chem!A101</f>
        <v>99</v>
      </c>
      <c r="B101" s="856" t="str">
        <f>Chem!B101</f>
        <v>1,2-Dichlorobenzene</v>
      </c>
      <c r="C101" s="394" t="s">
        <v>232</v>
      </c>
      <c r="D101" s="338" t="s">
        <v>232</v>
      </c>
      <c r="E101" s="394">
        <v>800</v>
      </c>
      <c r="F101" s="394">
        <v>800</v>
      </c>
      <c r="G101" s="552">
        <v>3000</v>
      </c>
      <c r="H101" s="387" t="s">
        <v>232</v>
      </c>
      <c r="I101" s="338">
        <f t="shared" si="159"/>
        <v>800</v>
      </c>
      <c r="J101" s="407">
        <f>'GW-Eq'!I101</f>
        <v>1162.1472053126729</v>
      </c>
      <c r="K101" s="407">
        <f t="shared" si="160"/>
        <v>0.68838095238095243</v>
      </c>
      <c r="L101" s="407" t="str">
        <f t="shared" si="161"/>
        <v>no</v>
      </c>
      <c r="M101" s="407">
        <f t="shared" si="162"/>
        <v>800</v>
      </c>
      <c r="N101" s="217" t="str">
        <f>'GW-Eq'!J101</f>
        <v>na</v>
      </c>
      <c r="O101" s="217" t="str">
        <f t="shared" si="163"/>
        <v>na</v>
      </c>
      <c r="P101" s="217" t="str">
        <f t="shared" si="164"/>
        <v>na</v>
      </c>
      <c r="Q101" s="217" t="str">
        <f t="shared" si="165"/>
        <v>na</v>
      </c>
      <c r="R101" s="1056">
        <f t="shared" si="166"/>
        <v>800</v>
      </c>
      <c r="T101" s="1113" t="str">
        <f t="shared" si="167"/>
        <v/>
      </c>
      <c r="U101" s="1114" t="str">
        <f t="shared" si="168"/>
        <v/>
      </c>
      <c r="V101" s="1114" t="str">
        <f t="shared" si="169"/>
        <v>X</v>
      </c>
      <c r="W101" s="1114" t="str">
        <f t="shared" si="170"/>
        <v>X</v>
      </c>
      <c r="X101" s="1114" t="str">
        <f t="shared" si="171"/>
        <v/>
      </c>
      <c r="Y101" s="1114" t="str">
        <f t="shared" si="172"/>
        <v/>
      </c>
      <c r="Z101" s="1114" t="str">
        <f t="shared" si="173"/>
        <v/>
      </c>
      <c r="AA101" s="1114" t="str">
        <f t="shared" si="174"/>
        <v/>
      </c>
      <c r="AB101" s="1704" t="str">
        <f t="shared" si="175"/>
        <v/>
      </c>
      <c r="AC101" s="1115" t="str">
        <f t="shared" si="176"/>
        <v/>
      </c>
      <c r="AE101" s="985"/>
      <c r="AG101" s="130" t="str">
        <f>IF(R101=J101,"X","")</f>
        <v/>
      </c>
    </row>
    <row r="102" spans="1:33" s="130" customFormat="1" ht="13.9" customHeight="1" x14ac:dyDescent="0.25">
      <c r="A102" s="847">
        <f>Chem!A102</f>
        <v>100</v>
      </c>
      <c r="B102" s="856" t="str">
        <f>Chem!B102</f>
        <v>1,3-Dichlorobenzene</v>
      </c>
      <c r="C102" s="394" t="s">
        <v>232</v>
      </c>
      <c r="D102" s="338" t="s">
        <v>232</v>
      </c>
      <c r="E102" s="394">
        <v>2</v>
      </c>
      <c r="F102" s="394">
        <v>2</v>
      </c>
      <c r="G102" s="552">
        <v>10</v>
      </c>
      <c r="H102" s="387" t="s">
        <v>232</v>
      </c>
      <c r="I102" s="338">
        <f t="shared" si="159"/>
        <v>2</v>
      </c>
      <c r="J102" s="407" t="str">
        <f>'GW-Eq'!I102</f>
        <v>na</v>
      </c>
      <c r="K102" s="407" t="str">
        <f t="shared" si="160"/>
        <v>na</v>
      </c>
      <c r="L102" s="407" t="str">
        <f t="shared" si="161"/>
        <v>na</v>
      </c>
      <c r="M102" s="407">
        <f t="shared" si="162"/>
        <v>2</v>
      </c>
      <c r="N102" s="217" t="str">
        <f>'GW-Eq'!J102</f>
        <v>na</v>
      </c>
      <c r="O102" s="217" t="str">
        <f t="shared" si="163"/>
        <v>na</v>
      </c>
      <c r="P102" s="217" t="str">
        <f t="shared" si="164"/>
        <v>na</v>
      </c>
      <c r="Q102" s="217" t="str">
        <f t="shared" si="165"/>
        <v>na</v>
      </c>
      <c r="R102" s="1056">
        <f t="shared" si="166"/>
        <v>2</v>
      </c>
      <c r="T102" s="1113" t="str">
        <f t="shared" si="167"/>
        <v/>
      </c>
      <c r="U102" s="1114" t="str">
        <f t="shared" si="168"/>
        <v/>
      </c>
      <c r="V102" s="1114" t="str">
        <f t="shared" si="169"/>
        <v>X</v>
      </c>
      <c r="W102" s="1114" t="str">
        <f t="shared" si="170"/>
        <v>X</v>
      </c>
      <c r="X102" s="1114" t="str">
        <f t="shared" si="171"/>
        <v/>
      </c>
      <c r="Y102" s="1114" t="str">
        <f t="shared" si="172"/>
        <v/>
      </c>
      <c r="Z102" s="1114" t="str">
        <f t="shared" si="173"/>
        <v/>
      </c>
      <c r="AA102" s="1114" t="str">
        <f t="shared" si="174"/>
        <v/>
      </c>
      <c r="AB102" s="1704" t="str">
        <f t="shared" si="175"/>
        <v/>
      </c>
      <c r="AC102" s="1115" t="str">
        <f t="shared" si="176"/>
        <v/>
      </c>
      <c r="AE102" s="985"/>
      <c r="AG102" s="130" t="str">
        <f>IF(R102=J102,"X","")</f>
        <v/>
      </c>
    </row>
    <row r="103" spans="1:33" s="130" customFormat="1" ht="13.9" customHeight="1" x14ac:dyDescent="0.25">
      <c r="A103" s="847">
        <f>Chem!A103</f>
        <v>101</v>
      </c>
      <c r="B103" s="856" t="str">
        <f>Chem!B103</f>
        <v>1,4-Dichlorobenzene</v>
      </c>
      <c r="C103" s="394" t="s">
        <v>232</v>
      </c>
      <c r="D103" s="338" t="s">
        <v>232</v>
      </c>
      <c r="E103" s="394">
        <v>200</v>
      </c>
      <c r="F103" s="394">
        <v>200</v>
      </c>
      <c r="G103" s="552">
        <v>900</v>
      </c>
      <c r="H103" s="387" t="s">
        <v>232</v>
      </c>
      <c r="I103" s="338">
        <f t="shared" si="159"/>
        <v>200</v>
      </c>
      <c r="J103" s="407">
        <f>'GW-Eq'!I103</f>
        <v>903.8922707987457</v>
      </c>
      <c r="K103" s="407">
        <f t="shared" si="160"/>
        <v>0.22126530612244896</v>
      </c>
      <c r="L103" s="407" t="str">
        <f t="shared" si="161"/>
        <v>no</v>
      </c>
      <c r="M103" s="407">
        <f t="shared" si="162"/>
        <v>200</v>
      </c>
      <c r="N103" s="217">
        <f>'GW-Eq'!J103</f>
        <v>5.9781234841186865</v>
      </c>
      <c r="O103" s="217">
        <f t="shared" si="163"/>
        <v>33.455314285714294</v>
      </c>
      <c r="P103" s="217" t="str">
        <f t="shared" si="164"/>
        <v>YES</v>
      </c>
      <c r="Q103" s="217">
        <f t="shared" si="165"/>
        <v>59.781234841186865</v>
      </c>
      <c r="R103" s="1056">
        <f t="shared" si="166"/>
        <v>59.781234841186865</v>
      </c>
      <c r="T103" s="1113" t="str">
        <f t="shared" si="167"/>
        <v/>
      </c>
      <c r="U103" s="1114" t="str">
        <f t="shared" si="168"/>
        <v/>
      </c>
      <c r="V103" s="1114" t="str">
        <f t="shared" si="169"/>
        <v/>
      </c>
      <c r="W103" s="1114" t="str">
        <f t="shared" si="170"/>
        <v/>
      </c>
      <c r="X103" s="1114" t="str">
        <f t="shared" si="171"/>
        <v/>
      </c>
      <c r="Y103" s="1114" t="str">
        <f t="shared" si="172"/>
        <v/>
      </c>
      <c r="Z103" s="1114" t="str">
        <f t="shared" si="173"/>
        <v/>
      </c>
      <c r="AA103" s="1114" t="str">
        <f t="shared" si="174"/>
        <v/>
      </c>
      <c r="AB103" s="1704" t="str">
        <f t="shared" si="175"/>
        <v/>
      </c>
      <c r="AC103" s="1115" t="str">
        <f t="shared" si="176"/>
        <v>X</v>
      </c>
      <c r="AE103" s="985"/>
      <c r="AG103" s="130" t="str">
        <f>IF(R103=J103,"X","")</f>
        <v/>
      </c>
    </row>
    <row r="104" spans="1:33" s="130" customFormat="1" ht="13.9" customHeight="1" x14ac:dyDescent="0.25">
      <c r="A104" s="847">
        <f>Chem!A104</f>
        <v>102</v>
      </c>
      <c r="B104" s="856" t="str">
        <f>Chem!B104</f>
        <v>3,3'-Dichlorobenzidine</v>
      </c>
      <c r="C104" s="394" t="s">
        <v>232</v>
      </c>
      <c r="D104" s="338" t="s">
        <v>232</v>
      </c>
      <c r="E104" s="394">
        <v>3.3E-3</v>
      </c>
      <c r="F104" s="394" t="s">
        <v>232</v>
      </c>
      <c r="G104" s="552">
        <v>0.15</v>
      </c>
      <c r="H104" s="387" t="s">
        <v>232</v>
      </c>
      <c r="I104" s="338">
        <f t="shared" si="159"/>
        <v>3.3E-3</v>
      </c>
      <c r="J104" s="407" t="str">
        <f>'GW-Eq'!I104</f>
        <v>na</v>
      </c>
      <c r="K104" s="407" t="str">
        <f t="shared" si="160"/>
        <v>na</v>
      </c>
      <c r="L104" s="407" t="str">
        <f t="shared" si="161"/>
        <v>na</v>
      </c>
      <c r="M104" s="407">
        <f t="shared" si="162"/>
        <v>3.3E-3</v>
      </c>
      <c r="N104" s="217">
        <f>'GW-Eq'!J104</f>
        <v>1.2783987142961499E-2</v>
      </c>
      <c r="O104" s="217">
        <f t="shared" si="163"/>
        <v>0.25813542857142863</v>
      </c>
      <c r="P104" s="217" t="str">
        <f t="shared" si="164"/>
        <v>no</v>
      </c>
      <c r="Q104" s="217">
        <f t="shared" si="165"/>
        <v>3.3E-3</v>
      </c>
      <c r="R104" s="1056">
        <f t="shared" si="166"/>
        <v>3.3E-3</v>
      </c>
      <c r="T104" s="1113" t="str">
        <f t="shared" si="167"/>
        <v/>
      </c>
      <c r="U104" s="1114" t="str">
        <f t="shared" si="168"/>
        <v/>
      </c>
      <c r="V104" s="1114" t="str">
        <f t="shared" si="169"/>
        <v>X</v>
      </c>
      <c r="W104" s="1114" t="str">
        <f t="shared" si="170"/>
        <v/>
      </c>
      <c r="X104" s="1114" t="str">
        <f t="shared" si="171"/>
        <v/>
      </c>
      <c r="Y104" s="1114" t="str">
        <f t="shared" si="172"/>
        <v/>
      </c>
      <c r="Z104" s="1114" t="str">
        <f t="shared" si="173"/>
        <v/>
      </c>
      <c r="AA104" s="1114" t="str">
        <f t="shared" si="174"/>
        <v/>
      </c>
      <c r="AB104" s="1704" t="str">
        <f t="shared" si="175"/>
        <v/>
      </c>
      <c r="AC104" s="1115" t="str">
        <f t="shared" si="176"/>
        <v/>
      </c>
      <c r="AE104" s="985"/>
      <c r="AG104" s="130" t="str">
        <f>IF(R104=J104,"X","")</f>
        <v/>
      </c>
    </row>
    <row r="105" spans="1:33" s="130" customFormat="1" ht="13.9" customHeight="1" x14ac:dyDescent="0.25">
      <c r="A105" s="847">
        <f>Chem!A105</f>
        <v>103</v>
      </c>
      <c r="B105" s="856" t="str">
        <f>Chem!B105</f>
        <v>2,4-Dichlorophenol</v>
      </c>
      <c r="C105" s="390" t="s">
        <v>232</v>
      </c>
      <c r="D105" s="339" t="s">
        <v>232</v>
      </c>
      <c r="E105" s="390">
        <v>10</v>
      </c>
      <c r="F105" s="390">
        <v>10</v>
      </c>
      <c r="G105" s="552">
        <v>60</v>
      </c>
      <c r="H105" s="387" t="s">
        <v>232</v>
      </c>
      <c r="I105" s="339">
        <f t="shared" si="159"/>
        <v>10</v>
      </c>
      <c r="J105" s="402">
        <f>'GW-Eq'!I105</f>
        <v>52.920052920052918</v>
      </c>
      <c r="K105" s="402">
        <f t="shared" si="160"/>
        <v>0.18896428571428572</v>
      </c>
      <c r="L105" s="402" t="str">
        <f t="shared" si="161"/>
        <v>no</v>
      </c>
      <c r="M105" s="402">
        <f t="shared" si="162"/>
        <v>10</v>
      </c>
      <c r="N105" s="288" t="str">
        <f>'GW-Eq'!J105</f>
        <v>na</v>
      </c>
      <c r="O105" s="288" t="str">
        <f t="shared" si="163"/>
        <v>na</v>
      </c>
      <c r="P105" s="288" t="str">
        <f t="shared" si="164"/>
        <v>na</v>
      </c>
      <c r="Q105" s="288" t="str">
        <f t="shared" si="165"/>
        <v>na</v>
      </c>
      <c r="R105" s="1059">
        <f t="shared" si="166"/>
        <v>10</v>
      </c>
      <c r="T105" s="1113" t="str">
        <f t="shared" si="167"/>
        <v/>
      </c>
      <c r="U105" s="1114" t="str">
        <f t="shared" si="168"/>
        <v/>
      </c>
      <c r="V105" s="1114" t="str">
        <f t="shared" si="169"/>
        <v>X</v>
      </c>
      <c r="W105" s="1114" t="str">
        <f t="shared" si="170"/>
        <v>X</v>
      </c>
      <c r="X105" s="1114" t="str">
        <f t="shared" si="171"/>
        <v/>
      </c>
      <c r="Y105" s="1114" t="str">
        <f t="shared" si="172"/>
        <v/>
      </c>
      <c r="Z105" s="1114" t="str">
        <f t="shared" si="173"/>
        <v/>
      </c>
      <c r="AA105" s="1114" t="str">
        <f t="shared" si="174"/>
        <v/>
      </c>
      <c r="AB105" s="1704" t="str">
        <f t="shared" si="175"/>
        <v/>
      </c>
      <c r="AC105" s="1115" t="str">
        <f t="shared" si="176"/>
        <v/>
      </c>
      <c r="AE105" s="985"/>
      <c r="AG105" s="130" t="str">
        <f>IF(R105=J105,"X","")</f>
        <v/>
      </c>
    </row>
    <row r="106" spans="1:33" s="130" customFormat="1" ht="13.9" customHeight="1" x14ac:dyDescent="0.25">
      <c r="A106" s="846">
        <f>Chem!A106</f>
        <v>104</v>
      </c>
      <c r="B106" s="856" t="str">
        <f>Chem!B106</f>
        <v>Di(2-ethylhexyl)adipate</v>
      </c>
      <c r="C106" s="390" t="s">
        <v>232</v>
      </c>
      <c r="D106" s="339" t="s">
        <v>232</v>
      </c>
      <c r="E106" s="339" t="s">
        <v>232</v>
      </c>
      <c r="F106" s="339" t="s">
        <v>232</v>
      </c>
      <c r="G106" s="339" t="s">
        <v>232</v>
      </c>
      <c r="H106" s="387" t="s">
        <v>232</v>
      </c>
      <c r="I106" s="339" t="str">
        <f t="shared" si="159"/>
        <v>na</v>
      </c>
      <c r="J106" s="402" t="str">
        <f>'GW-Eq'!I106</f>
        <v>na</v>
      </c>
      <c r="K106" s="402" t="str">
        <f t="shared" ref="K106" si="190">IF(I106="na","na",IF(J106="na","na",I106/J106))</f>
        <v>na</v>
      </c>
      <c r="L106" s="402" t="str">
        <f t="shared" ref="L106" si="191">IF(K106="na","na",IF(K106&gt;1,"YES","no"))</f>
        <v>na</v>
      </c>
      <c r="M106" s="402" t="str">
        <f t="shared" ref="M106" si="192">IF(L106="YES",J106,IF(ISNUMBER(I106),I106,J106))</f>
        <v>na</v>
      </c>
      <c r="N106" s="288" t="str">
        <f>'GW-Eq'!J106</f>
        <v>na</v>
      </c>
      <c r="O106" s="288" t="str">
        <f t="shared" ref="O106" si="193">IF(I106="na","na",IF(N106="na","na",I106/N106))</f>
        <v>na</v>
      </c>
      <c r="P106" s="288" t="str">
        <f t="shared" ref="P106" si="194">IF(O106="na","na",IF(O106&gt;10,"YES","no"))</f>
        <v>na</v>
      </c>
      <c r="Q106" s="288" t="str">
        <f t="shared" ref="Q106" si="195">IF(P106="YES",10*N106,IF(P106="no",I106,N106))</f>
        <v>na</v>
      </c>
      <c r="R106" s="1059" t="str">
        <f t="shared" si="166"/>
        <v>na</v>
      </c>
      <c r="T106" s="1113" t="str">
        <f t="shared" si="167"/>
        <v/>
      </c>
      <c r="U106" s="1114" t="str">
        <f t="shared" si="168"/>
        <v/>
      </c>
      <c r="V106" s="1114" t="str">
        <f t="shared" ref="V106" si="196">IF($R106="na","",IF($R106=E106,"X",""))</f>
        <v/>
      </c>
      <c r="W106" s="1114" t="str">
        <f t="shared" ref="W106" si="197">IF($R106="na","",IF($R106=F106,"X",""))</f>
        <v/>
      </c>
      <c r="X106" s="1114" t="str">
        <f t="shared" ref="X106" si="198">IF($R106="na","",IF($R106=G106,"X",""))</f>
        <v/>
      </c>
      <c r="Y106" s="1114" t="str">
        <f t="shared" ref="Y106" si="199">IF($R106="na","",IF($R106=H106,"X",""))</f>
        <v/>
      </c>
      <c r="Z106" s="1114" t="str">
        <f t="shared" ref="Z106" si="200">IF($R106="na","",IF($R106=J106,"X",""))</f>
        <v/>
      </c>
      <c r="AA106" s="1114" t="str">
        <f t="shared" ref="AA106" si="201">IF($R106="na","",IF($R106=N106,"X",""))</f>
        <v/>
      </c>
      <c r="AB106" s="1704" t="str">
        <f t="shared" si="175"/>
        <v/>
      </c>
      <c r="AC106" s="1115" t="str">
        <f t="shared" ref="AC106" si="202">IF(OR($R106="na",N106="na"),"",IF($R106=10*N106,"X",""))</f>
        <v/>
      </c>
      <c r="AE106" s="985"/>
    </row>
    <row r="107" spans="1:33" s="130" customFormat="1" ht="13.9" customHeight="1" x14ac:dyDescent="0.25">
      <c r="A107" s="846">
        <f>Chem!A107</f>
        <v>105</v>
      </c>
      <c r="B107" s="856" t="str">
        <f>Chem!B107</f>
        <v>Diethyl phthalate</v>
      </c>
      <c r="C107" s="394" t="s">
        <v>232</v>
      </c>
      <c r="D107" s="338" t="s">
        <v>232</v>
      </c>
      <c r="E107" s="394">
        <v>200</v>
      </c>
      <c r="F107" s="394">
        <v>200</v>
      </c>
      <c r="G107" s="552">
        <v>600</v>
      </c>
      <c r="H107" s="387" t="s">
        <v>232</v>
      </c>
      <c r="I107" s="338">
        <f t="shared" si="159"/>
        <v>200</v>
      </c>
      <c r="J107" s="407">
        <f>'GW-Eq'!I107</f>
        <v>7867.9311556023886</v>
      </c>
      <c r="K107" s="407">
        <f t="shared" si="160"/>
        <v>2.5419642857142856E-2</v>
      </c>
      <c r="L107" s="407" t="str">
        <f t="shared" si="161"/>
        <v>no</v>
      </c>
      <c r="M107" s="407">
        <f t="shared" si="162"/>
        <v>200</v>
      </c>
      <c r="N107" s="217" t="str">
        <f>'GW-Eq'!J107</f>
        <v>na</v>
      </c>
      <c r="O107" s="217" t="str">
        <f t="shared" si="163"/>
        <v>na</v>
      </c>
      <c r="P107" s="217" t="str">
        <f t="shared" si="164"/>
        <v>na</v>
      </c>
      <c r="Q107" s="217" t="str">
        <f t="shared" si="165"/>
        <v>na</v>
      </c>
      <c r="R107" s="1056">
        <f t="shared" si="166"/>
        <v>200</v>
      </c>
      <c r="T107" s="1113" t="str">
        <f t="shared" si="167"/>
        <v/>
      </c>
      <c r="U107" s="1114" t="str">
        <f t="shared" si="168"/>
        <v/>
      </c>
      <c r="V107" s="1114" t="str">
        <f t="shared" si="169"/>
        <v>X</v>
      </c>
      <c r="W107" s="1114" t="str">
        <f t="shared" si="170"/>
        <v>X</v>
      </c>
      <c r="X107" s="1114" t="str">
        <f t="shared" si="171"/>
        <v/>
      </c>
      <c r="Y107" s="1114" t="str">
        <f t="shared" si="172"/>
        <v/>
      </c>
      <c r="Z107" s="1114" t="str">
        <f t="shared" si="173"/>
        <v/>
      </c>
      <c r="AA107" s="1114" t="str">
        <f t="shared" si="174"/>
        <v/>
      </c>
      <c r="AB107" s="1704" t="str">
        <f t="shared" si="175"/>
        <v/>
      </c>
      <c r="AC107" s="1115" t="str">
        <f t="shared" si="176"/>
        <v/>
      </c>
      <c r="AE107" s="985"/>
      <c r="AG107" s="130" t="str">
        <f>IF(R107=J107,"X","")</f>
        <v/>
      </c>
    </row>
    <row r="108" spans="1:33" s="130" customFormat="1" ht="13.9" customHeight="1" x14ac:dyDescent="0.25">
      <c r="A108" s="847">
        <f>Chem!A108</f>
        <v>106</v>
      </c>
      <c r="B108" s="856" t="str">
        <f>Chem!B108</f>
        <v>Dimethyl phthalate</v>
      </c>
      <c r="C108" s="394" t="s">
        <v>232</v>
      </c>
      <c r="D108" s="338" t="s">
        <v>232</v>
      </c>
      <c r="E108" s="394">
        <v>600</v>
      </c>
      <c r="F108" s="394">
        <v>600</v>
      </c>
      <c r="G108" s="552">
        <v>2000</v>
      </c>
      <c r="H108" s="387" t="s">
        <v>232</v>
      </c>
      <c r="I108" s="338">
        <f t="shared" si="159"/>
        <v>600</v>
      </c>
      <c r="J108" s="407" t="str">
        <f>'GW-Eq'!I108</f>
        <v>na</v>
      </c>
      <c r="K108" s="407" t="str">
        <f t="shared" si="160"/>
        <v>na</v>
      </c>
      <c r="L108" s="407" t="str">
        <f t="shared" si="161"/>
        <v>na</v>
      </c>
      <c r="M108" s="407">
        <f t="shared" si="162"/>
        <v>600</v>
      </c>
      <c r="N108" s="217" t="str">
        <f>'GW-Eq'!J108</f>
        <v>na</v>
      </c>
      <c r="O108" s="217" t="str">
        <f t="shared" si="163"/>
        <v>na</v>
      </c>
      <c r="P108" s="217" t="str">
        <f t="shared" si="164"/>
        <v>na</v>
      </c>
      <c r="Q108" s="217" t="str">
        <f t="shared" si="165"/>
        <v>na</v>
      </c>
      <c r="R108" s="1056">
        <f t="shared" si="166"/>
        <v>600</v>
      </c>
      <c r="T108" s="1113" t="str">
        <f t="shared" si="167"/>
        <v/>
      </c>
      <c r="U108" s="1114" t="str">
        <f t="shared" si="168"/>
        <v/>
      </c>
      <c r="V108" s="1114" t="str">
        <f t="shared" si="169"/>
        <v>X</v>
      </c>
      <c r="W108" s="1114" t="str">
        <f t="shared" si="170"/>
        <v>X</v>
      </c>
      <c r="X108" s="1114" t="str">
        <f t="shared" si="171"/>
        <v/>
      </c>
      <c r="Y108" s="1114" t="str">
        <f t="shared" si="172"/>
        <v/>
      </c>
      <c r="Z108" s="1114" t="str">
        <f t="shared" si="173"/>
        <v/>
      </c>
      <c r="AA108" s="1114" t="str">
        <f t="shared" si="174"/>
        <v/>
      </c>
      <c r="AB108" s="1704" t="str">
        <f t="shared" si="175"/>
        <v/>
      </c>
      <c r="AC108" s="1115" t="str">
        <f t="shared" si="176"/>
        <v/>
      </c>
      <c r="AE108" s="985"/>
      <c r="AG108" s="130" t="str">
        <f>IF(R108=J108,"X","")</f>
        <v/>
      </c>
    </row>
    <row r="109" spans="1:33" s="130" customFormat="1" ht="13.9" customHeight="1" x14ac:dyDescent="0.25">
      <c r="A109" s="847">
        <f>Chem!A109</f>
        <v>107</v>
      </c>
      <c r="B109" s="856" t="str">
        <f>Chem!B109</f>
        <v>2,4-Dimethylphenol</v>
      </c>
      <c r="C109" s="394" t="s">
        <v>232</v>
      </c>
      <c r="D109" s="338" t="s">
        <v>232</v>
      </c>
      <c r="E109" s="394">
        <v>97</v>
      </c>
      <c r="F109" s="394" t="s">
        <v>232</v>
      </c>
      <c r="G109" s="552">
        <v>3000</v>
      </c>
      <c r="H109" s="387" t="s">
        <v>232</v>
      </c>
      <c r="I109" s="338">
        <f t="shared" si="159"/>
        <v>97</v>
      </c>
      <c r="J109" s="407">
        <f>'GW-Eq'!I109</f>
        <v>153.08075009567548</v>
      </c>
      <c r="K109" s="407">
        <f t="shared" si="160"/>
        <v>0.63365249999999995</v>
      </c>
      <c r="L109" s="407" t="str">
        <f t="shared" si="161"/>
        <v>no</v>
      </c>
      <c r="M109" s="407">
        <f t="shared" si="162"/>
        <v>97</v>
      </c>
      <c r="N109" s="217" t="str">
        <f>'GW-Eq'!J109</f>
        <v>na</v>
      </c>
      <c r="O109" s="217" t="str">
        <f t="shared" si="163"/>
        <v>na</v>
      </c>
      <c r="P109" s="217" t="str">
        <f t="shared" si="164"/>
        <v>na</v>
      </c>
      <c r="Q109" s="217" t="str">
        <f t="shared" si="165"/>
        <v>na</v>
      </c>
      <c r="R109" s="1056">
        <f t="shared" si="166"/>
        <v>97</v>
      </c>
      <c r="T109" s="1113" t="str">
        <f t="shared" si="167"/>
        <v/>
      </c>
      <c r="U109" s="1114" t="str">
        <f t="shared" si="168"/>
        <v/>
      </c>
      <c r="V109" s="1114" t="str">
        <f t="shared" si="169"/>
        <v>X</v>
      </c>
      <c r="W109" s="1114" t="str">
        <f t="shared" si="170"/>
        <v/>
      </c>
      <c r="X109" s="1114" t="str">
        <f t="shared" si="171"/>
        <v/>
      </c>
      <c r="Y109" s="1114" t="str">
        <f t="shared" si="172"/>
        <v/>
      </c>
      <c r="Z109" s="1114" t="str">
        <f t="shared" si="173"/>
        <v/>
      </c>
      <c r="AA109" s="1114" t="str">
        <f t="shared" si="174"/>
        <v/>
      </c>
      <c r="AB109" s="1704" t="str">
        <f t="shared" si="175"/>
        <v/>
      </c>
      <c r="AC109" s="1115" t="str">
        <f t="shared" si="176"/>
        <v/>
      </c>
      <c r="AE109" s="985"/>
      <c r="AG109" s="130" t="str">
        <f>IF(R109=J109,"X","")</f>
        <v/>
      </c>
    </row>
    <row r="110" spans="1:33" s="130" customFormat="1" ht="13.9" customHeight="1" x14ac:dyDescent="0.25">
      <c r="A110" s="847">
        <f>Chem!A110</f>
        <v>108</v>
      </c>
      <c r="B110" s="856" t="str">
        <f>Chem!B110</f>
        <v>1,2-Dinitrobenzene</v>
      </c>
      <c r="C110" s="394" t="s">
        <v>232</v>
      </c>
      <c r="D110" s="338" t="s">
        <v>232</v>
      </c>
      <c r="E110" s="338" t="s">
        <v>232</v>
      </c>
      <c r="F110" s="338" t="s">
        <v>232</v>
      </c>
      <c r="G110" s="338" t="s">
        <v>232</v>
      </c>
      <c r="H110" s="387" t="s">
        <v>232</v>
      </c>
      <c r="I110" s="338" t="str">
        <f t="shared" si="159"/>
        <v>na</v>
      </c>
      <c r="J110" s="407" t="str">
        <f>'GW-Eq'!I110</f>
        <v>na</v>
      </c>
      <c r="K110" s="407" t="str">
        <f t="shared" ref="K110:K112" si="203">IF(I110="na","na",IF(J110="na","na",I110/J110))</f>
        <v>na</v>
      </c>
      <c r="L110" s="407" t="str">
        <f t="shared" ref="L110:L112" si="204">IF(K110="na","na",IF(K110&gt;1,"YES","no"))</f>
        <v>na</v>
      </c>
      <c r="M110" s="407" t="str">
        <f t="shared" ref="M110:M112" si="205">IF(L110="YES",J110,IF(ISNUMBER(I110),I110,J110))</f>
        <v>na</v>
      </c>
      <c r="N110" s="217" t="str">
        <f>'GW-Eq'!J110</f>
        <v>na</v>
      </c>
      <c r="O110" s="217" t="str">
        <f t="shared" ref="O110:O112" si="206">IF(I110="na","na",IF(N110="na","na",I110/N110))</f>
        <v>na</v>
      </c>
      <c r="P110" s="217" t="str">
        <f t="shared" ref="P110:P112" si="207">IF(O110="na","na",IF(O110&gt;10,"YES","no"))</f>
        <v>na</v>
      </c>
      <c r="Q110" s="217" t="str">
        <f t="shared" ref="Q110:Q112" si="208">IF(P110="YES",10*N110,IF(P110="no",I110,N110))</f>
        <v>na</v>
      </c>
      <c r="R110" s="1056" t="str">
        <f t="shared" si="166"/>
        <v>na</v>
      </c>
      <c r="T110" s="1113" t="str">
        <f t="shared" si="167"/>
        <v/>
      </c>
      <c r="U110" s="1114" t="str">
        <f t="shared" si="168"/>
        <v/>
      </c>
      <c r="V110" s="1114" t="str">
        <f t="shared" ref="V110:V112" si="209">IF($R110="na","",IF($R110=E110,"X",""))</f>
        <v/>
      </c>
      <c r="W110" s="1114" t="str">
        <f t="shared" ref="W110:W112" si="210">IF($R110="na","",IF($R110=F110,"X",""))</f>
        <v/>
      </c>
      <c r="X110" s="1114" t="str">
        <f t="shared" ref="X110:X112" si="211">IF($R110="na","",IF($R110=G110,"X",""))</f>
        <v/>
      </c>
      <c r="Y110" s="1114" t="str">
        <f t="shared" ref="Y110:Y112" si="212">IF($R110="na","",IF($R110=H110,"X",""))</f>
        <v/>
      </c>
      <c r="Z110" s="1114" t="str">
        <f t="shared" ref="Z110:Z112" si="213">IF($R110="na","",IF($R110=J110,"X",""))</f>
        <v/>
      </c>
      <c r="AA110" s="1114" t="str">
        <f t="shared" ref="AA110:AA112" si="214">IF($R110="na","",IF($R110=N110,"X",""))</f>
        <v/>
      </c>
      <c r="AB110" s="1704" t="str">
        <f t="shared" si="175"/>
        <v/>
      </c>
      <c r="AC110" s="1115" t="str">
        <f t="shared" ref="AC110:AC112" si="215">IF(OR($R110="na",N110="na"),"",IF($R110=10*N110,"X",""))</f>
        <v/>
      </c>
      <c r="AE110" s="985"/>
    </row>
    <row r="111" spans="1:33" s="130" customFormat="1" ht="13.9" customHeight="1" x14ac:dyDescent="0.25">
      <c r="A111" s="847">
        <f>Chem!A111</f>
        <v>109</v>
      </c>
      <c r="B111" s="856" t="str">
        <f>Chem!B111</f>
        <v>1,3-Dinitrobenzene</v>
      </c>
      <c r="C111" s="394" t="s">
        <v>232</v>
      </c>
      <c r="D111" s="338" t="s">
        <v>232</v>
      </c>
      <c r="E111" s="338" t="s">
        <v>232</v>
      </c>
      <c r="F111" s="338" t="s">
        <v>232</v>
      </c>
      <c r="G111" s="338" t="s">
        <v>232</v>
      </c>
      <c r="H111" s="387" t="s">
        <v>232</v>
      </c>
      <c r="I111" s="338" t="str">
        <f t="shared" ref="I111:I137" si="216">IF(MIN(C111:H111)=0,"na",(MIN(C111:H111)))</f>
        <v>na</v>
      </c>
      <c r="J111" s="407" t="str">
        <f>'GW-Eq'!I111</f>
        <v>na</v>
      </c>
      <c r="K111" s="407" t="str">
        <f t="shared" si="203"/>
        <v>na</v>
      </c>
      <c r="L111" s="407" t="str">
        <f t="shared" si="204"/>
        <v>na</v>
      </c>
      <c r="M111" s="407" t="str">
        <f t="shared" si="205"/>
        <v>na</v>
      </c>
      <c r="N111" s="217" t="str">
        <f>'GW-Eq'!J111</f>
        <v>na</v>
      </c>
      <c r="O111" s="217" t="str">
        <f t="shared" si="206"/>
        <v>na</v>
      </c>
      <c r="P111" s="217" t="str">
        <f t="shared" si="207"/>
        <v>na</v>
      </c>
      <c r="Q111" s="217" t="str">
        <f t="shared" si="208"/>
        <v>na</v>
      </c>
      <c r="R111" s="1056" t="str">
        <f t="shared" si="166"/>
        <v>na</v>
      </c>
      <c r="T111" s="1113" t="str">
        <f t="shared" ref="T111:T145" si="217">IF($R111="na","",IF($R111=C111,"X",""))</f>
        <v/>
      </c>
      <c r="U111" s="1114" t="str">
        <f t="shared" ref="U111:U145" si="218">IF($R111="na","",IF($R111=D111,"X",""))</f>
        <v/>
      </c>
      <c r="V111" s="1114" t="str">
        <f t="shared" si="209"/>
        <v/>
      </c>
      <c r="W111" s="1114" t="str">
        <f t="shared" si="210"/>
        <v/>
      </c>
      <c r="X111" s="1114" t="str">
        <f t="shared" si="211"/>
        <v/>
      </c>
      <c r="Y111" s="1114" t="str">
        <f t="shared" si="212"/>
        <v/>
      </c>
      <c r="Z111" s="1114" t="str">
        <f t="shared" si="213"/>
        <v/>
      </c>
      <c r="AA111" s="1114" t="str">
        <f t="shared" si="214"/>
        <v/>
      </c>
      <c r="AB111" s="1704" t="str">
        <f t="shared" si="175"/>
        <v/>
      </c>
      <c r="AC111" s="1115" t="str">
        <f t="shared" si="215"/>
        <v/>
      </c>
      <c r="AE111" s="985"/>
    </row>
    <row r="112" spans="1:33" s="130" customFormat="1" ht="13.9" customHeight="1" x14ac:dyDescent="0.25">
      <c r="A112" s="847">
        <f>Chem!A112</f>
        <v>110</v>
      </c>
      <c r="B112" s="856" t="str">
        <f>Chem!B112</f>
        <v>1,4-Dinitrobenzene</v>
      </c>
      <c r="C112" s="394" t="s">
        <v>232</v>
      </c>
      <c r="D112" s="338" t="s">
        <v>232</v>
      </c>
      <c r="E112" s="338" t="s">
        <v>232</v>
      </c>
      <c r="F112" s="338" t="s">
        <v>232</v>
      </c>
      <c r="G112" s="338" t="s">
        <v>232</v>
      </c>
      <c r="H112" s="387" t="s">
        <v>232</v>
      </c>
      <c r="I112" s="338" t="str">
        <f t="shared" si="216"/>
        <v>na</v>
      </c>
      <c r="J112" s="407" t="str">
        <f>'GW-Eq'!I112</f>
        <v>na</v>
      </c>
      <c r="K112" s="407" t="str">
        <f t="shared" si="203"/>
        <v>na</v>
      </c>
      <c r="L112" s="407" t="str">
        <f t="shared" si="204"/>
        <v>na</v>
      </c>
      <c r="M112" s="407" t="str">
        <f t="shared" si="205"/>
        <v>na</v>
      </c>
      <c r="N112" s="217" t="str">
        <f>'GW-Eq'!J112</f>
        <v>na</v>
      </c>
      <c r="O112" s="217" t="str">
        <f t="shared" si="206"/>
        <v>na</v>
      </c>
      <c r="P112" s="217" t="str">
        <f t="shared" si="207"/>
        <v>na</v>
      </c>
      <c r="Q112" s="217" t="str">
        <f t="shared" si="208"/>
        <v>na</v>
      </c>
      <c r="R112" s="1056" t="str">
        <f t="shared" si="166"/>
        <v>na</v>
      </c>
      <c r="T112" s="1113" t="str">
        <f t="shared" si="217"/>
        <v/>
      </c>
      <c r="U112" s="1114" t="str">
        <f t="shared" si="218"/>
        <v/>
      </c>
      <c r="V112" s="1114" t="str">
        <f t="shared" si="209"/>
        <v/>
      </c>
      <c r="W112" s="1114" t="str">
        <f t="shared" si="210"/>
        <v/>
      </c>
      <c r="X112" s="1114" t="str">
        <f t="shared" si="211"/>
        <v/>
      </c>
      <c r="Y112" s="1114" t="str">
        <f t="shared" si="212"/>
        <v/>
      </c>
      <c r="Z112" s="1114" t="str">
        <f t="shared" si="213"/>
        <v/>
      </c>
      <c r="AA112" s="1114" t="str">
        <f t="shared" si="214"/>
        <v/>
      </c>
      <c r="AB112" s="1704" t="str">
        <f t="shared" si="175"/>
        <v/>
      </c>
      <c r="AC112" s="1115" t="str">
        <f t="shared" si="215"/>
        <v/>
      </c>
      <c r="AE112" s="985"/>
    </row>
    <row r="113" spans="1:33" s="130" customFormat="1" ht="13.9" customHeight="1" x14ac:dyDescent="0.25">
      <c r="A113" s="847">
        <f>Chem!A113</f>
        <v>111</v>
      </c>
      <c r="B113" s="856" t="str">
        <f>Chem!B113</f>
        <v>4,6-Dinitro-o-cresol (DNOC)</v>
      </c>
      <c r="C113" s="394" t="s">
        <v>232</v>
      </c>
      <c r="D113" s="338" t="s">
        <v>232</v>
      </c>
      <c r="E113" s="394">
        <v>7</v>
      </c>
      <c r="F113" s="394">
        <v>7</v>
      </c>
      <c r="G113" s="552">
        <v>30</v>
      </c>
      <c r="H113" s="387" t="s">
        <v>232</v>
      </c>
      <c r="I113" s="338">
        <f t="shared" si="216"/>
        <v>7</v>
      </c>
      <c r="J113" s="407" t="str">
        <f>'GW-Eq'!I113</f>
        <v>na</v>
      </c>
      <c r="K113" s="407" t="str">
        <f t="shared" si="160"/>
        <v>na</v>
      </c>
      <c r="L113" s="407" t="str">
        <f t="shared" si="161"/>
        <v>na</v>
      </c>
      <c r="M113" s="407">
        <f t="shared" si="162"/>
        <v>7</v>
      </c>
      <c r="N113" s="217" t="str">
        <f>'GW-Eq'!J113</f>
        <v>na</v>
      </c>
      <c r="O113" s="217" t="str">
        <f t="shared" si="163"/>
        <v>na</v>
      </c>
      <c r="P113" s="217" t="str">
        <f t="shared" si="164"/>
        <v>na</v>
      </c>
      <c r="Q113" s="217" t="str">
        <f t="shared" si="165"/>
        <v>na</v>
      </c>
      <c r="R113" s="1056">
        <f t="shared" si="166"/>
        <v>7</v>
      </c>
      <c r="T113" s="1113" t="str">
        <f t="shared" si="217"/>
        <v/>
      </c>
      <c r="U113" s="1114" t="str">
        <f t="shared" si="218"/>
        <v/>
      </c>
      <c r="V113" s="1114" t="str">
        <f t="shared" si="169"/>
        <v>X</v>
      </c>
      <c r="W113" s="1114" t="str">
        <f t="shared" si="170"/>
        <v>X</v>
      </c>
      <c r="X113" s="1114" t="str">
        <f t="shared" si="171"/>
        <v/>
      </c>
      <c r="Y113" s="1114" t="str">
        <f t="shared" si="172"/>
        <v/>
      </c>
      <c r="Z113" s="1114" t="str">
        <f t="shared" si="173"/>
        <v/>
      </c>
      <c r="AA113" s="1114" t="str">
        <f t="shared" si="174"/>
        <v/>
      </c>
      <c r="AB113" s="1704" t="str">
        <f t="shared" si="175"/>
        <v/>
      </c>
      <c r="AC113" s="1115" t="str">
        <f t="shared" si="176"/>
        <v/>
      </c>
      <c r="AE113" s="985"/>
      <c r="AG113" s="130" t="str">
        <f>IF(R113=J113,"X","")</f>
        <v/>
      </c>
    </row>
    <row r="114" spans="1:33" s="130" customFormat="1" ht="13.9" customHeight="1" x14ac:dyDescent="0.25">
      <c r="A114" s="847">
        <f>Chem!A114</f>
        <v>112</v>
      </c>
      <c r="B114" s="856" t="str">
        <f>Chem!B114</f>
        <v>2,4-Dinitrophenol</v>
      </c>
      <c r="C114" s="394" t="s">
        <v>232</v>
      </c>
      <c r="D114" s="338" t="s">
        <v>232</v>
      </c>
      <c r="E114" s="394">
        <v>100</v>
      </c>
      <c r="F114" s="394">
        <v>100</v>
      </c>
      <c r="G114" s="552">
        <v>300</v>
      </c>
      <c r="H114" s="387" t="s">
        <v>232</v>
      </c>
      <c r="I114" s="338">
        <f t="shared" si="216"/>
        <v>100</v>
      </c>
      <c r="J114" s="407">
        <f>'GW-Eq'!I114</f>
        <v>957.26495726495739</v>
      </c>
      <c r="K114" s="407">
        <f t="shared" si="160"/>
        <v>0.1044642857142857</v>
      </c>
      <c r="L114" s="407" t="str">
        <f t="shared" si="161"/>
        <v>no</v>
      </c>
      <c r="M114" s="407">
        <f t="shared" si="162"/>
        <v>100</v>
      </c>
      <c r="N114" s="217" t="str">
        <f>'GW-Eq'!J114</f>
        <v>na</v>
      </c>
      <c r="O114" s="217" t="str">
        <f t="shared" si="163"/>
        <v>na</v>
      </c>
      <c r="P114" s="217" t="str">
        <f t="shared" si="164"/>
        <v>na</v>
      </c>
      <c r="Q114" s="217" t="str">
        <f t="shared" si="165"/>
        <v>na</v>
      </c>
      <c r="R114" s="1056">
        <f t="shared" si="166"/>
        <v>100</v>
      </c>
      <c r="T114" s="1113" t="str">
        <f t="shared" si="217"/>
        <v/>
      </c>
      <c r="U114" s="1114" t="str">
        <f t="shared" si="218"/>
        <v/>
      </c>
      <c r="V114" s="1114" t="str">
        <f t="shared" si="169"/>
        <v>X</v>
      </c>
      <c r="W114" s="1114" t="str">
        <f t="shared" si="170"/>
        <v>X</v>
      </c>
      <c r="X114" s="1114" t="str">
        <f t="shared" si="171"/>
        <v/>
      </c>
      <c r="Y114" s="1114" t="str">
        <f t="shared" si="172"/>
        <v/>
      </c>
      <c r="Z114" s="1114" t="str">
        <f t="shared" si="173"/>
        <v/>
      </c>
      <c r="AA114" s="1114" t="str">
        <f t="shared" si="174"/>
        <v/>
      </c>
      <c r="AB114" s="1704" t="str">
        <f t="shared" si="175"/>
        <v/>
      </c>
      <c r="AC114" s="1115" t="str">
        <f t="shared" si="176"/>
        <v/>
      </c>
      <c r="AE114" s="985"/>
      <c r="AG114" s="130" t="str">
        <f>IF(R114=J114,"X","")</f>
        <v/>
      </c>
    </row>
    <row r="115" spans="1:33" s="130" customFormat="1" ht="13.9" customHeight="1" x14ac:dyDescent="0.25">
      <c r="A115" s="847">
        <f>Chem!A115</f>
        <v>113</v>
      </c>
      <c r="B115" s="856" t="str">
        <f>Chem!B115</f>
        <v>2,4-Dinitrotoluene</v>
      </c>
      <c r="C115" s="394" t="s">
        <v>232</v>
      </c>
      <c r="D115" s="338" t="s">
        <v>232</v>
      </c>
      <c r="E115" s="394">
        <v>0.18</v>
      </c>
      <c r="F115" s="394" t="s">
        <v>232</v>
      </c>
      <c r="G115" s="552">
        <v>1.7</v>
      </c>
      <c r="H115" s="387" t="s">
        <v>232</v>
      </c>
      <c r="I115" s="338">
        <f t="shared" si="216"/>
        <v>0.18</v>
      </c>
      <c r="J115" s="407">
        <f>'GW-Eq'!I115</f>
        <v>377.86774628879897</v>
      </c>
      <c r="K115" s="407">
        <f t="shared" si="160"/>
        <v>4.7635714285714279E-4</v>
      </c>
      <c r="L115" s="407" t="str">
        <f t="shared" si="161"/>
        <v>no</v>
      </c>
      <c r="M115" s="407">
        <f t="shared" si="162"/>
        <v>0.18</v>
      </c>
      <c r="N115" s="217">
        <f>'GW-Eq'!J115</f>
        <v>1.5236602672935438</v>
      </c>
      <c r="O115" s="217">
        <f t="shared" si="163"/>
        <v>0.11813657142857145</v>
      </c>
      <c r="P115" s="217" t="str">
        <f t="shared" si="164"/>
        <v>no</v>
      </c>
      <c r="Q115" s="217">
        <f t="shared" si="165"/>
        <v>0.18</v>
      </c>
      <c r="R115" s="1056">
        <f t="shared" si="166"/>
        <v>0.18</v>
      </c>
      <c r="T115" s="1113" t="str">
        <f t="shared" si="217"/>
        <v/>
      </c>
      <c r="U115" s="1114" t="str">
        <f t="shared" si="218"/>
        <v/>
      </c>
      <c r="V115" s="1114" t="str">
        <f t="shared" si="169"/>
        <v>X</v>
      </c>
      <c r="W115" s="1114" t="str">
        <f t="shared" si="170"/>
        <v/>
      </c>
      <c r="X115" s="1114" t="str">
        <f t="shared" si="171"/>
        <v/>
      </c>
      <c r="Y115" s="1114" t="str">
        <f t="shared" si="172"/>
        <v/>
      </c>
      <c r="Z115" s="1114" t="str">
        <f t="shared" si="173"/>
        <v/>
      </c>
      <c r="AA115" s="1114" t="str">
        <f t="shared" si="174"/>
        <v/>
      </c>
      <c r="AB115" s="1704" t="str">
        <f t="shared" si="175"/>
        <v/>
      </c>
      <c r="AC115" s="1115" t="str">
        <f t="shared" si="176"/>
        <v/>
      </c>
      <c r="AE115" s="985"/>
      <c r="AG115" s="130" t="str">
        <f>IF(R115=J115,"X","")</f>
        <v/>
      </c>
    </row>
    <row r="116" spans="1:33" s="130" customFormat="1" ht="13.9" customHeight="1" x14ac:dyDescent="0.25">
      <c r="A116" s="842">
        <f>Chem!A116</f>
        <v>114</v>
      </c>
      <c r="B116" s="856" t="str">
        <f>Chem!B116</f>
        <v>2,6-Dinitrotoluene</v>
      </c>
      <c r="C116" s="394" t="s">
        <v>232</v>
      </c>
      <c r="D116" s="338" t="s">
        <v>232</v>
      </c>
      <c r="E116" s="394" t="s">
        <v>232</v>
      </c>
      <c r="F116" s="394" t="s">
        <v>232</v>
      </c>
      <c r="G116" s="552" t="s">
        <v>232</v>
      </c>
      <c r="H116" s="387" t="s">
        <v>232</v>
      </c>
      <c r="I116" s="338" t="str">
        <f t="shared" si="216"/>
        <v>na</v>
      </c>
      <c r="J116" s="407" t="str">
        <f>'GW-Eq'!I116</f>
        <v>na</v>
      </c>
      <c r="K116" s="407" t="str">
        <f t="shared" ref="K116:K140" si="219">IF(I116="na","na",IF(J116="na","na",I116/J116))</f>
        <v>na</v>
      </c>
      <c r="L116" s="407" t="str">
        <f t="shared" si="161"/>
        <v>na</v>
      </c>
      <c r="M116" s="407" t="str">
        <f t="shared" si="162"/>
        <v>na</v>
      </c>
      <c r="N116" s="217" t="str">
        <f>'GW-Eq'!J116</f>
        <v>na</v>
      </c>
      <c r="O116" s="217" t="str">
        <f t="shared" ref="O116:O140" si="220">IF(I116="na","na",IF(N116="na","na",I116/N116))</f>
        <v>na</v>
      </c>
      <c r="P116" s="217" t="str">
        <f t="shared" si="164"/>
        <v>na</v>
      </c>
      <c r="Q116" s="217" t="str">
        <f t="shared" si="165"/>
        <v>na</v>
      </c>
      <c r="R116" s="1056" t="str">
        <f t="shared" si="166"/>
        <v>na</v>
      </c>
      <c r="T116" s="1113" t="str">
        <f t="shared" si="217"/>
        <v/>
      </c>
      <c r="U116" s="1114" t="str">
        <f t="shared" si="218"/>
        <v/>
      </c>
      <c r="V116" s="1114" t="str">
        <f t="shared" ref="V116:V140" si="221">IF($R116="na","",IF($R116=E116,"X",""))</f>
        <v/>
      </c>
      <c r="W116" s="1114" t="str">
        <f t="shared" ref="W116:W140" si="222">IF($R116="na","",IF($R116=F116,"X",""))</f>
        <v/>
      </c>
      <c r="X116" s="1114" t="str">
        <f t="shared" ref="X116:X140" si="223">IF($R116="na","",IF($R116=G116,"X",""))</f>
        <v/>
      </c>
      <c r="Y116" s="1114" t="str">
        <f t="shared" ref="Y116:Y140" si="224">IF($R116="na","",IF($R116=H116,"X",""))</f>
        <v/>
      </c>
      <c r="Z116" s="1114" t="str">
        <f t="shared" ref="Z116:Z140" si="225">IF($R116="na","",IF($R116=J116,"X",""))</f>
        <v/>
      </c>
      <c r="AA116" s="1114" t="str">
        <f t="shared" ref="AA116:AA140" si="226">IF($R116="na","",IF($R116=N116,"X",""))</f>
        <v/>
      </c>
      <c r="AB116" s="1704" t="str">
        <f t="shared" si="175"/>
        <v/>
      </c>
      <c r="AC116" s="1115" t="str">
        <f t="shared" ref="AC116:AC140" si="227">IF(OR($R116="na",N116="na"),"",IF($R116=10*N116,"X",""))</f>
        <v/>
      </c>
      <c r="AE116" s="985"/>
    </row>
    <row r="117" spans="1:33" s="130" customFormat="1" ht="13.9" customHeight="1" x14ac:dyDescent="0.25">
      <c r="A117" s="847">
        <f>Chem!A117</f>
        <v>115</v>
      </c>
      <c r="B117" s="856" t="str">
        <f>Chem!B117</f>
        <v>Di-n-octyl phthalate</v>
      </c>
      <c r="C117" s="394" t="s">
        <v>232</v>
      </c>
      <c r="D117" s="338" t="s">
        <v>232</v>
      </c>
      <c r="E117" s="394" t="s">
        <v>232</v>
      </c>
      <c r="F117" s="394" t="s">
        <v>232</v>
      </c>
      <c r="G117" s="552" t="s">
        <v>232</v>
      </c>
      <c r="H117" s="387" t="s">
        <v>232</v>
      </c>
      <c r="I117" s="338" t="str">
        <f t="shared" si="216"/>
        <v>na</v>
      </c>
      <c r="J117" s="407" t="str">
        <f>'GW-Eq'!I117</f>
        <v>na</v>
      </c>
      <c r="K117" s="407" t="str">
        <f t="shared" si="219"/>
        <v>na</v>
      </c>
      <c r="L117" s="407" t="str">
        <f t="shared" si="161"/>
        <v>na</v>
      </c>
      <c r="M117" s="407" t="str">
        <f t="shared" si="162"/>
        <v>na</v>
      </c>
      <c r="N117" s="217" t="str">
        <f>'GW-Eq'!J117</f>
        <v>na</v>
      </c>
      <c r="O117" s="217" t="str">
        <f t="shared" si="220"/>
        <v>na</v>
      </c>
      <c r="P117" s="217" t="str">
        <f t="shared" si="164"/>
        <v>na</v>
      </c>
      <c r="Q117" s="217" t="str">
        <f t="shared" si="165"/>
        <v>na</v>
      </c>
      <c r="R117" s="1056" t="str">
        <f t="shared" si="166"/>
        <v>na</v>
      </c>
      <c r="T117" s="1113" t="str">
        <f t="shared" si="217"/>
        <v/>
      </c>
      <c r="U117" s="1114" t="str">
        <f t="shared" si="218"/>
        <v/>
      </c>
      <c r="V117" s="1114" t="str">
        <f t="shared" si="221"/>
        <v/>
      </c>
      <c r="W117" s="1114" t="str">
        <f t="shared" si="222"/>
        <v/>
      </c>
      <c r="X117" s="1114" t="str">
        <f t="shared" si="223"/>
        <v/>
      </c>
      <c r="Y117" s="1114" t="str">
        <f t="shared" si="224"/>
        <v/>
      </c>
      <c r="Z117" s="1114" t="str">
        <f t="shared" si="225"/>
        <v/>
      </c>
      <c r="AA117" s="1114" t="str">
        <f t="shared" si="226"/>
        <v/>
      </c>
      <c r="AB117" s="1704" t="str">
        <f t="shared" si="175"/>
        <v/>
      </c>
      <c r="AC117" s="1115" t="str">
        <f t="shared" si="227"/>
        <v/>
      </c>
      <c r="AE117" s="985"/>
    </row>
    <row r="118" spans="1:33" s="130" customFormat="1" ht="13.9" customHeight="1" x14ac:dyDescent="0.25">
      <c r="A118" s="848">
        <f>Chem!A118</f>
        <v>116</v>
      </c>
      <c r="B118" s="856" t="str">
        <f>Chem!B118</f>
        <v>1,4-Dioxane</v>
      </c>
      <c r="C118" s="394" t="s">
        <v>232</v>
      </c>
      <c r="D118" s="338" t="s">
        <v>232</v>
      </c>
      <c r="E118" s="394" t="s">
        <v>232</v>
      </c>
      <c r="F118" s="394" t="s">
        <v>232</v>
      </c>
      <c r="G118" s="552" t="s">
        <v>232</v>
      </c>
      <c r="H118" s="387" t="s">
        <v>232</v>
      </c>
      <c r="I118" s="338" t="str">
        <f t="shared" si="216"/>
        <v>na</v>
      </c>
      <c r="J118" s="407" t="str">
        <f>'GW-Eq'!I118</f>
        <v>na</v>
      </c>
      <c r="K118" s="407" t="str">
        <f t="shared" si="219"/>
        <v>na</v>
      </c>
      <c r="L118" s="407" t="str">
        <f t="shared" si="161"/>
        <v>na</v>
      </c>
      <c r="M118" s="407" t="str">
        <f t="shared" si="162"/>
        <v>na</v>
      </c>
      <c r="N118" s="217" t="str">
        <f>'GW-Eq'!J118</f>
        <v>na</v>
      </c>
      <c r="O118" s="217" t="str">
        <f t="shared" si="220"/>
        <v>na</v>
      </c>
      <c r="P118" s="217" t="str">
        <f t="shared" si="164"/>
        <v>na</v>
      </c>
      <c r="Q118" s="217" t="str">
        <f t="shared" si="165"/>
        <v>na</v>
      </c>
      <c r="R118" s="1056" t="str">
        <f t="shared" si="166"/>
        <v>na</v>
      </c>
      <c r="T118" s="1113" t="str">
        <f t="shared" si="217"/>
        <v/>
      </c>
      <c r="U118" s="1114" t="str">
        <f t="shared" si="218"/>
        <v/>
      </c>
      <c r="V118" s="1114" t="str">
        <f t="shared" si="221"/>
        <v/>
      </c>
      <c r="W118" s="1114" t="str">
        <f t="shared" si="222"/>
        <v/>
      </c>
      <c r="X118" s="1114" t="str">
        <f t="shared" si="223"/>
        <v/>
      </c>
      <c r="Y118" s="1114" t="str">
        <f t="shared" si="224"/>
        <v/>
      </c>
      <c r="Z118" s="1114" t="str">
        <f t="shared" si="225"/>
        <v/>
      </c>
      <c r="AA118" s="1114" t="str">
        <f t="shared" si="226"/>
        <v/>
      </c>
      <c r="AB118" s="1704" t="str">
        <f t="shared" si="175"/>
        <v/>
      </c>
      <c r="AC118" s="1115" t="str">
        <f t="shared" si="227"/>
        <v/>
      </c>
      <c r="AE118" s="985"/>
    </row>
    <row r="119" spans="1:33" s="130" customFormat="1" ht="13.9" customHeight="1" x14ac:dyDescent="0.25">
      <c r="A119" s="848">
        <f>Chem!A119</f>
        <v>117</v>
      </c>
      <c r="B119" s="856" t="str">
        <f>Chem!B119</f>
        <v>1,2-Diphenylhydrazine</v>
      </c>
      <c r="C119" s="394" t="s">
        <v>232</v>
      </c>
      <c r="D119" s="338" t="s">
        <v>232</v>
      </c>
      <c r="E119" s="394">
        <v>0.02</v>
      </c>
      <c r="F119" s="394">
        <v>0.02</v>
      </c>
      <c r="G119" s="552">
        <v>0.2</v>
      </c>
      <c r="H119" s="387" t="s">
        <v>232</v>
      </c>
      <c r="I119" s="338">
        <f t="shared" si="216"/>
        <v>0.02</v>
      </c>
      <c r="J119" s="407" t="str">
        <f>'GW-Eq'!I119</f>
        <v>na</v>
      </c>
      <c r="K119" s="407" t="str">
        <f t="shared" si="219"/>
        <v>na</v>
      </c>
      <c r="L119" s="407" t="str">
        <f t="shared" si="161"/>
        <v>na</v>
      </c>
      <c r="M119" s="407">
        <f t="shared" si="162"/>
        <v>0.02</v>
      </c>
      <c r="N119" s="217">
        <f>'GW-Eq'!J119</f>
        <v>9.0104005766656337E-2</v>
      </c>
      <c r="O119" s="217">
        <f t="shared" si="220"/>
        <v>0.22196571428571438</v>
      </c>
      <c r="P119" s="217" t="str">
        <f t="shared" si="164"/>
        <v>no</v>
      </c>
      <c r="Q119" s="217">
        <f t="shared" si="165"/>
        <v>0.02</v>
      </c>
      <c r="R119" s="1056">
        <f t="shared" si="166"/>
        <v>0.02</v>
      </c>
      <c r="T119" s="1113" t="str">
        <f t="shared" si="217"/>
        <v/>
      </c>
      <c r="U119" s="1114" t="str">
        <f t="shared" si="218"/>
        <v/>
      </c>
      <c r="V119" s="1114" t="str">
        <f t="shared" si="221"/>
        <v>X</v>
      </c>
      <c r="W119" s="1114" t="str">
        <f t="shared" si="222"/>
        <v>X</v>
      </c>
      <c r="X119" s="1114" t="str">
        <f t="shared" si="223"/>
        <v/>
      </c>
      <c r="Y119" s="1114" t="str">
        <f t="shared" si="224"/>
        <v/>
      </c>
      <c r="Z119" s="1114" t="str">
        <f t="shared" si="225"/>
        <v/>
      </c>
      <c r="AA119" s="1114" t="str">
        <f t="shared" si="226"/>
        <v/>
      </c>
      <c r="AB119" s="1704" t="str">
        <f t="shared" si="175"/>
        <v/>
      </c>
      <c r="AC119" s="1115" t="str">
        <f t="shared" si="227"/>
        <v/>
      </c>
      <c r="AE119" s="985"/>
      <c r="AG119" s="130" t="str">
        <f t="shared" ref="AG119:AG124" si="228">IF(R119=J119,"X","")</f>
        <v/>
      </c>
    </row>
    <row r="120" spans="1:33" s="130" customFormat="1" ht="13.9" customHeight="1" x14ac:dyDescent="0.25">
      <c r="A120" s="847">
        <f>Chem!A120</f>
        <v>118</v>
      </c>
      <c r="B120" s="856" t="str">
        <f>Chem!B120</f>
        <v>Hexachlorobenzene</v>
      </c>
      <c r="C120" s="394" t="s">
        <v>232</v>
      </c>
      <c r="D120" s="338" t="s">
        <v>232</v>
      </c>
      <c r="E120" s="394">
        <v>5.0000000000000004E-6</v>
      </c>
      <c r="F120" s="394">
        <v>5.0000000000000004E-6</v>
      </c>
      <c r="G120" s="552">
        <v>7.8999999999999996E-5</v>
      </c>
      <c r="H120" s="387" t="s">
        <v>232</v>
      </c>
      <c r="I120" s="338">
        <f t="shared" si="216"/>
        <v>5.0000000000000004E-6</v>
      </c>
      <c r="J120" s="407">
        <f>'GW-Eq'!I120</f>
        <v>6.6094243309433198E-2</v>
      </c>
      <c r="K120" s="407">
        <f t="shared" si="219"/>
        <v>7.5649553571428558E-5</v>
      </c>
      <c r="L120" s="407" t="str">
        <f t="shared" si="161"/>
        <v>no</v>
      </c>
      <c r="M120" s="407">
        <f t="shared" si="162"/>
        <v>5.0000000000000004E-6</v>
      </c>
      <c r="N120" s="217">
        <f>'GW-Eq'!J120</f>
        <v>1.2909031896373666E-4</v>
      </c>
      <c r="O120" s="217">
        <f t="shared" si="220"/>
        <v>3.8732571428571436E-2</v>
      </c>
      <c r="P120" s="217" t="str">
        <f t="shared" si="164"/>
        <v>no</v>
      </c>
      <c r="Q120" s="217">
        <f t="shared" si="165"/>
        <v>5.0000000000000004E-6</v>
      </c>
      <c r="R120" s="1056">
        <f t="shared" si="166"/>
        <v>5.0000000000000004E-6</v>
      </c>
      <c r="T120" s="1113" t="str">
        <f t="shared" si="217"/>
        <v/>
      </c>
      <c r="U120" s="1114" t="str">
        <f t="shared" si="218"/>
        <v/>
      </c>
      <c r="V120" s="1114" t="str">
        <f t="shared" si="221"/>
        <v>X</v>
      </c>
      <c r="W120" s="1114" t="str">
        <f t="shared" si="222"/>
        <v>X</v>
      </c>
      <c r="X120" s="1114" t="str">
        <f t="shared" si="223"/>
        <v/>
      </c>
      <c r="Y120" s="1114" t="str">
        <f t="shared" si="224"/>
        <v/>
      </c>
      <c r="Z120" s="1114" t="str">
        <f t="shared" si="225"/>
        <v/>
      </c>
      <c r="AA120" s="1114" t="str">
        <f t="shared" si="226"/>
        <v/>
      </c>
      <c r="AB120" s="1704" t="str">
        <f t="shared" si="175"/>
        <v/>
      </c>
      <c r="AC120" s="1115" t="str">
        <f t="shared" si="227"/>
        <v/>
      </c>
      <c r="AE120" s="985"/>
      <c r="AG120" s="130" t="str">
        <f t="shared" si="228"/>
        <v/>
      </c>
    </row>
    <row r="121" spans="1:33" s="130" customFormat="1" ht="13.9" customHeight="1" x14ac:dyDescent="0.25">
      <c r="A121" s="847">
        <f>Chem!A121</f>
        <v>119</v>
      </c>
      <c r="B121" s="856" t="str">
        <f>Chem!B121</f>
        <v>Hexachlorobutadiene</v>
      </c>
      <c r="C121" s="394" t="s">
        <v>232</v>
      </c>
      <c r="D121" s="338" t="s">
        <v>232</v>
      </c>
      <c r="E121" s="394">
        <v>0.01</v>
      </c>
      <c r="F121" s="394">
        <v>0.01</v>
      </c>
      <c r="G121" s="552">
        <v>0.01</v>
      </c>
      <c r="H121" s="387" t="s">
        <v>232</v>
      </c>
      <c r="I121" s="338">
        <f t="shared" si="216"/>
        <v>0.01</v>
      </c>
      <c r="J121" s="407">
        <f>'GW-Eq'!I121</f>
        <v>258.25493451392737</v>
      </c>
      <c r="K121" s="407">
        <f t="shared" si="219"/>
        <v>3.8721428571428567E-5</v>
      </c>
      <c r="L121" s="407" t="str">
        <f t="shared" si="161"/>
        <v>no</v>
      </c>
      <c r="M121" s="407">
        <f t="shared" si="162"/>
        <v>0.01</v>
      </c>
      <c r="N121" s="217">
        <f>'GW-Eq'!J121</f>
        <v>8.2774017472412602</v>
      </c>
      <c r="O121" s="217">
        <f t="shared" si="220"/>
        <v>1.2081085714285714E-3</v>
      </c>
      <c r="P121" s="217" t="str">
        <f t="shared" si="164"/>
        <v>no</v>
      </c>
      <c r="Q121" s="217">
        <f t="shared" si="165"/>
        <v>0.01</v>
      </c>
      <c r="R121" s="1056">
        <f t="shared" si="166"/>
        <v>0.01</v>
      </c>
      <c r="T121" s="1113" t="str">
        <f t="shared" si="217"/>
        <v/>
      </c>
      <c r="U121" s="1114" t="str">
        <f t="shared" si="218"/>
        <v/>
      </c>
      <c r="V121" s="1114" t="str">
        <f t="shared" si="221"/>
        <v>X</v>
      </c>
      <c r="W121" s="1114" t="str">
        <f t="shared" si="222"/>
        <v>X</v>
      </c>
      <c r="X121" s="1114" t="str">
        <f t="shared" si="223"/>
        <v>X</v>
      </c>
      <c r="Y121" s="1114" t="str">
        <f t="shared" si="224"/>
        <v/>
      </c>
      <c r="Z121" s="1114" t="str">
        <f t="shared" si="225"/>
        <v/>
      </c>
      <c r="AA121" s="1114" t="str">
        <f t="shared" si="226"/>
        <v/>
      </c>
      <c r="AB121" s="1704" t="str">
        <f t="shared" si="175"/>
        <v/>
      </c>
      <c r="AC121" s="1115" t="str">
        <f t="shared" si="227"/>
        <v/>
      </c>
      <c r="AE121" s="985"/>
      <c r="AG121" s="130" t="str">
        <f t="shared" si="228"/>
        <v/>
      </c>
    </row>
    <row r="122" spans="1:33" s="130" customFormat="1" ht="13.9" customHeight="1" x14ac:dyDescent="0.25">
      <c r="A122" s="847">
        <f>Chem!A122</f>
        <v>120</v>
      </c>
      <c r="B122" s="856" t="str">
        <f>Chem!B122</f>
        <v>Hexachlorocyclopentadiene</v>
      </c>
      <c r="C122" s="394" t="s">
        <v>232</v>
      </c>
      <c r="D122" s="338" t="s">
        <v>232</v>
      </c>
      <c r="E122" s="394">
        <v>1</v>
      </c>
      <c r="F122" s="394">
        <v>1</v>
      </c>
      <c r="G122" s="552">
        <v>4</v>
      </c>
      <c r="H122" s="387" t="s">
        <v>232</v>
      </c>
      <c r="I122" s="338">
        <f t="shared" si="216"/>
        <v>1</v>
      </c>
      <c r="J122" s="407">
        <f>'GW-Eq'!I122</f>
        <v>992.55583126550869</v>
      </c>
      <c r="K122" s="407">
        <f t="shared" si="219"/>
        <v>1.0074999999999999E-3</v>
      </c>
      <c r="L122" s="407" t="str">
        <f t="shared" si="161"/>
        <v>no</v>
      </c>
      <c r="M122" s="407">
        <f t="shared" si="162"/>
        <v>1</v>
      </c>
      <c r="N122" s="217" t="str">
        <f>'GW-Eq'!J122</f>
        <v>na</v>
      </c>
      <c r="O122" s="217" t="str">
        <f t="shared" si="220"/>
        <v>na</v>
      </c>
      <c r="P122" s="217" t="str">
        <f t="shared" si="164"/>
        <v>na</v>
      </c>
      <c r="Q122" s="217" t="str">
        <f t="shared" si="165"/>
        <v>na</v>
      </c>
      <c r="R122" s="1056">
        <f t="shared" si="166"/>
        <v>1</v>
      </c>
      <c r="T122" s="1113" t="str">
        <f t="shared" si="217"/>
        <v/>
      </c>
      <c r="U122" s="1114" t="str">
        <f t="shared" si="218"/>
        <v/>
      </c>
      <c r="V122" s="1114" t="str">
        <f t="shared" si="221"/>
        <v>X</v>
      </c>
      <c r="W122" s="1114" t="str">
        <f t="shared" si="222"/>
        <v>X</v>
      </c>
      <c r="X122" s="1114" t="str">
        <f t="shared" si="223"/>
        <v/>
      </c>
      <c r="Y122" s="1114" t="str">
        <f t="shared" si="224"/>
        <v/>
      </c>
      <c r="Z122" s="1114" t="str">
        <f t="shared" si="225"/>
        <v/>
      </c>
      <c r="AA122" s="1114" t="str">
        <f t="shared" si="226"/>
        <v/>
      </c>
      <c r="AB122" s="1704" t="str">
        <f t="shared" si="175"/>
        <v/>
      </c>
      <c r="AC122" s="1115" t="str">
        <f t="shared" si="227"/>
        <v/>
      </c>
      <c r="AE122" s="985"/>
      <c r="AG122" s="130" t="str">
        <f t="shared" si="228"/>
        <v/>
      </c>
    </row>
    <row r="123" spans="1:33" s="130" customFormat="1" ht="13.9" customHeight="1" x14ac:dyDescent="0.25">
      <c r="A123" s="847">
        <f>Chem!A123</f>
        <v>121</v>
      </c>
      <c r="B123" s="856" t="str">
        <f>Chem!B123</f>
        <v>Hexachloroethane</v>
      </c>
      <c r="C123" s="394" t="s">
        <v>232</v>
      </c>
      <c r="D123" s="338" t="s">
        <v>232</v>
      </c>
      <c r="E123" s="394">
        <v>0.02</v>
      </c>
      <c r="F123" s="394">
        <v>0.02</v>
      </c>
      <c r="G123" s="552">
        <v>0.1</v>
      </c>
      <c r="H123" s="387" t="s">
        <v>232</v>
      </c>
      <c r="I123" s="338">
        <f t="shared" si="216"/>
        <v>0.02</v>
      </c>
      <c r="J123" s="407">
        <f>'GW-Eq'!I123</f>
        <v>5.7832462895754038</v>
      </c>
      <c r="K123" s="407">
        <f t="shared" si="219"/>
        <v>3.4582653061224489E-3</v>
      </c>
      <c r="L123" s="407" t="str">
        <f t="shared" si="161"/>
        <v>no</v>
      </c>
      <c r="M123" s="407">
        <f t="shared" si="162"/>
        <v>0.02</v>
      </c>
      <c r="N123" s="217">
        <f>'GW-Eq'!J123</f>
        <v>0.51636127585494662</v>
      </c>
      <c r="O123" s="217">
        <f t="shared" si="220"/>
        <v>3.8732571428571436E-2</v>
      </c>
      <c r="P123" s="217" t="str">
        <f t="shared" si="164"/>
        <v>no</v>
      </c>
      <c r="Q123" s="217">
        <f t="shared" si="165"/>
        <v>0.02</v>
      </c>
      <c r="R123" s="1056">
        <f t="shared" si="166"/>
        <v>0.02</v>
      </c>
      <c r="T123" s="1113" t="str">
        <f t="shared" si="217"/>
        <v/>
      </c>
      <c r="U123" s="1114" t="str">
        <f t="shared" si="218"/>
        <v/>
      </c>
      <c r="V123" s="1114" t="str">
        <f t="shared" si="221"/>
        <v>X</v>
      </c>
      <c r="W123" s="1114" t="str">
        <f t="shared" si="222"/>
        <v>X</v>
      </c>
      <c r="X123" s="1114" t="str">
        <f t="shared" si="223"/>
        <v/>
      </c>
      <c r="Y123" s="1114" t="str">
        <f t="shared" si="224"/>
        <v/>
      </c>
      <c r="Z123" s="1114" t="str">
        <f t="shared" si="225"/>
        <v/>
      </c>
      <c r="AA123" s="1114" t="str">
        <f t="shared" si="226"/>
        <v/>
      </c>
      <c r="AB123" s="1704" t="str">
        <f t="shared" si="175"/>
        <v/>
      </c>
      <c r="AC123" s="1115" t="str">
        <f t="shared" si="227"/>
        <v/>
      </c>
      <c r="AE123" s="985"/>
      <c r="AG123" s="130" t="str">
        <f t="shared" si="228"/>
        <v/>
      </c>
    </row>
    <row r="124" spans="1:33" s="130" customFormat="1" ht="13.9" customHeight="1" x14ac:dyDescent="0.25">
      <c r="A124" s="847">
        <f>Chem!A124</f>
        <v>122</v>
      </c>
      <c r="B124" s="856" t="str">
        <f>Chem!B124</f>
        <v>Isophorone</v>
      </c>
      <c r="C124" s="394" t="s">
        <v>232</v>
      </c>
      <c r="D124" s="338" t="s">
        <v>232</v>
      </c>
      <c r="E124" s="394">
        <v>110</v>
      </c>
      <c r="F124" s="394" t="s">
        <v>232</v>
      </c>
      <c r="G124" s="552">
        <v>1800</v>
      </c>
      <c r="H124" s="387" t="s">
        <v>232</v>
      </c>
      <c r="I124" s="338">
        <f t="shared" si="216"/>
        <v>110</v>
      </c>
      <c r="J124" s="407">
        <f>'GW-Eq'!I124</f>
        <v>32783.046481676618</v>
      </c>
      <c r="K124" s="407">
        <f t="shared" si="219"/>
        <v>3.3553928571428571E-3</v>
      </c>
      <c r="L124" s="407" t="str">
        <f t="shared" si="161"/>
        <v>no</v>
      </c>
      <c r="M124" s="407">
        <f t="shared" si="162"/>
        <v>110</v>
      </c>
      <c r="N124" s="217">
        <f>'GW-Eq'!J124</f>
        <v>431.35587475890281</v>
      </c>
      <c r="O124" s="217">
        <f t="shared" si="220"/>
        <v>0.25500985714285718</v>
      </c>
      <c r="P124" s="217" t="str">
        <f t="shared" si="164"/>
        <v>no</v>
      </c>
      <c r="Q124" s="217">
        <f t="shared" si="165"/>
        <v>110</v>
      </c>
      <c r="R124" s="1056">
        <f t="shared" si="166"/>
        <v>110</v>
      </c>
      <c r="T124" s="1113" t="str">
        <f t="shared" si="217"/>
        <v/>
      </c>
      <c r="U124" s="1114" t="str">
        <f t="shared" si="218"/>
        <v/>
      </c>
      <c r="V124" s="1114" t="str">
        <f t="shared" si="221"/>
        <v>X</v>
      </c>
      <c r="W124" s="1114" t="str">
        <f t="shared" si="222"/>
        <v/>
      </c>
      <c r="X124" s="1114" t="str">
        <f t="shared" si="223"/>
        <v/>
      </c>
      <c r="Y124" s="1114" t="str">
        <f t="shared" si="224"/>
        <v/>
      </c>
      <c r="Z124" s="1114" t="str">
        <f t="shared" si="225"/>
        <v/>
      </c>
      <c r="AA124" s="1114" t="str">
        <f t="shared" si="226"/>
        <v/>
      </c>
      <c r="AB124" s="1704" t="str">
        <f t="shared" si="175"/>
        <v/>
      </c>
      <c r="AC124" s="1115" t="str">
        <f t="shared" si="227"/>
        <v/>
      </c>
      <c r="AE124" s="985"/>
      <c r="AG124" s="130" t="str">
        <f t="shared" si="228"/>
        <v/>
      </c>
    </row>
    <row r="125" spans="1:33" s="130" customFormat="1" ht="13.9" customHeight="1" x14ac:dyDescent="0.25">
      <c r="A125" s="847">
        <f>Chem!A125</f>
        <v>123</v>
      </c>
      <c r="B125" s="856" t="str">
        <f>Chem!B125</f>
        <v>2-Methoxynaphthalene</v>
      </c>
      <c r="C125" s="394" t="s">
        <v>232</v>
      </c>
      <c r="D125" s="338" t="s">
        <v>232</v>
      </c>
      <c r="E125" s="394" t="s">
        <v>232</v>
      </c>
      <c r="F125" s="394" t="s">
        <v>232</v>
      </c>
      <c r="G125" s="552" t="s">
        <v>232</v>
      </c>
      <c r="H125" s="387" t="s">
        <v>232</v>
      </c>
      <c r="I125" s="338" t="str">
        <f t="shared" si="216"/>
        <v>na</v>
      </c>
      <c r="J125" s="407" t="str">
        <f>'GW-Eq'!I125</f>
        <v>na</v>
      </c>
      <c r="K125" s="407" t="str">
        <f t="shared" si="219"/>
        <v>na</v>
      </c>
      <c r="L125" s="407" t="str">
        <f t="shared" si="161"/>
        <v>na</v>
      </c>
      <c r="M125" s="407" t="str">
        <f t="shared" si="162"/>
        <v>na</v>
      </c>
      <c r="N125" s="217" t="str">
        <f>'GW-Eq'!J125</f>
        <v>na</v>
      </c>
      <c r="O125" s="217" t="str">
        <f t="shared" si="220"/>
        <v>na</v>
      </c>
      <c r="P125" s="217" t="str">
        <f t="shared" si="164"/>
        <v>na</v>
      </c>
      <c r="Q125" s="217" t="str">
        <f t="shared" si="165"/>
        <v>na</v>
      </c>
      <c r="R125" s="1056" t="str">
        <f t="shared" si="166"/>
        <v>na</v>
      </c>
      <c r="T125" s="1113" t="str">
        <f t="shared" si="217"/>
        <v/>
      </c>
      <c r="U125" s="1114" t="str">
        <f t="shared" si="218"/>
        <v/>
      </c>
      <c r="V125" s="1114" t="str">
        <f t="shared" si="221"/>
        <v/>
      </c>
      <c r="W125" s="1114" t="str">
        <f t="shared" si="222"/>
        <v/>
      </c>
      <c r="X125" s="1114" t="str">
        <f t="shared" si="223"/>
        <v/>
      </c>
      <c r="Y125" s="1114" t="str">
        <f t="shared" si="224"/>
        <v/>
      </c>
      <c r="Z125" s="1114" t="str">
        <f t="shared" si="225"/>
        <v/>
      </c>
      <c r="AA125" s="1114" t="str">
        <f t="shared" si="226"/>
        <v/>
      </c>
      <c r="AB125" s="1704" t="str">
        <f t="shared" si="175"/>
        <v/>
      </c>
      <c r="AC125" s="1115" t="str">
        <f t="shared" si="227"/>
        <v/>
      </c>
      <c r="AE125" s="985"/>
    </row>
    <row r="126" spans="1:33" s="130" customFormat="1" ht="13.9" customHeight="1" x14ac:dyDescent="0.25">
      <c r="A126" s="847">
        <f>Chem!A126</f>
        <v>124</v>
      </c>
      <c r="B126" s="856" t="str">
        <f>Chem!B126</f>
        <v>2-Methylphenol (o-cresol)</v>
      </c>
      <c r="C126" s="394" t="s">
        <v>232</v>
      </c>
      <c r="D126" s="338" t="s">
        <v>232</v>
      </c>
      <c r="E126" s="394" t="s">
        <v>232</v>
      </c>
      <c r="F126" s="394" t="s">
        <v>232</v>
      </c>
      <c r="G126" s="552" t="s">
        <v>232</v>
      </c>
      <c r="H126" s="387" t="s">
        <v>232</v>
      </c>
      <c r="I126" s="338" t="str">
        <f t="shared" si="216"/>
        <v>na</v>
      </c>
      <c r="J126" s="407" t="str">
        <f>'GW-Eq'!I126</f>
        <v>na</v>
      </c>
      <c r="K126" s="407" t="str">
        <f t="shared" si="219"/>
        <v>na</v>
      </c>
      <c r="L126" s="407" t="str">
        <f t="shared" si="161"/>
        <v>na</v>
      </c>
      <c r="M126" s="407" t="str">
        <f t="shared" si="162"/>
        <v>na</v>
      </c>
      <c r="N126" s="217" t="str">
        <f>'GW-Eq'!J126</f>
        <v>na</v>
      </c>
      <c r="O126" s="217" t="str">
        <f t="shared" si="220"/>
        <v>na</v>
      </c>
      <c r="P126" s="217" t="str">
        <f t="shared" si="164"/>
        <v>na</v>
      </c>
      <c r="Q126" s="217" t="str">
        <f t="shared" si="165"/>
        <v>na</v>
      </c>
      <c r="R126" s="1056" t="str">
        <f t="shared" si="166"/>
        <v>na</v>
      </c>
      <c r="T126" s="1113" t="str">
        <f t="shared" si="217"/>
        <v/>
      </c>
      <c r="U126" s="1114" t="str">
        <f t="shared" si="218"/>
        <v/>
      </c>
      <c r="V126" s="1114" t="str">
        <f t="shared" si="221"/>
        <v/>
      </c>
      <c r="W126" s="1114" t="str">
        <f t="shared" si="222"/>
        <v/>
      </c>
      <c r="X126" s="1114" t="str">
        <f t="shared" si="223"/>
        <v/>
      </c>
      <c r="Y126" s="1114" t="str">
        <f t="shared" si="224"/>
        <v/>
      </c>
      <c r="Z126" s="1114" t="str">
        <f t="shared" si="225"/>
        <v/>
      </c>
      <c r="AA126" s="1114" t="str">
        <f t="shared" si="226"/>
        <v/>
      </c>
      <c r="AB126" s="1704" t="str">
        <f t="shared" si="175"/>
        <v/>
      </c>
      <c r="AC126" s="1115" t="str">
        <f t="shared" si="227"/>
        <v/>
      </c>
      <c r="AE126" s="985"/>
    </row>
    <row r="127" spans="1:33" s="130" customFormat="1" ht="13.9" customHeight="1" x14ac:dyDescent="0.25">
      <c r="A127" s="847">
        <f>Chem!A127</f>
        <v>125</v>
      </c>
      <c r="B127" s="856" t="str">
        <f>Chem!B127</f>
        <v>3-Methylphenol (m-cresol)</v>
      </c>
      <c r="C127" s="394" t="s">
        <v>232</v>
      </c>
      <c r="D127" s="338" t="s">
        <v>232</v>
      </c>
      <c r="E127" s="394" t="s">
        <v>232</v>
      </c>
      <c r="F127" s="394" t="s">
        <v>232</v>
      </c>
      <c r="G127" s="552" t="s">
        <v>232</v>
      </c>
      <c r="H127" s="387" t="s">
        <v>232</v>
      </c>
      <c r="I127" s="338" t="str">
        <f t="shared" si="216"/>
        <v>na</v>
      </c>
      <c r="J127" s="407" t="str">
        <f>'GW-Eq'!I127</f>
        <v>na</v>
      </c>
      <c r="K127" s="407" t="str">
        <f t="shared" ref="K127" si="229">IF(I127="na","na",IF(J127="na","na",I127/J127))</f>
        <v>na</v>
      </c>
      <c r="L127" s="407" t="str">
        <f t="shared" ref="L127" si="230">IF(K127="na","na",IF(K127&gt;1,"YES","no"))</f>
        <v>na</v>
      </c>
      <c r="M127" s="407" t="str">
        <f t="shared" ref="M127" si="231">IF(L127="YES",J127,IF(ISNUMBER(I127),I127,J127))</f>
        <v>na</v>
      </c>
      <c r="N127" s="217" t="str">
        <f>'GW-Eq'!J127</f>
        <v>na</v>
      </c>
      <c r="O127" s="217" t="str">
        <f t="shared" ref="O127" si="232">IF(I127="na","na",IF(N127="na","na",I127/N127))</f>
        <v>na</v>
      </c>
      <c r="P127" s="217" t="str">
        <f t="shared" ref="P127" si="233">IF(O127="na","na",IF(O127&gt;10,"YES","no"))</f>
        <v>na</v>
      </c>
      <c r="Q127" s="217" t="str">
        <f t="shared" ref="Q127" si="234">IF(P127="YES",10*N127,IF(P127="no",I127,N127))</f>
        <v>na</v>
      </c>
      <c r="R127" s="1056" t="str">
        <f t="shared" si="166"/>
        <v>na</v>
      </c>
      <c r="T127" s="1113" t="str">
        <f t="shared" si="217"/>
        <v/>
      </c>
      <c r="U127" s="1114" t="str">
        <f t="shared" si="218"/>
        <v/>
      </c>
      <c r="V127" s="1114" t="str">
        <f t="shared" ref="V127" si="235">IF($R127="na","",IF($R127=E127,"X",""))</f>
        <v/>
      </c>
      <c r="W127" s="1114" t="str">
        <f t="shared" ref="W127" si="236">IF($R127="na","",IF($R127=F127,"X",""))</f>
        <v/>
      </c>
      <c r="X127" s="1114" t="str">
        <f t="shared" ref="X127" si="237">IF($R127="na","",IF($R127=G127,"X",""))</f>
        <v/>
      </c>
      <c r="Y127" s="1114" t="str">
        <f t="shared" ref="Y127" si="238">IF($R127="na","",IF($R127=H127,"X",""))</f>
        <v/>
      </c>
      <c r="Z127" s="1114" t="str">
        <f t="shared" ref="Z127" si="239">IF($R127="na","",IF($R127=J127,"X",""))</f>
        <v/>
      </c>
      <c r="AA127" s="1114" t="str">
        <f t="shared" ref="AA127" si="240">IF($R127="na","",IF($R127=N127,"X",""))</f>
        <v/>
      </c>
      <c r="AB127" s="1704" t="str">
        <f t="shared" si="175"/>
        <v/>
      </c>
      <c r="AC127" s="1115" t="str">
        <f t="shared" ref="AC127" si="241">IF(OR($R127="na",N127="na"),"",IF($R127=10*N127,"X",""))</f>
        <v/>
      </c>
      <c r="AE127" s="985"/>
    </row>
    <row r="128" spans="1:33" s="130" customFormat="1" ht="13.9" customHeight="1" x14ac:dyDescent="0.25">
      <c r="A128" s="847">
        <f>Chem!A128</f>
        <v>126</v>
      </c>
      <c r="B128" s="856" t="str">
        <f>Chem!B128</f>
        <v>4-Methylphenol (p-cresol)</v>
      </c>
      <c r="C128" s="394" t="s">
        <v>232</v>
      </c>
      <c r="D128" s="338" t="s">
        <v>232</v>
      </c>
      <c r="E128" s="394" t="s">
        <v>232</v>
      </c>
      <c r="F128" s="394" t="s">
        <v>232</v>
      </c>
      <c r="G128" s="552" t="s">
        <v>232</v>
      </c>
      <c r="H128" s="387" t="s">
        <v>232</v>
      </c>
      <c r="I128" s="338" t="str">
        <f t="shared" si="216"/>
        <v>na</v>
      </c>
      <c r="J128" s="407" t="str">
        <f>'GW-Eq'!I128</f>
        <v>na</v>
      </c>
      <c r="K128" s="407" t="str">
        <f t="shared" si="219"/>
        <v>na</v>
      </c>
      <c r="L128" s="407" t="str">
        <f t="shared" si="161"/>
        <v>na</v>
      </c>
      <c r="M128" s="407" t="str">
        <f t="shared" si="162"/>
        <v>na</v>
      </c>
      <c r="N128" s="217" t="str">
        <f>'GW-Eq'!J128</f>
        <v>na</v>
      </c>
      <c r="O128" s="217" t="str">
        <f t="shared" si="220"/>
        <v>na</v>
      </c>
      <c r="P128" s="217" t="str">
        <f t="shared" si="164"/>
        <v>na</v>
      </c>
      <c r="Q128" s="217" t="str">
        <f t="shared" si="165"/>
        <v>na</v>
      </c>
      <c r="R128" s="1056" t="str">
        <f t="shared" si="166"/>
        <v>na</v>
      </c>
      <c r="T128" s="1113" t="str">
        <f t="shared" si="217"/>
        <v/>
      </c>
      <c r="U128" s="1114" t="str">
        <f t="shared" si="218"/>
        <v/>
      </c>
      <c r="V128" s="1114" t="str">
        <f t="shared" si="221"/>
        <v/>
      </c>
      <c r="W128" s="1114" t="str">
        <f t="shared" si="222"/>
        <v/>
      </c>
      <c r="X128" s="1114" t="str">
        <f t="shared" si="223"/>
        <v/>
      </c>
      <c r="Y128" s="1114" t="str">
        <f t="shared" si="224"/>
        <v/>
      </c>
      <c r="Z128" s="1114" t="str">
        <f t="shared" si="225"/>
        <v/>
      </c>
      <c r="AA128" s="1114" t="str">
        <f t="shared" si="226"/>
        <v/>
      </c>
      <c r="AB128" s="1704" t="str">
        <f t="shared" si="175"/>
        <v/>
      </c>
      <c r="AC128" s="1115" t="str">
        <f t="shared" si="227"/>
        <v/>
      </c>
      <c r="AE128" s="985"/>
    </row>
    <row r="129" spans="1:33" s="130" customFormat="1" ht="13.9" customHeight="1" x14ac:dyDescent="0.25">
      <c r="A129" s="847">
        <f>Chem!A129</f>
        <v>127</v>
      </c>
      <c r="B129" s="856" t="str">
        <f>Chem!B129</f>
        <v>2-Nitroaniline</v>
      </c>
      <c r="C129" s="394" t="s">
        <v>232</v>
      </c>
      <c r="D129" s="338" t="s">
        <v>232</v>
      </c>
      <c r="E129" s="394" t="s">
        <v>232</v>
      </c>
      <c r="F129" s="394" t="s">
        <v>232</v>
      </c>
      <c r="G129" s="552" t="s">
        <v>232</v>
      </c>
      <c r="H129" s="387" t="s">
        <v>232</v>
      </c>
      <c r="I129" s="338" t="str">
        <f t="shared" si="216"/>
        <v>na</v>
      </c>
      <c r="J129" s="407" t="str">
        <f>'GW-Eq'!I129</f>
        <v>na</v>
      </c>
      <c r="K129" s="407" t="str">
        <f t="shared" si="219"/>
        <v>na</v>
      </c>
      <c r="L129" s="407" t="str">
        <f t="shared" si="161"/>
        <v>na</v>
      </c>
      <c r="M129" s="407" t="str">
        <f t="shared" si="162"/>
        <v>na</v>
      </c>
      <c r="N129" s="217" t="str">
        <f>'GW-Eq'!J129</f>
        <v>na</v>
      </c>
      <c r="O129" s="217" t="str">
        <f t="shared" si="220"/>
        <v>na</v>
      </c>
      <c r="P129" s="217" t="str">
        <f t="shared" si="164"/>
        <v>na</v>
      </c>
      <c r="Q129" s="217" t="str">
        <f t="shared" si="165"/>
        <v>na</v>
      </c>
      <c r="R129" s="1056" t="str">
        <f t="shared" si="166"/>
        <v>na</v>
      </c>
      <c r="T129" s="1113" t="str">
        <f t="shared" si="217"/>
        <v/>
      </c>
      <c r="U129" s="1114" t="str">
        <f t="shared" si="218"/>
        <v/>
      </c>
      <c r="V129" s="1114" t="str">
        <f t="shared" si="221"/>
        <v/>
      </c>
      <c r="W129" s="1114" t="str">
        <f t="shared" si="222"/>
        <v/>
      </c>
      <c r="X129" s="1114" t="str">
        <f t="shared" si="223"/>
        <v/>
      </c>
      <c r="Y129" s="1114" t="str">
        <f t="shared" si="224"/>
        <v/>
      </c>
      <c r="Z129" s="1114" t="str">
        <f t="shared" si="225"/>
        <v/>
      </c>
      <c r="AA129" s="1114" t="str">
        <f t="shared" si="226"/>
        <v/>
      </c>
      <c r="AB129" s="1704" t="str">
        <f t="shared" si="175"/>
        <v/>
      </c>
      <c r="AC129" s="1115" t="str">
        <f t="shared" si="227"/>
        <v/>
      </c>
      <c r="AE129" s="985"/>
    </row>
    <row r="130" spans="1:33" s="130" customFormat="1" ht="13.5" customHeight="1" x14ac:dyDescent="0.25">
      <c r="A130" s="847">
        <f>Chem!A130</f>
        <v>128</v>
      </c>
      <c r="B130" s="856" t="str">
        <f>Chem!B130</f>
        <v>3-Nitroaniline</v>
      </c>
      <c r="C130" s="394" t="s">
        <v>232</v>
      </c>
      <c r="D130" s="338" t="s">
        <v>232</v>
      </c>
      <c r="E130" s="394" t="s">
        <v>232</v>
      </c>
      <c r="F130" s="394" t="s">
        <v>232</v>
      </c>
      <c r="G130" s="552" t="s">
        <v>232</v>
      </c>
      <c r="H130" s="387" t="s">
        <v>232</v>
      </c>
      <c r="I130" s="338" t="str">
        <f t="shared" si="216"/>
        <v>na</v>
      </c>
      <c r="J130" s="407" t="str">
        <f>'GW-Eq'!I130</f>
        <v>na</v>
      </c>
      <c r="K130" s="407" t="str">
        <f t="shared" si="219"/>
        <v>na</v>
      </c>
      <c r="L130" s="407" t="str">
        <f t="shared" si="161"/>
        <v>na</v>
      </c>
      <c r="M130" s="407" t="str">
        <f t="shared" si="162"/>
        <v>na</v>
      </c>
      <c r="N130" s="217" t="str">
        <f>'GW-Eq'!J130</f>
        <v>na</v>
      </c>
      <c r="O130" s="217" t="str">
        <f t="shared" si="220"/>
        <v>na</v>
      </c>
      <c r="P130" s="217" t="str">
        <f t="shared" si="164"/>
        <v>na</v>
      </c>
      <c r="Q130" s="217" t="str">
        <f t="shared" si="165"/>
        <v>na</v>
      </c>
      <c r="R130" s="1056" t="str">
        <f t="shared" si="166"/>
        <v>na</v>
      </c>
      <c r="T130" s="1113" t="str">
        <f t="shared" si="217"/>
        <v/>
      </c>
      <c r="U130" s="1114" t="str">
        <f t="shared" si="218"/>
        <v/>
      </c>
      <c r="V130" s="1114" t="str">
        <f t="shared" si="221"/>
        <v/>
      </c>
      <c r="W130" s="1114" t="str">
        <f t="shared" si="222"/>
        <v/>
      </c>
      <c r="X130" s="1114" t="str">
        <f t="shared" si="223"/>
        <v/>
      </c>
      <c r="Y130" s="1114" t="str">
        <f t="shared" si="224"/>
        <v/>
      </c>
      <c r="Z130" s="1114" t="str">
        <f t="shared" si="225"/>
        <v/>
      </c>
      <c r="AA130" s="1114" t="str">
        <f t="shared" si="226"/>
        <v/>
      </c>
      <c r="AB130" s="1704" t="str">
        <f t="shared" si="175"/>
        <v/>
      </c>
      <c r="AC130" s="1115" t="str">
        <f t="shared" si="227"/>
        <v/>
      </c>
      <c r="AE130" s="985"/>
    </row>
    <row r="131" spans="1:33" s="130" customFormat="1" ht="13.9" customHeight="1" x14ac:dyDescent="0.25">
      <c r="A131" s="847">
        <f>Chem!A131</f>
        <v>129</v>
      </c>
      <c r="B131" s="856" t="str">
        <f>Chem!B131</f>
        <v>4-Nitroaniline</v>
      </c>
      <c r="C131" s="394" t="s">
        <v>232</v>
      </c>
      <c r="D131" s="338" t="s">
        <v>232</v>
      </c>
      <c r="E131" s="394" t="s">
        <v>232</v>
      </c>
      <c r="F131" s="394" t="s">
        <v>232</v>
      </c>
      <c r="G131" s="552" t="s">
        <v>232</v>
      </c>
      <c r="H131" s="387" t="s">
        <v>232</v>
      </c>
      <c r="I131" s="338" t="str">
        <f t="shared" si="216"/>
        <v>na</v>
      </c>
      <c r="J131" s="407" t="str">
        <f>'GW-Eq'!I131</f>
        <v>na</v>
      </c>
      <c r="K131" s="407" t="str">
        <f t="shared" si="219"/>
        <v>na</v>
      </c>
      <c r="L131" s="407" t="str">
        <f t="shared" si="161"/>
        <v>na</v>
      </c>
      <c r="M131" s="407" t="str">
        <f t="shared" si="162"/>
        <v>na</v>
      </c>
      <c r="N131" s="217" t="str">
        <f>'GW-Eq'!J131</f>
        <v>na</v>
      </c>
      <c r="O131" s="217" t="str">
        <f t="shared" si="220"/>
        <v>na</v>
      </c>
      <c r="P131" s="217" t="str">
        <f t="shared" si="164"/>
        <v>na</v>
      </c>
      <c r="Q131" s="217" t="str">
        <f t="shared" si="165"/>
        <v>na</v>
      </c>
      <c r="R131" s="1056" t="str">
        <f t="shared" si="166"/>
        <v>na</v>
      </c>
      <c r="T131" s="1113" t="str">
        <f t="shared" si="217"/>
        <v/>
      </c>
      <c r="U131" s="1114" t="str">
        <f t="shared" si="218"/>
        <v/>
      </c>
      <c r="V131" s="1114" t="str">
        <f t="shared" si="221"/>
        <v/>
      </c>
      <c r="W131" s="1114" t="str">
        <f t="shared" si="222"/>
        <v/>
      </c>
      <c r="X131" s="1114" t="str">
        <f t="shared" si="223"/>
        <v/>
      </c>
      <c r="Y131" s="1114" t="str">
        <f t="shared" si="224"/>
        <v/>
      </c>
      <c r="Z131" s="1114" t="str">
        <f t="shared" si="225"/>
        <v/>
      </c>
      <c r="AA131" s="1114" t="str">
        <f t="shared" si="226"/>
        <v/>
      </c>
      <c r="AB131" s="1704" t="str">
        <f t="shared" si="175"/>
        <v/>
      </c>
      <c r="AC131" s="1115" t="str">
        <f t="shared" si="227"/>
        <v/>
      </c>
      <c r="AE131" s="985"/>
    </row>
    <row r="132" spans="1:33" s="130" customFormat="1" ht="13.9" customHeight="1" x14ac:dyDescent="0.25">
      <c r="A132" s="847">
        <f>Chem!A132</f>
        <v>130</v>
      </c>
      <c r="B132" s="856" t="str">
        <f>Chem!B132</f>
        <v>Nitrobenzene</v>
      </c>
      <c r="C132" s="394" t="s">
        <v>232</v>
      </c>
      <c r="D132" s="338" t="s">
        <v>232</v>
      </c>
      <c r="E132" s="394">
        <v>100</v>
      </c>
      <c r="F132" s="394">
        <v>100</v>
      </c>
      <c r="G132" s="552">
        <v>600</v>
      </c>
      <c r="H132" s="387" t="s">
        <v>232</v>
      </c>
      <c r="I132" s="338">
        <f t="shared" si="216"/>
        <v>100</v>
      </c>
      <c r="J132" s="407">
        <f>'GW-Eq'!I132</f>
        <v>496.85032383994326</v>
      </c>
      <c r="K132" s="407">
        <f t="shared" si="219"/>
        <v>0.20126785714285714</v>
      </c>
      <c r="L132" s="407" t="str">
        <f t="shared" si="161"/>
        <v>no</v>
      </c>
      <c r="M132" s="407">
        <f t="shared" si="162"/>
        <v>100</v>
      </c>
      <c r="N132" s="217" t="str">
        <f>'GW-Eq'!J132</f>
        <v>na</v>
      </c>
      <c r="O132" s="217" t="str">
        <f t="shared" si="220"/>
        <v>na</v>
      </c>
      <c r="P132" s="217" t="str">
        <f t="shared" si="164"/>
        <v>na</v>
      </c>
      <c r="Q132" s="217" t="str">
        <f t="shared" si="165"/>
        <v>na</v>
      </c>
      <c r="R132" s="1056">
        <f t="shared" si="166"/>
        <v>100</v>
      </c>
      <c r="T132" s="1113" t="str">
        <f t="shared" si="217"/>
        <v/>
      </c>
      <c r="U132" s="1114" t="str">
        <f t="shared" si="218"/>
        <v/>
      </c>
      <c r="V132" s="1114" t="str">
        <f t="shared" si="221"/>
        <v>X</v>
      </c>
      <c r="W132" s="1114" t="str">
        <f t="shared" si="222"/>
        <v>X</v>
      </c>
      <c r="X132" s="1114" t="str">
        <f t="shared" si="223"/>
        <v/>
      </c>
      <c r="Y132" s="1114" t="str">
        <f t="shared" si="224"/>
        <v/>
      </c>
      <c r="Z132" s="1114" t="str">
        <f t="shared" si="225"/>
        <v/>
      </c>
      <c r="AA132" s="1114" t="str">
        <f t="shared" si="226"/>
        <v/>
      </c>
      <c r="AB132" s="1704" t="str">
        <f t="shared" si="175"/>
        <v/>
      </c>
      <c r="AC132" s="1115" t="str">
        <f t="shared" si="227"/>
        <v/>
      </c>
      <c r="AE132" s="985"/>
      <c r="AG132" s="130" t="str">
        <f>IF(R132=J132,"X","")</f>
        <v/>
      </c>
    </row>
    <row r="133" spans="1:33" s="130" customFormat="1" ht="13.9" customHeight="1" x14ac:dyDescent="0.25">
      <c r="A133" s="847">
        <f>Chem!A133</f>
        <v>131</v>
      </c>
      <c r="B133" s="856" t="str">
        <f>Chem!B133</f>
        <v>2-Nitrophenol</v>
      </c>
      <c r="C133" s="394" t="s">
        <v>232</v>
      </c>
      <c r="D133" s="338" t="s">
        <v>232</v>
      </c>
      <c r="E133" s="394" t="s">
        <v>232</v>
      </c>
      <c r="F133" s="394" t="s">
        <v>232</v>
      </c>
      <c r="G133" s="552" t="s">
        <v>232</v>
      </c>
      <c r="H133" s="387" t="s">
        <v>232</v>
      </c>
      <c r="I133" s="338" t="str">
        <f t="shared" si="216"/>
        <v>na</v>
      </c>
      <c r="J133" s="407" t="str">
        <f>'GW-Eq'!I133</f>
        <v>na</v>
      </c>
      <c r="K133" s="407" t="str">
        <f t="shared" si="219"/>
        <v>na</v>
      </c>
      <c r="L133" s="407" t="str">
        <f t="shared" si="161"/>
        <v>na</v>
      </c>
      <c r="M133" s="407" t="str">
        <f t="shared" si="162"/>
        <v>na</v>
      </c>
      <c r="N133" s="217" t="str">
        <f>'GW-Eq'!J133</f>
        <v>na</v>
      </c>
      <c r="O133" s="217" t="str">
        <f t="shared" si="220"/>
        <v>na</v>
      </c>
      <c r="P133" s="217" t="str">
        <f t="shared" si="164"/>
        <v>na</v>
      </c>
      <c r="Q133" s="217" t="str">
        <f t="shared" si="165"/>
        <v>na</v>
      </c>
      <c r="R133" s="1056" t="str">
        <f t="shared" si="166"/>
        <v>na</v>
      </c>
      <c r="T133" s="1113" t="str">
        <f t="shared" si="217"/>
        <v/>
      </c>
      <c r="U133" s="1114" t="str">
        <f t="shared" si="218"/>
        <v/>
      </c>
      <c r="V133" s="1114" t="str">
        <f t="shared" si="221"/>
        <v/>
      </c>
      <c r="W133" s="1114" t="str">
        <f t="shared" si="222"/>
        <v/>
      </c>
      <c r="X133" s="1114" t="str">
        <f t="shared" si="223"/>
        <v/>
      </c>
      <c r="Y133" s="1114" t="str">
        <f t="shared" si="224"/>
        <v/>
      </c>
      <c r="Z133" s="1114" t="str">
        <f t="shared" si="225"/>
        <v/>
      </c>
      <c r="AA133" s="1114" t="str">
        <f t="shared" si="226"/>
        <v/>
      </c>
      <c r="AB133" s="1704" t="str">
        <f t="shared" si="175"/>
        <v/>
      </c>
      <c r="AC133" s="1115" t="str">
        <f t="shared" si="227"/>
        <v/>
      </c>
      <c r="AE133" s="985"/>
    </row>
    <row r="134" spans="1:33" s="130" customFormat="1" ht="13.9" customHeight="1" x14ac:dyDescent="0.25">
      <c r="A134" s="847">
        <f>Chem!A134</f>
        <v>132</v>
      </c>
      <c r="B134" s="856" t="str">
        <f>Chem!B134</f>
        <v>4-Nitrophenol</v>
      </c>
      <c r="C134" s="394" t="s">
        <v>232</v>
      </c>
      <c r="D134" s="338" t="s">
        <v>232</v>
      </c>
      <c r="E134" s="394" t="s">
        <v>232</v>
      </c>
      <c r="F134" s="394" t="s">
        <v>232</v>
      </c>
      <c r="G134" s="552" t="s">
        <v>232</v>
      </c>
      <c r="H134" s="387" t="s">
        <v>232</v>
      </c>
      <c r="I134" s="338" t="str">
        <f t="shared" si="216"/>
        <v>na</v>
      </c>
      <c r="J134" s="407" t="str">
        <f>'GW-Eq'!I134</f>
        <v>na</v>
      </c>
      <c r="K134" s="407" t="str">
        <f t="shared" si="219"/>
        <v>na</v>
      </c>
      <c r="L134" s="407" t="str">
        <f t="shared" si="161"/>
        <v>na</v>
      </c>
      <c r="M134" s="407" t="str">
        <f t="shared" si="162"/>
        <v>na</v>
      </c>
      <c r="N134" s="217" t="str">
        <f>'GW-Eq'!J134</f>
        <v>na</v>
      </c>
      <c r="O134" s="217" t="str">
        <f t="shared" si="220"/>
        <v>na</v>
      </c>
      <c r="P134" s="217" t="str">
        <f t="shared" si="164"/>
        <v>na</v>
      </c>
      <c r="Q134" s="217" t="str">
        <f t="shared" si="165"/>
        <v>na</v>
      </c>
      <c r="R134" s="1056" t="str">
        <f t="shared" si="166"/>
        <v>na</v>
      </c>
      <c r="T134" s="1113" t="str">
        <f t="shared" si="217"/>
        <v/>
      </c>
      <c r="U134" s="1114" t="str">
        <f t="shared" si="218"/>
        <v/>
      </c>
      <c r="V134" s="1114" t="str">
        <f t="shared" si="221"/>
        <v/>
      </c>
      <c r="W134" s="1114" t="str">
        <f t="shared" si="222"/>
        <v/>
      </c>
      <c r="X134" s="1114" t="str">
        <f t="shared" si="223"/>
        <v/>
      </c>
      <c r="Y134" s="1114" t="str">
        <f t="shared" si="224"/>
        <v/>
      </c>
      <c r="Z134" s="1114" t="str">
        <f t="shared" si="225"/>
        <v/>
      </c>
      <c r="AA134" s="1114" t="str">
        <f t="shared" si="226"/>
        <v/>
      </c>
      <c r="AB134" s="1704" t="str">
        <f t="shared" si="175"/>
        <v/>
      </c>
      <c r="AC134" s="1115" t="str">
        <f t="shared" si="227"/>
        <v/>
      </c>
      <c r="AE134" s="985"/>
    </row>
    <row r="135" spans="1:33" s="130" customFormat="1" ht="13.9" customHeight="1" x14ac:dyDescent="0.25">
      <c r="A135" s="847">
        <f>Chem!A135</f>
        <v>133</v>
      </c>
      <c r="B135" s="856" t="str">
        <f>Chem!B135</f>
        <v>n-Nitrosodimethylamine</v>
      </c>
      <c r="C135" s="394" t="s">
        <v>232</v>
      </c>
      <c r="D135" s="338" t="s">
        <v>232</v>
      </c>
      <c r="E135" s="394">
        <v>0.34</v>
      </c>
      <c r="F135" s="394" t="s">
        <v>232</v>
      </c>
      <c r="G135" s="552">
        <v>3</v>
      </c>
      <c r="H135" s="387" t="s">
        <v>232</v>
      </c>
      <c r="I135" s="338">
        <f t="shared" si="216"/>
        <v>0.34</v>
      </c>
      <c r="J135" s="407">
        <f>'GW-Eq'!I135</f>
        <v>220.90729783037477</v>
      </c>
      <c r="K135" s="407">
        <f t="shared" si="219"/>
        <v>1.5391071428571428E-3</v>
      </c>
      <c r="L135" s="407" t="str">
        <f t="shared" si="161"/>
        <v>no</v>
      </c>
      <c r="M135" s="407">
        <f t="shared" si="162"/>
        <v>0.34</v>
      </c>
      <c r="N135" s="217">
        <f>'GW-Eq'!J135</f>
        <v>0.31182820503553815</v>
      </c>
      <c r="O135" s="217">
        <f t="shared" si="220"/>
        <v>1.0903439602625145</v>
      </c>
      <c r="P135" s="217" t="str">
        <f t="shared" si="164"/>
        <v>no</v>
      </c>
      <c r="Q135" s="217">
        <f t="shared" si="165"/>
        <v>0.34</v>
      </c>
      <c r="R135" s="1056">
        <f t="shared" si="166"/>
        <v>0.34</v>
      </c>
      <c r="T135" s="1113" t="str">
        <f t="shared" si="217"/>
        <v/>
      </c>
      <c r="U135" s="1114" t="str">
        <f t="shared" si="218"/>
        <v/>
      </c>
      <c r="V135" s="1114" t="str">
        <f t="shared" si="221"/>
        <v>X</v>
      </c>
      <c r="W135" s="1114" t="str">
        <f t="shared" si="222"/>
        <v/>
      </c>
      <c r="X135" s="1114" t="str">
        <f t="shared" si="223"/>
        <v/>
      </c>
      <c r="Y135" s="1114" t="str">
        <f t="shared" si="224"/>
        <v/>
      </c>
      <c r="Z135" s="1114" t="str">
        <f t="shared" si="225"/>
        <v/>
      </c>
      <c r="AA135" s="1114" t="str">
        <f t="shared" si="226"/>
        <v/>
      </c>
      <c r="AB135" s="1704" t="str">
        <f t="shared" si="175"/>
        <v/>
      </c>
      <c r="AC135" s="1115" t="str">
        <f t="shared" si="227"/>
        <v/>
      </c>
      <c r="AE135" s="985"/>
      <c r="AG135" s="130" t="str">
        <f>IF(R135=J135,"X","")</f>
        <v/>
      </c>
    </row>
    <row r="136" spans="1:33" s="130" customFormat="1" ht="13.9" customHeight="1" x14ac:dyDescent="0.25">
      <c r="A136" s="847">
        <f>Chem!A136</f>
        <v>134</v>
      </c>
      <c r="B136" s="856" t="str">
        <f>Chem!B136</f>
        <v>n-Nitrosodiphenylamine</v>
      </c>
      <c r="C136" s="394" t="s">
        <v>232</v>
      </c>
      <c r="D136" s="338" t="s">
        <v>232</v>
      </c>
      <c r="E136" s="394">
        <v>0.69</v>
      </c>
      <c r="F136" s="394" t="s">
        <v>232</v>
      </c>
      <c r="G136" s="552">
        <v>6</v>
      </c>
      <c r="H136" s="387" t="s">
        <v>232</v>
      </c>
      <c r="I136" s="338">
        <f t="shared" si="216"/>
        <v>0.69</v>
      </c>
      <c r="J136" s="407" t="str">
        <f>'GW-Eq'!I136</f>
        <v>na</v>
      </c>
      <c r="K136" s="407" t="str">
        <f t="shared" si="219"/>
        <v>na</v>
      </c>
      <c r="L136" s="407" t="str">
        <f t="shared" si="161"/>
        <v>na</v>
      </c>
      <c r="M136" s="407">
        <f t="shared" si="162"/>
        <v>0.69</v>
      </c>
      <c r="N136" s="217">
        <f>'GW-Eq'!J136</f>
        <v>2.6933850463262221</v>
      </c>
      <c r="O136" s="217">
        <f t="shared" si="220"/>
        <v>0.25618320000000006</v>
      </c>
      <c r="P136" s="217" t="str">
        <f t="shared" si="164"/>
        <v>no</v>
      </c>
      <c r="Q136" s="217">
        <f t="shared" si="165"/>
        <v>0.69</v>
      </c>
      <c r="R136" s="1056">
        <f t="shared" si="166"/>
        <v>0.69</v>
      </c>
      <c r="T136" s="1113" t="str">
        <f t="shared" si="217"/>
        <v/>
      </c>
      <c r="U136" s="1114" t="str">
        <f t="shared" si="218"/>
        <v/>
      </c>
      <c r="V136" s="1114" t="str">
        <f t="shared" si="221"/>
        <v>X</v>
      </c>
      <c r="W136" s="1114" t="str">
        <f t="shared" si="222"/>
        <v/>
      </c>
      <c r="X136" s="1114" t="str">
        <f t="shared" si="223"/>
        <v/>
      </c>
      <c r="Y136" s="1114" t="str">
        <f t="shared" si="224"/>
        <v/>
      </c>
      <c r="Z136" s="1114" t="str">
        <f t="shared" si="225"/>
        <v/>
      </c>
      <c r="AA136" s="1114" t="str">
        <f t="shared" si="226"/>
        <v/>
      </c>
      <c r="AB136" s="1704" t="str">
        <f t="shared" si="175"/>
        <v/>
      </c>
      <c r="AC136" s="1115" t="str">
        <f t="shared" si="227"/>
        <v/>
      </c>
      <c r="AE136" s="985"/>
      <c r="AG136" s="130" t="str">
        <f>IF(R136=J136,"X","")</f>
        <v/>
      </c>
    </row>
    <row r="137" spans="1:33" s="130" customFormat="1" ht="13.9" customHeight="1" x14ac:dyDescent="0.25">
      <c r="A137" s="847">
        <f>Chem!A137</f>
        <v>135</v>
      </c>
      <c r="B137" s="856" t="str">
        <f>Chem!B137</f>
        <v>n-Nitrosodi-n-propylamine</v>
      </c>
      <c r="C137" s="394" t="s">
        <v>232</v>
      </c>
      <c r="D137" s="338" t="s">
        <v>232</v>
      </c>
      <c r="E137" s="394">
        <v>5.8000000000000003E-2</v>
      </c>
      <c r="F137" s="394" t="s">
        <v>232</v>
      </c>
      <c r="G137" s="552">
        <v>0.51</v>
      </c>
      <c r="H137" s="387" t="s">
        <v>232</v>
      </c>
      <c r="I137" s="338">
        <f t="shared" si="216"/>
        <v>5.8000000000000003E-2</v>
      </c>
      <c r="J137" s="407" t="str">
        <f>'GW-Eq'!I137</f>
        <v>na</v>
      </c>
      <c r="K137" s="407" t="str">
        <f t="shared" si="219"/>
        <v>na</v>
      </c>
      <c r="L137" s="407" t="str">
        <f t="shared" si="161"/>
        <v>na</v>
      </c>
      <c r="M137" s="407">
        <f t="shared" si="162"/>
        <v>5.8000000000000003E-2</v>
      </c>
      <c r="N137" s="217">
        <f>'GW-Eq'!J137</f>
        <v>0.22691173133651008</v>
      </c>
      <c r="O137" s="217">
        <f t="shared" si="220"/>
        <v>0.25560600000000006</v>
      </c>
      <c r="P137" s="217" t="str">
        <f t="shared" si="164"/>
        <v>no</v>
      </c>
      <c r="Q137" s="217">
        <f t="shared" si="165"/>
        <v>5.8000000000000003E-2</v>
      </c>
      <c r="R137" s="1056">
        <f t="shared" si="166"/>
        <v>5.8000000000000003E-2</v>
      </c>
      <c r="T137" s="1113" t="str">
        <f t="shared" si="217"/>
        <v/>
      </c>
      <c r="U137" s="1114" t="str">
        <f t="shared" si="218"/>
        <v/>
      </c>
      <c r="V137" s="1114" t="str">
        <f t="shared" si="221"/>
        <v>X</v>
      </c>
      <c r="W137" s="1114" t="str">
        <f t="shared" si="222"/>
        <v/>
      </c>
      <c r="X137" s="1114" t="str">
        <f t="shared" si="223"/>
        <v/>
      </c>
      <c r="Y137" s="1114" t="str">
        <f t="shared" si="224"/>
        <v/>
      </c>
      <c r="Z137" s="1114" t="str">
        <f t="shared" si="225"/>
        <v/>
      </c>
      <c r="AA137" s="1114" t="str">
        <f t="shared" si="226"/>
        <v/>
      </c>
      <c r="AB137" s="1704" t="str">
        <f t="shared" si="175"/>
        <v/>
      </c>
      <c r="AC137" s="1115" t="str">
        <f t="shared" si="227"/>
        <v/>
      </c>
      <c r="AE137" s="985"/>
      <c r="AG137" s="130" t="str">
        <f>IF(R137=J137,"X","")</f>
        <v/>
      </c>
    </row>
    <row r="138" spans="1:33" s="130" customFormat="1" ht="13.9" customHeight="1" x14ac:dyDescent="0.25">
      <c r="A138" s="847">
        <f>Chem!A138</f>
        <v>136</v>
      </c>
      <c r="B138" s="856" t="str">
        <f>Chem!B138</f>
        <v>Pentachlorophenol</v>
      </c>
      <c r="C138" s="394">
        <v>6.7</v>
      </c>
      <c r="D138" s="338">
        <v>7.9</v>
      </c>
      <c r="E138" s="394">
        <v>2E-3</v>
      </c>
      <c r="F138" s="394">
        <v>2E-3</v>
      </c>
      <c r="G138" s="552">
        <v>0.04</v>
      </c>
      <c r="H138" s="387" t="s">
        <v>232</v>
      </c>
      <c r="I138" s="338">
        <v>2E-3</v>
      </c>
      <c r="J138" s="407">
        <f>'GW-Eq'!I138</f>
        <v>326.34032634032633</v>
      </c>
      <c r="K138" s="407">
        <f t="shared" si="219"/>
        <v>6.1285714285714289E-6</v>
      </c>
      <c r="L138" s="407" t="str">
        <f t="shared" si="161"/>
        <v>no</v>
      </c>
      <c r="M138" s="407">
        <f t="shared" si="162"/>
        <v>2E-3</v>
      </c>
      <c r="N138" s="217">
        <f>'GW-Eq'!J138</f>
        <v>0.40792540792540782</v>
      </c>
      <c r="O138" s="217">
        <f t="shared" si="220"/>
        <v>4.9028571428571446E-3</v>
      </c>
      <c r="P138" s="217" t="str">
        <f t="shared" si="164"/>
        <v>no</v>
      </c>
      <c r="Q138" s="217">
        <f t="shared" si="165"/>
        <v>2E-3</v>
      </c>
      <c r="R138" s="1056">
        <f t="shared" si="166"/>
        <v>2E-3</v>
      </c>
      <c r="T138" s="1113" t="str">
        <f t="shared" si="217"/>
        <v/>
      </c>
      <c r="U138" s="1114" t="str">
        <f t="shared" si="218"/>
        <v/>
      </c>
      <c r="V138" s="1114" t="str">
        <f t="shared" ref="V138" si="242">IF($R138="na","",IF($R138=E138,"X",""))</f>
        <v>X</v>
      </c>
      <c r="W138" s="1114" t="str">
        <f t="shared" ref="W138" si="243">IF($R138="na","",IF($R138=F138,"X",""))</f>
        <v>X</v>
      </c>
      <c r="X138" s="1114" t="str">
        <f t="shared" ref="X138" si="244">IF($R138="na","",IF($R138=G138,"X",""))</f>
        <v/>
      </c>
      <c r="Y138" s="1114" t="str">
        <f t="shared" ref="Y138" si="245">IF($R138="na","",IF($R138=H138,"X",""))</f>
        <v/>
      </c>
      <c r="Z138" s="1114" t="str">
        <f t="shared" ref="Z138" si="246">IF($R138="na","",IF($R138=J138,"X",""))</f>
        <v/>
      </c>
      <c r="AA138" s="1114" t="str">
        <f t="shared" ref="AA138" si="247">IF($R138="na","",IF($R138=N138,"X",""))</f>
        <v/>
      </c>
      <c r="AB138" s="1704" t="str">
        <f t="shared" si="175"/>
        <v/>
      </c>
      <c r="AC138" s="1115" t="str">
        <f t="shared" ref="AC138" si="248">IF(OR($R138="na",N138="na"),"",IF($R138=10*N138,"X",""))</f>
        <v/>
      </c>
      <c r="AE138" s="985"/>
      <c r="AG138" s="130" t="str">
        <f>IF(R138=J138,"X","")</f>
        <v/>
      </c>
    </row>
    <row r="139" spans="1:33" s="130" customFormat="1" ht="13.9" customHeight="1" x14ac:dyDescent="0.25">
      <c r="A139" s="847">
        <f>Chem!A139</f>
        <v>137</v>
      </c>
      <c r="B139" s="856" t="str">
        <f>Chem!B139</f>
        <v>Phenol</v>
      </c>
      <c r="C139" s="394" t="s">
        <v>232</v>
      </c>
      <c r="D139" s="338" t="s">
        <v>232</v>
      </c>
      <c r="E139" s="394">
        <v>70000</v>
      </c>
      <c r="F139" s="394">
        <v>70000</v>
      </c>
      <c r="G139" s="552">
        <v>300000</v>
      </c>
      <c r="H139" s="384" t="s">
        <v>232</v>
      </c>
      <c r="I139" s="338">
        <f t="shared" ref="I139:I145" si="249">IF(MIN(C139:H139)=0,"na",(MIN(C139:H139)))</f>
        <v>70000</v>
      </c>
      <c r="J139" s="407">
        <f>'GW-Eq'!I139</f>
        <v>153846.15384615387</v>
      </c>
      <c r="K139" s="407">
        <f t="shared" si="219"/>
        <v>0.4549999999999999</v>
      </c>
      <c r="L139" s="407" t="str">
        <f t="shared" si="161"/>
        <v>no</v>
      </c>
      <c r="M139" s="407">
        <f t="shared" si="162"/>
        <v>70000</v>
      </c>
      <c r="N139" s="217" t="str">
        <f>'GW-Eq'!J139</f>
        <v>na</v>
      </c>
      <c r="O139" s="217" t="str">
        <f t="shared" si="220"/>
        <v>na</v>
      </c>
      <c r="P139" s="217" t="str">
        <f t="shared" si="164"/>
        <v>na</v>
      </c>
      <c r="Q139" s="217" t="str">
        <f t="shared" si="165"/>
        <v>na</v>
      </c>
      <c r="R139" s="1056">
        <f t="shared" si="166"/>
        <v>70000</v>
      </c>
      <c r="T139" s="1113" t="str">
        <f t="shared" si="217"/>
        <v/>
      </c>
      <c r="U139" s="1114" t="str">
        <f t="shared" si="218"/>
        <v/>
      </c>
      <c r="V139" s="1114" t="str">
        <f t="shared" si="221"/>
        <v>X</v>
      </c>
      <c r="W139" s="1114" t="str">
        <f t="shared" si="222"/>
        <v>X</v>
      </c>
      <c r="X139" s="1114" t="str">
        <f t="shared" si="223"/>
        <v/>
      </c>
      <c r="Y139" s="1114" t="str">
        <f t="shared" si="224"/>
        <v/>
      </c>
      <c r="Z139" s="1114" t="str">
        <f t="shared" si="225"/>
        <v/>
      </c>
      <c r="AA139" s="1114" t="str">
        <f t="shared" si="226"/>
        <v/>
      </c>
      <c r="AB139" s="1704" t="str">
        <f t="shared" si="175"/>
        <v/>
      </c>
      <c r="AC139" s="1115" t="str">
        <f t="shared" si="227"/>
        <v/>
      </c>
      <c r="AE139" s="985"/>
      <c r="AG139" s="130" t="str">
        <f>IF(R139=J139,"X","")</f>
        <v/>
      </c>
    </row>
    <row r="140" spans="1:33" s="130" customFormat="1" ht="13.9" customHeight="1" x14ac:dyDescent="0.25">
      <c r="A140" s="847">
        <f>Chem!A140</f>
        <v>138</v>
      </c>
      <c r="B140" s="856" t="str">
        <f>Chem!B140</f>
        <v>Pyridine</v>
      </c>
      <c r="C140" s="394" t="s">
        <v>232</v>
      </c>
      <c r="D140" s="338" t="s">
        <v>232</v>
      </c>
      <c r="E140" s="394" t="s">
        <v>232</v>
      </c>
      <c r="F140" s="394" t="s">
        <v>232</v>
      </c>
      <c r="G140" s="552" t="s">
        <v>232</v>
      </c>
      <c r="H140" s="384" t="s">
        <v>232</v>
      </c>
      <c r="I140" s="338" t="str">
        <f t="shared" si="249"/>
        <v>na</v>
      </c>
      <c r="J140" s="407" t="str">
        <f>'GW-Eq'!I140</f>
        <v>na</v>
      </c>
      <c r="K140" s="407" t="str">
        <f t="shared" si="219"/>
        <v>na</v>
      </c>
      <c r="L140" s="407" t="str">
        <f t="shared" si="161"/>
        <v>na</v>
      </c>
      <c r="M140" s="407" t="str">
        <f t="shared" si="162"/>
        <v>na</v>
      </c>
      <c r="N140" s="217" t="str">
        <f>'GW-Eq'!J140</f>
        <v>na</v>
      </c>
      <c r="O140" s="217" t="str">
        <f t="shared" si="220"/>
        <v>na</v>
      </c>
      <c r="P140" s="217" t="str">
        <f t="shared" si="164"/>
        <v>na</v>
      </c>
      <c r="Q140" s="217" t="str">
        <f t="shared" si="165"/>
        <v>na</v>
      </c>
      <c r="R140" s="1056" t="str">
        <f t="shared" si="166"/>
        <v>na</v>
      </c>
      <c r="T140" s="1113" t="str">
        <f t="shared" si="217"/>
        <v/>
      </c>
      <c r="U140" s="1114" t="str">
        <f t="shared" si="218"/>
        <v/>
      </c>
      <c r="V140" s="1114" t="str">
        <f t="shared" si="221"/>
        <v/>
      </c>
      <c r="W140" s="1114" t="str">
        <f t="shared" si="222"/>
        <v/>
      </c>
      <c r="X140" s="1114" t="str">
        <f t="shared" si="223"/>
        <v/>
      </c>
      <c r="Y140" s="1114" t="str">
        <f t="shared" si="224"/>
        <v/>
      </c>
      <c r="Z140" s="1114" t="str">
        <f t="shared" si="225"/>
        <v/>
      </c>
      <c r="AA140" s="1114" t="str">
        <f t="shared" si="226"/>
        <v/>
      </c>
      <c r="AB140" s="1704" t="str">
        <f t="shared" si="175"/>
        <v/>
      </c>
      <c r="AC140" s="1115" t="str">
        <f t="shared" si="227"/>
        <v/>
      </c>
      <c r="AE140" s="985"/>
    </row>
    <row r="141" spans="1:33" s="130" customFormat="1" ht="13.9" customHeight="1" x14ac:dyDescent="0.25">
      <c r="A141" s="847">
        <f>Chem!A141</f>
        <v>139</v>
      </c>
      <c r="B141" s="856" t="str">
        <f>Chem!B141</f>
        <v>2,3,4,5-Tetrachlorophenol</v>
      </c>
      <c r="C141" s="394" t="s">
        <v>232</v>
      </c>
      <c r="D141" s="338" t="s">
        <v>232</v>
      </c>
      <c r="E141" s="394" t="s">
        <v>232</v>
      </c>
      <c r="F141" s="394" t="s">
        <v>232</v>
      </c>
      <c r="G141" s="552" t="s">
        <v>232</v>
      </c>
      <c r="H141" s="384" t="s">
        <v>232</v>
      </c>
      <c r="I141" s="338" t="str">
        <f t="shared" si="249"/>
        <v>na</v>
      </c>
      <c r="J141" s="407" t="str">
        <f>'GW-Eq'!I141</f>
        <v>na</v>
      </c>
      <c r="K141" s="407" t="str">
        <f t="shared" ref="K141" si="250">IF(I141="na","na",IF(J141="na","na",I141/J141))</f>
        <v>na</v>
      </c>
      <c r="L141" s="407" t="str">
        <f t="shared" ref="L141" si="251">IF(K141="na","na",IF(K141&gt;1,"YES","no"))</f>
        <v>na</v>
      </c>
      <c r="M141" s="407" t="str">
        <f t="shared" ref="M141" si="252">IF(L141="YES",J141,IF(ISNUMBER(I141),I141,J141))</f>
        <v>na</v>
      </c>
      <c r="N141" s="217" t="str">
        <f>'GW-Eq'!J141</f>
        <v>na</v>
      </c>
      <c r="O141" s="217" t="str">
        <f t="shared" ref="O141" si="253">IF(I141="na","na",IF(N141="na","na",I141/N141))</f>
        <v>na</v>
      </c>
      <c r="P141" s="217" t="str">
        <f t="shared" ref="P141" si="254">IF(O141="na","na",IF(O141&gt;10,"YES","no"))</f>
        <v>na</v>
      </c>
      <c r="Q141" s="217" t="str">
        <f t="shared" ref="Q141" si="255">IF(P141="YES",10*N141,IF(P141="no",I141,N141))</f>
        <v>na</v>
      </c>
      <c r="R141" s="1056" t="str">
        <f t="shared" si="166"/>
        <v>na</v>
      </c>
      <c r="T141" s="1113" t="str">
        <f t="shared" si="217"/>
        <v/>
      </c>
      <c r="U141" s="1114" t="str">
        <f t="shared" si="218"/>
        <v/>
      </c>
      <c r="V141" s="1114" t="str">
        <f t="shared" ref="V141" si="256">IF($R141="na","",IF($R141=E141,"X",""))</f>
        <v/>
      </c>
      <c r="W141" s="1114" t="str">
        <f t="shared" ref="W141" si="257">IF($R141="na","",IF($R141=F141,"X",""))</f>
        <v/>
      </c>
      <c r="X141" s="1114" t="str">
        <f t="shared" ref="X141" si="258">IF($R141="na","",IF($R141=G141,"X",""))</f>
        <v/>
      </c>
      <c r="Y141" s="1114" t="str">
        <f t="shared" ref="Y141" si="259">IF($R141="na","",IF($R141=H141,"X",""))</f>
        <v/>
      </c>
      <c r="Z141" s="1114" t="str">
        <f t="shared" ref="Z141" si="260">IF($R141="na","",IF($R141=J141,"X",""))</f>
        <v/>
      </c>
      <c r="AA141" s="1114" t="str">
        <f t="shared" ref="AA141" si="261">IF($R141="na","",IF($R141=N141,"X",""))</f>
        <v/>
      </c>
      <c r="AB141" s="1704" t="str">
        <f t="shared" si="175"/>
        <v/>
      </c>
      <c r="AC141" s="1115" t="str">
        <f t="shared" ref="AC141" si="262">IF(OR($R141="na",N141="na"),"",IF($R141=10*N141,"X",""))</f>
        <v/>
      </c>
      <c r="AE141" s="985"/>
    </row>
    <row r="142" spans="1:33" s="130" customFormat="1" ht="13.9" customHeight="1" x14ac:dyDescent="0.25">
      <c r="A142" s="847">
        <f>Chem!A142</f>
        <v>140</v>
      </c>
      <c r="B142" s="856" t="str">
        <f>Chem!B142</f>
        <v>2,3,4,6-Tetrachlorophenol</v>
      </c>
      <c r="C142" s="394" t="s">
        <v>232</v>
      </c>
      <c r="D142" s="338" t="s">
        <v>232</v>
      </c>
      <c r="E142" s="394" t="s">
        <v>232</v>
      </c>
      <c r="F142" s="394" t="s">
        <v>232</v>
      </c>
      <c r="G142" s="557" t="s">
        <v>232</v>
      </c>
      <c r="H142" s="384" t="s">
        <v>232</v>
      </c>
      <c r="I142" s="338" t="str">
        <f t="shared" si="249"/>
        <v>na</v>
      </c>
      <c r="J142" s="407" t="str">
        <f>'GW-Eq'!I142</f>
        <v>na</v>
      </c>
      <c r="K142" s="407" t="str">
        <f t="shared" ref="K142:K145" si="263">IF(I142="na","na",IF(J142="na","na",I142/J142))</f>
        <v>na</v>
      </c>
      <c r="L142" s="407" t="str">
        <f t="shared" ref="L142:L145" si="264">IF(K142="na","na",IF(K142&gt;1,"YES","no"))</f>
        <v>na</v>
      </c>
      <c r="M142" s="407" t="str">
        <f t="shared" ref="M142:M145" si="265">IF(L142="YES",J142,IF(ISNUMBER(I142),I142,J142))</f>
        <v>na</v>
      </c>
      <c r="N142" s="217" t="str">
        <f>'GW-Eq'!J142</f>
        <v>na</v>
      </c>
      <c r="O142" s="217" t="str">
        <f t="shared" ref="O142:O145" si="266">IF(I142="na","na",IF(N142="na","na",I142/N142))</f>
        <v>na</v>
      </c>
      <c r="P142" s="217" t="str">
        <f t="shared" ref="P142:P145" si="267">IF(O142="na","na",IF(O142&gt;10,"YES","no"))</f>
        <v>na</v>
      </c>
      <c r="Q142" s="217" t="str">
        <f t="shared" ref="Q142:Q145" si="268">IF(P142="YES",10*N142,IF(P142="no",I142,N142))</f>
        <v>na</v>
      </c>
      <c r="R142" s="1056" t="str">
        <f t="shared" si="166"/>
        <v>na</v>
      </c>
      <c r="T142" s="1113" t="str">
        <f t="shared" si="217"/>
        <v/>
      </c>
      <c r="U142" s="1114" t="str">
        <f t="shared" si="218"/>
        <v/>
      </c>
      <c r="V142" s="1114" t="str">
        <f t="shared" ref="V142:V145" si="269">IF($R142="na","",IF($R142=E142,"X",""))</f>
        <v/>
      </c>
      <c r="W142" s="1114" t="str">
        <f t="shared" ref="W142:W145" si="270">IF($R142="na","",IF($R142=F142,"X",""))</f>
        <v/>
      </c>
      <c r="X142" s="1114" t="str">
        <f t="shared" ref="X142:X145" si="271">IF($R142="na","",IF($R142=G142,"X",""))</f>
        <v/>
      </c>
      <c r="Y142" s="1114" t="str">
        <f t="shared" ref="Y142:Y145" si="272">IF($R142="na","",IF($R142=H142,"X",""))</f>
        <v/>
      </c>
      <c r="Z142" s="1114" t="str">
        <f t="shared" ref="Z142:Z145" si="273">IF($R142="na","",IF($R142=J142,"X",""))</f>
        <v/>
      </c>
      <c r="AA142" s="1114" t="str">
        <f t="shared" ref="AA142:AA145" si="274">IF($R142="na","",IF($R142=N142,"X",""))</f>
        <v/>
      </c>
      <c r="AB142" s="1704" t="str">
        <f t="shared" si="175"/>
        <v/>
      </c>
      <c r="AC142" s="1115" t="str">
        <f t="shared" ref="AC142:AC145" si="275">IF(OR($R142="na",N142="na"),"",IF($R142=10*N142,"X",""))</f>
        <v/>
      </c>
      <c r="AE142" s="985"/>
    </row>
    <row r="143" spans="1:33" s="130" customFormat="1" ht="13.9" customHeight="1" x14ac:dyDescent="0.25">
      <c r="A143" s="847">
        <f>Chem!A143</f>
        <v>141</v>
      </c>
      <c r="B143" s="856" t="str">
        <f>Chem!B143</f>
        <v>1,2,4-Trichlorobenzene</v>
      </c>
      <c r="C143" s="394" t="s">
        <v>232</v>
      </c>
      <c r="D143" s="338" t="s">
        <v>232</v>
      </c>
      <c r="E143" s="394">
        <v>3.6999999999999998E-2</v>
      </c>
      <c r="F143" s="394">
        <v>3.6999999999999998E-2</v>
      </c>
      <c r="G143" s="552">
        <v>7.5999999999999998E-2</v>
      </c>
      <c r="H143" s="384" t="s">
        <v>232</v>
      </c>
      <c r="I143" s="338">
        <f t="shared" si="249"/>
        <v>3.6999999999999998E-2</v>
      </c>
      <c r="J143" s="407">
        <f>'GW-Eq'!I143</f>
        <v>62.977957714799821</v>
      </c>
      <c r="K143" s="407">
        <f t="shared" si="263"/>
        <v>5.8750714285714281E-4</v>
      </c>
      <c r="L143" s="407" t="str">
        <f t="shared" si="264"/>
        <v>no</v>
      </c>
      <c r="M143" s="407">
        <f t="shared" si="265"/>
        <v>3.6999999999999998E-2</v>
      </c>
      <c r="N143" s="217">
        <f>'GW-Eq'!J143</f>
        <v>0.54291342857586045</v>
      </c>
      <c r="O143" s="217">
        <f t="shared" si="266"/>
        <v>6.8150828571428582E-2</v>
      </c>
      <c r="P143" s="217" t="str">
        <f t="shared" si="267"/>
        <v>no</v>
      </c>
      <c r="Q143" s="217">
        <f t="shared" si="268"/>
        <v>3.6999999999999998E-2</v>
      </c>
      <c r="R143" s="1056">
        <f t="shared" si="166"/>
        <v>3.6999999999999998E-2</v>
      </c>
      <c r="T143" s="1113" t="str">
        <f t="shared" si="217"/>
        <v/>
      </c>
      <c r="U143" s="1114" t="str">
        <f t="shared" si="218"/>
        <v/>
      </c>
      <c r="V143" s="1114" t="str">
        <f t="shared" si="269"/>
        <v>X</v>
      </c>
      <c r="W143" s="1114" t="str">
        <f t="shared" si="270"/>
        <v>X</v>
      </c>
      <c r="X143" s="1114" t="str">
        <f t="shared" si="271"/>
        <v/>
      </c>
      <c r="Y143" s="1114" t="str">
        <f t="shared" si="272"/>
        <v/>
      </c>
      <c r="Z143" s="1114" t="str">
        <f t="shared" si="273"/>
        <v/>
      </c>
      <c r="AA143" s="1114" t="str">
        <f t="shared" si="274"/>
        <v/>
      </c>
      <c r="AB143" s="1704" t="str">
        <f t="shared" ref="AB143:AB145" si="276">IF(R143="na","",IF(AND(L143="YES",R143=J143),"X",""))</f>
        <v/>
      </c>
      <c r="AC143" s="1115" t="str">
        <f t="shared" si="275"/>
        <v/>
      </c>
      <c r="AE143" s="985"/>
      <c r="AG143" s="130" t="str">
        <f>IF(R143=J143,"X","")</f>
        <v/>
      </c>
    </row>
    <row r="144" spans="1:33" s="130" customFormat="1" ht="13.9" customHeight="1" x14ac:dyDescent="0.25">
      <c r="A144" s="847">
        <f>Chem!A144</f>
        <v>142</v>
      </c>
      <c r="B144" s="856" t="str">
        <f>Chem!B144</f>
        <v>2,4,5-Trichlorophenol</v>
      </c>
      <c r="C144" s="394" t="s">
        <v>232</v>
      </c>
      <c r="D144" s="338" t="s">
        <v>232</v>
      </c>
      <c r="E144" s="394" t="s">
        <v>232</v>
      </c>
      <c r="F144" s="394" t="s">
        <v>232</v>
      </c>
      <c r="G144" s="552">
        <v>600</v>
      </c>
      <c r="H144" s="387" t="s">
        <v>232</v>
      </c>
      <c r="I144" s="338">
        <f t="shared" si="249"/>
        <v>600</v>
      </c>
      <c r="J144" s="407" t="str">
        <f>'GW-Eq'!I144</f>
        <v>na</v>
      </c>
      <c r="K144" s="407" t="str">
        <f t="shared" si="263"/>
        <v>na</v>
      </c>
      <c r="L144" s="407" t="str">
        <f t="shared" si="264"/>
        <v>na</v>
      </c>
      <c r="M144" s="407">
        <f t="shared" si="265"/>
        <v>600</v>
      </c>
      <c r="N144" s="217" t="str">
        <f>'GW-Eq'!J144</f>
        <v>na</v>
      </c>
      <c r="O144" s="217" t="str">
        <f t="shared" si="266"/>
        <v>na</v>
      </c>
      <c r="P144" s="217" t="str">
        <f t="shared" si="267"/>
        <v>na</v>
      </c>
      <c r="Q144" s="217" t="str">
        <f t="shared" si="268"/>
        <v>na</v>
      </c>
      <c r="R144" s="1054">
        <f t="shared" si="166"/>
        <v>600</v>
      </c>
      <c r="T144" s="1113" t="str">
        <f t="shared" si="217"/>
        <v/>
      </c>
      <c r="U144" s="1114" t="str">
        <f t="shared" si="218"/>
        <v/>
      </c>
      <c r="V144" s="1114" t="str">
        <f t="shared" si="269"/>
        <v/>
      </c>
      <c r="W144" s="1114" t="str">
        <f t="shared" si="270"/>
        <v/>
      </c>
      <c r="X144" s="1114" t="str">
        <f t="shared" si="271"/>
        <v>X</v>
      </c>
      <c r="Y144" s="1114" t="str">
        <f t="shared" si="272"/>
        <v/>
      </c>
      <c r="Z144" s="1114" t="str">
        <f t="shared" si="273"/>
        <v/>
      </c>
      <c r="AA144" s="1114" t="str">
        <f t="shared" si="274"/>
        <v/>
      </c>
      <c r="AB144" s="1704" t="str">
        <f t="shared" si="276"/>
        <v/>
      </c>
      <c r="AC144" s="1115" t="str">
        <f t="shared" si="275"/>
        <v/>
      </c>
      <c r="AE144" s="985"/>
      <c r="AG144" s="130" t="str">
        <f>IF(R144=J144,"X","")</f>
        <v/>
      </c>
    </row>
    <row r="145" spans="1:33" s="130" customFormat="1" ht="13.9" customHeight="1" x14ac:dyDescent="0.25">
      <c r="A145" s="842">
        <f>Chem!A145</f>
        <v>143</v>
      </c>
      <c r="B145" s="1153" t="str">
        <f>Chem!B145</f>
        <v>2,4,6-Trichlorophenol</v>
      </c>
      <c r="C145" s="1205" t="s">
        <v>232</v>
      </c>
      <c r="D145" s="1205" t="s">
        <v>232</v>
      </c>
      <c r="E145" s="1205">
        <v>0.28000000000000003</v>
      </c>
      <c r="F145" s="1205" t="s">
        <v>232</v>
      </c>
      <c r="G145" s="997">
        <v>2.8</v>
      </c>
      <c r="H145" s="1206" t="s">
        <v>232</v>
      </c>
      <c r="I145" s="1205">
        <f t="shared" si="249"/>
        <v>0.28000000000000003</v>
      </c>
      <c r="J145" s="1207">
        <f>'GW-Eq'!I145</f>
        <v>4.7863247863247871</v>
      </c>
      <c r="K145" s="1207">
        <f t="shared" si="263"/>
        <v>5.8499999999999996E-2</v>
      </c>
      <c r="L145" s="1207" t="str">
        <f t="shared" si="264"/>
        <v>no</v>
      </c>
      <c r="M145" s="1207">
        <f t="shared" si="265"/>
        <v>0.28000000000000003</v>
      </c>
      <c r="N145" s="1208">
        <f>'GW-Eq'!J145</f>
        <v>1.0878010878010875</v>
      </c>
      <c r="O145" s="1208">
        <f t="shared" si="266"/>
        <v>0.25740000000000007</v>
      </c>
      <c r="P145" s="1208" t="str">
        <f t="shared" si="267"/>
        <v>no</v>
      </c>
      <c r="Q145" s="1208">
        <f t="shared" si="268"/>
        <v>0.28000000000000003</v>
      </c>
      <c r="R145" s="1209">
        <f t="shared" ref="R145" si="277">IF(MIN($M145,$Q145,$H145)=0,"na",MIN($M145,$Q145,$H145))</f>
        <v>0.28000000000000003</v>
      </c>
      <c r="T145" s="1116" t="str">
        <f t="shared" si="217"/>
        <v/>
      </c>
      <c r="U145" s="1117" t="str">
        <f t="shared" si="218"/>
        <v/>
      </c>
      <c r="V145" s="1117" t="str">
        <f t="shared" si="269"/>
        <v>X</v>
      </c>
      <c r="W145" s="1117" t="str">
        <f t="shared" si="270"/>
        <v/>
      </c>
      <c r="X145" s="1117" t="str">
        <f t="shared" si="271"/>
        <v/>
      </c>
      <c r="Y145" s="1117" t="str">
        <f t="shared" si="272"/>
        <v/>
      </c>
      <c r="Z145" s="1117" t="str">
        <f t="shared" si="273"/>
        <v/>
      </c>
      <c r="AA145" s="1117" t="str">
        <f t="shared" si="274"/>
        <v/>
      </c>
      <c r="AB145" s="1707" t="str">
        <f t="shared" si="276"/>
        <v/>
      </c>
      <c r="AC145" s="1118" t="str">
        <f t="shared" si="275"/>
        <v/>
      </c>
      <c r="AE145" s="985"/>
      <c r="AG145" s="130" t="str">
        <f>IF(R145=J145,"X","")</f>
        <v/>
      </c>
    </row>
    <row r="146" spans="1:33" s="130" customFormat="1" ht="13.9" customHeight="1" x14ac:dyDescent="0.25">
      <c r="A146" s="1197">
        <f>Chem!A146</f>
        <v>144</v>
      </c>
      <c r="B146" s="850" t="str">
        <f>Chem!B146</f>
        <v>Volatile Organic Compounds</v>
      </c>
      <c r="C146" s="2368"/>
      <c r="D146" s="2368"/>
      <c r="E146" s="2368"/>
      <c r="F146" s="2368"/>
      <c r="G146" s="2368"/>
      <c r="H146" s="297"/>
      <c r="I146" s="297"/>
      <c r="J146" s="2368"/>
      <c r="K146" s="297"/>
      <c r="L146" s="2347"/>
      <c r="M146" s="297"/>
      <c r="N146" s="2368"/>
      <c r="O146" s="297"/>
      <c r="P146" s="2347"/>
      <c r="Q146" s="297"/>
      <c r="R146" s="2369"/>
      <c r="T146" s="258" t="str">
        <f>B146</f>
        <v>Volatile Organic Compounds</v>
      </c>
      <c r="U146" s="2372"/>
      <c r="V146" s="2372"/>
      <c r="W146" s="2372"/>
      <c r="X146" s="2372"/>
      <c r="Y146" s="2372"/>
      <c r="Z146" s="2372"/>
      <c r="AA146" s="2372"/>
      <c r="AB146" s="2372"/>
      <c r="AC146" s="2373"/>
      <c r="AE146" s="987"/>
    </row>
    <row r="147" spans="1:33" s="130" customFormat="1" ht="13.9" customHeight="1" x14ac:dyDescent="0.25">
      <c r="A147" s="846">
        <f>Chem!A147</f>
        <v>145</v>
      </c>
      <c r="B147" s="903" t="str">
        <f>Chem!B147</f>
        <v>Acetone</v>
      </c>
      <c r="C147" s="394" t="s">
        <v>232</v>
      </c>
      <c r="D147" s="338" t="s">
        <v>232</v>
      </c>
      <c r="E147" s="394" t="s">
        <v>232</v>
      </c>
      <c r="F147" s="394" t="s">
        <v>232</v>
      </c>
      <c r="G147" s="552" t="s">
        <v>232</v>
      </c>
      <c r="H147" s="387" t="s">
        <v>232</v>
      </c>
      <c r="I147" s="338" t="str">
        <f t="shared" ref="I147:I179" si="278">IF(MIN(C147:H147)=0,"na",(MIN(C147:H147)))</f>
        <v>na</v>
      </c>
      <c r="J147" s="407" t="str">
        <f>'GW-Eq'!I147</f>
        <v>na</v>
      </c>
      <c r="K147" s="407" t="str">
        <f t="shared" ref="K147:K179" si="279">IF(I147="na","na",IF(J147="na","na",I147/J147))</f>
        <v>na</v>
      </c>
      <c r="L147" s="407" t="str">
        <f t="shared" ref="L147:L215" si="280">IF(K147="na","na",IF(K147&gt;1,"YES","no"))</f>
        <v>na</v>
      </c>
      <c r="M147" s="407" t="str">
        <f t="shared" ref="M147:M215" si="281">IF(L147="YES",J147,IF(ISNUMBER(I147),I147,J147))</f>
        <v>na</v>
      </c>
      <c r="N147" s="217" t="str">
        <f>'GW-Eq'!J147</f>
        <v>na</v>
      </c>
      <c r="O147" s="217" t="str">
        <f t="shared" ref="O147:O179" si="282">IF(I147="na","na",IF(N147="na","na",I147/N147))</f>
        <v>na</v>
      </c>
      <c r="P147" s="217" t="str">
        <f t="shared" ref="P147:P215" si="283">IF(O147="na","na",IF(O147&gt;10,"YES","no"))</f>
        <v>na</v>
      </c>
      <c r="Q147" s="217" t="str">
        <f t="shared" ref="Q147:Q215" si="284">IF(P147="YES",10*N147,IF(P147="no",I147,N147))</f>
        <v>na</v>
      </c>
      <c r="R147" s="1053" t="str">
        <f t="shared" ref="R147:R215" si="285">IF(MIN($M147,$Q147,$H147)=0,"na",MIN($M147,$Q147,$H147))</f>
        <v>na</v>
      </c>
      <c r="T147" s="1110" t="str">
        <f t="shared" ref="T147:T179" si="286">IF($R147="na","",IF($R147=C147,"X",""))</f>
        <v/>
      </c>
      <c r="U147" s="1111" t="str">
        <f t="shared" ref="U147:U179" si="287">IF($R147="na","",IF($R147=D147,"X",""))</f>
        <v/>
      </c>
      <c r="V147" s="1111" t="str">
        <f t="shared" ref="V147:V179" si="288">IF($R147="na","",IF($R147=E147,"X",""))</f>
        <v/>
      </c>
      <c r="W147" s="1111" t="str">
        <f t="shared" ref="W147:W179" si="289">IF($R147="na","",IF($R147=F147,"X",""))</f>
        <v/>
      </c>
      <c r="X147" s="1111" t="str">
        <f t="shared" ref="X147:X179" si="290">IF($R147="na","",IF($R147=G147,"X",""))</f>
        <v/>
      </c>
      <c r="Y147" s="1111" t="str">
        <f t="shared" ref="Y147:Y179" si="291">IF($R147="na","",IF($R147=H147,"X",""))</f>
        <v/>
      </c>
      <c r="Z147" s="1111" t="str">
        <f t="shared" ref="Z147:Z179" si="292">IF($R147="na","",IF($R147=J147,"X",""))</f>
        <v/>
      </c>
      <c r="AA147" s="1111" t="str">
        <f t="shared" ref="AA147:AA179" si="293">IF($R147="na","",IF($R147=N147,"X",""))</f>
        <v/>
      </c>
      <c r="AB147" s="1703" t="str">
        <f t="shared" ref="AB147:AB210" si="294">IF(R147="na","",IF(AND(L147="YES",R147=J147),"X",""))</f>
        <v/>
      </c>
      <c r="AC147" s="1112" t="str">
        <f t="shared" ref="AC147:AC179" si="295">IF(OR($R147="na",N147="na"),"",IF($R147=10*N147,"X",""))</f>
        <v/>
      </c>
      <c r="AE147" s="985"/>
    </row>
    <row r="148" spans="1:33" s="130" customFormat="1" ht="13.9" customHeight="1" x14ac:dyDescent="0.25">
      <c r="A148" s="846">
        <f>Chem!A148</f>
        <v>146</v>
      </c>
      <c r="B148" s="903" t="str">
        <f>Chem!B148</f>
        <v>Acetaldehyde</v>
      </c>
      <c r="C148" s="394" t="s">
        <v>232</v>
      </c>
      <c r="D148" s="338" t="s">
        <v>232</v>
      </c>
      <c r="E148" s="394" t="s">
        <v>232</v>
      </c>
      <c r="F148" s="394" t="s">
        <v>232</v>
      </c>
      <c r="G148" s="557" t="s">
        <v>232</v>
      </c>
      <c r="H148" s="387" t="s">
        <v>232</v>
      </c>
      <c r="I148" s="338" t="str">
        <f t="shared" si="278"/>
        <v>na</v>
      </c>
      <c r="J148" s="407" t="str">
        <f>'GW-Eq'!I148</f>
        <v>na</v>
      </c>
      <c r="K148" s="407" t="str">
        <f t="shared" ref="K148" si="296">IF(I148="na","na",IF(J148="na","na",I148/J148))</f>
        <v>na</v>
      </c>
      <c r="L148" s="407" t="str">
        <f t="shared" ref="L148" si="297">IF(K148="na","na",IF(K148&gt;1,"YES","no"))</f>
        <v>na</v>
      </c>
      <c r="M148" s="407" t="str">
        <f t="shared" ref="M148" si="298">IF(L148="YES",J148,IF(ISNUMBER(I148),I148,J148))</f>
        <v>na</v>
      </c>
      <c r="N148" s="217" t="str">
        <f>'GW-Eq'!J148</f>
        <v>na</v>
      </c>
      <c r="O148" s="217" t="str">
        <f t="shared" ref="O148" si="299">IF(I148="na","na",IF(N148="na","na",I148/N148))</f>
        <v>na</v>
      </c>
      <c r="P148" s="217" t="str">
        <f t="shared" ref="P148" si="300">IF(O148="na","na",IF(O148&gt;10,"YES","no"))</f>
        <v>na</v>
      </c>
      <c r="Q148" s="217" t="str">
        <f t="shared" ref="Q148" si="301">IF(P148="YES",10*N148,IF(P148="no",I148,N148))</f>
        <v>na</v>
      </c>
      <c r="R148" s="1053" t="str">
        <f t="shared" si="285"/>
        <v>na</v>
      </c>
      <c r="T148" s="1113" t="str">
        <f t="shared" ref="T148" si="302">IF($R148="na","",IF($R148=C148,"X",""))</f>
        <v/>
      </c>
      <c r="U148" s="1114" t="str">
        <f t="shared" ref="U148" si="303">IF($R148="na","",IF($R148=D148,"X",""))</f>
        <v/>
      </c>
      <c r="V148" s="1114" t="str">
        <f t="shared" ref="V148" si="304">IF($R148="na","",IF($R148=E148,"X",""))</f>
        <v/>
      </c>
      <c r="W148" s="1114" t="str">
        <f t="shared" ref="W148" si="305">IF($R148="na","",IF($R148=F148,"X",""))</f>
        <v/>
      </c>
      <c r="X148" s="1114" t="str">
        <f t="shared" ref="X148" si="306">IF($R148="na","",IF($R148=G148,"X",""))</f>
        <v/>
      </c>
      <c r="Y148" s="1114" t="str">
        <f t="shared" ref="Y148" si="307">IF($R148="na","",IF($R148=H148,"X",""))</f>
        <v/>
      </c>
      <c r="Z148" s="1114" t="str">
        <f t="shared" ref="Z148" si="308">IF($R148="na","",IF($R148=J148,"X",""))</f>
        <v/>
      </c>
      <c r="AA148" s="1114" t="str">
        <f t="shared" ref="AA148" si="309">IF($R148="na","",IF($R148=N148,"X",""))</f>
        <v/>
      </c>
      <c r="AB148" s="1704" t="str">
        <f t="shared" si="294"/>
        <v/>
      </c>
      <c r="AC148" s="1115" t="str">
        <f t="shared" ref="AC148" si="310">IF(OR($R148="na",N148="na"),"",IF($R148=10*N148,"X",""))</f>
        <v/>
      </c>
      <c r="AE148" s="985"/>
    </row>
    <row r="149" spans="1:33" s="130" customFormat="1" ht="13.9" customHeight="1" x14ac:dyDescent="0.25">
      <c r="A149" s="846">
        <f>Chem!A149</f>
        <v>147</v>
      </c>
      <c r="B149" s="856" t="str">
        <f>Chem!B149</f>
        <v>Acrolein</v>
      </c>
      <c r="C149" s="394" t="s">
        <v>232</v>
      </c>
      <c r="D149" s="338" t="s">
        <v>232</v>
      </c>
      <c r="E149" s="394">
        <v>1.1000000000000001</v>
      </c>
      <c r="F149" s="394" t="s">
        <v>232</v>
      </c>
      <c r="G149" s="552">
        <v>400</v>
      </c>
      <c r="H149" s="384" t="s">
        <v>232</v>
      </c>
      <c r="I149" s="338">
        <f t="shared" si="278"/>
        <v>1.1000000000000001</v>
      </c>
      <c r="J149" s="407" t="str">
        <f>'GW-Eq'!I149</f>
        <v>na</v>
      </c>
      <c r="K149" s="407" t="str">
        <f t="shared" si="279"/>
        <v>na</v>
      </c>
      <c r="L149" s="407" t="str">
        <f t="shared" si="280"/>
        <v>na</v>
      </c>
      <c r="M149" s="407">
        <f t="shared" si="281"/>
        <v>1.1000000000000001</v>
      </c>
      <c r="N149" s="217" t="str">
        <f>'GW-Eq'!J149</f>
        <v>na</v>
      </c>
      <c r="O149" s="217" t="str">
        <f t="shared" si="282"/>
        <v>na</v>
      </c>
      <c r="P149" s="217" t="str">
        <f t="shared" si="283"/>
        <v>na</v>
      </c>
      <c r="Q149" s="217" t="str">
        <f t="shared" si="284"/>
        <v>na</v>
      </c>
      <c r="R149" s="1056">
        <f t="shared" si="285"/>
        <v>1.1000000000000001</v>
      </c>
      <c r="T149" s="1113" t="str">
        <f t="shared" si="286"/>
        <v/>
      </c>
      <c r="U149" s="1114" t="str">
        <f t="shared" si="287"/>
        <v/>
      </c>
      <c r="V149" s="1114" t="str">
        <f t="shared" si="288"/>
        <v>X</v>
      </c>
      <c r="W149" s="1114" t="str">
        <f t="shared" si="289"/>
        <v/>
      </c>
      <c r="X149" s="1114" t="str">
        <f t="shared" si="290"/>
        <v/>
      </c>
      <c r="Y149" s="1114" t="str">
        <f t="shared" si="291"/>
        <v/>
      </c>
      <c r="Z149" s="1114" t="str">
        <f t="shared" si="292"/>
        <v/>
      </c>
      <c r="AA149" s="1114" t="str">
        <f t="shared" si="293"/>
        <v/>
      </c>
      <c r="AB149" s="1704" t="str">
        <f t="shared" si="294"/>
        <v/>
      </c>
      <c r="AC149" s="1115" t="str">
        <f t="shared" si="295"/>
        <v/>
      </c>
      <c r="AE149" s="985"/>
      <c r="AG149" s="130" t="str">
        <f>IF(R149=J149,"X","")</f>
        <v/>
      </c>
    </row>
    <row r="150" spans="1:33" s="130" customFormat="1" ht="13.9" customHeight="1" x14ac:dyDescent="0.25">
      <c r="A150" s="846">
        <f>Chem!A150</f>
        <v>148</v>
      </c>
      <c r="B150" s="856" t="str">
        <f>Chem!B150</f>
        <v>Acrylonitrile</v>
      </c>
      <c r="C150" s="394" t="s">
        <v>232</v>
      </c>
      <c r="D150" s="338" t="s">
        <v>232</v>
      </c>
      <c r="E150" s="394">
        <v>2.8000000000000001E-2</v>
      </c>
      <c r="F150" s="394" t="s">
        <v>232</v>
      </c>
      <c r="G150" s="552">
        <v>7</v>
      </c>
      <c r="H150" s="384" t="s">
        <v>232</v>
      </c>
      <c r="I150" s="338">
        <f t="shared" si="278"/>
        <v>2.8000000000000001E-2</v>
      </c>
      <c r="J150" s="407">
        <f>'GW-Eq'!I150</f>
        <v>23.931623931623935</v>
      </c>
      <c r="K150" s="407">
        <f t="shared" si="279"/>
        <v>1.1699999999999998E-3</v>
      </c>
      <c r="L150" s="407" t="str">
        <f t="shared" si="280"/>
        <v>no</v>
      </c>
      <c r="M150" s="407">
        <f t="shared" si="281"/>
        <v>2.8000000000000001E-2</v>
      </c>
      <c r="N150" s="217">
        <f>'GW-Eq'!J150</f>
        <v>0.11079455523899964</v>
      </c>
      <c r="O150" s="217">
        <f t="shared" si="282"/>
        <v>0.25272000000000011</v>
      </c>
      <c r="P150" s="217" t="str">
        <f t="shared" si="283"/>
        <v>no</v>
      </c>
      <c r="Q150" s="217">
        <f t="shared" si="284"/>
        <v>2.8000000000000001E-2</v>
      </c>
      <c r="R150" s="1056">
        <f t="shared" si="285"/>
        <v>2.8000000000000001E-2</v>
      </c>
      <c r="T150" s="1113" t="str">
        <f t="shared" si="286"/>
        <v/>
      </c>
      <c r="U150" s="1114" t="str">
        <f t="shared" si="287"/>
        <v/>
      </c>
      <c r="V150" s="1114" t="str">
        <f t="shared" si="288"/>
        <v>X</v>
      </c>
      <c r="W150" s="1114" t="str">
        <f t="shared" si="289"/>
        <v/>
      </c>
      <c r="X150" s="1114" t="str">
        <f t="shared" si="290"/>
        <v/>
      </c>
      <c r="Y150" s="1114" t="str">
        <f t="shared" si="291"/>
        <v/>
      </c>
      <c r="Z150" s="1114" t="str">
        <f t="shared" si="292"/>
        <v/>
      </c>
      <c r="AA150" s="1114" t="str">
        <f t="shared" si="293"/>
        <v/>
      </c>
      <c r="AB150" s="1704" t="str">
        <f t="shared" si="294"/>
        <v/>
      </c>
      <c r="AC150" s="1115" t="str">
        <f t="shared" si="295"/>
        <v/>
      </c>
      <c r="AE150" s="985"/>
      <c r="AG150" s="130" t="str">
        <f>IF(R150=J150,"X","")</f>
        <v/>
      </c>
    </row>
    <row r="151" spans="1:33" s="130" customFormat="1" ht="13.9" customHeight="1" x14ac:dyDescent="0.25">
      <c r="A151" s="846">
        <f>Chem!A151</f>
        <v>149</v>
      </c>
      <c r="B151" s="856" t="str">
        <f>Chem!B151</f>
        <v>Benzaldehyde</v>
      </c>
      <c r="C151" s="394" t="s">
        <v>232</v>
      </c>
      <c r="D151" s="338" t="s">
        <v>232</v>
      </c>
      <c r="E151" s="394" t="s">
        <v>232</v>
      </c>
      <c r="F151" s="394" t="s">
        <v>232</v>
      </c>
      <c r="G151" s="552" t="s">
        <v>232</v>
      </c>
      <c r="H151" s="384" t="s">
        <v>232</v>
      </c>
      <c r="I151" s="338" t="str">
        <f t="shared" si="278"/>
        <v>na</v>
      </c>
      <c r="J151" s="407" t="str">
        <f>'GW-Eq'!I151</f>
        <v>na</v>
      </c>
      <c r="K151" s="407" t="str">
        <f t="shared" si="279"/>
        <v>na</v>
      </c>
      <c r="L151" s="407" t="str">
        <f t="shared" si="280"/>
        <v>na</v>
      </c>
      <c r="M151" s="407" t="str">
        <f t="shared" si="281"/>
        <v>na</v>
      </c>
      <c r="N151" s="217" t="str">
        <f>'GW-Eq'!J151</f>
        <v>na</v>
      </c>
      <c r="O151" s="217" t="str">
        <f t="shared" si="282"/>
        <v>na</v>
      </c>
      <c r="P151" s="217" t="str">
        <f t="shared" si="283"/>
        <v>na</v>
      </c>
      <c r="Q151" s="217" t="str">
        <f t="shared" si="284"/>
        <v>na</v>
      </c>
      <c r="R151" s="1056" t="str">
        <f t="shared" si="285"/>
        <v>na</v>
      </c>
      <c r="T151" s="1113" t="str">
        <f t="shared" si="286"/>
        <v/>
      </c>
      <c r="U151" s="1114" t="str">
        <f t="shared" si="287"/>
        <v/>
      </c>
      <c r="V151" s="1114" t="str">
        <f t="shared" si="288"/>
        <v/>
      </c>
      <c r="W151" s="1114" t="str">
        <f t="shared" si="289"/>
        <v/>
      </c>
      <c r="X151" s="1114" t="str">
        <f t="shared" si="290"/>
        <v/>
      </c>
      <c r="Y151" s="1114" t="str">
        <f t="shared" si="291"/>
        <v/>
      </c>
      <c r="Z151" s="1114" t="str">
        <f t="shared" si="292"/>
        <v/>
      </c>
      <c r="AA151" s="1114" t="str">
        <f t="shared" si="293"/>
        <v/>
      </c>
      <c r="AB151" s="1704" t="str">
        <f t="shared" si="294"/>
        <v/>
      </c>
      <c r="AC151" s="1115" t="str">
        <f t="shared" si="295"/>
        <v/>
      </c>
      <c r="AE151" s="985"/>
    </row>
    <row r="152" spans="1:33" s="130" customFormat="1" ht="13.9" customHeight="1" x14ac:dyDescent="0.25">
      <c r="A152" s="846">
        <f>Chem!A152</f>
        <v>150</v>
      </c>
      <c r="B152" s="856" t="str">
        <f>Chem!B152</f>
        <v>Benzene</v>
      </c>
      <c r="C152" s="394" t="s">
        <v>232</v>
      </c>
      <c r="D152" s="338" t="s">
        <v>232</v>
      </c>
      <c r="E152" s="394">
        <v>1.6</v>
      </c>
      <c r="F152" s="394" t="s">
        <v>232</v>
      </c>
      <c r="G152" s="552">
        <v>16</v>
      </c>
      <c r="H152" s="384">
        <v>23</v>
      </c>
      <c r="I152" s="338">
        <f t="shared" si="278"/>
        <v>1.6</v>
      </c>
      <c r="J152" s="407">
        <f>'GW-Eq'!I152</f>
        <v>552.26824457593693</v>
      </c>
      <c r="K152" s="407">
        <f t="shared" si="279"/>
        <v>2.8971428571428572E-3</v>
      </c>
      <c r="L152" s="407" t="str">
        <f t="shared" si="280"/>
        <v>no</v>
      </c>
      <c r="M152" s="407">
        <f t="shared" si="281"/>
        <v>1.6</v>
      </c>
      <c r="N152" s="217">
        <f>'GW-Eq'!J152</f>
        <v>6.2757755065447354</v>
      </c>
      <c r="O152" s="217">
        <f t="shared" si="282"/>
        <v>0.25494857142857152</v>
      </c>
      <c r="P152" s="217" t="str">
        <f t="shared" si="283"/>
        <v>no</v>
      </c>
      <c r="Q152" s="217">
        <f t="shared" si="284"/>
        <v>1.6</v>
      </c>
      <c r="R152" s="1056">
        <f t="shared" si="285"/>
        <v>1.6</v>
      </c>
      <c r="T152" s="1113" t="str">
        <f t="shared" si="286"/>
        <v/>
      </c>
      <c r="U152" s="1114" t="str">
        <f t="shared" si="287"/>
        <v/>
      </c>
      <c r="V152" s="1114" t="str">
        <f t="shared" si="288"/>
        <v>X</v>
      </c>
      <c r="W152" s="1114" t="str">
        <f t="shared" si="289"/>
        <v/>
      </c>
      <c r="X152" s="1114" t="str">
        <f t="shared" si="290"/>
        <v/>
      </c>
      <c r="Y152" s="1114" t="str">
        <f t="shared" si="291"/>
        <v/>
      </c>
      <c r="Z152" s="1114" t="str">
        <f t="shared" si="292"/>
        <v/>
      </c>
      <c r="AA152" s="1114" t="str">
        <f t="shared" si="293"/>
        <v/>
      </c>
      <c r="AB152" s="1704" t="str">
        <f t="shared" si="294"/>
        <v/>
      </c>
      <c r="AC152" s="1115" t="str">
        <f t="shared" si="295"/>
        <v/>
      </c>
      <c r="AE152" s="985"/>
      <c r="AG152" s="130" t="str">
        <f>IF(R152=J152,"X","")</f>
        <v/>
      </c>
    </row>
    <row r="153" spans="1:33" s="130" customFormat="1" ht="13.9" customHeight="1" x14ac:dyDescent="0.25">
      <c r="A153" s="846">
        <f>Chem!A153</f>
        <v>151</v>
      </c>
      <c r="B153" s="856" t="str">
        <f>Chem!B153</f>
        <v>Bromobenzene</v>
      </c>
      <c r="C153" s="394" t="s">
        <v>232</v>
      </c>
      <c r="D153" s="338" t="s">
        <v>232</v>
      </c>
      <c r="E153" s="394" t="s">
        <v>232</v>
      </c>
      <c r="F153" s="394" t="s">
        <v>232</v>
      </c>
      <c r="G153" s="552" t="s">
        <v>232</v>
      </c>
      <c r="H153" s="384" t="s">
        <v>232</v>
      </c>
      <c r="I153" s="338" t="str">
        <f t="shared" si="278"/>
        <v>na</v>
      </c>
      <c r="J153" s="407" t="str">
        <f>'GW-Eq'!I153</f>
        <v>na</v>
      </c>
      <c r="K153" s="407" t="str">
        <f t="shared" si="279"/>
        <v>na</v>
      </c>
      <c r="L153" s="407" t="str">
        <f t="shared" si="280"/>
        <v>na</v>
      </c>
      <c r="M153" s="407" t="str">
        <f t="shared" si="281"/>
        <v>na</v>
      </c>
      <c r="N153" s="217" t="str">
        <f>'GW-Eq'!J153</f>
        <v>na</v>
      </c>
      <c r="O153" s="217" t="str">
        <f t="shared" si="282"/>
        <v>na</v>
      </c>
      <c r="P153" s="217" t="str">
        <f t="shared" si="283"/>
        <v>na</v>
      </c>
      <c r="Q153" s="217" t="str">
        <f t="shared" si="284"/>
        <v>na</v>
      </c>
      <c r="R153" s="1056" t="str">
        <f t="shared" si="285"/>
        <v>na</v>
      </c>
      <c r="T153" s="1113" t="str">
        <f t="shared" si="286"/>
        <v/>
      </c>
      <c r="U153" s="1114" t="str">
        <f t="shared" si="287"/>
        <v/>
      </c>
      <c r="V153" s="1114" t="str">
        <f t="shared" si="288"/>
        <v/>
      </c>
      <c r="W153" s="1114" t="str">
        <f t="shared" si="289"/>
        <v/>
      </c>
      <c r="X153" s="1114" t="str">
        <f t="shared" si="290"/>
        <v/>
      </c>
      <c r="Y153" s="1114" t="str">
        <f t="shared" si="291"/>
        <v/>
      </c>
      <c r="Z153" s="1114" t="str">
        <f t="shared" si="292"/>
        <v/>
      </c>
      <c r="AA153" s="1114" t="str">
        <f t="shared" si="293"/>
        <v/>
      </c>
      <c r="AB153" s="1704" t="str">
        <f t="shared" si="294"/>
        <v/>
      </c>
      <c r="AC153" s="1115" t="str">
        <f t="shared" si="295"/>
        <v/>
      </c>
      <c r="AE153" s="985"/>
    </row>
    <row r="154" spans="1:33" s="130" customFormat="1" ht="13.9" customHeight="1" x14ac:dyDescent="0.25">
      <c r="A154" s="846">
        <f>Chem!A154</f>
        <v>152</v>
      </c>
      <c r="B154" s="856" t="str">
        <f>Chem!B154</f>
        <v>Bromochloromethane</v>
      </c>
      <c r="C154" s="553" t="s">
        <v>232</v>
      </c>
      <c r="D154" s="338" t="s">
        <v>232</v>
      </c>
      <c r="E154" s="553" t="s">
        <v>232</v>
      </c>
      <c r="F154" s="553" t="s">
        <v>232</v>
      </c>
      <c r="G154" s="552" t="s">
        <v>232</v>
      </c>
      <c r="H154" s="384" t="s">
        <v>232</v>
      </c>
      <c r="I154" s="342" t="str">
        <f t="shared" si="278"/>
        <v>na</v>
      </c>
      <c r="J154" s="562" t="str">
        <f>'GW-Eq'!I154</f>
        <v>na</v>
      </c>
      <c r="K154" s="562" t="str">
        <f t="shared" si="279"/>
        <v>na</v>
      </c>
      <c r="L154" s="562" t="str">
        <f t="shared" si="280"/>
        <v>na</v>
      </c>
      <c r="M154" s="562" t="str">
        <f t="shared" si="281"/>
        <v>na</v>
      </c>
      <c r="N154" s="285" t="str">
        <f>'GW-Eq'!J154</f>
        <v>na</v>
      </c>
      <c r="O154" s="285" t="str">
        <f t="shared" si="282"/>
        <v>na</v>
      </c>
      <c r="P154" s="285" t="str">
        <f t="shared" si="283"/>
        <v>na</v>
      </c>
      <c r="Q154" s="285" t="str">
        <f t="shared" si="284"/>
        <v>na</v>
      </c>
      <c r="R154" s="1054" t="str">
        <f t="shared" si="285"/>
        <v>na</v>
      </c>
      <c r="T154" s="1113" t="str">
        <f t="shared" si="286"/>
        <v/>
      </c>
      <c r="U154" s="1114" t="str">
        <f t="shared" si="287"/>
        <v/>
      </c>
      <c r="V154" s="1114" t="str">
        <f t="shared" si="288"/>
        <v/>
      </c>
      <c r="W154" s="1114" t="str">
        <f t="shared" si="289"/>
        <v/>
      </c>
      <c r="X154" s="1114" t="str">
        <f t="shared" si="290"/>
        <v/>
      </c>
      <c r="Y154" s="1114" t="str">
        <f t="shared" si="291"/>
        <v/>
      </c>
      <c r="Z154" s="1114" t="str">
        <f t="shared" si="292"/>
        <v/>
      </c>
      <c r="AA154" s="1114" t="str">
        <f t="shared" si="293"/>
        <v/>
      </c>
      <c r="AB154" s="1704" t="str">
        <f t="shared" si="294"/>
        <v/>
      </c>
      <c r="AC154" s="1115" t="str">
        <f t="shared" si="295"/>
        <v/>
      </c>
      <c r="AE154" s="985"/>
    </row>
    <row r="155" spans="1:33" s="130" customFormat="1" ht="13.9" customHeight="1" x14ac:dyDescent="0.25">
      <c r="A155" s="846">
        <f>Chem!A155</f>
        <v>153</v>
      </c>
      <c r="B155" s="856" t="str">
        <f>Chem!B155</f>
        <v>Bromoethane</v>
      </c>
      <c r="C155" s="394" t="s">
        <v>232</v>
      </c>
      <c r="D155" s="338" t="s">
        <v>232</v>
      </c>
      <c r="E155" s="394" t="s">
        <v>232</v>
      </c>
      <c r="F155" s="394" t="s">
        <v>232</v>
      </c>
      <c r="G155" s="552" t="s">
        <v>232</v>
      </c>
      <c r="H155" s="384" t="s">
        <v>232</v>
      </c>
      <c r="I155" s="338" t="str">
        <f t="shared" si="278"/>
        <v>na</v>
      </c>
      <c r="J155" s="407" t="str">
        <f>'GW-Eq'!I155</f>
        <v>na</v>
      </c>
      <c r="K155" s="407" t="str">
        <f t="shared" si="279"/>
        <v>na</v>
      </c>
      <c r="L155" s="407" t="str">
        <f t="shared" si="280"/>
        <v>na</v>
      </c>
      <c r="M155" s="407" t="str">
        <f t="shared" si="281"/>
        <v>na</v>
      </c>
      <c r="N155" s="217" t="str">
        <f>'GW-Eq'!J155</f>
        <v>na</v>
      </c>
      <c r="O155" s="217" t="str">
        <f t="shared" si="282"/>
        <v>na</v>
      </c>
      <c r="P155" s="217" t="str">
        <f t="shared" si="283"/>
        <v>na</v>
      </c>
      <c r="Q155" s="217" t="str">
        <f t="shared" si="284"/>
        <v>na</v>
      </c>
      <c r="R155" s="1056" t="str">
        <f t="shared" si="285"/>
        <v>na</v>
      </c>
      <c r="T155" s="1113" t="str">
        <f t="shared" si="286"/>
        <v/>
      </c>
      <c r="U155" s="1114" t="str">
        <f t="shared" si="287"/>
        <v/>
      </c>
      <c r="V155" s="1114" t="str">
        <f t="shared" si="288"/>
        <v/>
      </c>
      <c r="W155" s="1114" t="str">
        <f t="shared" si="289"/>
        <v/>
      </c>
      <c r="X155" s="1114" t="str">
        <f t="shared" si="290"/>
        <v/>
      </c>
      <c r="Y155" s="1114" t="str">
        <f t="shared" si="291"/>
        <v/>
      </c>
      <c r="Z155" s="1114" t="str">
        <f t="shared" si="292"/>
        <v/>
      </c>
      <c r="AA155" s="1114" t="str">
        <f t="shared" si="293"/>
        <v/>
      </c>
      <c r="AB155" s="1704" t="str">
        <f t="shared" si="294"/>
        <v/>
      </c>
      <c r="AC155" s="1115" t="str">
        <f t="shared" si="295"/>
        <v/>
      </c>
      <c r="AE155" s="985"/>
    </row>
    <row r="156" spans="1:33" s="130" customFormat="1" ht="13.9" customHeight="1" x14ac:dyDescent="0.25">
      <c r="A156" s="846">
        <f>Chem!A156</f>
        <v>154</v>
      </c>
      <c r="B156" s="856" t="str">
        <f>Chem!B156</f>
        <v>Bromoform</v>
      </c>
      <c r="C156" s="394" t="s">
        <v>232</v>
      </c>
      <c r="D156" s="338" t="s">
        <v>232</v>
      </c>
      <c r="E156" s="394">
        <v>12</v>
      </c>
      <c r="F156" s="394">
        <v>12</v>
      </c>
      <c r="G156" s="552">
        <v>120</v>
      </c>
      <c r="H156" s="384" t="s">
        <v>232</v>
      </c>
      <c r="I156" s="338">
        <f t="shared" si="278"/>
        <v>12</v>
      </c>
      <c r="J156" s="407">
        <f>'GW-Eq'!I156</f>
        <v>3829.0598290598291</v>
      </c>
      <c r="K156" s="407">
        <f t="shared" si="279"/>
        <v>3.1339285714285714E-3</v>
      </c>
      <c r="L156" s="407" t="str">
        <f t="shared" si="280"/>
        <v>no</v>
      </c>
      <c r="M156" s="407">
        <f t="shared" si="281"/>
        <v>12</v>
      </c>
      <c r="N156" s="217">
        <f>'GW-Eq'!J156</f>
        <v>60.586389700313731</v>
      </c>
      <c r="O156" s="217">
        <f t="shared" si="282"/>
        <v>0.19806428571428578</v>
      </c>
      <c r="P156" s="217" t="str">
        <f t="shared" si="283"/>
        <v>no</v>
      </c>
      <c r="Q156" s="217">
        <f t="shared" si="284"/>
        <v>12</v>
      </c>
      <c r="R156" s="1056">
        <f t="shared" si="285"/>
        <v>12</v>
      </c>
      <c r="T156" s="1113" t="str">
        <f t="shared" si="286"/>
        <v/>
      </c>
      <c r="U156" s="1114" t="str">
        <f t="shared" si="287"/>
        <v/>
      </c>
      <c r="V156" s="1114" t="str">
        <f t="shared" si="288"/>
        <v>X</v>
      </c>
      <c r="W156" s="1114" t="str">
        <f t="shared" si="289"/>
        <v>X</v>
      </c>
      <c r="X156" s="1114" t="str">
        <f t="shared" si="290"/>
        <v/>
      </c>
      <c r="Y156" s="1114" t="str">
        <f t="shared" si="291"/>
        <v/>
      </c>
      <c r="Z156" s="1114" t="str">
        <f t="shared" si="292"/>
        <v/>
      </c>
      <c r="AA156" s="1114" t="str">
        <f t="shared" si="293"/>
        <v/>
      </c>
      <c r="AB156" s="1704" t="str">
        <f t="shared" si="294"/>
        <v/>
      </c>
      <c r="AC156" s="1115" t="str">
        <f t="shared" si="295"/>
        <v/>
      </c>
      <c r="AE156" s="985"/>
      <c r="AG156" s="130" t="str">
        <f>IF(R156=J156,"X","")</f>
        <v/>
      </c>
    </row>
    <row r="157" spans="1:33" s="130" customFormat="1" ht="13.9" customHeight="1" x14ac:dyDescent="0.25">
      <c r="A157" s="846">
        <f>Chem!A157</f>
        <v>155</v>
      </c>
      <c r="B157" s="856" t="str">
        <f>Chem!B157</f>
        <v>Bromomethane</v>
      </c>
      <c r="C157" s="394" t="s">
        <v>232</v>
      </c>
      <c r="D157" s="338" t="s">
        <v>232</v>
      </c>
      <c r="E157" s="394">
        <v>2400</v>
      </c>
      <c r="F157" s="394" t="s">
        <v>232</v>
      </c>
      <c r="G157" s="552">
        <v>10000</v>
      </c>
      <c r="H157" s="384" t="s">
        <v>232</v>
      </c>
      <c r="I157" s="338">
        <f t="shared" si="278"/>
        <v>2400</v>
      </c>
      <c r="J157" s="407">
        <f>'GW-Eq'!I157</f>
        <v>268.03418803418805</v>
      </c>
      <c r="K157" s="407">
        <f t="shared" si="279"/>
        <v>8.954081632653061</v>
      </c>
      <c r="L157" s="407" t="str">
        <f t="shared" si="280"/>
        <v>YES</v>
      </c>
      <c r="M157" s="407">
        <f t="shared" si="281"/>
        <v>268.03418803418805</v>
      </c>
      <c r="N157" s="217" t="str">
        <f>'GW-Eq'!J157</f>
        <v>na</v>
      </c>
      <c r="O157" s="217" t="str">
        <f t="shared" si="282"/>
        <v>na</v>
      </c>
      <c r="P157" s="217" t="str">
        <f t="shared" si="283"/>
        <v>na</v>
      </c>
      <c r="Q157" s="217" t="str">
        <f t="shared" si="284"/>
        <v>na</v>
      </c>
      <c r="R157" s="1056">
        <f t="shared" si="285"/>
        <v>268.03418803418805</v>
      </c>
      <c r="T157" s="1113" t="str">
        <f t="shared" si="286"/>
        <v/>
      </c>
      <c r="U157" s="1114" t="str">
        <f t="shared" si="287"/>
        <v/>
      </c>
      <c r="V157" s="1114" t="str">
        <f t="shared" si="288"/>
        <v/>
      </c>
      <c r="W157" s="1114" t="str">
        <f t="shared" si="289"/>
        <v/>
      </c>
      <c r="X157" s="1114" t="str">
        <f t="shared" si="290"/>
        <v/>
      </c>
      <c r="Y157" s="1114" t="str">
        <f t="shared" si="291"/>
        <v/>
      </c>
      <c r="Z157" s="1114" t="str">
        <f t="shared" si="292"/>
        <v>X</v>
      </c>
      <c r="AA157" s="1114" t="str">
        <f t="shared" si="293"/>
        <v/>
      </c>
      <c r="AB157" s="1704" t="str">
        <f t="shared" si="294"/>
        <v>X</v>
      </c>
      <c r="AC157" s="1115" t="str">
        <f t="shared" si="295"/>
        <v/>
      </c>
      <c r="AE157" s="985"/>
    </row>
    <row r="158" spans="1:33" s="130" customFormat="1" ht="13.9" customHeight="1" x14ac:dyDescent="0.25">
      <c r="A158" s="846">
        <f>Chem!A158</f>
        <v>156</v>
      </c>
      <c r="B158" s="856" t="str">
        <f>Chem!B158</f>
        <v>2-Butoxyethanol (EGBE)</v>
      </c>
      <c r="C158" s="394" t="s">
        <v>232</v>
      </c>
      <c r="D158" s="338" t="s">
        <v>232</v>
      </c>
      <c r="E158" s="394" t="s">
        <v>232</v>
      </c>
      <c r="F158" s="394" t="s">
        <v>232</v>
      </c>
      <c r="G158" s="552" t="s">
        <v>232</v>
      </c>
      <c r="H158" s="384" t="s">
        <v>232</v>
      </c>
      <c r="I158" s="338" t="str">
        <f t="shared" si="278"/>
        <v>na</v>
      </c>
      <c r="J158" s="407" t="str">
        <f>'GW-Eq'!I158</f>
        <v>na</v>
      </c>
      <c r="K158" s="407" t="str">
        <f t="shared" si="279"/>
        <v>na</v>
      </c>
      <c r="L158" s="407" t="str">
        <f t="shared" si="280"/>
        <v>na</v>
      </c>
      <c r="M158" s="407" t="str">
        <f t="shared" si="281"/>
        <v>na</v>
      </c>
      <c r="N158" s="217" t="str">
        <f>'GW-Eq'!J158</f>
        <v>na</v>
      </c>
      <c r="O158" s="217" t="str">
        <f t="shared" si="282"/>
        <v>na</v>
      </c>
      <c r="P158" s="217" t="str">
        <f t="shared" si="283"/>
        <v>na</v>
      </c>
      <c r="Q158" s="217" t="str">
        <f t="shared" si="284"/>
        <v>na</v>
      </c>
      <c r="R158" s="1056" t="str">
        <f t="shared" si="285"/>
        <v>na</v>
      </c>
      <c r="T158" s="1113" t="str">
        <f t="shared" si="286"/>
        <v/>
      </c>
      <c r="U158" s="1114" t="str">
        <f t="shared" si="287"/>
        <v/>
      </c>
      <c r="V158" s="1114" t="str">
        <f t="shared" si="288"/>
        <v/>
      </c>
      <c r="W158" s="1114" t="str">
        <f t="shared" si="289"/>
        <v/>
      </c>
      <c r="X158" s="1114" t="str">
        <f t="shared" si="290"/>
        <v/>
      </c>
      <c r="Y158" s="1114" t="str">
        <f t="shared" si="291"/>
        <v/>
      </c>
      <c r="Z158" s="1114" t="str">
        <f t="shared" si="292"/>
        <v/>
      </c>
      <c r="AA158" s="1114" t="str">
        <f t="shared" si="293"/>
        <v/>
      </c>
      <c r="AB158" s="1704" t="str">
        <f t="shared" si="294"/>
        <v/>
      </c>
      <c r="AC158" s="1115" t="str">
        <f t="shared" si="295"/>
        <v/>
      </c>
      <c r="AE158" s="985"/>
    </row>
    <row r="159" spans="1:33" s="130" customFormat="1" ht="13.9" customHeight="1" x14ac:dyDescent="0.25">
      <c r="A159" s="846">
        <f>Chem!A159</f>
        <v>157</v>
      </c>
      <c r="B159" s="856" t="str">
        <f>Chem!B159</f>
        <v>n-Butylbenzene</v>
      </c>
      <c r="C159" s="394" t="s">
        <v>232</v>
      </c>
      <c r="D159" s="338" t="s">
        <v>232</v>
      </c>
      <c r="E159" s="394" t="s">
        <v>232</v>
      </c>
      <c r="F159" s="394" t="s">
        <v>232</v>
      </c>
      <c r="G159" s="552" t="s">
        <v>232</v>
      </c>
      <c r="H159" s="384" t="s">
        <v>232</v>
      </c>
      <c r="I159" s="338" t="str">
        <f t="shared" si="278"/>
        <v>na</v>
      </c>
      <c r="J159" s="407" t="str">
        <f>'GW-Eq'!I159</f>
        <v>na</v>
      </c>
      <c r="K159" s="407" t="str">
        <f t="shared" si="279"/>
        <v>na</v>
      </c>
      <c r="L159" s="407" t="str">
        <f t="shared" si="280"/>
        <v>na</v>
      </c>
      <c r="M159" s="407" t="str">
        <f t="shared" si="281"/>
        <v>na</v>
      </c>
      <c r="N159" s="217" t="str">
        <f>'GW-Eq'!J159</f>
        <v>na</v>
      </c>
      <c r="O159" s="217" t="str">
        <f t="shared" si="282"/>
        <v>na</v>
      </c>
      <c r="P159" s="217" t="str">
        <f t="shared" si="283"/>
        <v>na</v>
      </c>
      <c r="Q159" s="217" t="str">
        <f t="shared" si="284"/>
        <v>na</v>
      </c>
      <c r="R159" s="1056" t="str">
        <f t="shared" si="285"/>
        <v>na</v>
      </c>
      <c r="T159" s="1113" t="str">
        <f t="shared" si="286"/>
        <v/>
      </c>
      <c r="U159" s="1114" t="str">
        <f t="shared" si="287"/>
        <v/>
      </c>
      <c r="V159" s="1114" t="str">
        <f t="shared" si="288"/>
        <v/>
      </c>
      <c r="W159" s="1114" t="str">
        <f t="shared" si="289"/>
        <v/>
      </c>
      <c r="X159" s="1114" t="str">
        <f t="shared" si="290"/>
        <v/>
      </c>
      <c r="Y159" s="1114" t="str">
        <f t="shared" si="291"/>
        <v/>
      </c>
      <c r="Z159" s="1114" t="str">
        <f t="shared" si="292"/>
        <v/>
      </c>
      <c r="AA159" s="1114" t="str">
        <f t="shared" si="293"/>
        <v/>
      </c>
      <c r="AB159" s="1704" t="str">
        <f t="shared" si="294"/>
        <v/>
      </c>
      <c r="AC159" s="1115" t="str">
        <f t="shared" si="295"/>
        <v/>
      </c>
      <c r="AE159" s="985"/>
    </row>
    <row r="160" spans="1:33" s="130" customFormat="1" ht="13.9" customHeight="1" x14ac:dyDescent="0.25">
      <c r="A160" s="846">
        <f>Chem!A160</f>
        <v>158</v>
      </c>
      <c r="B160" s="856" t="str">
        <f>Chem!B160</f>
        <v>sec-Butylbenzene</v>
      </c>
      <c r="C160" s="394" t="s">
        <v>232</v>
      </c>
      <c r="D160" s="338" t="s">
        <v>232</v>
      </c>
      <c r="E160" s="394" t="s">
        <v>232</v>
      </c>
      <c r="F160" s="394" t="s">
        <v>232</v>
      </c>
      <c r="G160" s="552" t="s">
        <v>232</v>
      </c>
      <c r="H160" s="384" t="s">
        <v>232</v>
      </c>
      <c r="I160" s="338" t="str">
        <f t="shared" si="278"/>
        <v>na</v>
      </c>
      <c r="J160" s="407" t="str">
        <f>'GW-Eq'!I160</f>
        <v>na</v>
      </c>
      <c r="K160" s="407" t="str">
        <f t="shared" si="279"/>
        <v>na</v>
      </c>
      <c r="L160" s="407" t="str">
        <f t="shared" si="280"/>
        <v>na</v>
      </c>
      <c r="M160" s="407" t="str">
        <f t="shared" si="281"/>
        <v>na</v>
      </c>
      <c r="N160" s="217" t="str">
        <f>'GW-Eq'!J160</f>
        <v>na</v>
      </c>
      <c r="O160" s="217" t="str">
        <f t="shared" si="282"/>
        <v>na</v>
      </c>
      <c r="P160" s="217" t="str">
        <f t="shared" si="283"/>
        <v>na</v>
      </c>
      <c r="Q160" s="217" t="str">
        <f t="shared" si="284"/>
        <v>na</v>
      </c>
      <c r="R160" s="1056" t="str">
        <f t="shared" si="285"/>
        <v>na</v>
      </c>
      <c r="T160" s="1113" t="str">
        <f t="shared" si="286"/>
        <v/>
      </c>
      <c r="U160" s="1114" t="str">
        <f t="shared" si="287"/>
        <v/>
      </c>
      <c r="V160" s="1114" t="str">
        <f t="shared" si="288"/>
        <v/>
      </c>
      <c r="W160" s="1114" t="str">
        <f t="shared" si="289"/>
        <v/>
      </c>
      <c r="X160" s="1114" t="str">
        <f t="shared" si="290"/>
        <v/>
      </c>
      <c r="Y160" s="1114" t="str">
        <f t="shared" si="291"/>
        <v/>
      </c>
      <c r="Z160" s="1114" t="str">
        <f t="shared" si="292"/>
        <v/>
      </c>
      <c r="AA160" s="1114" t="str">
        <f t="shared" si="293"/>
        <v/>
      </c>
      <c r="AB160" s="1704" t="str">
        <f t="shared" si="294"/>
        <v/>
      </c>
      <c r="AC160" s="1115" t="str">
        <f t="shared" si="295"/>
        <v/>
      </c>
      <c r="AE160" s="985"/>
    </row>
    <row r="161" spans="1:33" s="130" customFormat="1" ht="13.9" customHeight="1" x14ac:dyDescent="0.25">
      <c r="A161" s="846">
        <f>Chem!A161</f>
        <v>159</v>
      </c>
      <c r="B161" s="856" t="str">
        <f>Chem!B161</f>
        <v>tert-Butylbenzene</v>
      </c>
      <c r="C161" s="394" t="s">
        <v>232</v>
      </c>
      <c r="D161" s="338" t="s">
        <v>232</v>
      </c>
      <c r="E161" s="394" t="s">
        <v>232</v>
      </c>
      <c r="F161" s="394" t="s">
        <v>232</v>
      </c>
      <c r="G161" s="552" t="s">
        <v>232</v>
      </c>
      <c r="H161" s="384" t="s">
        <v>232</v>
      </c>
      <c r="I161" s="338" t="str">
        <f t="shared" si="278"/>
        <v>na</v>
      </c>
      <c r="J161" s="407" t="str">
        <f>'GW-Eq'!I161</f>
        <v>na</v>
      </c>
      <c r="K161" s="407" t="str">
        <f t="shared" si="279"/>
        <v>na</v>
      </c>
      <c r="L161" s="407" t="str">
        <f t="shared" si="280"/>
        <v>na</v>
      </c>
      <c r="M161" s="407" t="str">
        <f t="shared" si="281"/>
        <v>na</v>
      </c>
      <c r="N161" s="217" t="str">
        <f>'GW-Eq'!J161</f>
        <v>na</v>
      </c>
      <c r="O161" s="217" t="str">
        <f t="shared" si="282"/>
        <v>na</v>
      </c>
      <c r="P161" s="217" t="str">
        <f t="shared" si="283"/>
        <v>na</v>
      </c>
      <c r="Q161" s="217" t="str">
        <f t="shared" si="284"/>
        <v>na</v>
      </c>
      <c r="R161" s="1056" t="str">
        <f t="shared" si="285"/>
        <v>na</v>
      </c>
      <c r="T161" s="1113" t="str">
        <f t="shared" si="286"/>
        <v/>
      </c>
      <c r="U161" s="1114" t="str">
        <f t="shared" si="287"/>
        <v/>
      </c>
      <c r="V161" s="1114" t="str">
        <f t="shared" si="288"/>
        <v/>
      </c>
      <c r="W161" s="1114" t="str">
        <f t="shared" si="289"/>
        <v/>
      </c>
      <c r="X161" s="1114" t="str">
        <f t="shared" si="290"/>
        <v/>
      </c>
      <c r="Y161" s="1114" t="str">
        <f t="shared" si="291"/>
        <v/>
      </c>
      <c r="Z161" s="1114" t="str">
        <f t="shared" si="292"/>
        <v/>
      </c>
      <c r="AA161" s="1114" t="str">
        <f t="shared" si="293"/>
        <v/>
      </c>
      <c r="AB161" s="1704" t="str">
        <f t="shared" si="294"/>
        <v/>
      </c>
      <c r="AC161" s="1115" t="str">
        <f t="shared" si="295"/>
        <v/>
      </c>
      <c r="AE161" s="985"/>
    </row>
    <row r="162" spans="1:33" s="130" customFormat="1" ht="13.9" customHeight="1" x14ac:dyDescent="0.25">
      <c r="A162" s="846">
        <f>Chem!A162</f>
        <v>160</v>
      </c>
      <c r="B162" s="856" t="str">
        <f>Chem!B162</f>
        <v>Carbon disulfide</v>
      </c>
      <c r="C162" s="394" t="s">
        <v>232</v>
      </c>
      <c r="D162" s="338" t="s">
        <v>232</v>
      </c>
      <c r="E162" s="394" t="s">
        <v>232</v>
      </c>
      <c r="F162" s="394" t="s">
        <v>232</v>
      </c>
      <c r="G162" s="552" t="s">
        <v>232</v>
      </c>
      <c r="H162" s="384" t="s">
        <v>232</v>
      </c>
      <c r="I162" s="338" t="str">
        <f t="shared" si="278"/>
        <v>na</v>
      </c>
      <c r="J162" s="407" t="str">
        <f>'GW-Eq'!I162</f>
        <v>na</v>
      </c>
      <c r="K162" s="407" t="str">
        <f t="shared" si="279"/>
        <v>na</v>
      </c>
      <c r="L162" s="407" t="str">
        <f t="shared" si="280"/>
        <v>na</v>
      </c>
      <c r="M162" s="407" t="str">
        <f t="shared" si="281"/>
        <v>na</v>
      </c>
      <c r="N162" s="217" t="str">
        <f>'GW-Eq'!J162</f>
        <v>na</v>
      </c>
      <c r="O162" s="217" t="str">
        <f t="shared" si="282"/>
        <v>na</v>
      </c>
      <c r="P162" s="217" t="str">
        <f t="shared" si="283"/>
        <v>na</v>
      </c>
      <c r="Q162" s="217" t="str">
        <f t="shared" si="284"/>
        <v>na</v>
      </c>
      <c r="R162" s="1056" t="str">
        <f t="shared" si="285"/>
        <v>na</v>
      </c>
      <c r="T162" s="1113" t="str">
        <f t="shared" si="286"/>
        <v/>
      </c>
      <c r="U162" s="1114" t="str">
        <f t="shared" si="287"/>
        <v/>
      </c>
      <c r="V162" s="1114" t="str">
        <f t="shared" si="288"/>
        <v/>
      </c>
      <c r="W162" s="1114" t="str">
        <f t="shared" si="289"/>
        <v/>
      </c>
      <c r="X162" s="1114" t="str">
        <f t="shared" si="290"/>
        <v/>
      </c>
      <c r="Y162" s="1114" t="str">
        <f t="shared" si="291"/>
        <v/>
      </c>
      <c r="Z162" s="1114" t="str">
        <f t="shared" si="292"/>
        <v/>
      </c>
      <c r="AA162" s="1114" t="str">
        <f t="shared" si="293"/>
        <v/>
      </c>
      <c r="AB162" s="1704" t="str">
        <f t="shared" si="294"/>
        <v/>
      </c>
      <c r="AC162" s="1115" t="str">
        <f t="shared" si="295"/>
        <v/>
      </c>
      <c r="AE162" s="985"/>
    </row>
    <row r="163" spans="1:33" s="130" customFormat="1" ht="13.9" customHeight="1" x14ac:dyDescent="0.25">
      <c r="A163" s="846">
        <f>Chem!A163</f>
        <v>161</v>
      </c>
      <c r="B163" s="856" t="str">
        <f>Chem!B163</f>
        <v>Carbon tetrachloride</v>
      </c>
      <c r="C163" s="394" t="s">
        <v>232</v>
      </c>
      <c r="D163" s="338" t="s">
        <v>232</v>
      </c>
      <c r="E163" s="394">
        <v>0.35</v>
      </c>
      <c r="F163" s="394" t="s">
        <v>232</v>
      </c>
      <c r="G163" s="552">
        <v>5</v>
      </c>
      <c r="H163" s="384" t="s">
        <v>232</v>
      </c>
      <c r="I163" s="338">
        <f t="shared" si="278"/>
        <v>0.35</v>
      </c>
      <c r="J163" s="407">
        <f>'GW-Eq'!I163</f>
        <v>153.16239316239319</v>
      </c>
      <c r="K163" s="407">
        <f t="shared" si="279"/>
        <v>2.2851562499999994E-3</v>
      </c>
      <c r="L163" s="407" t="str">
        <f t="shared" si="280"/>
        <v>no</v>
      </c>
      <c r="M163" s="407">
        <f t="shared" si="281"/>
        <v>0.35</v>
      </c>
      <c r="N163" s="217">
        <f>'GW-Eq'!J163</f>
        <v>1.3675213675213671</v>
      </c>
      <c r="O163" s="217">
        <f t="shared" si="282"/>
        <v>0.25593750000000004</v>
      </c>
      <c r="P163" s="217" t="str">
        <f t="shared" si="283"/>
        <v>no</v>
      </c>
      <c r="Q163" s="217">
        <f t="shared" si="284"/>
        <v>0.35</v>
      </c>
      <c r="R163" s="1056">
        <f t="shared" si="285"/>
        <v>0.35</v>
      </c>
      <c r="T163" s="1113" t="str">
        <f t="shared" si="286"/>
        <v/>
      </c>
      <c r="U163" s="1114" t="str">
        <f t="shared" si="287"/>
        <v/>
      </c>
      <c r="V163" s="1114" t="str">
        <f t="shared" si="288"/>
        <v>X</v>
      </c>
      <c r="W163" s="1114" t="str">
        <f t="shared" si="289"/>
        <v/>
      </c>
      <c r="X163" s="1114" t="str">
        <f t="shared" si="290"/>
        <v/>
      </c>
      <c r="Y163" s="1114" t="str">
        <f t="shared" si="291"/>
        <v/>
      </c>
      <c r="Z163" s="1114" t="str">
        <f t="shared" si="292"/>
        <v/>
      </c>
      <c r="AA163" s="1114" t="str">
        <f t="shared" si="293"/>
        <v/>
      </c>
      <c r="AB163" s="1704" t="str">
        <f t="shared" si="294"/>
        <v/>
      </c>
      <c r="AC163" s="1115" t="str">
        <f t="shared" si="295"/>
        <v/>
      </c>
      <c r="AE163" s="985"/>
      <c r="AG163" s="130" t="str">
        <f>IF(R163=J163,"X","")</f>
        <v/>
      </c>
    </row>
    <row r="164" spans="1:33" s="130" customFormat="1" ht="13.9" customHeight="1" x14ac:dyDescent="0.25">
      <c r="A164" s="846">
        <f>Chem!A164</f>
        <v>162</v>
      </c>
      <c r="B164" s="856" t="str">
        <f>Chem!B164</f>
        <v>Chlorobenzene</v>
      </c>
      <c r="C164" s="394" t="s">
        <v>232</v>
      </c>
      <c r="D164" s="338" t="s">
        <v>232</v>
      </c>
      <c r="E164" s="394">
        <v>200</v>
      </c>
      <c r="F164" s="394">
        <v>200</v>
      </c>
      <c r="G164" s="552">
        <v>800</v>
      </c>
      <c r="H164" s="384" t="s">
        <v>232</v>
      </c>
      <c r="I164" s="338">
        <f t="shared" si="278"/>
        <v>200</v>
      </c>
      <c r="J164" s="407">
        <f>'GW-Eq'!I164</f>
        <v>1394.0751804829474</v>
      </c>
      <c r="K164" s="407">
        <f t="shared" si="279"/>
        <v>0.14346428571428571</v>
      </c>
      <c r="L164" s="407" t="str">
        <f t="shared" si="280"/>
        <v>no</v>
      </c>
      <c r="M164" s="407">
        <f t="shared" si="281"/>
        <v>200</v>
      </c>
      <c r="N164" s="217" t="str">
        <f>'GW-Eq'!J164</f>
        <v>na</v>
      </c>
      <c r="O164" s="217" t="str">
        <f t="shared" si="282"/>
        <v>na</v>
      </c>
      <c r="P164" s="217" t="str">
        <f t="shared" si="283"/>
        <v>na</v>
      </c>
      <c r="Q164" s="217" t="str">
        <f t="shared" si="284"/>
        <v>na</v>
      </c>
      <c r="R164" s="1056">
        <f t="shared" si="285"/>
        <v>200</v>
      </c>
      <c r="T164" s="1113" t="str">
        <f t="shared" si="286"/>
        <v/>
      </c>
      <c r="U164" s="1114" t="str">
        <f t="shared" si="287"/>
        <v/>
      </c>
      <c r="V164" s="1114" t="str">
        <f t="shared" si="288"/>
        <v>X</v>
      </c>
      <c r="W164" s="1114" t="str">
        <f t="shared" si="289"/>
        <v>X</v>
      </c>
      <c r="X164" s="1114" t="str">
        <f t="shared" si="290"/>
        <v/>
      </c>
      <c r="Y164" s="1114" t="str">
        <f t="shared" si="291"/>
        <v/>
      </c>
      <c r="Z164" s="1114" t="str">
        <f t="shared" si="292"/>
        <v/>
      </c>
      <c r="AA164" s="1114" t="str">
        <f t="shared" si="293"/>
        <v/>
      </c>
      <c r="AB164" s="1704" t="str">
        <f t="shared" si="294"/>
        <v/>
      </c>
      <c r="AC164" s="1115" t="str">
        <f t="shared" si="295"/>
        <v/>
      </c>
      <c r="AE164" s="985"/>
      <c r="AG164" s="130" t="str">
        <f>IF(R164=J164,"X","")</f>
        <v/>
      </c>
    </row>
    <row r="165" spans="1:33" s="130" customFormat="1" ht="13.9" customHeight="1" x14ac:dyDescent="0.25">
      <c r="A165" s="846">
        <f>Chem!A165</f>
        <v>163</v>
      </c>
      <c r="B165" s="856" t="str">
        <f>Chem!B165</f>
        <v>Chloroethane</v>
      </c>
      <c r="C165" s="394" t="s">
        <v>232</v>
      </c>
      <c r="D165" s="338" t="s">
        <v>232</v>
      </c>
      <c r="E165" s="394" t="s">
        <v>232</v>
      </c>
      <c r="F165" s="394" t="s">
        <v>232</v>
      </c>
      <c r="G165" s="552" t="s">
        <v>232</v>
      </c>
      <c r="H165" s="384" t="s">
        <v>232</v>
      </c>
      <c r="I165" s="338" t="str">
        <f t="shared" si="278"/>
        <v>na</v>
      </c>
      <c r="J165" s="407" t="str">
        <f>'GW-Eq'!I165</f>
        <v>na</v>
      </c>
      <c r="K165" s="407" t="str">
        <f t="shared" si="279"/>
        <v>na</v>
      </c>
      <c r="L165" s="407" t="str">
        <f t="shared" si="280"/>
        <v>na</v>
      </c>
      <c r="M165" s="407" t="str">
        <f t="shared" si="281"/>
        <v>na</v>
      </c>
      <c r="N165" s="217" t="str">
        <f>'GW-Eq'!J165</f>
        <v>na</v>
      </c>
      <c r="O165" s="217" t="str">
        <f t="shared" si="282"/>
        <v>na</v>
      </c>
      <c r="P165" s="217" t="str">
        <f t="shared" si="283"/>
        <v>na</v>
      </c>
      <c r="Q165" s="217" t="str">
        <f t="shared" si="284"/>
        <v>na</v>
      </c>
      <c r="R165" s="1056" t="str">
        <f t="shared" si="285"/>
        <v>na</v>
      </c>
      <c r="T165" s="1113" t="str">
        <f t="shared" si="286"/>
        <v/>
      </c>
      <c r="U165" s="1114" t="str">
        <f t="shared" si="287"/>
        <v/>
      </c>
      <c r="V165" s="1114" t="str">
        <f t="shared" si="288"/>
        <v/>
      </c>
      <c r="W165" s="1114" t="str">
        <f t="shared" si="289"/>
        <v/>
      </c>
      <c r="X165" s="1114" t="str">
        <f t="shared" si="290"/>
        <v/>
      </c>
      <c r="Y165" s="1114" t="str">
        <f t="shared" si="291"/>
        <v/>
      </c>
      <c r="Z165" s="1114" t="str">
        <f t="shared" si="292"/>
        <v/>
      </c>
      <c r="AA165" s="1114" t="str">
        <f t="shared" si="293"/>
        <v/>
      </c>
      <c r="AB165" s="1704" t="str">
        <f t="shared" si="294"/>
        <v/>
      </c>
      <c r="AC165" s="1115" t="str">
        <f t="shared" si="295"/>
        <v/>
      </c>
      <c r="AE165" s="985"/>
    </row>
    <row r="166" spans="1:33" s="130" customFormat="1" ht="13.9" customHeight="1" x14ac:dyDescent="0.25">
      <c r="A166" s="846">
        <f>Chem!A166</f>
        <v>164</v>
      </c>
      <c r="B166" s="856" t="str">
        <f>Chem!B166</f>
        <v>2-Chloroethyl vinyl ether</v>
      </c>
      <c r="C166" s="394" t="s">
        <v>232</v>
      </c>
      <c r="D166" s="338" t="s">
        <v>232</v>
      </c>
      <c r="E166" s="394" t="s">
        <v>232</v>
      </c>
      <c r="F166" s="394" t="s">
        <v>232</v>
      </c>
      <c r="G166" s="552" t="s">
        <v>232</v>
      </c>
      <c r="H166" s="384" t="s">
        <v>232</v>
      </c>
      <c r="I166" s="338" t="str">
        <f t="shared" si="278"/>
        <v>na</v>
      </c>
      <c r="J166" s="407" t="str">
        <f>'GW-Eq'!I166</f>
        <v>na</v>
      </c>
      <c r="K166" s="407" t="str">
        <f t="shared" si="279"/>
        <v>na</v>
      </c>
      <c r="L166" s="407" t="str">
        <f t="shared" si="280"/>
        <v>na</v>
      </c>
      <c r="M166" s="407" t="str">
        <f t="shared" si="281"/>
        <v>na</v>
      </c>
      <c r="N166" s="217" t="str">
        <f>'GW-Eq'!J166</f>
        <v>na</v>
      </c>
      <c r="O166" s="217" t="str">
        <f t="shared" si="282"/>
        <v>na</v>
      </c>
      <c r="P166" s="217" t="str">
        <f t="shared" si="283"/>
        <v>na</v>
      </c>
      <c r="Q166" s="217" t="str">
        <f t="shared" si="284"/>
        <v>na</v>
      </c>
      <c r="R166" s="1056" t="str">
        <f t="shared" si="285"/>
        <v>na</v>
      </c>
      <c r="T166" s="1113" t="str">
        <f t="shared" si="286"/>
        <v/>
      </c>
      <c r="U166" s="1114" t="str">
        <f t="shared" si="287"/>
        <v/>
      </c>
      <c r="V166" s="1114" t="str">
        <f t="shared" si="288"/>
        <v/>
      </c>
      <c r="W166" s="1114" t="str">
        <f t="shared" si="289"/>
        <v/>
      </c>
      <c r="X166" s="1114" t="str">
        <f t="shared" si="290"/>
        <v/>
      </c>
      <c r="Y166" s="1114" t="str">
        <f t="shared" si="291"/>
        <v/>
      </c>
      <c r="Z166" s="1114" t="str">
        <f t="shared" si="292"/>
        <v/>
      </c>
      <c r="AA166" s="1114" t="str">
        <f t="shared" si="293"/>
        <v/>
      </c>
      <c r="AB166" s="1704" t="str">
        <f t="shared" si="294"/>
        <v/>
      </c>
      <c r="AC166" s="1115" t="str">
        <f t="shared" si="295"/>
        <v/>
      </c>
      <c r="AE166" s="985"/>
    </row>
    <row r="167" spans="1:33" s="130" customFormat="1" ht="13.9" customHeight="1" x14ac:dyDescent="0.25">
      <c r="A167" s="846">
        <f>Chem!A167</f>
        <v>165</v>
      </c>
      <c r="B167" s="856" t="str">
        <f>Chem!B167</f>
        <v>Chloroform</v>
      </c>
      <c r="C167" s="394" t="s">
        <v>232</v>
      </c>
      <c r="D167" s="338" t="s">
        <v>232</v>
      </c>
      <c r="E167" s="394">
        <v>600</v>
      </c>
      <c r="F167" s="394">
        <v>600</v>
      </c>
      <c r="G167" s="552">
        <v>2000</v>
      </c>
      <c r="H167" s="384" t="s">
        <v>232</v>
      </c>
      <c r="I167" s="338">
        <f t="shared" si="278"/>
        <v>600</v>
      </c>
      <c r="J167" s="407">
        <f>'GW-Eq'!I167</f>
        <v>1914.5299145299145</v>
      </c>
      <c r="K167" s="407">
        <f t="shared" si="279"/>
        <v>0.31339285714285714</v>
      </c>
      <c r="L167" s="407" t="str">
        <f t="shared" si="280"/>
        <v>no</v>
      </c>
      <c r="M167" s="407">
        <f t="shared" si="281"/>
        <v>600</v>
      </c>
      <c r="N167" s="217">
        <f>'GW-Eq'!J167</f>
        <v>15.439757375241244</v>
      </c>
      <c r="O167" s="217">
        <f t="shared" si="282"/>
        <v>38.860714285714288</v>
      </c>
      <c r="P167" s="217" t="str">
        <f t="shared" si="283"/>
        <v>YES</v>
      </c>
      <c r="Q167" s="217">
        <f t="shared" si="284"/>
        <v>154.39757375241246</v>
      </c>
      <c r="R167" s="1056">
        <f t="shared" si="285"/>
        <v>154.39757375241246</v>
      </c>
      <c r="T167" s="1113" t="str">
        <f t="shared" si="286"/>
        <v/>
      </c>
      <c r="U167" s="1114" t="str">
        <f t="shared" si="287"/>
        <v/>
      </c>
      <c r="V167" s="1114" t="str">
        <f t="shared" si="288"/>
        <v/>
      </c>
      <c r="W167" s="1114" t="str">
        <f t="shared" si="289"/>
        <v/>
      </c>
      <c r="X167" s="1114" t="str">
        <f t="shared" si="290"/>
        <v/>
      </c>
      <c r="Y167" s="1114" t="str">
        <f t="shared" si="291"/>
        <v/>
      </c>
      <c r="Z167" s="1114" t="str">
        <f t="shared" si="292"/>
        <v/>
      </c>
      <c r="AA167" s="1114" t="str">
        <f t="shared" si="293"/>
        <v/>
      </c>
      <c r="AB167" s="1704" t="str">
        <f t="shared" si="294"/>
        <v/>
      </c>
      <c r="AC167" s="1115" t="str">
        <f t="shared" si="295"/>
        <v>X</v>
      </c>
      <c r="AE167" s="985"/>
      <c r="AG167" s="130" t="str">
        <f>IF(R167=J167,"X","")</f>
        <v/>
      </c>
    </row>
    <row r="168" spans="1:33" s="130" customFormat="1" ht="13.9" customHeight="1" x14ac:dyDescent="0.25">
      <c r="A168" s="846">
        <f>Chem!A168</f>
        <v>166</v>
      </c>
      <c r="B168" s="856" t="str">
        <f>Chem!B168</f>
        <v>Chloromethane</v>
      </c>
      <c r="C168" s="394" t="s">
        <v>232</v>
      </c>
      <c r="D168" s="338" t="s">
        <v>232</v>
      </c>
      <c r="E168" s="394" t="s">
        <v>232</v>
      </c>
      <c r="F168" s="394" t="s">
        <v>232</v>
      </c>
      <c r="G168" s="552" t="s">
        <v>232</v>
      </c>
      <c r="H168" s="384" t="s">
        <v>232</v>
      </c>
      <c r="I168" s="338" t="str">
        <f t="shared" si="278"/>
        <v>na</v>
      </c>
      <c r="J168" s="407" t="str">
        <f>'GW-Eq'!I168</f>
        <v>na</v>
      </c>
      <c r="K168" s="407" t="str">
        <f t="shared" si="279"/>
        <v>na</v>
      </c>
      <c r="L168" s="407" t="str">
        <f t="shared" si="280"/>
        <v>na</v>
      </c>
      <c r="M168" s="407" t="str">
        <f t="shared" si="281"/>
        <v>na</v>
      </c>
      <c r="N168" s="217" t="str">
        <f>'GW-Eq'!J168</f>
        <v>na</v>
      </c>
      <c r="O168" s="217" t="str">
        <f t="shared" si="282"/>
        <v>na</v>
      </c>
      <c r="P168" s="217" t="str">
        <f t="shared" si="283"/>
        <v>na</v>
      </c>
      <c r="Q168" s="217" t="str">
        <f t="shared" si="284"/>
        <v>na</v>
      </c>
      <c r="R168" s="1056" t="str">
        <f t="shared" si="285"/>
        <v>na</v>
      </c>
      <c r="T168" s="1113" t="str">
        <f t="shared" si="286"/>
        <v/>
      </c>
      <c r="U168" s="1114" t="str">
        <f t="shared" si="287"/>
        <v/>
      </c>
      <c r="V168" s="1114" t="str">
        <f t="shared" si="288"/>
        <v/>
      </c>
      <c r="W168" s="1114" t="str">
        <f t="shared" si="289"/>
        <v/>
      </c>
      <c r="X168" s="1114" t="str">
        <f t="shared" si="290"/>
        <v/>
      </c>
      <c r="Y168" s="1114" t="str">
        <f t="shared" si="291"/>
        <v/>
      </c>
      <c r="Z168" s="1114" t="str">
        <f t="shared" si="292"/>
        <v/>
      </c>
      <c r="AA168" s="1114" t="str">
        <f t="shared" si="293"/>
        <v/>
      </c>
      <c r="AB168" s="1704" t="str">
        <f t="shared" si="294"/>
        <v/>
      </c>
      <c r="AC168" s="1115" t="str">
        <f t="shared" si="295"/>
        <v/>
      </c>
      <c r="AE168" s="985"/>
    </row>
    <row r="169" spans="1:33" s="130" customFormat="1" ht="13.9" customHeight="1" x14ac:dyDescent="0.25">
      <c r="A169" s="846">
        <f>Chem!A169</f>
        <v>167</v>
      </c>
      <c r="B169" s="856" t="str">
        <f>Chem!B169</f>
        <v>3-Chloro-1-propene (allyl chloride)</v>
      </c>
      <c r="C169" s="394" t="s">
        <v>232</v>
      </c>
      <c r="D169" s="338" t="s">
        <v>232</v>
      </c>
      <c r="E169" s="394" t="s">
        <v>232</v>
      </c>
      <c r="F169" s="394" t="s">
        <v>232</v>
      </c>
      <c r="G169" s="552" t="s">
        <v>232</v>
      </c>
      <c r="H169" s="384" t="s">
        <v>232</v>
      </c>
      <c r="I169" s="338" t="str">
        <f t="shared" si="278"/>
        <v>na</v>
      </c>
      <c r="J169" s="407" t="str">
        <f>'GW-Eq'!I169</f>
        <v>na</v>
      </c>
      <c r="K169" s="407" t="str">
        <f t="shared" si="279"/>
        <v>na</v>
      </c>
      <c r="L169" s="407" t="str">
        <f t="shared" si="280"/>
        <v>na</v>
      </c>
      <c r="M169" s="407" t="str">
        <f t="shared" si="281"/>
        <v>na</v>
      </c>
      <c r="N169" s="217" t="str">
        <f>'GW-Eq'!J169</f>
        <v>na</v>
      </c>
      <c r="O169" s="217" t="str">
        <f t="shared" si="282"/>
        <v>na</v>
      </c>
      <c r="P169" s="217" t="str">
        <f t="shared" si="283"/>
        <v>na</v>
      </c>
      <c r="Q169" s="217" t="str">
        <f t="shared" si="284"/>
        <v>na</v>
      </c>
      <c r="R169" s="1056" t="str">
        <f t="shared" si="285"/>
        <v>na</v>
      </c>
      <c r="T169" s="1113" t="str">
        <f t="shared" si="286"/>
        <v/>
      </c>
      <c r="U169" s="1114" t="str">
        <f t="shared" si="287"/>
        <v/>
      </c>
      <c r="V169" s="1114" t="str">
        <f t="shared" si="288"/>
        <v/>
      </c>
      <c r="W169" s="1114" t="str">
        <f t="shared" si="289"/>
        <v/>
      </c>
      <c r="X169" s="1114" t="str">
        <f t="shared" si="290"/>
        <v/>
      </c>
      <c r="Y169" s="1114" t="str">
        <f t="shared" si="291"/>
        <v/>
      </c>
      <c r="Z169" s="1114" t="str">
        <f t="shared" si="292"/>
        <v/>
      </c>
      <c r="AA169" s="1114" t="str">
        <f t="shared" si="293"/>
        <v/>
      </c>
      <c r="AB169" s="1704" t="str">
        <f t="shared" si="294"/>
        <v/>
      </c>
      <c r="AC169" s="1115" t="str">
        <f t="shared" si="295"/>
        <v/>
      </c>
      <c r="AE169" s="985"/>
    </row>
    <row r="170" spans="1:33" s="130" customFormat="1" ht="13.9" customHeight="1" x14ac:dyDescent="0.25">
      <c r="A170" s="846">
        <f>Chem!A170</f>
        <v>168</v>
      </c>
      <c r="B170" s="856" t="str">
        <f>Chem!B170</f>
        <v>2-Chlorotoluene</v>
      </c>
      <c r="C170" s="394" t="s">
        <v>232</v>
      </c>
      <c r="D170" s="338" t="s">
        <v>232</v>
      </c>
      <c r="E170" s="394" t="s">
        <v>232</v>
      </c>
      <c r="F170" s="394" t="s">
        <v>232</v>
      </c>
      <c r="G170" s="552" t="s">
        <v>232</v>
      </c>
      <c r="H170" s="384" t="s">
        <v>232</v>
      </c>
      <c r="I170" s="338" t="str">
        <f t="shared" si="278"/>
        <v>na</v>
      </c>
      <c r="J170" s="407" t="str">
        <f>'GW-Eq'!I170</f>
        <v>na</v>
      </c>
      <c r="K170" s="407" t="str">
        <f t="shared" si="279"/>
        <v>na</v>
      </c>
      <c r="L170" s="407" t="str">
        <f t="shared" si="280"/>
        <v>na</v>
      </c>
      <c r="M170" s="407" t="str">
        <f t="shared" si="281"/>
        <v>na</v>
      </c>
      <c r="N170" s="217" t="str">
        <f>'GW-Eq'!J170</f>
        <v>na</v>
      </c>
      <c r="O170" s="217" t="str">
        <f t="shared" si="282"/>
        <v>na</v>
      </c>
      <c r="P170" s="217" t="str">
        <f t="shared" si="283"/>
        <v>na</v>
      </c>
      <c r="Q170" s="217" t="str">
        <f t="shared" si="284"/>
        <v>na</v>
      </c>
      <c r="R170" s="1056" t="str">
        <f t="shared" si="285"/>
        <v>na</v>
      </c>
      <c r="T170" s="1113" t="str">
        <f t="shared" si="286"/>
        <v/>
      </c>
      <c r="U170" s="1114" t="str">
        <f t="shared" si="287"/>
        <v/>
      </c>
      <c r="V170" s="1114" t="str">
        <f t="shared" si="288"/>
        <v/>
      </c>
      <c r="W170" s="1114" t="str">
        <f t="shared" si="289"/>
        <v/>
      </c>
      <c r="X170" s="1114" t="str">
        <f t="shared" si="290"/>
        <v/>
      </c>
      <c r="Y170" s="1114" t="str">
        <f t="shared" si="291"/>
        <v/>
      </c>
      <c r="Z170" s="1114" t="str">
        <f t="shared" si="292"/>
        <v/>
      </c>
      <c r="AA170" s="1114" t="str">
        <f t="shared" si="293"/>
        <v/>
      </c>
      <c r="AB170" s="1704" t="str">
        <f t="shared" si="294"/>
        <v/>
      </c>
      <c r="AC170" s="1115" t="str">
        <f t="shared" si="295"/>
        <v/>
      </c>
      <c r="AE170" s="985"/>
    </row>
    <row r="171" spans="1:33" s="130" customFormat="1" ht="13.9" customHeight="1" x14ac:dyDescent="0.25">
      <c r="A171" s="846">
        <f>Chem!A171</f>
        <v>169</v>
      </c>
      <c r="B171" s="856" t="str">
        <f>Chem!B171</f>
        <v>4-Chlorotoluene</v>
      </c>
      <c r="C171" s="394" t="s">
        <v>232</v>
      </c>
      <c r="D171" s="338" t="s">
        <v>232</v>
      </c>
      <c r="E171" s="394" t="s">
        <v>232</v>
      </c>
      <c r="F171" s="394" t="s">
        <v>232</v>
      </c>
      <c r="G171" s="552" t="s">
        <v>232</v>
      </c>
      <c r="H171" s="384" t="s">
        <v>232</v>
      </c>
      <c r="I171" s="338" t="str">
        <f t="shared" si="278"/>
        <v>na</v>
      </c>
      <c r="J171" s="407" t="str">
        <f>'GW-Eq'!I171</f>
        <v>na</v>
      </c>
      <c r="K171" s="407" t="str">
        <f t="shared" si="279"/>
        <v>na</v>
      </c>
      <c r="L171" s="407" t="str">
        <f t="shared" si="280"/>
        <v>na</v>
      </c>
      <c r="M171" s="407" t="str">
        <f t="shared" si="281"/>
        <v>na</v>
      </c>
      <c r="N171" s="217" t="str">
        <f>'GW-Eq'!J171</f>
        <v>na</v>
      </c>
      <c r="O171" s="217" t="str">
        <f t="shared" si="282"/>
        <v>na</v>
      </c>
      <c r="P171" s="217" t="str">
        <f t="shared" si="283"/>
        <v>na</v>
      </c>
      <c r="Q171" s="217" t="str">
        <f t="shared" si="284"/>
        <v>na</v>
      </c>
      <c r="R171" s="1056" t="str">
        <f t="shared" si="285"/>
        <v>na</v>
      </c>
      <c r="T171" s="1113" t="str">
        <f t="shared" si="286"/>
        <v/>
      </c>
      <c r="U171" s="1114" t="str">
        <f t="shared" si="287"/>
        <v/>
      </c>
      <c r="V171" s="1114" t="str">
        <f t="shared" si="288"/>
        <v/>
      </c>
      <c r="W171" s="1114" t="str">
        <f t="shared" si="289"/>
        <v/>
      </c>
      <c r="X171" s="1114" t="str">
        <f t="shared" si="290"/>
        <v/>
      </c>
      <c r="Y171" s="1114" t="str">
        <f t="shared" si="291"/>
        <v/>
      </c>
      <c r="Z171" s="1114" t="str">
        <f t="shared" si="292"/>
        <v/>
      </c>
      <c r="AA171" s="1114" t="str">
        <f t="shared" si="293"/>
        <v/>
      </c>
      <c r="AB171" s="1704" t="str">
        <f t="shared" si="294"/>
        <v/>
      </c>
      <c r="AC171" s="1115" t="str">
        <f t="shared" si="295"/>
        <v/>
      </c>
      <c r="AE171" s="985"/>
    </row>
    <row r="172" spans="1:33" s="130" customFormat="1" ht="13.9" customHeight="1" x14ac:dyDescent="0.25">
      <c r="A172" s="846">
        <f>Chem!A172</f>
        <v>170</v>
      </c>
      <c r="B172" s="856" t="str">
        <f>Chem!B172</f>
        <v>Dibromochloromethane</v>
      </c>
      <c r="C172" s="394" t="s">
        <v>232</v>
      </c>
      <c r="D172" s="338" t="s">
        <v>232</v>
      </c>
      <c r="E172" s="394">
        <v>2.2000000000000002</v>
      </c>
      <c r="F172" s="394">
        <v>2.2000000000000002</v>
      </c>
      <c r="G172" s="552">
        <v>21</v>
      </c>
      <c r="H172" s="384" t="s">
        <v>232</v>
      </c>
      <c r="I172" s="338">
        <f t="shared" si="278"/>
        <v>2.2000000000000002</v>
      </c>
      <c r="J172" s="407">
        <f>'GW-Eq'!I172</f>
        <v>3829.0598290598291</v>
      </c>
      <c r="K172" s="407">
        <f t="shared" si="279"/>
        <v>5.7455357142857145E-4</v>
      </c>
      <c r="L172" s="407" t="str">
        <f t="shared" si="280"/>
        <v>no</v>
      </c>
      <c r="M172" s="407">
        <f t="shared" si="281"/>
        <v>2.2000000000000002</v>
      </c>
      <c r="N172" s="217">
        <f>'GW-Eq'!J172</f>
        <v>5.698005698005697</v>
      </c>
      <c r="O172" s="217">
        <f t="shared" si="282"/>
        <v>0.38610000000000011</v>
      </c>
      <c r="P172" s="217" t="str">
        <f t="shared" si="283"/>
        <v>no</v>
      </c>
      <c r="Q172" s="217">
        <f t="shared" si="284"/>
        <v>2.2000000000000002</v>
      </c>
      <c r="R172" s="1056">
        <f t="shared" si="285"/>
        <v>2.2000000000000002</v>
      </c>
      <c r="T172" s="1113" t="str">
        <f t="shared" si="286"/>
        <v/>
      </c>
      <c r="U172" s="1114" t="str">
        <f t="shared" si="287"/>
        <v/>
      </c>
      <c r="V172" s="1114" t="str">
        <f t="shared" si="288"/>
        <v>X</v>
      </c>
      <c r="W172" s="1114" t="str">
        <f t="shared" si="289"/>
        <v>X</v>
      </c>
      <c r="X172" s="1114" t="str">
        <f t="shared" si="290"/>
        <v/>
      </c>
      <c r="Y172" s="1114" t="str">
        <f t="shared" si="291"/>
        <v/>
      </c>
      <c r="Z172" s="1114" t="str">
        <f t="shared" si="292"/>
        <v/>
      </c>
      <c r="AA172" s="1114" t="str">
        <f t="shared" si="293"/>
        <v/>
      </c>
      <c r="AB172" s="1704" t="str">
        <f t="shared" si="294"/>
        <v/>
      </c>
      <c r="AC172" s="1115" t="str">
        <f t="shared" si="295"/>
        <v/>
      </c>
      <c r="AE172" s="985"/>
      <c r="AG172" s="130" t="str">
        <f>IF(R172=J172,"X","")</f>
        <v/>
      </c>
    </row>
    <row r="173" spans="1:33" s="130" customFormat="1" ht="13.9" customHeight="1" x14ac:dyDescent="0.25">
      <c r="A173" s="846">
        <f>Chem!A173</f>
        <v>171</v>
      </c>
      <c r="B173" s="856" t="str">
        <f>Chem!B173</f>
        <v>1,2-Dibromo-3-chloropropane</v>
      </c>
      <c r="C173" s="394" t="s">
        <v>232</v>
      </c>
      <c r="D173" s="338" t="s">
        <v>232</v>
      </c>
      <c r="E173" s="394" t="s">
        <v>232</v>
      </c>
      <c r="F173" s="394" t="s">
        <v>232</v>
      </c>
      <c r="G173" s="552" t="s">
        <v>232</v>
      </c>
      <c r="H173" s="384" t="s">
        <v>232</v>
      </c>
      <c r="I173" s="338" t="str">
        <f t="shared" si="278"/>
        <v>na</v>
      </c>
      <c r="J173" s="407" t="str">
        <f>'GW-Eq'!I173</f>
        <v>na</v>
      </c>
      <c r="K173" s="407" t="str">
        <f t="shared" si="279"/>
        <v>na</v>
      </c>
      <c r="L173" s="407" t="str">
        <f t="shared" si="280"/>
        <v>na</v>
      </c>
      <c r="M173" s="407" t="str">
        <f t="shared" si="281"/>
        <v>na</v>
      </c>
      <c r="N173" s="217" t="str">
        <f>'GW-Eq'!J173</f>
        <v>na</v>
      </c>
      <c r="O173" s="217" t="str">
        <f t="shared" si="282"/>
        <v>na</v>
      </c>
      <c r="P173" s="217" t="str">
        <f t="shared" si="283"/>
        <v>na</v>
      </c>
      <c r="Q173" s="217" t="str">
        <f t="shared" si="284"/>
        <v>na</v>
      </c>
      <c r="R173" s="1056" t="str">
        <f t="shared" si="285"/>
        <v>na</v>
      </c>
      <c r="T173" s="1113" t="str">
        <f t="shared" si="286"/>
        <v/>
      </c>
      <c r="U173" s="1114" t="str">
        <f t="shared" si="287"/>
        <v/>
      </c>
      <c r="V173" s="1114" t="str">
        <f t="shared" si="288"/>
        <v/>
      </c>
      <c r="W173" s="1114" t="str">
        <f t="shared" si="289"/>
        <v/>
      </c>
      <c r="X173" s="1114" t="str">
        <f t="shared" si="290"/>
        <v/>
      </c>
      <c r="Y173" s="1114" t="str">
        <f t="shared" si="291"/>
        <v/>
      </c>
      <c r="Z173" s="1114" t="str">
        <f t="shared" si="292"/>
        <v/>
      </c>
      <c r="AA173" s="1114" t="str">
        <f t="shared" si="293"/>
        <v/>
      </c>
      <c r="AB173" s="1704" t="str">
        <f t="shared" si="294"/>
        <v/>
      </c>
      <c r="AC173" s="1115" t="str">
        <f t="shared" si="295"/>
        <v/>
      </c>
      <c r="AE173" s="985"/>
    </row>
    <row r="174" spans="1:33" s="130" customFormat="1" ht="13.9" customHeight="1" x14ac:dyDescent="0.25">
      <c r="A174" s="846">
        <f>Chem!A174</f>
        <v>172</v>
      </c>
      <c r="B174" s="856" t="str">
        <f>Chem!B174</f>
        <v>Dibromomethane</v>
      </c>
      <c r="C174" s="394" t="s">
        <v>232</v>
      </c>
      <c r="D174" s="338" t="s">
        <v>232</v>
      </c>
      <c r="E174" s="394" t="s">
        <v>232</v>
      </c>
      <c r="F174" s="394" t="s">
        <v>232</v>
      </c>
      <c r="G174" s="552" t="s">
        <v>232</v>
      </c>
      <c r="H174" s="384" t="s">
        <v>232</v>
      </c>
      <c r="I174" s="338" t="str">
        <f t="shared" si="278"/>
        <v>na</v>
      </c>
      <c r="J174" s="407" t="str">
        <f>'GW-Eq'!I174</f>
        <v>na</v>
      </c>
      <c r="K174" s="407" t="str">
        <f t="shared" si="279"/>
        <v>na</v>
      </c>
      <c r="L174" s="407" t="str">
        <f t="shared" si="280"/>
        <v>na</v>
      </c>
      <c r="M174" s="407" t="str">
        <f t="shared" si="281"/>
        <v>na</v>
      </c>
      <c r="N174" s="217" t="str">
        <f>'GW-Eq'!J174</f>
        <v>na</v>
      </c>
      <c r="O174" s="217" t="str">
        <f t="shared" si="282"/>
        <v>na</v>
      </c>
      <c r="P174" s="217" t="str">
        <f t="shared" si="283"/>
        <v>na</v>
      </c>
      <c r="Q174" s="217" t="str">
        <f t="shared" si="284"/>
        <v>na</v>
      </c>
      <c r="R174" s="1056" t="str">
        <f t="shared" si="285"/>
        <v>na</v>
      </c>
      <c r="T174" s="1113" t="str">
        <f t="shared" si="286"/>
        <v/>
      </c>
      <c r="U174" s="1114" t="str">
        <f t="shared" si="287"/>
        <v/>
      </c>
      <c r="V174" s="1114" t="str">
        <f t="shared" si="288"/>
        <v/>
      </c>
      <c r="W174" s="1114" t="str">
        <f t="shared" si="289"/>
        <v/>
      </c>
      <c r="X174" s="1114" t="str">
        <f t="shared" si="290"/>
        <v/>
      </c>
      <c r="Y174" s="1114" t="str">
        <f t="shared" si="291"/>
        <v/>
      </c>
      <c r="Z174" s="1114" t="str">
        <f t="shared" si="292"/>
        <v/>
      </c>
      <c r="AA174" s="1114" t="str">
        <f t="shared" si="293"/>
        <v/>
      </c>
      <c r="AB174" s="1704" t="str">
        <f t="shared" si="294"/>
        <v/>
      </c>
      <c r="AC174" s="1115" t="str">
        <f t="shared" si="295"/>
        <v/>
      </c>
      <c r="AE174" s="985"/>
    </row>
    <row r="175" spans="1:33" s="130" customFormat="1" ht="13.9" customHeight="1" x14ac:dyDescent="0.25">
      <c r="A175" s="846">
        <f>Chem!A175</f>
        <v>173</v>
      </c>
      <c r="B175" s="856" t="str">
        <f>Chem!B175</f>
        <v>Dichlorobromomethane</v>
      </c>
      <c r="C175" s="394" t="s">
        <v>232</v>
      </c>
      <c r="D175" s="338" t="s">
        <v>232</v>
      </c>
      <c r="E175" s="394">
        <v>2.8</v>
      </c>
      <c r="F175" s="394">
        <v>2.8</v>
      </c>
      <c r="G175" s="552">
        <v>27</v>
      </c>
      <c r="H175" s="384" t="s">
        <v>232</v>
      </c>
      <c r="I175" s="338">
        <f t="shared" si="278"/>
        <v>2.8</v>
      </c>
      <c r="J175" s="407">
        <f>'GW-Eq'!I175</f>
        <v>3829.0598290598291</v>
      </c>
      <c r="K175" s="407">
        <f t="shared" si="279"/>
        <v>7.3124999999999991E-4</v>
      </c>
      <c r="L175" s="407" t="str">
        <f t="shared" si="280"/>
        <v>no</v>
      </c>
      <c r="M175" s="407">
        <f t="shared" si="281"/>
        <v>2.8</v>
      </c>
      <c r="N175" s="217">
        <f>'GW-Eq'!J175</f>
        <v>7.7198786876206222</v>
      </c>
      <c r="O175" s="217">
        <f t="shared" si="282"/>
        <v>0.36270000000000002</v>
      </c>
      <c r="P175" s="217" t="str">
        <f t="shared" si="283"/>
        <v>no</v>
      </c>
      <c r="Q175" s="217">
        <f t="shared" si="284"/>
        <v>2.8</v>
      </c>
      <c r="R175" s="1056">
        <f t="shared" si="285"/>
        <v>2.8</v>
      </c>
      <c r="T175" s="1113" t="str">
        <f t="shared" si="286"/>
        <v/>
      </c>
      <c r="U175" s="1114" t="str">
        <f t="shared" si="287"/>
        <v/>
      </c>
      <c r="V175" s="1114" t="str">
        <f t="shared" si="288"/>
        <v>X</v>
      </c>
      <c r="W175" s="1114" t="str">
        <f t="shared" si="289"/>
        <v>X</v>
      </c>
      <c r="X175" s="1114" t="str">
        <f t="shared" si="290"/>
        <v/>
      </c>
      <c r="Y175" s="1114" t="str">
        <f t="shared" si="291"/>
        <v/>
      </c>
      <c r="Z175" s="1114" t="str">
        <f t="shared" si="292"/>
        <v/>
      </c>
      <c r="AA175" s="1114" t="str">
        <f t="shared" si="293"/>
        <v/>
      </c>
      <c r="AB175" s="1704" t="str">
        <f t="shared" si="294"/>
        <v/>
      </c>
      <c r="AC175" s="1115" t="str">
        <f t="shared" si="295"/>
        <v/>
      </c>
      <c r="AE175" s="985"/>
      <c r="AG175" s="130" t="str">
        <f>IF(R175=J175,"X","")</f>
        <v/>
      </c>
    </row>
    <row r="176" spans="1:33" s="130" customFormat="1" ht="13.9" customHeight="1" x14ac:dyDescent="0.25">
      <c r="A176" s="846">
        <f>Chem!A176</f>
        <v>174</v>
      </c>
      <c r="B176" s="856" t="str">
        <f>Chem!B176</f>
        <v>trans-1,4-Dichloro-2-butene</v>
      </c>
      <c r="C176" s="394" t="s">
        <v>232</v>
      </c>
      <c r="D176" s="338" t="s">
        <v>232</v>
      </c>
      <c r="E176" s="394" t="s">
        <v>232</v>
      </c>
      <c r="F176" s="394" t="s">
        <v>232</v>
      </c>
      <c r="G176" s="552" t="s">
        <v>232</v>
      </c>
      <c r="H176" s="384" t="s">
        <v>232</v>
      </c>
      <c r="I176" s="338" t="str">
        <f t="shared" si="278"/>
        <v>na</v>
      </c>
      <c r="J176" s="407" t="str">
        <f>'GW-Eq'!I176</f>
        <v>na</v>
      </c>
      <c r="K176" s="407" t="str">
        <f t="shared" si="279"/>
        <v>na</v>
      </c>
      <c r="L176" s="407" t="str">
        <f t="shared" si="280"/>
        <v>na</v>
      </c>
      <c r="M176" s="407" t="str">
        <f t="shared" si="281"/>
        <v>na</v>
      </c>
      <c r="N176" s="217" t="str">
        <f>'GW-Eq'!J176</f>
        <v>na</v>
      </c>
      <c r="O176" s="217" t="str">
        <f t="shared" si="282"/>
        <v>na</v>
      </c>
      <c r="P176" s="217" t="str">
        <f t="shared" si="283"/>
        <v>na</v>
      </c>
      <c r="Q176" s="217" t="str">
        <f t="shared" si="284"/>
        <v>na</v>
      </c>
      <c r="R176" s="1056" t="str">
        <f t="shared" si="285"/>
        <v>na</v>
      </c>
      <c r="T176" s="1113" t="str">
        <f t="shared" si="286"/>
        <v/>
      </c>
      <c r="U176" s="1114" t="str">
        <f t="shared" si="287"/>
        <v/>
      </c>
      <c r="V176" s="1114" t="str">
        <f t="shared" si="288"/>
        <v/>
      </c>
      <c r="W176" s="1114" t="str">
        <f t="shared" si="289"/>
        <v/>
      </c>
      <c r="X176" s="1114" t="str">
        <f t="shared" si="290"/>
        <v/>
      </c>
      <c r="Y176" s="1114" t="str">
        <f t="shared" si="291"/>
        <v/>
      </c>
      <c r="Z176" s="1114" t="str">
        <f t="shared" si="292"/>
        <v/>
      </c>
      <c r="AA176" s="1114" t="str">
        <f t="shared" si="293"/>
        <v/>
      </c>
      <c r="AB176" s="1704" t="str">
        <f t="shared" si="294"/>
        <v/>
      </c>
      <c r="AC176" s="1115" t="str">
        <f t="shared" si="295"/>
        <v/>
      </c>
      <c r="AE176" s="985"/>
    </row>
    <row r="177" spans="1:33" s="130" customFormat="1" ht="13.9" customHeight="1" x14ac:dyDescent="0.25">
      <c r="A177" s="846">
        <f>Chem!A177</f>
        <v>175</v>
      </c>
      <c r="B177" s="856" t="str">
        <f>Chem!B177</f>
        <v>Dichlorodifluoromethane</v>
      </c>
      <c r="C177" s="394" t="s">
        <v>232</v>
      </c>
      <c r="D177" s="338" t="s">
        <v>232</v>
      </c>
      <c r="E177" s="394" t="s">
        <v>232</v>
      </c>
      <c r="F177" s="394" t="s">
        <v>232</v>
      </c>
      <c r="G177" s="552" t="s">
        <v>232</v>
      </c>
      <c r="H177" s="384" t="s">
        <v>232</v>
      </c>
      <c r="I177" s="338" t="str">
        <f t="shared" si="278"/>
        <v>na</v>
      </c>
      <c r="J177" s="407" t="str">
        <f>'GW-Eq'!I177</f>
        <v>na</v>
      </c>
      <c r="K177" s="407" t="str">
        <f t="shared" si="279"/>
        <v>na</v>
      </c>
      <c r="L177" s="407" t="str">
        <f t="shared" si="280"/>
        <v>na</v>
      </c>
      <c r="M177" s="407" t="str">
        <f t="shared" si="281"/>
        <v>na</v>
      </c>
      <c r="N177" s="217" t="str">
        <f>'GW-Eq'!J177</f>
        <v>na</v>
      </c>
      <c r="O177" s="217" t="str">
        <f t="shared" si="282"/>
        <v>na</v>
      </c>
      <c r="P177" s="217" t="str">
        <f t="shared" si="283"/>
        <v>na</v>
      </c>
      <c r="Q177" s="217" t="str">
        <f t="shared" si="284"/>
        <v>na</v>
      </c>
      <c r="R177" s="1056" t="str">
        <f t="shared" si="285"/>
        <v>na</v>
      </c>
      <c r="T177" s="1113" t="str">
        <f t="shared" si="286"/>
        <v/>
      </c>
      <c r="U177" s="1114" t="str">
        <f t="shared" si="287"/>
        <v/>
      </c>
      <c r="V177" s="1114" t="str">
        <f t="shared" si="288"/>
        <v/>
      </c>
      <c r="W177" s="1114" t="str">
        <f t="shared" si="289"/>
        <v/>
      </c>
      <c r="X177" s="1114" t="str">
        <f t="shared" si="290"/>
        <v/>
      </c>
      <c r="Y177" s="1114" t="str">
        <f t="shared" si="291"/>
        <v/>
      </c>
      <c r="Z177" s="1114" t="str">
        <f t="shared" si="292"/>
        <v/>
      </c>
      <c r="AA177" s="1114" t="str">
        <f t="shared" si="293"/>
        <v/>
      </c>
      <c r="AB177" s="1704" t="str">
        <f t="shared" si="294"/>
        <v/>
      </c>
      <c r="AC177" s="1115" t="str">
        <f t="shared" si="295"/>
        <v/>
      </c>
      <c r="AE177" s="985"/>
    </row>
    <row r="178" spans="1:33" s="130" customFormat="1" ht="13.9" customHeight="1" x14ac:dyDescent="0.25">
      <c r="A178" s="846">
        <f>Chem!A178</f>
        <v>176</v>
      </c>
      <c r="B178" s="856" t="str">
        <f>Chem!B178</f>
        <v>1,1-Dichloroethane</v>
      </c>
      <c r="C178" s="394" t="s">
        <v>232</v>
      </c>
      <c r="D178" s="338" t="s">
        <v>232</v>
      </c>
      <c r="E178" s="394" t="s">
        <v>232</v>
      </c>
      <c r="F178" s="394" t="s">
        <v>232</v>
      </c>
      <c r="G178" s="552" t="s">
        <v>232</v>
      </c>
      <c r="H178" s="384" t="s">
        <v>232</v>
      </c>
      <c r="I178" s="338" t="str">
        <f t="shared" si="278"/>
        <v>na</v>
      </c>
      <c r="J178" s="407" t="str">
        <f>'GW-Eq'!I178</f>
        <v>na</v>
      </c>
      <c r="K178" s="407" t="str">
        <f t="shared" si="279"/>
        <v>na</v>
      </c>
      <c r="L178" s="407" t="str">
        <f t="shared" si="280"/>
        <v>na</v>
      </c>
      <c r="M178" s="407" t="str">
        <f t="shared" si="281"/>
        <v>na</v>
      </c>
      <c r="N178" s="217" t="str">
        <f>'GW-Eq'!J178</f>
        <v>na</v>
      </c>
      <c r="O178" s="217" t="str">
        <f t="shared" si="282"/>
        <v>na</v>
      </c>
      <c r="P178" s="217" t="str">
        <f t="shared" si="283"/>
        <v>na</v>
      </c>
      <c r="Q178" s="217" t="str">
        <f t="shared" si="284"/>
        <v>na</v>
      </c>
      <c r="R178" s="1056" t="str">
        <f t="shared" si="285"/>
        <v>na</v>
      </c>
      <c r="T178" s="1113" t="str">
        <f t="shared" si="286"/>
        <v/>
      </c>
      <c r="U178" s="1114" t="str">
        <f t="shared" si="287"/>
        <v/>
      </c>
      <c r="V178" s="1114" t="str">
        <f t="shared" si="288"/>
        <v/>
      </c>
      <c r="W178" s="1114" t="str">
        <f t="shared" si="289"/>
        <v/>
      </c>
      <c r="X178" s="1114" t="str">
        <f t="shared" si="290"/>
        <v/>
      </c>
      <c r="Y178" s="1114" t="str">
        <f t="shared" si="291"/>
        <v/>
      </c>
      <c r="Z178" s="1114" t="str">
        <f t="shared" si="292"/>
        <v/>
      </c>
      <c r="AA178" s="1114" t="str">
        <f t="shared" si="293"/>
        <v/>
      </c>
      <c r="AB178" s="1704" t="str">
        <f t="shared" si="294"/>
        <v/>
      </c>
      <c r="AC178" s="1115" t="str">
        <f t="shared" si="295"/>
        <v/>
      </c>
      <c r="AE178" s="985"/>
    </row>
    <row r="179" spans="1:33" s="130" customFormat="1" ht="13.9" customHeight="1" x14ac:dyDescent="0.25">
      <c r="A179" s="846">
        <f>Chem!A179</f>
        <v>177</v>
      </c>
      <c r="B179" s="856" t="str">
        <f>Chem!B179</f>
        <v>1,2-Dichloroethane (EDC)</v>
      </c>
      <c r="C179" s="394" t="s">
        <v>232</v>
      </c>
      <c r="D179" s="338" t="s">
        <v>232</v>
      </c>
      <c r="E179" s="394" t="s">
        <v>232</v>
      </c>
      <c r="F179" s="394">
        <v>73</v>
      </c>
      <c r="G179" s="552">
        <v>650</v>
      </c>
      <c r="H179" s="384" t="s">
        <v>232</v>
      </c>
      <c r="I179" s="338">
        <f t="shared" si="278"/>
        <v>73</v>
      </c>
      <c r="J179" s="407">
        <f>'GW-Eq'!I179</f>
        <v>3589.7435897435898</v>
      </c>
      <c r="K179" s="407">
        <f t="shared" si="279"/>
        <v>2.0335714285714287E-2</v>
      </c>
      <c r="L179" s="407" t="str">
        <f t="shared" si="280"/>
        <v>no</v>
      </c>
      <c r="M179" s="407">
        <f t="shared" si="281"/>
        <v>73</v>
      </c>
      <c r="N179" s="217">
        <f>'GW-Eq'!J179</f>
        <v>16.436554898093359</v>
      </c>
      <c r="O179" s="217">
        <f t="shared" si="282"/>
        <v>4.4413200000000002</v>
      </c>
      <c r="P179" s="217" t="str">
        <f t="shared" si="283"/>
        <v>no</v>
      </c>
      <c r="Q179" s="217">
        <f t="shared" si="284"/>
        <v>73</v>
      </c>
      <c r="R179" s="1056">
        <f t="shared" si="285"/>
        <v>73</v>
      </c>
      <c r="T179" s="1113" t="str">
        <f t="shared" si="286"/>
        <v/>
      </c>
      <c r="U179" s="1114" t="str">
        <f t="shared" si="287"/>
        <v/>
      </c>
      <c r="V179" s="1114" t="str">
        <f t="shared" si="288"/>
        <v/>
      </c>
      <c r="W179" s="1114" t="str">
        <f t="shared" si="289"/>
        <v>X</v>
      </c>
      <c r="X179" s="1114" t="str">
        <f t="shared" si="290"/>
        <v/>
      </c>
      <c r="Y179" s="1114" t="str">
        <f t="shared" si="291"/>
        <v/>
      </c>
      <c r="Z179" s="1114" t="str">
        <f t="shared" si="292"/>
        <v/>
      </c>
      <c r="AA179" s="1114" t="str">
        <f t="shared" si="293"/>
        <v/>
      </c>
      <c r="AB179" s="1704" t="str">
        <f t="shared" si="294"/>
        <v/>
      </c>
      <c r="AC179" s="1115" t="str">
        <f t="shared" si="295"/>
        <v/>
      </c>
      <c r="AE179" s="985"/>
      <c r="AG179" s="130" t="str">
        <f>IF(R179=J179,"X","")</f>
        <v/>
      </c>
    </row>
    <row r="180" spans="1:33" s="130" customFormat="1" ht="13.9" customHeight="1" x14ac:dyDescent="0.25">
      <c r="A180" s="846">
        <f>Chem!A180</f>
        <v>178</v>
      </c>
      <c r="B180" s="856" t="str">
        <f>Chem!B180</f>
        <v>1,1-Dichloroethylene</v>
      </c>
      <c r="C180" s="394" t="s">
        <v>232</v>
      </c>
      <c r="D180" s="338" t="s">
        <v>232</v>
      </c>
      <c r="E180" s="394">
        <v>4000</v>
      </c>
      <c r="F180" s="394">
        <v>4000</v>
      </c>
      <c r="G180" s="552">
        <v>20000</v>
      </c>
      <c r="H180" s="384" t="s">
        <v>232</v>
      </c>
      <c r="I180" s="338">
        <f t="shared" ref="I180:I212" si="311">IF(MIN(C180:H180)=0,"na",(MIN(C180:H180)))</f>
        <v>4000</v>
      </c>
      <c r="J180" s="407">
        <f>'GW-Eq'!I180</f>
        <v>6410.2564102564111</v>
      </c>
      <c r="K180" s="407">
        <f t="shared" ref="K180:K215" si="312">IF(I180="na","na",IF(J180="na","na",I180/J180))</f>
        <v>0.62399999999999989</v>
      </c>
      <c r="L180" s="407" t="str">
        <f t="shared" si="280"/>
        <v>no</v>
      </c>
      <c r="M180" s="407">
        <f t="shared" si="281"/>
        <v>4000</v>
      </c>
      <c r="N180" s="217" t="str">
        <f>'GW-Eq'!J180</f>
        <v>na</v>
      </c>
      <c r="O180" s="217" t="str">
        <f t="shared" ref="O180:O215" si="313">IF(I180="na","na",IF(N180="na","na",I180/N180))</f>
        <v>na</v>
      </c>
      <c r="P180" s="217" t="str">
        <f t="shared" si="283"/>
        <v>na</v>
      </c>
      <c r="Q180" s="217" t="str">
        <f t="shared" si="284"/>
        <v>na</v>
      </c>
      <c r="R180" s="1056">
        <f t="shared" si="285"/>
        <v>4000</v>
      </c>
      <c r="T180" s="1113" t="str">
        <f t="shared" ref="T180:T212" si="314">IF($R180="na","",IF($R180=C180,"X",""))</f>
        <v/>
      </c>
      <c r="U180" s="1114" t="str">
        <f t="shared" ref="U180:U212" si="315">IF($R180="na","",IF($R180=D180,"X",""))</f>
        <v/>
      </c>
      <c r="V180" s="1114" t="str">
        <f t="shared" ref="V180:V214" si="316">IF($R180="na","",IF($R180=E180,"X",""))</f>
        <v>X</v>
      </c>
      <c r="W180" s="1114" t="str">
        <f t="shared" ref="W180:W214" si="317">IF($R180="na","",IF($R180=F180,"X",""))</f>
        <v>X</v>
      </c>
      <c r="X180" s="1114" t="str">
        <f t="shared" ref="X180:X214" si="318">IF($R180="na","",IF($R180=G180,"X",""))</f>
        <v/>
      </c>
      <c r="Y180" s="1114" t="str">
        <f t="shared" ref="Y180:Y214" si="319">IF($R180="na","",IF($R180=H180,"X",""))</f>
        <v/>
      </c>
      <c r="Z180" s="1114" t="str">
        <f t="shared" ref="Z180:Z214" si="320">IF($R180="na","",IF($R180=J180,"X",""))</f>
        <v/>
      </c>
      <c r="AA180" s="1114" t="str">
        <f t="shared" ref="AA180:AA214" si="321">IF($R180="na","",IF($R180=N180,"X",""))</f>
        <v/>
      </c>
      <c r="AB180" s="1704" t="str">
        <f t="shared" si="294"/>
        <v/>
      </c>
      <c r="AC180" s="1115" t="str">
        <f t="shared" ref="AC180:AC214" si="322">IF(OR($R180="na",N180="na"),"",IF($R180=10*N180,"X",""))</f>
        <v/>
      </c>
      <c r="AE180" s="985"/>
      <c r="AG180" s="130" t="str">
        <f>IF(R180=J180,"X","")</f>
        <v/>
      </c>
    </row>
    <row r="181" spans="1:33" s="130" customFormat="1" ht="13.9" customHeight="1" x14ac:dyDescent="0.25">
      <c r="A181" s="846">
        <f>Chem!A181</f>
        <v>179</v>
      </c>
      <c r="B181" s="856" t="str">
        <f>Chem!B181</f>
        <v>cis-1,2-Dichloroethylene</v>
      </c>
      <c r="C181" s="394" t="s">
        <v>232</v>
      </c>
      <c r="D181" s="338" t="s">
        <v>232</v>
      </c>
      <c r="E181" s="394" t="s">
        <v>232</v>
      </c>
      <c r="F181" s="394" t="s">
        <v>232</v>
      </c>
      <c r="G181" s="552" t="s">
        <v>232</v>
      </c>
      <c r="H181" s="384" t="s">
        <v>232</v>
      </c>
      <c r="I181" s="338" t="str">
        <f t="shared" si="311"/>
        <v>na</v>
      </c>
      <c r="J181" s="407" t="str">
        <f>'GW-Eq'!I181</f>
        <v>na</v>
      </c>
      <c r="K181" s="407" t="str">
        <f t="shared" si="312"/>
        <v>na</v>
      </c>
      <c r="L181" s="407" t="str">
        <f t="shared" si="280"/>
        <v>na</v>
      </c>
      <c r="M181" s="407" t="str">
        <f t="shared" si="281"/>
        <v>na</v>
      </c>
      <c r="N181" s="217" t="str">
        <f>'GW-Eq'!J181</f>
        <v>na</v>
      </c>
      <c r="O181" s="217" t="str">
        <f t="shared" si="313"/>
        <v>na</v>
      </c>
      <c r="P181" s="217" t="str">
        <f t="shared" si="283"/>
        <v>na</v>
      </c>
      <c r="Q181" s="217" t="str">
        <f t="shared" si="284"/>
        <v>na</v>
      </c>
      <c r="R181" s="1056" t="str">
        <f t="shared" si="285"/>
        <v>na</v>
      </c>
      <c r="T181" s="1113" t="str">
        <f t="shared" si="314"/>
        <v/>
      </c>
      <c r="U181" s="1114" t="str">
        <f t="shared" si="315"/>
        <v/>
      </c>
      <c r="V181" s="1114" t="str">
        <f t="shared" si="316"/>
        <v/>
      </c>
      <c r="W181" s="1114" t="str">
        <f t="shared" si="317"/>
        <v/>
      </c>
      <c r="X181" s="1114" t="str">
        <f t="shared" si="318"/>
        <v/>
      </c>
      <c r="Y181" s="1114" t="str">
        <f t="shared" si="319"/>
        <v/>
      </c>
      <c r="Z181" s="1114" t="str">
        <f t="shared" si="320"/>
        <v/>
      </c>
      <c r="AA181" s="1114" t="str">
        <f t="shared" si="321"/>
        <v/>
      </c>
      <c r="AB181" s="1704" t="str">
        <f t="shared" si="294"/>
        <v/>
      </c>
      <c r="AC181" s="1115" t="str">
        <f t="shared" si="322"/>
        <v/>
      </c>
      <c r="AE181" s="985"/>
    </row>
    <row r="182" spans="1:33" s="130" customFormat="1" ht="13.9" customHeight="1" x14ac:dyDescent="0.25">
      <c r="A182" s="846">
        <f>Chem!A182</f>
        <v>180</v>
      </c>
      <c r="B182" s="856" t="str">
        <f>Chem!B182</f>
        <v>trans-1,2-Dichloroethylene</v>
      </c>
      <c r="C182" s="394" t="s">
        <v>232</v>
      </c>
      <c r="D182" s="338" t="s">
        <v>232</v>
      </c>
      <c r="E182" s="394">
        <v>1000</v>
      </c>
      <c r="F182" s="394">
        <v>1000</v>
      </c>
      <c r="G182" s="552">
        <v>4000</v>
      </c>
      <c r="H182" s="384" t="s">
        <v>232</v>
      </c>
      <c r="I182" s="338">
        <f t="shared" si="311"/>
        <v>1000</v>
      </c>
      <c r="J182" s="407">
        <f>'GW-Eq'!I182</f>
        <v>9087.9584550470627</v>
      </c>
      <c r="K182" s="407">
        <f t="shared" si="312"/>
        <v>0.11003571428571429</v>
      </c>
      <c r="L182" s="407" t="str">
        <f t="shared" si="280"/>
        <v>no</v>
      </c>
      <c r="M182" s="407">
        <f t="shared" si="281"/>
        <v>1000</v>
      </c>
      <c r="N182" s="217" t="str">
        <f>'GW-Eq'!J182</f>
        <v>na</v>
      </c>
      <c r="O182" s="217" t="str">
        <f t="shared" si="313"/>
        <v>na</v>
      </c>
      <c r="P182" s="217" t="str">
        <f t="shared" si="283"/>
        <v>na</v>
      </c>
      <c r="Q182" s="217" t="str">
        <f t="shared" si="284"/>
        <v>na</v>
      </c>
      <c r="R182" s="1056">
        <f t="shared" si="285"/>
        <v>1000</v>
      </c>
      <c r="T182" s="1113" t="str">
        <f t="shared" si="314"/>
        <v/>
      </c>
      <c r="U182" s="1114" t="str">
        <f t="shared" si="315"/>
        <v/>
      </c>
      <c r="V182" s="1114" t="str">
        <f t="shared" si="316"/>
        <v>X</v>
      </c>
      <c r="W182" s="1114" t="str">
        <f t="shared" si="317"/>
        <v>X</v>
      </c>
      <c r="X182" s="1114" t="str">
        <f t="shared" si="318"/>
        <v/>
      </c>
      <c r="Y182" s="1114" t="str">
        <f t="shared" si="319"/>
        <v/>
      </c>
      <c r="Z182" s="1114" t="str">
        <f t="shared" si="320"/>
        <v/>
      </c>
      <c r="AA182" s="1114" t="str">
        <f t="shared" si="321"/>
        <v/>
      </c>
      <c r="AB182" s="1704" t="str">
        <f t="shared" si="294"/>
        <v/>
      </c>
      <c r="AC182" s="1115" t="str">
        <f t="shared" si="322"/>
        <v/>
      </c>
      <c r="AE182" s="985"/>
      <c r="AG182" s="130" t="str">
        <f>IF(R182=J182,"X","")</f>
        <v/>
      </c>
    </row>
    <row r="183" spans="1:33" s="130" customFormat="1" ht="13.9" customHeight="1" x14ac:dyDescent="0.25">
      <c r="A183" s="846">
        <f>Chem!A183</f>
        <v>181</v>
      </c>
      <c r="B183" s="856" t="str">
        <f>Chem!B183</f>
        <v>1,2-Dichloroethylene (mixed isomers)</v>
      </c>
      <c r="C183" s="394" t="s">
        <v>232</v>
      </c>
      <c r="D183" s="338" t="s">
        <v>232</v>
      </c>
      <c r="E183" s="394" t="s">
        <v>232</v>
      </c>
      <c r="F183" s="394" t="s">
        <v>232</v>
      </c>
      <c r="G183" s="552" t="s">
        <v>232</v>
      </c>
      <c r="H183" s="384" t="s">
        <v>232</v>
      </c>
      <c r="I183" s="338" t="str">
        <f t="shared" si="311"/>
        <v>na</v>
      </c>
      <c r="J183" s="407" t="str">
        <f>'GW-Eq'!I183</f>
        <v>na</v>
      </c>
      <c r="K183" s="407" t="str">
        <f t="shared" si="312"/>
        <v>na</v>
      </c>
      <c r="L183" s="407" t="str">
        <f t="shared" si="280"/>
        <v>na</v>
      </c>
      <c r="M183" s="407" t="str">
        <f t="shared" si="281"/>
        <v>na</v>
      </c>
      <c r="N183" s="217" t="str">
        <f>'GW-Eq'!J183</f>
        <v>na</v>
      </c>
      <c r="O183" s="217" t="str">
        <f t="shared" si="313"/>
        <v>na</v>
      </c>
      <c r="P183" s="217" t="str">
        <f t="shared" si="283"/>
        <v>na</v>
      </c>
      <c r="Q183" s="217" t="str">
        <f t="shared" si="284"/>
        <v>na</v>
      </c>
      <c r="R183" s="1056" t="str">
        <f t="shared" si="285"/>
        <v>na</v>
      </c>
      <c r="T183" s="1113" t="str">
        <f t="shared" si="314"/>
        <v/>
      </c>
      <c r="U183" s="1114" t="str">
        <f t="shared" si="315"/>
        <v/>
      </c>
      <c r="V183" s="1114" t="str">
        <f t="shared" si="316"/>
        <v/>
      </c>
      <c r="W183" s="1114" t="str">
        <f t="shared" si="317"/>
        <v/>
      </c>
      <c r="X183" s="1114" t="str">
        <f t="shared" si="318"/>
        <v/>
      </c>
      <c r="Y183" s="1114" t="str">
        <f t="shared" si="319"/>
        <v/>
      </c>
      <c r="Z183" s="1114" t="str">
        <f t="shared" si="320"/>
        <v/>
      </c>
      <c r="AA183" s="1114" t="str">
        <f t="shared" si="321"/>
        <v/>
      </c>
      <c r="AB183" s="1704" t="str">
        <f t="shared" si="294"/>
        <v/>
      </c>
      <c r="AC183" s="1115" t="str">
        <f t="shared" si="322"/>
        <v/>
      </c>
      <c r="AE183" s="985"/>
    </row>
    <row r="184" spans="1:33" s="130" customFormat="1" ht="13.9" customHeight="1" x14ac:dyDescent="0.25">
      <c r="A184" s="846">
        <f>Chem!A184</f>
        <v>182</v>
      </c>
      <c r="B184" s="856" t="str">
        <f>Chem!B184</f>
        <v>1,2-Dichloropropane</v>
      </c>
      <c r="C184" s="394" t="s">
        <v>232</v>
      </c>
      <c r="D184" s="338" t="s">
        <v>232</v>
      </c>
      <c r="E184" s="394">
        <v>3.1</v>
      </c>
      <c r="F184" s="394" t="s">
        <v>232</v>
      </c>
      <c r="G184" s="552">
        <v>31</v>
      </c>
      <c r="H184" s="384" t="s">
        <v>232</v>
      </c>
      <c r="I184" s="338">
        <f t="shared" si="311"/>
        <v>3.1</v>
      </c>
      <c r="J184" s="407">
        <f>'GW-Eq'!I184</f>
        <v>6987.3354544887388</v>
      </c>
      <c r="K184" s="407">
        <f t="shared" si="312"/>
        <v>4.4365982142857149E-4</v>
      </c>
      <c r="L184" s="407" t="str">
        <f t="shared" si="280"/>
        <v>no</v>
      </c>
      <c r="M184" s="407">
        <f t="shared" si="281"/>
        <v>3.1</v>
      </c>
      <c r="N184" s="217">
        <f>'GW-Eq'!J184</f>
        <v>11.802931510960704</v>
      </c>
      <c r="O184" s="217">
        <f t="shared" si="313"/>
        <v>0.2626466142857144</v>
      </c>
      <c r="P184" s="217" t="str">
        <f t="shared" si="283"/>
        <v>no</v>
      </c>
      <c r="Q184" s="217">
        <f t="shared" si="284"/>
        <v>3.1</v>
      </c>
      <c r="R184" s="1056">
        <f t="shared" si="285"/>
        <v>3.1</v>
      </c>
      <c r="T184" s="1113" t="str">
        <f t="shared" si="314"/>
        <v/>
      </c>
      <c r="U184" s="1114" t="str">
        <f t="shared" si="315"/>
        <v/>
      </c>
      <c r="V184" s="1114" t="str">
        <f t="shared" si="316"/>
        <v>X</v>
      </c>
      <c r="W184" s="1114" t="str">
        <f t="shared" si="317"/>
        <v/>
      </c>
      <c r="X184" s="1114" t="str">
        <f t="shared" si="318"/>
        <v/>
      </c>
      <c r="Y184" s="1114" t="str">
        <f t="shared" si="319"/>
        <v/>
      </c>
      <c r="Z184" s="1114" t="str">
        <f t="shared" si="320"/>
        <v/>
      </c>
      <c r="AA184" s="1114" t="str">
        <f t="shared" si="321"/>
        <v/>
      </c>
      <c r="AB184" s="1704" t="str">
        <f t="shared" si="294"/>
        <v/>
      </c>
      <c r="AC184" s="1115" t="str">
        <f t="shared" si="322"/>
        <v/>
      </c>
      <c r="AE184" s="985"/>
      <c r="AG184" s="130" t="str">
        <f>IF(R184=J184,"X","")</f>
        <v/>
      </c>
    </row>
    <row r="185" spans="1:33" s="130" customFormat="1" ht="13.9" customHeight="1" x14ac:dyDescent="0.25">
      <c r="A185" s="846">
        <f>Chem!A185</f>
        <v>183</v>
      </c>
      <c r="B185" s="856" t="str">
        <f>Chem!B185</f>
        <v>1,3-Dichloropropane</v>
      </c>
      <c r="C185" s="394" t="s">
        <v>232</v>
      </c>
      <c r="D185" s="338" t="s">
        <v>232</v>
      </c>
      <c r="E185" s="394">
        <v>1.2</v>
      </c>
      <c r="F185" s="394" t="s">
        <v>232</v>
      </c>
      <c r="G185" s="552" t="s">
        <v>232</v>
      </c>
      <c r="H185" s="384" t="s">
        <v>232</v>
      </c>
      <c r="I185" s="338">
        <f t="shared" si="311"/>
        <v>1.2</v>
      </c>
      <c r="J185" s="407" t="str">
        <f>'GW-Eq'!I185</f>
        <v>na</v>
      </c>
      <c r="K185" s="407" t="str">
        <f t="shared" si="312"/>
        <v>na</v>
      </c>
      <c r="L185" s="407" t="str">
        <f t="shared" si="280"/>
        <v>na</v>
      </c>
      <c r="M185" s="407">
        <f t="shared" si="281"/>
        <v>1.2</v>
      </c>
      <c r="N185" s="217" t="str">
        <f>'GW-Eq'!J185</f>
        <v>na</v>
      </c>
      <c r="O185" s="217" t="str">
        <f t="shared" si="313"/>
        <v>na</v>
      </c>
      <c r="P185" s="217" t="str">
        <f t="shared" si="283"/>
        <v>na</v>
      </c>
      <c r="Q185" s="217" t="str">
        <f t="shared" si="284"/>
        <v>na</v>
      </c>
      <c r="R185" s="1056">
        <f t="shared" si="285"/>
        <v>1.2</v>
      </c>
      <c r="T185" s="1113" t="str">
        <f t="shared" si="314"/>
        <v/>
      </c>
      <c r="U185" s="1114" t="str">
        <f t="shared" si="315"/>
        <v/>
      </c>
      <c r="V185" s="1114" t="str">
        <f t="shared" si="316"/>
        <v>X</v>
      </c>
      <c r="W185" s="1114" t="str">
        <f t="shared" si="317"/>
        <v/>
      </c>
      <c r="X185" s="1114" t="str">
        <f t="shared" si="318"/>
        <v/>
      </c>
      <c r="Y185" s="1114" t="str">
        <f t="shared" si="319"/>
        <v/>
      </c>
      <c r="Z185" s="1114" t="str">
        <f t="shared" si="320"/>
        <v/>
      </c>
      <c r="AA185" s="1114" t="str">
        <f t="shared" si="321"/>
        <v/>
      </c>
      <c r="AB185" s="1704" t="str">
        <f t="shared" si="294"/>
        <v/>
      </c>
      <c r="AC185" s="1115" t="str">
        <f t="shared" si="322"/>
        <v/>
      </c>
      <c r="AE185" s="985"/>
    </row>
    <row r="186" spans="1:33" s="130" customFormat="1" ht="13.9" customHeight="1" x14ac:dyDescent="0.25">
      <c r="A186" s="846">
        <f>Chem!A186</f>
        <v>184</v>
      </c>
      <c r="B186" s="856" t="str">
        <f>Chem!B186</f>
        <v>2,2-Dichloropropane</v>
      </c>
      <c r="C186" s="394" t="s">
        <v>232</v>
      </c>
      <c r="D186" s="338" t="s">
        <v>232</v>
      </c>
      <c r="E186" s="394" t="s">
        <v>232</v>
      </c>
      <c r="F186" s="394" t="s">
        <v>232</v>
      </c>
      <c r="G186" s="552" t="s">
        <v>232</v>
      </c>
      <c r="H186" s="384" t="s">
        <v>232</v>
      </c>
      <c r="I186" s="338" t="str">
        <f t="shared" si="311"/>
        <v>na</v>
      </c>
      <c r="J186" s="407" t="str">
        <f>'GW-Eq'!I186</f>
        <v>na</v>
      </c>
      <c r="K186" s="407" t="str">
        <f t="shared" si="312"/>
        <v>na</v>
      </c>
      <c r="L186" s="407" t="str">
        <f t="shared" si="280"/>
        <v>na</v>
      </c>
      <c r="M186" s="407" t="str">
        <f t="shared" si="281"/>
        <v>na</v>
      </c>
      <c r="N186" s="217" t="str">
        <f>'GW-Eq'!J186</f>
        <v>na</v>
      </c>
      <c r="O186" s="217" t="str">
        <f t="shared" si="313"/>
        <v>na</v>
      </c>
      <c r="P186" s="217" t="str">
        <f t="shared" si="283"/>
        <v>na</v>
      </c>
      <c r="Q186" s="217" t="str">
        <f t="shared" si="284"/>
        <v>na</v>
      </c>
      <c r="R186" s="1056" t="str">
        <f t="shared" si="285"/>
        <v>na</v>
      </c>
      <c r="T186" s="1113" t="str">
        <f t="shared" si="314"/>
        <v/>
      </c>
      <c r="U186" s="1114" t="str">
        <f t="shared" si="315"/>
        <v/>
      </c>
      <c r="V186" s="1114" t="str">
        <f t="shared" si="316"/>
        <v/>
      </c>
      <c r="W186" s="1114" t="str">
        <f t="shared" si="317"/>
        <v/>
      </c>
      <c r="X186" s="1114" t="str">
        <f t="shared" si="318"/>
        <v/>
      </c>
      <c r="Y186" s="1114" t="str">
        <f t="shared" si="319"/>
        <v/>
      </c>
      <c r="Z186" s="1114" t="str">
        <f t="shared" si="320"/>
        <v/>
      </c>
      <c r="AA186" s="1114" t="str">
        <f t="shared" si="321"/>
        <v/>
      </c>
      <c r="AB186" s="1704" t="str">
        <f t="shared" si="294"/>
        <v/>
      </c>
      <c r="AC186" s="1115" t="str">
        <f t="shared" si="322"/>
        <v/>
      </c>
      <c r="AE186" s="985"/>
    </row>
    <row r="187" spans="1:33" s="130" customFormat="1" ht="13.9" customHeight="1" x14ac:dyDescent="0.25">
      <c r="A187" s="846">
        <f>Chem!A187</f>
        <v>185</v>
      </c>
      <c r="B187" s="856" t="str">
        <f>Chem!B187</f>
        <v>1,1-Dichloropropene</v>
      </c>
      <c r="C187" s="394" t="s">
        <v>232</v>
      </c>
      <c r="D187" s="338" t="s">
        <v>232</v>
      </c>
      <c r="E187" s="394" t="s">
        <v>232</v>
      </c>
      <c r="F187" s="394" t="s">
        <v>232</v>
      </c>
      <c r="G187" s="552" t="s">
        <v>232</v>
      </c>
      <c r="H187" s="384" t="s">
        <v>232</v>
      </c>
      <c r="I187" s="338" t="str">
        <f t="shared" si="311"/>
        <v>na</v>
      </c>
      <c r="J187" s="407" t="str">
        <f>'GW-Eq'!I187</f>
        <v>na</v>
      </c>
      <c r="K187" s="407" t="str">
        <f t="shared" si="312"/>
        <v>na</v>
      </c>
      <c r="L187" s="407" t="str">
        <f t="shared" si="280"/>
        <v>na</v>
      </c>
      <c r="M187" s="407" t="str">
        <f t="shared" si="281"/>
        <v>na</v>
      </c>
      <c r="N187" s="217" t="str">
        <f>'GW-Eq'!J187</f>
        <v>na</v>
      </c>
      <c r="O187" s="217" t="str">
        <f t="shared" si="313"/>
        <v>na</v>
      </c>
      <c r="P187" s="217" t="str">
        <f t="shared" si="283"/>
        <v>na</v>
      </c>
      <c r="Q187" s="217" t="str">
        <f t="shared" si="284"/>
        <v>na</v>
      </c>
      <c r="R187" s="1056" t="str">
        <f t="shared" si="285"/>
        <v>na</v>
      </c>
      <c r="T187" s="1113" t="str">
        <f t="shared" si="314"/>
        <v/>
      </c>
      <c r="U187" s="1114" t="str">
        <f t="shared" si="315"/>
        <v/>
      </c>
      <c r="V187" s="1114" t="str">
        <f t="shared" si="316"/>
        <v/>
      </c>
      <c r="W187" s="1114" t="str">
        <f t="shared" si="317"/>
        <v/>
      </c>
      <c r="X187" s="1114" t="str">
        <f t="shared" si="318"/>
        <v/>
      </c>
      <c r="Y187" s="1114" t="str">
        <f t="shared" si="319"/>
        <v/>
      </c>
      <c r="Z187" s="1114" t="str">
        <f t="shared" si="320"/>
        <v/>
      </c>
      <c r="AA187" s="1114" t="str">
        <f t="shared" si="321"/>
        <v/>
      </c>
      <c r="AB187" s="1704" t="str">
        <f t="shared" si="294"/>
        <v/>
      </c>
      <c r="AC187" s="1115" t="str">
        <f t="shared" si="322"/>
        <v/>
      </c>
      <c r="AE187" s="985"/>
    </row>
    <row r="188" spans="1:33" s="130" customFormat="1" ht="13.9" customHeight="1" x14ac:dyDescent="0.25">
      <c r="A188" s="846">
        <f>Chem!A188</f>
        <v>186</v>
      </c>
      <c r="B188" s="856" t="str">
        <f>Chem!B188</f>
        <v>cis-1,3-Dichloropropene</v>
      </c>
      <c r="C188" s="394" t="s">
        <v>232</v>
      </c>
      <c r="D188" s="338" t="s">
        <v>232</v>
      </c>
      <c r="E188" s="394" t="s">
        <v>232</v>
      </c>
      <c r="F188" s="394">
        <v>1.2</v>
      </c>
      <c r="G188" s="552">
        <v>12</v>
      </c>
      <c r="H188" s="384" t="s">
        <v>232</v>
      </c>
      <c r="I188" s="338">
        <f t="shared" si="311"/>
        <v>1.2</v>
      </c>
      <c r="J188" s="407">
        <f>'GW-Eq'!I188</f>
        <v>11276.681433749498</v>
      </c>
      <c r="K188" s="407">
        <f t="shared" si="312"/>
        <v>1.064142857142857E-4</v>
      </c>
      <c r="L188" s="407" t="str">
        <f t="shared" si="280"/>
        <v>no</v>
      </c>
      <c r="M188" s="407">
        <f t="shared" si="281"/>
        <v>1.2</v>
      </c>
      <c r="N188" s="217">
        <f>'GW-Eq'!J188</f>
        <v>9.3972345281245779</v>
      </c>
      <c r="O188" s="217">
        <f t="shared" si="313"/>
        <v>0.1276971428571429</v>
      </c>
      <c r="P188" s="217" t="str">
        <f t="shared" si="283"/>
        <v>no</v>
      </c>
      <c r="Q188" s="217">
        <f t="shared" si="284"/>
        <v>1.2</v>
      </c>
      <c r="R188" s="1056">
        <f t="shared" si="285"/>
        <v>1.2</v>
      </c>
      <c r="T188" s="1113" t="str">
        <f t="shared" si="314"/>
        <v/>
      </c>
      <c r="U188" s="1114" t="str">
        <f t="shared" si="315"/>
        <v/>
      </c>
      <c r="V188" s="1114" t="str">
        <f t="shared" si="316"/>
        <v/>
      </c>
      <c r="W188" s="1114" t="str">
        <f t="shared" si="317"/>
        <v>X</v>
      </c>
      <c r="X188" s="1114" t="str">
        <f t="shared" si="318"/>
        <v/>
      </c>
      <c r="Y188" s="1114" t="str">
        <f t="shared" si="319"/>
        <v/>
      </c>
      <c r="Z188" s="1114" t="str">
        <f t="shared" si="320"/>
        <v/>
      </c>
      <c r="AA188" s="1114" t="str">
        <f t="shared" si="321"/>
        <v/>
      </c>
      <c r="AB188" s="1704" t="str">
        <f t="shared" si="294"/>
        <v/>
      </c>
      <c r="AC188" s="1115" t="str">
        <f t="shared" si="322"/>
        <v/>
      </c>
      <c r="AE188" s="985"/>
      <c r="AG188" s="130" t="str">
        <f>IF(R188=J188,"X","")</f>
        <v/>
      </c>
    </row>
    <row r="189" spans="1:33" s="130" customFormat="1" ht="13.9" customHeight="1" x14ac:dyDescent="0.25">
      <c r="A189" s="846">
        <f>Chem!A189</f>
        <v>187</v>
      </c>
      <c r="B189" s="856" t="str">
        <f>Chem!B189</f>
        <v>trans-1,3-Dichloropropene</v>
      </c>
      <c r="C189" s="394" t="s">
        <v>232</v>
      </c>
      <c r="D189" s="338" t="s">
        <v>232</v>
      </c>
      <c r="E189" s="394" t="s">
        <v>232</v>
      </c>
      <c r="F189" s="394">
        <v>1.2</v>
      </c>
      <c r="G189" s="552">
        <v>12</v>
      </c>
      <c r="H189" s="384" t="s">
        <v>232</v>
      </c>
      <c r="I189" s="338">
        <f t="shared" si="311"/>
        <v>1.2</v>
      </c>
      <c r="J189" s="407">
        <f>'GW-Eq'!I189</f>
        <v>11276.681433749498</v>
      </c>
      <c r="K189" s="407">
        <f t="shared" si="312"/>
        <v>1.064142857142857E-4</v>
      </c>
      <c r="L189" s="407" t="str">
        <f t="shared" si="280"/>
        <v>no</v>
      </c>
      <c r="M189" s="407">
        <f t="shared" si="281"/>
        <v>1.2</v>
      </c>
      <c r="N189" s="217">
        <f>'GW-Eq'!J189</f>
        <v>9.3972345281245779</v>
      </c>
      <c r="O189" s="217">
        <f t="shared" si="313"/>
        <v>0.1276971428571429</v>
      </c>
      <c r="P189" s="217" t="str">
        <f t="shared" si="283"/>
        <v>no</v>
      </c>
      <c r="Q189" s="217">
        <f t="shared" si="284"/>
        <v>1.2</v>
      </c>
      <c r="R189" s="1056">
        <f t="shared" si="285"/>
        <v>1.2</v>
      </c>
      <c r="T189" s="1113" t="str">
        <f t="shared" si="314"/>
        <v/>
      </c>
      <c r="U189" s="1114" t="str">
        <f t="shared" si="315"/>
        <v/>
      </c>
      <c r="V189" s="1114" t="str">
        <f t="shared" si="316"/>
        <v/>
      </c>
      <c r="W189" s="1114" t="str">
        <f t="shared" si="317"/>
        <v>X</v>
      </c>
      <c r="X189" s="1114" t="str">
        <f t="shared" si="318"/>
        <v/>
      </c>
      <c r="Y189" s="1114" t="str">
        <f t="shared" si="319"/>
        <v/>
      </c>
      <c r="Z189" s="1114" t="str">
        <f t="shared" si="320"/>
        <v/>
      </c>
      <c r="AA189" s="1114" t="str">
        <f t="shared" si="321"/>
        <v/>
      </c>
      <c r="AB189" s="1704" t="str">
        <f t="shared" si="294"/>
        <v/>
      </c>
      <c r="AC189" s="1115" t="str">
        <f t="shared" si="322"/>
        <v/>
      </c>
      <c r="AE189" s="985"/>
      <c r="AG189" s="130" t="str">
        <f>IF(R189=J189,"X","")</f>
        <v/>
      </c>
    </row>
    <row r="190" spans="1:33" s="130" customFormat="1" ht="13.9" customHeight="1" x14ac:dyDescent="0.25">
      <c r="A190" s="846">
        <f>Chem!A190</f>
        <v>188</v>
      </c>
      <c r="B190" s="856" t="str">
        <f>Chem!B190</f>
        <v>Diisopropyl ether</v>
      </c>
      <c r="C190" s="394" t="s">
        <v>232</v>
      </c>
      <c r="D190" s="338" t="s">
        <v>232</v>
      </c>
      <c r="E190" s="394" t="s">
        <v>232</v>
      </c>
      <c r="F190" s="394" t="s">
        <v>232</v>
      </c>
      <c r="G190" s="557" t="s">
        <v>232</v>
      </c>
      <c r="H190" s="384" t="s">
        <v>232</v>
      </c>
      <c r="I190" s="338" t="str">
        <f t="shared" ref="I190" si="323">IF(MIN(C190:H190)=0,"na",(MIN(C190:H190)))</f>
        <v>na</v>
      </c>
      <c r="J190" s="407" t="str">
        <f>'GW-Eq'!I190</f>
        <v>na</v>
      </c>
      <c r="K190" s="407" t="str">
        <f t="shared" ref="K190" si="324">IF(I190="na","na",IF(J190="na","na",I190/J190))</f>
        <v>na</v>
      </c>
      <c r="L190" s="407" t="str">
        <f t="shared" ref="L190" si="325">IF(K190="na","na",IF(K190&gt;1,"YES","no"))</f>
        <v>na</v>
      </c>
      <c r="M190" s="407" t="str">
        <f t="shared" ref="M190" si="326">IF(L190="YES",J190,IF(ISNUMBER(I190),I190,J190))</f>
        <v>na</v>
      </c>
      <c r="N190" s="217" t="str">
        <f>'GW-Eq'!J190</f>
        <v>na</v>
      </c>
      <c r="O190" s="217" t="str">
        <f t="shared" ref="O190" si="327">IF(I190="na","na",IF(N190="na","na",I190/N190))</f>
        <v>na</v>
      </c>
      <c r="P190" s="217" t="str">
        <f t="shared" ref="P190" si="328">IF(O190="na","na",IF(O190&gt;10,"YES","no"))</f>
        <v>na</v>
      </c>
      <c r="Q190" s="217" t="str">
        <f t="shared" ref="Q190" si="329">IF(P190="YES",10*N190,IF(P190="no",I190,N190))</f>
        <v>na</v>
      </c>
      <c r="R190" s="1056" t="str">
        <f t="shared" si="285"/>
        <v>na</v>
      </c>
      <c r="T190" s="1113" t="str">
        <f t="shared" ref="T190" si="330">IF($R190="na","",IF($R190=C190,"X",""))</f>
        <v/>
      </c>
      <c r="U190" s="1114" t="str">
        <f t="shared" ref="U190" si="331">IF($R190="na","",IF($R190=D190,"X",""))</f>
        <v/>
      </c>
      <c r="V190" s="1114" t="str">
        <f t="shared" ref="V190" si="332">IF($R190="na","",IF($R190=E190,"X",""))</f>
        <v/>
      </c>
      <c r="W190" s="1114" t="str">
        <f t="shared" ref="W190" si="333">IF($R190="na","",IF($R190=F190,"X",""))</f>
        <v/>
      </c>
      <c r="X190" s="1114" t="str">
        <f t="shared" ref="X190" si="334">IF($R190="na","",IF($R190=G190,"X",""))</f>
        <v/>
      </c>
      <c r="Y190" s="1114" t="str">
        <f t="shared" ref="Y190" si="335">IF($R190="na","",IF($R190=H190,"X",""))</f>
        <v/>
      </c>
      <c r="Z190" s="1114" t="str">
        <f t="shared" ref="Z190" si="336">IF($R190="na","",IF($R190=J190,"X",""))</f>
        <v/>
      </c>
      <c r="AA190" s="1114" t="str">
        <f t="shared" ref="AA190" si="337">IF($R190="na","",IF($R190=N190,"X",""))</f>
        <v/>
      </c>
      <c r="AB190" s="1704" t="str">
        <f t="shared" si="294"/>
        <v/>
      </c>
      <c r="AC190" s="1115" t="str">
        <f t="shared" ref="AC190" si="338">IF(OR($R190="na",N190="na"),"",IF($R190=10*N190,"X",""))</f>
        <v/>
      </c>
      <c r="AE190" s="985"/>
    </row>
    <row r="191" spans="1:33" s="130" customFormat="1" ht="13.9" customHeight="1" x14ac:dyDescent="0.25">
      <c r="A191" s="846">
        <f>Chem!A191</f>
        <v>189</v>
      </c>
      <c r="B191" s="856" t="str">
        <f>Chem!B191</f>
        <v>Ethane</v>
      </c>
      <c r="C191" s="394" t="s">
        <v>232</v>
      </c>
      <c r="D191" s="338" t="s">
        <v>232</v>
      </c>
      <c r="E191" s="394" t="s">
        <v>232</v>
      </c>
      <c r="F191" s="394" t="s">
        <v>232</v>
      </c>
      <c r="G191" s="552" t="s">
        <v>232</v>
      </c>
      <c r="H191" s="384" t="s">
        <v>232</v>
      </c>
      <c r="I191" s="338" t="str">
        <f t="shared" si="311"/>
        <v>na</v>
      </c>
      <c r="J191" s="407" t="str">
        <f>'GW-Eq'!I191</f>
        <v>na</v>
      </c>
      <c r="K191" s="407" t="str">
        <f t="shared" si="312"/>
        <v>na</v>
      </c>
      <c r="L191" s="407" t="str">
        <f t="shared" si="280"/>
        <v>na</v>
      </c>
      <c r="M191" s="407" t="str">
        <f t="shared" si="281"/>
        <v>na</v>
      </c>
      <c r="N191" s="217" t="str">
        <f>'GW-Eq'!J191</f>
        <v>na</v>
      </c>
      <c r="O191" s="217" t="str">
        <f t="shared" si="313"/>
        <v>na</v>
      </c>
      <c r="P191" s="217" t="str">
        <f t="shared" si="283"/>
        <v>na</v>
      </c>
      <c r="Q191" s="217" t="str">
        <f t="shared" si="284"/>
        <v>na</v>
      </c>
      <c r="R191" s="1056" t="str">
        <f t="shared" si="285"/>
        <v>na</v>
      </c>
      <c r="T191" s="1113" t="str">
        <f t="shared" si="314"/>
        <v/>
      </c>
      <c r="U191" s="1114" t="str">
        <f t="shared" si="315"/>
        <v/>
      </c>
      <c r="V191" s="1114" t="str">
        <f t="shared" si="316"/>
        <v/>
      </c>
      <c r="W191" s="1114" t="str">
        <f t="shared" si="317"/>
        <v/>
      </c>
      <c r="X191" s="1114" t="str">
        <f t="shared" si="318"/>
        <v/>
      </c>
      <c r="Y191" s="1114" t="str">
        <f t="shared" si="319"/>
        <v/>
      </c>
      <c r="Z191" s="1114" t="str">
        <f t="shared" si="320"/>
        <v/>
      </c>
      <c r="AA191" s="1114" t="str">
        <f t="shared" si="321"/>
        <v/>
      </c>
      <c r="AB191" s="1704" t="str">
        <f t="shared" si="294"/>
        <v/>
      </c>
      <c r="AC191" s="1115" t="str">
        <f t="shared" si="322"/>
        <v/>
      </c>
      <c r="AE191" s="985"/>
    </row>
    <row r="192" spans="1:33" s="130" customFormat="1" ht="13.9" customHeight="1" x14ac:dyDescent="0.25">
      <c r="A192" s="846">
        <f>Chem!A192</f>
        <v>190</v>
      </c>
      <c r="B192" s="856" t="str">
        <f>Chem!B192</f>
        <v>Ethylbenzene</v>
      </c>
      <c r="C192" s="394" t="s">
        <v>232</v>
      </c>
      <c r="D192" s="338" t="s">
        <v>232</v>
      </c>
      <c r="E192" s="394">
        <v>31</v>
      </c>
      <c r="F192" s="394">
        <v>31</v>
      </c>
      <c r="G192" s="552">
        <v>130</v>
      </c>
      <c r="H192" s="384">
        <v>21</v>
      </c>
      <c r="I192" s="338">
        <f t="shared" si="311"/>
        <v>21</v>
      </c>
      <c r="J192" s="407">
        <f>'GW-Eq'!I192</f>
        <v>1914.5299145299145</v>
      </c>
      <c r="K192" s="407">
        <f t="shared" si="312"/>
        <v>1.0968749999999999E-2</v>
      </c>
      <c r="L192" s="407" t="str">
        <f t="shared" si="280"/>
        <v>no</v>
      </c>
      <c r="M192" s="407">
        <f t="shared" si="281"/>
        <v>21</v>
      </c>
      <c r="N192" s="217" t="str">
        <f>'GW-Eq'!J192</f>
        <v>na</v>
      </c>
      <c r="O192" s="217" t="str">
        <f t="shared" si="313"/>
        <v>na</v>
      </c>
      <c r="P192" s="217" t="str">
        <f t="shared" si="283"/>
        <v>na</v>
      </c>
      <c r="Q192" s="217" t="str">
        <f t="shared" si="284"/>
        <v>na</v>
      </c>
      <c r="R192" s="1056">
        <f t="shared" si="285"/>
        <v>21</v>
      </c>
      <c r="T192" s="1113" t="str">
        <f t="shared" si="314"/>
        <v/>
      </c>
      <c r="U192" s="1114" t="str">
        <f t="shared" si="315"/>
        <v/>
      </c>
      <c r="V192" s="1114" t="str">
        <f t="shared" si="316"/>
        <v/>
      </c>
      <c r="W192" s="1114" t="str">
        <f t="shared" si="317"/>
        <v/>
      </c>
      <c r="X192" s="1114" t="str">
        <f t="shared" si="318"/>
        <v/>
      </c>
      <c r="Y192" s="1114" t="str">
        <f t="shared" si="319"/>
        <v>X</v>
      </c>
      <c r="Z192" s="1114" t="str">
        <f t="shared" si="320"/>
        <v/>
      </c>
      <c r="AA192" s="1114" t="str">
        <f t="shared" si="321"/>
        <v/>
      </c>
      <c r="AB192" s="1704" t="str">
        <f t="shared" si="294"/>
        <v/>
      </c>
      <c r="AC192" s="1115" t="str">
        <f t="shared" si="322"/>
        <v/>
      </c>
      <c r="AE192" s="985"/>
      <c r="AG192" s="130" t="str">
        <f>IF(R192=J192,"X","")</f>
        <v/>
      </c>
    </row>
    <row r="193" spans="1:33" s="130" customFormat="1" ht="13.9" customHeight="1" x14ac:dyDescent="0.25">
      <c r="A193" s="846">
        <f>Chem!A193</f>
        <v>191</v>
      </c>
      <c r="B193" s="856" t="str">
        <f>Chem!B193</f>
        <v>Ethylene oxide</v>
      </c>
      <c r="C193" s="394" t="s">
        <v>232</v>
      </c>
      <c r="D193" s="338" t="s">
        <v>232</v>
      </c>
      <c r="E193" s="394" t="s">
        <v>232</v>
      </c>
      <c r="F193" s="394" t="s">
        <v>232</v>
      </c>
      <c r="G193" s="552" t="s">
        <v>232</v>
      </c>
      <c r="H193" s="384" t="s">
        <v>232</v>
      </c>
      <c r="I193" s="338" t="str">
        <f t="shared" si="311"/>
        <v>na</v>
      </c>
      <c r="J193" s="407" t="str">
        <f>'GW-Eq'!I193</f>
        <v>na</v>
      </c>
      <c r="K193" s="407" t="str">
        <f t="shared" si="312"/>
        <v>na</v>
      </c>
      <c r="L193" s="407" t="str">
        <f t="shared" si="280"/>
        <v>na</v>
      </c>
      <c r="M193" s="407" t="str">
        <f t="shared" si="281"/>
        <v>na</v>
      </c>
      <c r="N193" s="217" t="str">
        <f>'GW-Eq'!J193</f>
        <v>na</v>
      </c>
      <c r="O193" s="217" t="str">
        <f t="shared" si="313"/>
        <v>na</v>
      </c>
      <c r="P193" s="217" t="str">
        <f t="shared" si="283"/>
        <v>na</v>
      </c>
      <c r="Q193" s="217" t="str">
        <f t="shared" si="284"/>
        <v>na</v>
      </c>
      <c r="R193" s="1056" t="str">
        <f t="shared" si="285"/>
        <v>na</v>
      </c>
      <c r="T193" s="1113" t="str">
        <f t="shared" si="314"/>
        <v/>
      </c>
      <c r="U193" s="1114" t="str">
        <f t="shared" si="315"/>
        <v/>
      </c>
      <c r="V193" s="1114" t="str">
        <f t="shared" si="316"/>
        <v/>
      </c>
      <c r="W193" s="1114" t="str">
        <f t="shared" si="317"/>
        <v/>
      </c>
      <c r="X193" s="1114" t="str">
        <f t="shared" si="318"/>
        <v/>
      </c>
      <c r="Y193" s="1114" t="str">
        <f t="shared" si="319"/>
        <v/>
      </c>
      <c r="Z193" s="1114" t="str">
        <f t="shared" si="320"/>
        <v/>
      </c>
      <c r="AA193" s="1114" t="str">
        <f t="shared" si="321"/>
        <v/>
      </c>
      <c r="AB193" s="1704" t="str">
        <f t="shared" si="294"/>
        <v/>
      </c>
      <c r="AC193" s="1115" t="str">
        <f t="shared" si="322"/>
        <v/>
      </c>
      <c r="AE193" s="985"/>
    </row>
    <row r="194" spans="1:33" s="130" customFormat="1" ht="13.9" customHeight="1" x14ac:dyDescent="0.25">
      <c r="A194" s="846">
        <f>Chem!A194</f>
        <v>192</v>
      </c>
      <c r="B194" s="856" t="str">
        <f>Chem!B194</f>
        <v>Ethyl ether</v>
      </c>
      <c r="C194" s="394" t="s">
        <v>232</v>
      </c>
      <c r="D194" s="338" t="s">
        <v>232</v>
      </c>
      <c r="E194" s="394" t="s">
        <v>232</v>
      </c>
      <c r="F194" s="394" t="s">
        <v>232</v>
      </c>
      <c r="G194" s="552" t="s">
        <v>232</v>
      </c>
      <c r="H194" s="384" t="s">
        <v>232</v>
      </c>
      <c r="I194" s="338" t="str">
        <f t="shared" si="311"/>
        <v>na</v>
      </c>
      <c r="J194" s="407" t="str">
        <f>'GW-Eq'!I194</f>
        <v>na</v>
      </c>
      <c r="K194" s="407" t="str">
        <f t="shared" si="312"/>
        <v>na</v>
      </c>
      <c r="L194" s="407" t="str">
        <f t="shared" si="280"/>
        <v>na</v>
      </c>
      <c r="M194" s="407" t="str">
        <f t="shared" si="281"/>
        <v>na</v>
      </c>
      <c r="N194" s="217" t="str">
        <f>'GW-Eq'!J194</f>
        <v>na</v>
      </c>
      <c r="O194" s="217" t="str">
        <f t="shared" si="313"/>
        <v>na</v>
      </c>
      <c r="P194" s="217" t="str">
        <f t="shared" si="283"/>
        <v>na</v>
      </c>
      <c r="Q194" s="217" t="str">
        <f t="shared" si="284"/>
        <v>na</v>
      </c>
      <c r="R194" s="1056" t="str">
        <f t="shared" si="285"/>
        <v>na</v>
      </c>
      <c r="T194" s="1113" t="str">
        <f t="shared" si="314"/>
        <v/>
      </c>
      <c r="U194" s="1114" t="str">
        <f t="shared" si="315"/>
        <v/>
      </c>
      <c r="V194" s="1114" t="str">
        <f t="shared" si="316"/>
        <v/>
      </c>
      <c r="W194" s="1114" t="str">
        <f t="shared" si="317"/>
        <v/>
      </c>
      <c r="X194" s="1114" t="str">
        <f t="shared" si="318"/>
        <v/>
      </c>
      <c r="Y194" s="1114" t="str">
        <f t="shared" si="319"/>
        <v/>
      </c>
      <c r="Z194" s="1114" t="str">
        <f t="shared" si="320"/>
        <v/>
      </c>
      <c r="AA194" s="1114" t="str">
        <f t="shared" si="321"/>
        <v/>
      </c>
      <c r="AB194" s="1704" t="str">
        <f t="shared" si="294"/>
        <v/>
      </c>
      <c r="AC194" s="1115" t="str">
        <f t="shared" si="322"/>
        <v/>
      </c>
      <c r="AE194" s="985"/>
    </row>
    <row r="195" spans="1:33" s="130" customFormat="1" ht="13.9" customHeight="1" x14ac:dyDescent="0.25">
      <c r="A195" s="846">
        <f>Chem!A195</f>
        <v>193</v>
      </c>
      <c r="B195" s="856" t="str">
        <f>Chem!B195</f>
        <v>Ethylene dibromide (EDB)</v>
      </c>
      <c r="C195" s="394" t="s">
        <v>232</v>
      </c>
      <c r="D195" s="338" t="s">
        <v>232</v>
      </c>
      <c r="E195" s="394" t="s">
        <v>232</v>
      </c>
      <c r="F195" s="394" t="s">
        <v>232</v>
      </c>
      <c r="G195" s="552" t="s">
        <v>232</v>
      </c>
      <c r="H195" s="384" t="s">
        <v>232</v>
      </c>
      <c r="I195" s="338" t="str">
        <f t="shared" si="311"/>
        <v>na</v>
      </c>
      <c r="J195" s="407" t="str">
        <f>'GW-Eq'!I195</f>
        <v>na</v>
      </c>
      <c r="K195" s="407" t="str">
        <f t="shared" si="312"/>
        <v>na</v>
      </c>
      <c r="L195" s="407" t="str">
        <f t="shared" si="280"/>
        <v>na</v>
      </c>
      <c r="M195" s="407" t="str">
        <f t="shared" si="281"/>
        <v>na</v>
      </c>
      <c r="N195" s="217" t="str">
        <f>'GW-Eq'!J195</f>
        <v>na</v>
      </c>
      <c r="O195" s="217" t="str">
        <f t="shared" si="313"/>
        <v>na</v>
      </c>
      <c r="P195" s="217" t="str">
        <f t="shared" si="283"/>
        <v>na</v>
      </c>
      <c r="Q195" s="217" t="str">
        <f t="shared" si="284"/>
        <v>na</v>
      </c>
      <c r="R195" s="1056" t="str">
        <f t="shared" si="285"/>
        <v>na</v>
      </c>
      <c r="T195" s="1113" t="str">
        <f t="shared" si="314"/>
        <v/>
      </c>
      <c r="U195" s="1114" t="str">
        <f t="shared" si="315"/>
        <v/>
      </c>
      <c r="V195" s="1114" t="str">
        <f t="shared" si="316"/>
        <v/>
      </c>
      <c r="W195" s="1114" t="str">
        <f t="shared" si="317"/>
        <v/>
      </c>
      <c r="X195" s="1114" t="str">
        <f t="shared" si="318"/>
        <v/>
      </c>
      <c r="Y195" s="1114" t="str">
        <f t="shared" si="319"/>
        <v/>
      </c>
      <c r="Z195" s="1114" t="str">
        <f t="shared" si="320"/>
        <v/>
      </c>
      <c r="AA195" s="1114" t="str">
        <f t="shared" si="321"/>
        <v/>
      </c>
      <c r="AB195" s="1704" t="str">
        <f t="shared" si="294"/>
        <v/>
      </c>
      <c r="AC195" s="1115" t="str">
        <f t="shared" si="322"/>
        <v/>
      </c>
      <c r="AE195" s="985"/>
    </row>
    <row r="196" spans="1:33" s="130" customFormat="1" ht="13.9" customHeight="1" x14ac:dyDescent="0.25">
      <c r="A196" s="846">
        <f>Chem!A196</f>
        <v>194</v>
      </c>
      <c r="B196" s="856" t="str">
        <f>Chem!B196</f>
        <v>Formaldehyde</v>
      </c>
      <c r="C196" s="394" t="s">
        <v>232</v>
      </c>
      <c r="D196" s="338" t="s">
        <v>232</v>
      </c>
      <c r="E196" s="394" t="s">
        <v>232</v>
      </c>
      <c r="F196" s="394" t="s">
        <v>232</v>
      </c>
      <c r="G196" s="557" t="s">
        <v>232</v>
      </c>
      <c r="H196" s="384" t="s">
        <v>232</v>
      </c>
      <c r="I196" s="338" t="str">
        <f t="shared" si="311"/>
        <v>na</v>
      </c>
      <c r="J196" s="407" t="str">
        <f>'GW-Eq'!I196</f>
        <v>na</v>
      </c>
      <c r="K196" s="407" t="str">
        <f t="shared" ref="K196" si="339">IF(I196="na","na",IF(J196="na","na",I196/J196))</f>
        <v>na</v>
      </c>
      <c r="L196" s="407" t="str">
        <f t="shared" ref="L196" si="340">IF(K196="na","na",IF(K196&gt;1,"YES","no"))</f>
        <v>na</v>
      </c>
      <c r="M196" s="407" t="str">
        <f t="shared" ref="M196" si="341">IF(L196="YES",J196,IF(ISNUMBER(I196),I196,J196))</f>
        <v>na</v>
      </c>
      <c r="N196" s="217" t="str">
        <f>'GW-Eq'!J196</f>
        <v>na</v>
      </c>
      <c r="O196" s="217" t="str">
        <f t="shared" ref="O196" si="342">IF(I196="na","na",IF(N196="na","na",I196/N196))</f>
        <v>na</v>
      </c>
      <c r="P196" s="217" t="str">
        <f t="shared" ref="P196" si="343">IF(O196="na","na",IF(O196&gt;10,"YES","no"))</f>
        <v>na</v>
      </c>
      <c r="Q196" s="217" t="str">
        <f t="shared" ref="Q196" si="344">IF(P196="YES",10*N196,IF(P196="no",I196,N196))</f>
        <v>na</v>
      </c>
      <c r="R196" s="1056" t="str">
        <f t="shared" si="285"/>
        <v>na</v>
      </c>
      <c r="T196" s="1113" t="str">
        <f t="shared" si="314"/>
        <v/>
      </c>
      <c r="U196" s="1114" t="str">
        <f t="shared" si="315"/>
        <v/>
      </c>
      <c r="V196" s="1114" t="str">
        <f t="shared" si="316"/>
        <v/>
      </c>
      <c r="W196" s="1114" t="str">
        <f t="shared" si="317"/>
        <v/>
      </c>
      <c r="X196" s="1114" t="str">
        <f t="shared" si="318"/>
        <v/>
      </c>
      <c r="Y196" s="1114" t="str">
        <f t="shared" si="319"/>
        <v/>
      </c>
      <c r="Z196" s="1114" t="str">
        <f t="shared" si="320"/>
        <v/>
      </c>
      <c r="AA196" s="1114" t="str">
        <f t="shared" si="321"/>
        <v/>
      </c>
      <c r="AB196" s="1704" t="str">
        <f t="shared" si="294"/>
        <v/>
      </c>
      <c r="AC196" s="1115" t="str">
        <f t="shared" si="322"/>
        <v/>
      </c>
      <c r="AE196" s="985"/>
    </row>
    <row r="197" spans="1:33" s="130" customFormat="1" ht="13.9" customHeight="1" x14ac:dyDescent="0.25">
      <c r="A197" s="846">
        <f>Chem!A197</f>
        <v>195</v>
      </c>
      <c r="B197" s="856" t="str">
        <f>Chem!B197</f>
        <v>n-Hexane</v>
      </c>
      <c r="C197" s="394" t="s">
        <v>232</v>
      </c>
      <c r="D197" s="338" t="s">
        <v>232</v>
      </c>
      <c r="E197" s="394" t="s">
        <v>232</v>
      </c>
      <c r="F197" s="394" t="s">
        <v>232</v>
      </c>
      <c r="G197" s="557" t="s">
        <v>232</v>
      </c>
      <c r="H197" s="384" t="s">
        <v>232</v>
      </c>
      <c r="I197" s="338" t="str">
        <f t="shared" si="311"/>
        <v>na</v>
      </c>
      <c r="J197" s="407" t="str">
        <f>'GW-Eq'!I197</f>
        <v>na</v>
      </c>
      <c r="K197" s="407" t="str">
        <f t="shared" ref="K197" si="345">IF(I197="na","na",IF(J197="na","na",I197/J197))</f>
        <v>na</v>
      </c>
      <c r="L197" s="407" t="str">
        <f t="shared" ref="L197" si="346">IF(K197="na","na",IF(K197&gt;1,"YES","no"))</f>
        <v>na</v>
      </c>
      <c r="M197" s="407" t="str">
        <f t="shared" ref="M197" si="347">IF(L197="YES",J197,IF(ISNUMBER(I197),I197,J197))</f>
        <v>na</v>
      </c>
      <c r="N197" s="217" t="str">
        <f>'GW-Eq'!J197</f>
        <v>na</v>
      </c>
      <c r="O197" s="217" t="str">
        <f t="shared" ref="O197" si="348">IF(I197="na","na",IF(N197="na","na",I197/N197))</f>
        <v>na</v>
      </c>
      <c r="P197" s="217" t="str">
        <f t="shared" ref="P197" si="349">IF(O197="na","na",IF(O197&gt;10,"YES","no"))</f>
        <v>na</v>
      </c>
      <c r="Q197" s="217" t="str">
        <f t="shared" ref="Q197" si="350">IF(P197="YES",10*N197,IF(P197="no",I197,N197))</f>
        <v>na</v>
      </c>
      <c r="R197" s="1056" t="str">
        <f t="shared" si="285"/>
        <v>na</v>
      </c>
      <c r="T197" s="1113" t="str">
        <f t="shared" si="314"/>
        <v/>
      </c>
      <c r="U197" s="1114" t="str">
        <f t="shared" si="315"/>
        <v/>
      </c>
      <c r="V197" s="1114" t="str">
        <f t="shared" ref="V197" si="351">IF($R197="na","",IF($R197=E197,"X",""))</f>
        <v/>
      </c>
      <c r="W197" s="1114" t="str">
        <f t="shared" ref="W197" si="352">IF($R197="na","",IF($R197=F197,"X",""))</f>
        <v/>
      </c>
      <c r="X197" s="1114" t="str">
        <f t="shared" ref="X197" si="353">IF($R197="na","",IF($R197=G197,"X",""))</f>
        <v/>
      </c>
      <c r="Y197" s="1114" t="str">
        <f t="shared" ref="Y197" si="354">IF($R197="na","",IF($R197=H197,"X",""))</f>
        <v/>
      </c>
      <c r="Z197" s="1114" t="str">
        <f t="shared" ref="Z197" si="355">IF($R197="na","",IF($R197=J197,"X",""))</f>
        <v/>
      </c>
      <c r="AA197" s="1114" t="str">
        <f t="shared" ref="AA197" si="356">IF($R197="na","",IF($R197=N197,"X",""))</f>
        <v/>
      </c>
      <c r="AB197" s="1704" t="str">
        <f t="shared" si="294"/>
        <v/>
      </c>
      <c r="AC197" s="1115" t="str">
        <f t="shared" ref="AC197" si="357">IF(OR($R197="na",N197="na"),"",IF($R197=10*N197,"X",""))</f>
        <v/>
      </c>
      <c r="AE197" s="985"/>
    </row>
    <row r="198" spans="1:33" s="130" customFormat="1" ht="13.9" customHeight="1" x14ac:dyDescent="0.25">
      <c r="A198" s="846">
        <f>Chem!A198</f>
        <v>196</v>
      </c>
      <c r="B198" s="856" t="str">
        <f>Chem!B198</f>
        <v>2-Hexanone</v>
      </c>
      <c r="C198" s="394" t="s">
        <v>232</v>
      </c>
      <c r="D198" s="338" t="s">
        <v>232</v>
      </c>
      <c r="E198" s="394" t="s">
        <v>232</v>
      </c>
      <c r="F198" s="394" t="s">
        <v>232</v>
      </c>
      <c r="G198" s="552" t="s">
        <v>232</v>
      </c>
      <c r="H198" s="384" t="s">
        <v>232</v>
      </c>
      <c r="I198" s="338" t="str">
        <f t="shared" si="311"/>
        <v>na</v>
      </c>
      <c r="J198" s="407" t="str">
        <f>'GW-Eq'!I198</f>
        <v>na</v>
      </c>
      <c r="K198" s="407" t="str">
        <f t="shared" si="312"/>
        <v>na</v>
      </c>
      <c r="L198" s="407" t="str">
        <f t="shared" si="280"/>
        <v>na</v>
      </c>
      <c r="M198" s="407" t="str">
        <f t="shared" si="281"/>
        <v>na</v>
      </c>
      <c r="N198" s="217" t="str">
        <f>'GW-Eq'!J198</f>
        <v>na</v>
      </c>
      <c r="O198" s="217" t="str">
        <f t="shared" si="313"/>
        <v>na</v>
      </c>
      <c r="P198" s="217" t="str">
        <f t="shared" si="283"/>
        <v>na</v>
      </c>
      <c r="Q198" s="217" t="str">
        <f t="shared" si="284"/>
        <v>na</v>
      </c>
      <c r="R198" s="1056" t="str">
        <f t="shared" si="285"/>
        <v>na</v>
      </c>
      <c r="T198" s="1113" t="str">
        <f t="shared" si="314"/>
        <v/>
      </c>
      <c r="U198" s="1114" t="str">
        <f t="shared" si="315"/>
        <v/>
      </c>
      <c r="V198" s="1114" t="str">
        <f t="shared" si="316"/>
        <v/>
      </c>
      <c r="W198" s="1114" t="str">
        <f t="shared" si="317"/>
        <v/>
      </c>
      <c r="X198" s="1114" t="str">
        <f t="shared" si="318"/>
        <v/>
      </c>
      <c r="Y198" s="1114" t="str">
        <f t="shared" si="319"/>
        <v/>
      </c>
      <c r="Z198" s="1114" t="str">
        <f t="shared" si="320"/>
        <v/>
      </c>
      <c r="AA198" s="1114" t="str">
        <f t="shared" si="321"/>
        <v/>
      </c>
      <c r="AB198" s="1704" t="str">
        <f t="shared" si="294"/>
        <v/>
      </c>
      <c r="AC198" s="1115" t="str">
        <f t="shared" si="322"/>
        <v/>
      </c>
      <c r="AE198" s="985"/>
    </row>
    <row r="199" spans="1:33" s="130" customFormat="1" ht="13.9" customHeight="1" x14ac:dyDescent="0.25">
      <c r="A199" s="846">
        <f>Chem!A199</f>
        <v>197</v>
      </c>
      <c r="B199" s="856" t="str">
        <f>Chem!B199</f>
        <v>Isopropylbenzene (cumene)</v>
      </c>
      <c r="C199" s="394" t="s">
        <v>232</v>
      </c>
      <c r="D199" s="338" t="s">
        <v>232</v>
      </c>
      <c r="E199" s="394" t="s">
        <v>232</v>
      </c>
      <c r="F199" s="394" t="s">
        <v>232</v>
      </c>
      <c r="G199" s="552" t="s">
        <v>232</v>
      </c>
      <c r="H199" s="384" t="s">
        <v>232</v>
      </c>
      <c r="I199" s="338" t="str">
        <f t="shared" si="311"/>
        <v>na</v>
      </c>
      <c r="J199" s="407" t="str">
        <f>'GW-Eq'!I199</f>
        <v>na</v>
      </c>
      <c r="K199" s="407" t="str">
        <f t="shared" si="312"/>
        <v>na</v>
      </c>
      <c r="L199" s="407" t="str">
        <f t="shared" si="280"/>
        <v>na</v>
      </c>
      <c r="M199" s="407" t="str">
        <f t="shared" si="281"/>
        <v>na</v>
      </c>
      <c r="N199" s="217" t="str">
        <f>'GW-Eq'!J199</f>
        <v>na</v>
      </c>
      <c r="O199" s="217" t="str">
        <f t="shared" si="313"/>
        <v>na</v>
      </c>
      <c r="P199" s="217" t="str">
        <f t="shared" si="283"/>
        <v>na</v>
      </c>
      <c r="Q199" s="217" t="str">
        <f t="shared" si="284"/>
        <v>na</v>
      </c>
      <c r="R199" s="1056" t="str">
        <f t="shared" si="285"/>
        <v>na</v>
      </c>
      <c r="T199" s="1113" t="str">
        <f t="shared" si="314"/>
        <v/>
      </c>
      <c r="U199" s="1114" t="str">
        <f t="shared" si="315"/>
        <v/>
      </c>
      <c r="V199" s="1114" t="str">
        <f t="shared" si="316"/>
        <v/>
      </c>
      <c r="W199" s="1114" t="str">
        <f t="shared" si="317"/>
        <v/>
      </c>
      <c r="X199" s="1114" t="str">
        <f t="shared" si="318"/>
        <v/>
      </c>
      <c r="Y199" s="1114" t="str">
        <f t="shared" si="319"/>
        <v/>
      </c>
      <c r="Z199" s="1114" t="str">
        <f t="shared" si="320"/>
        <v/>
      </c>
      <c r="AA199" s="1114" t="str">
        <f t="shared" si="321"/>
        <v/>
      </c>
      <c r="AB199" s="1704" t="str">
        <f t="shared" si="294"/>
        <v/>
      </c>
      <c r="AC199" s="1115" t="str">
        <f t="shared" si="322"/>
        <v/>
      </c>
      <c r="AE199" s="985"/>
    </row>
    <row r="200" spans="1:33" s="130" customFormat="1" ht="13.9" customHeight="1" x14ac:dyDescent="0.25">
      <c r="A200" s="846">
        <f>Chem!A200</f>
        <v>198</v>
      </c>
      <c r="B200" s="856" t="str">
        <f>Chem!B200</f>
        <v>4-Isopropyltoluene (p-isopropyltoluene)</v>
      </c>
      <c r="C200" s="394" t="s">
        <v>232</v>
      </c>
      <c r="D200" s="338" t="s">
        <v>232</v>
      </c>
      <c r="E200" s="394" t="s">
        <v>232</v>
      </c>
      <c r="F200" s="394" t="s">
        <v>232</v>
      </c>
      <c r="G200" s="552" t="s">
        <v>232</v>
      </c>
      <c r="H200" s="384" t="s">
        <v>232</v>
      </c>
      <c r="I200" s="338" t="str">
        <f t="shared" si="311"/>
        <v>na</v>
      </c>
      <c r="J200" s="407" t="str">
        <f>'GW-Eq'!I200</f>
        <v>na</v>
      </c>
      <c r="K200" s="407" t="str">
        <f t="shared" si="312"/>
        <v>na</v>
      </c>
      <c r="L200" s="407" t="str">
        <f t="shared" si="280"/>
        <v>na</v>
      </c>
      <c r="M200" s="407" t="str">
        <f t="shared" si="281"/>
        <v>na</v>
      </c>
      <c r="N200" s="217" t="str">
        <f>'GW-Eq'!J200</f>
        <v>na</v>
      </c>
      <c r="O200" s="217" t="str">
        <f t="shared" si="313"/>
        <v>na</v>
      </c>
      <c r="P200" s="217" t="str">
        <f t="shared" si="283"/>
        <v>na</v>
      </c>
      <c r="Q200" s="217" t="str">
        <f t="shared" si="284"/>
        <v>na</v>
      </c>
      <c r="R200" s="1056" t="str">
        <f t="shared" si="285"/>
        <v>na</v>
      </c>
      <c r="T200" s="1113" t="str">
        <f t="shared" si="314"/>
        <v/>
      </c>
      <c r="U200" s="1114" t="str">
        <f t="shared" si="315"/>
        <v/>
      </c>
      <c r="V200" s="1114" t="str">
        <f t="shared" si="316"/>
        <v/>
      </c>
      <c r="W200" s="1114" t="str">
        <f t="shared" si="317"/>
        <v/>
      </c>
      <c r="X200" s="1114" t="str">
        <f t="shared" si="318"/>
        <v/>
      </c>
      <c r="Y200" s="1114" t="str">
        <f t="shared" si="319"/>
        <v/>
      </c>
      <c r="Z200" s="1114" t="str">
        <f t="shared" si="320"/>
        <v/>
      </c>
      <c r="AA200" s="1114" t="str">
        <f t="shared" si="321"/>
        <v/>
      </c>
      <c r="AB200" s="1704" t="str">
        <f t="shared" si="294"/>
        <v/>
      </c>
      <c r="AC200" s="1115" t="str">
        <f t="shared" si="322"/>
        <v/>
      </c>
      <c r="AE200" s="985"/>
    </row>
    <row r="201" spans="1:33" s="130" customFormat="1" ht="13.9" customHeight="1" x14ac:dyDescent="0.25">
      <c r="A201" s="846">
        <f>Chem!A201</f>
        <v>199</v>
      </c>
      <c r="B201" s="856" t="str">
        <f>Chem!B201</f>
        <v>Methane</v>
      </c>
      <c r="C201" s="394" t="s">
        <v>232</v>
      </c>
      <c r="D201" s="338" t="s">
        <v>232</v>
      </c>
      <c r="E201" s="394" t="s">
        <v>232</v>
      </c>
      <c r="F201" s="394" t="s">
        <v>232</v>
      </c>
      <c r="G201" s="552" t="s">
        <v>232</v>
      </c>
      <c r="H201" s="384" t="s">
        <v>232</v>
      </c>
      <c r="I201" s="338" t="str">
        <f t="shared" si="311"/>
        <v>na</v>
      </c>
      <c r="J201" s="407" t="str">
        <f>'GW-Eq'!I201</f>
        <v>na</v>
      </c>
      <c r="K201" s="407" t="str">
        <f t="shared" si="312"/>
        <v>na</v>
      </c>
      <c r="L201" s="407" t="str">
        <f t="shared" si="280"/>
        <v>na</v>
      </c>
      <c r="M201" s="407" t="str">
        <f t="shared" si="281"/>
        <v>na</v>
      </c>
      <c r="N201" s="217" t="str">
        <f>'GW-Eq'!J201</f>
        <v>na</v>
      </c>
      <c r="O201" s="217" t="str">
        <f t="shared" si="313"/>
        <v>na</v>
      </c>
      <c r="P201" s="217" t="str">
        <f t="shared" si="283"/>
        <v>na</v>
      </c>
      <c r="Q201" s="217" t="str">
        <f t="shared" si="284"/>
        <v>na</v>
      </c>
      <c r="R201" s="1056" t="str">
        <f t="shared" si="285"/>
        <v>na</v>
      </c>
      <c r="T201" s="1113" t="str">
        <f t="shared" si="314"/>
        <v/>
      </c>
      <c r="U201" s="1114" t="str">
        <f t="shared" si="315"/>
        <v/>
      </c>
      <c r="V201" s="1114" t="str">
        <f t="shared" si="316"/>
        <v/>
      </c>
      <c r="W201" s="1114" t="str">
        <f t="shared" si="317"/>
        <v/>
      </c>
      <c r="X201" s="1114" t="str">
        <f t="shared" si="318"/>
        <v/>
      </c>
      <c r="Y201" s="1114" t="str">
        <f t="shared" si="319"/>
        <v/>
      </c>
      <c r="Z201" s="1114" t="str">
        <f t="shared" si="320"/>
        <v/>
      </c>
      <c r="AA201" s="1114" t="str">
        <f t="shared" si="321"/>
        <v/>
      </c>
      <c r="AB201" s="1704" t="str">
        <f t="shared" si="294"/>
        <v/>
      </c>
      <c r="AC201" s="1115" t="str">
        <f t="shared" si="322"/>
        <v/>
      </c>
      <c r="AE201" s="985"/>
    </row>
    <row r="202" spans="1:33" s="130" customFormat="1" ht="13.9" customHeight="1" x14ac:dyDescent="0.25">
      <c r="A202" s="846">
        <f>Chem!A202</f>
        <v>200</v>
      </c>
      <c r="B202" s="856" t="str">
        <f>Chem!B202</f>
        <v>Methyl ethyl ketone (2-butanone)</v>
      </c>
      <c r="C202" s="394" t="s">
        <v>232</v>
      </c>
      <c r="D202" s="338" t="s">
        <v>232</v>
      </c>
      <c r="E202" s="394" t="s">
        <v>232</v>
      </c>
      <c r="F202" s="394" t="s">
        <v>232</v>
      </c>
      <c r="G202" s="552" t="s">
        <v>232</v>
      </c>
      <c r="H202" s="384" t="s">
        <v>232</v>
      </c>
      <c r="I202" s="338" t="str">
        <f t="shared" si="311"/>
        <v>na</v>
      </c>
      <c r="J202" s="407" t="str">
        <f>'GW-Eq'!I202</f>
        <v>na</v>
      </c>
      <c r="K202" s="407" t="str">
        <f t="shared" si="312"/>
        <v>na</v>
      </c>
      <c r="L202" s="407" t="str">
        <f t="shared" si="280"/>
        <v>na</v>
      </c>
      <c r="M202" s="407" t="str">
        <f t="shared" si="281"/>
        <v>na</v>
      </c>
      <c r="N202" s="217" t="str">
        <f>'GW-Eq'!J202</f>
        <v>na</v>
      </c>
      <c r="O202" s="217" t="str">
        <f t="shared" si="313"/>
        <v>na</v>
      </c>
      <c r="P202" s="217" t="str">
        <f t="shared" si="283"/>
        <v>na</v>
      </c>
      <c r="Q202" s="217" t="str">
        <f t="shared" si="284"/>
        <v>na</v>
      </c>
      <c r="R202" s="1056" t="str">
        <f t="shared" si="285"/>
        <v>na</v>
      </c>
      <c r="T202" s="1113" t="str">
        <f t="shared" si="314"/>
        <v/>
      </c>
      <c r="U202" s="1114" t="str">
        <f t="shared" si="315"/>
        <v/>
      </c>
      <c r="V202" s="1114" t="str">
        <f t="shared" si="316"/>
        <v/>
      </c>
      <c r="W202" s="1114" t="str">
        <f t="shared" si="317"/>
        <v/>
      </c>
      <c r="X202" s="1114" t="str">
        <f t="shared" si="318"/>
        <v/>
      </c>
      <c r="Y202" s="1114" t="str">
        <f t="shared" si="319"/>
        <v/>
      </c>
      <c r="Z202" s="1114" t="str">
        <f t="shared" si="320"/>
        <v/>
      </c>
      <c r="AA202" s="1114" t="str">
        <f t="shared" si="321"/>
        <v/>
      </c>
      <c r="AB202" s="1704" t="str">
        <f t="shared" si="294"/>
        <v/>
      </c>
      <c r="AC202" s="1115" t="str">
        <f t="shared" si="322"/>
        <v/>
      </c>
      <c r="AE202" s="985"/>
    </row>
    <row r="203" spans="1:33" s="130" customFormat="1" ht="13.9" customHeight="1" x14ac:dyDescent="0.25">
      <c r="A203" s="846">
        <f>Chem!A203</f>
        <v>201</v>
      </c>
      <c r="B203" s="856" t="str">
        <f>Chem!B203</f>
        <v>Methyl iodide</v>
      </c>
      <c r="C203" s="394" t="s">
        <v>232</v>
      </c>
      <c r="D203" s="338" t="s">
        <v>232</v>
      </c>
      <c r="E203" s="394" t="s">
        <v>232</v>
      </c>
      <c r="F203" s="394" t="s">
        <v>232</v>
      </c>
      <c r="G203" s="552" t="s">
        <v>232</v>
      </c>
      <c r="H203" s="384" t="s">
        <v>232</v>
      </c>
      <c r="I203" s="338" t="str">
        <f t="shared" si="311"/>
        <v>na</v>
      </c>
      <c r="J203" s="407" t="str">
        <f>'GW-Eq'!I203</f>
        <v>na</v>
      </c>
      <c r="K203" s="407" t="str">
        <f t="shared" si="312"/>
        <v>na</v>
      </c>
      <c r="L203" s="407" t="str">
        <f t="shared" si="280"/>
        <v>na</v>
      </c>
      <c r="M203" s="407" t="str">
        <f t="shared" si="281"/>
        <v>na</v>
      </c>
      <c r="N203" s="217" t="str">
        <f>'GW-Eq'!J203</f>
        <v>na</v>
      </c>
      <c r="O203" s="217" t="str">
        <f t="shared" si="313"/>
        <v>na</v>
      </c>
      <c r="P203" s="217" t="str">
        <f t="shared" si="283"/>
        <v>na</v>
      </c>
      <c r="Q203" s="217" t="str">
        <f t="shared" si="284"/>
        <v>na</v>
      </c>
      <c r="R203" s="1056" t="str">
        <f t="shared" si="285"/>
        <v>na</v>
      </c>
      <c r="T203" s="1113" t="str">
        <f t="shared" si="314"/>
        <v/>
      </c>
      <c r="U203" s="1114" t="str">
        <f t="shared" si="315"/>
        <v/>
      </c>
      <c r="V203" s="1114" t="str">
        <f t="shared" si="316"/>
        <v/>
      </c>
      <c r="W203" s="1114" t="str">
        <f t="shared" si="317"/>
        <v/>
      </c>
      <c r="X203" s="1114" t="str">
        <f t="shared" si="318"/>
        <v/>
      </c>
      <c r="Y203" s="1114" t="str">
        <f t="shared" si="319"/>
        <v/>
      </c>
      <c r="Z203" s="1114" t="str">
        <f t="shared" si="320"/>
        <v/>
      </c>
      <c r="AA203" s="1114" t="str">
        <f t="shared" si="321"/>
        <v/>
      </c>
      <c r="AB203" s="1704" t="str">
        <f t="shared" si="294"/>
        <v/>
      </c>
      <c r="AC203" s="1115" t="str">
        <f t="shared" si="322"/>
        <v/>
      </c>
      <c r="AE203" s="985"/>
    </row>
    <row r="204" spans="1:33" s="130" customFormat="1" ht="13.9" customHeight="1" x14ac:dyDescent="0.25">
      <c r="A204" s="846">
        <f>Chem!A204</f>
        <v>202</v>
      </c>
      <c r="B204" s="856" t="str">
        <f>Chem!B204</f>
        <v>Methyl isobutyl ketone</v>
      </c>
      <c r="C204" s="394" t="s">
        <v>232</v>
      </c>
      <c r="D204" s="338" t="s">
        <v>232</v>
      </c>
      <c r="E204" s="394" t="s">
        <v>232</v>
      </c>
      <c r="F204" s="394" t="s">
        <v>232</v>
      </c>
      <c r="G204" s="552" t="s">
        <v>232</v>
      </c>
      <c r="H204" s="384" t="s">
        <v>232</v>
      </c>
      <c r="I204" s="338" t="str">
        <f t="shared" si="311"/>
        <v>na</v>
      </c>
      <c r="J204" s="407" t="str">
        <f>'GW-Eq'!I204</f>
        <v>na</v>
      </c>
      <c r="K204" s="407" t="str">
        <f t="shared" si="312"/>
        <v>na</v>
      </c>
      <c r="L204" s="407" t="str">
        <f t="shared" si="280"/>
        <v>na</v>
      </c>
      <c r="M204" s="407" t="str">
        <f t="shared" si="281"/>
        <v>na</v>
      </c>
      <c r="N204" s="217" t="str">
        <f>'GW-Eq'!J204</f>
        <v>na</v>
      </c>
      <c r="O204" s="217" t="str">
        <f t="shared" si="313"/>
        <v>na</v>
      </c>
      <c r="P204" s="217" t="str">
        <f t="shared" si="283"/>
        <v>na</v>
      </c>
      <c r="Q204" s="217" t="str">
        <f t="shared" si="284"/>
        <v>na</v>
      </c>
      <c r="R204" s="1056" t="str">
        <f t="shared" si="285"/>
        <v>na</v>
      </c>
      <c r="T204" s="1113" t="str">
        <f t="shared" si="314"/>
        <v/>
      </c>
      <c r="U204" s="1114" t="str">
        <f t="shared" si="315"/>
        <v/>
      </c>
      <c r="V204" s="1114" t="str">
        <f t="shared" si="316"/>
        <v/>
      </c>
      <c r="W204" s="1114" t="str">
        <f t="shared" si="317"/>
        <v/>
      </c>
      <c r="X204" s="1114" t="str">
        <f t="shared" si="318"/>
        <v/>
      </c>
      <c r="Y204" s="1114" t="str">
        <f t="shared" si="319"/>
        <v/>
      </c>
      <c r="Z204" s="1114" t="str">
        <f t="shared" si="320"/>
        <v/>
      </c>
      <c r="AA204" s="1114" t="str">
        <f t="shared" si="321"/>
        <v/>
      </c>
      <c r="AB204" s="1704" t="str">
        <f t="shared" si="294"/>
        <v/>
      </c>
      <c r="AC204" s="1115" t="str">
        <f t="shared" si="322"/>
        <v/>
      </c>
      <c r="AE204" s="985"/>
    </row>
    <row r="205" spans="1:33" s="130" customFormat="1" ht="13.9" customHeight="1" x14ac:dyDescent="0.25">
      <c r="A205" s="846">
        <f>Chem!A205</f>
        <v>203</v>
      </c>
      <c r="B205" s="855" t="str">
        <f>Chem!B205</f>
        <v>Methyl tert-butyl ether (MTBE)</v>
      </c>
      <c r="C205" s="394" t="s">
        <v>232</v>
      </c>
      <c r="D205" s="338" t="s">
        <v>232</v>
      </c>
      <c r="E205" s="394" t="s">
        <v>232</v>
      </c>
      <c r="F205" s="394" t="s">
        <v>232</v>
      </c>
      <c r="G205" s="552" t="s">
        <v>232</v>
      </c>
      <c r="H205" s="384" t="s">
        <v>232</v>
      </c>
      <c r="I205" s="338" t="str">
        <f t="shared" si="311"/>
        <v>na</v>
      </c>
      <c r="J205" s="407" t="str">
        <f>'GW-Eq'!I205</f>
        <v>na</v>
      </c>
      <c r="K205" s="407" t="str">
        <f t="shared" si="312"/>
        <v>na</v>
      </c>
      <c r="L205" s="407" t="str">
        <f t="shared" si="280"/>
        <v>na</v>
      </c>
      <c r="M205" s="407" t="str">
        <f t="shared" si="281"/>
        <v>na</v>
      </c>
      <c r="N205" s="217" t="str">
        <f>'GW-Eq'!J205</f>
        <v>na</v>
      </c>
      <c r="O205" s="217" t="str">
        <f t="shared" si="313"/>
        <v>na</v>
      </c>
      <c r="P205" s="217" t="str">
        <f t="shared" si="283"/>
        <v>na</v>
      </c>
      <c r="Q205" s="217" t="str">
        <f t="shared" si="284"/>
        <v>na</v>
      </c>
      <c r="R205" s="1056" t="str">
        <f t="shared" si="285"/>
        <v>na</v>
      </c>
      <c r="T205" s="1113" t="str">
        <f t="shared" si="314"/>
        <v/>
      </c>
      <c r="U205" s="1114" t="str">
        <f t="shared" si="315"/>
        <v/>
      </c>
      <c r="V205" s="1114" t="str">
        <f t="shared" si="316"/>
        <v/>
      </c>
      <c r="W205" s="1114" t="str">
        <f t="shared" si="317"/>
        <v/>
      </c>
      <c r="X205" s="1114" t="str">
        <f t="shared" si="318"/>
        <v/>
      </c>
      <c r="Y205" s="1114" t="str">
        <f t="shared" si="319"/>
        <v/>
      </c>
      <c r="Z205" s="1114" t="str">
        <f t="shared" si="320"/>
        <v/>
      </c>
      <c r="AA205" s="1114" t="str">
        <f t="shared" si="321"/>
        <v/>
      </c>
      <c r="AB205" s="1704" t="str">
        <f t="shared" si="294"/>
        <v/>
      </c>
      <c r="AC205" s="1115" t="str">
        <f t="shared" si="322"/>
        <v/>
      </c>
      <c r="AE205" s="985"/>
    </row>
    <row r="206" spans="1:33" s="130" customFormat="1" ht="13.9" customHeight="1" x14ac:dyDescent="0.25">
      <c r="A206" s="846">
        <f>Chem!A206</f>
        <v>204</v>
      </c>
      <c r="B206" s="856" t="str">
        <f>Chem!B206</f>
        <v>Methylene chloride</v>
      </c>
      <c r="C206" s="394" t="s">
        <v>232</v>
      </c>
      <c r="D206" s="338" t="s">
        <v>232</v>
      </c>
      <c r="E206" s="394">
        <v>100</v>
      </c>
      <c r="F206" s="394">
        <v>100</v>
      </c>
      <c r="G206" s="552">
        <v>1000</v>
      </c>
      <c r="H206" s="384" t="s">
        <v>232</v>
      </c>
      <c r="I206" s="338">
        <f t="shared" si="311"/>
        <v>100</v>
      </c>
      <c r="J206" s="407">
        <f>'GW-Eq'!I206</f>
        <v>4786.3247863247861</v>
      </c>
      <c r="K206" s="407">
        <f t="shared" si="312"/>
        <v>2.0892857142857144E-2</v>
      </c>
      <c r="L206" s="407" t="str">
        <f t="shared" si="280"/>
        <v>no</v>
      </c>
      <c r="M206" s="407">
        <f t="shared" si="281"/>
        <v>100</v>
      </c>
      <c r="N206" s="217">
        <f>'GW-Eq'!J206</f>
        <v>229.71344437617972</v>
      </c>
      <c r="O206" s="217">
        <f t="shared" si="313"/>
        <v>0.4353249774803758</v>
      </c>
      <c r="P206" s="217" t="str">
        <f t="shared" si="283"/>
        <v>no</v>
      </c>
      <c r="Q206" s="217">
        <f t="shared" si="284"/>
        <v>100</v>
      </c>
      <c r="R206" s="1056">
        <f t="shared" si="285"/>
        <v>100</v>
      </c>
      <c r="T206" s="1113" t="str">
        <f t="shared" si="314"/>
        <v/>
      </c>
      <c r="U206" s="1114" t="str">
        <f t="shared" si="315"/>
        <v/>
      </c>
      <c r="V206" s="1114" t="str">
        <f t="shared" si="316"/>
        <v>X</v>
      </c>
      <c r="W206" s="1114" t="str">
        <f t="shared" si="317"/>
        <v>X</v>
      </c>
      <c r="X206" s="1114" t="str">
        <f t="shared" si="318"/>
        <v/>
      </c>
      <c r="Y206" s="1114" t="str">
        <f t="shared" si="319"/>
        <v/>
      </c>
      <c r="Z206" s="1114" t="str">
        <f t="shared" si="320"/>
        <v/>
      </c>
      <c r="AA206" s="1114" t="str">
        <f t="shared" si="321"/>
        <v/>
      </c>
      <c r="AB206" s="1704" t="str">
        <f t="shared" si="294"/>
        <v/>
      </c>
      <c r="AC206" s="1115" t="str">
        <f t="shared" si="322"/>
        <v/>
      </c>
      <c r="AE206" s="985"/>
      <c r="AG206" s="130" t="str">
        <f>IF(R206=J206,"X","")</f>
        <v/>
      </c>
    </row>
    <row r="207" spans="1:33" s="130" customFormat="1" ht="13.9" customHeight="1" x14ac:dyDescent="0.25">
      <c r="A207" s="846">
        <f>Chem!A207</f>
        <v>205</v>
      </c>
      <c r="B207" s="855" t="str">
        <f>Chem!B207</f>
        <v>2-Pentanone</v>
      </c>
      <c r="C207" s="394" t="s">
        <v>232</v>
      </c>
      <c r="D207" s="338" t="s">
        <v>232</v>
      </c>
      <c r="E207" s="394" t="s">
        <v>232</v>
      </c>
      <c r="F207" s="394" t="s">
        <v>232</v>
      </c>
      <c r="G207" s="552" t="s">
        <v>232</v>
      </c>
      <c r="H207" s="384" t="s">
        <v>232</v>
      </c>
      <c r="I207" s="338" t="str">
        <f t="shared" si="311"/>
        <v>na</v>
      </c>
      <c r="J207" s="407" t="str">
        <f>'GW-Eq'!I207</f>
        <v>na</v>
      </c>
      <c r="K207" s="407" t="str">
        <f t="shared" si="312"/>
        <v>na</v>
      </c>
      <c r="L207" s="407" t="str">
        <f t="shared" si="280"/>
        <v>na</v>
      </c>
      <c r="M207" s="407" t="str">
        <f t="shared" si="281"/>
        <v>na</v>
      </c>
      <c r="N207" s="217" t="str">
        <f>'GW-Eq'!J207</f>
        <v>na</v>
      </c>
      <c r="O207" s="217" t="str">
        <f t="shared" si="313"/>
        <v>na</v>
      </c>
      <c r="P207" s="217" t="str">
        <f t="shared" si="283"/>
        <v>na</v>
      </c>
      <c r="Q207" s="217" t="str">
        <f t="shared" si="284"/>
        <v>na</v>
      </c>
      <c r="R207" s="1056" t="str">
        <f t="shared" si="285"/>
        <v>na</v>
      </c>
      <c r="T207" s="1113" t="str">
        <f t="shared" si="314"/>
        <v/>
      </c>
      <c r="U207" s="1114" t="str">
        <f t="shared" si="315"/>
        <v/>
      </c>
      <c r="V207" s="1114" t="str">
        <f t="shared" si="316"/>
        <v/>
      </c>
      <c r="W207" s="1114" t="str">
        <f t="shared" si="317"/>
        <v/>
      </c>
      <c r="X207" s="1114" t="str">
        <f t="shared" si="318"/>
        <v/>
      </c>
      <c r="Y207" s="1114" t="str">
        <f t="shared" si="319"/>
        <v/>
      </c>
      <c r="Z207" s="1114" t="str">
        <f t="shared" si="320"/>
        <v/>
      </c>
      <c r="AA207" s="1114" t="str">
        <f t="shared" si="321"/>
        <v/>
      </c>
      <c r="AB207" s="1704" t="str">
        <f t="shared" si="294"/>
        <v/>
      </c>
      <c r="AC207" s="1115" t="str">
        <f t="shared" si="322"/>
        <v/>
      </c>
      <c r="AE207" s="985"/>
    </row>
    <row r="208" spans="1:33" s="130" customFormat="1" ht="13.9" customHeight="1" x14ac:dyDescent="0.25">
      <c r="A208" s="846">
        <f>Chem!A208</f>
        <v>206</v>
      </c>
      <c r="B208" s="856" t="str">
        <f>Chem!B208</f>
        <v>n-Propylbenzene</v>
      </c>
      <c r="C208" s="394" t="s">
        <v>232</v>
      </c>
      <c r="D208" s="338" t="s">
        <v>232</v>
      </c>
      <c r="E208" s="394" t="s">
        <v>232</v>
      </c>
      <c r="F208" s="394" t="s">
        <v>232</v>
      </c>
      <c r="G208" s="552" t="s">
        <v>232</v>
      </c>
      <c r="H208" s="384" t="s">
        <v>232</v>
      </c>
      <c r="I208" s="338" t="str">
        <f t="shared" si="311"/>
        <v>na</v>
      </c>
      <c r="J208" s="407" t="str">
        <f>'GW-Eq'!I208</f>
        <v>na</v>
      </c>
      <c r="K208" s="407" t="str">
        <f t="shared" si="312"/>
        <v>na</v>
      </c>
      <c r="L208" s="407" t="str">
        <f t="shared" si="280"/>
        <v>na</v>
      </c>
      <c r="M208" s="407" t="str">
        <f t="shared" si="281"/>
        <v>na</v>
      </c>
      <c r="N208" s="217" t="str">
        <f>'GW-Eq'!J208</f>
        <v>na</v>
      </c>
      <c r="O208" s="217" t="str">
        <f t="shared" si="313"/>
        <v>na</v>
      </c>
      <c r="P208" s="217" t="str">
        <f t="shared" si="283"/>
        <v>na</v>
      </c>
      <c r="Q208" s="217" t="str">
        <f t="shared" si="284"/>
        <v>na</v>
      </c>
      <c r="R208" s="1056" t="str">
        <f t="shared" si="285"/>
        <v>na</v>
      </c>
      <c r="T208" s="1113" t="str">
        <f t="shared" si="314"/>
        <v/>
      </c>
      <c r="U208" s="1114" t="str">
        <f t="shared" si="315"/>
        <v/>
      </c>
      <c r="V208" s="1114" t="str">
        <f t="shared" si="316"/>
        <v/>
      </c>
      <c r="W208" s="1114" t="str">
        <f t="shared" si="317"/>
        <v/>
      </c>
      <c r="X208" s="1114" t="str">
        <f t="shared" si="318"/>
        <v/>
      </c>
      <c r="Y208" s="1114" t="str">
        <f t="shared" si="319"/>
        <v/>
      </c>
      <c r="Z208" s="1114" t="str">
        <f t="shared" si="320"/>
        <v/>
      </c>
      <c r="AA208" s="1114" t="str">
        <f t="shared" si="321"/>
        <v/>
      </c>
      <c r="AB208" s="1704" t="str">
        <f t="shared" si="294"/>
        <v/>
      </c>
      <c r="AC208" s="1115" t="str">
        <f t="shared" si="322"/>
        <v/>
      </c>
      <c r="AE208" s="985"/>
    </row>
    <row r="209" spans="1:33" s="130" customFormat="1" ht="13.9" customHeight="1" x14ac:dyDescent="0.25">
      <c r="A209" s="846">
        <f>Chem!A209</f>
        <v>207</v>
      </c>
      <c r="B209" s="856" t="str">
        <f>Chem!B209</f>
        <v>Styrene</v>
      </c>
      <c r="C209" s="394" t="s">
        <v>232</v>
      </c>
      <c r="D209" s="338" t="s">
        <v>232</v>
      </c>
      <c r="E209" s="394" t="s">
        <v>232</v>
      </c>
      <c r="F209" s="394" t="s">
        <v>232</v>
      </c>
      <c r="G209" s="552" t="s">
        <v>232</v>
      </c>
      <c r="H209" s="384" t="s">
        <v>232</v>
      </c>
      <c r="I209" s="338" t="str">
        <f t="shared" si="311"/>
        <v>na</v>
      </c>
      <c r="J209" s="407" t="str">
        <f>'GW-Eq'!I209</f>
        <v>na</v>
      </c>
      <c r="K209" s="407" t="str">
        <f t="shared" si="312"/>
        <v>na</v>
      </c>
      <c r="L209" s="407" t="str">
        <f t="shared" si="280"/>
        <v>na</v>
      </c>
      <c r="M209" s="407" t="str">
        <f t="shared" si="281"/>
        <v>na</v>
      </c>
      <c r="N209" s="217" t="str">
        <f>'GW-Eq'!J209</f>
        <v>na</v>
      </c>
      <c r="O209" s="217" t="str">
        <f t="shared" si="313"/>
        <v>na</v>
      </c>
      <c r="P209" s="217" t="str">
        <f t="shared" si="283"/>
        <v>na</v>
      </c>
      <c r="Q209" s="217" t="str">
        <f t="shared" si="284"/>
        <v>na</v>
      </c>
      <c r="R209" s="1056" t="str">
        <f t="shared" si="285"/>
        <v>na</v>
      </c>
      <c r="T209" s="1113" t="str">
        <f t="shared" si="314"/>
        <v/>
      </c>
      <c r="U209" s="1114" t="str">
        <f t="shared" si="315"/>
        <v/>
      </c>
      <c r="V209" s="1114" t="str">
        <f t="shared" si="316"/>
        <v/>
      </c>
      <c r="W209" s="1114" t="str">
        <f t="shared" si="317"/>
        <v/>
      </c>
      <c r="X209" s="1114" t="str">
        <f t="shared" si="318"/>
        <v/>
      </c>
      <c r="Y209" s="1114" t="str">
        <f t="shared" si="319"/>
        <v/>
      </c>
      <c r="Z209" s="1114" t="str">
        <f t="shared" si="320"/>
        <v/>
      </c>
      <c r="AA209" s="1114" t="str">
        <f t="shared" si="321"/>
        <v/>
      </c>
      <c r="AB209" s="1704" t="str">
        <f t="shared" si="294"/>
        <v/>
      </c>
      <c r="AC209" s="1115" t="str">
        <f t="shared" si="322"/>
        <v/>
      </c>
      <c r="AE209" s="985"/>
    </row>
    <row r="210" spans="1:33" s="130" customFormat="1" ht="13.9" customHeight="1" x14ac:dyDescent="0.25">
      <c r="A210" s="846">
        <f>Chem!A210</f>
        <v>208</v>
      </c>
      <c r="B210" s="856" t="str">
        <f>Chem!B210</f>
        <v>1,1,1,2-Tetrachloroethane</v>
      </c>
      <c r="C210" s="394" t="s">
        <v>232</v>
      </c>
      <c r="D210" s="338" t="s">
        <v>232</v>
      </c>
      <c r="E210" s="394" t="s">
        <v>232</v>
      </c>
      <c r="F210" s="394" t="s">
        <v>232</v>
      </c>
      <c r="G210" s="552" t="s">
        <v>232</v>
      </c>
      <c r="H210" s="384" t="s">
        <v>232</v>
      </c>
      <c r="I210" s="338" t="str">
        <f t="shared" si="311"/>
        <v>na</v>
      </c>
      <c r="J210" s="407" t="str">
        <f>'GW-Eq'!I210</f>
        <v>na</v>
      </c>
      <c r="K210" s="407" t="str">
        <f t="shared" si="312"/>
        <v>na</v>
      </c>
      <c r="L210" s="407" t="str">
        <f t="shared" si="280"/>
        <v>na</v>
      </c>
      <c r="M210" s="407" t="str">
        <f t="shared" si="281"/>
        <v>na</v>
      </c>
      <c r="N210" s="217" t="str">
        <f>'GW-Eq'!J210</f>
        <v>na</v>
      </c>
      <c r="O210" s="217" t="str">
        <f t="shared" si="313"/>
        <v>na</v>
      </c>
      <c r="P210" s="217" t="str">
        <f t="shared" si="283"/>
        <v>na</v>
      </c>
      <c r="Q210" s="217" t="str">
        <f t="shared" si="284"/>
        <v>na</v>
      </c>
      <c r="R210" s="1056" t="str">
        <f t="shared" si="285"/>
        <v>na</v>
      </c>
      <c r="T210" s="1113" t="str">
        <f t="shared" si="314"/>
        <v/>
      </c>
      <c r="U210" s="1114" t="str">
        <f t="shared" si="315"/>
        <v/>
      </c>
      <c r="V210" s="1114" t="str">
        <f t="shared" si="316"/>
        <v/>
      </c>
      <c r="W210" s="1114" t="str">
        <f t="shared" si="317"/>
        <v/>
      </c>
      <c r="X210" s="1114" t="str">
        <f t="shared" si="318"/>
        <v/>
      </c>
      <c r="Y210" s="1114" t="str">
        <f t="shared" si="319"/>
        <v/>
      </c>
      <c r="Z210" s="1114" t="str">
        <f t="shared" si="320"/>
        <v/>
      </c>
      <c r="AA210" s="1114" t="str">
        <f t="shared" si="321"/>
        <v/>
      </c>
      <c r="AB210" s="1704" t="str">
        <f t="shared" si="294"/>
        <v/>
      </c>
      <c r="AC210" s="1115" t="str">
        <f t="shared" si="322"/>
        <v/>
      </c>
      <c r="AE210" s="985"/>
    </row>
    <row r="211" spans="1:33" s="130" customFormat="1" ht="13.9" customHeight="1" x14ac:dyDescent="0.25">
      <c r="A211" s="846">
        <f>Chem!A211</f>
        <v>209</v>
      </c>
      <c r="B211" s="856" t="str">
        <f>Chem!B211</f>
        <v>1,1,2,2-Tetrachloroethane</v>
      </c>
      <c r="C211" s="394" t="s">
        <v>232</v>
      </c>
      <c r="D211" s="338" t="s">
        <v>232</v>
      </c>
      <c r="E211" s="394">
        <v>0.3</v>
      </c>
      <c r="F211" s="394">
        <v>0.3</v>
      </c>
      <c r="G211" s="552">
        <v>3</v>
      </c>
      <c r="H211" s="384" t="s">
        <v>232</v>
      </c>
      <c r="I211" s="338">
        <f t="shared" si="311"/>
        <v>0.3</v>
      </c>
      <c r="J211" s="407">
        <f>'GW-Eq'!I211</f>
        <v>2871.7948717948721</v>
      </c>
      <c r="K211" s="407">
        <f t="shared" si="312"/>
        <v>1.0446428571428571E-4</v>
      </c>
      <c r="L211" s="407" t="str">
        <f t="shared" si="280"/>
        <v>no</v>
      </c>
      <c r="M211" s="407">
        <f t="shared" si="281"/>
        <v>0.3</v>
      </c>
      <c r="N211" s="217">
        <f>'GW-Eq'!J211</f>
        <v>1.7948717948717945</v>
      </c>
      <c r="O211" s="217">
        <f t="shared" si="313"/>
        <v>0.16714285714285718</v>
      </c>
      <c r="P211" s="217" t="str">
        <f t="shared" si="283"/>
        <v>no</v>
      </c>
      <c r="Q211" s="217">
        <f t="shared" si="284"/>
        <v>0.3</v>
      </c>
      <c r="R211" s="1056">
        <f t="shared" si="285"/>
        <v>0.3</v>
      </c>
      <c r="T211" s="1113" t="str">
        <f t="shared" si="314"/>
        <v/>
      </c>
      <c r="U211" s="1114" t="str">
        <f t="shared" si="315"/>
        <v/>
      </c>
      <c r="V211" s="1114" t="str">
        <f t="shared" si="316"/>
        <v>X</v>
      </c>
      <c r="W211" s="1114" t="str">
        <f t="shared" si="317"/>
        <v>X</v>
      </c>
      <c r="X211" s="1114" t="str">
        <f t="shared" si="318"/>
        <v/>
      </c>
      <c r="Y211" s="1114" t="str">
        <f t="shared" si="319"/>
        <v/>
      </c>
      <c r="Z211" s="1114" t="str">
        <f t="shared" si="320"/>
        <v/>
      </c>
      <c r="AA211" s="1114" t="str">
        <f t="shared" si="321"/>
        <v/>
      </c>
      <c r="AB211" s="1704" t="str">
        <f t="shared" ref="AB211:AB228" si="358">IF(R211="na","",IF(AND(L211="YES",R211=J211),"X",""))</f>
        <v/>
      </c>
      <c r="AC211" s="1115" t="str">
        <f t="shared" si="322"/>
        <v/>
      </c>
      <c r="AE211" s="985"/>
      <c r="AG211" s="130" t="str">
        <f>IF(R211=J211,"X","")</f>
        <v/>
      </c>
    </row>
    <row r="212" spans="1:33" s="130" customFormat="1" ht="13.9" customHeight="1" x14ac:dyDescent="0.25">
      <c r="A212" s="846">
        <f>Chem!A212</f>
        <v>210</v>
      </c>
      <c r="B212" s="856" t="str">
        <f>Chem!B212</f>
        <v>Tetrachloroethylene (PCE)</v>
      </c>
      <c r="C212" s="394" t="s">
        <v>232</v>
      </c>
      <c r="D212" s="338" t="s">
        <v>232</v>
      </c>
      <c r="E212" s="394">
        <v>2.9</v>
      </c>
      <c r="F212" s="394">
        <v>2.9</v>
      </c>
      <c r="G212" s="552">
        <v>29</v>
      </c>
      <c r="H212" s="384" t="s">
        <v>232</v>
      </c>
      <c r="I212" s="338">
        <f t="shared" si="311"/>
        <v>2.9</v>
      </c>
      <c r="J212" s="407">
        <f>'GW-Eq'!I212</f>
        <v>138.95781637717121</v>
      </c>
      <c r="K212" s="407">
        <f t="shared" si="312"/>
        <v>2.0869642857142857E-2</v>
      </c>
      <c r="L212" s="407" t="str">
        <f t="shared" si="280"/>
        <v>no</v>
      </c>
      <c r="M212" s="407">
        <f t="shared" si="281"/>
        <v>2.9</v>
      </c>
      <c r="N212" s="217">
        <f>'GW-Eq'!J212</f>
        <v>27.570995312930794</v>
      </c>
      <c r="O212" s="217">
        <f t="shared" si="313"/>
        <v>0.10518300000000001</v>
      </c>
      <c r="P212" s="217" t="str">
        <f t="shared" si="283"/>
        <v>no</v>
      </c>
      <c r="Q212" s="217">
        <f t="shared" si="284"/>
        <v>2.9</v>
      </c>
      <c r="R212" s="1056">
        <f t="shared" si="285"/>
        <v>2.9</v>
      </c>
      <c r="T212" s="1113" t="str">
        <f t="shared" si="314"/>
        <v/>
      </c>
      <c r="U212" s="1114" t="str">
        <f t="shared" si="315"/>
        <v/>
      </c>
      <c r="V212" s="1114" t="str">
        <f t="shared" si="316"/>
        <v>X</v>
      </c>
      <c r="W212" s="1114" t="str">
        <f t="shared" si="317"/>
        <v>X</v>
      </c>
      <c r="X212" s="1114" t="str">
        <f t="shared" si="318"/>
        <v/>
      </c>
      <c r="Y212" s="1114" t="str">
        <f t="shared" si="319"/>
        <v/>
      </c>
      <c r="Z212" s="1114" t="str">
        <f t="shared" si="320"/>
        <v/>
      </c>
      <c r="AA212" s="1114" t="str">
        <f t="shared" si="321"/>
        <v/>
      </c>
      <c r="AB212" s="1704" t="str">
        <f t="shared" si="358"/>
        <v/>
      </c>
      <c r="AC212" s="1115" t="str">
        <f t="shared" si="322"/>
        <v/>
      </c>
      <c r="AE212" s="985"/>
      <c r="AG212" s="130" t="str">
        <f>IF(R212=J212,"X","")</f>
        <v/>
      </c>
    </row>
    <row r="213" spans="1:33" s="130" customFormat="1" ht="13.9" customHeight="1" x14ac:dyDescent="0.25">
      <c r="A213" s="846">
        <f>Chem!A213</f>
        <v>211</v>
      </c>
      <c r="B213" s="856" t="str">
        <f>Chem!B213</f>
        <v>Tetrahydrofuran</v>
      </c>
      <c r="C213" s="394" t="s">
        <v>232</v>
      </c>
      <c r="D213" s="338" t="s">
        <v>232</v>
      </c>
      <c r="E213" s="394" t="s">
        <v>232</v>
      </c>
      <c r="F213" s="394" t="s">
        <v>232</v>
      </c>
      <c r="G213" s="557" t="s">
        <v>232</v>
      </c>
      <c r="H213" s="384" t="s">
        <v>232</v>
      </c>
      <c r="I213" s="338" t="str">
        <f t="shared" ref="I213" si="359">IF(MIN(C213:H213)=0,"na",(MIN(C213:H213)))</f>
        <v>na</v>
      </c>
      <c r="J213" s="407" t="str">
        <f>'GW-Eq'!I213</f>
        <v>na</v>
      </c>
      <c r="K213" s="407" t="str">
        <f t="shared" ref="K213" si="360">IF(I213="na","na",IF(J213="na","na",I213/J213))</f>
        <v>na</v>
      </c>
      <c r="L213" s="407" t="str">
        <f t="shared" ref="L213" si="361">IF(K213="na","na",IF(K213&gt;1,"YES","no"))</f>
        <v>na</v>
      </c>
      <c r="M213" s="407" t="str">
        <f t="shared" ref="M213" si="362">IF(L213="YES",J213,IF(ISNUMBER(I213),I213,J213))</f>
        <v>na</v>
      </c>
      <c r="N213" s="217" t="str">
        <f>'GW-Eq'!J213</f>
        <v>na</v>
      </c>
      <c r="O213" s="217" t="str">
        <f t="shared" ref="O213" si="363">IF(I213="na","na",IF(N213="na","na",I213/N213))</f>
        <v>na</v>
      </c>
      <c r="P213" s="217" t="str">
        <f t="shared" ref="P213" si="364">IF(O213="na","na",IF(O213&gt;10,"YES","no"))</f>
        <v>na</v>
      </c>
      <c r="Q213" s="217" t="str">
        <f t="shared" ref="Q213" si="365">IF(P213="YES",10*N213,IF(P213="no",I213,N213))</f>
        <v>na</v>
      </c>
      <c r="R213" s="1056" t="str">
        <f t="shared" si="285"/>
        <v>na</v>
      </c>
      <c r="T213" s="1113" t="str">
        <f t="shared" ref="T213" si="366">IF($R213="na","",IF($R213=C213,"X",""))</f>
        <v/>
      </c>
      <c r="U213" s="1114" t="str">
        <f t="shared" ref="U213" si="367">IF($R213="na","",IF($R213=D213,"X",""))</f>
        <v/>
      </c>
      <c r="V213" s="1114" t="str">
        <f t="shared" ref="V213" si="368">IF($R213="na","",IF($R213=E213,"X",""))</f>
        <v/>
      </c>
      <c r="W213" s="1114" t="str">
        <f t="shared" ref="W213" si="369">IF($R213="na","",IF($R213=F213,"X",""))</f>
        <v/>
      </c>
      <c r="X213" s="1114" t="str">
        <f t="shared" ref="X213" si="370">IF($R213="na","",IF($R213=G213,"X",""))</f>
        <v/>
      </c>
      <c r="Y213" s="1114" t="str">
        <f t="shared" ref="Y213" si="371">IF($R213="na","",IF($R213=H213,"X",""))</f>
        <v/>
      </c>
      <c r="Z213" s="1114" t="str">
        <f t="shared" ref="Z213" si="372">IF($R213="na","",IF($R213=J213,"X",""))</f>
        <v/>
      </c>
      <c r="AA213" s="1114" t="str">
        <f t="shared" ref="AA213" si="373">IF($R213="na","",IF($R213=N213,"X",""))</f>
        <v/>
      </c>
      <c r="AB213" s="1704" t="str">
        <f t="shared" si="358"/>
        <v/>
      </c>
      <c r="AC213" s="1115" t="str">
        <f t="shared" ref="AC213" si="374">IF(OR($R213="na",N213="na"),"",IF($R213=10*N213,"X",""))</f>
        <v/>
      </c>
      <c r="AE213" s="985"/>
    </row>
    <row r="214" spans="1:33" s="130" customFormat="1" ht="13.9" customHeight="1" x14ac:dyDescent="0.25">
      <c r="A214" s="846">
        <f>Chem!A214</f>
        <v>212</v>
      </c>
      <c r="B214" s="856" t="str">
        <f>Chem!B214</f>
        <v>Toluene</v>
      </c>
      <c r="C214" s="394" t="s">
        <v>232</v>
      </c>
      <c r="D214" s="338" t="s">
        <v>232</v>
      </c>
      <c r="E214" s="394">
        <v>130</v>
      </c>
      <c r="F214" s="394">
        <v>130</v>
      </c>
      <c r="G214" s="552">
        <v>520</v>
      </c>
      <c r="H214" s="384">
        <v>102</v>
      </c>
      <c r="I214" s="338">
        <f t="shared" ref="I214:I239" si="375">IF(MIN(C214:H214)=0,"na",(MIN(C214:H214)))</f>
        <v>102</v>
      </c>
      <c r="J214" s="407">
        <f>'GW-Eq'!I214</f>
        <v>5367.8408818595735</v>
      </c>
      <c r="K214" s="407">
        <f t="shared" si="312"/>
        <v>1.9002053571428573E-2</v>
      </c>
      <c r="L214" s="407" t="str">
        <f t="shared" si="280"/>
        <v>no</v>
      </c>
      <c r="M214" s="407">
        <f t="shared" si="281"/>
        <v>102</v>
      </c>
      <c r="N214" s="217" t="str">
        <f>'GW-Eq'!J214</f>
        <v>na</v>
      </c>
      <c r="O214" s="217" t="str">
        <f t="shared" si="313"/>
        <v>na</v>
      </c>
      <c r="P214" s="217" t="str">
        <f t="shared" si="283"/>
        <v>na</v>
      </c>
      <c r="Q214" s="217" t="str">
        <f t="shared" si="284"/>
        <v>na</v>
      </c>
      <c r="R214" s="1056">
        <f t="shared" si="285"/>
        <v>102</v>
      </c>
      <c r="T214" s="1113" t="str">
        <f t="shared" ref="T214:T228" si="376">IF($R214="na","",IF($R214=C214,"X",""))</f>
        <v/>
      </c>
      <c r="U214" s="1114" t="str">
        <f t="shared" ref="U214:U228" si="377">IF($R214="na","",IF($R214=D214,"X",""))</f>
        <v/>
      </c>
      <c r="V214" s="1114" t="str">
        <f t="shared" si="316"/>
        <v/>
      </c>
      <c r="W214" s="1114" t="str">
        <f t="shared" si="317"/>
        <v/>
      </c>
      <c r="X214" s="1114" t="str">
        <f t="shared" si="318"/>
        <v/>
      </c>
      <c r="Y214" s="1114" t="str">
        <f t="shared" si="319"/>
        <v>X</v>
      </c>
      <c r="Z214" s="1114" t="str">
        <f t="shared" si="320"/>
        <v/>
      </c>
      <c r="AA214" s="1114" t="str">
        <f t="shared" si="321"/>
        <v/>
      </c>
      <c r="AB214" s="1704" t="str">
        <f t="shared" si="358"/>
        <v/>
      </c>
      <c r="AC214" s="1115" t="str">
        <f t="shared" si="322"/>
        <v/>
      </c>
      <c r="AE214" s="985"/>
      <c r="AG214" s="130" t="str">
        <f>IF(R214=J214,"X","")</f>
        <v/>
      </c>
    </row>
    <row r="215" spans="1:33" s="130" customFormat="1" ht="13.9" customHeight="1" x14ac:dyDescent="0.25">
      <c r="A215" s="846">
        <f>Chem!A215</f>
        <v>213</v>
      </c>
      <c r="B215" s="856" t="str">
        <f>Chem!B215</f>
        <v>1,2,3-Trichlorobenzene</v>
      </c>
      <c r="C215" s="394" t="s">
        <v>232</v>
      </c>
      <c r="D215" s="338" t="s">
        <v>232</v>
      </c>
      <c r="E215" s="394" t="s">
        <v>232</v>
      </c>
      <c r="F215" s="394" t="s">
        <v>232</v>
      </c>
      <c r="G215" s="552" t="s">
        <v>232</v>
      </c>
      <c r="H215" s="384" t="s">
        <v>232</v>
      </c>
      <c r="I215" s="338" t="str">
        <f t="shared" si="375"/>
        <v>na</v>
      </c>
      <c r="J215" s="407" t="str">
        <f>'GW-Eq'!I215</f>
        <v>na</v>
      </c>
      <c r="K215" s="407" t="str">
        <f t="shared" si="312"/>
        <v>na</v>
      </c>
      <c r="L215" s="407" t="str">
        <f t="shared" si="280"/>
        <v>na</v>
      </c>
      <c r="M215" s="407" t="str">
        <f t="shared" si="281"/>
        <v>na</v>
      </c>
      <c r="N215" s="217" t="str">
        <f>'GW-Eq'!J215</f>
        <v>na</v>
      </c>
      <c r="O215" s="217" t="str">
        <f t="shared" si="313"/>
        <v>na</v>
      </c>
      <c r="P215" s="217" t="str">
        <f t="shared" si="283"/>
        <v>na</v>
      </c>
      <c r="Q215" s="217" t="str">
        <f t="shared" si="284"/>
        <v>na</v>
      </c>
      <c r="R215" s="1056" t="str">
        <f t="shared" si="285"/>
        <v>na</v>
      </c>
      <c r="T215" s="1113" t="str">
        <f t="shared" si="376"/>
        <v/>
      </c>
      <c r="U215" s="1114" t="str">
        <f t="shared" si="377"/>
        <v/>
      </c>
      <c r="V215" s="1114" t="str">
        <f t="shared" ref="V215:V228" si="378">IF($R215="na","",IF($R215=E215,"X",""))</f>
        <v/>
      </c>
      <c r="W215" s="1114" t="str">
        <f t="shared" ref="W215:W228" si="379">IF($R215="na","",IF($R215=F215,"X",""))</f>
        <v/>
      </c>
      <c r="X215" s="1114" t="str">
        <f t="shared" ref="X215:X228" si="380">IF($R215="na","",IF($R215=G215,"X",""))</f>
        <v/>
      </c>
      <c r="Y215" s="1114" t="str">
        <f t="shared" ref="Y215:Y228" si="381">IF($R215="na","",IF($R215=H215,"X",""))</f>
        <v/>
      </c>
      <c r="Z215" s="1114" t="str">
        <f t="shared" ref="Z215:Z228" si="382">IF($R215="na","",IF($R215=J215,"X",""))</f>
        <v/>
      </c>
      <c r="AA215" s="1114" t="str">
        <f t="shared" ref="AA215:AA228" si="383">IF($R215="na","",IF($R215=N215,"X",""))</f>
        <v/>
      </c>
      <c r="AB215" s="1704" t="str">
        <f t="shared" si="358"/>
        <v/>
      </c>
      <c r="AC215" s="1115" t="str">
        <f t="shared" ref="AC215:AC228" si="384">IF(OR($R215="na",N215="na"),"",IF($R215=10*N215,"X",""))</f>
        <v/>
      </c>
      <c r="AE215" s="985"/>
    </row>
    <row r="216" spans="1:33" s="130" customFormat="1" ht="13.9" customHeight="1" x14ac:dyDescent="0.25">
      <c r="A216" s="846">
        <f>Chem!A216</f>
        <v>214</v>
      </c>
      <c r="B216" s="856" t="str">
        <f>Chem!B216</f>
        <v>1,1,1-Trichloroethane</v>
      </c>
      <c r="C216" s="394" t="s">
        <v>232</v>
      </c>
      <c r="D216" s="338" t="s">
        <v>232</v>
      </c>
      <c r="E216" s="394">
        <v>50000</v>
      </c>
      <c r="F216" s="394">
        <v>50000</v>
      </c>
      <c r="G216" s="552">
        <v>200000</v>
      </c>
      <c r="H216" s="384" t="s">
        <v>232</v>
      </c>
      <c r="I216" s="338">
        <f t="shared" si="375"/>
        <v>50000</v>
      </c>
      <c r="J216" s="407">
        <f>'GW-Eq'!I216</f>
        <v>256410.25641025644</v>
      </c>
      <c r="K216" s="407">
        <f t="shared" ref="K216:K228" si="385">IF(I216="na","na",IF(J216="na","na",I216/J216))</f>
        <v>0.19499999999999998</v>
      </c>
      <c r="L216" s="407" t="str">
        <f t="shared" ref="L216:L228" si="386">IF(K216="na","na",IF(K216&gt;1,"YES","no"))</f>
        <v>no</v>
      </c>
      <c r="M216" s="407">
        <f t="shared" ref="M216:M228" si="387">IF(L216="YES",J216,IF(ISNUMBER(I216),I216,J216))</f>
        <v>50000</v>
      </c>
      <c r="N216" s="217" t="str">
        <f>'GW-Eq'!J216</f>
        <v>na</v>
      </c>
      <c r="O216" s="217" t="str">
        <f t="shared" ref="O216:O228" si="388">IF(I216="na","na",IF(N216="na","na",I216/N216))</f>
        <v>na</v>
      </c>
      <c r="P216" s="217" t="str">
        <f t="shared" ref="P216:P228" si="389">IF(O216="na","na",IF(O216&gt;10,"YES","no"))</f>
        <v>na</v>
      </c>
      <c r="Q216" s="217" t="str">
        <f t="shared" ref="Q216:Q228" si="390">IF(P216="YES",10*N216,IF(P216="no",I216,N216))</f>
        <v>na</v>
      </c>
      <c r="R216" s="1056">
        <f t="shared" ref="R216:R239" si="391">IF(MIN($M216,$Q216,$H216)=0,"na",MIN($M216,$Q216,$H216))</f>
        <v>50000</v>
      </c>
      <c r="T216" s="1113" t="str">
        <f t="shared" si="376"/>
        <v/>
      </c>
      <c r="U216" s="1114" t="str">
        <f t="shared" si="377"/>
        <v/>
      </c>
      <c r="V216" s="1114" t="str">
        <f t="shared" si="378"/>
        <v>X</v>
      </c>
      <c r="W216" s="1114" t="str">
        <f t="shared" si="379"/>
        <v>X</v>
      </c>
      <c r="X216" s="1114" t="str">
        <f t="shared" si="380"/>
        <v/>
      </c>
      <c r="Y216" s="1114" t="str">
        <f t="shared" si="381"/>
        <v/>
      </c>
      <c r="Z216" s="1114" t="str">
        <f t="shared" si="382"/>
        <v/>
      </c>
      <c r="AA216" s="1114" t="str">
        <f t="shared" si="383"/>
        <v/>
      </c>
      <c r="AB216" s="1704" t="str">
        <f t="shared" si="358"/>
        <v/>
      </c>
      <c r="AC216" s="1115" t="str">
        <f t="shared" si="384"/>
        <v/>
      </c>
      <c r="AE216" s="985"/>
      <c r="AG216" s="130" t="str">
        <f>IF(R216=J216,"X","")</f>
        <v/>
      </c>
    </row>
    <row r="217" spans="1:33" s="130" customFormat="1" ht="13.9" customHeight="1" x14ac:dyDescent="0.25">
      <c r="A217" s="846">
        <f>Chem!A217</f>
        <v>215</v>
      </c>
      <c r="B217" s="856" t="str">
        <f>Chem!B217</f>
        <v>1,1,2-Trichloroethane</v>
      </c>
      <c r="C217" s="394" t="s">
        <v>232</v>
      </c>
      <c r="D217" s="338" t="s">
        <v>232</v>
      </c>
      <c r="E217" s="394">
        <v>0.9</v>
      </c>
      <c r="F217" s="394">
        <v>0.9</v>
      </c>
      <c r="G217" s="552">
        <v>8.9</v>
      </c>
      <c r="H217" s="384" t="s">
        <v>232</v>
      </c>
      <c r="I217" s="338">
        <f t="shared" si="375"/>
        <v>0.9</v>
      </c>
      <c r="J217" s="407">
        <f>'GW-Eq'!I217</f>
        <v>638.17663817663822</v>
      </c>
      <c r="K217" s="407">
        <f t="shared" si="385"/>
        <v>1.4102678571428571E-3</v>
      </c>
      <c r="L217" s="407" t="str">
        <f t="shared" si="386"/>
        <v>no</v>
      </c>
      <c r="M217" s="407">
        <f t="shared" si="387"/>
        <v>0.9</v>
      </c>
      <c r="N217" s="217">
        <f>'GW-Eq'!J217</f>
        <v>6.997550857199978</v>
      </c>
      <c r="O217" s="217">
        <f t="shared" si="388"/>
        <v>0.1286164285714286</v>
      </c>
      <c r="P217" s="217" t="str">
        <f t="shared" si="389"/>
        <v>no</v>
      </c>
      <c r="Q217" s="217">
        <f t="shared" si="390"/>
        <v>0.9</v>
      </c>
      <c r="R217" s="1056">
        <f t="shared" si="391"/>
        <v>0.9</v>
      </c>
      <c r="T217" s="1113" t="str">
        <f t="shared" si="376"/>
        <v/>
      </c>
      <c r="U217" s="1114" t="str">
        <f t="shared" si="377"/>
        <v/>
      </c>
      <c r="V217" s="1114" t="str">
        <f t="shared" si="378"/>
        <v>X</v>
      </c>
      <c r="W217" s="1114" t="str">
        <f t="shared" si="379"/>
        <v>X</v>
      </c>
      <c r="X217" s="1114" t="str">
        <f t="shared" si="380"/>
        <v/>
      </c>
      <c r="Y217" s="1114" t="str">
        <f t="shared" si="381"/>
        <v/>
      </c>
      <c r="Z217" s="1114" t="str">
        <f t="shared" si="382"/>
        <v/>
      </c>
      <c r="AA217" s="1114" t="str">
        <f t="shared" si="383"/>
        <v/>
      </c>
      <c r="AB217" s="1704" t="str">
        <f t="shared" si="358"/>
        <v/>
      </c>
      <c r="AC217" s="1115" t="str">
        <f t="shared" si="384"/>
        <v/>
      </c>
      <c r="AE217" s="985"/>
      <c r="AG217" s="130" t="str">
        <f>IF(R217=J217,"X","")</f>
        <v/>
      </c>
    </row>
    <row r="218" spans="1:33" s="130" customFormat="1" ht="13.9" customHeight="1" x14ac:dyDescent="0.25">
      <c r="A218" s="846">
        <f>Chem!A218</f>
        <v>216</v>
      </c>
      <c r="B218" s="856" t="str">
        <f>Chem!B218</f>
        <v>Trichloroethylene (TCE)</v>
      </c>
      <c r="C218" s="394" t="s">
        <v>232</v>
      </c>
      <c r="D218" s="338" t="s">
        <v>232</v>
      </c>
      <c r="E218" s="394">
        <v>0.7</v>
      </c>
      <c r="F218" s="394">
        <v>0.7</v>
      </c>
      <c r="G218" s="552">
        <v>7</v>
      </c>
      <c r="H218" s="384">
        <v>194</v>
      </c>
      <c r="I218" s="338">
        <f t="shared" si="375"/>
        <v>0.7</v>
      </c>
      <c r="J218" s="407">
        <f>'GW-Eq'!I218</f>
        <v>32.634032634032636</v>
      </c>
      <c r="K218" s="407">
        <f t="shared" si="385"/>
        <v>2.1449999999999997E-2</v>
      </c>
      <c r="L218" s="407" t="str">
        <f t="shared" si="386"/>
        <v>no</v>
      </c>
      <c r="M218" s="407">
        <f t="shared" si="387"/>
        <v>0.7</v>
      </c>
      <c r="N218" s="217">
        <f>'GW-Eq'!J218</f>
        <v>1.3569230769230771</v>
      </c>
      <c r="O218" s="217">
        <f t="shared" si="388"/>
        <v>0.51587301587301582</v>
      </c>
      <c r="P218" s="217" t="str">
        <f t="shared" si="389"/>
        <v>no</v>
      </c>
      <c r="Q218" s="217">
        <f t="shared" si="390"/>
        <v>0.7</v>
      </c>
      <c r="R218" s="1056">
        <f t="shared" si="391"/>
        <v>0.7</v>
      </c>
      <c r="T218" s="1113" t="str">
        <f t="shared" si="376"/>
        <v/>
      </c>
      <c r="U218" s="1114" t="str">
        <f t="shared" si="377"/>
        <v/>
      </c>
      <c r="V218" s="1114" t="str">
        <f t="shared" si="378"/>
        <v>X</v>
      </c>
      <c r="W218" s="1114" t="str">
        <f t="shared" si="379"/>
        <v>X</v>
      </c>
      <c r="X218" s="1114" t="str">
        <f t="shared" si="380"/>
        <v/>
      </c>
      <c r="Y218" s="1114" t="str">
        <f t="shared" si="381"/>
        <v/>
      </c>
      <c r="Z218" s="1114" t="str">
        <f t="shared" si="382"/>
        <v/>
      </c>
      <c r="AA218" s="1114" t="str">
        <f t="shared" si="383"/>
        <v/>
      </c>
      <c r="AB218" s="1704" t="str">
        <f t="shared" si="358"/>
        <v/>
      </c>
      <c r="AC218" s="1115" t="str">
        <f t="shared" si="384"/>
        <v/>
      </c>
      <c r="AE218" s="985"/>
      <c r="AG218" s="130" t="str">
        <f>IF(R218=J218,"X","")</f>
        <v/>
      </c>
    </row>
    <row r="219" spans="1:33" s="130" customFormat="1" ht="13.9" customHeight="1" x14ac:dyDescent="0.25">
      <c r="A219" s="846">
        <f>Chem!A219</f>
        <v>217</v>
      </c>
      <c r="B219" s="855" t="str">
        <f>Chem!B219</f>
        <v>Trichlorofluoroethane</v>
      </c>
      <c r="C219" s="394" t="s">
        <v>232</v>
      </c>
      <c r="D219" s="338" t="s">
        <v>232</v>
      </c>
      <c r="E219" s="394" t="s">
        <v>232</v>
      </c>
      <c r="F219" s="394" t="s">
        <v>232</v>
      </c>
      <c r="G219" s="552" t="s">
        <v>232</v>
      </c>
      <c r="H219" s="384" t="s">
        <v>232</v>
      </c>
      <c r="I219" s="338" t="str">
        <f t="shared" si="375"/>
        <v>na</v>
      </c>
      <c r="J219" s="407" t="str">
        <f>'GW-Eq'!I219</f>
        <v>na</v>
      </c>
      <c r="K219" s="407" t="str">
        <f t="shared" si="385"/>
        <v>na</v>
      </c>
      <c r="L219" s="407" t="str">
        <f t="shared" si="386"/>
        <v>na</v>
      </c>
      <c r="M219" s="407" t="str">
        <f t="shared" si="387"/>
        <v>na</v>
      </c>
      <c r="N219" s="217" t="str">
        <f>'GW-Eq'!J219</f>
        <v>na</v>
      </c>
      <c r="O219" s="217" t="str">
        <f t="shared" si="388"/>
        <v>na</v>
      </c>
      <c r="P219" s="217" t="str">
        <f t="shared" si="389"/>
        <v>na</v>
      </c>
      <c r="Q219" s="217" t="str">
        <f t="shared" si="390"/>
        <v>na</v>
      </c>
      <c r="R219" s="1056" t="str">
        <f t="shared" si="391"/>
        <v>na</v>
      </c>
      <c r="T219" s="1113" t="str">
        <f t="shared" si="376"/>
        <v/>
      </c>
      <c r="U219" s="1114" t="str">
        <f t="shared" si="377"/>
        <v/>
      </c>
      <c r="V219" s="1114" t="str">
        <f t="shared" si="378"/>
        <v/>
      </c>
      <c r="W219" s="1114" t="str">
        <f t="shared" si="379"/>
        <v/>
      </c>
      <c r="X219" s="1114" t="str">
        <f t="shared" si="380"/>
        <v/>
      </c>
      <c r="Y219" s="1114" t="str">
        <f t="shared" si="381"/>
        <v/>
      </c>
      <c r="Z219" s="1114" t="str">
        <f t="shared" si="382"/>
        <v/>
      </c>
      <c r="AA219" s="1114" t="str">
        <f t="shared" si="383"/>
        <v/>
      </c>
      <c r="AB219" s="1704" t="str">
        <f t="shared" si="358"/>
        <v/>
      </c>
      <c r="AC219" s="1115" t="str">
        <f t="shared" si="384"/>
        <v/>
      </c>
      <c r="AE219" s="985"/>
    </row>
    <row r="220" spans="1:33" s="130" customFormat="1" ht="13.9" customHeight="1" x14ac:dyDescent="0.25">
      <c r="A220" s="846">
        <f>Chem!A220</f>
        <v>218</v>
      </c>
      <c r="B220" s="856" t="str">
        <f>Chem!B220</f>
        <v>Trichlorofluoromethane</v>
      </c>
      <c r="C220" s="394" t="s">
        <v>232</v>
      </c>
      <c r="D220" s="338" t="s">
        <v>232</v>
      </c>
      <c r="E220" s="394" t="s">
        <v>232</v>
      </c>
      <c r="F220" s="394" t="s">
        <v>232</v>
      </c>
      <c r="G220" s="552" t="s">
        <v>232</v>
      </c>
      <c r="H220" s="384" t="s">
        <v>232</v>
      </c>
      <c r="I220" s="338" t="str">
        <f t="shared" si="375"/>
        <v>na</v>
      </c>
      <c r="J220" s="407" t="str">
        <f>'GW-Eq'!I220</f>
        <v>na</v>
      </c>
      <c r="K220" s="407" t="str">
        <f t="shared" si="385"/>
        <v>na</v>
      </c>
      <c r="L220" s="407" t="str">
        <f t="shared" si="386"/>
        <v>na</v>
      </c>
      <c r="M220" s="407" t="str">
        <f t="shared" si="387"/>
        <v>na</v>
      </c>
      <c r="N220" s="217" t="str">
        <f>'GW-Eq'!J220</f>
        <v>na</v>
      </c>
      <c r="O220" s="217" t="str">
        <f t="shared" si="388"/>
        <v>na</v>
      </c>
      <c r="P220" s="217" t="str">
        <f t="shared" si="389"/>
        <v>na</v>
      </c>
      <c r="Q220" s="217" t="str">
        <f t="shared" si="390"/>
        <v>na</v>
      </c>
      <c r="R220" s="1056" t="str">
        <f t="shared" si="391"/>
        <v>na</v>
      </c>
      <c r="T220" s="1113" t="str">
        <f t="shared" si="376"/>
        <v/>
      </c>
      <c r="U220" s="1114" t="str">
        <f t="shared" si="377"/>
        <v/>
      </c>
      <c r="V220" s="1114" t="str">
        <f t="shared" si="378"/>
        <v/>
      </c>
      <c r="W220" s="1114" t="str">
        <f t="shared" si="379"/>
        <v/>
      </c>
      <c r="X220" s="1114" t="str">
        <f t="shared" si="380"/>
        <v/>
      </c>
      <c r="Y220" s="1114" t="str">
        <f t="shared" si="381"/>
        <v/>
      </c>
      <c r="Z220" s="1114" t="str">
        <f t="shared" si="382"/>
        <v/>
      </c>
      <c r="AA220" s="1114" t="str">
        <f t="shared" si="383"/>
        <v/>
      </c>
      <c r="AB220" s="1704" t="str">
        <f t="shared" si="358"/>
        <v/>
      </c>
      <c r="AC220" s="1115" t="str">
        <f t="shared" si="384"/>
        <v/>
      </c>
      <c r="AE220" s="985"/>
    </row>
    <row r="221" spans="1:33" s="130" customFormat="1" ht="13.9" customHeight="1" x14ac:dyDescent="0.25">
      <c r="A221" s="846">
        <f>Chem!A221</f>
        <v>219</v>
      </c>
      <c r="B221" s="856" t="str">
        <f>Chem!B221</f>
        <v>1,2,3-Trichloropropane</v>
      </c>
      <c r="C221" s="394" t="s">
        <v>232</v>
      </c>
      <c r="D221" s="338" t="s">
        <v>232</v>
      </c>
      <c r="E221" s="394" t="s">
        <v>232</v>
      </c>
      <c r="F221" s="394" t="s">
        <v>232</v>
      </c>
      <c r="G221" s="552" t="s">
        <v>232</v>
      </c>
      <c r="H221" s="384" t="s">
        <v>232</v>
      </c>
      <c r="I221" s="338" t="str">
        <f t="shared" si="375"/>
        <v>na</v>
      </c>
      <c r="J221" s="407" t="str">
        <f>'GW-Eq'!I221</f>
        <v>na</v>
      </c>
      <c r="K221" s="407" t="str">
        <f t="shared" si="385"/>
        <v>na</v>
      </c>
      <c r="L221" s="407" t="str">
        <f t="shared" si="386"/>
        <v>na</v>
      </c>
      <c r="M221" s="407" t="str">
        <f t="shared" si="387"/>
        <v>na</v>
      </c>
      <c r="N221" s="217" t="str">
        <f>'GW-Eq'!J221</f>
        <v>na</v>
      </c>
      <c r="O221" s="217" t="str">
        <f t="shared" si="388"/>
        <v>na</v>
      </c>
      <c r="P221" s="217" t="str">
        <f t="shared" si="389"/>
        <v>na</v>
      </c>
      <c r="Q221" s="217" t="str">
        <f t="shared" si="390"/>
        <v>na</v>
      </c>
      <c r="R221" s="1056" t="str">
        <f t="shared" si="391"/>
        <v>na</v>
      </c>
      <c r="T221" s="1113" t="str">
        <f t="shared" si="376"/>
        <v/>
      </c>
      <c r="U221" s="1114" t="str">
        <f t="shared" si="377"/>
        <v/>
      </c>
      <c r="V221" s="1114" t="str">
        <f t="shared" si="378"/>
        <v/>
      </c>
      <c r="W221" s="1114" t="str">
        <f t="shared" si="379"/>
        <v/>
      </c>
      <c r="X221" s="1114" t="str">
        <f t="shared" si="380"/>
        <v/>
      </c>
      <c r="Y221" s="1114" t="str">
        <f t="shared" si="381"/>
        <v/>
      </c>
      <c r="Z221" s="1114" t="str">
        <f t="shared" si="382"/>
        <v/>
      </c>
      <c r="AA221" s="1114" t="str">
        <f t="shared" si="383"/>
        <v/>
      </c>
      <c r="AB221" s="1704" t="str">
        <f t="shared" si="358"/>
        <v/>
      </c>
      <c r="AC221" s="1115" t="str">
        <f t="shared" si="384"/>
        <v/>
      </c>
      <c r="AE221" s="985"/>
    </row>
    <row r="222" spans="1:33" s="130" customFormat="1" ht="13.9" customHeight="1" x14ac:dyDescent="0.25">
      <c r="A222" s="846">
        <f>Chem!A222</f>
        <v>220</v>
      </c>
      <c r="B222" s="856" t="str">
        <f>Chem!B222</f>
        <v>Trichlorotrifluoroethane</v>
      </c>
      <c r="C222" s="394" t="s">
        <v>232</v>
      </c>
      <c r="D222" s="338" t="s">
        <v>232</v>
      </c>
      <c r="E222" s="394" t="s">
        <v>232</v>
      </c>
      <c r="F222" s="394" t="s">
        <v>232</v>
      </c>
      <c r="G222" s="552" t="s">
        <v>232</v>
      </c>
      <c r="H222" s="384" t="s">
        <v>232</v>
      </c>
      <c r="I222" s="338" t="str">
        <f t="shared" si="375"/>
        <v>na</v>
      </c>
      <c r="J222" s="407" t="str">
        <f>'GW-Eq'!I222</f>
        <v>na</v>
      </c>
      <c r="K222" s="407" t="str">
        <f t="shared" si="385"/>
        <v>na</v>
      </c>
      <c r="L222" s="407" t="str">
        <f t="shared" si="386"/>
        <v>na</v>
      </c>
      <c r="M222" s="407" t="str">
        <f t="shared" si="387"/>
        <v>na</v>
      </c>
      <c r="N222" s="217" t="str">
        <f>'GW-Eq'!J222</f>
        <v>na</v>
      </c>
      <c r="O222" s="217" t="str">
        <f t="shared" si="388"/>
        <v>na</v>
      </c>
      <c r="P222" s="217" t="str">
        <f t="shared" si="389"/>
        <v>na</v>
      </c>
      <c r="Q222" s="217" t="str">
        <f t="shared" si="390"/>
        <v>na</v>
      </c>
      <c r="R222" s="1056" t="str">
        <f t="shared" si="391"/>
        <v>na</v>
      </c>
      <c r="T222" s="1113" t="str">
        <f t="shared" si="376"/>
        <v/>
      </c>
      <c r="U222" s="1114" t="str">
        <f t="shared" si="377"/>
        <v/>
      </c>
      <c r="V222" s="1114" t="str">
        <f t="shared" si="378"/>
        <v/>
      </c>
      <c r="W222" s="1114" t="str">
        <f t="shared" si="379"/>
        <v/>
      </c>
      <c r="X222" s="1114" t="str">
        <f t="shared" si="380"/>
        <v/>
      </c>
      <c r="Y222" s="1114" t="str">
        <f t="shared" si="381"/>
        <v/>
      </c>
      <c r="Z222" s="1114" t="str">
        <f t="shared" si="382"/>
        <v/>
      </c>
      <c r="AA222" s="1114" t="str">
        <f t="shared" si="383"/>
        <v/>
      </c>
      <c r="AB222" s="1704" t="str">
        <f t="shared" si="358"/>
        <v/>
      </c>
      <c r="AC222" s="1115" t="str">
        <f t="shared" si="384"/>
        <v/>
      </c>
      <c r="AE222" s="985"/>
    </row>
    <row r="223" spans="1:33" s="130" customFormat="1" ht="13.9" customHeight="1" x14ac:dyDescent="0.25">
      <c r="A223" s="846">
        <f>Chem!A223</f>
        <v>221</v>
      </c>
      <c r="B223" s="856" t="str">
        <f>Chem!B223</f>
        <v>1,2,3-Trimethylbenzene</v>
      </c>
      <c r="C223" s="394" t="s">
        <v>232</v>
      </c>
      <c r="D223" s="338" t="s">
        <v>232</v>
      </c>
      <c r="E223" s="394" t="s">
        <v>232</v>
      </c>
      <c r="F223" s="394" t="s">
        <v>232</v>
      </c>
      <c r="G223" s="552" t="s">
        <v>232</v>
      </c>
      <c r="H223" s="384" t="s">
        <v>232</v>
      </c>
      <c r="I223" s="338" t="str">
        <f t="shared" si="375"/>
        <v>na</v>
      </c>
      <c r="J223" s="407" t="str">
        <f>'GW-Eq'!I223</f>
        <v>na</v>
      </c>
      <c r="K223" s="407" t="str">
        <f t="shared" si="385"/>
        <v>na</v>
      </c>
      <c r="L223" s="407" t="str">
        <f t="shared" si="386"/>
        <v>na</v>
      </c>
      <c r="M223" s="407" t="str">
        <f t="shared" si="387"/>
        <v>na</v>
      </c>
      <c r="N223" s="217" t="str">
        <f>'GW-Eq'!J223</f>
        <v>na</v>
      </c>
      <c r="O223" s="217" t="str">
        <f t="shared" si="388"/>
        <v>na</v>
      </c>
      <c r="P223" s="217" t="str">
        <f t="shared" si="389"/>
        <v>na</v>
      </c>
      <c r="Q223" s="217" t="str">
        <f t="shared" si="390"/>
        <v>na</v>
      </c>
      <c r="R223" s="1056" t="str">
        <f t="shared" si="391"/>
        <v>na</v>
      </c>
      <c r="T223" s="1113" t="str">
        <f t="shared" si="376"/>
        <v/>
      </c>
      <c r="U223" s="1114" t="str">
        <f t="shared" si="377"/>
        <v/>
      </c>
      <c r="V223" s="1114" t="str">
        <f t="shared" si="378"/>
        <v/>
      </c>
      <c r="W223" s="1114" t="str">
        <f t="shared" si="379"/>
        <v/>
      </c>
      <c r="X223" s="1114" t="str">
        <f t="shared" si="380"/>
        <v/>
      </c>
      <c r="Y223" s="1114" t="str">
        <f t="shared" si="381"/>
        <v/>
      </c>
      <c r="Z223" s="1114" t="str">
        <f t="shared" si="382"/>
        <v/>
      </c>
      <c r="AA223" s="1114" t="str">
        <f t="shared" si="383"/>
        <v/>
      </c>
      <c r="AB223" s="1704" t="str">
        <f t="shared" si="358"/>
        <v/>
      </c>
      <c r="AC223" s="1115" t="str">
        <f t="shared" si="384"/>
        <v/>
      </c>
      <c r="AE223" s="985"/>
    </row>
    <row r="224" spans="1:33" s="130" customFormat="1" ht="13.9" customHeight="1" x14ac:dyDescent="0.25">
      <c r="A224" s="846">
        <f>Chem!A224</f>
        <v>222</v>
      </c>
      <c r="B224" s="856" t="str">
        <f>Chem!B224</f>
        <v>1,2,4-Trimethylbenzene</v>
      </c>
      <c r="C224" s="394" t="s">
        <v>232</v>
      </c>
      <c r="D224" s="338" t="s">
        <v>232</v>
      </c>
      <c r="E224" s="394" t="s">
        <v>232</v>
      </c>
      <c r="F224" s="394" t="s">
        <v>232</v>
      </c>
      <c r="G224" s="552" t="s">
        <v>232</v>
      </c>
      <c r="H224" s="384" t="s">
        <v>232</v>
      </c>
      <c r="I224" s="338" t="str">
        <f t="shared" si="375"/>
        <v>na</v>
      </c>
      <c r="J224" s="407" t="str">
        <f>'GW-Eq'!I224</f>
        <v>na</v>
      </c>
      <c r="K224" s="407" t="str">
        <f t="shared" si="385"/>
        <v>na</v>
      </c>
      <c r="L224" s="407" t="str">
        <f t="shared" si="386"/>
        <v>na</v>
      </c>
      <c r="M224" s="407" t="str">
        <f t="shared" si="387"/>
        <v>na</v>
      </c>
      <c r="N224" s="217" t="str">
        <f>'GW-Eq'!J224</f>
        <v>na</v>
      </c>
      <c r="O224" s="217" t="str">
        <f t="shared" si="388"/>
        <v>na</v>
      </c>
      <c r="P224" s="217" t="str">
        <f t="shared" si="389"/>
        <v>na</v>
      </c>
      <c r="Q224" s="217" t="str">
        <f t="shared" si="390"/>
        <v>na</v>
      </c>
      <c r="R224" s="1056" t="str">
        <f t="shared" si="391"/>
        <v>na</v>
      </c>
      <c r="T224" s="1113" t="str">
        <f t="shared" si="376"/>
        <v/>
      </c>
      <c r="U224" s="1114" t="str">
        <f t="shared" si="377"/>
        <v/>
      </c>
      <c r="V224" s="1114" t="str">
        <f t="shared" si="378"/>
        <v/>
      </c>
      <c r="W224" s="1114" t="str">
        <f t="shared" si="379"/>
        <v/>
      </c>
      <c r="X224" s="1114" t="str">
        <f t="shared" si="380"/>
        <v/>
      </c>
      <c r="Y224" s="1114" t="str">
        <f t="shared" si="381"/>
        <v/>
      </c>
      <c r="Z224" s="1114" t="str">
        <f t="shared" si="382"/>
        <v/>
      </c>
      <c r="AA224" s="1114" t="str">
        <f t="shared" si="383"/>
        <v/>
      </c>
      <c r="AB224" s="1704" t="str">
        <f t="shared" si="358"/>
        <v/>
      </c>
      <c r="AC224" s="1115" t="str">
        <f t="shared" si="384"/>
        <v/>
      </c>
      <c r="AE224" s="985"/>
    </row>
    <row r="225" spans="1:33" s="130" customFormat="1" ht="13.9" customHeight="1" x14ac:dyDescent="0.25">
      <c r="A225" s="846">
        <f>Chem!A225</f>
        <v>223</v>
      </c>
      <c r="B225" s="856" t="str">
        <f>Chem!B225</f>
        <v>1,3,5-Trimethylbenzene</v>
      </c>
      <c r="C225" s="394" t="s">
        <v>232</v>
      </c>
      <c r="D225" s="338" t="s">
        <v>232</v>
      </c>
      <c r="E225" s="394" t="s">
        <v>232</v>
      </c>
      <c r="F225" s="394" t="s">
        <v>232</v>
      </c>
      <c r="G225" s="552" t="s">
        <v>232</v>
      </c>
      <c r="H225" s="384" t="s">
        <v>232</v>
      </c>
      <c r="I225" s="338" t="str">
        <f t="shared" si="375"/>
        <v>na</v>
      </c>
      <c r="J225" s="407" t="str">
        <f>'GW-Eq'!I225</f>
        <v>na</v>
      </c>
      <c r="K225" s="407" t="str">
        <f t="shared" si="385"/>
        <v>na</v>
      </c>
      <c r="L225" s="407" t="str">
        <f t="shared" si="386"/>
        <v>na</v>
      </c>
      <c r="M225" s="407" t="str">
        <f t="shared" si="387"/>
        <v>na</v>
      </c>
      <c r="N225" s="217" t="str">
        <f>'GW-Eq'!J225</f>
        <v>na</v>
      </c>
      <c r="O225" s="217" t="str">
        <f t="shared" si="388"/>
        <v>na</v>
      </c>
      <c r="P225" s="217" t="str">
        <f t="shared" si="389"/>
        <v>na</v>
      </c>
      <c r="Q225" s="217" t="str">
        <f t="shared" si="390"/>
        <v>na</v>
      </c>
      <c r="R225" s="1056" t="str">
        <f t="shared" si="391"/>
        <v>na</v>
      </c>
      <c r="T225" s="1113" t="str">
        <f t="shared" si="376"/>
        <v/>
      </c>
      <c r="U225" s="1114" t="str">
        <f t="shared" si="377"/>
        <v/>
      </c>
      <c r="V225" s="1114" t="str">
        <f t="shared" si="378"/>
        <v/>
      </c>
      <c r="W225" s="1114" t="str">
        <f t="shared" si="379"/>
        <v/>
      </c>
      <c r="X225" s="1114" t="str">
        <f t="shared" si="380"/>
        <v/>
      </c>
      <c r="Y225" s="1114" t="str">
        <f t="shared" si="381"/>
        <v/>
      </c>
      <c r="Z225" s="1114" t="str">
        <f t="shared" si="382"/>
        <v/>
      </c>
      <c r="AA225" s="1114" t="str">
        <f t="shared" si="383"/>
        <v/>
      </c>
      <c r="AB225" s="1704" t="str">
        <f t="shared" si="358"/>
        <v/>
      </c>
      <c r="AC225" s="1115" t="str">
        <f t="shared" si="384"/>
        <v/>
      </c>
      <c r="AE225" s="985"/>
    </row>
    <row r="226" spans="1:33" s="130" customFormat="1" ht="13.9" customHeight="1" x14ac:dyDescent="0.25">
      <c r="A226" s="846">
        <f>Chem!A226</f>
        <v>224</v>
      </c>
      <c r="B226" s="856" t="str">
        <f>Chem!B226</f>
        <v>Vinyl acetate</v>
      </c>
      <c r="C226" s="394" t="s">
        <v>232</v>
      </c>
      <c r="D226" s="338" t="s">
        <v>232</v>
      </c>
      <c r="E226" s="394" t="s">
        <v>232</v>
      </c>
      <c r="F226" s="394" t="s">
        <v>232</v>
      </c>
      <c r="G226" s="552" t="s">
        <v>232</v>
      </c>
      <c r="H226" s="384" t="s">
        <v>232</v>
      </c>
      <c r="I226" s="338" t="str">
        <f t="shared" si="375"/>
        <v>na</v>
      </c>
      <c r="J226" s="407" t="str">
        <f>'GW-Eq'!I226</f>
        <v>na</v>
      </c>
      <c r="K226" s="407" t="str">
        <f t="shared" si="385"/>
        <v>na</v>
      </c>
      <c r="L226" s="407" t="str">
        <f t="shared" si="386"/>
        <v>na</v>
      </c>
      <c r="M226" s="407" t="str">
        <f t="shared" si="387"/>
        <v>na</v>
      </c>
      <c r="N226" s="217" t="str">
        <f>'GW-Eq'!J226</f>
        <v>na</v>
      </c>
      <c r="O226" s="217" t="str">
        <f t="shared" si="388"/>
        <v>na</v>
      </c>
      <c r="P226" s="217" t="str">
        <f t="shared" si="389"/>
        <v>na</v>
      </c>
      <c r="Q226" s="217" t="str">
        <f t="shared" si="390"/>
        <v>na</v>
      </c>
      <c r="R226" s="1056" t="str">
        <f t="shared" si="391"/>
        <v>na</v>
      </c>
      <c r="T226" s="1113" t="str">
        <f t="shared" si="376"/>
        <v/>
      </c>
      <c r="U226" s="1114" t="str">
        <f t="shared" si="377"/>
        <v/>
      </c>
      <c r="V226" s="1114" t="str">
        <f t="shared" si="378"/>
        <v/>
      </c>
      <c r="W226" s="1114" t="str">
        <f t="shared" si="379"/>
        <v/>
      </c>
      <c r="X226" s="1114" t="str">
        <f t="shared" si="380"/>
        <v/>
      </c>
      <c r="Y226" s="1114" t="str">
        <f t="shared" si="381"/>
        <v/>
      </c>
      <c r="Z226" s="1114" t="str">
        <f t="shared" si="382"/>
        <v/>
      </c>
      <c r="AA226" s="1114" t="str">
        <f t="shared" si="383"/>
        <v/>
      </c>
      <c r="AB226" s="1704" t="str">
        <f t="shared" si="358"/>
        <v/>
      </c>
      <c r="AC226" s="1115" t="str">
        <f t="shared" si="384"/>
        <v/>
      </c>
      <c r="AE226" s="985"/>
    </row>
    <row r="227" spans="1:33" s="130" customFormat="1" ht="13.9" customHeight="1" x14ac:dyDescent="0.25">
      <c r="A227" s="846">
        <f>Chem!A227</f>
        <v>225</v>
      </c>
      <c r="B227" s="856" t="str">
        <f>Chem!B227</f>
        <v>Vinyl chloride</v>
      </c>
      <c r="C227" s="394" t="s">
        <v>232</v>
      </c>
      <c r="D227" s="338" t="s">
        <v>232</v>
      </c>
      <c r="E227" s="394">
        <v>0.18</v>
      </c>
      <c r="F227" s="394">
        <v>0.18</v>
      </c>
      <c r="G227" s="552">
        <v>1.6</v>
      </c>
      <c r="H227" s="384">
        <v>210</v>
      </c>
      <c r="I227" s="338">
        <f t="shared" si="375"/>
        <v>0.18</v>
      </c>
      <c r="J227" s="407">
        <f>'GW-Eq'!I227</f>
        <v>1840.8941485864564</v>
      </c>
      <c r="K227" s="407">
        <f t="shared" si="385"/>
        <v>9.7778571428571424E-5</v>
      </c>
      <c r="L227" s="407" t="str">
        <f t="shared" si="386"/>
        <v>no</v>
      </c>
      <c r="M227" s="407">
        <f t="shared" si="387"/>
        <v>0.18</v>
      </c>
      <c r="N227" s="217">
        <f>'GW-Eq'!J227</f>
        <v>1.02271897143692</v>
      </c>
      <c r="O227" s="217">
        <f t="shared" si="388"/>
        <v>0.17600142857142859</v>
      </c>
      <c r="P227" s="217" t="str">
        <f t="shared" si="389"/>
        <v>no</v>
      </c>
      <c r="Q227" s="217">
        <f t="shared" si="390"/>
        <v>0.18</v>
      </c>
      <c r="R227" s="1056">
        <f t="shared" si="391"/>
        <v>0.18</v>
      </c>
      <c r="T227" s="1113" t="str">
        <f t="shared" si="376"/>
        <v/>
      </c>
      <c r="U227" s="1114" t="str">
        <f t="shared" si="377"/>
        <v/>
      </c>
      <c r="V227" s="1114" t="str">
        <f t="shared" si="378"/>
        <v>X</v>
      </c>
      <c r="W227" s="1114" t="str">
        <f t="shared" si="379"/>
        <v>X</v>
      </c>
      <c r="X227" s="1114" t="str">
        <f t="shared" si="380"/>
        <v/>
      </c>
      <c r="Y227" s="1114" t="str">
        <f t="shared" si="381"/>
        <v/>
      </c>
      <c r="Z227" s="1114" t="str">
        <f t="shared" si="382"/>
        <v/>
      </c>
      <c r="AA227" s="1114" t="str">
        <f t="shared" si="383"/>
        <v/>
      </c>
      <c r="AB227" s="1704" t="str">
        <f t="shared" si="358"/>
        <v/>
      </c>
      <c r="AC227" s="1115" t="str">
        <f t="shared" si="384"/>
        <v/>
      </c>
      <c r="AE227" s="985"/>
      <c r="AG227" s="130" t="str">
        <f>IF(R227=J227,"X","")</f>
        <v/>
      </c>
    </row>
    <row r="228" spans="1:33" s="130" customFormat="1" ht="13.9" customHeight="1" x14ac:dyDescent="0.25">
      <c r="A228" s="1661">
        <f>Chem!A228</f>
        <v>226</v>
      </c>
      <c r="B228" s="901" t="str">
        <f>Chem!B228</f>
        <v>Total xylenes</v>
      </c>
      <c r="C228" s="559" t="s">
        <v>232</v>
      </c>
      <c r="D228" s="338" t="s">
        <v>232</v>
      </c>
      <c r="E228" s="553" t="s">
        <v>232</v>
      </c>
      <c r="F228" s="559" t="s">
        <v>232</v>
      </c>
      <c r="G228" s="552" t="s">
        <v>232</v>
      </c>
      <c r="H228" s="392">
        <v>106</v>
      </c>
      <c r="I228" s="344">
        <f t="shared" si="375"/>
        <v>106</v>
      </c>
      <c r="J228" s="565" t="str">
        <f>'GW-Eq'!I228</f>
        <v>na</v>
      </c>
      <c r="K228" s="565" t="str">
        <f t="shared" si="385"/>
        <v>na</v>
      </c>
      <c r="L228" s="565" t="str">
        <f t="shared" si="386"/>
        <v>na</v>
      </c>
      <c r="M228" s="565">
        <f t="shared" si="387"/>
        <v>106</v>
      </c>
      <c r="N228" s="291" t="str">
        <f>'GW-Eq'!J228</f>
        <v>na</v>
      </c>
      <c r="O228" s="291" t="str">
        <f t="shared" si="388"/>
        <v>na</v>
      </c>
      <c r="P228" s="291" t="str">
        <f t="shared" si="389"/>
        <v>na</v>
      </c>
      <c r="Q228" s="291" t="str">
        <f t="shared" si="390"/>
        <v>na</v>
      </c>
      <c r="R228" s="1054">
        <f t="shared" si="391"/>
        <v>106</v>
      </c>
      <c r="T228" s="1336" t="str">
        <f t="shared" si="376"/>
        <v/>
      </c>
      <c r="U228" s="1337" t="str">
        <f t="shared" si="377"/>
        <v/>
      </c>
      <c r="V228" s="1337" t="str">
        <f t="shared" si="378"/>
        <v/>
      </c>
      <c r="W228" s="1337" t="str">
        <f t="shared" si="379"/>
        <v/>
      </c>
      <c r="X228" s="1337" t="str">
        <f t="shared" si="380"/>
        <v/>
      </c>
      <c r="Y228" s="1337" t="str">
        <f t="shared" si="381"/>
        <v>X</v>
      </c>
      <c r="Z228" s="1337" t="str">
        <f t="shared" si="382"/>
        <v/>
      </c>
      <c r="AA228" s="1337" t="str">
        <f t="shared" si="383"/>
        <v/>
      </c>
      <c r="AB228" s="1705" t="str">
        <f t="shared" si="358"/>
        <v/>
      </c>
      <c r="AC228" s="1338" t="str">
        <f t="shared" si="384"/>
        <v/>
      </c>
      <c r="AE228" s="985"/>
      <c r="AG228" s="130" t="str">
        <f>IF(R228=J228,"X","")</f>
        <v/>
      </c>
    </row>
    <row r="229" spans="1:33" s="130" customFormat="1" ht="13.9" customHeight="1" x14ac:dyDescent="0.25">
      <c r="A229" s="1197">
        <f>Chem!A229</f>
        <v>227</v>
      </c>
      <c r="B229" s="850" t="str">
        <f>Chem!B229</f>
        <v>PFAS</v>
      </c>
      <c r="C229" s="2368"/>
      <c r="D229" s="2368"/>
      <c r="E229" s="2368"/>
      <c r="F229" s="2368"/>
      <c r="G229" s="2368"/>
      <c r="H229" s="297"/>
      <c r="I229" s="297"/>
      <c r="J229" s="2368"/>
      <c r="K229" s="297"/>
      <c r="L229" s="2347"/>
      <c r="M229" s="297"/>
      <c r="N229" s="2368"/>
      <c r="O229" s="297"/>
      <c r="P229" s="2347"/>
      <c r="Q229" s="297"/>
      <c r="R229" s="2369"/>
      <c r="T229" s="258" t="str">
        <f>B229</f>
        <v>PFAS</v>
      </c>
      <c r="U229" s="2372"/>
      <c r="V229" s="2372"/>
      <c r="W229" s="2372"/>
      <c r="X229" s="2372"/>
      <c r="Y229" s="2372"/>
      <c r="Z229" s="2372"/>
      <c r="AA229" s="2372"/>
      <c r="AB229" s="2372"/>
      <c r="AC229" s="2373"/>
      <c r="AE229" s="987"/>
    </row>
    <row r="230" spans="1:33" s="380" customFormat="1" ht="13.9" customHeight="1" x14ac:dyDescent="0.25">
      <c r="A230" s="1661">
        <f>Chem!A230</f>
        <v>228</v>
      </c>
      <c r="B230" s="883" t="str">
        <f>Chem!B230</f>
        <v>6:2 Fluorotelomer sulfonic acid (6:2 FTS)</v>
      </c>
      <c r="C230" s="1801" t="s">
        <v>232</v>
      </c>
      <c r="D230" s="1801" t="s">
        <v>232</v>
      </c>
      <c r="E230" s="1801" t="s">
        <v>232</v>
      </c>
      <c r="F230" s="1801" t="s">
        <v>232</v>
      </c>
      <c r="G230" s="1801" t="s">
        <v>232</v>
      </c>
      <c r="H230" s="1801" t="s">
        <v>232</v>
      </c>
      <c r="I230" s="1801" t="str">
        <f t="shared" ref="I230" si="392">IF(MIN(C230:H230)=0,"na",(MIN(C230:H230)))</f>
        <v>na</v>
      </c>
      <c r="J230" s="1106" t="str">
        <f>'GW-Eq'!I230</f>
        <v>na</v>
      </c>
      <c r="K230" s="1106" t="str">
        <f t="shared" ref="K230" si="393">IF(I230="na","na",IF(J230="na","na",I230/J230))</f>
        <v>na</v>
      </c>
      <c r="L230" s="1106" t="str">
        <f t="shared" ref="L230" si="394">IF(K230="na","na",IF(K230&gt;1,"YES","no"))</f>
        <v>na</v>
      </c>
      <c r="M230" s="1106" t="str">
        <f t="shared" ref="M230" si="395">IF(L230="YES",J230,IF(ISNUMBER(I230),I230,J230))</f>
        <v>na</v>
      </c>
      <c r="N230" s="1804" t="str">
        <f>'GW-Eq'!J230</f>
        <v>na</v>
      </c>
      <c r="O230" s="1804" t="str">
        <f t="shared" ref="O230" si="396">IF(I230="na","na",IF(N230="na","na",I230/N230))</f>
        <v>na</v>
      </c>
      <c r="P230" s="1804" t="str">
        <f t="shared" ref="P230" si="397">IF(O230="na","na",IF(O230&gt;10,"YES","no"))</f>
        <v>na</v>
      </c>
      <c r="Q230" s="1804" t="str">
        <f t="shared" ref="Q230" si="398">IF(P230="YES",10*N230,IF(P230="no",I230,N230))</f>
        <v>na</v>
      </c>
      <c r="R230" s="2268" t="str">
        <f t="shared" si="391"/>
        <v>na</v>
      </c>
      <c r="T230" s="2267" t="str">
        <f t="shared" ref="T230" si="399">IF($R230="na","",IF($R230=C230,"X",""))</f>
        <v/>
      </c>
      <c r="U230" s="2265" t="str">
        <f t="shared" ref="U230" si="400">IF($R230="na","",IF($R230=D230,"X",""))</f>
        <v/>
      </c>
      <c r="V230" s="2265" t="str">
        <f t="shared" ref="V230" si="401">IF($R230="na","",IF($R230=E230,"X",""))</f>
        <v/>
      </c>
      <c r="W230" s="2265" t="str">
        <f t="shared" ref="W230" si="402">IF($R230="na","",IF($R230=F230,"X",""))</f>
        <v/>
      </c>
      <c r="X230" s="2265" t="str">
        <f t="shared" ref="X230" si="403">IF($R230="na","",IF($R230=G230,"X",""))</f>
        <v/>
      </c>
      <c r="Y230" s="2265" t="str">
        <f t="shared" ref="Y230" si="404">IF($R230="na","",IF($R230=H230,"X",""))</f>
        <v/>
      </c>
      <c r="Z230" s="2265" t="str">
        <f t="shared" ref="Z230" si="405">IF($R230="na","",IF($R230=J230,"X",""))</f>
        <v/>
      </c>
      <c r="AA230" s="2265" t="str">
        <f t="shared" ref="AA230" si="406">IF($R230="na","",IF($R230=N230,"X",""))</f>
        <v/>
      </c>
      <c r="AB230" s="2265" t="str">
        <f t="shared" ref="AB230" si="407">IF(R230="na","",IF(AND(L230="YES",R230=J230),"X",""))</f>
        <v/>
      </c>
      <c r="AC230" s="2266" t="str">
        <f t="shared" ref="AC230" si="408">IF(OR($R230="na",N230="na"),"",IF($R230=10*N230,"X",""))</f>
        <v/>
      </c>
      <c r="AE230" s="2264"/>
    </row>
    <row r="231" spans="1:33" s="130" customFormat="1" ht="13.9" customHeight="1" x14ac:dyDescent="0.25">
      <c r="A231" s="846">
        <f>Chem!A231</f>
        <v>229</v>
      </c>
      <c r="B231" s="903" t="str">
        <f>Chem!B231</f>
        <v>GenX (HFPO-DA)</v>
      </c>
      <c r="C231" s="337" t="s">
        <v>232</v>
      </c>
      <c r="D231" s="337" t="s">
        <v>232</v>
      </c>
      <c r="E231" s="337" t="s">
        <v>232</v>
      </c>
      <c r="F231" s="337" t="s">
        <v>232</v>
      </c>
      <c r="G231" s="1325" t="s">
        <v>232</v>
      </c>
      <c r="H231" s="531" t="s">
        <v>232</v>
      </c>
      <c r="I231" s="337" t="str">
        <f t="shared" si="375"/>
        <v>na</v>
      </c>
      <c r="J231" s="567" t="str">
        <f>'GW-Eq'!I231</f>
        <v>na</v>
      </c>
      <c r="K231" s="567" t="str">
        <f t="shared" ref="K231:K239" si="409">IF(I231="na","na",IF(J231="na","na",I231/J231))</f>
        <v>na</v>
      </c>
      <c r="L231" s="567" t="str">
        <f t="shared" ref="L231:L239" si="410">IF(K231="na","na",IF(K231&gt;1,"YES","no"))</f>
        <v>na</v>
      </c>
      <c r="M231" s="567" t="str">
        <f t="shared" ref="M231:M239" si="411">IF(L231="YES",J231,IF(ISNUMBER(I231),I231,J231))</f>
        <v>na</v>
      </c>
      <c r="N231" s="218" t="str">
        <f>'GW-Eq'!J231</f>
        <v>na</v>
      </c>
      <c r="O231" s="218" t="str">
        <f t="shared" ref="O231:O239" si="412">IF(I231="na","na",IF(N231="na","na",I231/N231))</f>
        <v>na</v>
      </c>
      <c r="P231" s="218" t="str">
        <f t="shared" ref="P231:P239" si="413">IF(O231="na","na",IF(O231&gt;10,"YES","no"))</f>
        <v>na</v>
      </c>
      <c r="Q231" s="218" t="str">
        <f t="shared" ref="Q231:Q239" si="414">IF(P231="YES",10*N231,IF(P231="no",I231,N231))</f>
        <v>na</v>
      </c>
      <c r="R231" s="1053" t="str">
        <f t="shared" si="391"/>
        <v>na</v>
      </c>
      <c r="T231" s="1468" t="str">
        <f t="shared" ref="T231:T239" si="415">IF($R231="na","",IF($R231=C231,"X",""))</f>
        <v/>
      </c>
      <c r="U231" s="1469" t="str">
        <f t="shared" ref="U231:U239" si="416">IF($R231="na","",IF($R231=D231,"X",""))</f>
        <v/>
      </c>
      <c r="V231" s="1469" t="str">
        <f t="shared" ref="V231:V239" si="417">IF($R231="na","",IF($R231=E231,"X",""))</f>
        <v/>
      </c>
      <c r="W231" s="1469" t="str">
        <f t="shared" ref="W231:W239" si="418">IF($R231="na","",IF($R231=F231,"X",""))</f>
        <v/>
      </c>
      <c r="X231" s="1469" t="str">
        <f t="shared" ref="X231:X239" si="419">IF($R231="na","",IF($R231=G231,"X",""))</f>
        <v/>
      </c>
      <c r="Y231" s="1469" t="str">
        <f t="shared" ref="Y231:Y239" si="420">IF($R231="na","",IF($R231=H231,"X",""))</f>
        <v/>
      </c>
      <c r="Z231" s="1469" t="str">
        <f t="shared" ref="Z231:Z239" si="421">IF($R231="na","",IF($R231=J231,"X",""))</f>
        <v/>
      </c>
      <c r="AA231" s="1469" t="str">
        <f t="shared" ref="AA231:AA239" si="422">IF($R231="na","",IF($R231=N231,"X",""))</f>
        <v/>
      </c>
      <c r="AB231" s="1706" t="str">
        <f t="shared" ref="AB231:AB239" si="423">IF(R231="na","",IF(AND(L231="YES",R231=J231),"X",""))</f>
        <v/>
      </c>
      <c r="AC231" s="1470" t="str">
        <f t="shared" ref="AC231:AC239" si="424">IF(OR($R231="na",N231="na"),"",IF($R231=10*N231,"X",""))</f>
        <v/>
      </c>
      <c r="AE231" s="985"/>
    </row>
    <row r="232" spans="1:33" s="130" customFormat="1" ht="13.9" customHeight="1" x14ac:dyDescent="0.25">
      <c r="A232" s="846">
        <f>Chem!A232</f>
        <v>230</v>
      </c>
      <c r="B232" s="903" t="str">
        <f>Chem!B232</f>
        <v>Perfluorobutanoic acid (PFBA)</v>
      </c>
      <c r="C232" s="337" t="s">
        <v>232</v>
      </c>
      <c r="D232" s="337" t="s">
        <v>232</v>
      </c>
      <c r="E232" s="337" t="s">
        <v>232</v>
      </c>
      <c r="F232" s="337" t="s">
        <v>232</v>
      </c>
      <c r="G232" s="1325" t="s">
        <v>232</v>
      </c>
      <c r="H232" s="531" t="s">
        <v>232</v>
      </c>
      <c r="I232" s="337" t="str">
        <f t="shared" ref="I232" si="425">IF(MIN(C232:H232)=0,"na",(MIN(C232:H232)))</f>
        <v>na</v>
      </c>
      <c r="J232" s="567" t="str">
        <f>'GW-Eq'!I232</f>
        <v>na</v>
      </c>
      <c r="K232" s="567" t="str">
        <f t="shared" ref="K232" si="426">IF(I232="na","na",IF(J232="na","na",I232/J232))</f>
        <v>na</v>
      </c>
      <c r="L232" s="567" t="str">
        <f t="shared" ref="L232" si="427">IF(K232="na","na",IF(K232&gt;1,"YES","no"))</f>
        <v>na</v>
      </c>
      <c r="M232" s="567" t="str">
        <f t="shared" ref="M232" si="428">IF(L232="YES",J232,IF(ISNUMBER(I232),I232,J232))</f>
        <v>na</v>
      </c>
      <c r="N232" s="218" t="str">
        <f>'GW-Eq'!J232</f>
        <v>na</v>
      </c>
      <c r="O232" s="218" t="str">
        <f t="shared" ref="O232" si="429">IF(I232="na","na",IF(N232="na","na",I232/N232))</f>
        <v>na</v>
      </c>
      <c r="P232" s="218" t="str">
        <f t="shared" ref="P232" si="430">IF(O232="na","na",IF(O232&gt;10,"YES","no"))</f>
        <v>na</v>
      </c>
      <c r="Q232" s="218" t="str">
        <f t="shared" ref="Q232" si="431">IF(P232="YES",10*N232,IF(P232="no",I232,N232))</f>
        <v>na</v>
      </c>
      <c r="R232" s="1053" t="str">
        <f t="shared" si="391"/>
        <v>na</v>
      </c>
      <c r="T232" s="1468" t="str">
        <f t="shared" ref="T232" si="432">IF($R232="na","",IF($R232=C232,"X",""))</f>
        <v/>
      </c>
      <c r="U232" s="1469" t="str">
        <f t="shared" ref="U232" si="433">IF($R232="na","",IF($R232=D232,"X",""))</f>
        <v/>
      </c>
      <c r="V232" s="1469" t="str">
        <f t="shared" ref="V232" si="434">IF($R232="na","",IF($R232=E232,"X",""))</f>
        <v/>
      </c>
      <c r="W232" s="1469" t="str">
        <f t="shared" ref="W232" si="435">IF($R232="na","",IF($R232=F232,"X",""))</f>
        <v/>
      </c>
      <c r="X232" s="1469" t="str">
        <f t="shared" ref="X232" si="436">IF($R232="na","",IF($R232=G232,"X",""))</f>
        <v/>
      </c>
      <c r="Y232" s="1469" t="str">
        <f t="shared" ref="Y232" si="437">IF($R232="na","",IF($R232=H232,"X",""))</f>
        <v/>
      </c>
      <c r="Z232" s="1469" t="str">
        <f t="shared" ref="Z232" si="438">IF($R232="na","",IF($R232=J232,"X",""))</f>
        <v/>
      </c>
      <c r="AA232" s="1469" t="str">
        <f t="shared" ref="AA232" si="439">IF($R232="na","",IF($R232=N232,"X",""))</f>
        <v/>
      </c>
      <c r="AB232" s="1706" t="str">
        <f t="shared" si="423"/>
        <v/>
      </c>
      <c r="AC232" s="1470" t="str">
        <f t="shared" ref="AC232" si="440">IF(OR($R232="na",N232="na"),"",IF($R232=10*N232,"X",""))</f>
        <v/>
      </c>
      <c r="AE232" s="985"/>
    </row>
    <row r="233" spans="1:33" s="130" customFormat="1" ht="13.9" customHeight="1" x14ac:dyDescent="0.25">
      <c r="A233" s="846">
        <f>Chem!A233</f>
        <v>231</v>
      </c>
      <c r="B233" s="856" t="str">
        <f>Chem!B233</f>
        <v>Perfluorobutanesulfonic acid (PFBS)</v>
      </c>
      <c r="C233" s="338" t="s">
        <v>232</v>
      </c>
      <c r="D233" s="338" t="s">
        <v>232</v>
      </c>
      <c r="E233" s="338" t="s">
        <v>232</v>
      </c>
      <c r="F233" s="338" t="s">
        <v>232</v>
      </c>
      <c r="G233" s="552" t="s">
        <v>232</v>
      </c>
      <c r="H233" s="343">
        <v>127000</v>
      </c>
      <c r="I233" s="338">
        <f t="shared" si="375"/>
        <v>127000</v>
      </c>
      <c r="J233" s="550" t="str">
        <f>'GW-Eq'!I233</f>
        <v>na</v>
      </c>
      <c r="K233" s="550" t="str">
        <f t="shared" si="409"/>
        <v>na</v>
      </c>
      <c r="L233" s="550" t="str">
        <f t="shared" si="410"/>
        <v>na</v>
      </c>
      <c r="M233" s="550">
        <f t="shared" si="411"/>
        <v>127000</v>
      </c>
      <c r="N233" s="219" t="str">
        <f>'GW-Eq'!J233</f>
        <v>na</v>
      </c>
      <c r="O233" s="219" t="str">
        <f t="shared" si="412"/>
        <v>na</v>
      </c>
      <c r="P233" s="219" t="str">
        <f t="shared" si="413"/>
        <v>na</v>
      </c>
      <c r="Q233" s="219" t="str">
        <f t="shared" si="414"/>
        <v>na</v>
      </c>
      <c r="R233" s="1056">
        <f t="shared" si="391"/>
        <v>127000</v>
      </c>
      <c r="T233" s="1113" t="str">
        <f t="shared" si="415"/>
        <v/>
      </c>
      <c r="U233" s="1114" t="str">
        <f t="shared" si="416"/>
        <v/>
      </c>
      <c r="V233" s="1114" t="str">
        <f t="shared" si="417"/>
        <v/>
      </c>
      <c r="W233" s="1114" t="str">
        <f t="shared" si="418"/>
        <v/>
      </c>
      <c r="X233" s="1114" t="str">
        <f t="shared" si="419"/>
        <v/>
      </c>
      <c r="Y233" s="1114" t="str">
        <f t="shared" si="420"/>
        <v>X</v>
      </c>
      <c r="Z233" s="1114" t="str">
        <f t="shared" si="421"/>
        <v/>
      </c>
      <c r="AA233" s="1114" t="str">
        <f t="shared" si="422"/>
        <v/>
      </c>
      <c r="AB233" s="1704" t="str">
        <f t="shared" si="423"/>
        <v/>
      </c>
      <c r="AC233" s="1115" t="str">
        <f t="shared" si="424"/>
        <v/>
      </c>
      <c r="AE233" s="985"/>
    </row>
    <row r="234" spans="1:33" s="130" customFormat="1" ht="13.9" customHeight="1" x14ac:dyDescent="0.25">
      <c r="A234" s="846">
        <f>Chem!A234</f>
        <v>232</v>
      </c>
      <c r="B234" s="856" t="str">
        <f>Chem!B234</f>
        <v>Perfluorodecanoic acid (PFDA)</v>
      </c>
      <c r="C234" s="338" t="s">
        <v>232</v>
      </c>
      <c r="D234" s="338" t="s">
        <v>232</v>
      </c>
      <c r="E234" s="338" t="s">
        <v>232</v>
      </c>
      <c r="F234" s="338" t="s">
        <v>232</v>
      </c>
      <c r="G234" s="552" t="s">
        <v>232</v>
      </c>
      <c r="H234" s="343">
        <v>78</v>
      </c>
      <c r="I234" s="338">
        <f t="shared" ref="I234" si="441">IF(MIN(C234:H234)=0,"na",(MIN(C234:H234)))</f>
        <v>78</v>
      </c>
      <c r="J234" s="550" t="str">
        <f>'GW-Eq'!I234</f>
        <v>na</v>
      </c>
      <c r="K234" s="550" t="str">
        <f t="shared" ref="K234" si="442">IF(I234="na","na",IF(J234="na","na",I234/J234))</f>
        <v>na</v>
      </c>
      <c r="L234" s="550" t="str">
        <f t="shared" ref="L234" si="443">IF(K234="na","na",IF(K234&gt;1,"YES","no"))</f>
        <v>na</v>
      </c>
      <c r="M234" s="550">
        <f t="shared" si="411"/>
        <v>78</v>
      </c>
      <c r="N234" s="219" t="str">
        <f>'GW-Eq'!J234</f>
        <v>na</v>
      </c>
      <c r="O234" s="219" t="str">
        <f t="shared" ref="O234" si="444">IF(I234="na","na",IF(N234="na","na",I234/N234))</f>
        <v>na</v>
      </c>
      <c r="P234" s="219" t="str">
        <f t="shared" ref="P234" si="445">IF(O234="na","na",IF(O234&gt;10,"YES","no"))</f>
        <v>na</v>
      </c>
      <c r="Q234" s="219" t="str">
        <f t="shared" ref="Q234" si="446">IF(P234="YES",10*N234,IF(P234="no",I234,N234))</f>
        <v>na</v>
      </c>
      <c r="R234" s="1056">
        <f t="shared" si="391"/>
        <v>78</v>
      </c>
      <c r="T234" s="1113" t="str">
        <f t="shared" ref="T234" si="447">IF($R234="na","",IF($R234=C234,"X",""))</f>
        <v/>
      </c>
      <c r="U234" s="1114" t="str">
        <f t="shared" ref="U234" si="448">IF($R234="na","",IF($R234=D234,"X",""))</f>
        <v/>
      </c>
      <c r="V234" s="1114" t="str">
        <f t="shared" ref="V234" si="449">IF($R234="na","",IF($R234=E234,"X",""))</f>
        <v/>
      </c>
      <c r="W234" s="1114" t="str">
        <f t="shared" ref="W234" si="450">IF($R234="na","",IF($R234=F234,"X",""))</f>
        <v/>
      </c>
      <c r="X234" s="1114" t="str">
        <f t="shared" ref="X234" si="451">IF($R234="na","",IF($R234=G234,"X",""))</f>
        <v/>
      </c>
      <c r="Y234" s="1114" t="str">
        <f t="shared" ref="Y234" si="452">IF($R234="na","",IF($R234=H234,"X",""))</f>
        <v>X</v>
      </c>
      <c r="Z234" s="1114" t="str">
        <f t="shared" ref="Z234" si="453">IF($R234="na","",IF($R234=J234,"X",""))</f>
        <v/>
      </c>
      <c r="AA234" s="1114" t="str">
        <f t="shared" ref="AA234" si="454">IF($R234="na","",IF($R234=N234,"X",""))</f>
        <v/>
      </c>
      <c r="AB234" s="1704" t="str">
        <f t="shared" ref="AB234" si="455">IF(R234="na","",IF(AND(L234="YES",R234=J234),"X",""))</f>
        <v/>
      </c>
      <c r="AC234" s="1115" t="str">
        <f t="shared" ref="AC234" si="456">IF(OR($R234="na",N234="na"),"",IF($R234=10*N234,"X",""))</f>
        <v/>
      </c>
      <c r="AE234" s="985"/>
    </row>
    <row r="235" spans="1:33" s="130" customFormat="1" ht="13.9" customHeight="1" x14ac:dyDescent="0.25">
      <c r="A235" s="846">
        <f>Chem!A235</f>
        <v>233</v>
      </c>
      <c r="B235" s="856" t="str">
        <f>Chem!B235</f>
        <v>Perfluorohexanoic acid (PFHxA)</v>
      </c>
      <c r="C235" s="338" t="s">
        <v>232</v>
      </c>
      <c r="D235" s="338" t="s">
        <v>232</v>
      </c>
      <c r="E235" s="338" t="s">
        <v>232</v>
      </c>
      <c r="F235" s="338" t="s">
        <v>232</v>
      </c>
      <c r="G235" s="557" t="s">
        <v>232</v>
      </c>
      <c r="H235" s="343" t="s">
        <v>232</v>
      </c>
      <c r="I235" s="338" t="str">
        <f t="shared" ref="I235" si="457">IF(MIN(C235:H235)=0,"na",(MIN(C235:H235)))</f>
        <v>na</v>
      </c>
      <c r="J235" s="550" t="str">
        <f>'GW-Eq'!I235</f>
        <v>na</v>
      </c>
      <c r="K235" s="550" t="str">
        <f t="shared" ref="K235" si="458">IF(I235="na","na",IF(J235="na","na",I235/J235))</f>
        <v>na</v>
      </c>
      <c r="L235" s="550" t="str">
        <f t="shared" ref="L235" si="459">IF(K235="na","na",IF(K235&gt;1,"YES","no"))</f>
        <v>na</v>
      </c>
      <c r="M235" s="550" t="str">
        <f t="shared" ref="M235" si="460">IF(L235="YES",J235,IF(ISNUMBER(I235),I235,J235))</f>
        <v>na</v>
      </c>
      <c r="N235" s="219" t="str">
        <f>'GW-Eq'!J235</f>
        <v>na</v>
      </c>
      <c r="O235" s="219" t="str">
        <f t="shared" ref="O235" si="461">IF(I235="na","na",IF(N235="na","na",I235/N235))</f>
        <v>na</v>
      </c>
      <c r="P235" s="219" t="str">
        <f t="shared" ref="P235" si="462">IF(O235="na","na",IF(O235&gt;10,"YES","no"))</f>
        <v>na</v>
      </c>
      <c r="Q235" s="219" t="str">
        <f t="shared" ref="Q235" si="463">IF(P235="YES",10*N235,IF(P235="no",I235,N235))</f>
        <v>na</v>
      </c>
      <c r="R235" s="1056" t="str">
        <f t="shared" si="391"/>
        <v>na</v>
      </c>
      <c r="T235" s="1113" t="str">
        <f t="shared" ref="T235" si="464">IF($R235="na","",IF($R235=C235,"X",""))</f>
        <v/>
      </c>
      <c r="U235" s="1114" t="str">
        <f t="shared" ref="U235" si="465">IF($R235="na","",IF($R235=D235,"X",""))</f>
        <v/>
      </c>
      <c r="V235" s="1114" t="str">
        <f t="shared" ref="V235" si="466">IF($R235="na","",IF($R235=E235,"X",""))</f>
        <v/>
      </c>
      <c r="W235" s="1114" t="str">
        <f t="shared" ref="W235" si="467">IF($R235="na","",IF($R235=F235,"X",""))</f>
        <v/>
      </c>
      <c r="X235" s="1114" t="str">
        <f t="shared" ref="X235" si="468">IF($R235="na","",IF($R235=G235,"X",""))</f>
        <v/>
      </c>
      <c r="Y235" s="1114" t="str">
        <f t="shared" ref="Y235" si="469">IF($R235="na","",IF($R235=H235,"X",""))</f>
        <v/>
      </c>
      <c r="Z235" s="1114" t="str">
        <f t="shared" ref="Z235" si="470">IF($R235="na","",IF($R235=J235,"X",""))</f>
        <v/>
      </c>
      <c r="AA235" s="1114" t="str">
        <f t="shared" ref="AA235" si="471">IF($R235="na","",IF($R235=N235,"X",""))</f>
        <v/>
      </c>
      <c r="AB235" s="1704" t="str">
        <f t="shared" si="423"/>
        <v/>
      </c>
      <c r="AC235" s="1115" t="str">
        <f t="shared" ref="AC235" si="472">IF(OR($R235="na",N235="na"),"",IF($R235=10*N235,"X",""))</f>
        <v/>
      </c>
      <c r="AE235" s="985"/>
    </row>
    <row r="236" spans="1:33" s="130" customFormat="1" ht="13.9" customHeight="1" x14ac:dyDescent="0.25">
      <c r="A236" s="846">
        <f>Chem!A236</f>
        <v>234</v>
      </c>
      <c r="B236" s="856" t="str">
        <f>Chem!B236</f>
        <v>Perfluorohexanesulfonic acid (PFHxS)</v>
      </c>
      <c r="C236" s="338" t="s">
        <v>232</v>
      </c>
      <c r="D236" s="338" t="s">
        <v>232</v>
      </c>
      <c r="E236" s="338" t="s">
        <v>232</v>
      </c>
      <c r="F236" s="338" t="s">
        <v>232</v>
      </c>
      <c r="G236" s="552" t="s">
        <v>232</v>
      </c>
      <c r="H236" s="343" t="s">
        <v>232</v>
      </c>
      <c r="I236" s="338" t="str">
        <f t="shared" si="375"/>
        <v>na</v>
      </c>
      <c r="J236" s="550" t="str">
        <f>'GW-Eq'!I236</f>
        <v>na</v>
      </c>
      <c r="K236" s="550" t="str">
        <f t="shared" si="409"/>
        <v>na</v>
      </c>
      <c r="L236" s="550" t="str">
        <f t="shared" si="410"/>
        <v>na</v>
      </c>
      <c r="M236" s="550" t="str">
        <f t="shared" si="411"/>
        <v>na</v>
      </c>
      <c r="N236" s="219" t="str">
        <f>'GW-Eq'!J236</f>
        <v>na</v>
      </c>
      <c r="O236" s="219" t="str">
        <f t="shared" si="412"/>
        <v>na</v>
      </c>
      <c r="P236" s="219" t="str">
        <f t="shared" si="413"/>
        <v>na</v>
      </c>
      <c r="Q236" s="219" t="str">
        <f t="shared" si="414"/>
        <v>na</v>
      </c>
      <c r="R236" s="1056" t="str">
        <f t="shared" si="391"/>
        <v>na</v>
      </c>
      <c r="T236" s="1113" t="str">
        <f t="shared" si="415"/>
        <v/>
      </c>
      <c r="U236" s="1114" t="str">
        <f t="shared" si="416"/>
        <v/>
      </c>
      <c r="V236" s="1114" t="str">
        <f t="shared" si="417"/>
        <v/>
      </c>
      <c r="W236" s="1114" t="str">
        <f t="shared" si="418"/>
        <v/>
      </c>
      <c r="X236" s="1114" t="str">
        <f t="shared" si="419"/>
        <v/>
      </c>
      <c r="Y236" s="1114" t="str">
        <f t="shared" si="420"/>
        <v/>
      </c>
      <c r="Z236" s="1114" t="str">
        <f t="shared" si="421"/>
        <v/>
      </c>
      <c r="AA236" s="1114" t="str">
        <f t="shared" si="422"/>
        <v/>
      </c>
      <c r="AB236" s="1704" t="str">
        <f t="shared" si="423"/>
        <v/>
      </c>
      <c r="AC236" s="1115" t="str">
        <f t="shared" si="424"/>
        <v/>
      </c>
      <c r="AE236" s="985"/>
    </row>
    <row r="237" spans="1:33" s="130" customFormat="1" ht="13.9" customHeight="1" x14ac:dyDescent="0.25">
      <c r="A237" s="846">
        <f>Chem!A237</f>
        <v>235</v>
      </c>
      <c r="B237" s="856" t="str">
        <f>Chem!B237</f>
        <v>Perfluorononanoic acid (PFNA)</v>
      </c>
      <c r="C237" s="338" t="s">
        <v>232</v>
      </c>
      <c r="D237" s="338" t="s">
        <v>232</v>
      </c>
      <c r="E237" s="338" t="s">
        <v>232</v>
      </c>
      <c r="F237" s="338" t="s">
        <v>232</v>
      </c>
      <c r="G237" s="552" t="s">
        <v>232</v>
      </c>
      <c r="H237" s="343">
        <v>10.4</v>
      </c>
      <c r="I237" s="338">
        <f t="shared" si="375"/>
        <v>10.4</v>
      </c>
      <c r="J237" s="550" t="str">
        <f>'GW-Eq'!I237</f>
        <v>na</v>
      </c>
      <c r="K237" s="550" t="str">
        <f t="shared" si="409"/>
        <v>na</v>
      </c>
      <c r="L237" s="550" t="str">
        <f t="shared" si="410"/>
        <v>na</v>
      </c>
      <c r="M237" s="550">
        <f t="shared" si="411"/>
        <v>10.4</v>
      </c>
      <c r="N237" s="219" t="str">
        <f>'GW-Eq'!J237</f>
        <v>na</v>
      </c>
      <c r="O237" s="219" t="str">
        <f t="shared" si="412"/>
        <v>na</v>
      </c>
      <c r="P237" s="219" t="str">
        <f t="shared" si="413"/>
        <v>na</v>
      </c>
      <c r="Q237" s="219" t="str">
        <f t="shared" si="414"/>
        <v>na</v>
      </c>
      <c r="R237" s="1056">
        <f t="shared" si="391"/>
        <v>10.4</v>
      </c>
      <c r="T237" s="1113" t="str">
        <f t="shared" si="415"/>
        <v/>
      </c>
      <c r="U237" s="1114" t="str">
        <f t="shared" si="416"/>
        <v/>
      </c>
      <c r="V237" s="1114" t="str">
        <f t="shared" si="417"/>
        <v/>
      </c>
      <c r="W237" s="1114" t="str">
        <f t="shared" si="418"/>
        <v/>
      </c>
      <c r="X237" s="1114" t="str">
        <f t="shared" si="419"/>
        <v/>
      </c>
      <c r="Y237" s="1114" t="str">
        <f t="shared" si="420"/>
        <v>X</v>
      </c>
      <c r="Z237" s="1114" t="str">
        <f t="shared" si="421"/>
        <v/>
      </c>
      <c r="AA237" s="1114" t="str">
        <f t="shared" si="422"/>
        <v/>
      </c>
      <c r="AB237" s="1704" t="str">
        <f t="shared" si="423"/>
        <v/>
      </c>
      <c r="AC237" s="1115" t="str">
        <f t="shared" si="424"/>
        <v/>
      </c>
      <c r="AE237" s="985"/>
    </row>
    <row r="238" spans="1:33" s="130" customFormat="1" ht="13.9" customHeight="1" x14ac:dyDescent="0.25">
      <c r="A238" s="846">
        <f>Chem!A238</f>
        <v>236</v>
      </c>
      <c r="B238" s="856" t="str">
        <f>Chem!B238</f>
        <v>Perfluorooctanesulfonic acid (PFOS)</v>
      </c>
      <c r="C238" s="338">
        <v>550</v>
      </c>
      <c r="D238" s="338" t="s">
        <v>232</v>
      </c>
      <c r="E238" s="338" t="s">
        <v>232</v>
      </c>
      <c r="F238" s="338" t="s">
        <v>232</v>
      </c>
      <c r="G238" s="552" t="s">
        <v>232</v>
      </c>
      <c r="H238" s="343">
        <v>1.1000000000000001</v>
      </c>
      <c r="I238" s="338">
        <f t="shared" si="375"/>
        <v>1.1000000000000001</v>
      </c>
      <c r="J238" s="550" t="str">
        <f>'GW-Eq'!I238</f>
        <v>na</v>
      </c>
      <c r="K238" s="550" t="str">
        <f t="shared" si="409"/>
        <v>na</v>
      </c>
      <c r="L238" s="550" t="str">
        <f t="shared" si="410"/>
        <v>na</v>
      </c>
      <c r="M238" s="550">
        <f t="shared" si="411"/>
        <v>1.1000000000000001</v>
      </c>
      <c r="N238" s="219" t="str">
        <f>'GW-Eq'!J238</f>
        <v>na</v>
      </c>
      <c r="O238" s="219" t="str">
        <f t="shared" si="412"/>
        <v>na</v>
      </c>
      <c r="P238" s="219" t="str">
        <f t="shared" si="413"/>
        <v>na</v>
      </c>
      <c r="Q238" s="219" t="str">
        <f t="shared" si="414"/>
        <v>na</v>
      </c>
      <c r="R238" s="1056">
        <f t="shared" si="391"/>
        <v>1.1000000000000001</v>
      </c>
      <c r="T238" s="1113" t="str">
        <f t="shared" si="415"/>
        <v/>
      </c>
      <c r="U238" s="1114" t="str">
        <f t="shared" si="416"/>
        <v/>
      </c>
      <c r="V238" s="1114" t="str">
        <f t="shared" si="417"/>
        <v/>
      </c>
      <c r="W238" s="1114" t="str">
        <f t="shared" si="418"/>
        <v/>
      </c>
      <c r="X238" s="1114" t="str">
        <f t="shared" si="419"/>
        <v/>
      </c>
      <c r="Y238" s="1114" t="str">
        <f t="shared" si="420"/>
        <v>X</v>
      </c>
      <c r="Z238" s="1114" t="str">
        <f t="shared" si="421"/>
        <v/>
      </c>
      <c r="AA238" s="1114" t="str">
        <f t="shared" si="422"/>
        <v/>
      </c>
      <c r="AB238" s="1704" t="str">
        <f t="shared" si="423"/>
        <v/>
      </c>
      <c r="AC238" s="1115" t="str">
        <f t="shared" si="424"/>
        <v/>
      </c>
      <c r="AE238" s="985"/>
    </row>
    <row r="239" spans="1:33" s="130" customFormat="1" ht="13.9" customHeight="1" x14ac:dyDescent="0.25">
      <c r="A239" s="1661">
        <f>Chem!A239</f>
        <v>237</v>
      </c>
      <c r="B239" s="1153" t="str">
        <f>Chem!B239</f>
        <v>Perfluorooctanoic acid (PFOA)</v>
      </c>
      <c r="C239" s="344">
        <v>7000</v>
      </c>
      <c r="D239" s="344" t="s">
        <v>232</v>
      </c>
      <c r="E239" s="344" t="s">
        <v>232</v>
      </c>
      <c r="F239" s="344" t="s">
        <v>232</v>
      </c>
      <c r="G239" s="589" t="s">
        <v>232</v>
      </c>
      <c r="H239" s="533">
        <v>119</v>
      </c>
      <c r="I239" s="344">
        <f t="shared" si="375"/>
        <v>119</v>
      </c>
      <c r="J239" s="563" t="str">
        <f>'GW-Eq'!I239</f>
        <v>na</v>
      </c>
      <c r="K239" s="563" t="str">
        <f t="shared" si="409"/>
        <v>na</v>
      </c>
      <c r="L239" s="563" t="str">
        <f t="shared" si="410"/>
        <v>na</v>
      </c>
      <c r="M239" s="563">
        <f t="shared" si="411"/>
        <v>119</v>
      </c>
      <c r="N239" s="290" t="str">
        <f>'GW-Eq'!J239</f>
        <v>na</v>
      </c>
      <c r="O239" s="290" t="str">
        <f t="shared" si="412"/>
        <v>na</v>
      </c>
      <c r="P239" s="290" t="str">
        <f t="shared" si="413"/>
        <v>na</v>
      </c>
      <c r="Q239" s="290" t="str">
        <f t="shared" si="414"/>
        <v>na</v>
      </c>
      <c r="R239" s="1057">
        <f t="shared" si="391"/>
        <v>119</v>
      </c>
      <c r="T239" s="1116" t="str">
        <f t="shared" si="415"/>
        <v/>
      </c>
      <c r="U239" s="1117" t="str">
        <f t="shared" si="416"/>
        <v/>
      </c>
      <c r="V239" s="1117" t="str">
        <f t="shared" si="417"/>
        <v/>
      </c>
      <c r="W239" s="1117" t="str">
        <f t="shared" si="418"/>
        <v/>
      </c>
      <c r="X239" s="1117" t="str">
        <f t="shared" si="419"/>
        <v/>
      </c>
      <c r="Y239" s="1117" t="str">
        <f t="shared" si="420"/>
        <v>X</v>
      </c>
      <c r="Z239" s="1117" t="str">
        <f t="shared" si="421"/>
        <v/>
      </c>
      <c r="AA239" s="1117" t="str">
        <f t="shared" si="422"/>
        <v/>
      </c>
      <c r="AB239" s="1707" t="str">
        <f t="shared" si="423"/>
        <v/>
      </c>
      <c r="AC239" s="1118" t="str">
        <f t="shared" si="424"/>
        <v/>
      </c>
      <c r="AE239" s="985"/>
    </row>
    <row r="240" spans="1:33" s="130" customFormat="1" ht="13.9" customHeight="1" x14ac:dyDescent="0.25">
      <c r="A240" s="1197">
        <f>Chem!A240</f>
        <v>238</v>
      </c>
      <c r="B240" s="850" t="str">
        <f>Chem!B240</f>
        <v>Petroleum Hydrocarbons</v>
      </c>
      <c r="C240" s="2368"/>
      <c r="D240" s="2368"/>
      <c r="E240" s="2368"/>
      <c r="F240" s="2368"/>
      <c r="G240" s="2368"/>
      <c r="H240" s="297"/>
      <c r="I240" s="297"/>
      <c r="J240" s="2368"/>
      <c r="K240" s="297"/>
      <c r="L240" s="2347"/>
      <c r="M240" s="297"/>
      <c r="N240" s="2368"/>
      <c r="O240" s="297"/>
      <c r="P240" s="2347"/>
      <c r="Q240" s="297"/>
      <c r="R240" s="2369"/>
      <c r="T240" s="258" t="str">
        <f>B240</f>
        <v>Petroleum Hydrocarbons</v>
      </c>
      <c r="U240" s="2372"/>
      <c r="V240" s="2372"/>
      <c r="W240" s="2372"/>
      <c r="X240" s="2372"/>
      <c r="Y240" s="2372"/>
      <c r="Z240" s="2372"/>
      <c r="AA240" s="2372"/>
      <c r="AB240" s="2372"/>
      <c r="AC240" s="2373"/>
      <c r="AE240" s="987"/>
    </row>
    <row r="241" spans="1:33" s="130" customFormat="1" ht="13.9" customHeight="1" x14ac:dyDescent="0.25">
      <c r="A241" s="846">
        <f>Chem!A241</f>
        <v>239</v>
      </c>
      <c r="B241" s="904" t="str">
        <f>Chem!B241</f>
        <v>Gasoline range hydrocarbons, fresh</v>
      </c>
      <c r="C241" s="394" t="s">
        <v>232</v>
      </c>
      <c r="D241" s="338" t="s">
        <v>232</v>
      </c>
      <c r="E241" s="394">
        <v>800</v>
      </c>
      <c r="F241" s="394" t="s">
        <v>232</v>
      </c>
      <c r="G241" s="552" t="s">
        <v>232</v>
      </c>
      <c r="H241" s="398">
        <v>1700</v>
      </c>
      <c r="I241" s="338">
        <f t="shared" ref="I241:I246" si="473">IF(MIN(C241:H241)=0,"na",(MIN(C241:H241)))</f>
        <v>800</v>
      </c>
      <c r="J241" s="407">
        <f>'GW-Eq'!I241</f>
        <v>800</v>
      </c>
      <c r="K241" s="407">
        <f t="shared" ref="K241:K246" si="474">IF(I241="na","na",IF(J241="na","na",I241/J241))</f>
        <v>1</v>
      </c>
      <c r="L241" s="407" t="str">
        <f t="shared" ref="L241:L245" si="475">IF(K241="na","na",IF(K241&gt;1,"YES","no"))</f>
        <v>no</v>
      </c>
      <c r="M241" s="407">
        <f t="shared" ref="M241:M246" si="476">IF(L241="YES",J241,IF(ISNUMBER(I241),I241,J241))</f>
        <v>800</v>
      </c>
      <c r="N241" s="217" t="str">
        <f>'GW-Eq'!J241</f>
        <v>na</v>
      </c>
      <c r="O241" s="217" t="str">
        <f t="shared" ref="O241:O246" si="477">IF(I241="na","na",IF(N241="na","na",I241/N241))</f>
        <v>na</v>
      </c>
      <c r="P241" s="217" t="str">
        <f t="shared" ref="P241:P245" si="478">IF(O241="na","na",IF(O241&gt;10,"YES","no"))</f>
        <v>na</v>
      </c>
      <c r="Q241" s="217" t="str">
        <f t="shared" ref="Q241:Q245" si="479">IF(P241="YES",10*N241,IF(P241="no",I241,N241))</f>
        <v>na</v>
      </c>
      <c r="R241" s="1053">
        <f t="shared" ref="R241:R246" si="480">IF(MIN($M241,$Q241,$H241)=0,"na",MIN($M241,$Q241,$H241))</f>
        <v>800</v>
      </c>
      <c r="T241" s="1110" t="str">
        <f>IF($R241="na","",IF($R241=C241,"X",""))</f>
        <v/>
      </c>
      <c r="U241" s="1111" t="str">
        <f>IF($R241="na","",IF($R241=D241,"X",""))</f>
        <v/>
      </c>
      <c r="V241" s="1111" t="str">
        <f>IF($R241="na","",IF($R241=E241,"X",""))</f>
        <v>X</v>
      </c>
      <c r="W241" s="1111" t="str">
        <f>IF($R241="na","",IF($R241=F241,"X",""))</f>
        <v/>
      </c>
      <c r="X241" s="1111" t="str">
        <f t="shared" ref="X241:Y245" si="481">IF($R241="na","",IF($R241=G241,"X",""))</f>
        <v/>
      </c>
      <c r="Y241" s="1111" t="str">
        <f t="shared" si="481"/>
        <v/>
      </c>
      <c r="Z241" s="1111" t="str">
        <f t="shared" ref="Z241:Z246" si="482">IF($R241="na","",IF($R241=J241,"X",""))</f>
        <v>X</v>
      </c>
      <c r="AA241" s="1111" t="str">
        <f t="shared" ref="AA241:AA246" si="483">IF($R241="na","",IF($R241=N241,"X",""))</f>
        <v/>
      </c>
      <c r="AB241" s="1703" t="str">
        <f t="shared" ref="AB241:AB246" si="484">IF(R241="na","",IF(AND(L241="YES",R241=J241),"X",""))</f>
        <v/>
      </c>
      <c r="AC241" s="1112" t="str">
        <f t="shared" ref="AC241:AC246" si="485">IF(OR($R241="na",N241="na"),"",IF($R241=10*N241,"X",""))</f>
        <v/>
      </c>
      <c r="AE241" s="985"/>
    </row>
    <row r="242" spans="1:33" s="130" customFormat="1" ht="13.9" customHeight="1" x14ac:dyDescent="0.25">
      <c r="A242" s="846">
        <f>Chem!A242</f>
        <v>240</v>
      </c>
      <c r="B242" s="904" t="str">
        <f>Chem!B242</f>
        <v>Gasoline range hydrocarbons, weathered</v>
      </c>
      <c r="C242" s="394" t="s">
        <v>232</v>
      </c>
      <c r="D242" s="338" t="s">
        <v>232</v>
      </c>
      <c r="E242" s="394">
        <v>1000</v>
      </c>
      <c r="F242" s="394" t="s">
        <v>232</v>
      </c>
      <c r="G242" s="552" t="s">
        <v>232</v>
      </c>
      <c r="H242" s="398">
        <v>1700</v>
      </c>
      <c r="I242" s="338">
        <f t="shared" si="473"/>
        <v>1000</v>
      </c>
      <c r="J242" s="407">
        <f>'GW-Eq'!I242</f>
        <v>1000</v>
      </c>
      <c r="K242" s="407">
        <f t="shared" si="474"/>
        <v>1</v>
      </c>
      <c r="L242" s="407" t="str">
        <f t="shared" ref="L242" si="486">IF(K242="na","na",IF(K242&gt;1,"YES","no"))</f>
        <v>no</v>
      </c>
      <c r="M242" s="407">
        <f t="shared" ref="M242" si="487">IF(L242="YES",J242,IF(ISNUMBER(I242),I242,J242))</f>
        <v>1000</v>
      </c>
      <c r="N242" s="217" t="str">
        <f>'GW-Eq'!J242</f>
        <v>na</v>
      </c>
      <c r="O242" s="217" t="str">
        <f t="shared" si="477"/>
        <v>na</v>
      </c>
      <c r="P242" s="217" t="str">
        <f t="shared" ref="P242" si="488">IF(O242="na","na",IF(O242&gt;10,"YES","no"))</f>
        <v>na</v>
      </c>
      <c r="Q242" s="217" t="str">
        <f t="shared" ref="Q242" si="489">IF(P242="YES",10*N242,IF(P242="no",I242,N242))</f>
        <v>na</v>
      </c>
      <c r="R242" s="1053">
        <f t="shared" si="480"/>
        <v>1000</v>
      </c>
      <c r="T242" s="1113" t="str">
        <f t="shared" ref="T242:U246" si="490">IF($R242="na","",IF($R242=C242,"X",""))</f>
        <v/>
      </c>
      <c r="U242" s="1114" t="str">
        <f t="shared" si="490"/>
        <v/>
      </c>
      <c r="V242" s="1114" t="str">
        <f t="shared" ref="V242" si="491">IF($R242="na","",IF($R242=E242,"X",""))</f>
        <v>X</v>
      </c>
      <c r="W242" s="1114" t="str">
        <f t="shared" ref="W242" si="492">IF($R242="na","",IF($R242=F242,"X",""))</f>
        <v/>
      </c>
      <c r="X242" s="1114" t="str">
        <f t="shared" ref="X242" si="493">IF($R242="na","",IF($R242=G242,"X",""))</f>
        <v/>
      </c>
      <c r="Y242" s="1114" t="str">
        <f t="shared" ref="Y242" si="494">IF($R242="na","",IF($R242=H242,"X",""))</f>
        <v/>
      </c>
      <c r="Z242" s="1114" t="str">
        <f t="shared" si="482"/>
        <v>X</v>
      </c>
      <c r="AA242" s="1114" t="str">
        <f t="shared" si="483"/>
        <v/>
      </c>
      <c r="AB242" s="1704" t="str">
        <f t="shared" si="484"/>
        <v/>
      </c>
      <c r="AC242" s="1115" t="str">
        <f t="shared" si="485"/>
        <v/>
      </c>
      <c r="AE242" s="985"/>
    </row>
    <row r="243" spans="1:33" s="130" customFormat="1" ht="13.9" customHeight="1" x14ac:dyDescent="0.25">
      <c r="A243" s="846">
        <f>Chem!A243</f>
        <v>241</v>
      </c>
      <c r="B243" s="880" t="str">
        <f>Chem!B243</f>
        <v>Diesel range hydrocarbons, fresh</v>
      </c>
      <c r="C243" s="394" t="s">
        <v>232</v>
      </c>
      <c r="D243" s="338" t="s">
        <v>232</v>
      </c>
      <c r="E243" s="394">
        <v>500</v>
      </c>
      <c r="F243" s="394" t="s">
        <v>232</v>
      </c>
      <c r="G243" s="552" t="s">
        <v>232</v>
      </c>
      <c r="H243" s="398">
        <v>50</v>
      </c>
      <c r="I243" s="338">
        <f t="shared" si="473"/>
        <v>50</v>
      </c>
      <c r="J243" s="407">
        <f>'GW-Eq'!I243</f>
        <v>500</v>
      </c>
      <c r="K243" s="407">
        <f t="shared" si="474"/>
        <v>0.1</v>
      </c>
      <c r="L243" s="407" t="str">
        <f t="shared" si="475"/>
        <v>no</v>
      </c>
      <c r="M243" s="407">
        <f t="shared" si="476"/>
        <v>50</v>
      </c>
      <c r="N243" s="217" t="str">
        <f>'GW-Eq'!J243</f>
        <v>na</v>
      </c>
      <c r="O243" s="217" t="str">
        <f t="shared" si="477"/>
        <v>na</v>
      </c>
      <c r="P243" s="217" t="str">
        <f t="shared" si="478"/>
        <v>na</v>
      </c>
      <c r="Q243" s="217" t="str">
        <f t="shared" si="479"/>
        <v>na</v>
      </c>
      <c r="R243" s="1056">
        <f t="shared" si="480"/>
        <v>50</v>
      </c>
      <c r="T243" s="1113" t="str">
        <f t="shared" si="490"/>
        <v/>
      </c>
      <c r="U243" s="1114" t="str">
        <f t="shared" si="490"/>
        <v/>
      </c>
      <c r="V243" s="1114" t="str">
        <f t="shared" ref="V243:W246" si="495">IF($R243="na","",IF($R243=E243,"X",""))</f>
        <v/>
      </c>
      <c r="W243" s="1114" t="str">
        <f t="shared" si="495"/>
        <v/>
      </c>
      <c r="X243" s="1114" t="str">
        <f t="shared" si="481"/>
        <v/>
      </c>
      <c r="Y243" s="1114" t="str">
        <f t="shared" si="481"/>
        <v>X</v>
      </c>
      <c r="Z243" s="1114" t="str">
        <f t="shared" si="482"/>
        <v/>
      </c>
      <c r="AA243" s="1114" t="str">
        <f t="shared" si="483"/>
        <v/>
      </c>
      <c r="AB243" s="1704" t="str">
        <f t="shared" si="484"/>
        <v/>
      </c>
      <c r="AC243" s="1115" t="str">
        <f t="shared" si="485"/>
        <v/>
      </c>
      <c r="AE243" s="985"/>
      <c r="AG243" s="130" t="str">
        <f>IF(R243=J243,"X","")</f>
        <v/>
      </c>
    </row>
    <row r="244" spans="1:33" s="130" customFormat="1" ht="13.9" customHeight="1" x14ac:dyDescent="0.25">
      <c r="A244" s="846">
        <f>Chem!A244</f>
        <v>242</v>
      </c>
      <c r="B244" s="880" t="str">
        <f>Chem!B244</f>
        <v>Diesel range hydrocarbons, weathered</v>
      </c>
      <c r="C244" s="394" t="s">
        <v>232</v>
      </c>
      <c r="D244" s="338" t="s">
        <v>232</v>
      </c>
      <c r="E244" s="394">
        <v>500</v>
      </c>
      <c r="F244" s="394" t="s">
        <v>232</v>
      </c>
      <c r="G244" s="552" t="s">
        <v>232</v>
      </c>
      <c r="H244" s="398">
        <v>2100</v>
      </c>
      <c r="I244" s="338">
        <f t="shared" si="473"/>
        <v>500</v>
      </c>
      <c r="J244" s="407">
        <f>'GW-Eq'!I244</f>
        <v>500</v>
      </c>
      <c r="K244" s="407">
        <f t="shared" si="474"/>
        <v>1</v>
      </c>
      <c r="L244" s="407" t="str">
        <f t="shared" ref="L244" si="496">IF(K244="na","na",IF(K244&gt;1,"YES","no"))</f>
        <v>no</v>
      </c>
      <c r="M244" s="407">
        <f t="shared" si="476"/>
        <v>500</v>
      </c>
      <c r="N244" s="217" t="str">
        <f>'GW-Eq'!J244</f>
        <v>na</v>
      </c>
      <c r="O244" s="217" t="str">
        <f t="shared" si="477"/>
        <v>na</v>
      </c>
      <c r="P244" s="217" t="str">
        <f t="shared" ref="P244" si="497">IF(O244="na","na",IF(O244&gt;10,"YES","no"))</f>
        <v>na</v>
      </c>
      <c r="Q244" s="217" t="str">
        <f t="shared" ref="Q244" si="498">IF(P244="YES",10*N244,IF(P244="no",I244,N244))</f>
        <v>na</v>
      </c>
      <c r="R244" s="1056">
        <f t="shared" si="480"/>
        <v>500</v>
      </c>
      <c r="T244" s="1113" t="str">
        <f t="shared" si="490"/>
        <v/>
      </c>
      <c r="U244" s="1114" t="str">
        <f t="shared" si="490"/>
        <v/>
      </c>
      <c r="V244" s="1114" t="str">
        <f t="shared" si="495"/>
        <v>X</v>
      </c>
      <c r="W244" s="1114" t="str">
        <f t="shared" si="495"/>
        <v/>
      </c>
      <c r="X244" s="1114" t="str">
        <f t="shared" ref="X244" si="499">IF($R244="na","",IF($R244=G244,"X",""))</f>
        <v/>
      </c>
      <c r="Y244" s="1114" t="str">
        <f t="shared" ref="Y244" si="500">IF($R244="na","",IF($R244=H244,"X",""))</f>
        <v/>
      </c>
      <c r="Z244" s="1114" t="str">
        <f t="shared" si="482"/>
        <v>X</v>
      </c>
      <c r="AA244" s="1114" t="str">
        <f t="shared" si="483"/>
        <v/>
      </c>
      <c r="AB244" s="1704" t="str">
        <f t="shared" si="484"/>
        <v/>
      </c>
      <c r="AC244" s="1115" t="str">
        <f t="shared" si="485"/>
        <v/>
      </c>
      <c r="AE244" s="985"/>
    </row>
    <row r="245" spans="1:33" s="130" customFormat="1" ht="13.9" customHeight="1" x14ac:dyDescent="0.25">
      <c r="A245" s="846">
        <f>Chem!A245</f>
        <v>243</v>
      </c>
      <c r="B245" s="900" t="str">
        <f>Chem!B245</f>
        <v>Oil range hydrocarbons</v>
      </c>
      <c r="C245" s="394" t="s">
        <v>232</v>
      </c>
      <c r="D245" s="338" t="s">
        <v>232</v>
      </c>
      <c r="E245" s="394">
        <v>500</v>
      </c>
      <c r="F245" s="394" t="s">
        <v>232</v>
      </c>
      <c r="G245" s="552" t="s">
        <v>232</v>
      </c>
      <c r="H245" s="548" t="s">
        <v>232</v>
      </c>
      <c r="I245" s="338">
        <f t="shared" si="473"/>
        <v>500</v>
      </c>
      <c r="J245" s="407">
        <f>'GW-Eq'!I245</f>
        <v>500</v>
      </c>
      <c r="K245" s="407">
        <f t="shared" si="474"/>
        <v>1</v>
      </c>
      <c r="L245" s="407" t="str">
        <f t="shared" si="475"/>
        <v>no</v>
      </c>
      <c r="M245" s="407">
        <f t="shared" si="476"/>
        <v>500</v>
      </c>
      <c r="N245" s="217" t="str">
        <f>'GW-Eq'!J245</f>
        <v>na</v>
      </c>
      <c r="O245" s="217" t="str">
        <f t="shared" si="477"/>
        <v>na</v>
      </c>
      <c r="P245" s="217" t="str">
        <f t="shared" si="478"/>
        <v>na</v>
      </c>
      <c r="Q245" s="217" t="str">
        <f t="shared" si="479"/>
        <v>na</v>
      </c>
      <c r="R245" s="1054">
        <f t="shared" si="480"/>
        <v>500</v>
      </c>
      <c r="T245" s="1113" t="str">
        <f t="shared" si="490"/>
        <v/>
      </c>
      <c r="U245" s="1114" t="str">
        <f t="shared" si="490"/>
        <v/>
      </c>
      <c r="V245" s="1114" t="str">
        <f t="shared" si="495"/>
        <v>X</v>
      </c>
      <c r="W245" s="1114" t="str">
        <f t="shared" si="495"/>
        <v/>
      </c>
      <c r="X245" s="1114" t="str">
        <f t="shared" si="481"/>
        <v/>
      </c>
      <c r="Y245" s="1114" t="str">
        <f t="shared" si="481"/>
        <v/>
      </c>
      <c r="Z245" s="1114" t="str">
        <f t="shared" si="482"/>
        <v>X</v>
      </c>
      <c r="AA245" s="1114" t="str">
        <f t="shared" si="483"/>
        <v/>
      </c>
      <c r="AB245" s="1704" t="str">
        <f t="shared" si="484"/>
        <v/>
      </c>
      <c r="AC245" s="1115" t="str">
        <f t="shared" si="485"/>
        <v/>
      </c>
      <c r="AE245" s="985"/>
    </row>
    <row r="246" spans="1:33" s="130" customFormat="1" ht="13.9" customHeight="1" x14ac:dyDescent="0.25">
      <c r="A246" s="1661">
        <f>Chem!A246</f>
        <v>244</v>
      </c>
      <c r="B246" s="900" t="str">
        <f>Chem!B246</f>
        <v>Total diesel &amp; oil range hydrocarbons</v>
      </c>
      <c r="C246" s="394" t="s">
        <v>232</v>
      </c>
      <c r="D246" s="338" t="s">
        <v>232</v>
      </c>
      <c r="E246" s="394">
        <v>500</v>
      </c>
      <c r="F246" s="394" t="s">
        <v>232</v>
      </c>
      <c r="G246" s="552" t="s">
        <v>232</v>
      </c>
      <c r="H246" s="548">
        <v>2100</v>
      </c>
      <c r="I246" s="338">
        <f t="shared" si="473"/>
        <v>500</v>
      </c>
      <c r="J246" s="407">
        <f>'GW-Eq'!I246</f>
        <v>500</v>
      </c>
      <c r="K246" s="407">
        <f t="shared" si="474"/>
        <v>1</v>
      </c>
      <c r="L246" s="407" t="str">
        <f t="shared" ref="L246" si="501">IF(K246="na","na",IF(K246&gt;1,"YES","no"))</f>
        <v>no</v>
      </c>
      <c r="M246" s="407">
        <f t="shared" si="476"/>
        <v>500</v>
      </c>
      <c r="N246" s="217" t="str">
        <f>'GW-Eq'!J246</f>
        <v>na</v>
      </c>
      <c r="O246" s="217" t="str">
        <f t="shared" si="477"/>
        <v>na</v>
      </c>
      <c r="P246" s="217" t="str">
        <f t="shared" ref="P246" si="502">IF(O246="na","na",IF(O246&gt;10,"YES","no"))</f>
        <v>na</v>
      </c>
      <c r="Q246" s="217" t="str">
        <f t="shared" ref="Q246" si="503">IF(P246="YES",10*N246,IF(P246="no",I246,N246))</f>
        <v>na</v>
      </c>
      <c r="R246" s="1054">
        <f t="shared" si="480"/>
        <v>500</v>
      </c>
      <c r="T246" s="1336" t="str">
        <f t="shared" si="490"/>
        <v/>
      </c>
      <c r="U246" s="1337" t="str">
        <f t="shared" si="490"/>
        <v/>
      </c>
      <c r="V246" s="1337" t="str">
        <f t="shared" si="495"/>
        <v>X</v>
      </c>
      <c r="W246" s="1337" t="str">
        <f t="shared" si="495"/>
        <v/>
      </c>
      <c r="X246" s="1337" t="str">
        <f t="shared" ref="X246" si="504">IF($R246="na","",IF($R246=G246,"X",""))</f>
        <v/>
      </c>
      <c r="Y246" s="1337" t="str">
        <f t="shared" ref="Y246" si="505">IF($R246="na","",IF($R246=H246,"X",""))</f>
        <v/>
      </c>
      <c r="Z246" s="1337" t="str">
        <f t="shared" si="482"/>
        <v>X</v>
      </c>
      <c r="AA246" s="1337" t="str">
        <f t="shared" si="483"/>
        <v/>
      </c>
      <c r="AB246" s="1705" t="str">
        <f t="shared" si="484"/>
        <v/>
      </c>
      <c r="AC246" s="1338" t="str">
        <f t="shared" si="485"/>
        <v/>
      </c>
      <c r="AE246" s="985"/>
    </row>
    <row r="247" spans="1:33" s="130" customFormat="1" ht="13.9" customHeight="1" x14ac:dyDescent="0.25">
      <c r="A247" s="1197">
        <f>Chem!A247</f>
        <v>245</v>
      </c>
      <c r="B247" s="850" t="str">
        <f>Chem!B247</f>
        <v>Pesticides</v>
      </c>
      <c r="C247" s="2368"/>
      <c r="D247" s="2368"/>
      <c r="E247" s="2368"/>
      <c r="F247" s="2368"/>
      <c r="G247" s="2368"/>
      <c r="H247" s="297"/>
      <c r="I247" s="297"/>
      <c r="J247" s="2368"/>
      <c r="K247" s="297"/>
      <c r="L247" s="2347"/>
      <c r="M247" s="297"/>
      <c r="N247" s="2368"/>
      <c r="O247" s="297"/>
      <c r="P247" s="2347"/>
      <c r="Q247" s="297"/>
      <c r="R247" s="2369"/>
      <c r="T247" s="258" t="str">
        <f>B247</f>
        <v>Pesticides</v>
      </c>
      <c r="U247" s="2372"/>
      <c r="V247" s="2372"/>
      <c r="W247" s="2372"/>
      <c r="X247" s="2372"/>
      <c r="Y247" s="2372"/>
      <c r="Z247" s="2372"/>
      <c r="AA247" s="2372"/>
      <c r="AB247" s="2372"/>
      <c r="AC247" s="2373"/>
      <c r="AE247" s="987"/>
    </row>
    <row r="248" spans="1:33" s="130" customFormat="1" ht="13.9" customHeight="1" x14ac:dyDescent="0.25">
      <c r="A248" s="846">
        <f>Chem!A248</f>
        <v>246</v>
      </c>
      <c r="B248" s="903" t="str">
        <f>Chem!B248</f>
        <v>Aldrin</v>
      </c>
      <c r="C248" s="394">
        <v>1.9E-3</v>
      </c>
      <c r="D248" s="338">
        <v>1.3</v>
      </c>
      <c r="E248" s="394">
        <v>4.1000000000000003E-8</v>
      </c>
      <c r="F248" s="394">
        <v>4.1000000000000003E-8</v>
      </c>
      <c r="G248" s="552">
        <v>7.7000000000000004E-7</v>
      </c>
      <c r="H248" s="384" t="s">
        <v>232</v>
      </c>
      <c r="I248" s="338">
        <f t="shared" ref="I248:I280" si="506">IF(MIN(C248:H248)=0,"na",(MIN(C248:H248)))</f>
        <v>4.1000000000000003E-8</v>
      </c>
      <c r="J248" s="407">
        <f>'GW-Eq'!I248</f>
        <v>4.6120902651951906E-3</v>
      </c>
      <c r="K248" s="407">
        <f t="shared" ref="K248:K280" si="507">IF(I248="na","na",IF(J248="na","na",I248/J248))</f>
        <v>8.8896785714285708E-6</v>
      </c>
      <c r="L248" s="407" t="str">
        <f t="shared" ref="L248:L280" si="508">IF(K248="na","na",IF(K248&gt;1,"YES","no"))</f>
        <v>no</v>
      </c>
      <c r="M248" s="407">
        <f t="shared" ref="M248:M280" si="509">IF(L248="YES",J248,IF(ISNUMBER(I248),I248,J248))</f>
        <v>4.1000000000000003E-8</v>
      </c>
      <c r="N248" s="217">
        <f>'GW-Eq'!J248</f>
        <v>2.2608285613701907E-5</v>
      </c>
      <c r="O248" s="217">
        <f t="shared" ref="O248:O280" si="510">IF(I248="na","na",IF(N248="na","na",I248/N248))</f>
        <v>1.8134944285714291E-3</v>
      </c>
      <c r="P248" s="217" t="str">
        <f t="shared" ref="P248:P280" si="511">IF(O248="na","na",IF(O248&gt;10,"YES","no"))</f>
        <v>no</v>
      </c>
      <c r="Q248" s="217">
        <f t="shared" ref="Q248:Q280" si="512">IF(P248="YES",10*N248,IF(P248="no",I248,N248))</f>
        <v>4.1000000000000003E-8</v>
      </c>
      <c r="R248" s="1053">
        <f t="shared" ref="R248:R280" si="513">IF(MIN($M248,$Q248,$H248)=0,"na",MIN($M248,$Q248,$H248))</f>
        <v>4.1000000000000003E-8</v>
      </c>
      <c r="T248" s="1110" t="str">
        <f t="shared" ref="T248:T280" si="514">IF($R248="na","",IF($R248=C248,"X",""))</f>
        <v/>
      </c>
      <c r="U248" s="1111" t="str">
        <f t="shared" ref="U248:U280" si="515">IF($R248="na","",IF($R248=D248,"X",""))</f>
        <v/>
      </c>
      <c r="V248" s="1111" t="str">
        <f t="shared" ref="V248:V280" si="516">IF($R248="na","",IF($R248=E248,"X",""))</f>
        <v>X</v>
      </c>
      <c r="W248" s="1111" t="str">
        <f t="shared" ref="W248:W280" si="517">IF($R248="na","",IF($R248=F248,"X",""))</f>
        <v>X</v>
      </c>
      <c r="X248" s="1111" t="str">
        <f t="shared" ref="X248:X280" si="518">IF($R248="na","",IF($R248=G248,"X",""))</f>
        <v/>
      </c>
      <c r="Y248" s="1111" t="str">
        <f t="shared" ref="Y248:Y280" si="519">IF($R248="na","",IF($R248=H248,"X",""))</f>
        <v/>
      </c>
      <c r="Z248" s="1111" t="str">
        <f t="shared" ref="Z248:Z280" si="520">IF($R248="na","",IF($R248=J248,"X",""))</f>
        <v/>
      </c>
      <c r="AA248" s="1111" t="str">
        <f t="shared" ref="AA248:AA280" si="521">IF($R248="na","",IF($R248=N248,"X",""))</f>
        <v/>
      </c>
      <c r="AB248" s="1703" t="str">
        <f t="shared" ref="AB248:AB280" si="522">IF(R248="na","",IF(AND(L248="YES",R248=J248),"X",""))</f>
        <v/>
      </c>
      <c r="AC248" s="1112" t="str">
        <f t="shared" ref="AC248:AC280" si="523">IF(OR($R248="na",N248="na"),"",IF($R248=10*N248,"X",""))</f>
        <v/>
      </c>
      <c r="AE248" s="985"/>
      <c r="AG248" s="130" t="str">
        <f>IF(R248=J248,"X","")</f>
        <v/>
      </c>
    </row>
    <row r="249" spans="1:33" s="130" customFormat="1" ht="13.9" customHeight="1" x14ac:dyDescent="0.25">
      <c r="A249" s="846">
        <f>Chem!A249</f>
        <v>247</v>
      </c>
      <c r="B249" s="856" t="str">
        <f>Chem!B249</f>
        <v>alpha-BHC (alpha-HCH)</v>
      </c>
      <c r="C249" s="394" t="s">
        <v>232</v>
      </c>
      <c r="D249" s="338" t="s">
        <v>232</v>
      </c>
      <c r="E249" s="394">
        <v>4.8000000000000001E-5</v>
      </c>
      <c r="F249" s="394">
        <v>4.8000000000000001E-5</v>
      </c>
      <c r="G249" s="552">
        <v>3.8999999999999999E-4</v>
      </c>
      <c r="H249" s="384" t="s">
        <v>232</v>
      </c>
      <c r="I249" s="338">
        <f t="shared" si="506"/>
        <v>4.8000000000000001E-5</v>
      </c>
      <c r="J249" s="407">
        <f>'GW-Eq'!I249</f>
        <v>4.9704142011834325</v>
      </c>
      <c r="K249" s="407">
        <f t="shared" si="507"/>
        <v>9.6571428571428557E-6</v>
      </c>
      <c r="L249" s="407" t="str">
        <f t="shared" si="508"/>
        <v>no</v>
      </c>
      <c r="M249" s="407">
        <f t="shared" si="509"/>
        <v>4.8000000000000001E-5</v>
      </c>
      <c r="N249" s="217">
        <f>'GW-Eq'!J249</f>
        <v>2.1915406530791143E-3</v>
      </c>
      <c r="O249" s="217">
        <f t="shared" si="510"/>
        <v>2.1902400000000002E-2</v>
      </c>
      <c r="P249" s="217" t="str">
        <f t="shared" si="511"/>
        <v>no</v>
      </c>
      <c r="Q249" s="217">
        <f t="shared" si="512"/>
        <v>4.8000000000000001E-5</v>
      </c>
      <c r="R249" s="1056">
        <f t="shared" si="513"/>
        <v>4.8000000000000001E-5</v>
      </c>
      <c r="T249" s="1113" t="str">
        <f t="shared" si="514"/>
        <v/>
      </c>
      <c r="U249" s="1114" t="str">
        <f t="shared" si="515"/>
        <v/>
      </c>
      <c r="V249" s="1114" t="str">
        <f t="shared" si="516"/>
        <v>X</v>
      </c>
      <c r="W249" s="1114" t="str">
        <f t="shared" si="517"/>
        <v>X</v>
      </c>
      <c r="X249" s="1114" t="str">
        <f t="shared" si="518"/>
        <v/>
      </c>
      <c r="Y249" s="1114" t="str">
        <f t="shared" si="519"/>
        <v/>
      </c>
      <c r="Z249" s="1114" t="str">
        <f t="shared" si="520"/>
        <v/>
      </c>
      <c r="AA249" s="1114" t="str">
        <f t="shared" si="521"/>
        <v/>
      </c>
      <c r="AB249" s="1704" t="str">
        <f t="shared" si="522"/>
        <v/>
      </c>
      <c r="AC249" s="1115" t="str">
        <f t="shared" si="523"/>
        <v/>
      </c>
      <c r="AE249" s="985"/>
      <c r="AG249" s="130" t="str">
        <f>IF(R249=J249,"X","")</f>
        <v/>
      </c>
    </row>
    <row r="250" spans="1:33" s="130" customFormat="1" ht="13.9" customHeight="1" x14ac:dyDescent="0.25">
      <c r="A250" s="846">
        <f>Chem!A250</f>
        <v>248</v>
      </c>
      <c r="B250" s="856" t="str">
        <f>Chem!B250</f>
        <v>beta-BHC (beta-HCH)</v>
      </c>
      <c r="C250" s="394" t="s">
        <v>232</v>
      </c>
      <c r="D250" s="338" t="s">
        <v>232</v>
      </c>
      <c r="E250" s="394">
        <v>1.4E-3</v>
      </c>
      <c r="F250" s="394">
        <v>1.4E-3</v>
      </c>
      <c r="G250" s="552">
        <v>1.4E-2</v>
      </c>
      <c r="H250" s="384" t="s">
        <v>232</v>
      </c>
      <c r="I250" s="338">
        <f t="shared" si="506"/>
        <v>1.4E-3</v>
      </c>
      <c r="J250" s="407" t="str">
        <f>'GW-Eq'!I250</f>
        <v>na</v>
      </c>
      <c r="K250" s="407" t="str">
        <f t="shared" si="507"/>
        <v>na</v>
      </c>
      <c r="L250" s="407" t="str">
        <f t="shared" si="508"/>
        <v>na</v>
      </c>
      <c r="M250" s="407">
        <f t="shared" si="509"/>
        <v>1.4E-3</v>
      </c>
      <c r="N250" s="217">
        <f>'GW-Eq'!J250</f>
        <v>7.6703922857768994E-3</v>
      </c>
      <c r="O250" s="217">
        <f t="shared" si="510"/>
        <v>0.18252000000000004</v>
      </c>
      <c r="P250" s="217" t="str">
        <f t="shared" si="511"/>
        <v>no</v>
      </c>
      <c r="Q250" s="217">
        <f t="shared" si="512"/>
        <v>1.4E-3</v>
      </c>
      <c r="R250" s="1056">
        <f t="shared" si="513"/>
        <v>1.4E-3</v>
      </c>
      <c r="T250" s="1113" t="str">
        <f t="shared" si="514"/>
        <v/>
      </c>
      <c r="U250" s="1114" t="str">
        <f t="shared" si="515"/>
        <v/>
      </c>
      <c r="V250" s="1114" t="str">
        <f t="shared" si="516"/>
        <v>X</v>
      </c>
      <c r="W250" s="1114" t="str">
        <f t="shared" si="517"/>
        <v>X</v>
      </c>
      <c r="X250" s="1114" t="str">
        <f t="shared" si="518"/>
        <v/>
      </c>
      <c r="Y250" s="1114" t="str">
        <f t="shared" si="519"/>
        <v/>
      </c>
      <c r="Z250" s="1114" t="str">
        <f t="shared" si="520"/>
        <v/>
      </c>
      <c r="AA250" s="1114" t="str">
        <f t="shared" si="521"/>
        <v/>
      </c>
      <c r="AB250" s="1704" t="str">
        <f t="shared" si="522"/>
        <v/>
      </c>
      <c r="AC250" s="1115" t="str">
        <f t="shared" si="523"/>
        <v/>
      </c>
      <c r="AE250" s="985"/>
      <c r="AG250" s="130" t="str">
        <f>IF(R250=J250,"X","")</f>
        <v/>
      </c>
    </row>
    <row r="251" spans="1:33" s="130" customFormat="1" ht="13.9" customHeight="1" x14ac:dyDescent="0.25">
      <c r="A251" s="846">
        <f>Chem!A251</f>
        <v>249</v>
      </c>
      <c r="B251" s="856" t="str">
        <f>Chem!B251</f>
        <v>delta-BHC (delta-HCH)</v>
      </c>
      <c r="C251" s="394" t="s">
        <v>232</v>
      </c>
      <c r="D251" s="338" t="s">
        <v>232</v>
      </c>
      <c r="E251" s="394" t="s">
        <v>232</v>
      </c>
      <c r="F251" s="394" t="s">
        <v>232</v>
      </c>
      <c r="G251" s="552" t="s">
        <v>232</v>
      </c>
      <c r="H251" s="384" t="s">
        <v>232</v>
      </c>
      <c r="I251" s="338" t="str">
        <f t="shared" si="506"/>
        <v>na</v>
      </c>
      <c r="J251" s="407" t="str">
        <f>'GW-Eq'!I251</f>
        <v>na</v>
      </c>
      <c r="K251" s="407" t="str">
        <f t="shared" si="507"/>
        <v>na</v>
      </c>
      <c r="L251" s="407" t="str">
        <f t="shared" si="508"/>
        <v>na</v>
      </c>
      <c r="M251" s="407" t="str">
        <f t="shared" si="509"/>
        <v>na</v>
      </c>
      <c r="N251" s="217" t="str">
        <f>'GW-Eq'!J251</f>
        <v>na</v>
      </c>
      <c r="O251" s="217" t="str">
        <f t="shared" si="510"/>
        <v>na</v>
      </c>
      <c r="P251" s="217" t="str">
        <f t="shared" si="511"/>
        <v>na</v>
      </c>
      <c r="Q251" s="217" t="str">
        <f t="shared" si="512"/>
        <v>na</v>
      </c>
      <c r="R251" s="1056" t="str">
        <f t="shared" si="513"/>
        <v>na</v>
      </c>
      <c r="T251" s="1113" t="str">
        <f t="shared" si="514"/>
        <v/>
      </c>
      <c r="U251" s="1114" t="str">
        <f t="shared" si="515"/>
        <v/>
      </c>
      <c r="V251" s="1114" t="str">
        <f t="shared" si="516"/>
        <v/>
      </c>
      <c r="W251" s="1114" t="str">
        <f t="shared" si="517"/>
        <v/>
      </c>
      <c r="X251" s="1114" t="str">
        <f t="shared" si="518"/>
        <v/>
      </c>
      <c r="Y251" s="1114" t="str">
        <f t="shared" si="519"/>
        <v/>
      </c>
      <c r="Z251" s="1114" t="str">
        <f t="shared" si="520"/>
        <v/>
      </c>
      <c r="AA251" s="1114" t="str">
        <f t="shared" si="521"/>
        <v/>
      </c>
      <c r="AB251" s="1704" t="str">
        <f t="shared" si="522"/>
        <v/>
      </c>
      <c r="AC251" s="1115" t="str">
        <f t="shared" si="523"/>
        <v/>
      </c>
      <c r="AE251" s="985"/>
    </row>
    <row r="252" spans="1:33" s="130" customFormat="1" ht="13.9" customHeight="1" x14ac:dyDescent="0.25">
      <c r="A252" s="846">
        <f>Chem!A252</f>
        <v>250</v>
      </c>
      <c r="B252" s="856" t="str">
        <f>Chem!B252</f>
        <v>Carbaryl</v>
      </c>
      <c r="C252" s="394">
        <v>1.6</v>
      </c>
      <c r="D252" s="338">
        <v>1.6</v>
      </c>
      <c r="E252" s="394" t="s">
        <v>232</v>
      </c>
      <c r="F252" s="394" t="s">
        <v>232</v>
      </c>
      <c r="G252" s="557" t="s">
        <v>232</v>
      </c>
      <c r="H252" s="384" t="s">
        <v>232</v>
      </c>
      <c r="I252" s="338">
        <f t="shared" si="506"/>
        <v>1.6</v>
      </c>
      <c r="J252" s="407" t="str">
        <f>'GW-Eq'!I252</f>
        <v>na</v>
      </c>
      <c r="K252" s="407" t="str">
        <f t="shared" ref="K252" si="524">IF(I252="na","na",IF(J252="na","na",I252/J252))</f>
        <v>na</v>
      </c>
      <c r="L252" s="407" t="str">
        <f t="shared" ref="L252" si="525">IF(K252="na","na",IF(K252&gt;1,"YES","no"))</f>
        <v>na</v>
      </c>
      <c r="M252" s="407">
        <f t="shared" ref="M252" si="526">IF(L252="YES",J252,IF(ISNUMBER(I252),I252,J252))</f>
        <v>1.6</v>
      </c>
      <c r="N252" s="217" t="str">
        <f>'GW-Eq'!J252</f>
        <v>na</v>
      </c>
      <c r="O252" s="217" t="str">
        <f t="shared" ref="O252" si="527">IF(I252="na","na",IF(N252="na","na",I252/N252))</f>
        <v>na</v>
      </c>
      <c r="P252" s="217" t="str">
        <f t="shared" ref="P252" si="528">IF(O252="na","na",IF(O252&gt;10,"YES","no"))</f>
        <v>na</v>
      </c>
      <c r="Q252" s="217" t="str">
        <f t="shared" ref="Q252" si="529">IF(P252="YES",10*N252,IF(P252="no",I252,N252))</f>
        <v>na</v>
      </c>
      <c r="R252" s="1056">
        <f t="shared" si="513"/>
        <v>1.6</v>
      </c>
      <c r="T252" s="1113" t="str">
        <f t="shared" ref="T252" si="530">IF($R252="na","",IF($R252=C252,"X",""))</f>
        <v>X</v>
      </c>
      <c r="U252" s="1114" t="str">
        <f t="shared" ref="U252" si="531">IF($R252="na","",IF($R252=D252,"X",""))</f>
        <v>X</v>
      </c>
      <c r="V252" s="1114" t="str">
        <f t="shared" ref="V252" si="532">IF($R252="na","",IF($R252=E252,"X",""))</f>
        <v/>
      </c>
      <c r="W252" s="1114" t="str">
        <f t="shared" ref="W252" si="533">IF($R252="na","",IF($R252=F252,"X",""))</f>
        <v/>
      </c>
      <c r="X252" s="1114" t="str">
        <f t="shared" ref="X252" si="534">IF($R252="na","",IF($R252=G252,"X",""))</f>
        <v/>
      </c>
      <c r="Y252" s="1114" t="str">
        <f t="shared" ref="Y252" si="535">IF($R252="na","",IF($R252=H252,"X",""))</f>
        <v/>
      </c>
      <c r="Z252" s="1114" t="str">
        <f t="shared" ref="Z252" si="536">IF($R252="na","",IF($R252=J252,"X",""))</f>
        <v/>
      </c>
      <c r="AA252" s="1114" t="str">
        <f t="shared" ref="AA252" si="537">IF($R252="na","",IF($R252=N252,"X",""))</f>
        <v/>
      </c>
      <c r="AB252" s="1704" t="str">
        <f t="shared" si="522"/>
        <v/>
      </c>
      <c r="AC252" s="1115" t="str">
        <f t="shared" ref="AC252" si="538">IF(OR($R252="na",N252="na"),"",IF($R252=10*N252,"X",""))</f>
        <v/>
      </c>
      <c r="AE252" s="985"/>
    </row>
    <row r="253" spans="1:33" s="130" customFormat="1" ht="13.9" customHeight="1" x14ac:dyDescent="0.25">
      <c r="A253" s="846">
        <f>Chem!A253</f>
        <v>251</v>
      </c>
      <c r="B253" s="856" t="str">
        <f>Chem!B253</f>
        <v>cis-Chlordane (alpha)</v>
      </c>
      <c r="C253" s="394" t="s">
        <v>232</v>
      </c>
      <c r="D253" s="338" t="s">
        <v>232</v>
      </c>
      <c r="E253" s="394" t="s">
        <v>232</v>
      </c>
      <c r="F253" s="394" t="s">
        <v>232</v>
      </c>
      <c r="G253" s="552" t="s">
        <v>232</v>
      </c>
      <c r="H253" s="384" t="s">
        <v>232</v>
      </c>
      <c r="I253" s="338" t="str">
        <f t="shared" si="506"/>
        <v>na</v>
      </c>
      <c r="J253" s="407" t="str">
        <f>'GW-Eq'!I253</f>
        <v>na</v>
      </c>
      <c r="K253" s="407" t="str">
        <f t="shared" si="507"/>
        <v>na</v>
      </c>
      <c r="L253" s="407" t="str">
        <f t="shared" si="508"/>
        <v>na</v>
      </c>
      <c r="M253" s="407" t="str">
        <f t="shared" si="509"/>
        <v>na</v>
      </c>
      <c r="N253" s="217" t="str">
        <f>'GW-Eq'!J253</f>
        <v>na</v>
      </c>
      <c r="O253" s="217" t="str">
        <f t="shared" si="510"/>
        <v>na</v>
      </c>
      <c r="P253" s="217" t="str">
        <f t="shared" si="511"/>
        <v>na</v>
      </c>
      <c r="Q253" s="217" t="str">
        <f t="shared" si="512"/>
        <v>na</v>
      </c>
      <c r="R253" s="1056" t="str">
        <f t="shared" si="513"/>
        <v>na</v>
      </c>
      <c r="T253" s="1113" t="str">
        <f t="shared" si="514"/>
        <v/>
      </c>
      <c r="U253" s="1114" t="str">
        <f t="shared" si="515"/>
        <v/>
      </c>
      <c r="V253" s="1114" t="str">
        <f t="shared" si="516"/>
        <v/>
      </c>
      <c r="W253" s="1114" t="str">
        <f t="shared" si="517"/>
        <v/>
      </c>
      <c r="X253" s="1114" t="str">
        <f t="shared" si="518"/>
        <v/>
      </c>
      <c r="Y253" s="1114" t="str">
        <f t="shared" si="519"/>
        <v/>
      </c>
      <c r="Z253" s="1114" t="str">
        <f t="shared" si="520"/>
        <v/>
      </c>
      <c r="AA253" s="1114" t="str">
        <f t="shared" si="521"/>
        <v/>
      </c>
      <c r="AB253" s="1704" t="str">
        <f t="shared" si="522"/>
        <v/>
      </c>
      <c r="AC253" s="1115" t="str">
        <f t="shared" si="523"/>
        <v/>
      </c>
      <c r="AE253" s="985"/>
    </row>
    <row r="254" spans="1:33" s="130" customFormat="1" ht="13.9" customHeight="1" x14ac:dyDescent="0.25">
      <c r="A254" s="846">
        <f>Chem!A254</f>
        <v>252</v>
      </c>
      <c r="B254" s="856" t="str">
        <f>Chem!B254</f>
        <v>trans-Chlordane (gamma)</v>
      </c>
      <c r="C254" s="394" t="s">
        <v>232</v>
      </c>
      <c r="D254" s="338" t="s">
        <v>232</v>
      </c>
      <c r="E254" s="394" t="s">
        <v>232</v>
      </c>
      <c r="F254" s="394" t="s">
        <v>232</v>
      </c>
      <c r="G254" s="552" t="s">
        <v>232</v>
      </c>
      <c r="H254" s="384" t="s">
        <v>232</v>
      </c>
      <c r="I254" s="338" t="str">
        <f t="shared" si="506"/>
        <v>na</v>
      </c>
      <c r="J254" s="407" t="str">
        <f>'GW-Eq'!I254</f>
        <v>na</v>
      </c>
      <c r="K254" s="407" t="str">
        <f t="shared" si="507"/>
        <v>na</v>
      </c>
      <c r="L254" s="407" t="str">
        <f t="shared" si="508"/>
        <v>na</v>
      </c>
      <c r="M254" s="407" t="str">
        <f t="shared" si="509"/>
        <v>na</v>
      </c>
      <c r="N254" s="217" t="str">
        <f>'GW-Eq'!J254</f>
        <v>na</v>
      </c>
      <c r="O254" s="217" t="str">
        <f t="shared" si="510"/>
        <v>na</v>
      </c>
      <c r="P254" s="217" t="str">
        <f t="shared" si="511"/>
        <v>na</v>
      </c>
      <c r="Q254" s="217" t="str">
        <f t="shared" si="512"/>
        <v>na</v>
      </c>
      <c r="R254" s="1056" t="str">
        <f t="shared" si="513"/>
        <v>na</v>
      </c>
      <c r="T254" s="1113" t="str">
        <f t="shared" si="514"/>
        <v/>
      </c>
      <c r="U254" s="1114" t="str">
        <f t="shared" si="515"/>
        <v/>
      </c>
      <c r="V254" s="1114" t="str">
        <f t="shared" si="516"/>
        <v/>
      </c>
      <c r="W254" s="1114" t="str">
        <f t="shared" si="517"/>
        <v/>
      </c>
      <c r="X254" s="1114" t="str">
        <f t="shared" si="518"/>
        <v/>
      </c>
      <c r="Y254" s="1114" t="str">
        <f t="shared" si="519"/>
        <v/>
      </c>
      <c r="Z254" s="1114" t="str">
        <f t="shared" si="520"/>
        <v/>
      </c>
      <c r="AA254" s="1114" t="str">
        <f t="shared" si="521"/>
        <v/>
      </c>
      <c r="AB254" s="1704" t="str">
        <f t="shared" si="522"/>
        <v/>
      </c>
      <c r="AC254" s="1115" t="str">
        <f t="shared" si="523"/>
        <v/>
      </c>
      <c r="AE254" s="985"/>
    </row>
    <row r="255" spans="1:33" s="130" customFormat="1" ht="13.9" customHeight="1" x14ac:dyDescent="0.25">
      <c r="A255" s="846">
        <f>Chem!A255</f>
        <v>253</v>
      </c>
      <c r="B255" s="856" t="str">
        <f>Chem!B255</f>
        <v>Chlordane</v>
      </c>
      <c r="C255" s="394">
        <v>4.0000000000000001E-3</v>
      </c>
      <c r="D255" s="338">
        <v>4.0000000000000001E-3</v>
      </c>
      <c r="E255" s="394">
        <v>2.1999999999999999E-5</v>
      </c>
      <c r="F255" s="394">
        <v>2.1999999999999999E-5</v>
      </c>
      <c r="G255" s="552">
        <v>3.2000000000000003E-4</v>
      </c>
      <c r="H255" s="384" t="s">
        <v>232</v>
      </c>
      <c r="I255" s="338">
        <f t="shared" si="506"/>
        <v>2.1999999999999999E-5</v>
      </c>
      <c r="J255" s="407">
        <f>'GW-Eq'!I255</f>
        <v>2.5459174395344609E-2</v>
      </c>
      <c r="K255" s="407">
        <f t="shared" si="507"/>
        <v>8.6412857142857138E-4</v>
      </c>
      <c r="L255" s="407" t="str">
        <f t="shared" si="508"/>
        <v>no</v>
      </c>
      <c r="M255" s="407">
        <f t="shared" si="509"/>
        <v>2.1999999999999999E-5</v>
      </c>
      <c r="N255" s="217">
        <f>'GW-Eq'!J255</f>
        <v>3.6370249136206576E-4</v>
      </c>
      <c r="O255" s="217">
        <f t="shared" si="510"/>
        <v>6.0489000000000008E-2</v>
      </c>
      <c r="P255" s="217" t="str">
        <f t="shared" si="511"/>
        <v>no</v>
      </c>
      <c r="Q255" s="217">
        <f t="shared" si="512"/>
        <v>2.1999999999999999E-5</v>
      </c>
      <c r="R255" s="1056">
        <f t="shared" si="513"/>
        <v>2.1999999999999999E-5</v>
      </c>
      <c r="T255" s="1113" t="str">
        <f t="shared" si="514"/>
        <v/>
      </c>
      <c r="U255" s="1114" t="str">
        <f t="shared" si="515"/>
        <v/>
      </c>
      <c r="V255" s="1114" t="str">
        <f t="shared" si="516"/>
        <v>X</v>
      </c>
      <c r="W255" s="1114" t="str">
        <f t="shared" si="517"/>
        <v>X</v>
      </c>
      <c r="X255" s="1114" t="str">
        <f t="shared" si="518"/>
        <v/>
      </c>
      <c r="Y255" s="1114" t="str">
        <f t="shared" si="519"/>
        <v/>
      </c>
      <c r="Z255" s="1114" t="str">
        <f t="shared" si="520"/>
        <v/>
      </c>
      <c r="AA255" s="1114" t="str">
        <f t="shared" si="521"/>
        <v/>
      </c>
      <c r="AB255" s="1704" t="str">
        <f t="shared" si="522"/>
        <v/>
      </c>
      <c r="AC255" s="1115" t="str">
        <f t="shared" si="523"/>
        <v/>
      </c>
      <c r="AE255" s="985"/>
      <c r="AG255" s="130" t="str">
        <f t="shared" ref="AG255:AG262" si="539">IF(R255=J255,"X","")</f>
        <v/>
      </c>
    </row>
    <row r="256" spans="1:33" s="130" customFormat="1" ht="13.9" customHeight="1" x14ac:dyDescent="0.25">
      <c r="A256" s="846">
        <f>Chem!A256</f>
        <v>254</v>
      </c>
      <c r="B256" s="855" t="str">
        <f>Chem!B256</f>
        <v>Chlorpyrifos</v>
      </c>
      <c r="C256" s="394">
        <v>5.5999999999999999E-3</v>
      </c>
      <c r="D256" s="338">
        <v>5.5999999999999999E-3</v>
      </c>
      <c r="E256" s="394" t="s">
        <v>232</v>
      </c>
      <c r="F256" s="394" t="s">
        <v>232</v>
      </c>
      <c r="G256" s="552" t="s">
        <v>232</v>
      </c>
      <c r="H256" s="384" t="s">
        <v>232</v>
      </c>
      <c r="I256" s="338">
        <f t="shared" si="506"/>
        <v>5.5999999999999999E-3</v>
      </c>
      <c r="J256" s="407" t="str">
        <f>'GW-Eq'!I256</f>
        <v>na</v>
      </c>
      <c r="K256" s="407" t="str">
        <f t="shared" si="507"/>
        <v>na</v>
      </c>
      <c r="L256" s="407" t="str">
        <f t="shared" si="508"/>
        <v>na</v>
      </c>
      <c r="M256" s="407">
        <f t="shared" si="509"/>
        <v>5.5999999999999999E-3</v>
      </c>
      <c r="N256" s="217" t="str">
        <f>'GW-Eq'!J256</f>
        <v>na</v>
      </c>
      <c r="O256" s="217" t="str">
        <f t="shared" si="510"/>
        <v>na</v>
      </c>
      <c r="P256" s="217" t="str">
        <f t="shared" si="511"/>
        <v>na</v>
      </c>
      <c r="Q256" s="217" t="str">
        <f t="shared" si="512"/>
        <v>na</v>
      </c>
      <c r="R256" s="1056">
        <f t="shared" si="513"/>
        <v>5.5999999999999999E-3</v>
      </c>
      <c r="T256" s="1113" t="str">
        <f t="shared" si="514"/>
        <v>X</v>
      </c>
      <c r="U256" s="1114" t="str">
        <f t="shared" si="515"/>
        <v>X</v>
      </c>
      <c r="V256" s="1114" t="str">
        <f t="shared" si="516"/>
        <v/>
      </c>
      <c r="W256" s="1114" t="str">
        <f t="shared" si="517"/>
        <v/>
      </c>
      <c r="X256" s="1114" t="str">
        <f t="shared" si="518"/>
        <v/>
      </c>
      <c r="Y256" s="1114" t="str">
        <f t="shared" si="519"/>
        <v/>
      </c>
      <c r="Z256" s="1114" t="str">
        <f t="shared" si="520"/>
        <v/>
      </c>
      <c r="AA256" s="1114" t="str">
        <f t="shared" si="521"/>
        <v/>
      </c>
      <c r="AB256" s="1704" t="str">
        <f t="shared" si="522"/>
        <v/>
      </c>
      <c r="AC256" s="1115" t="str">
        <f t="shared" si="523"/>
        <v/>
      </c>
      <c r="AE256" s="985"/>
      <c r="AG256" s="130" t="str">
        <f t="shared" si="539"/>
        <v/>
      </c>
    </row>
    <row r="257" spans="1:33" s="130" customFormat="1" ht="13.9" customHeight="1" x14ac:dyDescent="0.25">
      <c r="A257" s="846">
        <f>Chem!A257</f>
        <v>255</v>
      </c>
      <c r="B257" s="856" t="str">
        <f>Chem!B257</f>
        <v>4,4'-DDD</v>
      </c>
      <c r="C257" s="394" t="s">
        <v>232</v>
      </c>
      <c r="D257" s="338" t="s">
        <v>232</v>
      </c>
      <c r="E257" s="394">
        <v>7.9000000000000006E-6</v>
      </c>
      <c r="F257" s="394">
        <v>7.9000000000000006E-6</v>
      </c>
      <c r="G257" s="552">
        <v>1.2E-4</v>
      </c>
      <c r="H257" s="384" t="s">
        <v>232</v>
      </c>
      <c r="I257" s="338">
        <f t="shared" si="506"/>
        <v>7.9000000000000006E-6</v>
      </c>
      <c r="J257" s="407">
        <f>'GW-Eq'!I257</f>
        <v>6.697282816685802E-3</v>
      </c>
      <c r="K257" s="407">
        <f t="shared" si="507"/>
        <v>1.1795828571428571E-3</v>
      </c>
      <c r="L257" s="407" t="str">
        <f t="shared" si="508"/>
        <v>no</v>
      </c>
      <c r="M257" s="407">
        <f t="shared" si="509"/>
        <v>7.9000000000000006E-6</v>
      </c>
      <c r="N257" s="217">
        <f>'GW-Eq'!J257</f>
        <v>1.3952672534762084E-4</v>
      </c>
      <c r="O257" s="217">
        <f t="shared" si="510"/>
        <v>5.6619977142857159E-2</v>
      </c>
      <c r="P257" s="217" t="str">
        <f t="shared" si="511"/>
        <v>no</v>
      </c>
      <c r="Q257" s="217">
        <f t="shared" si="512"/>
        <v>7.9000000000000006E-6</v>
      </c>
      <c r="R257" s="1056">
        <f t="shared" si="513"/>
        <v>7.9000000000000006E-6</v>
      </c>
      <c r="T257" s="1113" t="str">
        <f t="shared" si="514"/>
        <v/>
      </c>
      <c r="U257" s="1114" t="str">
        <f t="shared" si="515"/>
        <v/>
      </c>
      <c r="V257" s="1114" t="str">
        <f t="shared" si="516"/>
        <v>X</v>
      </c>
      <c r="W257" s="1114" t="str">
        <f t="shared" si="517"/>
        <v>X</v>
      </c>
      <c r="X257" s="1114" t="str">
        <f t="shared" si="518"/>
        <v/>
      </c>
      <c r="Y257" s="1114" t="str">
        <f t="shared" si="519"/>
        <v/>
      </c>
      <c r="Z257" s="1114" t="str">
        <f t="shared" si="520"/>
        <v/>
      </c>
      <c r="AA257" s="1114" t="str">
        <f t="shared" si="521"/>
        <v/>
      </c>
      <c r="AB257" s="1704" t="str">
        <f t="shared" si="522"/>
        <v/>
      </c>
      <c r="AC257" s="1115" t="str">
        <f t="shared" si="523"/>
        <v/>
      </c>
      <c r="AE257" s="985"/>
      <c r="AG257" s="130" t="str">
        <f t="shared" si="539"/>
        <v/>
      </c>
    </row>
    <row r="258" spans="1:33" s="130" customFormat="1" ht="13.9" customHeight="1" x14ac:dyDescent="0.25">
      <c r="A258" s="846">
        <f>Chem!A258</f>
        <v>256</v>
      </c>
      <c r="B258" s="856" t="str">
        <f>Chem!B258</f>
        <v>4,4'-DDE</v>
      </c>
      <c r="C258" s="394" t="s">
        <v>232</v>
      </c>
      <c r="D258" s="338" t="s">
        <v>232</v>
      </c>
      <c r="E258" s="394">
        <v>8.8000000000000004E-7</v>
      </c>
      <c r="F258" s="394">
        <v>8.8000000000000004E-7</v>
      </c>
      <c r="G258" s="552">
        <v>1.8E-5</v>
      </c>
      <c r="H258" s="384" t="s">
        <v>232</v>
      </c>
      <c r="I258" s="338">
        <f t="shared" si="506"/>
        <v>8.8000000000000004E-7</v>
      </c>
      <c r="J258" s="407">
        <f>'GW-Eq'!I258</f>
        <v>6.697282816685802E-3</v>
      </c>
      <c r="K258" s="407">
        <f t="shared" si="507"/>
        <v>1.3139657142857144E-4</v>
      </c>
      <c r="L258" s="407" t="str">
        <f t="shared" si="508"/>
        <v>no</v>
      </c>
      <c r="M258" s="407">
        <f t="shared" si="509"/>
        <v>8.8000000000000004E-7</v>
      </c>
      <c r="N258" s="217">
        <f>'GW-Eq'!J258</f>
        <v>9.8489453186555894E-5</v>
      </c>
      <c r="O258" s="217">
        <f t="shared" si="510"/>
        <v>8.9349668571428592E-3</v>
      </c>
      <c r="P258" s="217" t="str">
        <f t="shared" si="511"/>
        <v>no</v>
      </c>
      <c r="Q258" s="217">
        <f t="shared" si="512"/>
        <v>8.8000000000000004E-7</v>
      </c>
      <c r="R258" s="1056">
        <f t="shared" si="513"/>
        <v>8.8000000000000004E-7</v>
      </c>
      <c r="T258" s="1113" t="str">
        <f t="shared" si="514"/>
        <v/>
      </c>
      <c r="U258" s="1114" t="str">
        <f t="shared" si="515"/>
        <v/>
      </c>
      <c r="V258" s="1114" t="str">
        <f t="shared" si="516"/>
        <v>X</v>
      </c>
      <c r="W258" s="1114" t="str">
        <f t="shared" si="517"/>
        <v>X</v>
      </c>
      <c r="X258" s="1114" t="str">
        <f t="shared" si="518"/>
        <v/>
      </c>
      <c r="Y258" s="1114" t="str">
        <f t="shared" si="519"/>
        <v/>
      </c>
      <c r="Z258" s="1114" t="str">
        <f t="shared" si="520"/>
        <v/>
      </c>
      <c r="AA258" s="1114" t="str">
        <f t="shared" si="521"/>
        <v/>
      </c>
      <c r="AB258" s="1704" t="str">
        <f t="shared" si="522"/>
        <v/>
      </c>
      <c r="AC258" s="1115" t="str">
        <f t="shared" si="523"/>
        <v/>
      </c>
      <c r="AE258" s="985"/>
      <c r="AG258" s="130" t="str">
        <f t="shared" si="539"/>
        <v/>
      </c>
    </row>
    <row r="259" spans="1:33" s="130" customFormat="1" ht="13.9" customHeight="1" x14ac:dyDescent="0.25">
      <c r="A259" s="846">
        <f>Chem!A259</f>
        <v>257</v>
      </c>
      <c r="B259" s="856" t="str">
        <f>Chem!B259</f>
        <v>4,4'-DDT</v>
      </c>
      <c r="C259" s="394">
        <v>1E-3</v>
      </c>
      <c r="D259" s="338">
        <v>1E-3</v>
      </c>
      <c r="E259" s="394">
        <v>1.1999999999999999E-6</v>
      </c>
      <c r="F259" s="394">
        <v>1.1999999999999999E-6</v>
      </c>
      <c r="G259" s="552">
        <v>3.0000000000000001E-5</v>
      </c>
      <c r="H259" s="384" t="s">
        <v>232</v>
      </c>
      <c r="I259" s="338">
        <f t="shared" si="506"/>
        <v>1.1999999999999999E-6</v>
      </c>
      <c r="J259" s="407">
        <f>'GW-Eq'!I259</f>
        <v>6.697282816685802E-3</v>
      </c>
      <c r="K259" s="407">
        <f t="shared" si="507"/>
        <v>1.7917714285714285E-4</v>
      </c>
      <c r="L259" s="407" t="str">
        <f t="shared" si="508"/>
        <v>no</v>
      </c>
      <c r="M259" s="407">
        <f t="shared" si="509"/>
        <v>1.1999999999999999E-6</v>
      </c>
      <c r="N259" s="217">
        <f>'GW-Eq'!J259</f>
        <v>9.8489453186555894E-5</v>
      </c>
      <c r="O259" s="217">
        <f t="shared" si="510"/>
        <v>1.2184045714285715E-2</v>
      </c>
      <c r="P259" s="217" t="str">
        <f t="shared" si="511"/>
        <v>no</v>
      </c>
      <c r="Q259" s="217">
        <f t="shared" si="512"/>
        <v>1.1999999999999999E-6</v>
      </c>
      <c r="R259" s="1056">
        <f t="shared" si="513"/>
        <v>1.1999999999999999E-6</v>
      </c>
      <c r="T259" s="1113" t="str">
        <f t="shared" si="514"/>
        <v/>
      </c>
      <c r="U259" s="1114" t="str">
        <f t="shared" si="515"/>
        <v/>
      </c>
      <c r="V259" s="1114" t="str">
        <f t="shared" si="516"/>
        <v>X</v>
      </c>
      <c r="W259" s="1114" t="str">
        <f t="shared" si="517"/>
        <v>X</v>
      </c>
      <c r="X259" s="1114" t="str">
        <f t="shared" si="518"/>
        <v/>
      </c>
      <c r="Y259" s="1114" t="str">
        <f t="shared" si="519"/>
        <v/>
      </c>
      <c r="Z259" s="1114" t="str">
        <f t="shared" si="520"/>
        <v/>
      </c>
      <c r="AA259" s="1114" t="str">
        <f t="shared" si="521"/>
        <v/>
      </c>
      <c r="AB259" s="1704" t="str">
        <f t="shared" si="522"/>
        <v/>
      </c>
      <c r="AC259" s="1115" t="str">
        <f t="shared" si="523"/>
        <v/>
      </c>
      <c r="AE259" s="985"/>
      <c r="AG259" s="130" t="str">
        <f t="shared" si="539"/>
        <v/>
      </c>
    </row>
    <row r="260" spans="1:33" s="130" customFormat="1" ht="13.9" customHeight="1" x14ac:dyDescent="0.25">
      <c r="A260" s="846">
        <f>Chem!A260</f>
        <v>258</v>
      </c>
      <c r="B260" s="856" t="str">
        <f>Chem!B260</f>
        <v xml:space="preserve">Total DDD </v>
      </c>
      <c r="C260" s="394" t="s">
        <v>232</v>
      </c>
      <c r="D260" s="338" t="s">
        <v>232</v>
      </c>
      <c r="E260" s="394">
        <v>7.9000000000000006E-6</v>
      </c>
      <c r="F260" s="394">
        <v>7.9000000000000006E-6</v>
      </c>
      <c r="G260" s="552">
        <v>1.2E-4</v>
      </c>
      <c r="H260" s="384" t="s">
        <v>232</v>
      </c>
      <c r="I260" s="338">
        <f t="shared" si="506"/>
        <v>7.9000000000000006E-6</v>
      </c>
      <c r="J260" s="407">
        <f>'GW-Eq'!I260</f>
        <v>6.697282816685802E-3</v>
      </c>
      <c r="K260" s="407">
        <f t="shared" si="507"/>
        <v>1.1795828571428571E-3</v>
      </c>
      <c r="L260" s="407" t="str">
        <f t="shared" si="508"/>
        <v>no</v>
      </c>
      <c r="M260" s="407">
        <f t="shared" si="509"/>
        <v>7.9000000000000006E-6</v>
      </c>
      <c r="N260" s="217">
        <f>'GW-Eq'!J260</f>
        <v>1.3952672534762084E-4</v>
      </c>
      <c r="O260" s="217">
        <f t="shared" si="510"/>
        <v>5.6619977142857159E-2</v>
      </c>
      <c r="P260" s="217" t="str">
        <f t="shared" si="511"/>
        <v>no</v>
      </c>
      <c r="Q260" s="217">
        <f t="shared" si="512"/>
        <v>7.9000000000000006E-6</v>
      </c>
      <c r="R260" s="1056">
        <f t="shared" si="513"/>
        <v>7.9000000000000006E-6</v>
      </c>
      <c r="T260" s="1113" t="str">
        <f t="shared" si="514"/>
        <v/>
      </c>
      <c r="U260" s="1114" t="str">
        <f t="shared" si="515"/>
        <v/>
      </c>
      <c r="V260" s="1114" t="str">
        <f t="shared" si="516"/>
        <v>X</v>
      </c>
      <c r="W260" s="1114" t="str">
        <f t="shared" si="517"/>
        <v>X</v>
      </c>
      <c r="X260" s="1114" t="str">
        <f t="shared" si="518"/>
        <v/>
      </c>
      <c r="Y260" s="1114" t="str">
        <f t="shared" si="519"/>
        <v/>
      </c>
      <c r="Z260" s="1114" t="str">
        <f t="shared" si="520"/>
        <v/>
      </c>
      <c r="AA260" s="1114" t="str">
        <f t="shared" si="521"/>
        <v/>
      </c>
      <c r="AB260" s="1704" t="str">
        <f t="shared" si="522"/>
        <v/>
      </c>
      <c r="AC260" s="1115" t="str">
        <f t="shared" si="523"/>
        <v/>
      </c>
      <c r="AE260" s="985"/>
      <c r="AG260" s="130" t="str">
        <f t="shared" si="539"/>
        <v/>
      </c>
    </row>
    <row r="261" spans="1:33" s="130" customFormat="1" ht="13.9" customHeight="1" x14ac:dyDescent="0.25">
      <c r="A261" s="846">
        <f>Chem!A261</f>
        <v>259</v>
      </c>
      <c r="B261" s="856" t="str">
        <f>Chem!B261</f>
        <v>Total DDE</v>
      </c>
      <c r="C261" s="394" t="s">
        <v>232</v>
      </c>
      <c r="D261" s="338" t="s">
        <v>232</v>
      </c>
      <c r="E261" s="394">
        <v>8.8000000000000004E-7</v>
      </c>
      <c r="F261" s="394">
        <v>8.8000000000000004E-7</v>
      </c>
      <c r="G261" s="552">
        <v>1.8E-5</v>
      </c>
      <c r="H261" s="384" t="s">
        <v>232</v>
      </c>
      <c r="I261" s="338">
        <f t="shared" si="506"/>
        <v>8.8000000000000004E-7</v>
      </c>
      <c r="J261" s="407">
        <f>'GW-Eq'!I261</f>
        <v>6.697282816685802E-3</v>
      </c>
      <c r="K261" s="407">
        <f t="shared" si="507"/>
        <v>1.3139657142857144E-4</v>
      </c>
      <c r="L261" s="407" t="str">
        <f t="shared" si="508"/>
        <v>no</v>
      </c>
      <c r="M261" s="407">
        <f t="shared" si="509"/>
        <v>8.8000000000000004E-7</v>
      </c>
      <c r="N261" s="217">
        <f>'GW-Eq'!J261</f>
        <v>9.8489453186555894E-5</v>
      </c>
      <c r="O261" s="217">
        <f t="shared" si="510"/>
        <v>8.9349668571428592E-3</v>
      </c>
      <c r="P261" s="217" t="str">
        <f t="shared" si="511"/>
        <v>no</v>
      </c>
      <c r="Q261" s="217">
        <f t="shared" si="512"/>
        <v>8.8000000000000004E-7</v>
      </c>
      <c r="R261" s="1056">
        <f t="shared" si="513"/>
        <v>8.8000000000000004E-7</v>
      </c>
      <c r="T261" s="1113" t="str">
        <f t="shared" si="514"/>
        <v/>
      </c>
      <c r="U261" s="1114" t="str">
        <f t="shared" si="515"/>
        <v/>
      </c>
      <c r="V261" s="1114" t="str">
        <f t="shared" si="516"/>
        <v>X</v>
      </c>
      <c r="W261" s="1114" t="str">
        <f t="shared" si="517"/>
        <v>X</v>
      </c>
      <c r="X261" s="1114" t="str">
        <f t="shared" si="518"/>
        <v/>
      </c>
      <c r="Y261" s="1114" t="str">
        <f t="shared" si="519"/>
        <v/>
      </c>
      <c r="Z261" s="1114" t="str">
        <f t="shared" si="520"/>
        <v/>
      </c>
      <c r="AA261" s="1114" t="str">
        <f t="shared" si="521"/>
        <v/>
      </c>
      <c r="AB261" s="1704" t="str">
        <f t="shared" si="522"/>
        <v/>
      </c>
      <c r="AC261" s="1115" t="str">
        <f t="shared" si="523"/>
        <v/>
      </c>
      <c r="AE261" s="985"/>
      <c r="AG261" s="130" t="str">
        <f t="shared" si="539"/>
        <v/>
      </c>
    </row>
    <row r="262" spans="1:33" s="130" customFormat="1" ht="13.9" customHeight="1" x14ac:dyDescent="0.25">
      <c r="A262" s="846">
        <f>Chem!A262</f>
        <v>260</v>
      </c>
      <c r="B262" s="856" t="str">
        <f>Chem!B262</f>
        <v>Total DDT</v>
      </c>
      <c r="C262" s="394">
        <v>1E-3</v>
      </c>
      <c r="D262" s="338">
        <v>1E-3</v>
      </c>
      <c r="E262" s="394">
        <v>1.1999999999999999E-6</v>
      </c>
      <c r="F262" s="394">
        <v>1.1999999999999999E-6</v>
      </c>
      <c r="G262" s="552">
        <v>3.0000000000000001E-5</v>
      </c>
      <c r="H262" s="384" t="s">
        <v>232</v>
      </c>
      <c r="I262" s="338">
        <f t="shared" si="506"/>
        <v>1.1999999999999999E-6</v>
      </c>
      <c r="J262" s="407">
        <f>'GW-Eq'!I262</f>
        <v>6.697282816685802E-3</v>
      </c>
      <c r="K262" s="407">
        <f t="shared" si="507"/>
        <v>1.7917714285714285E-4</v>
      </c>
      <c r="L262" s="407" t="str">
        <f t="shared" si="508"/>
        <v>no</v>
      </c>
      <c r="M262" s="407">
        <f t="shared" si="509"/>
        <v>1.1999999999999999E-6</v>
      </c>
      <c r="N262" s="217">
        <f>'GW-Eq'!J262</f>
        <v>9.8489453186555894E-5</v>
      </c>
      <c r="O262" s="217">
        <f t="shared" si="510"/>
        <v>1.2184045714285715E-2</v>
      </c>
      <c r="P262" s="217" t="str">
        <f t="shared" si="511"/>
        <v>no</v>
      </c>
      <c r="Q262" s="217">
        <f t="shared" si="512"/>
        <v>1.1999999999999999E-6</v>
      </c>
      <c r="R262" s="1056">
        <f t="shared" si="513"/>
        <v>1.1999999999999999E-6</v>
      </c>
      <c r="T262" s="1113" t="str">
        <f t="shared" si="514"/>
        <v/>
      </c>
      <c r="U262" s="1114" t="str">
        <f t="shared" si="515"/>
        <v/>
      </c>
      <c r="V262" s="1114" t="str">
        <f t="shared" si="516"/>
        <v>X</v>
      </c>
      <c r="W262" s="1114" t="str">
        <f t="shared" si="517"/>
        <v>X</v>
      </c>
      <c r="X262" s="1114" t="str">
        <f t="shared" si="518"/>
        <v/>
      </c>
      <c r="Y262" s="1114" t="str">
        <f t="shared" si="519"/>
        <v/>
      </c>
      <c r="Z262" s="1114" t="str">
        <f t="shared" si="520"/>
        <v/>
      </c>
      <c r="AA262" s="1114" t="str">
        <f t="shared" si="521"/>
        <v/>
      </c>
      <c r="AB262" s="1704" t="str">
        <f t="shared" si="522"/>
        <v/>
      </c>
      <c r="AC262" s="1115" t="str">
        <f t="shared" si="523"/>
        <v/>
      </c>
      <c r="AE262" s="985"/>
      <c r="AG262" s="130" t="str">
        <f t="shared" si="539"/>
        <v/>
      </c>
    </row>
    <row r="263" spans="1:33" s="130" customFormat="1" ht="13.9" customHeight="1" x14ac:dyDescent="0.25">
      <c r="A263" s="846">
        <f>Chem!A263</f>
        <v>261</v>
      </c>
      <c r="B263" s="855" t="str">
        <f>Chem!B263</f>
        <v>Diazinon</v>
      </c>
      <c r="C263" s="394">
        <v>0.82</v>
      </c>
      <c r="D263" s="338">
        <v>0.82</v>
      </c>
      <c r="E263" s="394" t="s">
        <v>232</v>
      </c>
      <c r="F263" s="394" t="s">
        <v>232</v>
      </c>
      <c r="G263" s="552" t="s">
        <v>232</v>
      </c>
      <c r="H263" s="384" t="s">
        <v>232</v>
      </c>
      <c r="I263" s="338">
        <f t="shared" si="506"/>
        <v>0.82</v>
      </c>
      <c r="J263" s="407" t="str">
        <f>'GW-Eq'!I263</f>
        <v>na</v>
      </c>
      <c r="K263" s="407" t="str">
        <f t="shared" si="507"/>
        <v>na</v>
      </c>
      <c r="L263" s="407" t="str">
        <f t="shared" si="508"/>
        <v>na</v>
      </c>
      <c r="M263" s="407">
        <f t="shared" si="509"/>
        <v>0.82</v>
      </c>
      <c r="N263" s="217" t="str">
        <f>'GW-Eq'!J263</f>
        <v>na</v>
      </c>
      <c r="O263" s="217" t="str">
        <f t="shared" si="510"/>
        <v>na</v>
      </c>
      <c r="P263" s="217" t="str">
        <f t="shared" si="511"/>
        <v>na</v>
      </c>
      <c r="Q263" s="217" t="str">
        <f t="shared" si="512"/>
        <v>na</v>
      </c>
      <c r="R263" s="1056">
        <f t="shared" si="513"/>
        <v>0.82</v>
      </c>
      <c r="T263" s="1113" t="str">
        <f t="shared" si="514"/>
        <v>X</v>
      </c>
      <c r="U263" s="1114" t="str">
        <f t="shared" si="515"/>
        <v>X</v>
      </c>
      <c r="V263" s="1114" t="str">
        <f t="shared" si="516"/>
        <v/>
      </c>
      <c r="W263" s="1114" t="str">
        <f t="shared" si="517"/>
        <v/>
      </c>
      <c r="X263" s="1114" t="str">
        <f t="shared" si="518"/>
        <v/>
      </c>
      <c r="Y263" s="1114" t="str">
        <f t="shared" si="519"/>
        <v/>
      </c>
      <c r="Z263" s="1114" t="str">
        <f t="shared" si="520"/>
        <v/>
      </c>
      <c r="AA263" s="1114" t="str">
        <f t="shared" si="521"/>
        <v/>
      </c>
      <c r="AB263" s="1704" t="str">
        <f t="shared" si="522"/>
        <v/>
      </c>
      <c r="AC263" s="1115" t="str">
        <f t="shared" si="523"/>
        <v/>
      </c>
      <c r="AE263" s="985"/>
    </row>
    <row r="264" spans="1:33" s="130" customFormat="1" ht="13.9" customHeight="1" x14ac:dyDescent="0.25">
      <c r="A264" s="846">
        <f>Chem!A264</f>
        <v>262</v>
      </c>
      <c r="B264" s="856" t="str">
        <f>Chem!B264</f>
        <v>Dieldrin</v>
      </c>
      <c r="C264" s="394">
        <v>1.9E-3</v>
      </c>
      <c r="D264" s="338">
        <v>1.9E-3</v>
      </c>
      <c r="E264" s="394">
        <v>7.0000000000000005E-8</v>
      </c>
      <c r="F264" s="394">
        <v>7.0000000000000005E-8</v>
      </c>
      <c r="G264" s="552">
        <v>1.1999999999999999E-6</v>
      </c>
      <c r="H264" s="384" t="s">
        <v>232</v>
      </c>
      <c r="I264" s="338">
        <f t="shared" si="506"/>
        <v>7.0000000000000005E-8</v>
      </c>
      <c r="J264" s="407">
        <f>'GW-Eq'!I264</f>
        <v>7.6868171086586518E-3</v>
      </c>
      <c r="K264" s="407">
        <f t="shared" si="507"/>
        <v>9.1064999999999983E-6</v>
      </c>
      <c r="L264" s="407" t="str">
        <f t="shared" si="508"/>
        <v>no</v>
      </c>
      <c r="M264" s="407">
        <f t="shared" si="509"/>
        <v>7.0000000000000005E-8</v>
      </c>
      <c r="N264" s="217">
        <f>'GW-Eq'!J264</f>
        <v>2.4021303464558277E-5</v>
      </c>
      <c r="O264" s="217">
        <f t="shared" si="510"/>
        <v>2.9140800000000007E-3</v>
      </c>
      <c r="P264" s="217" t="str">
        <f t="shared" si="511"/>
        <v>no</v>
      </c>
      <c r="Q264" s="217">
        <f t="shared" si="512"/>
        <v>7.0000000000000005E-8</v>
      </c>
      <c r="R264" s="1056">
        <f t="shared" si="513"/>
        <v>7.0000000000000005E-8</v>
      </c>
      <c r="T264" s="1113" t="str">
        <f t="shared" si="514"/>
        <v/>
      </c>
      <c r="U264" s="1114" t="str">
        <f t="shared" si="515"/>
        <v/>
      </c>
      <c r="V264" s="1114" t="str">
        <f t="shared" si="516"/>
        <v>X</v>
      </c>
      <c r="W264" s="1114" t="str">
        <f t="shared" si="517"/>
        <v>X</v>
      </c>
      <c r="X264" s="1114" t="str">
        <f t="shared" si="518"/>
        <v/>
      </c>
      <c r="Y264" s="1114" t="str">
        <f t="shared" si="519"/>
        <v/>
      </c>
      <c r="Z264" s="1114" t="str">
        <f t="shared" si="520"/>
        <v/>
      </c>
      <c r="AA264" s="1114" t="str">
        <f t="shared" si="521"/>
        <v/>
      </c>
      <c r="AB264" s="1704" t="str">
        <f t="shared" si="522"/>
        <v/>
      </c>
      <c r="AC264" s="1115" t="str">
        <f t="shared" si="523"/>
        <v/>
      </c>
      <c r="AE264" s="985"/>
      <c r="AG264" s="130" t="str">
        <f t="shared" ref="AG264:AG271" si="540">IF(R264=J264,"X","")</f>
        <v/>
      </c>
    </row>
    <row r="265" spans="1:33" s="130" customFormat="1" ht="13.9" customHeight="1" x14ac:dyDescent="0.25">
      <c r="A265" s="846">
        <f>Chem!A265</f>
        <v>263</v>
      </c>
      <c r="B265" s="856" t="str">
        <f>Chem!B265</f>
        <v>alpha-Endosulfan</v>
      </c>
      <c r="C265" s="394">
        <v>8.6999999999999994E-3</v>
      </c>
      <c r="D265" s="338">
        <v>8.6999999999999994E-3</v>
      </c>
      <c r="E265" s="394">
        <v>7</v>
      </c>
      <c r="F265" s="394">
        <v>7</v>
      </c>
      <c r="G265" s="552">
        <v>30</v>
      </c>
      <c r="H265" s="384" t="s">
        <v>232</v>
      </c>
      <c r="I265" s="338">
        <f t="shared" si="506"/>
        <v>8.6999999999999994E-3</v>
      </c>
      <c r="J265" s="407" t="str">
        <f>'GW-Eq'!I265</f>
        <v>na</v>
      </c>
      <c r="K265" s="407" t="str">
        <f t="shared" ref="K265:K269" si="541">IF(I265="na","na",IF(J265="na","na",I265/J265))</f>
        <v>na</v>
      </c>
      <c r="L265" s="407" t="str">
        <f t="shared" ref="L265:L269" si="542">IF(K265="na","na",IF(K265&gt;1,"YES","no"))</f>
        <v>na</v>
      </c>
      <c r="M265" s="407">
        <f t="shared" ref="M265:M269" si="543">IF(L265="YES",J265,IF(ISNUMBER(I265),I265,J265))</f>
        <v>8.6999999999999994E-3</v>
      </c>
      <c r="N265" s="217" t="str">
        <f>'GW-Eq'!J265</f>
        <v>na</v>
      </c>
      <c r="O265" s="217" t="str">
        <f t="shared" ref="O265:O269" si="544">IF(I265="na","na",IF(N265="na","na",I265/N265))</f>
        <v>na</v>
      </c>
      <c r="P265" s="217" t="str">
        <f t="shared" ref="P265:P269" si="545">IF(O265="na","na",IF(O265&gt;10,"YES","no"))</f>
        <v>na</v>
      </c>
      <c r="Q265" s="217" t="str">
        <f t="shared" ref="Q265:Q269" si="546">IF(P265="YES",10*N265,IF(P265="no",I265,N265))</f>
        <v>na</v>
      </c>
      <c r="R265" s="1056">
        <f t="shared" si="513"/>
        <v>8.6999999999999994E-3</v>
      </c>
      <c r="T265" s="1113" t="str">
        <f t="shared" ref="T265:T269" si="547">IF($R265="na","",IF($R265=C265,"X",""))</f>
        <v>X</v>
      </c>
      <c r="U265" s="1114" t="str">
        <f t="shared" ref="U265:U269" si="548">IF($R265="na","",IF($R265=D265,"X",""))</f>
        <v>X</v>
      </c>
      <c r="V265" s="1114" t="str">
        <f t="shared" ref="V265:V269" si="549">IF($R265="na","",IF($R265=E265,"X",""))</f>
        <v/>
      </c>
      <c r="W265" s="1114" t="str">
        <f t="shared" ref="W265:W269" si="550">IF($R265="na","",IF($R265=F265,"X",""))</f>
        <v/>
      </c>
      <c r="X265" s="1114" t="str">
        <f t="shared" ref="X265:X269" si="551">IF($R265="na","",IF($R265=G265,"X",""))</f>
        <v/>
      </c>
      <c r="Y265" s="1114" t="str">
        <f t="shared" ref="Y265:Y269" si="552">IF($R265="na","",IF($R265=H265,"X",""))</f>
        <v/>
      </c>
      <c r="Z265" s="1114" t="str">
        <f t="shared" ref="Z265:Z269" si="553">IF($R265="na","",IF($R265=J265,"X",""))</f>
        <v/>
      </c>
      <c r="AA265" s="1114" t="str">
        <f t="shared" ref="AA265:AA269" si="554">IF($R265="na","",IF($R265=N265,"X",""))</f>
        <v/>
      </c>
      <c r="AB265" s="1704" t="str">
        <f t="shared" ref="AB265:AB269" si="555">IF(R265="na","",IF(AND(L265="YES",R265=J265),"X",""))</f>
        <v/>
      </c>
      <c r="AC265" s="1115" t="str">
        <f t="shared" ref="AC265:AC269" si="556">IF(OR($R265="na",N265="na"),"",IF($R265=10*N265,"X",""))</f>
        <v/>
      </c>
      <c r="AE265" s="985"/>
    </row>
    <row r="266" spans="1:33" s="130" customFormat="1" ht="13.9" customHeight="1" x14ac:dyDescent="0.25">
      <c r="A266" s="846">
        <f>Chem!A266</f>
        <v>264</v>
      </c>
      <c r="B266" s="856" t="str">
        <f>Chem!B266</f>
        <v>beta-Endosulfan</v>
      </c>
      <c r="C266" s="394">
        <v>8.6999999999999994E-3</v>
      </c>
      <c r="D266" s="338">
        <v>8.6999999999999994E-3</v>
      </c>
      <c r="E266" s="394">
        <v>10</v>
      </c>
      <c r="F266" s="394" t="s">
        <v>232</v>
      </c>
      <c r="G266" s="552">
        <v>40</v>
      </c>
      <c r="H266" s="384" t="s">
        <v>232</v>
      </c>
      <c r="I266" s="338">
        <f t="shared" si="506"/>
        <v>8.6999999999999994E-3</v>
      </c>
      <c r="J266" s="407" t="str">
        <f>'GW-Eq'!I266</f>
        <v>na</v>
      </c>
      <c r="K266" s="407" t="str">
        <f t="shared" si="541"/>
        <v>na</v>
      </c>
      <c r="L266" s="407" t="str">
        <f t="shared" si="542"/>
        <v>na</v>
      </c>
      <c r="M266" s="407">
        <f t="shared" si="543"/>
        <v>8.6999999999999994E-3</v>
      </c>
      <c r="N266" s="217" t="str">
        <f>'GW-Eq'!J266</f>
        <v>na</v>
      </c>
      <c r="O266" s="217" t="str">
        <f t="shared" si="544"/>
        <v>na</v>
      </c>
      <c r="P266" s="217" t="str">
        <f t="shared" si="545"/>
        <v>na</v>
      </c>
      <c r="Q266" s="217" t="str">
        <f t="shared" si="546"/>
        <v>na</v>
      </c>
      <c r="R266" s="1056">
        <f t="shared" si="513"/>
        <v>8.6999999999999994E-3</v>
      </c>
      <c r="T266" s="1113" t="str">
        <f t="shared" si="547"/>
        <v>X</v>
      </c>
      <c r="U266" s="1114" t="str">
        <f t="shared" si="548"/>
        <v>X</v>
      </c>
      <c r="V266" s="1114" t="str">
        <f t="shared" si="549"/>
        <v/>
      </c>
      <c r="W266" s="1114" t="str">
        <f t="shared" si="550"/>
        <v/>
      </c>
      <c r="X266" s="1114" t="str">
        <f t="shared" si="551"/>
        <v/>
      </c>
      <c r="Y266" s="1114" t="str">
        <f t="shared" si="552"/>
        <v/>
      </c>
      <c r="Z266" s="1114" t="str">
        <f t="shared" si="553"/>
        <v/>
      </c>
      <c r="AA266" s="1114" t="str">
        <f t="shared" si="554"/>
        <v/>
      </c>
      <c r="AB266" s="1704" t="str">
        <f t="shared" si="555"/>
        <v/>
      </c>
      <c r="AC266" s="1115" t="str">
        <f t="shared" si="556"/>
        <v/>
      </c>
      <c r="AE266" s="985"/>
    </row>
    <row r="267" spans="1:33" s="130" customFormat="1" ht="13.9" customHeight="1" x14ac:dyDescent="0.25">
      <c r="A267" s="846">
        <f>Chem!A267</f>
        <v>265</v>
      </c>
      <c r="B267" s="856" t="str">
        <f>Chem!B267</f>
        <v>Sum of alpha and beta endosuflan</v>
      </c>
      <c r="C267" s="394">
        <v>8.6999999999999994E-3</v>
      </c>
      <c r="D267" s="338">
        <v>8.6999999999999994E-3</v>
      </c>
      <c r="E267" s="394" t="s">
        <v>232</v>
      </c>
      <c r="F267" s="394" t="s">
        <v>232</v>
      </c>
      <c r="G267" s="557" t="s">
        <v>232</v>
      </c>
      <c r="H267" s="384" t="s">
        <v>232</v>
      </c>
      <c r="I267" s="338">
        <f t="shared" si="506"/>
        <v>8.6999999999999994E-3</v>
      </c>
      <c r="J267" s="407">
        <f>'GW-Eq'!I267</f>
        <v>15.954415954415953</v>
      </c>
      <c r="K267" s="407">
        <f t="shared" si="541"/>
        <v>5.4530357142857147E-4</v>
      </c>
      <c r="L267" s="407" t="str">
        <f t="shared" si="542"/>
        <v>no</v>
      </c>
      <c r="M267" s="407">
        <f t="shared" si="543"/>
        <v>8.6999999999999994E-3</v>
      </c>
      <c r="N267" s="217" t="str">
        <f>'GW-Eq'!J267</f>
        <v>na</v>
      </c>
      <c r="O267" s="217" t="str">
        <f t="shared" si="544"/>
        <v>na</v>
      </c>
      <c r="P267" s="217" t="str">
        <f t="shared" si="545"/>
        <v>na</v>
      </c>
      <c r="Q267" s="217" t="str">
        <f t="shared" si="546"/>
        <v>na</v>
      </c>
      <c r="R267" s="1056">
        <f t="shared" si="513"/>
        <v>8.6999999999999994E-3</v>
      </c>
      <c r="T267" s="1113" t="str">
        <f t="shared" si="547"/>
        <v>X</v>
      </c>
      <c r="U267" s="1114" t="str">
        <f t="shared" si="548"/>
        <v>X</v>
      </c>
      <c r="V267" s="1114" t="str">
        <f t="shared" si="549"/>
        <v/>
      </c>
      <c r="W267" s="1114" t="str">
        <f t="shared" si="550"/>
        <v/>
      </c>
      <c r="X267" s="1114" t="str">
        <f t="shared" si="551"/>
        <v/>
      </c>
      <c r="Y267" s="1114" t="str">
        <f t="shared" si="552"/>
        <v/>
      </c>
      <c r="Z267" s="1114" t="str">
        <f t="shared" si="553"/>
        <v/>
      </c>
      <c r="AA267" s="1114" t="str">
        <f t="shared" si="554"/>
        <v/>
      </c>
      <c r="AB267" s="1704" t="str">
        <f t="shared" si="555"/>
        <v/>
      </c>
      <c r="AC267" s="1115" t="str">
        <f t="shared" si="556"/>
        <v/>
      </c>
      <c r="AE267" s="985"/>
      <c r="AG267" s="130" t="str">
        <f t="shared" si="540"/>
        <v/>
      </c>
    </row>
    <row r="268" spans="1:33" s="130" customFormat="1" ht="13.9" customHeight="1" x14ac:dyDescent="0.25">
      <c r="A268" s="846">
        <f>Chem!A268</f>
        <v>266</v>
      </c>
      <c r="B268" s="856" t="str">
        <f>Chem!B268</f>
        <v>Endosulfan sulfate</v>
      </c>
      <c r="C268" s="394" t="s">
        <v>232</v>
      </c>
      <c r="D268" s="338" t="s">
        <v>232</v>
      </c>
      <c r="E268" s="394">
        <v>10</v>
      </c>
      <c r="F268" s="394" t="s">
        <v>232</v>
      </c>
      <c r="G268" s="552">
        <v>40</v>
      </c>
      <c r="H268" s="384" t="s">
        <v>232</v>
      </c>
      <c r="I268" s="338">
        <f t="shared" si="506"/>
        <v>10</v>
      </c>
      <c r="J268" s="407" t="str">
        <f>'GW-Eq'!I268</f>
        <v>na</v>
      </c>
      <c r="K268" s="407" t="str">
        <f t="shared" si="541"/>
        <v>na</v>
      </c>
      <c r="L268" s="407" t="str">
        <f t="shared" si="542"/>
        <v>na</v>
      </c>
      <c r="M268" s="407">
        <f t="shared" si="543"/>
        <v>10</v>
      </c>
      <c r="N268" s="217" t="str">
        <f>'GW-Eq'!J268</f>
        <v>na</v>
      </c>
      <c r="O268" s="217" t="str">
        <f t="shared" si="544"/>
        <v>na</v>
      </c>
      <c r="P268" s="217" t="str">
        <f t="shared" si="545"/>
        <v>na</v>
      </c>
      <c r="Q268" s="217" t="str">
        <f t="shared" si="546"/>
        <v>na</v>
      </c>
      <c r="R268" s="1056">
        <f t="shared" si="513"/>
        <v>10</v>
      </c>
      <c r="T268" s="1113" t="str">
        <f t="shared" si="547"/>
        <v/>
      </c>
      <c r="U268" s="1114" t="str">
        <f t="shared" si="548"/>
        <v/>
      </c>
      <c r="V268" s="1114" t="str">
        <f t="shared" si="549"/>
        <v>X</v>
      </c>
      <c r="W268" s="1114" t="str">
        <f t="shared" si="550"/>
        <v/>
      </c>
      <c r="X268" s="1114" t="str">
        <f t="shared" si="551"/>
        <v/>
      </c>
      <c r="Y268" s="1114" t="str">
        <f t="shared" si="552"/>
        <v/>
      </c>
      <c r="Z268" s="1114" t="str">
        <f t="shared" si="553"/>
        <v/>
      </c>
      <c r="AA268" s="1114" t="str">
        <f t="shared" si="554"/>
        <v/>
      </c>
      <c r="AB268" s="1704" t="str">
        <f t="shared" si="555"/>
        <v/>
      </c>
      <c r="AC268" s="1115" t="str">
        <f t="shared" si="556"/>
        <v/>
      </c>
      <c r="AE268" s="985"/>
      <c r="AG268" s="130" t="str">
        <f t="shared" si="540"/>
        <v/>
      </c>
    </row>
    <row r="269" spans="1:33" s="130" customFormat="1" ht="13.9" customHeight="1" x14ac:dyDescent="0.25">
      <c r="A269" s="846">
        <f>Chem!A269</f>
        <v>267</v>
      </c>
      <c r="B269" s="856" t="str">
        <f>Chem!B269</f>
        <v>Sum of alpha, beta, and endosulfan sulfate</v>
      </c>
      <c r="C269" s="394" t="s">
        <v>232</v>
      </c>
      <c r="D269" s="338" t="s">
        <v>232</v>
      </c>
      <c r="E269" s="394" t="s">
        <v>232</v>
      </c>
      <c r="F269" s="394" t="s">
        <v>232</v>
      </c>
      <c r="G269" s="557" t="s">
        <v>232</v>
      </c>
      <c r="H269" s="384" t="s">
        <v>232</v>
      </c>
      <c r="I269" s="338" t="str">
        <f t="shared" si="506"/>
        <v>na</v>
      </c>
      <c r="J269" s="407">
        <f>'GW-Eq'!I269</f>
        <v>15.954415954415953</v>
      </c>
      <c r="K269" s="407" t="str">
        <f t="shared" si="541"/>
        <v>na</v>
      </c>
      <c r="L269" s="407" t="str">
        <f t="shared" si="542"/>
        <v>na</v>
      </c>
      <c r="M269" s="407">
        <f t="shared" si="543"/>
        <v>15.954415954415953</v>
      </c>
      <c r="N269" s="217" t="str">
        <f>'GW-Eq'!J269</f>
        <v>na</v>
      </c>
      <c r="O269" s="217" t="str">
        <f t="shared" si="544"/>
        <v>na</v>
      </c>
      <c r="P269" s="217" t="str">
        <f t="shared" si="545"/>
        <v>na</v>
      </c>
      <c r="Q269" s="217" t="str">
        <f t="shared" si="546"/>
        <v>na</v>
      </c>
      <c r="R269" s="1056">
        <f t="shared" si="513"/>
        <v>15.954415954415953</v>
      </c>
      <c r="T269" s="1113" t="str">
        <f t="shared" si="547"/>
        <v/>
      </c>
      <c r="U269" s="1114" t="str">
        <f t="shared" si="548"/>
        <v/>
      </c>
      <c r="V269" s="1114" t="str">
        <f t="shared" si="549"/>
        <v/>
      </c>
      <c r="W269" s="1114" t="str">
        <f t="shared" si="550"/>
        <v/>
      </c>
      <c r="X269" s="1114" t="str">
        <f t="shared" si="551"/>
        <v/>
      </c>
      <c r="Y269" s="1114" t="str">
        <f t="shared" si="552"/>
        <v/>
      </c>
      <c r="Z269" s="1114" t="str">
        <f t="shared" si="553"/>
        <v>X</v>
      </c>
      <c r="AA269" s="1114" t="str">
        <f t="shared" si="554"/>
        <v/>
      </c>
      <c r="AB269" s="1704" t="str">
        <f t="shared" si="555"/>
        <v/>
      </c>
      <c r="AC269" s="1115" t="str">
        <f t="shared" si="556"/>
        <v/>
      </c>
      <c r="AE269" s="985"/>
    </row>
    <row r="270" spans="1:33" s="130" customFormat="1" ht="13.9" customHeight="1" x14ac:dyDescent="0.25">
      <c r="A270" s="846">
        <f>Chem!A270</f>
        <v>268</v>
      </c>
      <c r="B270" s="856" t="str">
        <f>Chem!B270</f>
        <v>Endrin</v>
      </c>
      <c r="C270" s="394">
        <v>2.3E-3</v>
      </c>
      <c r="D270" s="338">
        <v>2.3E-3</v>
      </c>
      <c r="E270" s="394">
        <v>2E-3</v>
      </c>
      <c r="F270" s="394">
        <v>2E-3</v>
      </c>
      <c r="G270" s="552">
        <v>0.03</v>
      </c>
      <c r="H270" s="384" t="s">
        <v>232</v>
      </c>
      <c r="I270" s="338">
        <f t="shared" si="506"/>
        <v>2E-3</v>
      </c>
      <c r="J270" s="407">
        <f>'GW-Eq'!I270</f>
        <v>5.4253051734160049E-2</v>
      </c>
      <c r="K270" s="407">
        <f t="shared" si="507"/>
        <v>3.6864285714285711E-2</v>
      </c>
      <c r="L270" s="407" t="str">
        <f t="shared" si="508"/>
        <v>no</v>
      </c>
      <c r="M270" s="407">
        <f t="shared" si="509"/>
        <v>2E-3</v>
      </c>
      <c r="N270" s="217" t="str">
        <f>'GW-Eq'!J270</f>
        <v>na</v>
      </c>
      <c r="O270" s="217" t="str">
        <f t="shared" si="510"/>
        <v>na</v>
      </c>
      <c r="P270" s="217" t="str">
        <f t="shared" si="511"/>
        <v>na</v>
      </c>
      <c r="Q270" s="217" t="str">
        <f t="shared" si="512"/>
        <v>na</v>
      </c>
      <c r="R270" s="1056">
        <f t="shared" si="513"/>
        <v>2E-3</v>
      </c>
      <c r="T270" s="1113" t="str">
        <f t="shared" si="514"/>
        <v/>
      </c>
      <c r="U270" s="1114" t="str">
        <f t="shared" si="515"/>
        <v/>
      </c>
      <c r="V270" s="1114" t="str">
        <f t="shared" si="516"/>
        <v>X</v>
      </c>
      <c r="W270" s="1114" t="str">
        <f t="shared" si="517"/>
        <v>X</v>
      </c>
      <c r="X270" s="1114" t="str">
        <f t="shared" si="518"/>
        <v/>
      </c>
      <c r="Y270" s="1114" t="str">
        <f t="shared" si="519"/>
        <v/>
      </c>
      <c r="Z270" s="1114" t="str">
        <f t="shared" si="520"/>
        <v/>
      </c>
      <c r="AA270" s="1114" t="str">
        <f t="shared" si="521"/>
        <v/>
      </c>
      <c r="AB270" s="1704" t="str">
        <f t="shared" si="522"/>
        <v/>
      </c>
      <c r="AC270" s="1115" t="str">
        <f t="shared" si="523"/>
        <v/>
      </c>
      <c r="AE270" s="985"/>
      <c r="AG270" s="130" t="str">
        <f t="shared" si="540"/>
        <v/>
      </c>
    </row>
    <row r="271" spans="1:33" s="130" customFormat="1" ht="13.9" customHeight="1" x14ac:dyDescent="0.25">
      <c r="A271" s="846">
        <f>Chem!A271</f>
        <v>269</v>
      </c>
      <c r="B271" s="856" t="str">
        <f>Chem!B271</f>
        <v>Endrin aldehyde</v>
      </c>
      <c r="C271" s="394" t="s">
        <v>232</v>
      </c>
      <c r="D271" s="338" t="s">
        <v>232</v>
      </c>
      <c r="E271" s="394">
        <v>3.5000000000000003E-2</v>
      </c>
      <c r="F271" s="394" t="s">
        <v>232</v>
      </c>
      <c r="G271" s="552">
        <v>1</v>
      </c>
      <c r="H271" s="384" t="s">
        <v>232</v>
      </c>
      <c r="I271" s="338">
        <f t="shared" si="506"/>
        <v>3.5000000000000003E-2</v>
      </c>
      <c r="J271" s="407" t="str">
        <f>'GW-Eq'!I271</f>
        <v>na</v>
      </c>
      <c r="K271" s="407" t="str">
        <f t="shared" si="507"/>
        <v>na</v>
      </c>
      <c r="L271" s="407" t="str">
        <f t="shared" si="508"/>
        <v>na</v>
      </c>
      <c r="M271" s="407">
        <f t="shared" si="509"/>
        <v>3.5000000000000003E-2</v>
      </c>
      <c r="N271" s="217" t="str">
        <f>'GW-Eq'!J271</f>
        <v>na</v>
      </c>
      <c r="O271" s="217" t="str">
        <f t="shared" si="510"/>
        <v>na</v>
      </c>
      <c r="P271" s="217" t="str">
        <f t="shared" si="511"/>
        <v>na</v>
      </c>
      <c r="Q271" s="217" t="str">
        <f t="shared" si="512"/>
        <v>na</v>
      </c>
      <c r="R271" s="1056">
        <f t="shared" si="513"/>
        <v>3.5000000000000003E-2</v>
      </c>
      <c r="T271" s="1113" t="str">
        <f t="shared" si="514"/>
        <v/>
      </c>
      <c r="U271" s="1114" t="str">
        <f t="shared" si="515"/>
        <v/>
      </c>
      <c r="V271" s="1114" t="str">
        <f t="shared" si="516"/>
        <v>X</v>
      </c>
      <c r="W271" s="1114" t="str">
        <f t="shared" si="517"/>
        <v/>
      </c>
      <c r="X271" s="1114" t="str">
        <f t="shared" si="518"/>
        <v/>
      </c>
      <c r="Y271" s="1114" t="str">
        <f t="shared" si="519"/>
        <v/>
      </c>
      <c r="Z271" s="1114" t="str">
        <f t="shared" si="520"/>
        <v/>
      </c>
      <c r="AA271" s="1114" t="str">
        <f t="shared" si="521"/>
        <v/>
      </c>
      <c r="AB271" s="1704" t="str">
        <f t="shared" si="522"/>
        <v/>
      </c>
      <c r="AC271" s="1115" t="str">
        <f t="shared" si="523"/>
        <v/>
      </c>
      <c r="AE271" s="985"/>
      <c r="AG271" s="130" t="str">
        <f t="shared" si="540"/>
        <v/>
      </c>
    </row>
    <row r="272" spans="1:33" s="130" customFormat="1" ht="13.9" customHeight="1" x14ac:dyDescent="0.25">
      <c r="A272" s="846">
        <f>Chem!A272</f>
        <v>270</v>
      </c>
      <c r="B272" s="856" t="str">
        <f>Chem!B272</f>
        <v>Endrin ketone</v>
      </c>
      <c r="C272" s="394" t="s">
        <v>232</v>
      </c>
      <c r="D272" s="338" t="s">
        <v>232</v>
      </c>
      <c r="E272" s="394" t="s">
        <v>232</v>
      </c>
      <c r="F272" s="394" t="s">
        <v>232</v>
      </c>
      <c r="G272" s="552" t="s">
        <v>232</v>
      </c>
      <c r="H272" s="384" t="s">
        <v>232</v>
      </c>
      <c r="I272" s="338" t="str">
        <f t="shared" si="506"/>
        <v>na</v>
      </c>
      <c r="J272" s="407" t="str">
        <f>'GW-Eq'!I272</f>
        <v>na</v>
      </c>
      <c r="K272" s="407" t="str">
        <f t="shared" si="507"/>
        <v>na</v>
      </c>
      <c r="L272" s="407" t="str">
        <f t="shared" si="508"/>
        <v>na</v>
      </c>
      <c r="M272" s="407" t="str">
        <f t="shared" si="509"/>
        <v>na</v>
      </c>
      <c r="N272" s="217" t="str">
        <f>'GW-Eq'!J272</f>
        <v>na</v>
      </c>
      <c r="O272" s="217" t="str">
        <f t="shared" si="510"/>
        <v>na</v>
      </c>
      <c r="P272" s="217" t="str">
        <f t="shared" si="511"/>
        <v>na</v>
      </c>
      <c r="Q272" s="217" t="str">
        <f t="shared" si="512"/>
        <v>na</v>
      </c>
      <c r="R272" s="1056" t="str">
        <f t="shared" si="513"/>
        <v>na</v>
      </c>
      <c r="T272" s="1113" t="str">
        <f t="shared" si="514"/>
        <v/>
      </c>
      <c r="U272" s="1114" t="str">
        <f t="shared" si="515"/>
        <v/>
      </c>
      <c r="V272" s="1114" t="str">
        <f t="shared" si="516"/>
        <v/>
      </c>
      <c r="W272" s="1114" t="str">
        <f t="shared" si="517"/>
        <v/>
      </c>
      <c r="X272" s="1114" t="str">
        <f t="shared" si="518"/>
        <v/>
      </c>
      <c r="Y272" s="1114" t="str">
        <f t="shared" si="519"/>
        <v/>
      </c>
      <c r="Z272" s="1114" t="str">
        <f t="shared" si="520"/>
        <v/>
      </c>
      <c r="AA272" s="1114" t="str">
        <f t="shared" si="521"/>
        <v/>
      </c>
      <c r="AB272" s="1704" t="str">
        <f t="shared" si="522"/>
        <v/>
      </c>
      <c r="AC272" s="1115" t="str">
        <f t="shared" si="523"/>
        <v/>
      </c>
      <c r="AE272" s="985"/>
    </row>
    <row r="273" spans="1:33" s="130" customFormat="1" ht="13.9" customHeight="1" x14ac:dyDescent="0.25">
      <c r="A273" s="846">
        <f>Chem!A273</f>
        <v>271</v>
      </c>
      <c r="B273" s="856" t="str">
        <f>Chem!B273</f>
        <v>Heptachlor</v>
      </c>
      <c r="C273" s="394">
        <v>3.5999999999999999E-3</v>
      </c>
      <c r="D273" s="338">
        <v>3.5999999999999999E-3</v>
      </c>
      <c r="E273" s="394">
        <v>3.3999999999999997E-7</v>
      </c>
      <c r="F273" s="394">
        <v>3.3999999999999997E-7</v>
      </c>
      <c r="G273" s="552">
        <v>5.9000000000000003E-6</v>
      </c>
      <c r="H273" s="384" t="s">
        <v>232</v>
      </c>
      <c r="I273" s="338">
        <f t="shared" si="506"/>
        <v>3.3999999999999997E-7</v>
      </c>
      <c r="J273" s="407">
        <f>'GW-Eq'!I273</f>
        <v>3.2051282051282055E-2</v>
      </c>
      <c r="K273" s="407">
        <f t="shared" si="507"/>
        <v>1.0607999999999997E-5</v>
      </c>
      <c r="L273" s="407" t="str">
        <f t="shared" si="508"/>
        <v>no</v>
      </c>
      <c r="M273" s="407">
        <f t="shared" si="509"/>
        <v>3.3999999999999997E-7</v>
      </c>
      <c r="N273" s="217">
        <f>'GW-Eq'!J273</f>
        <v>3.5612535612535603E-5</v>
      </c>
      <c r="O273" s="217">
        <f t="shared" si="510"/>
        <v>9.5472000000000022E-3</v>
      </c>
      <c r="P273" s="217" t="str">
        <f t="shared" si="511"/>
        <v>no</v>
      </c>
      <c r="Q273" s="217">
        <f t="shared" si="512"/>
        <v>3.3999999999999997E-7</v>
      </c>
      <c r="R273" s="1056">
        <f t="shared" si="513"/>
        <v>3.3999999999999997E-7</v>
      </c>
      <c r="T273" s="1113" t="str">
        <f t="shared" si="514"/>
        <v/>
      </c>
      <c r="U273" s="1114" t="str">
        <f t="shared" si="515"/>
        <v/>
      </c>
      <c r="V273" s="1114" t="str">
        <f t="shared" si="516"/>
        <v>X</v>
      </c>
      <c r="W273" s="1114" t="str">
        <f t="shared" si="517"/>
        <v>X</v>
      </c>
      <c r="X273" s="1114" t="str">
        <f t="shared" si="518"/>
        <v/>
      </c>
      <c r="Y273" s="1114" t="str">
        <f t="shared" si="519"/>
        <v/>
      </c>
      <c r="Z273" s="1114" t="str">
        <f t="shared" si="520"/>
        <v/>
      </c>
      <c r="AA273" s="1114" t="str">
        <f t="shared" si="521"/>
        <v/>
      </c>
      <c r="AB273" s="1704" t="str">
        <f t="shared" si="522"/>
        <v/>
      </c>
      <c r="AC273" s="1115" t="str">
        <f t="shared" si="523"/>
        <v/>
      </c>
      <c r="AE273" s="985"/>
      <c r="AG273" s="130" t="str">
        <f t="shared" ref="AG273:AG278" si="557">IF(R273=J273,"X","")</f>
        <v/>
      </c>
    </row>
    <row r="274" spans="1:33" s="130" customFormat="1" ht="13.9" customHeight="1" x14ac:dyDescent="0.25">
      <c r="A274" s="846">
        <f>Chem!A274</f>
        <v>272</v>
      </c>
      <c r="B274" s="856" t="str">
        <f>Chem!B274</f>
        <v>Heptachlor epoxide</v>
      </c>
      <c r="C274" s="394" t="s">
        <v>232</v>
      </c>
      <c r="D274" s="338">
        <v>3.5999999999999999E-3</v>
      </c>
      <c r="E274" s="394">
        <v>2.3999999999999999E-6</v>
      </c>
      <c r="F274" s="394">
        <v>2.3999999999999999E-6</v>
      </c>
      <c r="G274" s="552">
        <v>3.1999999999999999E-5</v>
      </c>
      <c r="H274" s="384" t="s">
        <v>232</v>
      </c>
      <c r="I274" s="338">
        <f t="shared" si="506"/>
        <v>2.3999999999999999E-6</v>
      </c>
      <c r="J274" s="407">
        <f>'GW-Eq'!I274</f>
        <v>8.3333333333333339E-4</v>
      </c>
      <c r="K274" s="407">
        <f t="shared" si="507"/>
        <v>2.8799999999999997E-3</v>
      </c>
      <c r="L274" s="407" t="str">
        <f t="shared" si="508"/>
        <v>no</v>
      </c>
      <c r="M274" s="407">
        <f t="shared" si="509"/>
        <v>2.3999999999999999E-6</v>
      </c>
      <c r="N274" s="217">
        <f>'GW-Eq'!J274</f>
        <v>1.7610594533671452E-5</v>
      </c>
      <c r="O274" s="217">
        <f t="shared" si="510"/>
        <v>0.13628160000000003</v>
      </c>
      <c r="P274" s="217" t="str">
        <f t="shared" si="511"/>
        <v>no</v>
      </c>
      <c r="Q274" s="217">
        <f t="shared" si="512"/>
        <v>2.3999999999999999E-6</v>
      </c>
      <c r="R274" s="1056">
        <f t="shared" si="513"/>
        <v>2.3999999999999999E-6</v>
      </c>
      <c r="T274" s="1113" t="str">
        <f t="shared" si="514"/>
        <v/>
      </c>
      <c r="U274" s="1114" t="str">
        <f t="shared" si="515"/>
        <v/>
      </c>
      <c r="V274" s="1114" t="str">
        <f t="shared" si="516"/>
        <v>X</v>
      </c>
      <c r="W274" s="1114" t="str">
        <f t="shared" si="517"/>
        <v>X</v>
      </c>
      <c r="X274" s="1114" t="str">
        <f t="shared" si="518"/>
        <v/>
      </c>
      <c r="Y274" s="1114" t="str">
        <f t="shared" si="519"/>
        <v/>
      </c>
      <c r="Z274" s="1114" t="str">
        <f t="shared" si="520"/>
        <v/>
      </c>
      <c r="AA274" s="1114" t="str">
        <f t="shared" si="521"/>
        <v/>
      </c>
      <c r="AB274" s="1704" t="str">
        <f t="shared" si="522"/>
        <v/>
      </c>
      <c r="AC274" s="1115" t="str">
        <f t="shared" si="523"/>
        <v/>
      </c>
      <c r="AE274" s="985"/>
      <c r="AG274" s="130" t="str">
        <f t="shared" si="557"/>
        <v/>
      </c>
    </row>
    <row r="275" spans="1:33" s="130" customFormat="1" ht="13.9" customHeight="1" x14ac:dyDescent="0.25">
      <c r="A275" s="846">
        <f>Chem!A275</f>
        <v>273</v>
      </c>
      <c r="B275" s="856" t="str">
        <f>Chem!B275</f>
        <v>Lindane (gamma-BHC)</v>
      </c>
      <c r="C275" s="553">
        <v>0.16</v>
      </c>
      <c r="D275" s="338">
        <v>0.16</v>
      </c>
      <c r="E275" s="553">
        <v>0.43</v>
      </c>
      <c r="F275" s="553">
        <v>0.43</v>
      </c>
      <c r="G275" s="552">
        <v>4.4000000000000004</v>
      </c>
      <c r="H275" s="392" t="s">
        <v>232</v>
      </c>
      <c r="I275" s="338">
        <f t="shared" si="506"/>
        <v>0.16</v>
      </c>
      <c r="J275" s="407">
        <f>'GW-Eq'!I275</f>
        <v>1.6568047337278107</v>
      </c>
      <c r="K275" s="407">
        <f t="shared" ref="K275" si="558">IF(I275="na","na",IF(J275="na","na",I275/J275))</f>
        <v>9.6571428571428572E-2</v>
      </c>
      <c r="L275" s="407" t="str">
        <f t="shared" ref="L275" si="559">IF(K275="na","na",IF(K275&gt;1,"YES","no"))</f>
        <v>no</v>
      </c>
      <c r="M275" s="407">
        <f t="shared" ref="M275" si="560">IF(L275="YES",J275,IF(ISNUMBER(I275),I275,J275))</f>
        <v>0.16</v>
      </c>
      <c r="N275" s="217">
        <f>'GW-Eq'!J275</f>
        <v>1.2551551013089472E-2</v>
      </c>
      <c r="O275" s="217">
        <f t="shared" ref="O275" si="561">IF(I275="na","na",IF(N275="na","na",I275/N275))</f>
        <v>12.747428571428575</v>
      </c>
      <c r="P275" s="217" t="str">
        <f t="shared" ref="P275" si="562">IF(O275="na","na",IF(O275&gt;10,"YES","no"))</f>
        <v>YES</v>
      </c>
      <c r="Q275" s="217">
        <f t="shared" ref="Q275" si="563">IF(P275="YES",10*N275,IF(P275="no",I275,N275))</f>
        <v>0.12551551013089471</v>
      </c>
      <c r="R275" s="1056">
        <f t="shared" si="513"/>
        <v>0.12551551013089471</v>
      </c>
      <c r="T275" s="1113" t="str">
        <f t="shared" ref="T275" si="564">IF($R275="na","",IF($R275=C275,"X",""))</f>
        <v/>
      </c>
      <c r="U275" s="1114" t="str">
        <f t="shared" ref="U275" si="565">IF($R275="na","",IF($R275=D275,"X",""))</f>
        <v/>
      </c>
      <c r="V275" s="1114" t="str">
        <f t="shared" ref="V275" si="566">IF($R275="na","",IF($R275=E275,"X",""))</f>
        <v/>
      </c>
      <c r="W275" s="1114" t="str">
        <f t="shared" ref="W275" si="567">IF($R275="na","",IF($R275=F275,"X",""))</f>
        <v/>
      </c>
      <c r="X275" s="1114" t="str">
        <f t="shared" ref="X275" si="568">IF($R275="na","",IF($R275=G275,"X",""))</f>
        <v/>
      </c>
      <c r="Y275" s="1114" t="str">
        <f t="shared" ref="Y275" si="569">IF($R275="na","",IF($R275=H275,"X",""))</f>
        <v/>
      </c>
      <c r="Z275" s="1114" t="str">
        <f t="shared" ref="Z275" si="570">IF($R275="na","",IF($R275=J275,"X",""))</f>
        <v/>
      </c>
      <c r="AA275" s="1114" t="str">
        <f t="shared" ref="AA275" si="571">IF($R275="na","",IF($R275=N275,"X",""))</f>
        <v/>
      </c>
      <c r="AB275" s="1704" t="str">
        <f t="shared" si="522"/>
        <v/>
      </c>
      <c r="AC275" s="1115" t="str">
        <f t="shared" ref="AC275" si="572">IF(OR($R275="na",N275="na"),"",IF($R275=10*N275,"X",""))</f>
        <v>X</v>
      </c>
      <c r="AE275" s="985"/>
      <c r="AG275" s="130" t="str">
        <f t="shared" si="557"/>
        <v/>
      </c>
    </row>
    <row r="276" spans="1:33" s="130" customFormat="1" ht="12.75" customHeight="1" x14ac:dyDescent="0.25">
      <c r="A276" s="846">
        <f>Chem!A276</f>
        <v>274</v>
      </c>
      <c r="B276" s="855" t="str">
        <f>Chem!B276</f>
        <v>Malathion</v>
      </c>
      <c r="C276" s="553">
        <v>0.1</v>
      </c>
      <c r="D276" s="338">
        <v>0.1</v>
      </c>
      <c r="E276" s="553" t="s">
        <v>232</v>
      </c>
      <c r="F276" s="553" t="s">
        <v>232</v>
      </c>
      <c r="G276" s="552" t="s">
        <v>232</v>
      </c>
      <c r="H276" s="392" t="s">
        <v>232</v>
      </c>
      <c r="I276" s="342">
        <f t="shared" si="506"/>
        <v>0.1</v>
      </c>
      <c r="J276" s="562" t="str">
        <f>'GW-Eq'!I276</f>
        <v>na</v>
      </c>
      <c r="K276" s="562" t="str">
        <f t="shared" si="507"/>
        <v>na</v>
      </c>
      <c r="L276" s="562" t="str">
        <f t="shared" si="508"/>
        <v>na</v>
      </c>
      <c r="M276" s="562">
        <f t="shared" si="509"/>
        <v>0.1</v>
      </c>
      <c r="N276" s="285" t="str">
        <f>'GW-Eq'!J276</f>
        <v>na</v>
      </c>
      <c r="O276" s="285" t="str">
        <f t="shared" si="510"/>
        <v>na</v>
      </c>
      <c r="P276" s="285" t="str">
        <f t="shared" si="511"/>
        <v>na</v>
      </c>
      <c r="Q276" s="285" t="str">
        <f t="shared" si="512"/>
        <v>na</v>
      </c>
      <c r="R276" s="1054">
        <f t="shared" si="513"/>
        <v>0.1</v>
      </c>
      <c r="T276" s="1113" t="str">
        <f t="shared" si="514"/>
        <v>X</v>
      </c>
      <c r="U276" s="1114" t="str">
        <f t="shared" si="515"/>
        <v>X</v>
      </c>
      <c r="V276" s="1114" t="str">
        <f t="shared" si="516"/>
        <v/>
      </c>
      <c r="W276" s="1114" t="str">
        <f t="shared" si="517"/>
        <v/>
      </c>
      <c r="X276" s="1114" t="str">
        <f t="shared" si="518"/>
        <v/>
      </c>
      <c r="Y276" s="1114" t="str">
        <f t="shared" si="519"/>
        <v/>
      </c>
      <c r="Z276" s="1114" t="str">
        <f t="shared" si="520"/>
        <v/>
      </c>
      <c r="AA276" s="1114" t="str">
        <f t="shared" si="521"/>
        <v/>
      </c>
      <c r="AB276" s="1704" t="str">
        <f t="shared" si="522"/>
        <v/>
      </c>
      <c r="AC276" s="1115" t="str">
        <f t="shared" si="523"/>
        <v/>
      </c>
      <c r="AE276" s="985"/>
      <c r="AG276" s="130" t="str">
        <f t="shared" si="557"/>
        <v/>
      </c>
    </row>
    <row r="277" spans="1:33" s="130" customFormat="1" ht="13.9" customHeight="1" x14ac:dyDescent="0.25">
      <c r="A277" s="846">
        <f>Chem!A277</f>
        <v>275</v>
      </c>
      <c r="B277" s="856" t="str">
        <f>Chem!B277</f>
        <v>Methoxychlor</v>
      </c>
      <c r="C277" s="553">
        <v>0.03</v>
      </c>
      <c r="D277" s="338">
        <v>0.03</v>
      </c>
      <c r="E277" s="553" t="s">
        <v>232</v>
      </c>
      <c r="F277" s="553" t="s">
        <v>232</v>
      </c>
      <c r="G277" s="552">
        <v>0.02</v>
      </c>
      <c r="H277" s="392" t="s">
        <v>232</v>
      </c>
      <c r="I277" s="342">
        <f t="shared" si="506"/>
        <v>0.02</v>
      </c>
      <c r="J277" s="562">
        <f>'GW-Eq'!I277</f>
        <v>2.315963606286187</v>
      </c>
      <c r="K277" s="562">
        <f t="shared" si="507"/>
        <v>8.6357142857142848E-3</v>
      </c>
      <c r="L277" s="562" t="str">
        <f t="shared" si="508"/>
        <v>no</v>
      </c>
      <c r="M277" s="562">
        <f t="shared" si="509"/>
        <v>0.02</v>
      </c>
      <c r="N277" s="285" t="str">
        <f>'GW-Eq'!J277</f>
        <v>na</v>
      </c>
      <c r="O277" s="285" t="str">
        <f t="shared" si="510"/>
        <v>na</v>
      </c>
      <c r="P277" s="285" t="str">
        <f t="shared" si="511"/>
        <v>na</v>
      </c>
      <c r="Q277" s="285" t="str">
        <f t="shared" si="512"/>
        <v>na</v>
      </c>
      <c r="R277" s="1054">
        <f t="shared" si="513"/>
        <v>0.02</v>
      </c>
      <c r="T277" s="1113" t="str">
        <f t="shared" si="514"/>
        <v/>
      </c>
      <c r="U277" s="1114" t="str">
        <f t="shared" si="515"/>
        <v/>
      </c>
      <c r="V277" s="1114" t="str">
        <f t="shared" si="516"/>
        <v/>
      </c>
      <c r="W277" s="1114" t="str">
        <f t="shared" si="517"/>
        <v/>
      </c>
      <c r="X277" s="1114" t="str">
        <f t="shared" si="518"/>
        <v>X</v>
      </c>
      <c r="Y277" s="1114" t="str">
        <f t="shared" si="519"/>
        <v/>
      </c>
      <c r="Z277" s="1114" t="str">
        <f t="shared" si="520"/>
        <v/>
      </c>
      <c r="AA277" s="1114" t="str">
        <f t="shared" si="521"/>
        <v/>
      </c>
      <c r="AB277" s="1704" t="str">
        <f t="shared" si="522"/>
        <v/>
      </c>
      <c r="AC277" s="1115" t="str">
        <f t="shared" si="523"/>
        <v/>
      </c>
      <c r="AE277" s="985"/>
      <c r="AG277" s="130" t="str">
        <f t="shared" si="557"/>
        <v/>
      </c>
    </row>
    <row r="278" spans="1:33" s="130" customFormat="1" ht="13.9" customHeight="1" x14ac:dyDescent="0.25">
      <c r="A278" s="846">
        <f>Chem!A278</f>
        <v>276</v>
      </c>
      <c r="B278" s="855" t="str">
        <f>Chem!B278</f>
        <v>Mirex</v>
      </c>
      <c r="C278" s="553">
        <v>1E-3</v>
      </c>
      <c r="D278" s="338">
        <v>1E-3</v>
      </c>
      <c r="E278" s="553" t="s">
        <v>232</v>
      </c>
      <c r="F278" s="553" t="s">
        <v>232</v>
      </c>
      <c r="G278" s="552" t="s">
        <v>232</v>
      </c>
      <c r="H278" s="392" t="s">
        <v>232</v>
      </c>
      <c r="I278" s="342">
        <f t="shared" si="506"/>
        <v>1E-3</v>
      </c>
      <c r="J278" s="562" t="str">
        <f>'GW-Eq'!I278</f>
        <v>na</v>
      </c>
      <c r="K278" s="562" t="str">
        <f t="shared" si="507"/>
        <v>na</v>
      </c>
      <c r="L278" s="562" t="str">
        <f t="shared" si="508"/>
        <v>na</v>
      </c>
      <c r="M278" s="562">
        <f t="shared" si="509"/>
        <v>1E-3</v>
      </c>
      <c r="N278" s="285" t="str">
        <f>'GW-Eq'!J278</f>
        <v>na</v>
      </c>
      <c r="O278" s="285" t="str">
        <f t="shared" si="510"/>
        <v>na</v>
      </c>
      <c r="P278" s="285" t="str">
        <f t="shared" si="511"/>
        <v>na</v>
      </c>
      <c r="Q278" s="285" t="str">
        <f t="shared" si="512"/>
        <v>na</v>
      </c>
      <c r="R278" s="1054">
        <f t="shared" si="513"/>
        <v>1E-3</v>
      </c>
      <c r="T278" s="1113" t="str">
        <f t="shared" si="514"/>
        <v>X</v>
      </c>
      <c r="U278" s="1114" t="str">
        <f t="shared" si="515"/>
        <v>X</v>
      </c>
      <c r="V278" s="1114" t="str">
        <f t="shared" si="516"/>
        <v/>
      </c>
      <c r="W278" s="1114" t="str">
        <f t="shared" si="517"/>
        <v/>
      </c>
      <c r="X278" s="1114" t="str">
        <f t="shared" si="518"/>
        <v/>
      </c>
      <c r="Y278" s="1114" t="str">
        <f t="shared" si="519"/>
        <v/>
      </c>
      <c r="Z278" s="1114" t="str">
        <f t="shared" si="520"/>
        <v/>
      </c>
      <c r="AA278" s="1114" t="str">
        <f t="shared" si="521"/>
        <v/>
      </c>
      <c r="AB278" s="1704" t="str">
        <f t="shared" si="522"/>
        <v/>
      </c>
      <c r="AC278" s="1115" t="str">
        <f t="shared" si="523"/>
        <v/>
      </c>
      <c r="AE278" s="985"/>
      <c r="AG278" s="130" t="str">
        <f t="shared" si="557"/>
        <v/>
      </c>
    </row>
    <row r="279" spans="1:33" s="130" customFormat="1" ht="13.9" customHeight="1" x14ac:dyDescent="0.25">
      <c r="A279" s="846">
        <f>Chem!A279</f>
        <v>277</v>
      </c>
      <c r="B279" s="855" t="str">
        <f>Chem!B279</f>
        <v>Nonachlor</v>
      </c>
      <c r="C279" s="553" t="s">
        <v>232</v>
      </c>
      <c r="D279" s="338" t="s">
        <v>232</v>
      </c>
      <c r="E279" s="553" t="s">
        <v>232</v>
      </c>
      <c r="F279" s="553" t="s">
        <v>232</v>
      </c>
      <c r="G279" s="552" t="s">
        <v>232</v>
      </c>
      <c r="H279" s="392" t="s">
        <v>232</v>
      </c>
      <c r="I279" s="342" t="str">
        <f t="shared" si="506"/>
        <v>na</v>
      </c>
      <c r="J279" s="562" t="str">
        <f>'GW-Eq'!I279</f>
        <v>na</v>
      </c>
      <c r="K279" s="562" t="str">
        <f t="shared" si="507"/>
        <v>na</v>
      </c>
      <c r="L279" s="562" t="str">
        <f t="shared" si="508"/>
        <v>na</v>
      </c>
      <c r="M279" s="562" t="str">
        <f t="shared" si="509"/>
        <v>na</v>
      </c>
      <c r="N279" s="285" t="str">
        <f>'GW-Eq'!J279</f>
        <v>na</v>
      </c>
      <c r="O279" s="285" t="str">
        <f t="shared" si="510"/>
        <v>na</v>
      </c>
      <c r="P279" s="285" t="str">
        <f t="shared" si="511"/>
        <v>na</v>
      </c>
      <c r="Q279" s="285" t="str">
        <f t="shared" si="512"/>
        <v>na</v>
      </c>
      <c r="R279" s="1054" t="str">
        <f t="shared" si="513"/>
        <v>na</v>
      </c>
      <c r="T279" s="1113" t="str">
        <f t="shared" si="514"/>
        <v/>
      </c>
      <c r="U279" s="1114" t="str">
        <f t="shared" si="515"/>
        <v/>
      </c>
      <c r="V279" s="1114" t="str">
        <f t="shared" si="516"/>
        <v/>
      </c>
      <c r="W279" s="1114" t="str">
        <f t="shared" si="517"/>
        <v/>
      </c>
      <c r="X279" s="1114" t="str">
        <f t="shared" si="518"/>
        <v/>
      </c>
      <c r="Y279" s="1114" t="str">
        <f t="shared" si="519"/>
        <v/>
      </c>
      <c r="Z279" s="1114" t="str">
        <f t="shared" si="520"/>
        <v/>
      </c>
      <c r="AA279" s="1114" t="str">
        <f t="shared" si="521"/>
        <v/>
      </c>
      <c r="AB279" s="1704" t="str">
        <f t="shared" si="522"/>
        <v/>
      </c>
      <c r="AC279" s="1115" t="str">
        <f t="shared" si="523"/>
        <v/>
      </c>
      <c r="AE279" s="985"/>
    </row>
    <row r="280" spans="1:33" s="130" customFormat="1" ht="13.9" customHeight="1" x14ac:dyDescent="0.25">
      <c r="A280" s="1661">
        <f>Chem!A280</f>
        <v>278</v>
      </c>
      <c r="B280" s="1153" t="str">
        <f>Chem!B280</f>
        <v>Toxaphene</v>
      </c>
      <c r="C280" s="553">
        <v>2.0000000000000001E-4</v>
      </c>
      <c r="D280" s="342">
        <v>2.0000000000000001E-4</v>
      </c>
      <c r="E280" s="553">
        <v>3.1999999999999999E-5</v>
      </c>
      <c r="F280" s="553" t="s">
        <v>232</v>
      </c>
      <c r="G280" s="556">
        <v>7.1000000000000002E-4</v>
      </c>
      <c r="H280" s="392" t="s">
        <v>232</v>
      </c>
      <c r="I280" s="342">
        <f t="shared" si="506"/>
        <v>3.1999999999999999E-5</v>
      </c>
      <c r="J280" s="562">
        <f>'GW-Eq'!I280</f>
        <v>4.9324721080446282E-3</v>
      </c>
      <c r="K280" s="562">
        <f t="shared" si="507"/>
        <v>6.4876190476190459E-3</v>
      </c>
      <c r="L280" s="562" t="str">
        <f t="shared" si="508"/>
        <v>no</v>
      </c>
      <c r="M280" s="562">
        <f t="shared" si="509"/>
        <v>3.1999999999999999E-5</v>
      </c>
      <c r="N280" s="285">
        <f>'GW-Eq'!J280</f>
        <v>1.2455737646577337E-4</v>
      </c>
      <c r="O280" s="285">
        <f t="shared" si="510"/>
        <v>0.25690971428571435</v>
      </c>
      <c r="P280" s="285" t="str">
        <f t="shared" si="511"/>
        <v>no</v>
      </c>
      <c r="Q280" s="285">
        <f t="shared" si="512"/>
        <v>3.1999999999999999E-5</v>
      </c>
      <c r="R280" s="1054">
        <f t="shared" si="513"/>
        <v>3.1999999999999999E-5</v>
      </c>
      <c r="T280" s="1336" t="str">
        <f t="shared" si="514"/>
        <v/>
      </c>
      <c r="U280" s="1337" t="str">
        <f t="shared" si="515"/>
        <v/>
      </c>
      <c r="V280" s="1337" t="str">
        <f t="shared" si="516"/>
        <v>X</v>
      </c>
      <c r="W280" s="1337" t="str">
        <f t="shared" si="517"/>
        <v/>
      </c>
      <c r="X280" s="1337" t="str">
        <f t="shared" si="518"/>
        <v/>
      </c>
      <c r="Y280" s="1337" t="str">
        <f t="shared" si="519"/>
        <v/>
      </c>
      <c r="Z280" s="1337" t="str">
        <f t="shared" si="520"/>
        <v/>
      </c>
      <c r="AA280" s="1337" t="str">
        <f t="shared" si="521"/>
        <v/>
      </c>
      <c r="AB280" s="1705" t="str">
        <f t="shared" si="522"/>
        <v/>
      </c>
      <c r="AC280" s="1338" t="str">
        <f t="shared" si="523"/>
        <v/>
      </c>
      <c r="AE280" s="985"/>
      <c r="AG280" s="130" t="str">
        <f>IF(R280=J280,"X","")</f>
        <v/>
      </c>
    </row>
    <row r="281" spans="1:33" s="130" customFormat="1" ht="13.9" customHeight="1" x14ac:dyDescent="0.25">
      <c r="A281" s="1197">
        <f>Chem!A281</f>
        <v>279</v>
      </c>
      <c r="B281" s="1151" t="str">
        <f>Chem!B281</f>
        <v>Herbicides</v>
      </c>
      <c r="C281" s="2370"/>
      <c r="D281" s="2370"/>
      <c r="E281" s="2370"/>
      <c r="F281" s="2370"/>
      <c r="G281" s="127"/>
      <c r="H281" s="2348"/>
      <c r="I281" s="2370"/>
      <c r="J281" s="2370"/>
      <c r="K281" s="2370"/>
      <c r="L281" s="2370"/>
      <c r="M281" s="2370"/>
      <c r="N281" s="2370"/>
      <c r="O281" s="2370"/>
      <c r="P281" s="2370"/>
      <c r="Q281" s="2370"/>
      <c r="R281" s="2371"/>
      <c r="T281" s="1154" t="str">
        <f>B281</f>
        <v>Herbicides</v>
      </c>
      <c r="U281" s="2372"/>
      <c r="V281" s="2372"/>
      <c r="W281" s="2372"/>
      <c r="X281" s="2372"/>
      <c r="Y281" s="2372"/>
      <c r="Z281" s="2372"/>
      <c r="AA281" s="2372"/>
      <c r="AB281" s="2372"/>
      <c r="AC281" s="2373"/>
      <c r="AE281" s="987"/>
    </row>
    <row r="282" spans="1:33" s="130" customFormat="1" ht="13.9" customHeight="1" x14ac:dyDescent="0.25">
      <c r="A282" s="846">
        <f>Chem!A282</f>
        <v>280</v>
      </c>
      <c r="B282" s="1698" t="str">
        <f>Chem!B282</f>
        <v>2,4-Dichlorophenoxyacetic acid (2,4-D)</v>
      </c>
      <c r="C282" s="553" t="s">
        <v>232</v>
      </c>
      <c r="D282" s="338" t="s">
        <v>232</v>
      </c>
      <c r="E282" s="553" t="s">
        <v>232</v>
      </c>
      <c r="F282" s="553" t="s">
        <v>232</v>
      </c>
      <c r="G282" s="552">
        <v>12000</v>
      </c>
      <c r="H282" s="392" t="s">
        <v>232</v>
      </c>
      <c r="I282" s="342">
        <f t="shared" ref="I282:I291" si="573">IF(MIN(C282:H282)=0,"na",(MIN(C282:H282)))</f>
        <v>12000</v>
      </c>
      <c r="J282" s="562" t="str">
        <f>'GW-Eq'!I282</f>
        <v>na</v>
      </c>
      <c r="K282" s="562" t="str">
        <f t="shared" ref="K282:K291" si="574">IF(I282="na","na",IF(J282="na","na",I282/J282))</f>
        <v>na</v>
      </c>
      <c r="L282" s="562" t="str">
        <f t="shared" ref="L282:L291" si="575">IF(K282="na","na",IF(K282&gt;1,"YES","no"))</f>
        <v>na</v>
      </c>
      <c r="M282" s="562">
        <f t="shared" ref="M282:M291" si="576">IF(L282="YES",J282,IF(ISNUMBER(I282),I282,J282))</f>
        <v>12000</v>
      </c>
      <c r="N282" s="217" t="str">
        <f>'GW-Eq'!J282</f>
        <v>na</v>
      </c>
      <c r="O282" s="285" t="str">
        <f t="shared" ref="O282:O291" si="577">IF(I282="na","na",IF(N282="na","na",I282/N282))</f>
        <v>na</v>
      </c>
      <c r="P282" s="285" t="str">
        <f t="shared" ref="P282:P291" si="578">IF(O282="na","na",IF(O282&gt;10,"YES","no"))</f>
        <v>na</v>
      </c>
      <c r="Q282" s="285" t="str">
        <f t="shared" ref="Q282:Q291" si="579">IF(P282="YES",10*N282,IF(P282="no",I282,N282))</f>
        <v>na</v>
      </c>
      <c r="R282" s="1054">
        <f t="shared" ref="R282:R291" si="580">IF(MIN($M282,$Q282,$H282)=0,"na",MIN($M282,$Q282,$H282))</f>
        <v>12000</v>
      </c>
      <c r="T282" s="1110" t="str">
        <f t="shared" ref="T282:T291" si="581">IF($R282="na","",IF($R282=C282,"X",""))</f>
        <v/>
      </c>
      <c r="U282" s="1111" t="str">
        <f t="shared" ref="U282:U291" si="582">IF($R282="na","",IF($R282=D282,"X",""))</f>
        <v/>
      </c>
      <c r="V282" s="1111" t="str">
        <f t="shared" ref="V282:V291" si="583">IF($R282="na","",IF($R282=E282,"X",""))</f>
        <v/>
      </c>
      <c r="W282" s="1111" t="str">
        <f t="shared" ref="W282:W291" si="584">IF($R282="na","",IF($R282=F282,"X",""))</f>
        <v/>
      </c>
      <c r="X282" s="1111" t="str">
        <f t="shared" ref="X282:X291" si="585">IF($R282="na","",IF($R282=G282,"X",""))</f>
        <v>X</v>
      </c>
      <c r="Y282" s="1111" t="str">
        <f t="shared" ref="Y282:Y291" si="586">IF($R282="na","",IF($R282=H282,"X",""))</f>
        <v/>
      </c>
      <c r="Z282" s="1111" t="str">
        <f t="shared" ref="Z282:Z291" si="587">IF($R282="na","",IF($R282=J282,"X",""))</f>
        <v/>
      </c>
      <c r="AA282" s="1111" t="str">
        <f t="shared" ref="AA282:AA291" si="588">IF($R282="na","",IF($R282=N282,"X",""))</f>
        <v/>
      </c>
      <c r="AB282" s="1703" t="str">
        <f t="shared" ref="AB282:AB291" si="589">IF(R282="na","",IF(AND(L282="YES",R282=J282),"X",""))</f>
        <v/>
      </c>
      <c r="AC282" s="1112" t="str">
        <f t="shared" ref="AC282:AC291" si="590">IF(OR($R282="na",N282="na"),"",IF($R282=10*N282,"X",""))</f>
        <v/>
      </c>
      <c r="AE282" s="985"/>
      <c r="AG282" s="130" t="str">
        <f>IF(R282=J282,"X","")</f>
        <v/>
      </c>
    </row>
    <row r="283" spans="1:33" s="130" customFormat="1" ht="13.9" customHeight="1" x14ac:dyDescent="0.25">
      <c r="A283" s="846">
        <f>Chem!A283</f>
        <v>281</v>
      </c>
      <c r="B283" s="1699" t="str">
        <f>Chem!B283</f>
        <v>4-(2,4-Dichlorophenoxy)butanoic acid 2,4-DB</v>
      </c>
      <c r="C283" s="553" t="s">
        <v>232</v>
      </c>
      <c r="D283" s="338" t="s">
        <v>232</v>
      </c>
      <c r="E283" s="553" t="s">
        <v>232</v>
      </c>
      <c r="F283" s="553" t="s">
        <v>232</v>
      </c>
      <c r="G283" s="557" t="s">
        <v>232</v>
      </c>
      <c r="H283" s="392" t="s">
        <v>232</v>
      </c>
      <c r="I283" s="342" t="str">
        <f t="shared" si="573"/>
        <v>na</v>
      </c>
      <c r="J283" s="562" t="str">
        <f>'GW-Eq'!I283</f>
        <v>na</v>
      </c>
      <c r="K283" s="562" t="str">
        <f t="shared" si="574"/>
        <v>na</v>
      </c>
      <c r="L283" s="562" t="str">
        <f t="shared" si="575"/>
        <v>na</v>
      </c>
      <c r="M283" s="562" t="str">
        <f t="shared" si="576"/>
        <v>na</v>
      </c>
      <c r="N283" s="217" t="str">
        <f>'GW-Eq'!J283</f>
        <v>na</v>
      </c>
      <c r="O283" s="285" t="str">
        <f t="shared" si="577"/>
        <v>na</v>
      </c>
      <c r="P283" s="285" t="str">
        <f t="shared" si="578"/>
        <v>na</v>
      </c>
      <c r="Q283" s="285" t="str">
        <f t="shared" si="579"/>
        <v>na</v>
      </c>
      <c r="R283" s="1054" t="str">
        <f t="shared" si="580"/>
        <v>na</v>
      </c>
      <c r="T283" s="1113" t="str">
        <f t="shared" si="581"/>
        <v/>
      </c>
      <c r="U283" s="1114" t="str">
        <f t="shared" si="582"/>
        <v/>
      </c>
      <c r="V283" s="1114" t="str">
        <f t="shared" si="583"/>
        <v/>
      </c>
      <c r="W283" s="1114" t="str">
        <f t="shared" si="584"/>
        <v/>
      </c>
      <c r="X283" s="1114" t="str">
        <f t="shared" si="585"/>
        <v/>
      </c>
      <c r="Y283" s="1114" t="str">
        <f t="shared" si="586"/>
        <v/>
      </c>
      <c r="Z283" s="1114" t="str">
        <f t="shared" si="587"/>
        <v/>
      </c>
      <c r="AA283" s="1114" t="str">
        <f t="shared" si="588"/>
        <v/>
      </c>
      <c r="AB283" s="1704" t="str">
        <f t="shared" si="589"/>
        <v/>
      </c>
      <c r="AC283" s="1115" t="str">
        <f t="shared" si="590"/>
        <v/>
      </c>
      <c r="AE283" s="985"/>
    </row>
    <row r="284" spans="1:33" s="130" customFormat="1" ht="13.9" customHeight="1" x14ac:dyDescent="0.25">
      <c r="A284" s="846">
        <f>Chem!A284</f>
        <v>282</v>
      </c>
      <c r="B284" s="1699" t="str">
        <f>Chem!B284</f>
        <v>2-(2,4,5-Trichlorophenoxy)propionic acid (2,4,5-TP)</v>
      </c>
      <c r="C284" s="553" t="s">
        <v>232</v>
      </c>
      <c r="D284" s="338" t="s">
        <v>232</v>
      </c>
      <c r="E284" s="553" t="s">
        <v>232</v>
      </c>
      <c r="F284" s="553" t="s">
        <v>232</v>
      </c>
      <c r="G284" s="557">
        <v>400</v>
      </c>
      <c r="H284" s="392" t="s">
        <v>232</v>
      </c>
      <c r="I284" s="342">
        <f t="shared" si="573"/>
        <v>400</v>
      </c>
      <c r="J284" s="562" t="str">
        <f>'GW-Eq'!I284</f>
        <v>na</v>
      </c>
      <c r="K284" s="562" t="str">
        <f t="shared" si="574"/>
        <v>na</v>
      </c>
      <c r="L284" s="562" t="str">
        <f t="shared" si="575"/>
        <v>na</v>
      </c>
      <c r="M284" s="562">
        <f t="shared" si="576"/>
        <v>400</v>
      </c>
      <c r="N284" s="217" t="str">
        <f>'GW-Eq'!J284</f>
        <v>na</v>
      </c>
      <c r="O284" s="285" t="str">
        <f t="shared" si="577"/>
        <v>na</v>
      </c>
      <c r="P284" s="285" t="str">
        <f t="shared" si="578"/>
        <v>na</v>
      </c>
      <c r="Q284" s="285" t="str">
        <f t="shared" si="579"/>
        <v>na</v>
      </c>
      <c r="R284" s="1054">
        <f t="shared" si="580"/>
        <v>400</v>
      </c>
      <c r="T284" s="1113" t="str">
        <f t="shared" si="581"/>
        <v/>
      </c>
      <c r="U284" s="1114" t="str">
        <f t="shared" si="582"/>
        <v/>
      </c>
      <c r="V284" s="1114" t="str">
        <f t="shared" si="583"/>
        <v/>
      </c>
      <c r="W284" s="1114" t="str">
        <f t="shared" si="584"/>
        <v/>
      </c>
      <c r="X284" s="1114" t="str">
        <f t="shared" si="585"/>
        <v>X</v>
      </c>
      <c r="Y284" s="1114" t="str">
        <f t="shared" si="586"/>
        <v/>
      </c>
      <c r="Z284" s="1114" t="str">
        <f t="shared" si="587"/>
        <v/>
      </c>
      <c r="AA284" s="1114" t="str">
        <f t="shared" si="588"/>
        <v/>
      </c>
      <c r="AB284" s="1704" t="str">
        <f t="shared" si="589"/>
        <v/>
      </c>
      <c r="AC284" s="1115" t="str">
        <f t="shared" si="590"/>
        <v/>
      </c>
      <c r="AE284" s="985"/>
    </row>
    <row r="285" spans="1:33" s="130" customFormat="1" ht="13.9" customHeight="1" x14ac:dyDescent="0.25">
      <c r="A285" s="846">
        <f>Chem!A285</f>
        <v>283</v>
      </c>
      <c r="B285" s="1699" t="str">
        <f>Chem!B285</f>
        <v>2,4,5-Trichlorophenoxyacetic acid (2,4,5-T)</v>
      </c>
      <c r="C285" s="553" t="s">
        <v>232</v>
      </c>
      <c r="D285" s="338" t="s">
        <v>232</v>
      </c>
      <c r="E285" s="553" t="s">
        <v>232</v>
      </c>
      <c r="F285" s="553" t="s">
        <v>232</v>
      </c>
      <c r="G285" s="557" t="s">
        <v>232</v>
      </c>
      <c r="H285" s="392" t="s">
        <v>232</v>
      </c>
      <c r="I285" s="342" t="str">
        <f t="shared" si="573"/>
        <v>na</v>
      </c>
      <c r="J285" s="562" t="str">
        <f>'GW-Eq'!I285</f>
        <v>na</v>
      </c>
      <c r="K285" s="562" t="str">
        <f t="shared" si="574"/>
        <v>na</v>
      </c>
      <c r="L285" s="562" t="str">
        <f t="shared" si="575"/>
        <v>na</v>
      </c>
      <c r="M285" s="562" t="str">
        <f t="shared" si="576"/>
        <v>na</v>
      </c>
      <c r="N285" s="217" t="str">
        <f>'GW-Eq'!J285</f>
        <v>na</v>
      </c>
      <c r="O285" s="285" t="str">
        <f t="shared" si="577"/>
        <v>na</v>
      </c>
      <c r="P285" s="285" t="str">
        <f t="shared" si="578"/>
        <v>na</v>
      </c>
      <c r="Q285" s="285" t="str">
        <f t="shared" si="579"/>
        <v>na</v>
      </c>
      <c r="R285" s="1054" t="str">
        <f t="shared" si="580"/>
        <v>na</v>
      </c>
      <c r="T285" s="1113" t="str">
        <f t="shared" si="581"/>
        <v/>
      </c>
      <c r="U285" s="1114" t="str">
        <f t="shared" si="582"/>
        <v/>
      </c>
      <c r="V285" s="1114" t="str">
        <f t="shared" si="583"/>
        <v/>
      </c>
      <c r="W285" s="1114" t="str">
        <f t="shared" si="584"/>
        <v/>
      </c>
      <c r="X285" s="1114" t="str">
        <f t="shared" si="585"/>
        <v/>
      </c>
      <c r="Y285" s="1114" t="str">
        <f t="shared" si="586"/>
        <v/>
      </c>
      <c r="Z285" s="1114" t="str">
        <f t="shared" si="587"/>
        <v/>
      </c>
      <c r="AA285" s="1114" t="str">
        <f t="shared" si="588"/>
        <v/>
      </c>
      <c r="AB285" s="1704" t="str">
        <f t="shared" si="589"/>
        <v/>
      </c>
      <c r="AC285" s="1115" t="str">
        <f t="shared" si="590"/>
        <v/>
      </c>
      <c r="AE285" s="985"/>
    </row>
    <row r="286" spans="1:33" s="130" customFormat="1" ht="13.9" customHeight="1" x14ac:dyDescent="0.25">
      <c r="A286" s="846">
        <f>Chem!A286</f>
        <v>284</v>
      </c>
      <c r="B286" s="1699" t="str">
        <f>Chem!B286</f>
        <v>Dalapon</v>
      </c>
      <c r="C286" s="553" t="s">
        <v>232</v>
      </c>
      <c r="D286" s="338" t="s">
        <v>232</v>
      </c>
      <c r="E286" s="553" t="s">
        <v>232</v>
      </c>
      <c r="F286" s="553" t="s">
        <v>232</v>
      </c>
      <c r="G286" s="557" t="s">
        <v>232</v>
      </c>
      <c r="H286" s="392" t="s">
        <v>232</v>
      </c>
      <c r="I286" s="342" t="str">
        <f t="shared" si="573"/>
        <v>na</v>
      </c>
      <c r="J286" s="562" t="str">
        <f>'GW-Eq'!I286</f>
        <v>na</v>
      </c>
      <c r="K286" s="562" t="str">
        <f t="shared" si="574"/>
        <v>na</v>
      </c>
      <c r="L286" s="562" t="str">
        <f t="shared" si="575"/>
        <v>na</v>
      </c>
      <c r="M286" s="562" t="str">
        <f t="shared" si="576"/>
        <v>na</v>
      </c>
      <c r="N286" s="217" t="str">
        <f>'GW-Eq'!J286</f>
        <v>na</v>
      </c>
      <c r="O286" s="285" t="str">
        <f t="shared" si="577"/>
        <v>na</v>
      </c>
      <c r="P286" s="285" t="str">
        <f t="shared" si="578"/>
        <v>na</v>
      </c>
      <c r="Q286" s="285" t="str">
        <f t="shared" si="579"/>
        <v>na</v>
      </c>
      <c r="R286" s="1054" t="str">
        <f t="shared" si="580"/>
        <v>na</v>
      </c>
      <c r="T286" s="1113" t="str">
        <f t="shared" si="581"/>
        <v/>
      </c>
      <c r="U286" s="1114" t="str">
        <f t="shared" si="582"/>
        <v/>
      </c>
      <c r="V286" s="1114" t="str">
        <f t="shared" si="583"/>
        <v/>
      </c>
      <c r="W286" s="1114" t="str">
        <f t="shared" si="584"/>
        <v/>
      </c>
      <c r="X286" s="1114" t="str">
        <f t="shared" si="585"/>
        <v/>
      </c>
      <c r="Y286" s="1114" t="str">
        <f t="shared" si="586"/>
        <v/>
      </c>
      <c r="Z286" s="1114" t="str">
        <f t="shared" si="587"/>
        <v/>
      </c>
      <c r="AA286" s="1114" t="str">
        <f t="shared" si="588"/>
        <v/>
      </c>
      <c r="AB286" s="1704" t="str">
        <f t="shared" si="589"/>
        <v/>
      </c>
      <c r="AC286" s="1115" t="str">
        <f t="shared" si="590"/>
        <v/>
      </c>
      <c r="AE286" s="985"/>
    </row>
    <row r="287" spans="1:33" s="130" customFormat="1" ht="13.9" customHeight="1" x14ac:dyDescent="0.25">
      <c r="A287" s="846">
        <f>Chem!A287</f>
        <v>285</v>
      </c>
      <c r="B287" s="1699" t="str">
        <f>Chem!B287</f>
        <v>Dicamba</v>
      </c>
      <c r="C287" s="553" t="s">
        <v>232</v>
      </c>
      <c r="D287" s="338" t="s">
        <v>232</v>
      </c>
      <c r="E287" s="553" t="s">
        <v>232</v>
      </c>
      <c r="F287" s="553" t="s">
        <v>232</v>
      </c>
      <c r="G287" s="557" t="s">
        <v>232</v>
      </c>
      <c r="H287" s="392" t="s">
        <v>232</v>
      </c>
      <c r="I287" s="342" t="str">
        <f t="shared" si="573"/>
        <v>na</v>
      </c>
      <c r="J287" s="562" t="str">
        <f>'GW-Eq'!I287</f>
        <v>na</v>
      </c>
      <c r="K287" s="562" t="str">
        <f t="shared" si="574"/>
        <v>na</v>
      </c>
      <c r="L287" s="562" t="str">
        <f t="shared" si="575"/>
        <v>na</v>
      </c>
      <c r="M287" s="562" t="str">
        <f t="shared" si="576"/>
        <v>na</v>
      </c>
      <c r="N287" s="217" t="str">
        <f>'GW-Eq'!J287</f>
        <v>na</v>
      </c>
      <c r="O287" s="285" t="str">
        <f t="shared" si="577"/>
        <v>na</v>
      </c>
      <c r="P287" s="285" t="str">
        <f t="shared" si="578"/>
        <v>na</v>
      </c>
      <c r="Q287" s="285" t="str">
        <f t="shared" si="579"/>
        <v>na</v>
      </c>
      <c r="R287" s="1054" t="str">
        <f t="shared" si="580"/>
        <v>na</v>
      </c>
      <c r="T287" s="1113" t="str">
        <f t="shared" si="581"/>
        <v/>
      </c>
      <c r="U287" s="1114" t="str">
        <f t="shared" si="582"/>
        <v/>
      </c>
      <c r="V287" s="1114" t="str">
        <f t="shared" si="583"/>
        <v/>
      </c>
      <c r="W287" s="1114" t="str">
        <f t="shared" si="584"/>
        <v/>
      </c>
      <c r="X287" s="1114" t="str">
        <f t="shared" si="585"/>
        <v/>
      </c>
      <c r="Y287" s="1114" t="str">
        <f t="shared" si="586"/>
        <v/>
      </c>
      <c r="Z287" s="1114" t="str">
        <f t="shared" si="587"/>
        <v/>
      </c>
      <c r="AA287" s="1114" t="str">
        <f t="shared" si="588"/>
        <v/>
      </c>
      <c r="AB287" s="1704" t="str">
        <f t="shared" si="589"/>
        <v/>
      </c>
      <c r="AC287" s="1115" t="str">
        <f t="shared" si="590"/>
        <v/>
      </c>
      <c r="AE287" s="985"/>
    </row>
    <row r="288" spans="1:33" s="130" customFormat="1" ht="13.9" customHeight="1" x14ac:dyDescent="0.25">
      <c r="A288" s="846">
        <f>Chem!A288</f>
        <v>286</v>
      </c>
      <c r="B288" s="1699" t="str">
        <f>Chem!B288</f>
        <v>Dichloroprop</v>
      </c>
      <c r="C288" s="553" t="s">
        <v>232</v>
      </c>
      <c r="D288" s="338" t="s">
        <v>232</v>
      </c>
      <c r="E288" s="553" t="s">
        <v>232</v>
      </c>
      <c r="F288" s="553" t="s">
        <v>232</v>
      </c>
      <c r="G288" s="557" t="s">
        <v>232</v>
      </c>
      <c r="H288" s="392" t="s">
        <v>232</v>
      </c>
      <c r="I288" s="342" t="str">
        <f t="shared" si="573"/>
        <v>na</v>
      </c>
      <c r="J288" s="562" t="str">
        <f>'GW-Eq'!I288</f>
        <v>na</v>
      </c>
      <c r="K288" s="562" t="str">
        <f t="shared" si="574"/>
        <v>na</v>
      </c>
      <c r="L288" s="562" t="str">
        <f t="shared" si="575"/>
        <v>na</v>
      </c>
      <c r="M288" s="562" t="str">
        <f t="shared" si="576"/>
        <v>na</v>
      </c>
      <c r="N288" s="217" t="str">
        <f>'GW-Eq'!J288</f>
        <v>na</v>
      </c>
      <c r="O288" s="285" t="str">
        <f t="shared" si="577"/>
        <v>na</v>
      </c>
      <c r="P288" s="285" t="str">
        <f t="shared" si="578"/>
        <v>na</v>
      </c>
      <c r="Q288" s="285" t="str">
        <f t="shared" si="579"/>
        <v>na</v>
      </c>
      <c r="R288" s="1054" t="str">
        <f t="shared" si="580"/>
        <v>na</v>
      </c>
      <c r="T288" s="1113" t="str">
        <f t="shared" si="581"/>
        <v/>
      </c>
      <c r="U288" s="1114" t="str">
        <f t="shared" si="582"/>
        <v/>
      </c>
      <c r="V288" s="1114" t="str">
        <f t="shared" si="583"/>
        <v/>
      </c>
      <c r="W288" s="1114" t="str">
        <f t="shared" si="584"/>
        <v/>
      </c>
      <c r="X288" s="1114" t="str">
        <f t="shared" si="585"/>
        <v/>
      </c>
      <c r="Y288" s="1114" t="str">
        <f t="shared" si="586"/>
        <v/>
      </c>
      <c r="Z288" s="1114" t="str">
        <f t="shared" si="587"/>
        <v/>
      </c>
      <c r="AA288" s="1114" t="str">
        <f t="shared" si="588"/>
        <v/>
      </c>
      <c r="AB288" s="1704" t="str">
        <f t="shared" si="589"/>
        <v/>
      </c>
      <c r="AC288" s="1115" t="str">
        <f t="shared" si="590"/>
        <v/>
      </c>
      <c r="AE288" s="985"/>
    </row>
    <row r="289" spans="1:33" s="130" customFormat="1" ht="13.9" customHeight="1" x14ac:dyDescent="0.25">
      <c r="A289" s="846">
        <f>Chem!A289</f>
        <v>287</v>
      </c>
      <c r="B289" s="1699" t="str">
        <f>Chem!B289</f>
        <v>Dinoseb</v>
      </c>
      <c r="C289" s="553" t="s">
        <v>232</v>
      </c>
      <c r="D289" s="338" t="s">
        <v>232</v>
      </c>
      <c r="E289" s="553" t="s">
        <v>232</v>
      </c>
      <c r="F289" s="553" t="s">
        <v>232</v>
      </c>
      <c r="G289" s="557" t="s">
        <v>232</v>
      </c>
      <c r="H289" s="392" t="s">
        <v>232</v>
      </c>
      <c r="I289" s="342" t="str">
        <f t="shared" si="573"/>
        <v>na</v>
      </c>
      <c r="J289" s="562" t="str">
        <f>'GW-Eq'!I289</f>
        <v>na</v>
      </c>
      <c r="K289" s="562" t="str">
        <f t="shared" si="574"/>
        <v>na</v>
      </c>
      <c r="L289" s="562" t="str">
        <f t="shared" si="575"/>
        <v>na</v>
      </c>
      <c r="M289" s="562" t="str">
        <f t="shared" si="576"/>
        <v>na</v>
      </c>
      <c r="N289" s="217" t="str">
        <f>'GW-Eq'!J289</f>
        <v>na</v>
      </c>
      <c r="O289" s="285" t="str">
        <f t="shared" si="577"/>
        <v>na</v>
      </c>
      <c r="P289" s="285" t="str">
        <f t="shared" si="578"/>
        <v>na</v>
      </c>
      <c r="Q289" s="285" t="str">
        <f t="shared" si="579"/>
        <v>na</v>
      </c>
      <c r="R289" s="1054" t="str">
        <f t="shared" si="580"/>
        <v>na</v>
      </c>
      <c r="T289" s="1113" t="str">
        <f t="shared" si="581"/>
        <v/>
      </c>
      <c r="U289" s="1114" t="str">
        <f t="shared" si="582"/>
        <v/>
      </c>
      <c r="V289" s="1114" t="str">
        <f t="shared" si="583"/>
        <v/>
      </c>
      <c r="W289" s="1114" t="str">
        <f t="shared" si="584"/>
        <v/>
      </c>
      <c r="X289" s="1114" t="str">
        <f t="shared" si="585"/>
        <v/>
      </c>
      <c r="Y289" s="1114" t="str">
        <f t="shared" si="586"/>
        <v/>
      </c>
      <c r="Z289" s="1114" t="str">
        <f t="shared" si="587"/>
        <v/>
      </c>
      <c r="AA289" s="1114" t="str">
        <f t="shared" si="588"/>
        <v/>
      </c>
      <c r="AB289" s="1704" t="str">
        <f t="shared" si="589"/>
        <v/>
      </c>
      <c r="AC289" s="1115" t="str">
        <f t="shared" si="590"/>
        <v/>
      </c>
      <c r="AE289" s="985"/>
    </row>
    <row r="290" spans="1:33" s="130" customFormat="1" ht="13.9" customHeight="1" x14ac:dyDescent="0.25">
      <c r="A290" s="846">
        <f>Chem!A290</f>
        <v>288</v>
      </c>
      <c r="B290" s="1590" t="str">
        <f>Chem!B290</f>
        <v>2-Methyl-4-chlorophenoxy acetic acid (MCPA)</v>
      </c>
      <c r="C290" s="553" t="s">
        <v>232</v>
      </c>
      <c r="D290" s="338" t="s">
        <v>232</v>
      </c>
      <c r="E290" s="553" t="s">
        <v>232</v>
      </c>
      <c r="F290" s="553" t="s">
        <v>232</v>
      </c>
      <c r="G290" s="557" t="s">
        <v>232</v>
      </c>
      <c r="H290" s="392" t="s">
        <v>232</v>
      </c>
      <c r="I290" s="342" t="str">
        <f t="shared" si="573"/>
        <v>na</v>
      </c>
      <c r="J290" s="562" t="str">
        <f>'GW-Eq'!I290</f>
        <v>na</v>
      </c>
      <c r="K290" s="562" t="str">
        <f t="shared" si="574"/>
        <v>na</v>
      </c>
      <c r="L290" s="562" t="str">
        <f t="shared" si="575"/>
        <v>na</v>
      </c>
      <c r="M290" s="562" t="str">
        <f t="shared" si="576"/>
        <v>na</v>
      </c>
      <c r="N290" s="217" t="str">
        <f>'GW-Eq'!J290</f>
        <v>na</v>
      </c>
      <c r="O290" s="285" t="str">
        <f t="shared" si="577"/>
        <v>na</v>
      </c>
      <c r="P290" s="285" t="str">
        <f t="shared" si="578"/>
        <v>na</v>
      </c>
      <c r="Q290" s="285" t="str">
        <f t="shared" si="579"/>
        <v>na</v>
      </c>
      <c r="R290" s="1054" t="str">
        <f t="shared" si="580"/>
        <v>na</v>
      </c>
      <c r="T290" s="1113" t="str">
        <f t="shared" si="581"/>
        <v/>
      </c>
      <c r="U290" s="1114" t="str">
        <f t="shared" si="582"/>
        <v/>
      </c>
      <c r="V290" s="1114" t="str">
        <f t="shared" si="583"/>
        <v/>
      </c>
      <c r="W290" s="1114" t="str">
        <f t="shared" si="584"/>
        <v/>
      </c>
      <c r="X290" s="1114" t="str">
        <f t="shared" si="585"/>
        <v/>
      </c>
      <c r="Y290" s="1114" t="str">
        <f t="shared" si="586"/>
        <v/>
      </c>
      <c r="Z290" s="1114" t="str">
        <f t="shared" si="587"/>
        <v/>
      </c>
      <c r="AA290" s="1114" t="str">
        <f t="shared" si="588"/>
        <v/>
      </c>
      <c r="AB290" s="1704" t="str">
        <f t="shared" si="589"/>
        <v/>
      </c>
      <c r="AC290" s="1115" t="str">
        <f t="shared" si="590"/>
        <v/>
      </c>
      <c r="AE290" s="985"/>
    </row>
    <row r="291" spans="1:33" s="130" customFormat="1" ht="13.9" customHeight="1" thickBot="1" x14ac:dyDescent="0.3">
      <c r="A291" s="1662">
        <f>Chem!A291</f>
        <v>289</v>
      </c>
      <c r="B291" s="1585" t="str">
        <f>Chem!B291</f>
        <v>(2-Methyl-4-chlorophenol)2-propionic acid (MCPP)</v>
      </c>
      <c r="C291" s="560" t="s">
        <v>232</v>
      </c>
      <c r="D291" s="340" t="s">
        <v>232</v>
      </c>
      <c r="E291" s="560" t="s">
        <v>232</v>
      </c>
      <c r="F291" s="560" t="s">
        <v>232</v>
      </c>
      <c r="G291" s="659" t="s">
        <v>232</v>
      </c>
      <c r="H291" s="399" t="s">
        <v>232</v>
      </c>
      <c r="I291" s="340" t="str">
        <f t="shared" si="573"/>
        <v>na</v>
      </c>
      <c r="J291" s="566" t="str">
        <f>'GW-Eq'!I291</f>
        <v>na</v>
      </c>
      <c r="K291" s="566" t="str">
        <f t="shared" si="574"/>
        <v>na</v>
      </c>
      <c r="L291" s="566" t="str">
        <f t="shared" si="575"/>
        <v>na</v>
      </c>
      <c r="M291" s="566" t="str">
        <f t="shared" si="576"/>
        <v>na</v>
      </c>
      <c r="N291" s="292" t="str">
        <f>'GW-Eq'!J291</f>
        <v>na</v>
      </c>
      <c r="O291" s="292" t="str">
        <f t="shared" si="577"/>
        <v>na</v>
      </c>
      <c r="P291" s="292" t="str">
        <f t="shared" si="578"/>
        <v>na</v>
      </c>
      <c r="Q291" s="292" t="str">
        <f t="shared" si="579"/>
        <v>na</v>
      </c>
      <c r="R291" s="1060" t="str">
        <f t="shared" si="580"/>
        <v>na</v>
      </c>
      <c r="T291" s="1341" t="str">
        <f t="shared" si="581"/>
        <v/>
      </c>
      <c r="U291" s="1342" t="str">
        <f t="shared" si="582"/>
        <v/>
      </c>
      <c r="V291" s="1342" t="str">
        <f t="shared" si="583"/>
        <v/>
      </c>
      <c r="W291" s="1342" t="str">
        <f t="shared" si="584"/>
        <v/>
      </c>
      <c r="X291" s="1342" t="str">
        <f t="shared" si="585"/>
        <v/>
      </c>
      <c r="Y291" s="1342" t="str">
        <f t="shared" si="586"/>
        <v/>
      </c>
      <c r="Z291" s="1342" t="str">
        <f t="shared" si="587"/>
        <v/>
      </c>
      <c r="AA291" s="1342" t="str">
        <f t="shared" si="588"/>
        <v/>
      </c>
      <c r="AB291" s="1708" t="str">
        <f t="shared" si="589"/>
        <v/>
      </c>
      <c r="AC291" s="1343" t="str">
        <f t="shared" si="590"/>
        <v/>
      </c>
      <c r="AE291" s="986"/>
    </row>
    <row r="292" spans="1:33" s="378" customFormat="1" ht="15.75" thickTop="1" x14ac:dyDescent="0.2">
      <c r="C292" s="375"/>
      <c r="D292" s="375"/>
      <c r="E292" s="375"/>
      <c r="F292" s="375"/>
      <c r="G292" s="376"/>
      <c r="H292" s="376"/>
      <c r="I292" s="377"/>
      <c r="J292" s="375"/>
      <c r="K292" s="377"/>
      <c r="L292" s="377"/>
      <c r="M292" s="377"/>
      <c r="N292" s="375"/>
      <c r="O292" s="377"/>
      <c r="P292" s="377"/>
      <c r="Q292" s="377"/>
      <c r="R292" s="375"/>
      <c r="S292" s="830" t="s">
        <v>440</v>
      </c>
      <c r="T292" s="826">
        <f t="shared" ref="T292:AC292" si="591">COUNTIF(T$3:T$291,"X")</f>
        <v>17</v>
      </c>
      <c r="U292" s="826">
        <f t="shared" si="591"/>
        <v>15</v>
      </c>
      <c r="V292" s="826">
        <f t="shared" si="591"/>
        <v>89</v>
      </c>
      <c r="W292" s="826">
        <f t="shared" si="591"/>
        <v>66</v>
      </c>
      <c r="X292" s="826">
        <f t="shared" si="591"/>
        <v>9</v>
      </c>
      <c r="Y292" s="826">
        <f t="shared" si="591"/>
        <v>12</v>
      </c>
      <c r="Z292" s="826">
        <f t="shared" si="591"/>
        <v>9</v>
      </c>
      <c r="AA292" s="826">
        <f t="shared" si="591"/>
        <v>0</v>
      </c>
      <c r="AB292" s="826">
        <f t="shared" si="591"/>
        <v>2</v>
      </c>
      <c r="AC292" s="826">
        <f t="shared" si="591"/>
        <v>7</v>
      </c>
      <c r="AD292" s="379"/>
      <c r="AE292" s="968">
        <f>COUNTA(AE4:AE291)</f>
        <v>0</v>
      </c>
      <c r="AG292" s="130"/>
    </row>
    <row r="293" spans="1:33" s="382" customFormat="1" ht="15" x14ac:dyDescent="0.2">
      <c r="A293" s="968"/>
      <c r="B293" s="374"/>
      <c r="AG293" s="130"/>
    </row>
    <row r="294" spans="1:33" s="382" customFormat="1" ht="15" x14ac:dyDescent="0.25">
      <c r="A294" s="354"/>
      <c r="B294" s="280"/>
      <c r="C294" s="380"/>
      <c r="D294" s="380"/>
      <c r="E294" s="380"/>
      <c r="F294" s="380"/>
      <c r="G294" s="381"/>
      <c r="H294" s="381"/>
      <c r="I294" s="295"/>
      <c r="J294" s="380"/>
      <c r="K294" s="295"/>
      <c r="L294" s="295"/>
      <c r="M294" s="295"/>
      <c r="N294" s="380"/>
      <c r="O294" s="295"/>
      <c r="P294" s="295"/>
      <c r="Q294" s="295"/>
      <c r="R294" s="380"/>
      <c r="S294" s="380"/>
      <c r="T294" s="380"/>
      <c r="U294" s="380"/>
      <c r="AD294" s="383"/>
      <c r="AG294" s="130"/>
    </row>
    <row r="295" spans="1:33" s="294" customFormat="1" ht="15" x14ac:dyDescent="0.25">
      <c r="A295" s="354"/>
      <c r="B295" s="382"/>
      <c r="C295" s="380"/>
      <c r="D295" s="380"/>
      <c r="E295" s="380"/>
      <c r="F295" s="380"/>
      <c r="G295" s="381"/>
      <c r="H295" s="381"/>
      <c r="I295" s="295"/>
      <c r="J295" s="380"/>
      <c r="K295" s="295"/>
      <c r="L295" s="295"/>
      <c r="M295" s="295"/>
      <c r="N295" s="380"/>
      <c r="O295" s="295"/>
      <c r="P295" s="295"/>
      <c r="Q295" s="295"/>
      <c r="R295" s="380"/>
      <c r="S295" s="380"/>
      <c r="T295" s="380"/>
      <c r="U295" s="380"/>
      <c r="V295" s="382"/>
      <c r="W295" s="382"/>
      <c r="X295" s="382"/>
      <c r="Y295" s="382"/>
      <c r="Z295" s="382"/>
      <c r="AA295" s="382"/>
      <c r="AB295" s="382"/>
      <c r="AC295" s="382"/>
      <c r="AD295" s="383"/>
      <c r="AE295" s="382"/>
      <c r="AG295" s="130"/>
    </row>
    <row r="296" spans="1:33" s="294" customFormat="1" ht="15" x14ac:dyDescent="0.25">
      <c r="A296" s="354"/>
      <c r="C296" s="130"/>
      <c r="D296" s="130"/>
      <c r="E296" s="130"/>
      <c r="F296" s="130"/>
      <c r="G296" s="293"/>
      <c r="H296" s="293"/>
      <c r="I296" s="124"/>
      <c r="J296" s="130"/>
      <c r="K296" s="124"/>
      <c r="L296" s="267"/>
      <c r="M296" s="124"/>
      <c r="N296" s="130"/>
      <c r="O296" s="124"/>
      <c r="P296" s="267"/>
      <c r="Q296" s="124"/>
      <c r="R296" s="130"/>
      <c r="S296" s="130"/>
      <c r="T296" s="130"/>
      <c r="U296" s="130"/>
      <c r="AG296" s="130"/>
    </row>
    <row r="297" spans="1:33" s="294" customFormat="1" ht="15" x14ac:dyDescent="0.25">
      <c r="A297" s="354"/>
      <c r="C297" s="130"/>
      <c r="D297" s="130"/>
      <c r="E297" s="130"/>
      <c r="F297" s="130"/>
      <c r="G297" s="293"/>
      <c r="H297" s="293"/>
      <c r="I297" s="124"/>
      <c r="J297" s="130"/>
      <c r="K297" s="124"/>
      <c r="L297" s="267"/>
      <c r="M297" s="124"/>
      <c r="N297" s="130"/>
      <c r="O297" s="124"/>
      <c r="P297" s="267"/>
      <c r="Q297" s="124"/>
      <c r="R297" s="130"/>
      <c r="S297" s="130"/>
      <c r="T297" s="130"/>
      <c r="U297" s="130"/>
      <c r="AG297" s="130"/>
    </row>
    <row r="298" spans="1:33" s="294" customFormat="1" ht="15" x14ac:dyDescent="0.25">
      <c r="A298" s="354"/>
      <c r="C298" s="130"/>
      <c r="D298" s="130"/>
      <c r="E298" s="130"/>
      <c r="F298" s="130"/>
      <c r="G298" s="293"/>
      <c r="H298" s="293"/>
      <c r="I298" s="124"/>
      <c r="J298" s="130"/>
      <c r="K298" s="124"/>
      <c r="L298" s="267"/>
      <c r="M298" s="124"/>
      <c r="N298" s="130"/>
      <c r="O298" s="124"/>
      <c r="P298" s="267"/>
      <c r="Q298" s="124"/>
      <c r="R298" s="130"/>
      <c r="S298" s="130"/>
      <c r="T298" s="130"/>
      <c r="U298" s="130"/>
      <c r="AG298" s="130"/>
    </row>
    <row r="299" spans="1:33" s="294" customFormat="1" ht="15" x14ac:dyDescent="0.25">
      <c r="A299" s="354"/>
      <c r="C299" s="130"/>
      <c r="D299" s="130"/>
      <c r="E299" s="130"/>
      <c r="F299" s="130"/>
      <c r="G299" s="293"/>
      <c r="H299" s="293"/>
      <c r="I299" s="124"/>
      <c r="J299" s="130"/>
      <c r="K299" s="124"/>
      <c r="L299" s="267"/>
      <c r="M299" s="124"/>
      <c r="N299" s="130"/>
      <c r="O299" s="124"/>
      <c r="P299" s="267"/>
      <c r="Q299" s="124"/>
      <c r="R299" s="130"/>
      <c r="S299" s="130"/>
      <c r="T299" s="130"/>
      <c r="U299" s="130"/>
      <c r="AG299" s="130"/>
    </row>
    <row r="300" spans="1:33" s="294" customFormat="1" ht="15" x14ac:dyDescent="0.25">
      <c r="A300" s="354"/>
      <c r="C300" s="130"/>
      <c r="D300" s="130"/>
      <c r="E300" s="130"/>
      <c r="F300" s="130"/>
      <c r="G300" s="293"/>
      <c r="H300" s="293"/>
      <c r="I300" s="124"/>
      <c r="J300" s="130"/>
      <c r="K300" s="124"/>
      <c r="L300" s="267"/>
      <c r="M300" s="124"/>
      <c r="N300" s="130"/>
      <c r="O300" s="124"/>
      <c r="P300" s="267"/>
      <c r="Q300" s="124"/>
      <c r="R300" s="130"/>
      <c r="S300" s="130"/>
      <c r="T300" s="130"/>
      <c r="U300" s="130"/>
      <c r="AG300" s="130"/>
    </row>
    <row r="301" spans="1:33" s="294" customFormat="1" ht="15" x14ac:dyDescent="0.25">
      <c r="A301" s="354"/>
      <c r="C301" s="130"/>
      <c r="D301" s="130"/>
      <c r="E301" s="130"/>
      <c r="F301" s="130"/>
      <c r="G301" s="293"/>
      <c r="H301" s="293"/>
      <c r="I301" s="124"/>
      <c r="J301" s="130"/>
      <c r="K301" s="124"/>
      <c r="L301" s="267"/>
      <c r="M301" s="124"/>
      <c r="N301" s="130"/>
      <c r="O301" s="124"/>
      <c r="P301" s="267"/>
      <c r="Q301" s="124"/>
      <c r="R301" s="130"/>
      <c r="S301" s="130"/>
      <c r="T301" s="130"/>
      <c r="U301" s="130"/>
      <c r="AG301" s="130"/>
    </row>
    <row r="302" spans="1:33" s="294" customFormat="1" ht="15" x14ac:dyDescent="0.25">
      <c r="A302" s="354"/>
      <c r="C302" s="130"/>
      <c r="D302" s="130"/>
      <c r="E302" s="130"/>
      <c r="F302" s="130"/>
      <c r="G302" s="293"/>
      <c r="H302" s="293"/>
      <c r="I302" s="124"/>
      <c r="J302" s="130"/>
      <c r="K302" s="124"/>
      <c r="L302" s="267"/>
      <c r="M302" s="124"/>
      <c r="N302" s="130"/>
      <c r="O302" s="124"/>
      <c r="P302" s="267"/>
      <c r="Q302" s="124"/>
      <c r="R302" s="130"/>
      <c r="S302" s="130"/>
      <c r="T302" s="130"/>
      <c r="U302" s="130"/>
      <c r="AG302" s="130"/>
    </row>
    <row r="303" spans="1:33" s="294" customFormat="1" ht="15" x14ac:dyDescent="0.25">
      <c r="A303" s="354"/>
      <c r="C303" s="130"/>
      <c r="D303" s="130"/>
      <c r="E303" s="130"/>
      <c r="F303" s="130"/>
      <c r="G303" s="293"/>
      <c r="H303" s="293"/>
      <c r="I303" s="124"/>
      <c r="J303" s="130"/>
      <c r="K303" s="124"/>
      <c r="L303" s="267"/>
      <c r="M303" s="124"/>
      <c r="N303" s="130"/>
      <c r="O303" s="124"/>
      <c r="P303" s="267"/>
      <c r="Q303" s="124"/>
      <c r="R303" s="130"/>
      <c r="S303" s="130"/>
      <c r="T303" s="130"/>
      <c r="U303" s="130"/>
      <c r="AG303" s="130"/>
    </row>
    <row r="304" spans="1:33" s="294" customFormat="1" ht="15" x14ac:dyDescent="0.25">
      <c r="A304" s="354"/>
      <c r="C304" s="130"/>
      <c r="D304" s="130"/>
      <c r="E304" s="130"/>
      <c r="F304" s="130"/>
      <c r="G304" s="293"/>
      <c r="H304" s="293"/>
      <c r="I304" s="124"/>
      <c r="J304" s="130"/>
      <c r="K304" s="124"/>
      <c r="L304" s="267"/>
      <c r="M304" s="124"/>
      <c r="N304" s="130"/>
      <c r="O304" s="124"/>
      <c r="P304" s="267"/>
      <c r="Q304" s="124"/>
      <c r="R304" s="130"/>
      <c r="S304" s="130"/>
      <c r="T304" s="130"/>
      <c r="U304" s="130"/>
      <c r="AG304" s="130"/>
    </row>
    <row r="305" spans="1:21" s="294" customFormat="1" ht="15" x14ac:dyDescent="0.25">
      <c r="A305" s="354"/>
      <c r="C305" s="130"/>
      <c r="D305" s="130"/>
      <c r="E305" s="130"/>
      <c r="F305" s="130"/>
      <c r="G305" s="293"/>
      <c r="H305" s="293"/>
      <c r="I305" s="124"/>
      <c r="J305" s="130"/>
      <c r="K305" s="124"/>
      <c r="L305" s="267"/>
      <c r="M305" s="124"/>
      <c r="N305" s="130"/>
      <c r="O305" s="124"/>
      <c r="P305" s="267"/>
      <c r="Q305" s="124"/>
      <c r="R305" s="130"/>
      <c r="S305" s="130"/>
      <c r="T305" s="130"/>
      <c r="U305" s="130"/>
    </row>
    <row r="306" spans="1:21" s="294" customFormat="1" ht="15" x14ac:dyDescent="0.25">
      <c r="A306" s="354"/>
      <c r="C306" s="130"/>
      <c r="D306" s="130"/>
      <c r="E306" s="130"/>
      <c r="F306" s="130"/>
      <c r="G306" s="293"/>
      <c r="H306" s="293"/>
      <c r="I306" s="124"/>
      <c r="J306" s="130"/>
      <c r="K306" s="124"/>
      <c r="L306" s="267"/>
      <c r="M306" s="124"/>
      <c r="N306" s="130"/>
      <c r="O306" s="124"/>
      <c r="P306" s="267"/>
      <c r="Q306" s="124"/>
      <c r="R306" s="130"/>
      <c r="S306" s="130"/>
      <c r="T306" s="130"/>
      <c r="U306" s="130"/>
    </row>
    <row r="307" spans="1:21" s="294" customFormat="1" ht="15" x14ac:dyDescent="0.25">
      <c r="A307" s="354"/>
      <c r="C307" s="130"/>
      <c r="D307" s="130"/>
      <c r="E307" s="130"/>
      <c r="F307" s="130"/>
      <c r="G307" s="293"/>
      <c r="H307" s="293"/>
      <c r="I307" s="124"/>
      <c r="J307" s="130"/>
      <c r="K307" s="124"/>
      <c r="L307" s="267"/>
      <c r="M307" s="124"/>
      <c r="N307" s="130"/>
      <c r="O307" s="124"/>
      <c r="P307" s="267"/>
      <c r="Q307" s="124"/>
      <c r="R307" s="130"/>
      <c r="S307" s="130"/>
      <c r="T307" s="130"/>
      <c r="U307" s="130"/>
    </row>
    <row r="308" spans="1:21" s="294" customFormat="1" ht="15" x14ac:dyDescent="0.25">
      <c r="A308" s="354"/>
      <c r="C308" s="130"/>
      <c r="D308" s="130"/>
      <c r="E308" s="130"/>
      <c r="F308" s="130"/>
      <c r="G308" s="293"/>
      <c r="H308" s="293"/>
      <c r="I308" s="124"/>
      <c r="J308" s="130"/>
      <c r="K308" s="124"/>
      <c r="L308" s="267"/>
      <c r="M308" s="124"/>
      <c r="N308" s="130"/>
      <c r="O308" s="124"/>
      <c r="P308" s="267"/>
      <c r="Q308" s="124"/>
      <c r="R308" s="130"/>
      <c r="S308" s="130"/>
      <c r="T308" s="130"/>
      <c r="U308" s="130"/>
    </row>
    <row r="309" spans="1:21" s="294" customFormat="1" ht="15" x14ac:dyDescent="0.25">
      <c r="A309" s="354"/>
      <c r="C309" s="130"/>
      <c r="D309" s="130"/>
      <c r="E309" s="130"/>
      <c r="F309" s="130"/>
      <c r="G309" s="293"/>
      <c r="H309" s="293"/>
      <c r="I309" s="124"/>
      <c r="J309" s="130"/>
      <c r="K309" s="124"/>
      <c r="L309" s="267"/>
      <c r="M309" s="124"/>
      <c r="N309" s="130"/>
      <c r="O309" s="124"/>
      <c r="P309" s="267"/>
      <c r="Q309" s="124"/>
      <c r="R309" s="130"/>
      <c r="S309" s="130"/>
      <c r="T309" s="130"/>
      <c r="U309" s="130"/>
    </row>
    <row r="310" spans="1:21" s="294" customFormat="1" ht="15" x14ac:dyDescent="0.25">
      <c r="A310" s="354"/>
      <c r="C310" s="130"/>
      <c r="D310" s="130"/>
      <c r="E310" s="130"/>
      <c r="F310" s="130"/>
      <c r="G310" s="293"/>
      <c r="H310" s="293"/>
      <c r="I310" s="124"/>
      <c r="J310" s="130"/>
      <c r="K310" s="124"/>
      <c r="L310" s="267"/>
      <c r="M310" s="124"/>
      <c r="N310" s="130"/>
      <c r="O310" s="124"/>
      <c r="P310" s="267"/>
      <c r="Q310" s="124"/>
      <c r="R310" s="130"/>
      <c r="S310" s="130"/>
      <c r="T310" s="130"/>
      <c r="U310" s="130"/>
    </row>
    <row r="311" spans="1:21" s="294" customFormat="1" ht="15" x14ac:dyDescent="0.25">
      <c r="A311" s="354"/>
      <c r="C311" s="130"/>
      <c r="D311" s="130"/>
      <c r="E311" s="130"/>
      <c r="F311" s="130"/>
      <c r="G311" s="293"/>
      <c r="H311" s="293"/>
      <c r="I311" s="124"/>
      <c r="J311" s="130"/>
      <c r="K311" s="124"/>
      <c r="L311" s="267"/>
      <c r="M311" s="124"/>
      <c r="N311" s="130"/>
      <c r="O311" s="124"/>
      <c r="P311" s="267"/>
      <c r="Q311" s="124"/>
      <c r="R311" s="130"/>
      <c r="S311" s="130"/>
      <c r="T311" s="130"/>
      <c r="U311" s="130"/>
    </row>
    <row r="312" spans="1:21" s="294" customFormat="1" ht="15" x14ac:dyDescent="0.25">
      <c r="A312" s="354"/>
      <c r="C312" s="130"/>
      <c r="D312" s="130"/>
      <c r="E312" s="130"/>
      <c r="F312" s="130"/>
      <c r="G312" s="293"/>
      <c r="H312" s="293"/>
      <c r="I312" s="124"/>
      <c r="J312" s="130"/>
      <c r="K312" s="124"/>
      <c r="L312" s="267"/>
      <c r="M312" s="124"/>
      <c r="N312" s="130"/>
      <c r="O312" s="124"/>
      <c r="P312" s="267"/>
      <c r="Q312" s="124"/>
      <c r="R312" s="130"/>
      <c r="S312" s="130"/>
      <c r="T312" s="130"/>
      <c r="U312" s="130"/>
    </row>
    <row r="313" spans="1:21" s="294" customFormat="1" ht="15" x14ac:dyDescent="0.25">
      <c r="A313" s="354"/>
      <c r="C313" s="130"/>
      <c r="D313" s="130"/>
      <c r="E313" s="130"/>
      <c r="F313" s="130"/>
      <c r="G313" s="293"/>
      <c r="H313" s="293"/>
      <c r="I313" s="124"/>
      <c r="J313" s="130"/>
      <c r="K313" s="124"/>
      <c r="L313" s="267"/>
      <c r="M313" s="124"/>
      <c r="N313" s="130"/>
      <c r="O313" s="124"/>
      <c r="P313" s="267"/>
      <c r="Q313" s="124"/>
      <c r="R313" s="130"/>
      <c r="S313" s="130"/>
      <c r="T313" s="130"/>
      <c r="U313" s="130"/>
    </row>
    <row r="314" spans="1:21" s="294" customFormat="1" ht="15" x14ac:dyDescent="0.25">
      <c r="A314" s="354"/>
      <c r="C314" s="130"/>
      <c r="D314" s="130"/>
      <c r="E314" s="130"/>
      <c r="F314" s="130"/>
      <c r="G314" s="293"/>
      <c r="H314" s="293"/>
      <c r="I314" s="124"/>
      <c r="J314" s="130"/>
      <c r="K314" s="124"/>
      <c r="L314" s="267"/>
      <c r="M314" s="124"/>
      <c r="N314" s="130"/>
      <c r="O314" s="124"/>
      <c r="P314" s="267"/>
      <c r="Q314" s="124"/>
      <c r="R314" s="130"/>
      <c r="S314" s="130"/>
      <c r="T314" s="130"/>
      <c r="U314" s="130"/>
    </row>
    <row r="315" spans="1:21" s="294" customFormat="1" ht="15" x14ac:dyDescent="0.25">
      <c r="A315" s="354"/>
      <c r="C315" s="130"/>
      <c r="D315" s="130"/>
      <c r="E315" s="130"/>
      <c r="F315" s="130"/>
      <c r="G315" s="293"/>
      <c r="H315" s="293"/>
      <c r="I315" s="124"/>
      <c r="J315" s="130"/>
      <c r="K315" s="124"/>
      <c r="L315" s="267"/>
      <c r="M315" s="124"/>
      <c r="N315" s="130"/>
      <c r="O315" s="124"/>
      <c r="P315" s="267"/>
      <c r="Q315" s="124"/>
      <c r="R315" s="130"/>
      <c r="S315" s="130"/>
      <c r="T315" s="130"/>
      <c r="U315" s="130"/>
    </row>
    <row r="316" spans="1:21" s="294" customFormat="1" ht="15" x14ac:dyDescent="0.25">
      <c r="A316" s="354"/>
      <c r="C316" s="130"/>
      <c r="D316" s="130"/>
      <c r="E316" s="130"/>
      <c r="F316" s="130"/>
      <c r="G316" s="293"/>
      <c r="H316" s="293"/>
      <c r="I316" s="124"/>
      <c r="J316" s="130"/>
      <c r="K316" s="124"/>
      <c r="L316" s="267"/>
      <c r="M316" s="124"/>
      <c r="N316" s="130"/>
      <c r="O316" s="124"/>
      <c r="P316" s="267"/>
      <c r="Q316" s="124"/>
      <c r="R316" s="130"/>
      <c r="S316" s="130"/>
      <c r="T316" s="130"/>
      <c r="U316" s="130"/>
    </row>
    <row r="317" spans="1:21" s="294" customFormat="1" ht="15" x14ac:dyDescent="0.25">
      <c r="A317" s="354"/>
      <c r="C317" s="130"/>
      <c r="D317" s="130"/>
      <c r="E317" s="130"/>
      <c r="F317" s="130"/>
      <c r="G317" s="293"/>
      <c r="H317" s="293"/>
      <c r="I317" s="124"/>
      <c r="J317" s="130"/>
      <c r="K317" s="124"/>
      <c r="L317" s="267"/>
      <c r="M317" s="124"/>
      <c r="N317" s="130"/>
      <c r="O317" s="124"/>
      <c r="P317" s="267"/>
      <c r="Q317" s="124"/>
      <c r="R317" s="130"/>
      <c r="S317" s="130"/>
      <c r="T317" s="130"/>
      <c r="U317" s="130"/>
    </row>
    <row r="318" spans="1:21" s="294" customFormat="1" ht="15" x14ac:dyDescent="0.25">
      <c r="A318" s="354"/>
      <c r="C318" s="130"/>
      <c r="D318" s="130"/>
      <c r="E318" s="130"/>
      <c r="F318" s="130"/>
      <c r="G318" s="293"/>
      <c r="H318" s="293"/>
      <c r="I318" s="124"/>
      <c r="J318" s="130"/>
      <c r="K318" s="124"/>
      <c r="L318" s="267"/>
      <c r="M318" s="124"/>
      <c r="N318" s="130"/>
      <c r="O318" s="124"/>
      <c r="P318" s="267"/>
      <c r="Q318" s="124"/>
      <c r="R318" s="130"/>
      <c r="S318" s="130"/>
      <c r="T318" s="130"/>
      <c r="U318" s="130"/>
    </row>
    <row r="319" spans="1:21" s="294" customFormat="1" ht="15" x14ac:dyDescent="0.25">
      <c r="A319" s="354"/>
      <c r="C319" s="130"/>
      <c r="D319" s="130"/>
      <c r="E319" s="130"/>
      <c r="F319" s="130"/>
      <c r="G319" s="293"/>
      <c r="H319" s="293"/>
      <c r="I319" s="124"/>
      <c r="J319" s="130"/>
      <c r="K319" s="124"/>
      <c r="L319" s="267"/>
      <c r="M319" s="124"/>
      <c r="N319" s="130"/>
      <c r="O319" s="124"/>
      <c r="P319" s="267"/>
      <c r="Q319" s="124"/>
      <c r="R319" s="130"/>
      <c r="S319" s="130"/>
      <c r="T319" s="130"/>
      <c r="U319" s="130"/>
    </row>
    <row r="320" spans="1:21" s="294" customFormat="1" ht="15" x14ac:dyDescent="0.25">
      <c r="A320" s="354"/>
      <c r="C320" s="130"/>
      <c r="D320" s="130"/>
      <c r="E320" s="130"/>
      <c r="F320" s="130"/>
      <c r="G320" s="293"/>
      <c r="H320" s="293"/>
      <c r="I320" s="124"/>
      <c r="J320" s="130"/>
      <c r="K320" s="124"/>
      <c r="L320" s="267"/>
      <c r="M320" s="124"/>
      <c r="N320" s="130"/>
      <c r="O320" s="124"/>
      <c r="P320" s="267"/>
      <c r="Q320" s="124"/>
      <c r="R320" s="130"/>
      <c r="S320" s="130"/>
      <c r="T320" s="130"/>
      <c r="U320" s="130"/>
    </row>
    <row r="321" spans="1:31" s="294" customFormat="1" ht="15" x14ac:dyDescent="0.25">
      <c r="A321" s="354"/>
      <c r="B321" s="280"/>
      <c r="C321" s="130"/>
      <c r="D321" s="130"/>
      <c r="E321" s="130"/>
      <c r="F321" s="130"/>
      <c r="G321" s="293"/>
      <c r="H321" s="293"/>
      <c r="I321" s="124"/>
      <c r="J321" s="130"/>
      <c r="K321" s="124"/>
      <c r="L321" s="267"/>
      <c r="M321" s="124"/>
      <c r="N321" s="130"/>
      <c r="O321" s="124"/>
      <c r="P321" s="267"/>
      <c r="Q321" s="124"/>
      <c r="R321" s="130"/>
      <c r="S321" s="130"/>
      <c r="T321" s="130"/>
      <c r="U321" s="130"/>
    </row>
    <row r="322" spans="1:31" s="294" customFormat="1" ht="15" x14ac:dyDescent="0.25">
      <c r="A322" s="354"/>
      <c r="C322" s="130"/>
      <c r="D322" s="130"/>
      <c r="E322" s="130"/>
      <c r="F322" s="130"/>
      <c r="G322" s="293"/>
      <c r="H322" s="293"/>
      <c r="I322" s="124"/>
      <c r="J322" s="130"/>
      <c r="K322" s="124"/>
      <c r="L322" s="267"/>
      <c r="M322" s="124"/>
      <c r="N322" s="130"/>
      <c r="O322" s="124"/>
      <c r="P322" s="267"/>
      <c r="Q322" s="124"/>
      <c r="R322" s="130"/>
      <c r="S322" s="130"/>
      <c r="T322" s="130"/>
      <c r="U322" s="130"/>
    </row>
    <row r="323" spans="1:31" s="294" customFormat="1" ht="15" x14ac:dyDescent="0.25">
      <c r="A323" s="354"/>
      <c r="C323" s="130"/>
      <c r="D323" s="130"/>
      <c r="E323" s="130"/>
      <c r="F323" s="130"/>
      <c r="G323" s="293"/>
      <c r="H323" s="293"/>
      <c r="I323" s="124"/>
      <c r="J323" s="130"/>
      <c r="K323" s="124"/>
      <c r="L323" s="267"/>
      <c r="M323" s="124"/>
      <c r="N323" s="130"/>
      <c r="O323" s="124"/>
      <c r="P323" s="267"/>
      <c r="Q323" s="124"/>
      <c r="R323" s="130"/>
      <c r="S323" s="130"/>
      <c r="T323" s="130"/>
      <c r="U323" s="130"/>
    </row>
    <row r="324" spans="1:31" s="294" customFormat="1" ht="15" x14ac:dyDescent="0.25">
      <c r="A324" s="354"/>
      <c r="C324" s="130"/>
      <c r="D324" s="130"/>
      <c r="E324" s="130"/>
      <c r="F324" s="130"/>
      <c r="G324" s="293"/>
      <c r="H324" s="293"/>
      <c r="I324" s="124"/>
      <c r="J324" s="130"/>
      <c r="K324" s="124"/>
      <c r="L324" s="267"/>
      <c r="M324" s="124"/>
      <c r="N324" s="130"/>
      <c r="O324" s="124"/>
      <c r="P324" s="267"/>
      <c r="Q324" s="124"/>
      <c r="R324" s="130"/>
      <c r="S324" s="130"/>
      <c r="T324" s="130"/>
      <c r="U324" s="130"/>
    </row>
    <row r="325" spans="1:31" ht="15" x14ac:dyDescent="0.25">
      <c r="A325" s="354"/>
      <c r="B325" s="294"/>
      <c r="C325" s="130"/>
      <c r="D325" s="130"/>
      <c r="E325" s="130"/>
      <c r="F325" s="130"/>
      <c r="G325" s="293"/>
      <c r="H325" s="293"/>
      <c r="J325" s="130"/>
      <c r="N325" s="130"/>
      <c r="R325" s="130"/>
      <c r="S325" s="130"/>
      <c r="T325" s="130"/>
      <c r="U325" s="130"/>
      <c r="V325" s="294"/>
      <c r="W325" s="294"/>
      <c r="X325" s="294"/>
      <c r="Y325" s="294"/>
      <c r="Z325" s="294"/>
      <c r="AA325" s="294"/>
      <c r="AB325" s="294"/>
      <c r="AC325" s="294"/>
      <c r="AD325" s="294"/>
      <c r="AE325" s="294"/>
    </row>
    <row r="326" spans="1:31" ht="15" x14ac:dyDescent="0.25">
      <c r="A326" s="354"/>
      <c r="C326" s="130"/>
      <c r="D326" s="130"/>
      <c r="E326" s="130"/>
      <c r="F326" s="130"/>
      <c r="J326" s="130"/>
      <c r="N326" s="130"/>
      <c r="R326" s="130"/>
      <c r="S326" s="130"/>
      <c r="T326" s="130"/>
      <c r="U326" s="130"/>
    </row>
    <row r="327" spans="1:31" ht="15" x14ac:dyDescent="0.25">
      <c r="A327" s="354"/>
      <c r="C327" s="130"/>
      <c r="D327" s="130"/>
      <c r="E327" s="130"/>
      <c r="F327" s="130"/>
      <c r="J327" s="130"/>
      <c r="N327" s="130"/>
      <c r="R327" s="130"/>
      <c r="S327" s="130"/>
      <c r="T327" s="130"/>
      <c r="U327" s="130"/>
    </row>
    <row r="328" spans="1:31" ht="15" x14ac:dyDescent="0.25">
      <c r="A328" s="354"/>
      <c r="C328" s="130"/>
      <c r="D328" s="130"/>
      <c r="E328" s="130"/>
      <c r="F328" s="130"/>
      <c r="J328" s="130"/>
      <c r="N328" s="130"/>
      <c r="R328" s="130"/>
      <c r="S328" s="130"/>
      <c r="T328" s="130"/>
      <c r="U328" s="130"/>
    </row>
    <row r="329" spans="1:31" ht="15" x14ac:dyDescent="0.25">
      <c r="A329" s="354"/>
      <c r="C329" s="130"/>
      <c r="D329" s="130"/>
      <c r="E329" s="130"/>
      <c r="F329" s="130"/>
      <c r="J329" s="130"/>
      <c r="N329" s="130"/>
      <c r="R329" s="130"/>
      <c r="S329" s="130"/>
      <c r="T329" s="130"/>
      <c r="U329" s="130"/>
    </row>
    <row r="330" spans="1:31" ht="15" x14ac:dyDescent="0.25">
      <c r="A330" s="354"/>
      <c r="C330" s="130"/>
      <c r="D330" s="130"/>
      <c r="E330" s="130"/>
      <c r="F330" s="130"/>
      <c r="J330" s="130"/>
      <c r="N330" s="130"/>
      <c r="R330" s="130"/>
      <c r="S330" s="130"/>
      <c r="T330" s="130"/>
      <c r="U330" s="130"/>
    </row>
    <row r="331" spans="1:31" ht="15" x14ac:dyDescent="0.25">
      <c r="A331" s="354"/>
      <c r="C331" s="130"/>
      <c r="D331" s="130"/>
      <c r="E331" s="130"/>
      <c r="F331" s="130"/>
      <c r="J331" s="130"/>
      <c r="N331" s="130"/>
      <c r="R331" s="130"/>
      <c r="S331" s="130"/>
      <c r="T331" s="130"/>
      <c r="U331" s="130"/>
    </row>
    <row r="332" spans="1:31" ht="15" x14ac:dyDescent="0.25">
      <c r="A332" s="354"/>
      <c r="C332" s="130"/>
      <c r="D332" s="130"/>
      <c r="E332" s="130"/>
      <c r="F332" s="130"/>
      <c r="J332" s="130"/>
      <c r="N332" s="130"/>
      <c r="R332" s="130"/>
      <c r="S332" s="130"/>
      <c r="T332" s="130"/>
      <c r="U332" s="130"/>
    </row>
  </sheetData>
  <autoFilter ref="A2:AG292" xr:uid="{00000000-0001-0000-0D00-000000000000}"/>
  <mergeCells count="1">
    <mergeCell ref="T1:AC1"/>
  </mergeCells>
  <printOptions horizontalCentered="1"/>
  <pageMargins left="0.7" right="0.7" top="0.75" bottom="0.75" header="0.3" footer="0.3"/>
  <pageSetup paperSize="3" orientation="landscape" horizontalDpi="1200" verticalDpi="1200" r:id="rId1"/>
  <headerFooter scaleWithDoc="0">
    <oddHeader xml:space="preserve">&amp;R
</oddHeader>
    <oddFooter>&amp;R&amp;"Arial,Regular"&amp;9Page &amp;P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O317"/>
  <sheetViews>
    <sheetView zoomScaleNormal="100" workbookViewId="0">
      <pane xSplit="2" ySplit="2" topLeftCell="C265" activePane="bottomRight" state="frozen"/>
      <selection activeCell="B1" sqref="B1"/>
      <selection pane="topRight" activeCell="C1" sqref="C1"/>
      <selection pane="bottomLeft" activeCell="B3" sqref="B3"/>
      <selection pane="bottomRight" activeCell="F267" sqref="F267"/>
    </sheetView>
  </sheetViews>
  <sheetFormatPr defaultColWidth="8.85546875" defaultRowHeight="15" x14ac:dyDescent="0.25"/>
  <cols>
    <col min="1" max="1" width="5.5703125" style="130" customWidth="1"/>
    <col min="2" max="2" width="34.140625" style="922" customWidth="1"/>
    <col min="3" max="3" width="11.7109375" style="124" customWidth="1"/>
    <col min="4" max="4" width="11.85546875" style="124" customWidth="1"/>
    <col min="5" max="5" width="8.7109375" style="200" customWidth="1"/>
    <col min="6" max="6" width="9.7109375" style="200" customWidth="1"/>
    <col min="7" max="8" width="13.42578125" style="124" customWidth="1"/>
    <col min="9" max="10" width="13.85546875" style="124" customWidth="1"/>
    <col min="11" max="11" width="5.28515625" style="124" customWidth="1"/>
    <col min="12" max="12" width="13.5703125" style="11" customWidth="1"/>
    <col min="13" max="16384" width="8.85546875" style="130"/>
  </cols>
  <sheetData>
    <row r="1" spans="1:12" ht="15.75" thickBot="1" x14ac:dyDescent="0.3">
      <c r="B1" s="248" t="s">
        <v>1696</v>
      </c>
      <c r="E1" s="1844"/>
      <c r="F1" s="1845" t="s">
        <v>649</v>
      </c>
    </row>
    <row r="2" spans="1:12" s="32" customFormat="1" ht="75" thickTop="1" thickBot="1" x14ac:dyDescent="0.3">
      <c r="A2" s="1709" t="s">
        <v>445</v>
      </c>
      <c r="B2" s="1735" t="s">
        <v>0</v>
      </c>
      <c r="C2" s="1738" t="s">
        <v>240</v>
      </c>
      <c r="D2" s="1738" t="s">
        <v>274</v>
      </c>
      <c r="E2" s="1740" t="s">
        <v>302</v>
      </c>
      <c r="F2" s="1738" t="s">
        <v>242</v>
      </c>
      <c r="G2" s="1727" t="s">
        <v>433</v>
      </c>
      <c r="H2" s="1727" t="s">
        <v>434</v>
      </c>
      <c r="I2" s="1727" t="s">
        <v>275</v>
      </c>
      <c r="J2" s="1743" t="s">
        <v>276</v>
      </c>
      <c r="K2" s="128"/>
      <c r="L2" s="1724" t="s">
        <v>465</v>
      </c>
    </row>
    <row r="3" spans="1:12" ht="13.9" customHeight="1" thickTop="1" x14ac:dyDescent="0.25">
      <c r="A3" s="907">
        <f>Chem!A3</f>
        <v>1</v>
      </c>
      <c r="B3" s="908" t="str">
        <f>Chem!B3</f>
        <v>PCBs</v>
      </c>
      <c r="C3" s="125"/>
      <c r="D3" s="125"/>
      <c r="E3" s="202"/>
      <c r="F3" s="125"/>
      <c r="G3" s="125"/>
      <c r="H3" s="125"/>
      <c r="I3" s="125"/>
      <c r="J3" s="126"/>
      <c r="L3" s="1061"/>
    </row>
    <row r="4" spans="1:12" ht="13.9" customHeight="1" x14ac:dyDescent="0.25">
      <c r="A4" s="842">
        <f>Chem!A4</f>
        <v>2</v>
      </c>
      <c r="B4" s="923" t="str">
        <f>Chem!B4</f>
        <v>Total PCB Aroclors</v>
      </c>
      <c r="C4" s="909" t="str">
        <f>Param!O4</f>
        <v>na</v>
      </c>
      <c r="D4" s="552">
        <f>Param!V4</f>
        <v>2</v>
      </c>
      <c r="E4" s="675">
        <f>Param!AB4</f>
        <v>2</v>
      </c>
      <c r="F4" s="552">
        <f>Param!N4</f>
        <v>31200</v>
      </c>
      <c r="G4" s="684" t="str">
        <f>IF(C4="na","na",(C4/E4)*Eqtn!$D$25)</f>
        <v>na</v>
      </c>
      <c r="H4" s="684">
        <f>IF(D4="na","na",Eqtn!$D$46/(D4*E4))</f>
        <v>2.1874999999999995E-2</v>
      </c>
      <c r="I4" s="611" t="str">
        <f>IF(C4="na","na",IF(F4="na","na",Eqtn!$D$68*C4/F4))</f>
        <v>na</v>
      </c>
      <c r="J4" s="612">
        <f>IF(D4="na","na",IF(F4="na","na",Eqtn!$D$90/(D4*F4)))</f>
        <v>2.8763971071663373E-5</v>
      </c>
      <c r="L4" s="1062"/>
    </row>
    <row r="5" spans="1:12" ht="13.9" customHeight="1" x14ac:dyDescent="0.25">
      <c r="A5" s="842">
        <f>Chem!A5</f>
        <v>3</v>
      </c>
      <c r="B5" s="916" t="str">
        <f>Chem!B5</f>
        <v>Total PCB congeners</v>
      </c>
      <c r="C5" s="909" t="str">
        <f>Param!O5</f>
        <v>na</v>
      </c>
      <c r="D5" s="552">
        <f>Param!V5</f>
        <v>2</v>
      </c>
      <c r="E5" s="675">
        <f>Param!AB5</f>
        <v>2</v>
      </c>
      <c r="F5" s="552">
        <f>Param!N5</f>
        <v>31200</v>
      </c>
      <c r="G5" s="684" t="str">
        <f>IF(C5="na","na",(C5/E5)*Eqtn!$D$25)</f>
        <v>na</v>
      </c>
      <c r="H5" s="684">
        <f>IF(D5="na","na",Eqtn!$D$46/(D5*E5))</f>
        <v>2.1874999999999995E-2</v>
      </c>
      <c r="I5" s="611" t="str">
        <f>IF(C5="na","na",IF(F5="na","na",Eqtn!$D$68*C5/F5))</f>
        <v>na</v>
      </c>
      <c r="J5" s="612">
        <f>IF(D5="na","na",IF(F5="na","na",Eqtn!$D$90/(D5*F5)))</f>
        <v>2.8763971071663373E-5</v>
      </c>
      <c r="L5" s="1062"/>
    </row>
    <row r="6" spans="1:12" ht="13.9" customHeight="1" x14ac:dyDescent="0.25">
      <c r="A6" s="842">
        <f>Chem!A6</f>
        <v>4</v>
      </c>
      <c r="B6" s="916" t="str">
        <f>Chem!B6</f>
        <v>Total PCB TEQ</v>
      </c>
      <c r="C6" s="910">
        <f>Param!O6</f>
        <v>6.9999999999999996E-10</v>
      </c>
      <c r="D6" s="589">
        <f>Param!V6</f>
        <v>130000</v>
      </c>
      <c r="E6" s="676">
        <f>Param!AB6</f>
        <v>2</v>
      </c>
      <c r="F6" s="589">
        <f>Param!N6</f>
        <v>31200</v>
      </c>
      <c r="G6" s="685">
        <f>IF(C6="na","na",(C6/E6)*Eqtn!$D$25)</f>
        <v>5.5999999999999997E-6</v>
      </c>
      <c r="H6" s="685">
        <f>IF(D6="na","na",Eqtn!$D$46/(D6*E6))</f>
        <v>3.3653846153846149E-7</v>
      </c>
      <c r="I6" s="611">
        <f>IF(C6="na","na",IF(F6="na","na",Eqtn!$D$68*C6/F6))</f>
        <v>1.6107823800131493E-8</v>
      </c>
      <c r="J6" s="619">
        <f>IF(D6="na","na",IF(F6="na","na",Eqtn!$D$90/(D6*F6)))</f>
        <v>4.4252263187174421E-10</v>
      </c>
      <c r="L6" s="1062"/>
    </row>
    <row r="7" spans="1:12" ht="13.9" customHeight="1" x14ac:dyDescent="0.25">
      <c r="A7" s="906">
        <f>Chem!A7</f>
        <v>5</v>
      </c>
      <c r="B7" s="887" t="str">
        <f>Chem!B7</f>
        <v xml:space="preserve">Dioxins/Furans </v>
      </c>
      <c r="C7" s="127"/>
      <c r="D7" s="259"/>
      <c r="E7" s="2374"/>
      <c r="F7" s="127"/>
      <c r="G7" s="127"/>
      <c r="H7" s="127"/>
      <c r="I7" s="127"/>
      <c r="J7" s="2364"/>
      <c r="L7" s="1063"/>
    </row>
    <row r="8" spans="1:12" ht="13.9" customHeight="1" x14ac:dyDescent="0.25">
      <c r="A8" s="844">
        <f>Chem!A8</f>
        <v>6</v>
      </c>
      <c r="B8" s="916" t="str">
        <f>Chem!B8</f>
        <v>Total dioxin/furan TEQ</v>
      </c>
      <c r="C8" s="912">
        <f>Param!O8</f>
        <v>6.9999999999999996E-10</v>
      </c>
      <c r="D8" s="556">
        <f>Param!V8</f>
        <v>130000</v>
      </c>
      <c r="E8" s="678">
        <f>Param!AB8</f>
        <v>2</v>
      </c>
      <c r="F8" s="556">
        <f>Param!N8</f>
        <v>5000</v>
      </c>
      <c r="G8" s="687">
        <f>IF(C8="na","na",(C8/E8)*Eqtn!$D$25)</f>
        <v>5.5999999999999997E-6</v>
      </c>
      <c r="H8" s="687">
        <f>IF(D8="na","na",Eqtn!$D$46/(D8*E8))</f>
        <v>3.3653846153846149E-7</v>
      </c>
      <c r="I8" s="614">
        <f>IF(C8="na","na",IF(F8="na","na",Eqtn!$D$68*C8/F8))</f>
        <v>1.0051282051282051E-7</v>
      </c>
      <c r="J8" s="615">
        <f>IF(D8="na","na",IF(F8="na","na",Eqtn!$D$90/(D8*F8)))</f>
        <v>2.7613412228796837E-9</v>
      </c>
      <c r="L8" s="1062"/>
    </row>
    <row r="9" spans="1:12" ht="13.9" customHeight="1" x14ac:dyDescent="0.25">
      <c r="A9" s="845">
        <f>Chem!A9</f>
        <v>7</v>
      </c>
      <c r="B9" s="916" t="str">
        <f>Chem!B9</f>
        <v>2,3,7,8-TCDD</v>
      </c>
      <c r="C9" s="912">
        <f>Param!O9</f>
        <v>6.9999999999999996E-10</v>
      </c>
      <c r="D9" s="556">
        <f>Param!V9</f>
        <v>130000</v>
      </c>
      <c r="E9" s="678">
        <f>Param!AB9</f>
        <v>2</v>
      </c>
      <c r="F9" s="556">
        <f>Param!N9</f>
        <v>5000</v>
      </c>
      <c r="G9" s="687">
        <f>IF(C9="na","na",(C9/E9)*Eqtn!$D$25)</f>
        <v>5.5999999999999997E-6</v>
      </c>
      <c r="H9" s="687">
        <f>IF(D9="na","na",Eqtn!$D$46/(D9*E9))</f>
        <v>3.3653846153846149E-7</v>
      </c>
      <c r="I9" s="614">
        <f>IF(C9="na","na",IF(F9="na","na",Eqtn!$D$68*C9/F9))</f>
        <v>1.0051282051282051E-7</v>
      </c>
      <c r="J9" s="615">
        <f>IF(D9="na","na",IF(F9="na","na",Eqtn!$D$90/(D9*F9)))</f>
        <v>2.7613412228796837E-9</v>
      </c>
      <c r="L9" s="1062"/>
    </row>
    <row r="10" spans="1:12" s="247" customFormat="1" ht="13.9" customHeight="1" x14ac:dyDescent="0.2">
      <c r="A10" s="845">
        <f>Chem!A10</f>
        <v>8</v>
      </c>
      <c r="B10" s="916" t="str">
        <f>Chem!B10</f>
        <v>Total chlorinated dioxins</v>
      </c>
      <c r="C10" s="913" t="str">
        <f>Param!O10</f>
        <v>na</v>
      </c>
      <c r="D10" s="557" t="str">
        <f>Param!V10</f>
        <v>na</v>
      </c>
      <c r="E10" s="679">
        <f>Param!AB10</f>
        <v>2</v>
      </c>
      <c r="F10" s="557">
        <f>Param!N10</f>
        <v>5000</v>
      </c>
      <c r="G10" s="689" t="str">
        <f>IF(C10="na","na",(C10/E10)*Eqtn!$D$25)</f>
        <v>na</v>
      </c>
      <c r="H10" s="689" t="str">
        <f>IF(D10="na","na",Eqtn!$D$46/(D10*E10))</f>
        <v>na</v>
      </c>
      <c r="I10" s="660" t="str">
        <f>IF(C10="na","na",IF(F10="na","na",Eqtn!$D$68*C10/F10))</f>
        <v>na</v>
      </c>
      <c r="J10" s="616" t="str">
        <f>IF(D10="na","na",IF(F10="na","na",Eqtn!$D$90/(D10*F10)))</f>
        <v>na</v>
      </c>
      <c r="K10" s="267"/>
      <c r="L10" s="1064"/>
    </row>
    <row r="11" spans="1:12" s="247" customFormat="1" ht="13.9" customHeight="1" x14ac:dyDescent="0.2">
      <c r="A11" s="845">
        <f>Chem!A11</f>
        <v>9</v>
      </c>
      <c r="B11" s="916" t="str">
        <f>Chem!B11</f>
        <v>Total chlorinated furans</v>
      </c>
      <c r="C11" s="914" t="str">
        <f>Param!O11</f>
        <v>na</v>
      </c>
      <c r="D11" s="558" t="str">
        <f>Param!V11</f>
        <v>na</v>
      </c>
      <c r="E11" s="680">
        <f>Param!AB11</f>
        <v>2</v>
      </c>
      <c r="F11" s="558">
        <f>Param!N11</f>
        <v>5000</v>
      </c>
      <c r="G11" s="690" t="str">
        <f>IF(C11="na","na",(C11/E11)*Eqtn!$D$25)</f>
        <v>na</v>
      </c>
      <c r="H11" s="690" t="str">
        <f>IF(D11="na","na",Eqtn!$D$46/(D11*E11))</f>
        <v>na</v>
      </c>
      <c r="I11" s="661" t="str">
        <f>IF(C11="na","na",IF(F11="na","na",Eqtn!$D$68*C11/F11))</f>
        <v>na</v>
      </c>
      <c r="J11" s="617" t="str">
        <f>IF(D11="na","na",IF(F11="na","na",Eqtn!$D$90/(D11*F11)))</f>
        <v>na</v>
      </c>
      <c r="K11" s="267"/>
      <c r="L11" s="1064"/>
    </row>
    <row r="12" spans="1:12" s="247" customFormat="1" ht="13.9" customHeight="1" x14ac:dyDescent="0.25">
      <c r="A12" s="906">
        <f>Chem!A12</f>
        <v>10</v>
      </c>
      <c r="B12" s="887" t="str">
        <f>Chem!B12</f>
        <v>Inorganics</v>
      </c>
      <c r="C12" s="127"/>
      <c r="D12" s="259"/>
      <c r="E12" s="2374"/>
      <c r="F12" s="127"/>
      <c r="G12" s="127"/>
      <c r="H12" s="127"/>
      <c r="I12" s="127"/>
      <c r="J12" s="2364"/>
      <c r="K12" s="124"/>
      <c r="L12" s="1063"/>
    </row>
    <row r="13" spans="1:12" s="247" customFormat="1" ht="13.9" customHeight="1" x14ac:dyDescent="0.25">
      <c r="A13" s="845">
        <f>Chem!A13</f>
        <v>11</v>
      </c>
      <c r="B13" s="918" t="str">
        <f>Chem!B13</f>
        <v>Ammonia</v>
      </c>
      <c r="C13" s="1989" t="str">
        <f>Param!O13</f>
        <v>na</v>
      </c>
      <c r="D13" s="1990" t="str">
        <f>Param!V13</f>
        <v>na</v>
      </c>
      <c r="E13" s="1991">
        <f>Param!AB13</f>
        <v>2</v>
      </c>
      <c r="F13" s="1990" t="str">
        <f>Param!N13</f>
        <v>na</v>
      </c>
      <c r="G13" s="1992" t="str">
        <f>IF(C13="na","na",(C13/E13)*Eqtn!$D$25)</f>
        <v>na</v>
      </c>
      <c r="H13" s="1992" t="str">
        <f>IF(D13="na","na",Eqtn!$D$46/(D13*E13))</f>
        <v>na</v>
      </c>
      <c r="I13" s="1993" t="str">
        <f>IF(C13="na","na",IF(F13="na","na",Eqtn!$D$68*C13/F13))</f>
        <v>na</v>
      </c>
      <c r="J13" s="1994" t="str">
        <f>IF(D13="na","na",IF(F13="na","na",Eqtn!$D$90/(D13*F13)))</f>
        <v>na</v>
      </c>
      <c r="K13" s="267"/>
      <c r="L13" s="1062"/>
    </row>
    <row r="14" spans="1:12" s="247" customFormat="1" ht="13.9" customHeight="1" x14ac:dyDescent="0.25">
      <c r="A14" s="1069">
        <f>Chem!A14</f>
        <v>12</v>
      </c>
      <c r="B14" s="918" t="str">
        <f>Chem!B14</f>
        <v>Chloride</v>
      </c>
      <c r="C14" s="1989" t="str">
        <f>Param!O14</f>
        <v>na</v>
      </c>
      <c r="D14" s="1990" t="str">
        <f>Param!V14</f>
        <v>na</v>
      </c>
      <c r="E14" s="1991">
        <f>Param!AB14</f>
        <v>1</v>
      </c>
      <c r="F14" s="1990" t="str">
        <f>Param!N14</f>
        <v>na</v>
      </c>
      <c r="G14" s="1992" t="str">
        <f>IF(C14="na","na",(C14/E14)*Eqtn!$D$25)</f>
        <v>na</v>
      </c>
      <c r="H14" s="1992" t="str">
        <f>IF(D14="na","na",Eqtn!$D$46/(D14*E14))</f>
        <v>na</v>
      </c>
      <c r="I14" s="1993" t="str">
        <f>IF(C14="na","na",IF(F14="na","na",Eqtn!$D$68*C14/F14))</f>
        <v>na</v>
      </c>
      <c r="J14" s="1994" t="str">
        <f>IF(D14="na","na",IF(F14="na","na",Eqtn!$D$90/(D14*F14)))</f>
        <v>na</v>
      </c>
      <c r="K14" s="267"/>
      <c r="L14" s="1062"/>
    </row>
    <row r="15" spans="1:12" s="247" customFormat="1" ht="13.9" customHeight="1" x14ac:dyDescent="0.2">
      <c r="A15" s="843">
        <f>Chem!A15</f>
        <v>13</v>
      </c>
      <c r="B15" s="918" t="str">
        <f>Chem!B15</f>
        <v>Cyanide (multiple forms, see notes)</v>
      </c>
      <c r="C15" s="1989">
        <f>Param!O15</f>
        <v>6.3000000000000003E-4</v>
      </c>
      <c r="D15" s="1990" t="str">
        <f>Param!V15</f>
        <v>na</v>
      </c>
      <c r="E15" s="1991">
        <f>Param!AB15</f>
        <v>2</v>
      </c>
      <c r="F15" s="1990">
        <f>Param!N15</f>
        <v>1</v>
      </c>
      <c r="G15" s="1992">
        <f>IF(C15="na","na",(C15/E15)*Eqtn!$D$25)</f>
        <v>5.04</v>
      </c>
      <c r="H15" s="1992" t="str">
        <f>IF(D15="na","na",Eqtn!$D$46/(D15*E15))</f>
        <v>na</v>
      </c>
      <c r="I15" s="1993">
        <f>IF(C15="na","na",IF(F15="na","na",Eqtn!$D$68*C15/F15))</f>
        <v>452.30769230769238</v>
      </c>
      <c r="J15" s="1994" t="str">
        <f>IF(D15="na","na",IF(F15="na","na",Eqtn!$D$90/(D15*F15)))</f>
        <v>na</v>
      </c>
      <c r="K15" s="267"/>
      <c r="L15" s="1064"/>
    </row>
    <row r="16" spans="1:12" s="247" customFormat="1" ht="13.9" customHeight="1" x14ac:dyDescent="0.2">
      <c r="A16" s="843">
        <f>Chem!A16</f>
        <v>14</v>
      </c>
      <c r="B16" s="918" t="str">
        <f>Chem!B16</f>
        <v>Fluoride</v>
      </c>
      <c r="C16" s="1989">
        <f>Param!O16</f>
        <v>0.06</v>
      </c>
      <c r="D16" s="1990" t="str">
        <f>Param!V16</f>
        <v>na</v>
      </c>
      <c r="E16" s="1991">
        <f>Param!AB16</f>
        <v>1</v>
      </c>
      <c r="F16" s="1990" t="str">
        <f>Param!N16</f>
        <v>na</v>
      </c>
      <c r="G16" s="1992">
        <f>IF(C16="na","na",(C16/E16)*Eqtn!$D$25)</f>
        <v>960</v>
      </c>
      <c r="H16" s="1992" t="str">
        <f>IF(D16="na","na",Eqtn!$D$46/(D16*E16))</f>
        <v>na</v>
      </c>
      <c r="I16" s="1993" t="str">
        <f>IF(C16="na","na",IF(F16="na","na",Eqtn!$D$68*C16/F16))</f>
        <v>na</v>
      </c>
      <c r="J16" s="1994" t="str">
        <f>IF(D16="na","na",IF(F16="na","na",Eqtn!$D$90/(D16*F16)))</f>
        <v>na</v>
      </c>
      <c r="K16" s="267"/>
      <c r="L16" s="1064"/>
    </row>
    <row r="17" spans="1:12" s="247" customFormat="1" ht="13.9" customHeight="1" x14ac:dyDescent="0.2">
      <c r="A17" s="1069">
        <f>Chem!A17</f>
        <v>15</v>
      </c>
      <c r="B17" s="916" t="str">
        <f>Chem!B17</f>
        <v>Nitrate</v>
      </c>
      <c r="C17" s="912">
        <f>Param!O17</f>
        <v>1.6</v>
      </c>
      <c r="D17" s="556" t="str">
        <f>Param!V17</f>
        <v>na</v>
      </c>
      <c r="E17" s="678">
        <f>Param!AB17</f>
        <v>1</v>
      </c>
      <c r="F17" s="556" t="str">
        <f>Param!N17</f>
        <v>na</v>
      </c>
      <c r="G17" s="687">
        <f>IF(C17="na","na",(C17/E17)*Eqtn!$D$25)</f>
        <v>25600</v>
      </c>
      <c r="H17" s="687" t="str">
        <f>IF(D17="na","na",Eqtn!$D$46/(D17*E17))</f>
        <v>na</v>
      </c>
      <c r="I17" s="614" t="str">
        <f>IF(C17="na","na",IF(F17="na","na",Eqtn!$D$68*C17/F17))</f>
        <v>na</v>
      </c>
      <c r="J17" s="615" t="str">
        <f>IF(D17="na","na",IF(F17="na","na",Eqtn!$D$90/(D17*F17)))</f>
        <v>na</v>
      </c>
      <c r="K17" s="267"/>
      <c r="L17" s="1064"/>
    </row>
    <row r="18" spans="1:12" s="247" customFormat="1" ht="13.9" customHeight="1" x14ac:dyDescent="0.2">
      <c r="A18" s="844">
        <f>Chem!A18</f>
        <v>16</v>
      </c>
      <c r="B18" s="916" t="str">
        <f>Chem!B18</f>
        <v>Nitrite</v>
      </c>
      <c r="C18" s="912">
        <f>Param!O18</f>
        <v>0.1</v>
      </c>
      <c r="D18" s="556" t="str">
        <f>Param!V18</f>
        <v>na</v>
      </c>
      <c r="E18" s="678">
        <f>Param!AB18</f>
        <v>1</v>
      </c>
      <c r="F18" s="556" t="str">
        <f>Param!N18</f>
        <v>na</v>
      </c>
      <c r="G18" s="687">
        <f>IF(C18="na","na",(C18/E18)*Eqtn!$D$25)</f>
        <v>1600</v>
      </c>
      <c r="H18" s="687" t="str">
        <f>IF(D18="na","na",Eqtn!$D$46/(D18*E18))</f>
        <v>na</v>
      </c>
      <c r="I18" s="614" t="str">
        <f>IF(C18="na","na",IF(F18="na","na",Eqtn!$D$68*C18/F18))</f>
        <v>na</v>
      </c>
      <c r="J18" s="615" t="str">
        <f>IF(D18="na","na",IF(F18="na","na",Eqtn!$D$90/(D18*F18)))</f>
        <v>na</v>
      </c>
      <c r="K18" s="267"/>
      <c r="L18" s="1064"/>
    </row>
    <row r="19" spans="1:12" s="247" customFormat="1" ht="13.9" customHeight="1" x14ac:dyDescent="0.2">
      <c r="A19" s="1321">
        <f>Chem!A19</f>
        <v>17</v>
      </c>
      <c r="B19" s="916" t="str">
        <f>Chem!B19</f>
        <v>Sulfate</v>
      </c>
      <c r="C19" s="912" t="str">
        <f>Param!O19</f>
        <v>na</v>
      </c>
      <c r="D19" s="556" t="str">
        <f>Param!V19</f>
        <v>na</v>
      </c>
      <c r="E19" s="678">
        <f>Param!AB19</f>
        <v>1</v>
      </c>
      <c r="F19" s="556" t="str">
        <f>Param!N19</f>
        <v>na</v>
      </c>
      <c r="G19" s="687" t="str">
        <f>IF(C19="na","na",(C19/E19)*Eqtn!$D$25)</f>
        <v>na</v>
      </c>
      <c r="H19" s="687" t="str">
        <f>IF(D19="na","na",Eqtn!$D$46/(D19*E19))</f>
        <v>na</v>
      </c>
      <c r="I19" s="614" t="str">
        <f>IF(C19="na","na",IF(F19="na","na",Eqtn!$D$68*C19/F19))</f>
        <v>na</v>
      </c>
      <c r="J19" s="615" t="str">
        <f>IF(D19="na","na",IF(F19="na","na",Eqtn!$D$90/(D19*F19)))</f>
        <v>na</v>
      </c>
      <c r="K19" s="267"/>
      <c r="L19" s="1064"/>
    </row>
    <row r="20" spans="1:12" s="247" customFormat="1" ht="13.9" customHeight="1" x14ac:dyDescent="0.2">
      <c r="A20" s="1322">
        <f>Chem!A20</f>
        <v>18</v>
      </c>
      <c r="B20" s="916" t="str">
        <f>Chem!B20</f>
        <v>Sulfide</v>
      </c>
      <c r="C20" s="912" t="str">
        <f>Param!O20</f>
        <v>na</v>
      </c>
      <c r="D20" s="556" t="str">
        <f>Param!V20</f>
        <v>na</v>
      </c>
      <c r="E20" s="678" t="str">
        <f>Param!AB20</f>
        <v>na</v>
      </c>
      <c r="F20" s="556" t="str">
        <f>Param!N20</f>
        <v>na</v>
      </c>
      <c r="G20" s="687" t="str">
        <f>IF(C20="na","na",(C20/E20)*Eqtn!$D$25)</f>
        <v>na</v>
      </c>
      <c r="H20" s="687" t="str">
        <f>IF(D20="na","na",Eqtn!$D$46/(D20*E20))</f>
        <v>na</v>
      </c>
      <c r="I20" s="614" t="str">
        <f>IF(C20="na","na",IF(F20="na","na",Eqtn!$D$68*C20/F20))</f>
        <v>na</v>
      </c>
      <c r="J20" s="615" t="str">
        <f>IF(D20="na","na",IF(F20="na","na",Eqtn!$D$90/(D20*F20)))</f>
        <v>na</v>
      </c>
      <c r="K20" s="267"/>
      <c r="L20" s="1064"/>
    </row>
    <row r="21" spans="1:12" ht="13.9" customHeight="1" x14ac:dyDescent="0.25">
      <c r="A21" s="906">
        <f>Chem!A21</f>
        <v>19</v>
      </c>
      <c r="B21" s="887" t="str">
        <f>Chem!B21</f>
        <v>Metals</v>
      </c>
      <c r="C21" s="127"/>
      <c r="D21" s="259"/>
      <c r="E21" s="2374"/>
      <c r="F21" s="127"/>
      <c r="G21" s="127"/>
      <c r="H21" s="127"/>
      <c r="I21" s="127"/>
      <c r="J21" s="2364"/>
      <c r="L21" s="1063"/>
    </row>
    <row r="22" spans="1:12" ht="13.9" customHeight="1" x14ac:dyDescent="0.25">
      <c r="A22" s="846">
        <f>Chem!A22</f>
        <v>20</v>
      </c>
      <c r="B22" s="916" t="str">
        <f>Chem!B22</f>
        <v>Aluminum</v>
      </c>
      <c r="C22" s="911">
        <f>Param!O22</f>
        <v>1</v>
      </c>
      <c r="D22" s="591" t="str">
        <f>Param!V22</f>
        <v>na</v>
      </c>
      <c r="E22" s="677">
        <f>Param!AB22</f>
        <v>1</v>
      </c>
      <c r="F22" s="591" t="str">
        <f>Param!N22</f>
        <v>na</v>
      </c>
      <c r="G22" s="686">
        <f>IF(C22="na","na",(C22/E22)*Eqtn!$D$25)</f>
        <v>16000</v>
      </c>
      <c r="H22" s="686" t="str">
        <f>IF(D22="na","na",Eqtn!$D$46/(D22*E22))</f>
        <v>na</v>
      </c>
      <c r="I22" s="620" t="str">
        <f>IF(C22="na","na",IF(F22="na","na",Eqtn!$D$68*C22/F22))</f>
        <v>na</v>
      </c>
      <c r="J22" s="613" t="str">
        <f>IF(D22="na","na",IF(F22="na","na",Eqtn!$D$90/(D22*F22)))</f>
        <v>na</v>
      </c>
      <c r="L22" s="1062"/>
    </row>
    <row r="23" spans="1:12" ht="13.9" customHeight="1" x14ac:dyDescent="0.25">
      <c r="A23" s="847">
        <f>Chem!A23</f>
        <v>21</v>
      </c>
      <c r="B23" s="916" t="str">
        <f>Chem!B23</f>
        <v>Antimony</v>
      </c>
      <c r="C23" s="909">
        <f>Param!O23</f>
        <v>4.0000000000000002E-4</v>
      </c>
      <c r="D23" s="552" t="str">
        <f>Param!V23</f>
        <v>na</v>
      </c>
      <c r="E23" s="675">
        <f>Param!AB23</f>
        <v>1</v>
      </c>
      <c r="F23" s="552">
        <f>Param!N23</f>
        <v>1</v>
      </c>
      <c r="G23" s="684">
        <f>IF(C23="na","na",(C23/E23)*Eqtn!$D$25)</f>
        <v>6.4</v>
      </c>
      <c r="H23" s="684" t="str">
        <f>IF(D23="na","na",Eqtn!$D$46/(D23*E23))</f>
        <v>na</v>
      </c>
      <c r="I23" s="611">
        <f>IF(C23="na","na",IF(F23="na","na",Eqtn!$D$68*C23/F23))</f>
        <v>287.17948717948724</v>
      </c>
      <c r="J23" s="612" t="str">
        <f>IF(D23="na","na",IF(F23="na","na",Eqtn!$D$90/(D23*F23)))</f>
        <v>na</v>
      </c>
      <c r="L23" s="1062"/>
    </row>
    <row r="24" spans="1:12" ht="13.9" customHeight="1" x14ac:dyDescent="0.25">
      <c r="A24" s="847">
        <f>Chem!A24</f>
        <v>22</v>
      </c>
      <c r="B24" s="916" t="str">
        <f>Chem!B24</f>
        <v>Arsenic</v>
      </c>
      <c r="C24" s="909">
        <f>Param!O24</f>
        <v>6.0000000000000002E-5</v>
      </c>
      <c r="D24" s="552">
        <f>Param!V24</f>
        <v>32</v>
      </c>
      <c r="E24" s="675">
        <f>Param!AB24</f>
        <v>1</v>
      </c>
      <c r="F24" s="552">
        <f>Param!N24</f>
        <v>44</v>
      </c>
      <c r="G24" s="684">
        <f>IF(C24="na","na",(C24/E24)*Eqtn!$D$25)</f>
        <v>0.96000000000000008</v>
      </c>
      <c r="H24" s="684">
        <f>IF(D24="na","na",Eqtn!$D$46/(D24*E24))</f>
        <v>2.7343749999999994E-3</v>
      </c>
      <c r="I24" s="611">
        <f>IF(C24="na","na",IF(F24="na","na",Eqtn!$D$68*C24/F24))</f>
        <v>0.97902097902097907</v>
      </c>
      <c r="J24" s="612">
        <f>IF(D24="na","na",IF(F24="na","na",Eqtn!$D$90/(D24*F24)))</f>
        <v>1.2747668997668995E-3</v>
      </c>
      <c r="L24" s="1062"/>
    </row>
    <row r="25" spans="1:12" ht="13.9" customHeight="1" x14ac:dyDescent="0.25">
      <c r="A25" s="847">
        <f>Chem!A25</f>
        <v>23</v>
      </c>
      <c r="B25" s="916" t="str">
        <f>Chem!B25</f>
        <v>Barium</v>
      </c>
      <c r="C25" s="909">
        <f>Param!O25</f>
        <v>0.2</v>
      </c>
      <c r="D25" s="552" t="str">
        <f>Param!V25</f>
        <v>na</v>
      </c>
      <c r="E25" s="675">
        <f>Param!AB25</f>
        <v>1</v>
      </c>
      <c r="F25" s="552" t="str">
        <f>Param!N25</f>
        <v>na</v>
      </c>
      <c r="G25" s="684">
        <f>IF(C25="na","na",(C25/E25)*Eqtn!$D$25)</f>
        <v>3200</v>
      </c>
      <c r="H25" s="684" t="str">
        <f>IF(D25="na","na",Eqtn!$D$46/(D25*E25))</f>
        <v>na</v>
      </c>
      <c r="I25" s="611" t="str">
        <f>IF(C25="na","na",IF(F25="na","na",Eqtn!$D$68*C25/F25))</f>
        <v>na</v>
      </c>
      <c r="J25" s="612" t="str">
        <f>IF(D25="na","na",IF(F25="na","na",Eqtn!$D$90/(D25*F25)))</f>
        <v>na</v>
      </c>
      <c r="L25" s="1062"/>
    </row>
    <row r="26" spans="1:12" ht="13.9" customHeight="1" x14ac:dyDescent="0.25">
      <c r="A26" s="847">
        <f>Chem!A26</f>
        <v>24</v>
      </c>
      <c r="B26" s="916" t="str">
        <f>Chem!B26</f>
        <v>Beryllium</v>
      </c>
      <c r="C26" s="909">
        <f>Param!O26</f>
        <v>2E-3</v>
      </c>
      <c r="D26" s="552" t="str">
        <f>Param!V26</f>
        <v>na</v>
      </c>
      <c r="E26" s="675">
        <f>Param!AB26</f>
        <v>1</v>
      </c>
      <c r="F26" s="552">
        <f>Param!N26</f>
        <v>19</v>
      </c>
      <c r="G26" s="684">
        <f>IF(C26="na","na",(C26/E26)*Eqtn!$D$25)</f>
        <v>32</v>
      </c>
      <c r="H26" s="684" t="str">
        <f>IF(D26="na","na",Eqtn!$D$46/(D26*E26))</f>
        <v>na</v>
      </c>
      <c r="I26" s="611">
        <f>IF(C26="na","na",IF(F26="na","na",Eqtn!$D$68*C26/F26))</f>
        <v>75.573549257759794</v>
      </c>
      <c r="J26" s="612" t="str">
        <f>IF(D26="na","na",IF(F26="na","na",Eqtn!$D$90/(D26*F26)))</f>
        <v>na</v>
      </c>
      <c r="L26" s="1062"/>
    </row>
    <row r="27" spans="1:12" ht="13.9" customHeight="1" x14ac:dyDescent="0.25">
      <c r="A27" s="847">
        <f>Chem!A27</f>
        <v>25</v>
      </c>
      <c r="B27" s="916" t="str">
        <f>Chem!B27</f>
        <v>Cadmium</v>
      </c>
      <c r="C27" s="909">
        <f>Param!O27</f>
        <v>1E-3</v>
      </c>
      <c r="D27" s="552" t="str">
        <f>Param!V27</f>
        <v>na</v>
      </c>
      <c r="E27" s="675">
        <f>Param!AB27</f>
        <v>1</v>
      </c>
      <c r="F27" s="552">
        <f>Param!N27</f>
        <v>64</v>
      </c>
      <c r="G27" s="694">
        <f>(0.0005/E27)*Eqtn!$D$25</f>
        <v>8</v>
      </c>
      <c r="H27" s="684" t="str">
        <f>IF(D27="na","na",Eqtn!$D$46/(D27*E27))</f>
        <v>na</v>
      </c>
      <c r="I27" s="611">
        <f>IF(C27="na","na",IF(F27="na","na",Eqtn!$D$68*C27/F27))</f>
        <v>11.217948717948719</v>
      </c>
      <c r="J27" s="612" t="str">
        <f>IF(D27="na","na",IF(F27="na","na",Eqtn!$D$90/(D27*F27)))</f>
        <v>na</v>
      </c>
      <c r="L27" s="1062"/>
    </row>
    <row r="28" spans="1:12" ht="13.9" customHeight="1" x14ac:dyDescent="0.25">
      <c r="A28" s="847">
        <f>Chem!A28</f>
        <v>26</v>
      </c>
      <c r="B28" s="916" t="str">
        <f>Chem!B28</f>
        <v>Chromium, total</v>
      </c>
      <c r="C28" s="909" t="str">
        <f>Param!O28</f>
        <v>na</v>
      </c>
      <c r="D28" s="552" t="str">
        <f>Param!V28</f>
        <v>na</v>
      </c>
      <c r="E28" s="675">
        <f>Param!AB28</f>
        <v>1</v>
      </c>
      <c r="F28" s="552" t="str">
        <f>Param!N28</f>
        <v>na</v>
      </c>
      <c r="G28" s="684" t="str">
        <f>IF(C28="na","na",(C28/E28)*Eqtn!$D$25)</f>
        <v>na</v>
      </c>
      <c r="H28" s="684" t="str">
        <f>IF(D28="na","na",Eqtn!$D$46/(D28*E28))</f>
        <v>na</v>
      </c>
      <c r="I28" s="611" t="str">
        <f>IF(C28="na","na",IF(F28="na","na",Eqtn!$D$68*C28/F28))</f>
        <v>na</v>
      </c>
      <c r="J28" s="612" t="str">
        <f>IF(D28="na","na",IF(F28="na","na",Eqtn!$D$90/(D28*F28)))</f>
        <v>na</v>
      </c>
      <c r="L28" s="1062"/>
    </row>
    <row r="29" spans="1:12" ht="13.9" customHeight="1" x14ac:dyDescent="0.25">
      <c r="A29" s="847">
        <f>Chem!A29</f>
        <v>27</v>
      </c>
      <c r="B29" s="916" t="str">
        <f>Chem!B29</f>
        <v>Chromium, trivalent</v>
      </c>
      <c r="C29" s="909">
        <f>Param!O29</f>
        <v>1.5</v>
      </c>
      <c r="D29" s="552" t="str">
        <f>Param!V29</f>
        <v>na</v>
      </c>
      <c r="E29" s="675">
        <f>Param!AB29</f>
        <v>1</v>
      </c>
      <c r="F29" s="552">
        <f>Param!N29</f>
        <v>16</v>
      </c>
      <c r="G29" s="684">
        <f>IF(C29="na","na",(C29/E29)*Eqtn!$D$25)</f>
        <v>24000</v>
      </c>
      <c r="H29" s="684" t="str">
        <f>IF(D29="na","na",Eqtn!$D$46/(D29*E29))</f>
        <v>na</v>
      </c>
      <c r="I29" s="611">
        <f>IF(C29="na","na",IF(F29="na","na",Eqtn!$D$68*C29/F29))</f>
        <v>67307.692307692312</v>
      </c>
      <c r="J29" s="612" t="str">
        <f>IF(D29="na","na",IF(F29="na","na",Eqtn!$D$90/(D29*F29)))</f>
        <v>na</v>
      </c>
      <c r="L29" s="1062"/>
    </row>
    <row r="30" spans="1:12" ht="13.9" customHeight="1" x14ac:dyDescent="0.25">
      <c r="A30" s="847">
        <f>Chem!A30</f>
        <v>28</v>
      </c>
      <c r="B30" s="1843" t="str">
        <f>Chem!B30</f>
        <v>Chromium, hexavalent</v>
      </c>
      <c r="C30" s="909">
        <f>Param!O30</f>
        <v>8.9999999999999998E-4</v>
      </c>
      <c r="D30" s="552">
        <f>Param!V30</f>
        <v>0.16</v>
      </c>
      <c r="E30" s="675">
        <f>Param!AB30</f>
        <v>1</v>
      </c>
      <c r="F30" s="552">
        <f>Param!N30</f>
        <v>16</v>
      </c>
      <c r="G30" s="684">
        <f>IF(C30="na","na",(C30/E30)*Eqtn!$D$25)</f>
        <v>14.4</v>
      </c>
      <c r="H30" s="694">
        <v>0.14000000000000001</v>
      </c>
      <c r="I30" s="611">
        <f>IF(C30="na","na",IF(F30="na","na",Eqtn!$D$68*C30/F30))</f>
        <v>40.384615384615387</v>
      </c>
      <c r="J30" s="132">
        <f>'SW-MMA'!H28</f>
        <v>0.16151726557700138</v>
      </c>
      <c r="L30" s="1062"/>
    </row>
    <row r="31" spans="1:12" ht="13.9" customHeight="1" x14ac:dyDescent="0.25">
      <c r="A31" s="847">
        <f>Chem!A31</f>
        <v>29</v>
      </c>
      <c r="B31" s="916" t="str">
        <f>Chem!B31</f>
        <v>Cobalt</v>
      </c>
      <c r="C31" s="909">
        <f>Param!O31</f>
        <v>2.9999999999999997E-4</v>
      </c>
      <c r="D31" s="552" t="str">
        <f>Param!V31</f>
        <v>na</v>
      </c>
      <c r="E31" s="675">
        <f>Param!AB31</f>
        <v>1</v>
      </c>
      <c r="F31" s="552" t="str">
        <f>Param!N31</f>
        <v>na</v>
      </c>
      <c r="G31" s="684">
        <f>IF(C31="na","na",(C31/E31)*Eqtn!$D$25)</f>
        <v>4.8</v>
      </c>
      <c r="H31" s="684" t="str">
        <f>IF(D31="na","na",Eqtn!$D$46/(D31*E31))</f>
        <v>na</v>
      </c>
      <c r="I31" s="611" t="str">
        <f>IF(C31="na","na",IF(F31="na","na",Eqtn!$D$68*C31/F31))</f>
        <v>na</v>
      </c>
      <c r="J31" s="612" t="str">
        <f>IF(D31="na","na",IF(F31="na","na",Eqtn!$D$90/(D31*F31)))</f>
        <v>na</v>
      </c>
      <c r="L31" s="1062"/>
    </row>
    <row r="32" spans="1:12" ht="13.9" customHeight="1" x14ac:dyDescent="0.25">
      <c r="A32" s="847">
        <f>Chem!A32</f>
        <v>30</v>
      </c>
      <c r="B32" s="916" t="str">
        <f>Chem!B32</f>
        <v>Copper</v>
      </c>
      <c r="C32" s="909">
        <f>Param!O32</f>
        <v>0.04</v>
      </c>
      <c r="D32" s="552" t="str">
        <f>Param!V32</f>
        <v>na</v>
      </c>
      <c r="E32" s="675">
        <f>Param!AB32</f>
        <v>1</v>
      </c>
      <c r="F32" s="552">
        <f>Param!N32</f>
        <v>36</v>
      </c>
      <c r="G32" s="684">
        <f>IF(C32="na","na",(C32/E32)*Eqtn!$D$25)</f>
        <v>640</v>
      </c>
      <c r="H32" s="684" t="str">
        <f>IF(D32="na","na",Eqtn!$D$46/(D32*E32))</f>
        <v>na</v>
      </c>
      <c r="I32" s="611">
        <f>IF(C32="na","na",IF(F32="na","na",Eqtn!$D$68*C32/F32))</f>
        <v>797.72079772079769</v>
      </c>
      <c r="J32" s="612" t="str">
        <f>IF(D32="na","na",IF(F32="na","na",Eqtn!$D$90/(D32*F32)))</f>
        <v>na</v>
      </c>
      <c r="L32" s="1062"/>
    </row>
    <row r="33" spans="1:15" ht="13.9" customHeight="1" x14ac:dyDescent="0.25">
      <c r="A33" s="847">
        <f>Chem!A33</f>
        <v>31</v>
      </c>
      <c r="B33" s="916" t="str">
        <f>Chem!B33</f>
        <v>Iron</v>
      </c>
      <c r="C33" s="909">
        <f>Param!O33</f>
        <v>0.7</v>
      </c>
      <c r="D33" s="552" t="str">
        <f>Param!V33</f>
        <v>na</v>
      </c>
      <c r="E33" s="675">
        <f>Param!AB33</f>
        <v>1</v>
      </c>
      <c r="F33" s="552" t="str">
        <f>Param!N33</f>
        <v>na</v>
      </c>
      <c r="G33" s="684">
        <f>IF(C33="na","na",(C33/E33)*Eqtn!$D$25)</f>
        <v>11200</v>
      </c>
      <c r="H33" s="684" t="str">
        <f>IF(D33="na","na",Eqtn!$D$46/(D33*E33))</f>
        <v>na</v>
      </c>
      <c r="I33" s="611" t="str">
        <f>IF(C33="na","na",IF(F33="na","na",Eqtn!$D$68*C33/F33))</f>
        <v>na</v>
      </c>
      <c r="J33" s="612" t="str">
        <f>IF(D33="na","na",IF(F33="na","na",Eqtn!$D$90/(D33*F33)))</f>
        <v>na</v>
      </c>
      <c r="L33" s="1062"/>
    </row>
    <row r="34" spans="1:15" ht="13.9" customHeight="1" x14ac:dyDescent="0.25">
      <c r="A34" s="847">
        <f>Chem!A34</f>
        <v>32</v>
      </c>
      <c r="B34" s="916" t="str">
        <f>Chem!B34</f>
        <v>Lead</v>
      </c>
      <c r="C34" s="909" t="str">
        <f>Param!O34</f>
        <v>na</v>
      </c>
      <c r="D34" s="552" t="str">
        <f>Param!V34</f>
        <v>na</v>
      </c>
      <c r="E34" s="675">
        <f>Param!AB34</f>
        <v>1</v>
      </c>
      <c r="F34" s="552" t="str">
        <f>Param!N34</f>
        <v>na</v>
      </c>
      <c r="G34" s="684" t="str">
        <f>IF(C34="na","na",(C34/E34)*Eqtn!$D$25)</f>
        <v>na</v>
      </c>
      <c r="H34" s="684" t="str">
        <f>IF(D34="na","na",Eqtn!$D$46/(D34*E34))</f>
        <v>na</v>
      </c>
      <c r="I34" s="611" t="str">
        <f>IF(C34="na","na",IF(F34="na","na",Eqtn!$D$68*C34/F34))</f>
        <v>na</v>
      </c>
      <c r="J34" s="612" t="str">
        <f>IF(D34="na","na",IF(F34="na","na",Eqtn!$D$90/(D34*F34)))</f>
        <v>na</v>
      </c>
      <c r="L34" s="1062"/>
    </row>
    <row r="35" spans="1:15" ht="13.9" customHeight="1" x14ac:dyDescent="0.25">
      <c r="A35" s="847">
        <f>Chem!A35</f>
        <v>33</v>
      </c>
      <c r="B35" s="916" t="str">
        <f>Chem!B35</f>
        <v>Manganese</v>
      </c>
      <c r="C35" s="909">
        <f>Param!O35</f>
        <v>4.6699999999999998E-2</v>
      </c>
      <c r="D35" s="552" t="str">
        <f>Param!V35</f>
        <v>na</v>
      </c>
      <c r="E35" s="675">
        <f>Param!AB35</f>
        <v>1</v>
      </c>
      <c r="F35" s="552" t="str">
        <f>Param!N35</f>
        <v>na</v>
      </c>
      <c r="G35" s="684">
        <f>IF(C35="na","na",(C35/E35)*Eqtn!$D$25)</f>
        <v>747.19999999999993</v>
      </c>
      <c r="H35" s="684" t="str">
        <f>IF(D35="na","na",Eqtn!$D$46/(D35*E35))</f>
        <v>na</v>
      </c>
      <c r="I35" s="611" t="str">
        <f>IF(C35="na","na",IF(F35="na","na",Eqtn!$D$68*0.14/F35))</f>
        <v>na</v>
      </c>
      <c r="J35" s="612" t="str">
        <f>IF(D35="na","na",IF(F35="na","na",Eqtn!$D$90/(D35*F35)))</f>
        <v>na</v>
      </c>
      <c r="L35" s="1062"/>
    </row>
    <row r="36" spans="1:15" ht="13.9" customHeight="1" x14ac:dyDescent="0.25">
      <c r="A36" s="847">
        <f>Chem!A36</f>
        <v>34</v>
      </c>
      <c r="B36" s="916" t="str">
        <f>Chem!B36</f>
        <v>Mercury, inorganic</v>
      </c>
      <c r="C36" s="909" t="str">
        <f>Param!O36</f>
        <v>na</v>
      </c>
      <c r="D36" s="552" t="str">
        <f>Param!V36</f>
        <v>na</v>
      </c>
      <c r="E36" s="675">
        <f>Param!AB36</f>
        <v>2</v>
      </c>
      <c r="F36" s="552" t="str">
        <f>Param!N36</f>
        <v>na</v>
      </c>
      <c r="G36" s="684" t="str">
        <f>IF(C36="na","na",(C36/E36)*Eqtn!$D$25)</f>
        <v>na</v>
      </c>
      <c r="H36" s="684" t="str">
        <f>IF(D36="na","na",Eqtn!$D$46/(D36*E36))</f>
        <v>na</v>
      </c>
      <c r="I36" s="611" t="str">
        <f>IF(C36="na","na",IF(F36="na","na",Eqtn!$D$68*C36/F36))</f>
        <v>na</v>
      </c>
      <c r="J36" s="612" t="str">
        <f>IF(D36="na","na",IF(F36="na","na",Eqtn!$D$90/(D36*F36)))</f>
        <v>na</v>
      </c>
      <c r="L36" s="1062"/>
    </row>
    <row r="37" spans="1:15" ht="13.9" customHeight="1" x14ac:dyDescent="0.25">
      <c r="A37" s="847">
        <f>Chem!A37</f>
        <v>35</v>
      </c>
      <c r="B37" s="916" t="str">
        <f>Chem!B37</f>
        <v>Methylmercury</v>
      </c>
      <c r="C37" s="909">
        <f>Param!O37</f>
        <v>1E-4</v>
      </c>
      <c r="D37" s="552" t="str">
        <f>Param!V37</f>
        <v>na</v>
      </c>
      <c r="E37" s="675">
        <f>Param!AB37</f>
        <v>1</v>
      </c>
      <c r="F37" s="552" t="str">
        <f>Param!N37</f>
        <v>na</v>
      </c>
      <c r="G37" s="684">
        <f>IF(C37="na","na",(C37/E37)*Eqtn!$D$25)</f>
        <v>1.6</v>
      </c>
      <c r="H37" s="684" t="str">
        <f>IF(D37="na","na",Eqtn!$D$46/(D37*E37))</f>
        <v>na</v>
      </c>
      <c r="I37" s="611" t="str">
        <f>IF(C37="na","na",IF(F37="na","na",Eqtn!$D$68*C37/F37))</f>
        <v>na</v>
      </c>
      <c r="J37" s="612" t="str">
        <f>IF(D37="na","na",IF(F37="na","na",Eqtn!$D$90/(D37*F37)))</f>
        <v>na</v>
      </c>
      <c r="L37" s="1062"/>
    </row>
    <row r="38" spans="1:15" s="284" customFormat="1" ht="13.9" customHeight="1" x14ac:dyDescent="0.25">
      <c r="A38" s="847">
        <f>Chem!A38</f>
        <v>36</v>
      </c>
      <c r="B38" s="916" t="str">
        <f>Chem!B38</f>
        <v>Molybdenum</v>
      </c>
      <c r="C38" s="909">
        <f>Param!O38</f>
        <v>5.0000000000000001E-3</v>
      </c>
      <c r="D38" s="552" t="str">
        <f>Param!V38</f>
        <v>na</v>
      </c>
      <c r="E38" s="675">
        <f>Param!AB38</f>
        <v>1</v>
      </c>
      <c r="F38" s="552" t="str">
        <f>Param!N38</f>
        <v>na</v>
      </c>
      <c r="G38" s="684">
        <f>IF(C38="na","na",(C38/E38)*Eqtn!$D$25)</f>
        <v>80</v>
      </c>
      <c r="H38" s="684" t="str">
        <f>IF(D38="na","na",Eqtn!$D$46/(D38*E38))</f>
        <v>na</v>
      </c>
      <c r="I38" s="611" t="str">
        <f>IF(C38="na","na",IF(F38="na","na",Eqtn!$D$68*C38/F38))</f>
        <v>na</v>
      </c>
      <c r="J38" s="612" t="str">
        <f>IF(D38="na","na",IF(F38="na","na",Eqtn!$D$90/(D38*F38)))</f>
        <v>na</v>
      </c>
      <c r="K38" s="124"/>
      <c r="L38" s="1062"/>
    </row>
    <row r="39" spans="1:15" s="284" customFormat="1" ht="13.9" customHeight="1" x14ac:dyDescent="0.25">
      <c r="A39" s="847">
        <f>Chem!A39</f>
        <v>37</v>
      </c>
      <c r="B39" s="916" t="str">
        <f>Chem!B39</f>
        <v>Nickel</v>
      </c>
      <c r="C39" s="909">
        <f>Param!O39</f>
        <v>0.02</v>
      </c>
      <c r="D39" s="552" t="str">
        <f>Param!V39</f>
        <v>na</v>
      </c>
      <c r="E39" s="675">
        <f>Param!AB39</f>
        <v>1</v>
      </c>
      <c r="F39" s="552">
        <f>Param!N39</f>
        <v>47</v>
      </c>
      <c r="G39" s="684">
        <f>IF(C39="na","na",(C39/E39)*Eqtn!$D$25)</f>
        <v>320</v>
      </c>
      <c r="H39" s="684" t="str">
        <f>IF(D39="na","na",Eqtn!$D$46/(D39*E39))</f>
        <v>na</v>
      </c>
      <c r="I39" s="611">
        <f>IF(C39="na","na",IF(F39="na","na",Eqtn!$D$68*C39/F39))</f>
        <v>305.51009274413531</v>
      </c>
      <c r="J39" s="612" t="str">
        <f>IF(D39="na","na",IF(F39="na","na",Eqtn!$D$90/(D39*F39)))</f>
        <v>na</v>
      </c>
      <c r="K39" s="124"/>
      <c r="L39" s="1062"/>
      <c r="O39" s="247"/>
    </row>
    <row r="40" spans="1:15" s="284" customFormat="1" ht="13.9" customHeight="1" x14ac:dyDescent="0.25">
      <c r="A40" s="847">
        <f>Chem!A40</f>
        <v>38</v>
      </c>
      <c r="B40" s="916" t="str">
        <f>Chem!B40</f>
        <v>Selenium</v>
      </c>
      <c r="C40" s="909">
        <f>Param!O40</f>
        <v>5.0000000000000001E-3</v>
      </c>
      <c r="D40" s="552" t="str">
        <f>Param!V40</f>
        <v>na</v>
      </c>
      <c r="E40" s="675">
        <f>Param!AB40</f>
        <v>1</v>
      </c>
      <c r="F40" s="552">
        <f>Param!N40</f>
        <v>4.8</v>
      </c>
      <c r="G40" s="684">
        <f>IF(C40="na","na",(C40/E40)*Eqtn!$D$25)</f>
        <v>80</v>
      </c>
      <c r="H40" s="684" t="str">
        <f>IF(D40="na","na",Eqtn!$D$46/(D40*E40))</f>
        <v>na</v>
      </c>
      <c r="I40" s="611">
        <f>IF(C40="na","na",IF(F40="na","na",Eqtn!$D$68*C40/F40))</f>
        <v>747.86324786324792</v>
      </c>
      <c r="J40" s="612" t="str">
        <f>IF(D40="na","na",IF(F40="na","na",Eqtn!$D$90/(D40*F40)))</f>
        <v>na</v>
      </c>
      <c r="K40" s="124"/>
      <c r="L40" s="1062"/>
    </row>
    <row r="41" spans="1:15" ht="13.9" customHeight="1" x14ac:dyDescent="0.25">
      <c r="A41" s="847">
        <f>Chem!A41</f>
        <v>39</v>
      </c>
      <c r="B41" s="916" t="str">
        <f>Chem!B41</f>
        <v>Silver</v>
      </c>
      <c r="C41" s="909">
        <f>Param!O41</f>
        <v>5.0000000000000001E-3</v>
      </c>
      <c r="D41" s="552" t="str">
        <f>Param!V41</f>
        <v>na</v>
      </c>
      <c r="E41" s="675">
        <f>Param!AB41</f>
        <v>1</v>
      </c>
      <c r="F41" s="552">
        <f>Param!N41</f>
        <v>0.5</v>
      </c>
      <c r="G41" s="684">
        <f>IF(C41="na","na",(C41/E41)*Eqtn!$D$25)</f>
        <v>80</v>
      </c>
      <c r="H41" s="684" t="str">
        <f>IF(D41="na","na",Eqtn!$D$46/(D41*E41))</f>
        <v>na</v>
      </c>
      <c r="I41" s="611">
        <f>IF(C41="na","na",IF(F41="na","na",Eqtn!$D$68*C41/F41))</f>
        <v>7179.4871794871797</v>
      </c>
      <c r="J41" s="612" t="str">
        <f>IF(D41="na","na",IF(F41="na","na",Eqtn!$D$90/(D41*F41)))</f>
        <v>na</v>
      </c>
      <c r="L41" s="1062"/>
    </row>
    <row r="42" spans="1:15" ht="13.9" customHeight="1" x14ac:dyDescent="0.25">
      <c r="A42" s="847">
        <f>Chem!A42</f>
        <v>40</v>
      </c>
      <c r="B42" s="916" t="str">
        <f>Chem!B42</f>
        <v>Thallium</v>
      </c>
      <c r="C42" s="909">
        <f>Param!O42</f>
        <v>1.0000000000000001E-5</v>
      </c>
      <c r="D42" s="552" t="str">
        <f>Param!V42</f>
        <v>na</v>
      </c>
      <c r="E42" s="675">
        <f>Param!AB42</f>
        <v>1</v>
      </c>
      <c r="F42" s="552">
        <f>Param!N42</f>
        <v>116</v>
      </c>
      <c r="G42" s="684">
        <f>IF(C42="na","na",(C42/E42)*Eqtn!$D$25)</f>
        <v>0.16</v>
      </c>
      <c r="H42" s="684" t="str">
        <f>IF(D42="na","na",Eqtn!$D$46/(D42*E42))</f>
        <v>na</v>
      </c>
      <c r="I42" s="611">
        <f>IF(C42="na","na",IF(F42="na","na",Eqtn!$D$68*C42/F42))</f>
        <v>6.1892130857648109E-2</v>
      </c>
      <c r="J42" s="612" t="str">
        <f>IF(D42="na","na",IF(F42="na","na",Eqtn!$D$90/(D42*F42)))</f>
        <v>na</v>
      </c>
      <c r="L42" s="1062"/>
    </row>
    <row r="43" spans="1:15" ht="13.9" customHeight="1" x14ac:dyDescent="0.25">
      <c r="A43" s="847">
        <f>Chem!A43</f>
        <v>41</v>
      </c>
      <c r="B43" s="916" t="str">
        <f>Chem!B43</f>
        <v>Tin</v>
      </c>
      <c r="C43" s="909">
        <f>Param!O43</f>
        <v>0.6</v>
      </c>
      <c r="D43" s="552" t="str">
        <f>Param!V43</f>
        <v>na</v>
      </c>
      <c r="E43" s="675">
        <f>Param!AB43</f>
        <v>1</v>
      </c>
      <c r="F43" s="552" t="str">
        <f>Param!N43</f>
        <v>na</v>
      </c>
      <c r="G43" s="684">
        <f>IF(C43="na","na",(C43/E43)*Eqtn!$D$25)</f>
        <v>9600</v>
      </c>
      <c r="H43" s="684" t="str">
        <f>IF(D43="na","na",Eqtn!$D$46/(D43*E43))</f>
        <v>na</v>
      </c>
      <c r="I43" s="611" t="str">
        <f>IF(C43="na","na",IF(F43="na","na",Eqtn!$D$68*C43/F43))</f>
        <v>na</v>
      </c>
      <c r="J43" s="612" t="str">
        <f>IF(D43="na","na",IF(F43="na","na",Eqtn!$D$90/(D43*F43)))</f>
        <v>na</v>
      </c>
      <c r="L43" s="1062"/>
    </row>
    <row r="44" spans="1:15" ht="13.9" customHeight="1" x14ac:dyDescent="0.25">
      <c r="A44" s="847">
        <f>Chem!A44</f>
        <v>42</v>
      </c>
      <c r="B44" s="916" t="str">
        <f>Chem!B44</f>
        <v>Vanadium</v>
      </c>
      <c r="C44" s="909">
        <f>Param!O44</f>
        <v>5.0000000000000001E-3</v>
      </c>
      <c r="D44" s="552" t="str">
        <f>Param!V44</f>
        <v>na</v>
      </c>
      <c r="E44" s="675">
        <f>Param!AB44</f>
        <v>1</v>
      </c>
      <c r="F44" s="552" t="str">
        <f>Param!N44</f>
        <v>na</v>
      </c>
      <c r="G44" s="684">
        <f>IF(C44="na","na",(C44/E44)*Eqtn!$D$25)</f>
        <v>80</v>
      </c>
      <c r="H44" s="684" t="str">
        <f>IF(D44="na","na",Eqtn!$D$46/(D44*E44))</f>
        <v>na</v>
      </c>
      <c r="I44" s="611" t="str">
        <f>IF(C44="na","na",IF(F44="na","na",Eqtn!$D$68*C44/F44))</f>
        <v>na</v>
      </c>
      <c r="J44" s="612" t="str">
        <f>IF(D44="na","na",IF(F44="na","na",Eqtn!$D$90/(D44*F44)))</f>
        <v>na</v>
      </c>
      <c r="L44" s="1062"/>
    </row>
    <row r="45" spans="1:15" ht="13.9" customHeight="1" x14ac:dyDescent="0.25">
      <c r="A45" s="844">
        <f>Chem!A45</f>
        <v>43</v>
      </c>
      <c r="B45" s="916" t="str">
        <f>Chem!B45</f>
        <v>Zinc</v>
      </c>
      <c r="C45" s="910">
        <f>Param!O45</f>
        <v>0.3</v>
      </c>
      <c r="D45" s="589" t="str">
        <f>Param!V45</f>
        <v>na</v>
      </c>
      <c r="E45" s="676">
        <f>Param!AB45</f>
        <v>1</v>
      </c>
      <c r="F45" s="589">
        <f>Param!N45</f>
        <v>47</v>
      </c>
      <c r="G45" s="685">
        <f>IF(C45="na","na",(C45/E45)*Eqtn!$D$25)</f>
        <v>4800</v>
      </c>
      <c r="H45" s="685" t="str">
        <f>IF(D45="na","na",Eqtn!$D$46/(D45*E45))</f>
        <v>na</v>
      </c>
      <c r="I45" s="618">
        <f>IF(C45="na","na",IF(F45="na","na",Eqtn!$D$68*C45/F45))</f>
        <v>4582.6513911620295</v>
      </c>
      <c r="J45" s="619" t="str">
        <f>IF(D45="na","na",IF(F45="na","na",Eqtn!$D$90/(D45*F45)))</f>
        <v>na</v>
      </c>
      <c r="L45" s="1062"/>
    </row>
    <row r="46" spans="1:15" ht="13.9" customHeight="1" x14ac:dyDescent="0.25">
      <c r="A46" s="906">
        <f>Chem!A46</f>
        <v>44</v>
      </c>
      <c r="B46" s="887" t="str">
        <f>Chem!B46</f>
        <v>Metals - Butyltins</v>
      </c>
      <c r="C46" s="311"/>
      <c r="D46" s="259"/>
      <c r="E46" s="201"/>
      <c r="F46" s="127"/>
      <c r="G46" s="127"/>
      <c r="H46" s="127"/>
      <c r="I46" s="127"/>
      <c r="J46" s="2364"/>
      <c r="L46" s="1063"/>
    </row>
    <row r="47" spans="1:15" ht="13.9" customHeight="1" x14ac:dyDescent="0.25">
      <c r="A47" s="847">
        <f>Chem!A47</f>
        <v>45</v>
      </c>
      <c r="B47" s="916" t="str">
        <f>Chem!B47</f>
        <v>Monobutyltin</v>
      </c>
      <c r="C47" s="909" t="str">
        <f>Param!O47</f>
        <v>na</v>
      </c>
      <c r="D47" s="552" t="str">
        <f>Param!V47</f>
        <v>na</v>
      </c>
      <c r="E47" s="675" t="str">
        <f>Param!AB47</f>
        <v>na</v>
      </c>
      <c r="F47" s="552" t="str">
        <f>Param!N47</f>
        <v>na</v>
      </c>
      <c r="G47" s="684" t="str">
        <f>IF(C47="na","na",(C47/E47)*Eqtn!$D$25)</f>
        <v>na</v>
      </c>
      <c r="H47" s="684" t="str">
        <f>IF(D47="na","na",Eqtn!$D$46/(D47*E47))</f>
        <v>na</v>
      </c>
      <c r="I47" s="611" t="str">
        <f>IF(C47="na","na",IF(F47="na","na",Eqtn!$D$68*C47/F47))</f>
        <v>na</v>
      </c>
      <c r="J47" s="612" t="str">
        <f>IF(D47="na","na",IF(F47="na","na",Eqtn!$D$90/(D47*F47)))</f>
        <v>na</v>
      </c>
      <c r="L47" s="1062"/>
    </row>
    <row r="48" spans="1:15" ht="13.9" customHeight="1" x14ac:dyDescent="0.25">
      <c r="A48" s="847">
        <f>Chem!A48</f>
        <v>46</v>
      </c>
      <c r="B48" s="916" t="str">
        <f>Chem!B48</f>
        <v>Dibutyltin</v>
      </c>
      <c r="C48" s="909" t="str">
        <f>Param!O48</f>
        <v>na</v>
      </c>
      <c r="D48" s="552" t="str">
        <f>Param!V48</f>
        <v>na</v>
      </c>
      <c r="E48" s="675" t="str">
        <f>Param!AB48</f>
        <v>na</v>
      </c>
      <c r="F48" s="552" t="str">
        <f>Param!N48</f>
        <v>na</v>
      </c>
      <c r="G48" s="684" t="str">
        <f>IF(C48="na","na",(C48/E48)*Eqtn!$D$25)</f>
        <v>na</v>
      </c>
      <c r="H48" s="684" t="str">
        <f>IF(D48="na","na",Eqtn!$D$46/(D48*E48))</f>
        <v>na</v>
      </c>
      <c r="I48" s="611" t="str">
        <f>IF(C48="na","na",IF(F48="na","na",Eqtn!$D$68*C48/F48))</f>
        <v>na</v>
      </c>
      <c r="J48" s="612" t="str">
        <f>IF(D48="na","na",IF(F48="na","na",Eqtn!$D$90/(D48*F48)))</f>
        <v>na</v>
      </c>
      <c r="L48" s="1062"/>
    </row>
    <row r="49" spans="1:12" ht="13.9" customHeight="1" x14ac:dyDescent="0.25">
      <c r="A49" s="847">
        <f>Chem!A49</f>
        <v>47</v>
      </c>
      <c r="B49" s="916" t="str">
        <f>Chem!B49</f>
        <v>Tributyl tin</v>
      </c>
      <c r="C49" s="909" t="str">
        <f>Param!O49</f>
        <v>na</v>
      </c>
      <c r="D49" s="552" t="str">
        <f>Param!V49</f>
        <v>na</v>
      </c>
      <c r="E49" s="675">
        <f>Param!AB49</f>
        <v>2</v>
      </c>
      <c r="F49" s="552" t="str">
        <f>Param!N49</f>
        <v>na</v>
      </c>
      <c r="G49" s="684" t="str">
        <f>IF(C49="na","na",(C49/E49)*Eqtn!$D$25)</f>
        <v>na</v>
      </c>
      <c r="H49" s="684" t="str">
        <f>IF(D49="na","na",Eqtn!$D$46/(D49*E49))</f>
        <v>na</v>
      </c>
      <c r="I49" s="611" t="str">
        <f>IF(C49="na","na",IF(F49="na","na",Eqtn!$D$68*C49/F49))</f>
        <v>na</v>
      </c>
      <c r="J49" s="612" t="str">
        <f>IF(D49="na","na",IF(F49="na","na",Eqtn!$D$90/(D49*F49)))</f>
        <v>na</v>
      </c>
      <c r="L49" s="1062"/>
    </row>
    <row r="50" spans="1:12" ht="13.9" customHeight="1" x14ac:dyDescent="0.25">
      <c r="A50" s="847">
        <f>Chem!A50</f>
        <v>48</v>
      </c>
      <c r="B50" s="916" t="str">
        <f>Chem!B50</f>
        <v>Tributyltin oxide</v>
      </c>
      <c r="C50" s="909">
        <f>Param!O50</f>
        <v>2.9999999999999997E-4</v>
      </c>
      <c r="D50" s="552" t="str">
        <f>Param!V50</f>
        <v>na</v>
      </c>
      <c r="E50" s="675">
        <f>Param!AB50</f>
        <v>1</v>
      </c>
      <c r="F50" s="552" t="str">
        <f>Param!N50</f>
        <v>na</v>
      </c>
      <c r="G50" s="684">
        <f>IF(C50="na","na",(C50/E50)*Eqtn!$D$25)</f>
        <v>4.8</v>
      </c>
      <c r="H50" s="684" t="str">
        <f>IF(D50="na","na",Eqtn!$D$46/(D50*E50))</f>
        <v>na</v>
      </c>
      <c r="I50" s="611" t="str">
        <f>IF(C50="na","na",IF(F50="na","na",Eqtn!$D$68*C50/F50))</f>
        <v>na</v>
      </c>
      <c r="J50" s="612" t="str">
        <f>IF(D50="na","na",IF(F50="na","na",Eqtn!$D$90/(D50*F50)))</f>
        <v>na</v>
      </c>
      <c r="L50" s="1062"/>
    </row>
    <row r="51" spans="1:12" ht="13.9" customHeight="1" x14ac:dyDescent="0.25">
      <c r="A51" s="847">
        <f>Chem!A51</f>
        <v>49</v>
      </c>
      <c r="B51" s="916" t="str">
        <f>Chem!B51</f>
        <v>Tetrabutyltin</v>
      </c>
      <c r="C51" s="909" t="str">
        <f>Param!O51</f>
        <v>na</v>
      </c>
      <c r="D51" s="552" t="str">
        <f>Param!V51</f>
        <v>na</v>
      </c>
      <c r="E51" s="675">
        <f>Param!AB51</f>
        <v>1</v>
      </c>
      <c r="F51" s="552" t="str">
        <f>Param!N51</f>
        <v>na</v>
      </c>
      <c r="G51" s="684" t="str">
        <f>IF(C51="na","na",(C51/E51)*Eqtn!$D$25)</f>
        <v>na</v>
      </c>
      <c r="H51" s="684" t="str">
        <f>IF(D51="na","na",Eqtn!$D$46/(D51*E51))</f>
        <v>na</v>
      </c>
      <c r="I51" s="611" t="str">
        <f>IF(C51="na","na",IF(F51="na","na",Eqtn!$D$68*C51/F51))</f>
        <v>na</v>
      </c>
      <c r="J51" s="612" t="str">
        <f>IF(D51="na","na",IF(F51="na","na",Eqtn!$D$90/(D51*F51)))</f>
        <v>na</v>
      </c>
      <c r="L51" s="1062"/>
    </row>
    <row r="52" spans="1:12" ht="13.9" customHeight="1" x14ac:dyDescent="0.25">
      <c r="A52" s="906">
        <f>Chem!A52</f>
        <v>50</v>
      </c>
      <c r="B52" s="887" t="str">
        <f>Chem!B52</f>
        <v>SVOCs - PAHs</v>
      </c>
      <c r="C52" s="311"/>
      <c r="D52" s="259"/>
      <c r="E52" s="201"/>
      <c r="F52" s="127"/>
      <c r="G52" s="127"/>
      <c r="H52" s="127"/>
      <c r="I52" s="127"/>
      <c r="J52" s="2364"/>
      <c r="L52" s="1063"/>
    </row>
    <row r="53" spans="1:12" ht="13.9" customHeight="1" x14ac:dyDescent="0.25">
      <c r="A53" s="846">
        <f>Chem!A53</f>
        <v>51</v>
      </c>
      <c r="B53" s="916" t="str">
        <f>Chem!B53</f>
        <v>Acenaphthene</v>
      </c>
      <c r="C53" s="911">
        <f>Param!O53</f>
        <v>0.06</v>
      </c>
      <c r="D53" s="591" t="str">
        <f>Param!V53</f>
        <v>na</v>
      </c>
      <c r="E53" s="677">
        <f>Param!AB53</f>
        <v>2</v>
      </c>
      <c r="F53" s="591">
        <f>Param!N53</f>
        <v>242</v>
      </c>
      <c r="G53" s="686">
        <f>IF(C53="na","na",(C53/E53)*Eqtn!$D$25)</f>
        <v>480</v>
      </c>
      <c r="H53" s="686" t="str">
        <f>IF(D53="na","na",Eqtn!$D$46/(D53*E53))</f>
        <v>na</v>
      </c>
      <c r="I53" s="620">
        <f>IF(C53="na","na",IF(F53="na","na",Eqtn!$D$68*C53/F53))</f>
        <v>178.00381436745073</v>
      </c>
      <c r="J53" s="613" t="str">
        <f>IF(D53="na","na",IF(F53="na","na",Eqtn!$D$90/(D53*F53)))</f>
        <v>na</v>
      </c>
      <c r="L53" s="1062"/>
    </row>
    <row r="54" spans="1:12" ht="13.9" customHeight="1" x14ac:dyDescent="0.25">
      <c r="A54" s="847">
        <f>Chem!A54</f>
        <v>52</v>
      </c>
      <c r="B54" s="916" t="str">
        <f>Chem!B54</f>
        <v>Acenaphthylene</v>
      </c>
      <c r="C54" s="909" t="str">
        <f>Param!O54</f>
        <v>na</v>
      </c>
      <c r="D54" s="552" t="str">
        <f>Param!V54</f>
        <v>na</v>
      </c>
      <c r="E54" s="675" t="str">
        <f>Param!AB54</f>
        <v>na</v>
      </c>
      <c r="F54" s="552" t="str">
        <f>Param!N54</f>
        <v>na</v>
      </c>
      <c r="G54" s="684" t="str">
        <f>IF(C54="na","na",(C54/E54)*Eqtn!$D$25)</f>
        <v>na</v>
      </c>
      <c r="H54" s="684" t="str">
        <f>IF(D54="na","na",Eqtn!$D$46/(D54*E54))</f>
        <v>na</v>
      </c>
      <c r="I54" s="611" t="str">
        <f>IF(C54="na","na",IF(F54="na","na",Eqtn!$D$68*C54/F54))</f>
        <v>na</v>
      </c>
      <c r="J54" s="612" t="str">
        <f>IF(D54="na","na",IF(F54="na","na",Eqtn!$D$90/(D54*F54)))</f>
        <v>na</v>
      </c>
      <c r="L54" s="1062"/>
    </row>
    <row r="55" spans="1:12" ht="13.9" customHeight="1" x14ac:dyDescent="0.25">
      <c r="A55" s="847">
        <f>Chem!A55</f>
        <v>53</v>
      </c>
      <c r="B55" s="916" t="str">
        <f>Chem!B55</f>
        <v>Anthracene</v>
      </c>
      <c r="C55" s="909">
        <f>Param!O55</f>
        <v>0.3</v>
      </c>
      <c r="D55" s="552" t="str">
        <f>Param!V55</f>
        <v>na</v>
      </c>
      <c r="E55" s="675">
        <f>Param!AB55</f>
        <v>2</v>
      </c>
      <c r="F55" s="552">
        <f>Param!N55</f>
        <v>30</v>
      </c>
      <c r="G55" s="684">
        <f>IF(C55="na","na",(C55/E55)*Eqtn!$D$25)</f>
        <v>2400</v>
      </c>
      <c r="H55" s="684" t="str">
        <f>IF(D55="na","na",Eqtn!$D$46/(D55*E55))</f>
        <v>na</v>
      </c>
      <c r="I55" s="611">
        <f>IF(C55="na","na",IF(F55="na","na",Eqtn!$D$68*C55/F55))</f>
        <v>7179.4871794871806</v>
      </c>
      <c r="J55" s="612" t="str">
        <f>IF(D55="na","na",IF(F55="na","na",Eqtn!$D$90/(D55*F55)))</f>
        <v>na</v>
      </c>
      <c r="L55" s="1062"/>
    </row>
    <row r="56" spans="1:12" ht="13.9" customHeight="1" x14ac:dyDescent="0.25">
      <c r="A56" s="847">
        <f>Chem!A56</f>
        <v>54</v>
      </c>
      <c r="B56" s="916" t="str">
        <f>Chem!B56</f>
        <v>Benzo(a)anthracene</v>
      </c>
      <c r="C56" s="909" t="str">
        <f>Param!O56</f>
        <v>na</v>
      </c>
      <c r="D56" s="552" t="str">
        <f>Param!V56</f>
        <v>na</v>
      </c>
      <c r="E56" s="675">
        <f>Param!AB56</f>
        <v>1</v>
      </c>
      <c r="F56" s="552">
        <f>Param!N56</f>
        <v>30</v>
      </c>
      <c r="G56" s="684" t="str">
        <f>IF(C56="na","na",(C56/E56)*Eqtn!$D$25)</f>
        <v>na</v>
      </c>
      <c r="H56" s="684" t="str">
        <f>IF(D56="na","na",Eqtn!$D$46/(D56*E56))</f>
        <v>na</v>
      </c>
      <c r="I56" s="611" t="str">
        <f>IF(C56="na","na",IF(F56="na","na",Eqtn!$D$68*C56/F56))</f>
        <v>na</v>
      </c>
      <c r="J56" s="612" t="str">
        <f>IF(D56="na","na",IF(F56="na","na",Eqtn!$D$90/(D56*F56)))</f>
        <v>na</v>
      </c>
      <c r="L56" s="1062"/>
    </row>
    <row r="57" spans="1:12" ht="13.9" customHeight="1" x14ac:dyDescent="0.25">
      <c r="A57" s="847">
        <f>Chem!A57</f>
        <v>55</v>
      </c>
      <c r="B57" s="916" t="str">
        <f>Chem!B57</f>
        <v>Benzo(b)fluoranthene</v>
      </c>
      <c r="C57" s="909" t="str">
        <f>Param!O57</f>
        <v>na</v>
      </c>
      <c r="D57" s="552" t="str">
        <f>Param!V57</f>
        <v>na</v>
      </c>
      <c r="E57" s="675">
        <f>Param!AB57</f>
        <v>1</v>
      </c>
      <c r="F57" s="552">
        <f>Param!N57</f>
        <v>30</v>
      </c>
      <c r="G57" s="684" t="str">
        <f>IF(C57="na","na",(C57/E57)*Eqtn!$D$25)</f>
        <v>na</v>
      </c>
      <c r="H57" s="684" t="str">
        <f>IF(D57="na","na",Eqtn!$D$46/(D57*E57))</f>
        <v>na</v>
      </c>
      <c r="I57" s="611" t="str">
        <f>IF(C57="na","na",IF(F57="na","na",Eqtn!$D$68*C57/F57))</f>
        <v>na</v>
      </c>
      <c r="J57" s="612" t="str">
        <f>IF(D57="na","na",IF(F57="na","na",Eqtn!$D$90/(D57*F57)))</f>
        <v>na</v>
      </c>
      <c r="L57" s="1062"/>
    </row>
    <row r="58" spans="1:12" ht="13.9" customHeight="1" x14ac:dyDescent="0.25">
      <c r="A58" s="847">
        <f>Chem!A58</f>
        <v>56</v>
      </c>
      <c r="B58" s="916" t="str">
        <f>Chem!B58</f>
        <v>Benzo(k)fluoranthene</v>
      </c>
      <c r="C58" s="909" t="str">
        <f>Param!O58</f>
        <v>na</v>
      </c>
      <c r="D58" s="552" t="str">
        <f>Param!V58</f>
        <v>na</v>
      </c>
      <c r="E58" s="675">
        <f>Param!AB58</f>
        <v>1</v>
      </c>
      <c r="F58" s="552">
        <f>Param!N58</f>
        <v>30</v>
      </c>
      <c r="G58" s="684" t="str">
        <f>IF(C58="na","na",(C58/E58)*Eqtn!$D$25)</f>
        <v>na</v>
      </c>
      <c r="H58" s="684" t="str">
        <f>IF(D58="na","na",Eqtn!$D$46/(D58*E58))</f>
        <v>na</v>
      </c>
      <c r="I58" s="611" t="str">
        <f>IF(C58="na","na",IF(F58="na","na",Eqtn!$D$68*C58/F58))</f>
        <v>na</v>
      </c>
      <c r="J58" s="612" t="str">
        <f>IF(D58="na","na",IF(F58="na","na",Eqtn!$D$90/(D58*F58)))</f>
        <v>na</v>
      </c>
      <c r="L58" s="1062"/>
    </row>
    <row r="59" spans="1:12" s="284" customFormat="1" ht="13.9" customHeight="1" x14ac:dyDescent="0.25">
      <c r="A59" s="847">
        <f>Chem!A59</f>
        <v>57</v>
      </c>
      <c r="B59" s="916" t="str">
        <f>Chem!B59</f>
        <v>Total benzofluoranthenes</v>
      </c>
      <c r="C59" s="909" t="str">
        <f>Param!O59</f>
        <v>na</v>
      </c>
      <c r="D59" s="552" t="str">
        <f>Param!V59</f>
        <v>na</v>
      </c>
      <c r="E59" s="675" t="str">
        <f>Param!AB59</f>
        <v>na</v>
      </c>
      <c r="F59" s="552" t="str">
        <f>Param!N59</f>
        <v>na</v>
      </c>
      <c r="G59" s="684" t="str">
        <f>IF(C59="na","na",(C59/E59)*Eqtn!$D$25)</f>
        <v>na</v>
      </c>
      <c r="H59" s="684" t="str">
        <f>IF(D59="na","na",Eqtn!$D$46/(D59*E59))</f>
        <v>na</v>
      </c>
      <c r="I59" s="611" t="str">
        <f>IF(C59="na","na",IF(F59="na","na",Eqtn!$D$68*C59/F59))</f>
        <v>na</v>
      </c>
      <c r="J59" s="612" t="str">
        <f>IF(D59="na","na",IF(F59="na","na",Eqtn!$D$90/(D59*F59)))</f>
        <v>na</v>
      </c>
      <c r="K59" s="124"/>
      <c r="L59" s="1062"/>
    </row>
    <row r="60" spans="1:12" s="284" customFormat="1" ht="13.9" customHeight="1" x14ac:dyDescent="0.25">
      <c r="A60" s="847">
        <f>Chem!A60</f>
        <v>58</v>
      </c>
      <c r="B60" s="916" t="str">
        <f>Chem!B60</f>
        <v>Benzo(g,h,i)perylene</v>
      </c>
      <c r="C60" s="909" t="str">
        <f>Param!O60</f>
        <v>na</v>
      </c>
      <c r="D60" s="552" t="str">
        <f>Param!V60</f>
        <v>na</v>
      </c>
      <c r="E60" s="675" t="str">
        <f>Param!AB60</f>
        <v>na</v>
      </c>
      <c r="F60" s="552" t="str">
        <f>Param!N60</f>
        <v>na</v>
      </c>
      <c r="G60" s="684" t="str">
        <f>IF(C60="na","na",(C60/E60)*Eqtn!$D$25)</f>
        <v>na</v>
      </c>
      <c r="H60" s="684" t="str">
        <f>IF(D60="na","na",Eqtn!$D$46/(D60*E60))</f>
        <v>na</v>
      </c>
      <c r="I60" s="611" t="str">
        <f>IF(C60="na","na",IF(F60="na","na",Eqtn!$D$68*C60/F60))</f>
        <v>na</v>
      </c>
      <c r="J60" s="612" t="str">
        <f>IF(D60="na","na",IF(F60="na","na",Eqtn!$D$90/(D60*F60)))</f>
        <v>na</v>
      </c>
      <c r="K60" s="124"/>
      <c r="L60" s="1062"/>
    </row>
    <row r="61" spans="1:12" s="284" customFormat="1" ht="13.9" customHeight="1" x14ac:dyDescent="0.25">
      <c r="A61" s="847">
        <f>Chem!A61</f>
        <v>59</v>
      </c>
      <c r="B61" s="916" t="str">
        <f>Chem!B61</f>
        <v>Benzo(a)pyrene</v>
      </c>
      <c r="C61" s="913" t="s">
        <v>232</v>
      </c>
      <c r="D61" s="557" t="s">
        <v>232</v>
      </c>
      <c r="E61" s="675">
        <f>Param!AB61</f>
        <v>1</v>
      </c>
      <c r="F61" s="552">
        <f>Param!N61</f>
        <v>30</v>
      </c>
      <c r="G61" s="684" t="str">
        <f>IF(C61="na","na",(C61/E61)*Eqtn!$D$25)</f>
        <v>na</v>
      </c>
      <c r="H61" s="684" t="str">
        <f>IF(D61="na","na",Eqtn!$D$46/(D61*E61))</f>
        <v>na</v>
      </c>
      <c r="I61" s="611" t="str">
        <f>IF(C61="na","na",IF(F61="na","na",Eqtn!$D$68*C61/F61))</f>
        <v>na</v>
      </c>
      <c r="J61" s="612" t="str">
        <f>IF(D61="na","na",IF(F61="na","na",Eqtn!$D$90/(D61*F61)))</f>
        <v>na</v>
      </c>
      <c r="K61" s="124"/>
      <c r="L61" s="1062"/>
    </row>
    <row r="62" spans="1:12" s="284" customFormat="1" ht="13.9" customHeight="1" x14ac:dyDescent="0.25">
      <c r="A62" s="847">
        <f>Chem!A62</f>
        <v>60</v>
      </c>
      <c r="B62" s="916" t="str">
        <f>Chem!B62</f>
        <v>Chrysene</v>
      </c>
      <c r="C62" s="909" t="str">
        <f>Param!O62</f>
        <v>na</v>
      </c>
      <c r="D62" s="552" t="str">
        <f>Param!V62</f>
        <v>na</v>
      </c>
      <c r="E62" s="675">
        <f>Param!AB62</f>
        <v>1</v>
      </c>
      <c r="F62" s="552">
        <f>Param!N62</f>
        <v>30</v>
      </c>
      <c r="G62" s="684" t="str">
        <f>IF(C62="na","na",(C62/E62)*Eqtn!$D$25)</f>
        <v>na</v>
      </c>
      <c r="H62" s="684" t="str">
        <f>IF(D62="na","na",Eqtn!$D$46/(D62*E62))</f>
        <v>na</v>
      </c>
      <c r="I62" s="611" t="str">
        <f>IF(C62="na","na",IF(F62="na","na",Eqtn!$D$68*C62/F62))</f>
        <v>na</v>
      </c>
      <c r="J62" s="612" t="str">
        <f>IF(D62="na","na",IF(F62="na","na",Eqtn!$D$90/(D62*F62)))</f>
        <v>na</v>
      </c>
      <c r="K62" s="124"/>
      <c r="L62" s="1062"/>
    </row>
    <row r="63" spans="1:12" s="284" customFormat="1" ht="13.9" customHeight="1" x14ac:dyDescent="0.25">
      <c r="A63" s="847">
        <f>Chem!A63</f>
        <v>61</v>
      </c>
      <c r="B63" s="916" t="str">
        <f>Chem!B63</f>
        <v>Dibenz(a,h)anthracene</v>
      </c>
      <c r="C63" s="909" t="str">
        <f>Param!O63</f>
        <v>na</v>
      </c>
      <c r="D63" s="552" t="str">
        <f>Param!V63</f>
        <v>na</v>
      </c>
      <c r="E63" s="675">
        <f>Param!AB63</f>
        <v>1</v>
      </c>
      <c r="F63" s="552">
        <f>Param!N63</f>
        <v>30</v>
      </c>
      <c r="G63" s="684" t="str">
        <f>IF(C63="na","na",(C63/E63)*Eqtn!$D$25)</f>
        <v>na</v>
      </c>
      <c r="H63" s="684" t="str">
        <f>IF(D63="na","na",Eqtn!$D$46/(D63*E63))</f>
        <v>na</v>
      </c>
      <c r="I63" s="611" t="str">
        <f>IF(C63="na","na",IF(F63="na","na",Eqtn!$D$68*C63/F63))</f>
        <v>na</v>
      </c>
      <c r="J63" s="612" t="str">
        <f>IF(D63="na","na",IF(F63="na","na",Eqtn!$D$90/(D63*F63)))</f>
        <v>na</v>
      </c>
      <c r="K63" s="124"/>
      <c r="L63" s="1062"/>
    </row>
    <row r="64" spans="1:12" s="284" customFormat="1" ht="13.9" customHeight="1" x14ac:dyDescent="0.25">
      <c r="A64" s="847">
        <f>Chem!A64</f>
        <v>62</v>
      </c>
      <c r="B64" s="916" t="str">
        <f>Chem!B64</f>
        <v>Dibenzofuran</v>
      </c>
      <c r="C64" s="909">
        <f>Param!O64</f>
        <v>1E-3</v>
      </c>
      <c r="D64" s="552" t="str">
        <f>Param!V64</f>
        <v>na</v>
      </c>
      <c r="E64" s="675">
        <f>Param!AB64</f>
        <v>2</v>
      </c>
      <c r="F64" s="552" t="str">
        <f>Param!N64</f>
        <v>na</v>
      </c>
      <c r="G64" s="684">
        <f>IF(C64="na","na",(C64/E64)*Eqtn!$D$25)</f>
        <v>8</v>
      </c>
      <c r="H64" s="684" t="str">
        <f>IF(D64="na","na",Eqtn!$D$46/(D64*E64))</f>
        <v>na</v>
      </c>
      <c r="I64" s="611" t="str">
        <f>IF(C64="na","na",IF(F64="na","na",Eqtn!$D$68*C64/F64))</f>
        <v>na</v>
      </c>
      <c r="J64" s="612" t="str">
        <f>IF(D64="na","na",IF(F64="na","na",Eqtn!$D$90/(D64*F64)))</f>
        <v>na</v>
      </c>
      <c r="K64" s="124"/>
      <c r="L64" s="1062"/>
    </row>
    <row r="65" spans="1:12" s="284" customFormat="1" ht="13.9" customHeight="1" x14ac:dyDescent="0.25">
      <c r="A65" s="847">
        <f>Chem!A65</f>
        <v>63</v>
      </c>
      <c r="B65" s="916" t="str">
        <f>Chem!B65</f>
        <v>Fluoranthene</v>
      </c>
      <c r="C65" s="909">
        <f>Param!O65</f>
        <v>0.04</v>
      </c>
      <c r="D65" s="552" t="str">
        <f>Param!V65</f>
        <v>na</v>
      </c>
      <c r="E65" s="675">
        <f>Param!AB65</f>
        <v>1</v>
      </c>
      <c r="F65" s="552">
        <f>Param!N65</f>
        <v>1150</v>
      </c>
      <c r="G65" s="684">
        <f>IF(C65="na","na",(C65/E65)*Eqtn!$D$25)</f>
        <v>640</v>
      </c>
      <c r="H65" s="684" t="str">
        <f>IF(D65="na","na",Eqtn!$D$46/(D65*E65))</f>
        <v>na</v>
      </c>
      <c r="I65" s="611">
        <f>IF(C65="na","na",IF(F65="na","na",Eqtn!$D$68*C65/F65))</f>
        <v>24.972129319955407</v>
      </c>
      <c r="J65" s="612" t="str">
        <f>IF(D65="na","na",IF(F65="na","na",Eqtn!$D$90/(D65*F65)))</f>
        <v>na</v>
      </c>
      <c r="K65" s="124"/>
      <c r="L65" s="1062"/>
    </row>
    <row r="66" spans="1:12" s="284" customFormat="1" ht="13.9" customHeight="1" x14ac:dyDescent="0.25">
      <c r="A66" s="847">
        <f>Chem!A66</f>
        <v>64</v>
      </c>
      <c r="B66" s="916" t="str">
        <f>Chem!B66</f>
        <v>Fluorene</v>
      </c>
      <c r="C66" s="909">
        <f>Param!O66</f>
        <v>0.04</v>
      </c>
      <c r="D66" s="552" t="str">
        <f>Param!V66</f>
        <v>na</v>
      </c>
      <c r="E66" s="675">
        <f>Param!AB66</f>
        <v>2</v>
      </c>
      <c r="F66" s="552">
        <f>Param!N66</f>
        <v>30</v>
      </c>
      <c r="G66" s="684">
        <f>IF(C66="na","na",(C66/E66)*Eqtn!$D$25)</f>
        <v>320</v>
      </c>
      <c r="H66" s="684" t="str">
        <f>IF(D66="na","na",Eqtn!$D$46/(D66*E66))</f>
        <v>na</v>
      </c>
      <c r="I66" s="611">
        <f>IF(C66="na","na",IF(F66="na","na",Eqtn!$D$68*C66/F66))</f>
        <v>957.26495726495727</v>
      </c>
      <c r="J66" s="612" t="str">
        <f>IF(D66="na","na",IF(F66="na","na",Eqtn!$D$90/(D66*F66)))</f>
        <v>na</v>
      </c>
      <c r="K66" s="124"/>
      <c r="L66" s="1062"/>
    </row>
    <row r="67" spans="1:12" s="284" customFormat="1" ht="13.9" customHeight="1" x14ac:dyDescent="0.25">
      <c r="A67" s="847">
        <f>Chem!A67</f>
        <v>65</v>
      </c>
      <c r="B67" s="916" t="str">
        <f>Chem!B67</f>
        <v>Indeno(1,2,3-cd)pyrene</v>
      </c>
      <c r="C67" s="909" t="str">
        <f>Param!O67</f>
        <v>na</v>
      </c>
      <c r="D67" s="552" t="str">
        <f>Param!V67</f>
        <v>na</v>
      </c>
      <c r="E67" s="675">
        <f>Param!AB67</f>
        <v>1</v>
      </c>
      <c r="F67" s="552">
        <f>Param!N67</f>
        <v>30</v>
      </c>
      <c r="G67" s="684" t="str">
        <f>IF(C67="na","na",(C67/E67)*Eqtn!$D$25)</f>
        <v>na</v>
      </c>
      <c r="H67" s="684" t="str">
        <f>IF(D67="na","na",Eqtn!$D$46/(D67*E67))</f>
        <v>na</v>
      </c>
      <c r="I67" s="611" t="str">
        <f>IF(C67="na","na",IF(F67="na","na",Eqtn!$D$68*C67/F67))</f>
        <v>na</v>
      </c>
      <c r="J67" s="612" t="str">
        <f>IF(D67="na","na",IF(F67="na","na",Eqtn!$D$90/(D67*F67)))</f>
        <v>na</v>
      </c>
      <c r="K67" s="124"/>
      <c r="L67" s="1062"/>
    </row>
    <row r="68" spans="1:12" s="284" customFormat="1" ht="13.9" customHeight="1" x14ac:dyDescent="0.25">
      <c r="A68" s="847">
        <f>Chem!A68</f>
        <v>66</v>
      </c>
      <c r="B68" s="916" t="str">
        <f>Chem!B68</f>
        <v>Methyl isopropyl phenanthrene (retene)</v>
      </c>
      <c r="C68" s="909" t="str">
        <f>Param!O68</f>
        <v>na</v>
      </c>
      <c r="D68" s="552" t="str">
        <f>Param!V68</f>
        <v>na</v>
      </c>
      <c r="E68" s="675" t="str">
        <f>Param!AB68</f>
        <v>na</v>
      </c>
      <c r="F68" s="552" t="str">
        <f>Param!N68</f>
        <v>na</v>
      </c>
      <c r="G68" s="684" t="str">
        <f>IF(C68="na","na",(C68/E68)*Eqtn!$D$25)</f>
        <v>na</v>
      </c>
      <c r="H68" s="684" t="str">
        <f>IF(D68="na","na",Eqtn!$D$46/(D68*E68))</f>
        <v>na</v>
      </c>
      <c r="I68" s="611" t="str">
        <f>IF(C68="na","na",IF(F68="na","na",Eqtn!$D$68*C68/F68))</f>
        <v>na</v>
      </c>
      <c r="J68" s="612" t="str">
        <f>IF(D68="na","na",IF(F68="na","na",Eqtn!$D$90/(D68*F68)))</f>
        <v>na</v>
      </c>
      <c r="K68" s="124"/>
      <c r="L68" s="1062"/>
    </row>
    <row r="69" spans="1:12" s="284" customFormat="1" ht="13.9" customHeight="1" x14ac:dyDescent="0.25">
      <c r="A69" s="847">
        <f>Chem!A69</f>
        <v>67</v>
      </c>
      <c r="B69" s="916" t="str">
        <f>Chem!B69</f>
        <v>1-Methylnaphthalene</v>
      </c>
      <c r="C69" s="909">
        <f>Param!O69</f>
        <v>7.0000000000000007E-2</v>
      </c>
      <c r="D69" s="552">
        <f>Param!V69</f>
        <v>5.0999999999999997E-2</v>
      </c>
      <c r="E69" s="675">
        <f>Param!AB69</f>
        <v>2</v>
      </c>
      <c r="F69" s="552" t="str">
        <f>Param!N69</f>
        <v>na</v>
      </c>
      <c r="G69" s="684">
        <f>IF(C69="na","na",(C69/E69)*Eqtn!$D$25)</f>
        <v>560</v>
      </c>
      <c r="H69" s="684">
        <f>IF(D69="na","na",Eqtn!$D$46/(D69*E69))</f>
        <v>0.8578431372549018</v>
      </c>
      <c r="I69" s="611" t="str">
        <f>IF(C69="na","na",IF(F69="na","na",Eqtn!$D$68*C69/F69))</f>
        <v>na</v>
      </c>
      <c r="J69" s="612" t="str">
        <f>IF(D69="na","na",IF(F69="na","na",Eqtn!$D$90/(D69*F69)))</f>
        <v>na</v>
      </c>
      <c r="K69" s="124"/>
      <c r="L69" s="1062"/>
    </row>
    <row r="70" spans="1:12" s="284" customFormat="1" ht="13.9" customHeight="1" x14ac:dyDescent="0.25">
      <c r="A70" s="847">
        <f>Chem!A70</f>
        <v>68</v>
      </c>
      <c r="B70" s="916" t="str">
        <f>Chem!B70</f>
        <v>2-Methylnaphthalene</v>
      </c>
      <c r="C70" s="909">
        <f>Param!O70</f>
        <v>4.0000000000000001E-3</v>
      </c>
      <c r="D70" s="552" t="str">
        <f>Param!V70</f>
        <v>na</v>
      </c>
      <c r="E70" s="675">
        <f>Param!AB70</f>
        <v>2</v>
      </c>
      <c r="F70" s="552" t="str">
        <f>Param!N70</f>
        <v>na</v>
      </c>
      <c r="G70" s="684">
        <f>IF(C70="na","na",(C70/E70)*Eqtn!$D$25)</f>
        <v>32</v>
      </c>
      <c r="H70" s="684" t="str">
        <f>IF(D70="na","na",Eqtn!$D$46/(D70*E70))</f>
        <v>na</v>
      </c>
      <c r="I70" s="611" t="str">
        <f>IF(C70="na","na",IF(F70="na","na",Eqtn!$D$68*C70/F70))</f>
        <v>na</v>
      </c>
      <c r="J70" s="612" t="str">
        <f>IF(D70="na","na",IF(F70="na","na",Eqtn!$D$90/(D70*F70)))</f>
        <v>na</v>
      </c>
      <c r="K70" s="124"/>
      <c r="L70" s="1062"/>
    </row>
    <row r="71" spans="1:12" s="284" customFormat="1" ht="13.9" customHeight="1" x14ac:dyDescent="0.25">
      <c r="A71" s="847">
        <f>Chem!A71</f>
        <v>69</v>
      </c>
      <c r="B71" s="916" t="str">
        <f>Chem!B71</f>
        <v>Naphthalene</v>
      </c>
      <c r="C71" s="909">
        <f>Param!O71</f>
        <v>0.02</v>
      </c>
      <c r="D71" s="552" t="str">
        <f>Param!V71</f>
        <v>na</v>
      </c>
      <c r="E71" s="675">
        <f>Param!AB71</f>
        <v>2</v>
      </c>
      <c r="F71" s="552">
        <f>Param!N71</f>
        <v>10.5</v>
      </c>
      <c r="G71" s="684">
        <f>IF(C71="na","na",(C71/E71)*Eqtn!$D$25)</f>
        <v>160</v>
      </c>
      <c r="H71" s="684" t="str">
        <f>IF(D71="na","na",Eqtn!$D$46/(D71*E71))</f>
        <v>na</v>
      </c>
      <c r="I71" s="611">
        <f>IF(C71="na","na",IF(F71="na","na",Eqtn!$D$68*C71/F71))</f>
        <v>1367.5213675213677</v>
      </c>
      <c r="J71" s="612" t="str">
        <f>IF(D71="na","na",IF(F71="na","na",Eqtn!$D$90/(D71*F71)))</f>
        <v>na</v>
      </c>
      <c r="K71" s="124"/>
      <c r="L71" s="1062"/>
    </row>
    <row r="72" spans="1:12" s="284" customFormat="1" ht="13.9" customHeight="1" x14ac:dyDescent="0.25">
      <c r="A72" s="847">
        <f>Chem!A72</f>
        <v>70</v>
      </c>
      <c r="B72" s="916" t="str">
        <f>Chem!B72</f>
        <v>Phenanthrene</v>
      </c>
      <c r="C72" s="909" t="str">
        <f>Param!O72</f>
        <v>na</v>
      </c>
      <c r="D72" s="552" t="str">
        <f>Param!V72</f>
        <v>na</v>
      </c>
      <c r="E72" s="675" t="str">
        <f>Param!AB72</f>
        <v>na</v>
      </c>
      <c r="F72" s="552" t="str">
        <f>Param!N72</f>
        <v>na</v>
      </c>
      <c r="G72" s="684" t="str">
        <f>IF(C72="na","na",(C72/E72)*Eqtn!$D$25)</f>
        <v>na</v>
      </c>
      <c r="H72" s="684" t="str">
        <f>IF(D72="na","na",Eqtn!$D$46/(D72*E72))</f>
        <v>na</v>
      </c>
      <c r="I72" s="611" t="str">
        <f>IF(C72="na","na",IF(F72="na","na",Eqtn!$D$68*C72/F72))</f>
        <v>na</v>
      </c>
      <c r="J72" s="612" t="str">
        <f>IF(D72="na","na",IF(F72="na","na",Eqtn!$D$90/(D72*F72)))</f>
        <v>na</v>
      </c>
      <c r="K72" s="124"/>
      <c r="L72" s="1062"/>
    </row>
    <row r="73" spans="1:12" s="284" customFormat="1" ht="13.9" customHeight="1" x14ac:dyDescent="0.25">
      <c r="A73" s="847">
        <f>Chem!A73</f>
        <v>71</v>
      </c>
      <c r="B73" s="916" t="str">
        <f>Chem!B73</f>
        <v>Pyrene</v>
      </c>
      <c r="C73" s="909">
        <f>Param!O73</f>
        <v>0.03</v>
      </c>
      <c r="D73" s="552" t="str">
        <f>Param!V73</f>
        <v>na</v>
      </c>
      <c r="E73" s="675">
        <f>Param!AB73</f>
        <v>2</v>
      </c>
      <c r="F73" s="552">
        <f>Param!N73</f>
        <v>30</v>
      </c>
      <c r="G73" s="684">
        <f>IF(C73="na","na",(C73/E73)*Eqtn!$D$25)</f>
        <v>240</v>
      </c>
      <c r="H73" s="684" t="str">
        <f>IF(D73="na","na",Eqtn!$D$46/(D73*E73))</f>
        <v>na</v>
      </c>
      <c r="I73" s="611">
        <f>IF(C73="na","na",IF(F73="na","na",Eqtn!$D$68*C73/F73))</f>
        <v>717.94871794871801</v>
      </c>
      <c r="J73" s="612" t="str">
        <f>IF(D73="na","na",IF(F73="na","na",Eqtn!$D$90/(D73*F73)))</f>
        <v>na</v>
      </c>
      <c r="K73" s="124"/>
      <c r="L73" s="1062"/>
    </row>
    <row r="74" spans="1:12" s="284" customFormat="1" ht="13.9" customHeight="1" x14ac:dyDescent="0.25">
      <c r="A74" s="847">
        <f>Chem!A74</f>
        <v>72</v>
      </c>
      <c r="B74" s="916" t="str">
        <f>Chem!B74</f>
        <v>Total LPAHs</v>
      </c>
      <c r="C74" s="909" t="str">
        <f>Param!O74</f>
        <v>na</v>
      </c>
      <c r="D74" s="552" t="str">
        <f>Param!V74</f>
        <v>na</v>
      </c>
      <c r="E74" s="675" t="str">
        <f>Param!AB74</f>
        <v>na</v>
      </c>
      <c r="F74" s="552" t="str">
        <f>Param!N74</f>
        <v>na</v>
      </c>
      <c r="G74" s="684" t="str">
        <f>IF(C74="na","na",(C74/E74)*Eqtn!$D$25)</f>
        <v>na</v>
      </c>
      <c r="H74" s="684" t="str">
        <f>IF(D74="na","na",Eqtn!$D$46/(D74*E74))</f>
        <v>na</v>
      </c>
      <c r="I74" s="611" t="str">
        <f>IF(C74="na","na",IF(F74="na","na",Eqtn!$D$68*C74/F74))</f>
        <v>na</v>
      </c>
      <c r="J74" s="612" t="str">
        <f>IF(D74="na","na",IF(F74="na","na",Eqtn!$D$90/(D74*F74)))</f>
        <v>na</v>
      </c>
      <c r="K74" s="124"/>
      <c r="L74" s="1062"/>
    </row>
    <row r="75" spans="1:12" ht="13.9" customHeight="1" x14ac:dyDescent="0.25">
      <c r="A75" s="847">
        <f>Chem!A75</f>
        <v>73</v>
      </c>
      <c r="B75" s="916" t="str">
        <f>Chem!B75</f>
        <v>Total HPAHs</v>
      </c>
      <c r="C75" s="909" t="str">
        <f>Param!O75</f>
        <v>na</v>
      </c>
      <c r="D75" s="552" t="str">
        <f>Param!V75</f>
        <v>na</v>
      </c>
      <c r="E75" s="675" t="str">
        <f>Param!AB75</f>
        <v>na</v>
      </c>
      <c r="F75" s="552" t="str">
        <f>Param!N75</f>
        <v>na</v>
      </c>
      <c r="G75" s="684" t="str">
        <f>IF(C75="na","na",(C75/E75)*Eqtn!$D$25)</f>
        <v>na</v>
      </c>
      <c r="H75" s="684" t="str">
        <f>IF(D75="na","na",Eqtn!$D$46/(D75*E75))</f>
        <v>na</v>
      </c>
      <c r="I75" s="611" t="str">
        <f>IF(C75="na","na",IF(F75="na","na",Eqtn!$D$68*C75/F75))</f>
        <v>na</v>
      </c>
      <c r="J75" s="612" t="str">
        <f>IF(D75="na","na",IF(F75="na","na",Eqtn!$D$90/(D75*F75)))</f>
        <v>na</v>
      </c>
      <c r="L75" s="1062"/>
    </row>
    <row r="76" spans="1:12" ht="13.9" customHeight="1" x14ac:dyDescent="0.25">
      <c r="A76" s="842">
        <f>Chem!A76</f>
        <v>74</v>
      </c>
      <c r="B76" s="916" t="str">
        <f>Chem!B76</f>
        <v>Total PAHs</v>
      </c>
      <c r="C76" s="909" t="str">
        <f>Param!O76</f>
        <v>na</v>
      </c>
      <c r="D76" s="552" t="str">
        <f>Param!V76</f>
        <v>na</v>
      </c>
      <c r="E76" s="675" t="str">
        <f>Param!AB76</f>
        <v>na</v>
      </c>
      <c r="F76" s="552" t="str">
        <f>Param!N76</f>
        <v>na</v>
      </c>
      <c r="G76" s="684" t="str">
        <f>IF(C76="na","na",(C76/E76)*Eqtn!$D$25)</f>
        <v>na</v>
      </c>
      <c r="H76" s="684" t="str">
        <f>IF(D76="na","na",Eqtn!$D$46/(D76*E76))</f>
        <v>na</v>
      </c>
      <c r="I76" s="611" t="str">
        <f>IF(C76="na","na",IF(F76="na","na",Eqtn!$D$68*C76/F76))</f>
        <v>na</v>
      </c>
      <c r="J76" s="612" t="str">
        <f>IF(D76="na","na",IF(F76="na","na",Eqtn!$D$90/(D76*F76)))</f>
        <v>na</v>
      </c>
      <c r="L76" s="1062"/>
    </row>
    <row r="77" spans="1:12" ht="13.9" customHeight="1" x14ac:dyDescent="0.25">
      <c r="A77" s="844">
        <f>Chem!A77</f>
        <v>75</v>
      </c>
      <c r="B77" s="1843" t="str">
        <f>Chem!B77</f>
        <v>Total cPAH TEQ</v>
      </c>
      <c r="C77" s="910" t="str">
        <f>Param!O77</f>
        <v>na</v>
      </c>
      <c r="D77" s="589">
        <f>Param!V77</f>
        <v>1</v>
      </c>
      <c r="E77" s="676">
        <f>Param!AB77</f>
        <v>1</v>
      </c>
      <c r="F77" s="589">
        <f>Param!N77</f>
        <v>30</v>
      </c>
      <c r="G77" s="685" t="str">
        <f>IF(C77="na","na",(C77/E77)*Eqtn!$D$25)</f>
        <v>na</v>
      </c>
      <c r="H77" s="694">
        <v>2.3E-2</v>
      </c>
      <c r="I77" s="618" t="str">
        <f>IF(C77="na","na",IF(F77="na","na",Eqtn!$D$68*C77/F77))</f>
        <v>na</v>
      </c>
      <c r="J77" s="132">
        <f>'SW-MMA'!H29</f>
        <v>1.3782806662570783E-2</v>
      </c>
      <c r="L77" s="1062"/>
    </row>
    <row r="78" spans="1:12" ht="13.9" customHeight="1" x14ac:dyDescent="0.25">
      <c r="A78" s="906">
        <f>Chem!A78</f>
        <v>76</v>
      </c>
      <c r="B78" s="887" t="str">
        <f>Chem!B78</f>
        <v>Other SVOCs</v>
      </c>
      <c r="C78" s="127"/>
      <c r="D78" s="259"/>
      <c r="E78" s="2374"/>
      <c r="F78" s="127"/>
      <c r="G78" s="127"/>
      <c r="H78" s="127"/>
      <c r="I78" s="127"/>
      <c r="J78" s="2364"/>
      <c r="L78" s="1063"/>
    </row>
    <row r="79" spans="1:12" ht="13.9" customHeight="1" x14ac:dyDescent="0.25">
      <c r="A79" s="846">
        <f>Chem!A79</f>
        <v>77</v>
      </c>
      <c r="B79" s="916" t="str">
        <f>Chem!B79</f>
        <v>Aniline</v>
      </c>
      <c r="C79" s="911">
        <f>Param!O79</f>
        <v>7.0000000000000001E-3</v>
      </c>
      <c r="D79" s="590">
        <f>Param!V79</f>
        <v>5.7000000000000002E-3</v>
      </c>
      <c r="E79" s="677">
        <f>Param!AB79</f>
        <v>1</v>
      </c>
      <c r="F79" s="591" t="str">
        <f>Param!N79</f>
        <v>na</v>
      </c>
      <c r="G79" s="686">
        <f>IF(C79="na","na",(C79/E79)*Eqtn!$D$25)</f>
        <v>112</v>
      </c>
      <c r="H79" s="686">
        <f>IF(D79="na","na",Eqtn!$D$46/(D79*E79))</f>
        <v>15.350877192982452</v>
      </c>
      <c r="I79" s="620" t="str">
        <f>IF(C79="na","na",IF(F79="na","na",Eqtn!$D$68*C79/F79))</f>
        <v>na</v>
      </c>
      <c r="J79" s="613" t="str">
        <f>IF(D79="na","na",IF(F79="na","na",Eqtn!$D$90/(D79*F79)))</f>
        <v>na</v>
      </c>
      <c r="L79" s="1062"/>
    </row>
    <row r="80" spans="1:12" ht="13.9" customHeight="1" x14ac:dyDescent="0.25">
      <c r="A80" s="847">
        <f>Chem!A80</f>
        <v>78</v>
      </c>
      <c r="B80" s="916" t="str">
        <f>Chem!B80</f>
        <v>Azobenzene</v>
      </c>
      <c r="C80" s="909" t="str">
        <f>Param!O80</f>
        <v>na</v>
      </c>
      <c r="D80" s="384">
        <f>Param!V80</f>
        <v>0.11</v>
      </c>
      <c r="E80" s="675">
        <f>Param!AB80</f>
        <v>2</v>
      </c>
      <c r="F80" s="552" t="str">
        <f>Param!N80</f>
        <v>na</v>
      </c>
      <c r="G80" s="684" t="str">
        <f>IF(C80="na","na",(C80/E80)*Eqtn!$D$25)</f>
        <v>na</v>
      </c>
      <c r="H80" s="684">
        <f>IF(D80="na","na",Eqtn!$D$46/(D80*E80))</f>
        <v>0.39772727272727265</v>
      </c>
      <c r="I80" s="611" t="str">
        <f>IF(C80="na","na",IF(F80="na","na",Eqtn!$D$68*C80/F80))</f>
        <v>na</v>
      </c>
      <c r="J80" s="612" t="str">
        <f>IF(D80="na","na",IF(F80="na","na",Eqtn!$D$90/(D80*F80)))</f>
        <v>na</v>
      </c>
      <c r="L80" s="1062"/>
    </row>
    <row r="81" spans="1:12" ht="13.9" customHeight="1" x14ac:dyDescent="0.25">
      <c r="A81" s="847">
        <f>Chem!A81</f>
        <v>79</v>
      </c>
      <c r="B81" s="1843" t="str">
        <f>Chem!B81</f>
        <v>Benzidine</v>
      </c>
      <c r="C81" s="909">
        <f>Param!O81</f>
        <v>3.0000000000000001E-3</v>
      </c>
      <c r="D81" s="384">
        <f>Param!V81</f>
        <v>230</v>
      </c>
      <c r="E81" s="675">
        <f>Param!AB81</f>
        <v>1</v>
      </c>
      <c r="F81" s="552">
        <f>Param!N81</f>
        <v>87.5</v>
      </c>
      <c r="G81" s="684">
        <f>IF(C81="na","na",(C81/E81)*Eqtn!$D$25)</f>
        <v>48</v>
      </c>
      <c r="H81" s="694">
        <v>1E-4</v>
      </c>
      <c r="I81" s="611">
        <f>IF(C81="na","na",IF(F81="na","na",Eqtn!$D$68*C81/F81))</f>
        <v>24.615384615384617</v>
      </c>
      <c r="J81" s="132">
        <f>'SW-MMA'!H30</f>
        <v>2.0545798751658312E-5</v>
      </c>
      <c r="L81" s="1062"/>
    </row>
    <row r="82" spans="1:12" ht="13.9" customHeight="1" x14ac:dyDescent="0.25">
      <c r="A82" s="847">
        <f>Chem!A82</f>
        <v>80</v>
      </c>
      <c r="B82" s="916" t="str">
        <f>Chem!B82</f>
        <v>Benzoic acid</v>
      </c>
      <c r="C82" s="909">
        <f>Param!O82</f>
        <v>4</v>
      </c>
      <c r="D82" s="384" t="str">
        <f>Param!V82</f>
        <v>na</v>
      </c>
      <c r="E82" s="675">
        <f>Param!AB82</f>
        <v>1</v>
      </c>
      <c r="F82" s="552" t="str">
        <f>Param!N82</f>
        <v>na</v>
      </c>
      <c r="G82" s="684">
        <f>IF(C82="na","na",(C82/E82)*Eqtn!$D$25)</f>
        <v>64000</v>
      </c>
      <c r="H82" s="684" t="str">
        <f>IF(D82="na","na",Eqtn!$D$46/(D82*E82))</f>
        <v>na</v>
      </c>
      <c r="I82" s="611" t="str">
        <f>IF(C82="na","na",IF(F82="na","na",Eqtn!$D$68*C82/F82))</f>
        <v>na</v>
      </c>
      <c r="J82" s="612" t="str">
        <f>IF(D82="na","na",IF(F82="na","na",Eqtn!$D$90/(D82*F82)))</f>
        <v>na</v>
      </c>
      <c r="L82" s="1062"/>
    </row>
    <row r="83" spans="1:12" ht="13.9" customHeight="1" x14ac:dyDescent="0.25">
      <c r="A83" s="847">
        <f>Chem!A83</f>
        <v>81</v>
      </c>
      <c r="B83" s="916" t="str">
        <f>Chem!B83</f>
        <v>Benzyl alcohol</v>
      </c>
      <c r="C83" s="909">
        <f>Param!O83</f>
        <v>0.1</v>
      </c>
      <c r="D83" s="384" t="str">
        <f>Param!V83</f>
        <v>na</v>
      </c>
      <c r="E83" s="675">
        <f>Param!AB83</f>
        <v>1</v>
      </c>
      <c r="F83" s="552" t="str">
        <f>Param!N83</f>
        <v>na</v>
      </c>
      <c r="G83" s="684">
        <f>IF(C83="na","na",(C83/E83)*Eqtn!$D$25)</f>
        <v>1600</v>
      </c>
      <c r="H83" s="684" t="str">
        <f>IF(D83="na","na",Eqtn!$D$46/(D83*E83))</f>
        <v>na</v>
      </c>
      <c r="I83" s="611" t="str">
        <f>IF(C83="na","na",IF(F83="na","na",Eqtn!$D$68*C83/F83))</f>
        <v>na</v>
      </c>
      <c r="J83" s="612" t="str">
        <f>IF(D83="na","na",IF(F83="na","na",Eqtn!$D$90/(D83*F83)))</f>
        <v>na</v>
      </c>
      <c r="L83" s="1062"/>
    </row>
    <row r="84" spans="1:12" ht="13.9" customHeight="1" x14ac:dyDescent="0.25">
      <c r="A84" s="847">
        <f>Chem!A84</f>
        <v>82</v>
      </c>
      <c r="B84" s="916" t="str">
        <f>Chem!B84</f>
        <v>Bis(2-chloroethoxy)methane</v>
      </c>
      <c r="C84" s="909">
        <f>Param!O84</f>
        <v>3.0000000000000001E-3</v>
      </c>
      <c r="D84" s="384" t="str">
        <f>Param!V84</f>
        <v>na</v>
      </c>
      <c r="E84" s="675">
        <f>Param!AB84</f>
        <v>1</v>
      </c>
      <c r="F84" s="552" t="str">
        <f>Param!N84</f>
        <v>na</v>
      </c>
      <c r="G84" s="684">
        <f>IF(C84="na","na",(C84/E84)*Eqtn!$D$25)</f>
        <v>48</v>
      </c>
      <c r="H84" s="684" t="str">
        <f>IF(D84="na","na",Eqtn!$D$46/(D84*E84))</f>
        <v>na</v>
      </c>
      <c r="I84" s="611" t="str">
        <f>IF(C84="na","na",IF(F84="na","na",Eqtn!$D$68*C84/F84))</f>
        <v>na</v>
      </c>
      <c r="J84" s="612" t="str">
        <f>IF(D84="na","na",IF(F84="na","na",Eqtn!$D$90/(D84*F84)))</f>
        <v>na</v>
      </c>
      <c r="L84" s="1062"/>
    </row>
    <row r="85" spans="1:12" ht="13.9" customHeight="1" x14ac:dyDescent="0.25">
      <c r="A85" s="847">
        <f>Chem!A85</f>
        <v>83</v>
      </c>
      <c r="B85" s="916" t="str">
        <f>Chem!B85</f>
        <v>Bis(2-chloroethyl)ether</v>
      </c>
      <c r="C85" s="909" t="str">
        <f>Param!O85</f>
        <v>na</v>
      </c>
      <c r="D85" s="384">
        <f>Param!V85</f>
        <v>1.1000000000000001</v>
      </c>
      <c r="E85" s="675">
        <f>Param!AB85</f>
        <v>2</v>
      </c>
      <c r="F85" s="552">
        <f>Param!N85</f>
        <v>6.9</v>
      </c>
      <c r="G85" s="684" t="str">
        <f>IF(C85="na","na",(C85/E85)*Eqtn!$D$25)</f>
        <v>na</v>
      </c>
      <c r="H85" s="684">
        <f>IF(D85="na","na",Eqtn!$D$46/(D85*E85))</f>
        <v>3.9772727272727258E-2</v>
      </c>
      <c r="I85" s="611" t="str">
        <f>IF(C85="na","na",IF(F85="na","na",Eqtn!$D$68*C85/F85))</f>
        <v>na</v>
      </c>
      <c r="J85" s="612">
        <f>IF(D85="na","na",IF(F85="na","na",Eqtn!$D$90/(D85*F85)))</f>
        <v>0.23647849734806251</v>
      </c>
      <c r="L85" s="1062"/>
    </row>
    <row r="86" spans="1:12" ht="13.9" customHeight="1" x14ac:dyDescent="0.25">
      <c r="A86" s="847">
        <f>Chem!A86</f>
        <v>84</v>
      </c>
      <c r="B86" s="916" t="str">
        <f>Chem!B86</f>
        <v>Bis(chloromethyl)ether</v>
      </c>
      <c r="C86" s="909" t="str">
        <f>Param!O86</f>
        <v>na</v>
      </c>
      <c r="D86" s="384">
        <f>Param!V86</f>
        <v>220</v>
      </c>
      <c r="E86" s="675">
        <f>Param!AB86</f>
        <v>2</v>
      </c>
      <c r="F86" s="552" t="str">
        <f>Param!N86</f>
        <v>na</v>
      </c>
      <c r="G86" s="684" t="str">
        <f>IF(C86="na","na",(C86/E86)*Eqtn!$D$25)</f>
        <v>na</v>
      </c>
      <c r="H86" s="684">
        <f>IF(D86="na","na",Eqtn!$D$46/(D86*E86))</f>
        <v>1.9886363636363632E-4</v>
      </c>
      <c r="I86" s="611" t="str">
        <f>IF(C86="na","na",IF(F86="na","na",Eqtn!$D$68*C86/F86))</f>
        <v>na</v>
      </c>
      <c r="J86" s="612" t="str">
        <f>IF(D86="na","na",IF(F86="na","na",Eqtn!$D$90/(D86*F86)))</f>
        <v>na</v>
      </c>
      <c r="L86" s="1062"/>
    </row>
    <row r="87" spans="1:12" ht="13.9" customHeight="1" x14ac:dyDescent="0.25">
      <c r="A87" s="847">
        <f>Chem!A87</f>
        <v>85</v>
      </c>
      <c r="B87" s="916" t="str">
        <f>Chem!B87</f>
        <v xml:space="preserve">Bis(2-chloro-1-methylethyl)ether </v>
      </c>
      <c r="C87" s="909">
        <f>Param!O87</f>
        <v>0.04</v>
      </c>
      <c r="D87" s="384">
        <f>Param!V87</f>
        <v>7.0000000000000007E-2</v>
      </c>
      <c r="E87" s="675">
        <f>Param!AB87</f>
        <v>2</v>
      </c>
      <c r="F87" s="552">
        <f>Param!N87</f>
        <v>2.4700000000000002</v>
      </c>
      <c r="G87" s="684">
        <f>IF(C87="na","na",(C87/E87)*Eqtn!$D$25)</f>
        <v>320</v>
      </c>
      <c r="H87" s="684">
        <f>IF(D87="na","na",Eqtn!$D$46/(D87*E87))</f>
        <v>0.62499999999999978</v>
      </c>
      <c r="I87" s="611">
        <f>IF(C87="na","na",IF(F87="na","na",Eqtn!$D$68*C87/F87))</f>
        <v>11626.699885809197</v>
      </c>
      <c r="J87" s="612">
        <f>IF(D87="na","na",IF(F87="na","na",Eqtn!$D$90/(D87*F87)))</f>
        <v>10.380982040901065</v>
      </c>
      <c r="L87" s="1062"/>
    </row>
    <row r="88" spans="1:12" ht="13.9" customHeight="1" x14ac:dyDescent="0.25">
      <c r="A88" s="847">
        <f>Chem!A88</f>
        <v>86</v>
      </c>
      <c r="B88" s="916" t="str">
        <f>Chem!B88</f>
        <v>2,6-Bis(1,1-dimethylethyl) phenol</v>
      </c>
      <c r="C88" s="909" t="str">
        <f>Param!O88</f>
        <v>na</v>
      </c>
      <c r="D88" s="384" t="str">
        <f>Param!V88</f>
        <v>na</v>
      </c>
      <c r="E88" s="675" t="str">
        <f>Param!AB88</f>
        <v>na</v>
      </c>
      <c r="F88" s="552" t="str">
        <f>Param!N88</f>
        <v>na</v>
      </c>
      <c r="G88" s="684" t="str">
        <f>IF(C88="na","na",(C88/E88)*Eqtn!$D$25)</f>
        <v>na</v>
      </c>
      <c r="H88" s="684" t="str">
        <f>IF(D88="na","na",Eqtn!$D$46/(D88*E88))</f>
        <v>na</v>
      </c>
      <c r="I88" s="611" t="str">
        <f>IF(C88="na","na",IF(F88="na","na",Eqtn!$D$68*C88/F88))</f>
        <v>na</v>
      </c>
      <c r="J88" s="612" t="str">
        <f>IF(D88="na","na",IF(F88="na","na",Eqtn!$D$90/(D88*F88)))</f>
        <v>na</v>
      </c>
      <c r="L88" s="1062"/>
    </row>
    <row r="89" spans="1:12" ht="13.9" customHeight="1" x14ac:dyDescent="0.25">
      <c r="A89" s="847">
        <f>Chem!A89</f>
        <v>87</v>
      </c>
      <c r="B89" s="916" t="str">
        <f>Chem!B89</f>
        <v>Bis(2-ethylhexyl) phthalate</v>
      </c>
      <c r="C89" s="909">
        <f>Param!O89</f>
        <v>0.02</v>
      </c>
      <c r="D89" s="384">
        <f>Param!V89</f>
        <v>1.4E-2</v>
      </c>
      <c r="E89" s="675">
        <f>Param!AB89</f>
        <v>1</v>
      </c>
      <c r="F89" s="552">
        <f>Param!N89</f>
        <v>130</v>
      </c>
      <c r="G89" s="684">
        <f>IF(C89="na","na",(C89/E89)*Eqtn!$D$25)</f>
        <v>320</v>
      </c>
      <c r="H89" s="684">
        <f>IF(D89="na","na",Eqtn!$D$46/(D89*E89))</f>
        <v>6.2499999999999982</v>
      </c>
      <c r="I89" s="611">
        <f>IF(C89="na","na",IF(F89="na","na",Eqtn!$D$68*C89/F89))</f>
        <v>110.45364891518739</v>
      </c>
      <c r="J89" s="612">
        <f>IF(D89="na","na",IF(F89="na","na",Eqtn!$D$90/(D89*F89)))</f>
        <v>0.98619329388560129</v>
      </c>
      <c r="L89" s="1062"/>
    </row>
    <row r="90" spans="1:12" ht="13.9" customHeight="1" x14ac:dyDescent="0.25">
      <c r="A90" s="847">
        <f>Chem!A90</f>
        <v>88</v>
      </c>
      <c r="B90" s="916" t="str">
        <f>Chem!B90</f>
        <v>4-Bromophenyl phenyl ether</v>
      </c>
      <c r="C90" s="909" t="str">
        <f>Param!O90</f>
        <v>na</v>
      </c>
      <c r="D90" s="384" t="str">
        <f>Param!V90</f>
        <v>na</v>
      </c>
      <c r="E90" s="675" t="str">
        <f>Param!AB90</f>
        <v>na</v>
      </c>
      <c r="F90" s="552" t="str">
        <f>Param!N90</f>
        <v>na</v>
      </c>
      <c r="G90" s="684" t="str">
        <f>IF(C90="na","na",(C90/E90)*Eqtn!$D$25)</f>
        <v>na</v>
      </c>
      <c r="H90" s="684" t="str">
        <f>IF(D90="na","na",Eqtn!$D$46/(D90*E90))</f>
        <v>na</v>
      </c>
      <c r="I90" s="611" t="str">
        <f>IF(C90="na","na",IF(F90="na","na",Eqtn!$D$68*C90/F90))</f>
        <v>na</v>
      </c>
      <c r="J90" s="612" t="str">
        <f>IF(D90="na","na",IF(F90="na","na",Eqtn!$D$90/(D90*F90)))</f>
        <v>na</v>
      </c>
      <c r="L90" s="1062"/>
    </row>
    <row r="91" spans="1:12" ht="13.9" customHeight="1" x14ac:dyDescent="0.25">
      <c r="A91" s="847">
        <f>Chem!A91</f>
        <v>89</v>
      </c>
      <c r="B91" s="916" t="str">
        <f>Chem!B91</f>
        <v>Butyl benzyl phthalate</v>
      </c>
      <c r="C91" s="909">
        <f>Param!O91</f>
        <v>0.2</v>
      </c>
      <c r="D91" s="384">
        <f>Param!V91</f>
        <v>1.9E-3</v>
      </c>
      <c r="E91" s="675">
        <f>Param!AB91</f>
        <v>1</v>
      </c>
      <c r="F91" s="552">
        <f>Param!N91</f>
        <v>414</v>
      </c>
      <c r="G91" s="684">
        <f>IF(C91="na","na",(C91/E91)*Eqtn!$D$25)</f>
        <v>3200</v>
      </c>
      <c r="H91" s="684">
        <f>IF(D91="na","na",Eqtn!$D$46/(D91*E91))</f>
        <v>46.052631578947356</v>
      </c>
      <c r="I91" s="611">
        <f>IF(C91="na","na",IF(F91="na","na",Eqtn!$D$68*C91/F91))</f>
        <v>346.83512944382511</v>
      </c>
      <c r="J91" s="612">
        <f>IF(D91="na","na",IF(F91="na","na",Eqtn!$D$90/(D91*F91)))</f>
        <v>2.281810062130428</v>
      </c>
      <c r="L91" s="1062"/>
    </row>
    <row r="92" spans="1:12" s="284" customFormat="1" ht="13.9" customHeight="1" x14ac:dyDescent="0.25">
      <c r="A92" s="847">
        <f>Chem!A92</f>
        <v>90</v>
      </c>
      <c r="B92" s="916" t="str">
        <f>Chem!B92</f>
        <v>Butyl diphenyl phosphate</v>
      </c>
      <c r="C92" s="909" t="str">
        <f>Param!O92</f>
        <v>na</v>
      </c>
      <c r="D92" s="384" t="str">
        <f>Param!V92</f>
        <v>na</v>
      </c>
      <c r="E92" s="675" t="str">
        <f>Param!AB92</f>
        <v>na</v>
      </c>
      <c r="F92" s="552" t="str">
        <f>Param!N92</f>
        <v>na</v>
      </c>
      <c r="G92" s="684" t="str">
        <f>IF(C92="na","na",(C92/E92)*Eqtn!$D$25)</f>
        <v>na</v>
      </c>
      <c r="H92" s="684" t="str">
        <f>IF(D92="na","na",Eqtn!$D$46/(D92*E92))</f>
        <v>na</v>
      </c>
      <c r="I92" s="611" t="str">
        <f>IF(C92="na","na",IF(F92="na","na",Eqtn!$D$68*C92/F92))</f>
        <v>na</v>
      </c>
      <c r="J92" s="612" t="str">
        <f>IF(D92="na","na",IF(F92="na","na",Eqtn!$D$90/(D92*F92)))</f>
        <v>na</v>
      </c>
      <c r="K92" s="124"/>
      <c r="L92" s="1062"/>
    </row>
    <row r="93" spans="1:12" s="284" customFormat="1" ht="13.9" customHeight="1" x14ac:dyDescent="0.25">
      <c r="A93" s="847">
        <f>Chem!A93</f>
        <v>91</v>
      </c>
      <c r="B93" s="916" t="str">
        <f>Chem!B93</f>
        <v>Carbazole</v>
      </c>
      <c r="C93" s="909" t="str">
        <f>Param!O93</f>
        <v>na</v>
      </c>
      <c r="D93" s="384" t="str">
        <f>Param!V93</f>
        <v>na</v>
      </c>
      <c r="E93" s="675" t="str">
        <f>Param!AB93</f>
        <v>na</v>
      </c>
      <c r="F93" s="552" t="str">
        <f>Param!N93</f>
        <v>na</v>
      </c>
      <c r="G93" s="684" t="str">
        <f>IF(C93="na","na",(C93/E93)*Eqtn!$D$25)</f>
        <v>na</v>
      </c>
      <c r="H93" s="684" t="str">
        <f>IF(D93="na","na",Eqtn!$D$46/(D93*E93))</f>
        <v>na</v>
      </c>
      <c r="I93" s="611" t="str">
        <f>IF(C93="na","na",IF(F93="na","na",Eqtn!$D$68*C93/F93))</f>
        <v>na</v>
      </c>
      <c r="J93" s="612" t="str">
        <f>IF(D93="na","na",IF(F93="na","na",Eqtn!$D$90/(D93*F93)))</f>
        <v>na</v>
      </c>
      <c r="K93" s="124"/>
      <c r="L93" s="1062"/>
    </row>
    <row r="94" spans="1:12" s="284" customFormat="1" ht="13.9" customHeight="1" x14ac:dyDescent="0.25">
      <c r="A94" s="847">
        <f>Chem!A94</f>
        <v>92</v>
      </c>
      <c r="B94" s="916" t="str">
        <f>Chem!B94</f>
        <v>4-Chloroaniline</v>
      </c>
      <c r="C94" s="909">
        <f>Param!O94</f>
        <v>4.0000000000000001E-3</v>
      </c>
      <c r="D94" s="384">
        <f>Param!V94</f>
        <v>0.2</v>
      </c>
      <c r="E94" s="675">
        <f>Param!AB94</f>
        <v>1</v>
      </c>
      <c r="F94" s="552" t="str">
        <f>Param!N94</f>
        <v>na</v>
      </c>
      <c r="G94" s="684">
        <f>IF(C94="na","na",(C94/E94)*Eqtn!$D$25)</f>
        <v>64</v>
      </c>
      <c r="H94" s="684">
        <f>IF(D94="na","na",Eqtn!$D$46/(D94*E94))</f>
        <v>0.43749999999999989</v>
      </c>
      <c r="I94" s="611" t="str">
        <f>IF(C94="na","na",IF(F94="na","na",Eqtn!$D$68*C94/F94))</f>
        <v>na</v>
      </c>
      <c r="J94" s="612" t="str">
        <f>IF(D94="na","na",IF(F94="na","na",Eqtn!$D$90/(D94*F94)))</f>
        <v>na</v>
      </c>
      <c r="K94" s="124"/>
      <c r="L94" s="1062"/>
    </row>
    <row r="95" spans="1:12" s="284" customFormat="1" ht="13.9" customHeight="1" x14ac:dyDescent="0.25">
      <c r="A95" s="847">
        <f>Chem!A95</f>
        <v>93</v>
      </c>
      <c r="B95" s="916" t="str">
        <f>Chem!B95</f>
        <v>4-Chloro-3-methylphenol (chlorocresol)</v>
      </c>
      <c r="C95" s="909">
        <f>Param!O95</f>
        <v>0.1</v>
      </c>
      <c r="D95" s="384" t="str">
        <f>Param!V95</f>
        <v>na</v>
      </c>
      <c r="E95" s="675">
        <f>Param!AB95</f>
        <v>1</v>
      </c>
      <c r="F95" s="552" t="str">
        <f>Param!N95</f>
        <v>na</v>
      </c>
      <c r="G95" s="684">
        <f>IF(C95="na","na",(C95/E95)*Eqtn!$D$25)</f>
        <v>1600</v>
      </c>
      <c r="H95" s="684" t="str">
        <f>IF(D95="na","na",Eqtn!$D$46/(D95*E95))</f>
        <v>na</v>
      </c>
      <c r="I95" s="611" t="str">
        <f>IF(C95="na","na",IF(F95="na","na",Eqtn!$D$68*C95/F95))</f>
        <v>na</v>
      </c>
      <c r="J95" s="612" t="str">
        <f>IF(D95="na","na",IF(F95="na","na",Eqtn!$D$90/(D95*F95)))</f>
        <v>na</v>
      </c>
      <c r="K95" s="124"/>
      <c r="L95" s="1062"/>
    </row>
    <row r="96" spans="1:12" s="284" customFormat="1" ht="13.9" customHeight="1" x14ac:dyDescent="0.25">
      <c r="A96" s="847">
        <f>Chem!A96</f>
        <v>94</v>
      </c>
      <c r="B96" s="916" t="str">
        <f>Chem!B96</f>
        <v>2-Chloronaphthalene (beta-)</v>
      </c>
      <c r="C96" s="909">
        <f>Param!O96</f>
        <v>0.08</v>
      </c>
      <c r="D96" s="384" t="str">
        <f>Param!V96</f>
        <v>na</v>
      </c>
      <c r="E96" s="675">
        <f>Param!AB96</f>
        <v>2</v>
      </c>
      <c r="F96" s="552">
        <f>Param!N96</f>
        <v>202</v>
      </c>
      <c r="G96" s="684">
        <f>IF(C96="na","na",(C96/E96)*Eqtn!$D$25)</f>
        <v>640</v>
      </c>
      <c r="H96" s="684" t="str">
        <f>IF(D96="na","na",Eqtn!$D$46/(D96*E96))</f>
        <v>na</v>
      </c>
      <c r="I96" s="611">
        <f>IF(C96="na","na",IF(F96="na","na",Eqtn!$D$68*C96/F96))</f>
        <v>284.33612592028436</v>
      </c>
      <c r="J96" s="612" t="str">
        <f>IF(D96="na","na",IF(F96="na","na",Eqtn!$D$90/(D96*F96)))</f>
        <v>na</v>
      </c>
      <c r="K96" s="124"/>
      <c r="L96" s="1062"/>
    </row>
    <row r="97" spans="1:12" s="284" customFormat="1" ht="13.9" customHeight="1" x14ac:dyDescent="0.25">
      <c r="A97" s="847">
        <f>Chem!A97</f>
        <v>95</v>
      </c>
      <c r="B97" s="916" t="str">
        <f>Chem!B97</f>
        <v>2-Chlorophenol</v>
      </c>
      <c r="C97" s="909">
        <f>Param!O97</f>
        <v>5.0000000000000001E-3</v>
      </c>
      <c r="D97" s="384" t="str">
        <f>Param!V97</f>
        <v>na</v>
      </c>
      <c r="E97" s="675">
        <f>Param!AB97</f>
        <v>2</v>
      </c>
      <c r="F97" s="552">
        <f>Param!N97</f>
        <v>134</v>
      </c>
      <c r="G97" s="684">
        <f>IF(C97="na","na",(C97/E97)*Eqtn!$D$25)</f>
        <v>40</v>
      </c>
      <c r="H97" s="684" t="str">
        <f>IF(D97="na","na",Eqtn!$D$46/(D97*E97))</f>
        <v>na</v>
      </c>
      <c r="I97" s="611">
        <f>IF(C97="na","na",IF(F97="na","na",Eqtn!$D$68*C97/F97))</f>
        <v>26.789131266743208</v>
      </c>
      <c r="J97" s="612" t="str">
        <f>IF(D97="na","na",IF(F97="na","na",Eqtn!$D$90/(D97*F97)))</f>
        <v>na</v>
      </c>
      <c r="K97" s="124"/>
      <c r="L97" s="1062"/>
    </row>
    <row r="98" spans="1:12" s="284" customFormat="1" ht="13.9" customHeight="1" x14ac:dyDescent="0.25">
      <c r="A98" s="847">
        <f>Chem!A98</f>
        <v>96</v>
      </c>
      <c r="B98" s="916" t="str">
        <f>Chem!B98</f>
        <v>4-Chlorophenyl phenyl ether</v>
      </c>
      <c r="C98" s="909" t="str">
        <f>Param!O98</f>
        <v>na</v>
      </c>
      <c r="D98" s="384" t="str">
        <f>Param!V98</f>
        <v>na</v>
      </c>
      <c r="E98" s="675" t="str">
        <f>Param!AB98</f>
        <v>na</v>
      </c>
      <c r="F98" s="552" t="str">
        <f>Param!N98</f>
        <v>na</v>
      </c>
      <c r="G98" s="684" t="str">
        <f>IF(C98="na","na",(C98/E98)*Eqtn!$D$25)</f>
        <v>na</v>
      </c>
      <c r="H98" s="684" t="str">
        <f>IF(D98="na","na",Eqtn!$D$46/(D98*E98))</f>
        <v>na</v>
      </c>
      <c r="I98" s="611" t="str">
        <f>IF(C98="na","na",IF(F98="na","na",Eqtn!$D$68*C98/F98))</f>
        <v>na</v>
      </c>
      <c r="J98" s="612" t="str">
        <f>IF(D98="na","na",IF(F98="na","na",Eqtn!$D$90/(D98*F98)))</f>
        <v>na</v>
      </c>
      <c r="K98" s="124"/>
      <c r="L98" s="1062"/>
    </row>
    <row r="99" spans="1:12" s="284" customFormat="1" ht="13.9" customHeight="1" x14ac:dyDescent="0.25">
      <c r="A99" s="847">
        <f>Chem!A99</f>
        <v>97</v>
      </c>
      <c r="B99" s="916" t="str">
        <f>Chem!B99</f>
        <v>Dibutyl phthalate</v>
      </c>
      <c r="C99" s="909">
        <f>Param!O99</f>
        <v>0.1</v>
      </c>
      <c r="D99" s="384" t="str">
        <f>Param!V99</f>
        <v>na</v>
      </c>
      <c r="E99" s="675">
        <f>Param!AB99</f>
        <v>1</v>
      </c>
      <c r="F99" s="552">
        <f>Param!N99</f>
        <v>89</v>
      </c>
      <c r="G99" s="684">
        <f>IF(C99="na","na",(C99/E99)*Eqtn!$D$25)</f>
        <v>1600</v>
      </c>
      <c r="H99" s="684" t="str">
        <f>IF(D99="na","na",Eqtn!$D$46/(D99*E99))</f>
        <v>na</v>
      </c>
      <c r="I99" s="611">
        <f>IF(C99="na","na",IF(F99="na","na",Eqtn!$D$68*C99/F99))</f>
        <v>806.68395275136845</v>
      </c>
      <c r="J99" s="612" t="str">
        <f>IF(D99="na","na",IF(F99="na","na",Eqtn!$D$90/(D99*F99)))</f>
        <v>na</v>
      </c>
      <c r="K99" s="124"/>
      <c r="L99" s="1062"/>
    </row>
    <row r="100" spans="1:12" s="284" customFormat="1" ht="13.9" customHeight="1" x14ac:dyDescent="0.25">
      <c r="A100" s="847">
        <f>Chem!A100</f>
        <v>98</v>
      </c>
      <c r="B100" s="916" t="str">
        <f>Chem!B100</f>
        <v>Dibutyl phenyl phosphate</v>
      </c>
      <c r="C100" s="909" t="str">
        <f>Param!O100</f>
        <v>na</v>
      </c>
      <c r="D100" s="384" t="str">
        <f>Param!V100</f>
        <v>na</v>
      </c>
      <c r="E100" s="675" t="str">
        <f>Param!AB100</f>
        <v>na</v>
      </c>
      <c r="F100" s="552" t="str">
        <f>Param!N100</f>
        <v>na</v>
      </c>
      <c r="G100" s="684" t="str">
        <f>IF(C100="na","na",(C100/E100)*Eqtn!$D$25)</f>
        <v>na</v>
      </c>
      <c r="H100" s="684" t="str">
        <f>IF(D100="na","na",Eqtn!$D$46/(D100*E100))</f>
        <v>na</v>
      </c>
      <c r="I100" s="611" t="str">
        <f>IF(C100="na","na",IF(F100="na","na",Eqtn!$D$68*C100/F100))</f>
        <v>na</v>
      </c>
      <c r="J100" s="612" t="str">
        <f>IF(D100="na","na",IF(F100="na","na",Eqtn!$D$90/(D100*F100)))</f>
        <v>na</v>
      </c>
      <c r="K100" s="124"/>
      <c r="L100" s="1062"/>
    </row>
    <row r="101" spans="1:12" s="284" customFormat="1" ht="13.9" customHeight="1" x14ac:dyDescent="0.25">
      <c r="A101" s="847">
        <f>Chem!A101</f>
        <v>99</v>
      </c>
      <c r="B101" s="916" t="str">
        <f>Chem!B101</f>
        <v>1,2-Dichlorobenzene</v>
      </c>
      <c r="C101" s="909">
        <f>Param!O101</f>
        <v>0.09</v>
      </c>
      <c r="D101" s="384" t="str">
        <f>Param!V101</f>
        <v>na</v>
      </c>
      <c r="E101" s="675">
        <f>Param!AB101</f>
        <v>2</v>
      </c>
      <c r="F101" s="552">
        <f>Param!N101</f>
        <v>55.6</v>
      </c>
      <c r="G101" s="684">
        <f>IF(C101="na","na",(C101/E101)*Eqtn!$D$25)</f>
        <v>720</v>
      </c>
      <c r="H101" s="684" t="str">
        <f>IF(D101="na","na",Eqtn!$D$46/(D101*E101))</f>
        <v>na</v>
      </c>
      <c r="I101" s="611">
        <f>IF(C101="na","na",IF(F101="na","na",Eqtn!$D$68*C101/F101))</f>
        <v>1162.1472053126729</v>
      </c>
      <c r="J101" s="612" t="str">
        <f>IF(D101="na","na",IF(F101="na","na",Eqtn!$D$90/(D101*F101)))</f>
        <v>na</v>
      </c>
      <c r="K101" s="124"/>
      <c r="L101" s="1062"/>
    </row>
    <row r="102" spans="1:12" s="284" customFormat="1" ht="13.9" customHeight="1" x14ac:dyDescent="0.25">
      <c r="A102" s="847">
        <f>Chem!A102</f>
        <v>100</v>
      </c>
      <c r="B102" s="916" t="str">
        <f>Chem!B102</f>
        <v>1,3-Dichlorobenzene</v>
      </c>
      <c r="C102" s="909" t="str">
        <f>Param!O102</f>
        <v>na</v>
      </c>
      <c r="D102" s="384" t="str">
        <f>Param!V102</f>
        <v>na</v>
      </c>
      <c r="E102" s="675">
        <f>Param!AB102</f>
        <v>2</v>
      </c>
      <c r="F102" s="552" t="str">
        <f>Param!N102</f>
        <v>na</v>
      </c>
      <c r="G102" s="684" t="str">
        <f>IF(C102="na","na",(C102/E102)*Eqtn!$D$25)</f>
        <v>na</v>
      </c>
      <c r="H102" s="684" t="str">
        <f>IF(D102="na","na",Eqtn!$D$46/(D102*E102))</f>
        <v>na</v>
      </c>
      <c r="I102" s="611" t="str">
        <f>IF(C102="na","na",IF(F102="na","na",Eqtn!$D$68*C102/F102))</f>
        <v>na</v>
      </c>
      <c r="J102" s="612" t="str">
        <f>IF(D102="na","na",IF(F102="na","na",Eqtn!$D$90/(D102*F102)))</f>
        <v>na</v>
      </c>
      <c r="K102" s="124"/>
      <c r="L102" s="1062"/>
    </row>
    <row r="103" spans="1:12" s="284" customFormat="1" ht="13.9" customHeight="1" x14ac:dyDescent="0.25">
      <c r="A103" s="847">
        <f>Chem!A103</f>
        <v>101</v>
      </c>
      <c r="B103" s="916" t="str">
        <f>Chem!B103</f>
        <v>1,4-Dichlorobenzene</v>
      </c>
      <c r="C103" s="909">
        <f>Param!O103</f>
        <v>7.0000000000000007E-2</v>
      </c>
      <c r="D103" s="384">
        <f>Param!V103</f>
        <v>5.4000000000000003E-3</v>
      </c>
      <c r="E103" s="675">
        <f>Param!AB103</f>
        <v>2</v>
      </c>
      <c r="F103" s="552">
        <f>Param!N103</f>
        <v>55.6</v>
      </c>
      <c r="G103" s="684">
        <f>IF(C103="na","na",(C103/E103)*Eqtn!$D$25)</f>
        <v>560</v>
      </c>
      <c r="H103" s="684">
        <f>IF(D103="na","na",Eqtn!$D$46/(D103*E103))</f>
        <v>8.1018518518518494</v>
      </c>
      <c r="I103" s="611">
        <f>IF(C103="na","na",IF(F103="na","na",Eqtn!$D$68*C103/F103))</f>
        <v>903.8922707987457</v>
      </c>
      <c r="J103" s="612">
        <f>IF(D103="na","na",IF(F103="na","na",Eqtn!$D$90/(D103*F103)))</f>
        <v>5.9781234841186865</v>
      </c>
      <c r="K103" s="124"/>
      <c r="L103" s="1062"/>
    </row>
    <row r="104" spans="1:12" s="284" customFormat="1" ht="13.9" customHeight="1" x14ac:dyDescent="0.25">
      <c r="A104" s="847">
        <f>Chem!A104</f>
        <v>102</v>
      </c>
      <c r="B104" s="916" t="str">
        <f>Chem!B104</f>
        <v>3,3'-Dichlorobenzidine</v>
      </c>
      <c r="C104" s="909" t="str">
        <f>Param!O104</f>
        <v>na</v>
      </c>
      <c r="D104" s="384">
        <f>Param!V104</f>
        <v>0.45</v>
      </c>
      <c r="E104" s="675">
        <f>Param!AB104</f>
        <v>1</v>
      </c>
      <c r="F104" s="552">
        <f>Param!N104</f>
        <v>312</v>
      </c>
      <c r="G104" s="684" t="str">
        <f>IF(C104="na","na",(C104/E104)*Eqtn!$D$25)</f>
        <v>na</v>
      </c>
      <c r="H104" s="684">
        <f>IF(D104="na","na",Eqtn!$D$46/(D104*E104))</f>
        <v>0.19444444444444439</v>
      </c>
      <c r="I104" s="611" t="str">
        <f>IF(C104="na","na",IF(F104="na","na",Eqtn!$D$68*C104/F104))</f>
        <v>na</v>
      </c>
      <c r="J104" s="612">
        <f>IF(D104="na","na",IF(F104="na","na",Eqtn!$D$90/(D104*F104)))</f>
        <v>1.2783987142961499E-2</v>
      </c>
      <c r="K104" s="124"/>
      <c r="L104" s="1062"/>
    </row>
    <row r="105" spans="1:12" s="284" customFormat="1" ht="13.9" customHeight="1" x14ac:dyDescent="0.25">
      <c r="A105" s="847">
        <f>Chem!A105</f>
        <v>103</v>
      </c>
      <c r="B105" s="916" t="str">
        <f>Chem!B105</f>
        <v>2,4-Dichlorophenol</v>
      </c>
      <c r="C105" s="909">
        <f>Param!O105</f>
        <v>3.0000000000000001E-3</v>
      </c>
      <c r="D105" s="384" t="str">
        <f>Param!V105</f>
        <v>na</v>
      </c>
      <c r="E105" s="675">
        <f>Param!AB105</f>
        <v>1</v>
      </c>
      <c r="F105" s="552">
        <f>Param!N105</f>
        <v>40.700000000000003</v>
      </c>
      <c r="G105" s="684">
        <f>IF(C105="na","na",(C105/E105)*Eqtn!$D$25)</f>
        <v>48</v>
      </c>
      <c r="H105" s="684" t="str">
        <f>IF(D105="na","na",Eqtn!$D$46/(D105*E105))</f>
        <v>na</v>
      </c>
      <c r="I105" s="611">
        <f>IF(C105="na","na",IF(F105="na","na",Eqtn!$D$68*C105/F105))</f>
        <v>52.920052920052918</v>
      </c>
      <c r="J105" s="612" t="str">
        <f>IF(D105="na","na",IF(F105="na","na",Eqtn!$D$90/(D105*F105)))</f>
        <v>na</v>
      </c>
      <c r="K105" s="124"/>
      <c r="L105" s="1062"/>
    </row>
    <row r="106" spans="1:12" s="284" customFormat="1" ht="13.9" customHeight="1" x14ac:dyDescent="0.25">
      <c r="A106" s="846">
        <f>Chem!A106</f>
        <v>104</v>
      </c>
      <c r="B106" s="916" t="str">
        <f>Chem!B106</f>
        <v>Di(2-ethylhexyl)adipate</v>
      </c>
      <c r="C106" s="909">
        <f>Param!O106</f>
        <v>0.6</v>
      </c>
      <c r="D106" s="384">
        <f>Param!V106</f>
        <v>1.1999999999999999E-3</v>
      </c>
      <c r="E106" s="675">
        <f>Param!AB106</f>
        <v>1</v>
      </c>
      <c r="F106" s="557" t="s">
        <v>232</v>
      </c>
      <c r="G106" s="684">
        <f>IF(C106="na","na",(C106/E106)*Eqtn!$D$25)</f>
        <v>9600</v>
      </c>
      <c r="H106" s="684">
        <f>IF(D106="na","na",Eqtn!$D$46/(D106*E106))</f>
        <v>72.916666666666657</v>
      </c>
      <c r="I106" s="611" t="str">
        <f>IF(C106="na","na",IF(F106="na","na",Eqtn!$D$68*C106/F106))</f>
        <v>na</v>
      </c>
      <c r="J106" s="612" t="str">
        <f>IF(D106="na","na",IF(F106="na","na",Eqtn!$D$90/(D106*F106)))</f>
        <v>na</v>
      </c>
      <c r="K106" s="124"/>
      <c r="L106" s="1062"/>
    </row>
    <row r="107" spans="1:12" s="284" customFormat="1" ht="13.9" customHeight="1" x14ac:dyDescent="0.25">
      <c r="A107" s="846">
        <f>Chem!A107</f>
        <v>105</v>
      </c>
      <c r="B107" s="916" t="str">
        <f>Chem!B107</f>
        <v>Diethyl phthalate</v>
      </c>
      <c r="C107" s="909">
        <f>Param!O107</f>
        <v>0.8</v>
      </c>
      <c r="D107" s="384" t="str">
        <f>Param!V107</f>
        <v>na</v>
      </c>
      <c r="E107" s="675">
        <f>Param!AB107</f>
        <v>1</v>
      </c>
      <c r="F107" s="552">
        <f>Param!N107</f>
        <v>73</v>
      </c>
      <c r="G107" s="684">
        <f>IF(C107="na","na",(C107/E107)*Eqtn!$D$25)</f>
        <v>12800</v>
      </c>
      <c r="H107" s="684" t="str">
        <f>IF(D107="na","na",Eqtn!$D$46/(D107*E107))</f>
        <v>na</v>
      </c>
      <c r="I107" s="611">
        <f>IF(C107="na","na",IF(F107="na","na",Eqtn!$D$68*C107/F107))</f>
        <v>7867.9311556023886</v>
      </c>
      <c r="J107" s="612" t="str">
        <f>IF(D107="na","na",IF(F107="na","na",Eqtn!$D$90/(D107*F107)))</f>
        <v>na</v>
      </c>
      <c r="K107" s="124"/>
      <c r="L107" s="1062"/>
    </row>
    <row r="108" spans="1:12" s="284" customFormat="1" ht="13.9" customHeight="1" x14ac:dyDescent="0.25">
      <c r="A108" s="847">
        <f>Chem!A108</f>
        <v>106</v>
      </c>
      <c r="B108" s="916" t="str">
        <f>Chem!B108</f>
        <v>Dimethyl phthalate</v>
      </c>
      <c r="C108" s="909" t="str">
        <f>Param!O108</f>
        <v>na</v>
      </c>
      <c r="D108" s="384" t="str">
        <f>Param!V108</f>
        <v>na</v>
      </c>
      <c r="E108" s="675">
        <f>Param!AB108</f>
        <v>1</v>
      </c>
      <c r="F108" s="552">
        <f>Param!N108</f>
        <v>36</v>
      </c>
      <c r="G108" s="684" t="str">
        <f>IF(C108="na","na",(C108/E108)*Eqtn!$D$25)</f>
        <v>na</v>
      </c>
      <c r="H108" s="684" t="str">
        <f>IF(D108="na","na",Eqtn!$D$46/(D108*E108))</f>
        <v>na</v>
      </c>
      <c r="I108" s="611" t="str">
        <f>IF(C108="na","na",IF(F108="na","na",Eqtn!$D$68*C108/F108))</f>
        <v>na</v>
      </c>
      <c r="J108" s="612" t="str">
        <f>IF(D108="na","na",IF(F108="na","na",Eqtn!$D$90/(D108*F108)))</f>
        <v>na</v>
      </c>
      <c r="K108" s="124"/>
      <c r="L108" s="1062"/>
    </row>
    <row r="109" spans="1:12" s="284" customFormat="1" ht="13.9" customHeight="1" x14ac:dyDescent="0.25">
      <c r="A109" s="847">
        <f>Chem!A109</f>
        <v>107</v>
      </c>
      <c r="B109" s="916" t="str">
        <f>Chem!B109</f>
        <v>2,4-Dimethylphenol</v>
      </c>
      <c r="C109" s="909">
        <f>Param!O109</f>
        <v>0.02</v>
      </c>
      <c r="D109" s="384" t="str">
        <f>Param!V109</f>
        <v>na</v>
      </c>
      <c r="E109" s="675">
        <f>Param!AB109</f>
        <v>1</v>
      </c>
      <c r="F109" s="552">
        <f>Param!N109</f>
        <v>93.8</v>
      </c>
      <c r="G109" s="684">
        <f>IF(C109="na","na",(C109/E109)*Eqtn!$D$25)</f>
        <v>320</v>
      </c>
      <c r="H109" s="684" t="str">
        <f>IF(D109="na","na",Eqtn!$D$46/(D109*E109))</f>
        <v>na</v>
      </c>
      <c r="I109" s="611">
        <f>IF(C109="na","na",IF(F109="na","na",Eqtn!$D$68*C109/F109))</f>
        <v>153.08075009567548</v>
      </c>
      <c r="J109" s="612" t="str">
        <f>IF(D109="na","na",IF(F109="na","na",Eqtn!$D$90/(D109*F109)))</f>
        <v>na</v>
      </c>
      <c r="K109" s="124"/>
      <c r="L109" s="1062"/>
    </row>
    <row r="110" spans="1:12" s="284" customFormat="1" ht="13.9" customHeight="1" x14ac:dyDescent="0.25">
      <c r="A110" s="847">
        <f>Chem!A110</f>
        <v>108</v>
      </c>
      <c r="B110" s="916" t="str">
        <f>Chem!B110</f>
        <v>1,2-Dinitrobenzene</v>
      </c>
      <c r="C110" s="909">
        <f>Param!O110</f>
        <v>1E-4</v>
      </c>
      <c r="D110" s="384" t="str">
        <f>Param!V110</f>
        <v>na</v>
      </c>
      <c r="E110" s="675">
        <f>Param!AB110</f>
        <v>1</v>
      </c>
      <c r="F110" s="552" t="str">
        <f>Param!N110</f>
        <v>na</v>
      </c>
      <c r="G110" s="684">
        <f>IF(C110="na","na",(C110/E110)*Eqtn!$D$25)</f>
        <v>1.6</v>
      </c>
      <c r="H110" s="684" t="str">
        <f>IF(D110="na","na",Eqtn!$D$46/(D110*E110))</f>
        <v>na</v>
      </c>
      <c r="I110" s="611" t="str">
        <f>IF(C110="na","na",IF(F110="na","na",Eqtn!$D$68*C110/F110))</f>
        <v>na</v>
      </c>
      <c r="J110" s="612" t="str">
        <f>IF(D110="na","na",IF(F110="na","na",Eqtn!$D$90/(D110*F110)))</f>
        <v>na</v>
      </c>
      <c r="K110" s="124"/>
      <c r="L110" s="1062"/>
    </row>
    <row r="111" spans="1:12" s="284" customFormat="1" ht="13.9" customHeight="1" x14ac:dyDescent="0.25">
      <c r="A111" s="847">
        <f>Chem!A111</f>
        <v>109</v>
      </c>
      <c r="B111" s="916" t="str">
        <f>Chem!B111</f>
        <v>1,3-Dinitrobenzene</v>
      </c>
      <c r="C111" s="909">
        <f>Param!O111</f>
        <v>1E-4</v>
      </c>
      <c r="D111" s="384" t="str">
        <f>Param!V111</f>
        <v>na</v>
      </c>
      <c r="E111" s="675">
        <f>Param!AB111</f>
        <v>1</v>
      </c>
      <c r="F111" s="552" t="str">
        <f>Param!N111</f>
        <v>na</v>
      </c>
      <c r="G111" s="684">
        <f>IF(C111="na","na",(C111/E111)*Eqtn!$D$25)</f>
        <v>1.6</v>
      </c>
      <c r="H111" s="684" t="str">
        <f>IF(D111="na","na",Eqtn!$D$46/(D111*E111))</f>
        <v>na</v>
      </c>
      <c r="I111" s="611" t="str">
        <f>IF(C111="na","na",IF(F111="na","na",Eqtn!$D$68*C111/F111))</f>
        <v>na</v>
      </c>
      <c r="J111" s="612" t="str">
        <f>IF(D111="na","na",IF(F111="na","na",Eqtn!$D$90/(D111*F111)))</f>
        <v>na</v>
      </c>
      <c r="K111" s="124"/>
      <c r="L111" s="1062"/>
    </row>
    <row r="112" spans="1:12" s="284" customFormat="1" ht="13.9" customHeight="1" x14ac:dyDescent="0.25">
      <c r="A112" s="847">
        <f>Chem!A112</f>
        <v>110</v>
      </c>
      <c r="B112" s="916" t="str">
        <f>Chem!B112</f>
        <v>1,4-Dinitrobenzene</v>
      </c>
      <c r="C112" s="909">
        <f>Param!O112</f>
        <v>1E-4</v>
      </c>
      <c r="D112" s="384" t="str">
        <f>Param!V112</f>
        <v>na</v>
      </c>
      <c r="E112" s="675">
        <f>Param!AB112</f>
        <v>1</v>
      </c>
      <c r="F112" s="552" t="str">
        <f>Param!N112</f>
        <v>na</v>
      </c>
      <c r="G112" s="684">
        <f>IF(C112="na","na",(C112/E112)*Eqtn!$D$25)</f>
        <v>1.6</v>
      </c>
      <c r="H112" s="684" t="str">
        <f>IF(D112="na","na",Eqtn!$D$46/(D112*E112))</f>
        <v>na</v>
      </c>
      <c r="I112" s="611" t="str">
        <f>IF(C112="na","na",IF(F112="na","na",Eqtn!$D$68*C112/F112))</f>
        <v>na</v>
      </c>
      <c r="J112" s="612" t="str">
        <f>IF(D112="na","na",IF(F112="na","na",Eqtn!$D$90/(D112*F112)))</f>
        <v>na</v>
      </c>
      <c r="K112" s="124"/>
      <c r="L112" s="1062"/>
    </row>
    <row r="113" spans="1:12" s="284" customFormat="1" ht="13.9" customHeight="1" x14ac:dyDescent="0.25">
      <c r="A113" s="847">
        <f>Chem!A113</f>
        <v>111</v>
      </c>
      <c r="B113" s="916" t="str">
        <f>Chem!B113</f>
        <v>4,6-Dinitro-o-cresol (DNOC)</v>
      </c>
      <c r="C113" s="909">
        <f>Param!O113</f>
        <v>8.0000000000000007E-5</v>
      </c>
      <c r="D113" s="384" t="str">
        <f>Param!V113</f>
        <v>na</v>
      </c>
      <c r="E113" s="675">
        <f>Param!AB113</f>
        <v>1</v>
      </c>
      <c r="F113" s="552" t="str">
        <f>Param!N113</f>
        <v>na</v>
      </c>
      <c r="G113" s="684">
        <f>IF(C113="na","na",(C113/E113)*Eqtn!$D$25)</f>
        <v>1.28</v>
      </c>
      <c r="H113" s="684" t="str">
        <f>IF(D113="na","na",Eqtn!$D$46/(D113*E113))</f>
        <v>na</v>
      </c>
      <c r="I113" s="611" t="str">
        <f>IF(C113="na","na",IF(F113="na","na",Eqtn!$D$68*C113/F113))</f>
        <v>na</v>
      </c>
      <c r="J113" s="612" t="str">
        <f>IF(D113="na","na",IF(F113="na","na",Eqtn!$D$90/(D113*F113)))</f>
        <v>na</v>
      </c>
      <c r="K113" s="124"/>
      <c r="L113" s="1062"/>
    </row>
    <row r="114" spans="1:12" s="284" customFormat="1" ht="13.9" customHeight="1" x14ac:dyDescent="0.25">
      <c r="A114" s="847">
        <f>Chem!A114</f>
        <v>112</v>
      </c>
      <c r="B114" s="916" t="str">
        <f>Chem!B114</f>
        <v>2,4-Dinitrophenol</v>
      </c>
      <c r="C114" s="909">
        <f>Param!O114</f>
        <v>2E-3</v>
      </c>
      <c r="D114" s="384" t="str">
        <f>Param!V114</f>
        <v>na</v>
      </c>
      <c r="E114" s="675">
        <f>Param!AB114</f>
        <v>1</v>
      </c>
      <c r="F114" s="552">
        <f>Param!N114</f>
        <v>1.5</v>
      </c>
      <c r="G114" s="684">
        <f>IF(C114="na","na",(C114/E114)*Eqtn!$D$25)</f>
        <v>32</v>
      </c>
      <c r="H114" s="684" t="str">
        <f>IF(D114="na","na",Eqtn!$D$46/(D114*E114))</f>
        <v>na</v>
      </c>
      <c r="I114" s="611">
        <f>IF(C114="na","na",IF(F114="na","na",Eqtn!$D$68*C114/F114))</f>
        <v>957.26495726495739</v>
      </c>
      <c r="J114" s="612" t="str">
        <f>IF(D114="na","na",IF(F114="na","na",Eqtn!$D$90/(D114*F114)))</f>
        <v>na</v>
      </c>
      <c r="K114" s="124"/>
      <c r="L114" s="1062"/>
    </row>
    <row r="115" spans="1:12" s="284" customFormat="1" ht="13.9" customHeight="1" x14ac:dyDescent="0.25">
      <c r="A115" s="847">
        <f>Chem!A115</f>
        <v>113</v>
      </c>
      <c r="B115" s="916" t="str">
        <f>Chem!B115</f>
        <v>2,4-Dinitrotoluene</v>
      </c>
      <c r="C115" s="909">
        <f>Param!O115</f>
        <v>2E-3</v>
      </c>
      <c r="D115" s="384">
        <f>Param!V115</f>
        <v>0.31</v>
      </c>
      <c r="E115" s="675">
        <f>Param!AB115</f>
        <v>1</v>
      </c>
      <c r="F115" s="552">
        <f>Param!N115</f>
        <v>3.8</v>
      </c>
      <c r="G115" s="684">
        <f>IF(C115="na","na",(C115/E115)*Eqtn!$D$25)</f>
        <v>32</v>
      </c>
      <c r="H115" s="684">
        <f>IF(D115="na","na",Eqtn!$D$46/(D115*E115))</f>
        <v>0.28225806451612895</v>
      </c>
      <c r="I115" s="611">
        <f>IF(C115="na","na",IF(F115="na","na",Eqtn!$D$68*C115/F115))</f>
        <v>377.86774628879897</v>
      </c>
      <c r="J115" s="612">
        <f>IF(D115="na","na",IF(F115="na","na",Eqtn!$D$90/(D115*F115)))</f>
        <v>1.5236602672935438</v>
      </c>
      <c r="K115" s="124"/>
      <c r="L115" s="1062"/>
    </row>
    <row r="116" spans="1:12" s="284" customFormat="1" ht="13.9" customHeight="1" x14ac:dyDescent="0.25">
      <c r="A116" s="842">
        <f>Chem!A116</f>
        <v>114</v>
      </c>
      <c r="B116" s="916" t="str">
        <f>Chem!B116</f>
        <v>2,6-Dinitrotoluene</v>
      </c>
      <c r="C116" s="909">
        <f>Param!O116</f>
        <v>2.9999999999999997E-4</v>
      </c>
      <c r="D116" s="384">
        <f>Param!V116</f>
        <v>1.5</v>
      </c>
      <c r="E116" s="675">
        <f>Param!AB116</f>
        <v>1</v>
      </c>
      <c r="F116" s="552" t="str">
        <f>Param!N116</f>
        <v>na</v>
      </c>
      <c r="G116" s="684">
        <f>IF(C116="na","na",(C116/E116)*Eqtn!$D$25)</f>
        <v>4.8</v>
      </c>
      <c r="H116" s="684">
        <f>IF(D116="na","na",Eqtn!$D$46/(D116*E116))</f>
        <v>5.833333333333332E-2</v>
      </c>
      <c r="I116" s="611" t="str">
        <f>IF(C116="na","na",IF(F116="na","na",Eqtn!$D$68*C116/F116))</f>
        <v>na</v>
      </c>
      <c r="J116" s="612" t="str">
        <f>IF(D116="na","na",IF(F116="na","na",Eqtn!$D$90/(D116*F116)))</f>
        <v>na</v>
      </c>
      <c r="K116" s="124"/>
      <c r="L116" s="1062"/>
    </row>
    <row r="117" spans="1:12" s="284" customFormat="1" ht="13.9" customHeight="1" x14ac:dyDescent="0.25">
      <c r="A117" s="847">
        <f>Chem!A117</f>
        <v>115</v>
      </c>
      <c r="B117" s="916" t="str">
        <f>Chem!B117</f>
        <v>Di-n-octyl phthalate</v>
      </c>
      <c r="C117" s="909">
        <f>Param!O117</f>
        <v>0.01</v>
      </c>
      <c r="D117" s="384" t="str">
        <f>Param!V117</f>
        <v>na</v>
      </c>
      <c r="E117" s="675">
        <f>Param!AB117</f>
        <v>1</v>
      </c>
      <c r="F117" s="552" t="str">
        <f>Param!N117</f>
        <v>na</v>
      </c>
      <c r="G117" s="684">
        <f>IF(C117="na","na",(C117/E117)*Eqtn!$D$25)</f>
        <v>160</v>
      </c>
      <c r="H117" s="684" t="str">
        <f>IF(D117="na","na",Eqtn!$D$46/(D117*E117))</f>
        <v>na</v>
      </c>
      <c r="I117" s="611" t="str">
        <f>IF(C117="na","na",IF(F117="na","na",Eqtn!$D$68*C117/F117))</f>
        <v>na</v>
      </c>
      <c r="J117" s="612" t="str">
        <f>IF(D117="na","na",IF(F117="na","na",Eqtn!$D$90/(D117*F117)))</f>
        <v>na</v>
      </c>
      <c r="K117" s="124"/>
      <c r="L117" s="1062"/>
    </row>
    <row r="118" spans="1:12" s="284" customFormat="1" ht="13.9" customHeight="1" x14ac:dyDescent="0.25">
      <c r="A118" s="848">
        <f>Chem!A118</f>
        <v>116</v>
      </c>
      <c r="B118" s="916" t="str">
        <f>Chem!B118</f>
        <v>1,4-Dioxane</v>
      </c>
      <c r="C118" s="909">
        <f>Param!O118</f>
        <v>0.03</v>
      </c>
      <c r="D118" s="394">
        <f>Param!V118</f>
        <v>0.1</v>
      </c>
      <c r="E118" s="675">
        <f>Param!AB118</f>
        <v>2</v>
      </c>
      <c r="F118" s="552" t="str">
        <f>Param!N118</f>
        <v>na</v>
      </c>
      <c r="G118" s="684">
        <f>IF(C118="na","na",(C118/E118)*Eqtn!$D$25)</f>
        <v>240</v>
      </c>
      <c r="H118" s="684">
        <f>IF(D118="na","na",Eqtn!$D$46/(D118*E118))</f>
        <v>0.43749999999999989</v>
      </c>
      <c r="I118" s="611" t="str">
        <f>IF(C118="na","na",IF(F118="na","na",Eqtn!$D$68*C118/F118))</f>
        <v>na</v>
      </c>
      <c r="J118" s="612" t="str">
        <f>IF(D118="na","na",IF(F118="na","na",Eqtn!$D$90/(D118*F118)))</f>
        <v>na</v>
      </c>
      <c r="K118" s="124"/>
      <c r="L118" s="1062"/>
    </row>
    <row r="119" spans="1:12" s="284" customFormat="1" ht="13.9" customHeight="1" x14ac:dyDescent="0.25">
      <c r="A119" s="848">
        <f>Chem!A119</f>
        <v>117</v>
      </c>
      <c r="B119" s="916" t="str">
        <f>Chem!B119</f>
        <v>1,2-Diphenylhydrazine</v>
      </c>
      <c r="C119" s="909" t="str">
        <f>Param!O119</f>
        <v>na</v>
      </c>
      <c r="D119" s="394">
        <f>Param!V119</f>
        <v>0.8</v>
      </c>
      <c r="E119" s="675">
        <f>Param!AB119</f>
        <v>1</v>
      </c>
      <c r="F119" s="552">
        <f>Param!N119</f>
        <v>24.9</v>
      </c>
      <c r="G119" s="684" t="str">
        <f>IF(C119="na","na",(C119/E119)*Eqtn!$D$25)</f>
        <v>na</v>
      </c>
      <c r="H119" s="684">
        <f>IF(D119="na","na",Eqtn!$D$46/(D119*E119))</f>
        <v>0.10937499999999997</v>
      </c>
      <c r="I119" s="611" t="str">
        <f>IF(C119="na","na",IF(F119="na","na",Eqtn!$D$68*C119/F119))</f>
        <v>na</v>
      </c>
      <c r="J119" s="612">
        <f>IF(D119="na","na",IF(F119="na","na",Eqtn!$D$90/(D119*F119)))</f>
        <v>9.0104005766656337E-2</v>
      </c>
      <c r="K119" s="124"/>
      <c r="L119" s="1062"/>
    </row>
    <row r="120" spans="1:12" s="284" customFormat="1" ht="13.9" customHeight="1" x14ac:dyDescent="0.25">
      <c r="A120" s="847">
        <f>Chem!A120</f>
        <v>118</v>
      </c>
      <c r="B120" s="916" t="str">
        <f>Chem!B120</f>
        <v>Hexachlorobenzene</v>
      </c>
      <c r="C120" s="909">
        <f>Param!O120</f>
        <v>8.0000000000000004E-4</v>
      </c>
      <c r="D120" s="384">
        <f>Param!V120</f>
        <v>1.6</v>
      </c>
      <c r="E120" s="675">
        <f>Param!AB120</f>
        <v>2</v>
      </c>
      <c r="F120" s="552">
        <f>Param!N120</f>
        <v>8690</v>
      </c>
      <c r="G120" s="684">
        <f>IF(C120="na","na",(C120/E120)*Eqtn!$D$25)</f>
        <v>6.4</v>
      </c>
      <c r="H120" s="684">
        <f>IF(D120="na","na",Eqtn!$D$46/(D120*E120))</f>
        <v>2.7343749999999993E-2</v>
      </c>
      <c r="I120" s="611">
        <f>IF(C120="na","na",IF(F120="na","na",Eqtn!$D$68*C120/F120))</f>
        <v>6.6094243309433198E-2</v>
      </c>
      <c r="J120" s="612">
        <f>IF(D120="na","na",IF(F120="na","na",Eqtn!$D$90/(D120*F120)))</f>
        <v>1.2909031896373666E-4</v>
      </c>
      <c r="K120" s="124"/>
      <c r="L120" s="1062"/>
    </row>
    <row r="121" spans="1:12" s="284" customFormat="1" ht="13.9" customHeight="1" x14ac:dyDescent="0.25">
      <c r="A121" s="847">
        <f>Chem!A121</f>
        <v>119</v>
      </c>
      <c r="B121" s="916" t="str">
        <f>Chem!B121</f>
        <v>Hexachlorobutadiene</v>
      </c>
      <c r="C121" s="909">
        <f>Param!O121</f>
        <v>1E-3</v>
      </c>
      <c r="D121" s="384">
        <f>Param!V121</f>
        <v>7.8E-2</v>
      </c>
      <c r="E121" s="675">
        <f>Param!AB121</f>
        <v>2</v>
      </c>
      <c r="F121" s="552">
        <f>Param!N121</f>
        <v>2.78</v>
      </c>
      <c r="G121" s="684">
        <f>IF(C121="na","na",(C121/E121)*Eqtn!$D$25)</f>
        <v>8</v>
      </c>
      <c r="H121" s="684">
        <f>IF(D121="na","na",Eqtn!$D$46/(D121*E121))</f>
        <v>0.56089743589743579</v>
      </c>
      <c r="I121" s="611">
        <f>IF(C121="na","na",IF(F121="na","na",Eqtn!$D$68*C121/F121))</f>
        <v>258.25493451392737</v>
      </c>
      <c r="J121" s="612">
        <f>IF(D121="na","na",IF(F121="na","na",Eqtn!$D$90/(D121*F121)))</f>
        <v>8.2774017472412602</v>
      </c>
      <c r="K121" s="124"/>
      <c r="L121" s="1062"/>
    </row>
    <row r="122" spans="1:12" s="284" customFormat="1" ht="13.9" customHeight="1" x14ac:dyDescent="0.25">
      <c r="A122" s="847">
        <f>Chem!A122</f>
        <v>120</v>
      </c>
      <c r="B122" s="916" t="str">
        <f>Chem!B122</f>
        <v>Hexachlorocyclopentadiene</v>
      </c>
      <c r="C122" s="909">
        <f>Param!O122</f>
        <v>6.0000000000000001E-3</v>
      </c>
      <c r="D122" s="384" t="str">
        <f>Param!V122</f>
        <v>na</v>
      </c>
      <c r="E122" s="675">
        <f>Param!AB122</f>
        <v>2</v>
      </c>
      <c r="F122" s="552">
        <f>Param!N122</f>
        <v>4.34</v>
      </c>
      <c r="G122" s="684">
        <f>IF(C122="na","na",(C122/E122)*Eqtn!$D$25)</f>
        <v>48</v>
      </c>
      <c r="H122" s="684" t="str">
        <f>IF(D122="na","na",Eqtn!$D$46/(D122*E122))</f>
        <v>na</v>
      </c>
      <c r="I122" s="611">
        <f>IF(C122="na","na",IF(F122="na","na",Eqtn!$D$68*C122/F122))</f>
        <v>992.55583126550869</v>
      </c>
      <c r="J122" s="612" t="str">
        <f>IF(D122="na","na",IF(F122="na","na",Eqtn!$D$90/(D122*F122)))</f>
        <v>na</v>
      </c>
      <c r="K122" s="124"/>
      <c r="L122" s="1062"/>
    </row>
    <row r="123" spans="1:12" s="284" customFormat="1" ht="13.9" customHeight="1" x14ac:dyDescent="0.25">
      <c r="A123" s="847">
        <f>Chem!A123</f>
        <v>121</v>
      </c>
      <c r="B123" s="916" t="str">
        <f>Chem!B123</f>
        <v>Hexachloroethane</v>
      </c>
      <c r="C123" s="909">
        <f>Param!O123</f>
        <v>6.9999999999999999E-4</v>
      </c>
      <c r="D123" s="384">
        <f>Param!V123</f>
        <v>0.04</v>
      </c>
      <c r="E123" s="675">
        <f>Param!AB123</f>
        <v>2</v>
      </c>
      <c r="F123" s="552">
        <f>Param!N123</f>
        <v>86.9</v>
      </c>
      <c r="G123" s="684">
        <f>IF(C123="na","na",(C123/E123)*Eqtn!$D$25)</f>
        <v>5.6</v>
      </c>
      <c r="H123" s="684">
        <f>IF(D123="na","na",Eqtn!$D$46/(D123*E123))</f>
        <v>1.0937499999999998</v>
      </c>
      <c r="I123" s="611">
        <f>IF(C123="na","na",IF(F123="na","na",Eqtn!$D$68*C123/F123))</f>
        <v>5.7832462895754038</v>
      </c>
      <c r="J123" s="612">
        <f>IF(D123="na","na",IF(F123="na","na",Eqtn!$D$90/(D123*F123)))</f>
        <v>0.51636127585494662</v>
      </c>
      <c r="K123" s="124"/>
      <c r="L123" s="1062"/>
    </row>
    <row r="124" spans="1:12" s="284" customFormat="1" ht="13.9" customHeight="1" x14ac:dyDescent="0.25">
      <c r="A124" s="847">
        <f>Chem!A124</f>
        <v>122</v>
      </c>
      <c r="B124" s="916" t="str">
        <f>Chem!B124</f>
        <v>Isophorone</v>
      </c>
      <c r="C124" s="909">
        <f>Param!O124</f>
        <v>0.2</v>
      </c>
      <c r="D124" s="384">
        <f>Param!V124</f>
        <v>9.5E-4</v>
      </c>
      <c r="E124" s="675">
        <f>Param!AB124</f>
        <v>1</v>
      </c>
      <c r="F124" s="552">
        <f>Param!N124</f>
        <v>4.38</v>
      </c>
      <c r="G124" s="684">
        <f>IF(C124="na","na",(C124/E124)*Eqtn!$D$25)</f>
        <v>3200</v>
      </c>
      <c r="H124" s="684">
        <f>IF(D124="na","na",Eqtn!$D$46/(D124*E124))</f>
        <v>92.105263157894711</v>
      </c>
      <c r="I124" s="611">
        <f>IF(C124="na","na",IF(F124="na","na",Eqtn!$D$68*C124/F124))</f>
        <v>32783.046481676618</v>
      </c>
      <c r="J124" s="612">
        <f>IF(D124="na","na",IF(F124="na","na",Eqtn!$D$90/(D124*F124)))</f>
        <v>431.35587475890281</v>
      </c>
      <c r="K124" s="124"/>
      <c r="L124" s="1062"/>
    </row>
    <row r="125" spans="1:12" s="284" customFormat="1" ht="13.9" customHeight="1" x14ac:dyDescent="0.25">
      <c r="A125" s="847">
        <f>Chem!A125</f>
        <v>123</v>
      </c>
      <c r="B125" s="916" t="str">
        <f>Chem!B125</f>
        <v>2-Methoxynaphthalene</v>
      </c>
      <c r="C125" s="909" t="str">
        <f>Param!O125</f>
        <v>na</v>
      </c>
      <c r="D125" s="384" t="str">
        <f>Param!V125</f>
        <v>na</v>
      </c>
      <c r="E125" s="675" t="str">
        <f>Param!AB125</f>
        <v>na</v>
      </c>
      <c r="F125" s="552" t="str">
        <f>Param!N125</f>
        <v>na</v>
      </c>
      <c r="G125" s="684" t="str">
        <f>IF(C125="na","na",(C125/E125)*Eqtn!$D$25)</f>
        <v>na</v>
      </c>
      <c r="H125" s="684" t="str">
        <f>IF(D125="na","na",Eqtn!$D$46/(D125*E125))</f>
        <v>na</v>
      </c>
      <c r="I125" s="611" t="str">
        <f>IF(C125="na","na",IF(F125="na","na",Eqtn!$D$68*C125/F125))</f>
        <v>na</v>
      </c>
      <c r="J125" s="612" t="str">
        <f>IF(D125="na","na",IF(F125="na","na",Eqtn!$D$90/(D125*F125)))</f>
        <v>na</v>
      </c>
      <c r="K125" s="124"/>
      <c r="L125" s="1062"/>
    </row>
    <row r="126" spans="1:12" s="284" customFormat="1" ht="13.9" customHeight="1" x14ac:dyDescent="0.25">
      <c r="A126" s="847">
        <f>Chem!A126</f>
        <v>124</v>
      </c>
      <c r="B126" s="916" t="str">
        <f>Chem!B126</f>
        <v>2-Methylphenol (o-cresol)</v>
      </c>
      <c r="C126" s="909">
        <f>Param!O126</f>
        <v>0.05</v>
      </c>
      <c r="D126" s="384" t="str">
        <f>Param!V126</f>
        <v>na</v>
      </c>
      <c r="E126" s="675">
        <f>Param!AB126</f>
        <v>1</v>
      </c>
      <c r="F126" s="552" t="str">
        <f>Param!N126</f>
        <v>na</v>
      </c>
      <c r="G126" s="684">
        <f>IF(C126="na","na",(C126/E126)*Eqtn!$D$25)</f>
        <v>800</v>
      </c>
      <c r="H126" s="684" t="str">
        <f>IF(D126="na","na",Eqtn!$D$46/(D126*E126))</f>
        <v>na</v>
      </c>
      <c r="I126" s="611" t="str">
        <f>IF(C126="na","na",IF(F126="na","na",Eqtn!$D$68*C126/F126))</f>
        <v>na</v>
      </c>
      <c r="J126" s="612" t="str">
        <f>IF(D126="na","na",IF(F126="na","na",Eqtn!$D$90/(D126*F126)))</f>
        <v>na</v>
      </c>
      <c r="K126" s="124"/>
      <c r="L126" s="1062"/>
    </row>
    <row r="127" spans="1:12" s="284" customFormat="1" ht="13.9" customHeight="1" x14ac:dyDescent="0.25">
      <c r="A127" s="847">
        <f>Chem!A127</f>
        <v>125</v>
      </c>
      <c r="B127" s="916" t="str">
        <f>Chem!B127</f>
        <v>3-Methylphenol (m-cresol)</v>
      </c>
      <c r="C127" s="909">
        <f>Param!O127</f>
        <v>0.05</v>
      </c>
      <c r="D127" s="384" t="str">
        <f>Param!V127</f>
        <v>na</v>
      </c>
      <c r="E127" s="675">
        <f>Param!AB127</f>
        <v>1</v>
      </c>
      <c r="F127" s="552" t="str">
        <f>Param!N127</f>
        <v>na</v>
      </c>
      <c r="G127" s="684">
        <f>IF(C127="na","na",(C127/E127)*Eqtn!$D$25)</f>
        <v>800</v>
      </c>
      <c r="H127" s="684" t="str">
        <f>IF(D127="na","na",Eqtn!$D$46/(D127*E127))</f>
        <v>na</v>
      </c>
      <c r="I127" s="611" t="str">
        <f>IF(C127="na","na",IF(F127="na","na",Eqtn!$D$68*C127/F127))</f>
        <v>na</v>
      </c>
      <c r="J127" s="612" t="str">
        <f>IF(D127="na","na",IF(F127="na","na",Eqtn!$D$90/(D127*F127)))</f>
        <v>na</v>
      </c>
      <c r="K127" s="124"/>
      <c r="L127" s="1062"/>
    </row>
    <row r="128" spans="1:12" s="284" customFormat="1" ht="13.9" customHeight="1" x14ac:dyDescent="0.25">
      <c r="A128" s="847">
        <f>Chem!A128</f>
        <v>126</v>
      </c>
      <c r="B128" s="916" t="str">
        <f>Chem!B128</f>
        <v>4-Methylphenol (p-cresol)</v>
      </c>
      <c r="C128" s="909">
        <f>Param!O128</f>
        <v>0.1</v>
      </c>
      <c r="D128" s="384" t="str">
        <f>Param!V128</f>
        <v>na</v>
      </c>
      <c r="E128" s="675">
        <f>Param!AB128</f>
        <v>1</v>
      </c>
      <c r="F128" s="552" t="str">
        <f>Param!N128</f>
        <v>na</v>
      </c>
      <c r="G128" s="684">
        <f>IF(C128="na","na",(C128/E128)*Eqtn!$D$25)</f>
        <v>1600</v>
      </c>
      <c r="H128" s="684" t="str">
        <f>IF(D128="na","na",Eqtn!$D$46/(D128*E128))</f>
        <v>na</v>
      </c>
      <c r="I128" s="611" t="str">
        <f>IF(C128="na","na",IF(F128="na","na",Eqtn!$D$68*C128/F128))</f>
        <v>na</v>
      </c>
      <c r="J128" s="612" t="str">
        <f>IF(D128="na","na",IF(F128="na","na",Eqtn!$D$90/(D128*F128)))</f>
        <v>na</v>
      </c>
      <c r="K128" s="124"/>
      <c r="L128" s="1062"/>
    </row>
    <row r="129" spans="1:12" ht="13.9" customHeight="1" x14ac:dyDescent="0.25">
      <c r="A129" s="847">
        <f>Chem!A129</f>
        <v>127</v>
      </c>
      <c r="B129" s="916" t="str">
        <f>Chem!B129</f>
        <v>2-Nitroaniline</v>
      </c>
      <c r="C129" s="909">
        <f>Param!O129</f>
        <v>0.01</v>
      </c>
      <c r="D129" s="384" t="str">
        <f>Param!V129</f>
        <v>na</v>
      </c>
      <c r="E129" s="675">
        <f>Param!AB129</f>
        <v>1</v>
      </c>
      <c r="F129" s="552" t="str">
        <f>Param!N129</f>
        <v>na</v>
      </c>
      <c r="G129" s="684">
        <f>IF(C129="na","na",(C129/E129)*Eqtn!$D$25)</f>
        <v>160</v>
      </c>
      <c r="H129" s="684" t="str">
        <f>IF(D129="na","na",Eqtn!$D$46/(D129*E129))</f>
        <v>na</v>
      </c>
      <c r="I129" s="611" t="str">
        <f>IF(C129="na","na",IF(F129="na","na",Eqtn!$D$68*C129/F129))</f>
        <v>na</v>
      </c>
      <c r="J129" s="612" t="str">
        <f>IF(D129="na","na",IF(F129="na","na",Eqtn!$D$90/(D129*F129)))</f>
        <v>na</v>
      </c>
      <c r="L129" s="1062"/>
    </row>
    <row r="130" spans="1:12" ht="13.9" customHeight="1" x14ac:dyDescent="0.25">
      <c r="A130" s="847">
        <f>Chem!A130</f>
        <v>128</v>
      </c>
      <c r="B130" s="916" t="str">
        <f>Chem!B130</f>
        <v>3-Nitroaniline</v>
      </c>
      <c r="C130" s="909" t="str">
        <f>Param!O130</f>
        <v>na</v>
      </c>
      <c r="D130" s="384" t="str">
        <f>Param!V130</f>
        <v>na</v>
      </c>
      <c r="E130" s="675" t="str">
        <f>Param!AB130</f>
        <v>na</v>
      </c>
      <c r="F130" s="552" t="str">
        <f>Param!N130</f>
        <v>na</v>
      </c>
      <c r="G130" s="684" t="str">
        <f>IF(C130="na","na",(C130/E130)*Eqtn!$D$25)</f>
        <v>na</v>
      </c>
      <c r="H130" s="684" t="str">
        <f>IF(D130="na","na",Eqtn!$D$46/(D130*E130))</f>
        <v>na</v>
      </c>
      <c r="I130" s="611" t="str">
        <f>IF(C130="na","na",IF(F130="na","na",Eqtn!$D$68*C130/F130))</f>
        <v>na</v>
      </c>
      <c r="J130" s="612" t="str">
        <f>IF(D130="na","na",IF(F130="na","na",Eqtn!$D$90/(D130*F130)))</f>
        <v>na</v>
      </c>
      <c r="L130" s="1062"/>
    </row>
    <row r="131" spans="1:12" ht="13.9" customHeight="1" x14ac:dyDescent="0.25">
      <c r="A131" s="847">
        <f>Chem!A131</f>
        <v>129</v>
      </c>
      <c r="B131" s="916" t="str">
        <f>Chem!B131</f>
        <v>4-Nitroaniline</v>
      </c>
      <c r="C131" s="909">
        <f>Param!O131</f>
        <v>4.0000000000000001E-3</v>
      </c>
      <c r="D131" s="384">
        <f>Param!V131</f>
        <v>0.02</v>
      </c>
      <c r="E131" s="675">
        <f>Param!AB131</f>
        <v>1</v>
      </c>
      <c r="F131" s="552" t="str">
        <f>Param!N131</f>
        <v>na</v>
      </c>
      <c r="G131" s="684">
        <f>IF(C131="na","na",(C131/E131)*Eqtn!$D$25)</f>
        <v>64</v>
      </c>
      <c r="H131" s="684">
        <f>IF(D131="na","na",Eqtn!$D$46/(D131*E131))</f>
        <v>4.3749999999999991</v>
      </c>
      <c r="I131" s="611" t="str">
        <f>IF(C131="na","na",IF(F131="na","na",Eqtn!$D$68*C131/F131))</f>
        <v>na</v>
      </c>
      <c r="J131" s="612" t="str">
        <f>IF(D131="na","na",IF(F131="na","na",Eqtn!$D$90/(D131*F131)))</f>
        <v>na</v>
      </c>
      <c r="L131" s="1062"/>
    </row>
    <row r="132" spans="1:12" ht="13.9" customHeight="1" x14ac:dyDescent="0.25">
      <c r="A132" s="847">
        <f>Chem!A132</f>
        <v>130</v>
      </c>
      <c r="B132" s="916" t="str">
        <f>Chem!B132</f>
        <v>Nitrobenzene</v>
      </c>
      <c r="C132" s="909">
        <f>Param!O132</f>
        <v>2E-3</v>
      </c>
      <c r="D132" s="384" t="str">
        <f>Param!V132</f>
        <v>na</v>
      </c>
      <c r="E132" s="675">
        <f>Param!AB132</f>
        <v>2</v>
      </c>
      <c r="F132" s="552">
        <f>Param!N132</f>
        <v>2.89</v>
      </c>
      <c r="G132" s="684">
        <f>IF(C132="na","na",(C132/E132)*Eqtn!$D$25)</f>
        <v>16</v>
      </c>
      <c r="H132" s="684" t="str">
        <f>IF(D132="na","na",Eqtn!$D$46/(D132*E132))</f>
        <v>na</v>
      </c>
      <c r="I132" s="611">
        <f>IF(C132="na","na",IF(F132="na","na",Eqtn!$D$68*C132/F132))</f>
        <v>496.85032383994326</v>
      </c>
      <c r="J132" s="612" t="str">
        <f>IF(D132="na","na",IF(F132="na","na",Eqtn!$D$90/(D132*F132)))</f>
        <v>na</v>
      </c>
      <c r="L132" s="1062"/>
    </row>
    <row r="133" spans="1:12" ht="13.9" customHeight="1" x14ac:dyDescent="0.25">
      <c r="A133" s="847">
        <f>Chem!A133</f>
        <v>131</v>
      </c>
      <c r="B133" s="916" t="str">
        <f>Chem!B133</f>
        <v>2-Nitrophenol</v>
      </c>
      <c r="C133" s="909" t="str">
        <f>Param!O133</f>
        <v>na</v>
      </c>
      <c r="D133" s="384" t="str">
        <f>Param!V133</f>
        <v>na</v>
      </c>
      <c r="E133" s="675" t="str">
        <f>Param!AB133</f>
        <v>na</v>
      </c>
      <c r="F133" s="552" t="str">
        <f>Param!N133</f>
        <v>na</v>
      </c>
      <c r="G133" s="684" t="str">
        <f>IF(C133="na","na",(C133/E133)*Eqtn!$D$25)</f>
        <v>na</v>
      </c>
      <c r="H133" s="684" t="str">
        <f>IF(D133="na","na",Eqtn!$D$46/(D133*E133))</f>
        <v>na</v>
      </c>
      <c r="I133" s="611" t="str">
        <f>IF(C133="na","na",IF(F133="na","na",Eqtn!$D$68*C133/F133))</f>
        <v>na</v>
      </c>
      <c r="J133" s="612" t="str">
        <f>IF(D133="na","na",IF(F133="na","na",Eqtn!$D$90/(D133*F133)))</f>
        <v>na</v>
      </c>
      <c r="L133" s="1062"/>
    </row>
    <row r="134" spans="1:12" ht="13.9" customHeight="1" x14ac:dyDescent="0.25">
      <c r="A134" s="847">
        <f>Chem!A134</f>
        <v>132</v>
      </c>
      <c r="B134" s="916" t="str">
        <f>Chem!B134</f>
        <v>4-Nitrophenol</v>
      </c>
      <c r="C134" s="909" t="str">
        <f>Param!O134</f>
        <v>na</v>
      </c>
      <c r="D134" s="384" t="str">
        <f>Param!V134</f>
        <v>na</v>
      </c>
      <c r="E134" s="675" t="str">
        <f>Param!AB134</f>
        <v>na</v>
      </c>
      <c r="F134" s="552" t="str">
        <f>Param!N134</f>
        <v>na</v>
      </c>
      <c r="G134" s="684" t="str">
        <f>IF(C134="na","na",(C134/E134)*Eqtn!$D$25)</f>
        <v>na</v>
      </c>
      <c r="H134" s="684" t="str">
        <f>IF(D134="na","na",Eqtn!$D$46/(D134*E134))</f>
        <v>na</v>
      </c>
      <c r="I134" s="611" t="str">
        <f>IF(C134="na","na",IF(F134="na","na",Eqtn!$D$68*C134/F134))</f>
        <v>na</v>
      </c>
      <c r="J134" s="612" t="str">
        <f>IF(D134="na","na",IF(F134="na","na",Eqtn!$D$90/(D134*F134)))</f>
        <v>na</v>
      </c>
      <c r="L134" s="1062"/>
    </row>
    <row r="135" spans="1:12" ht="13.9" customHeight="1" x14ac:dyDescent="0.25">
      <c r="A135" s="847">
        <f>Chem!A135</f>
        <v>133</v>
      </c>
      <c r="B135" s="1843" t="str">
        <f>Chem!B135</f>
        <v>n-Nitrosodimethylamine</v>
      </c>
      <c r="C135" s="909">
        <f>Param!O135</f>
        <v>7.9999999999999996E-6</v>
      </c>
      <c r="D135" s="384">
        <f>Param!V135</f>
        <v>51</v>
      </c>
      <c r="E135" s="675">
        <f>Param!AB135</f>
        <v>2</v>
      </c>
      <c r="F135" s="552">
        <f>Param!N135</f>
        <v>2.5999999999999999E-2</v>
      </c>
      <c r="G135" s="684">
        <f>IF(C135="na","na",(C135/E135)*Eqtn!$D$25)</f>
        <v>6.4000000000000001E-2</v>
      </c>
      <c r="H135" s="694">
        <v>2.3000000000000001E-4</v>
      </c>
      <c r="I135" s="611">
        <f>IF(C135="na","na",IF(F135="na","na",Eqtn!$D$68*C135/F135))</f>
        <v>220.90729783037477</v>
      </c>
      <c r="J135" s="132">
        <f>'SW-MMA'!H31</f>
        <v>0.31182820503553815</v>
      </c>
      <c r="L135" s="1062"/>
    </row>
    <row r="136" spans="1:12" ht="13.9" customHeight="1" x14ac:dyDescent="0.25">
      <c r="A136" s="847">
        <f>Chem!A136</f>
        <v>134</v>
      </c>
      <c r="B136" s="916" t="str">
        <f>Chem!B136</f>
        <v>n-Nitrosodiphenylamine</v>
      </c>
      <c r="C136" s="909" t="str">
        <f>Param!O136</f>
        <v>na</v>
      </c>
      <c r="D136" s="384">
        <f>Param!V136</f>
        <v>4.8999999999999998E-3</v>
      </c>
      <c r="E136" s="675">
        <f>Param!AB136</f>
        <v>1</v>
      </c>
      <c r="F136" s="552">
        <f>Param!N136</f>
        <v>136</v>
      </c>
      <c r="G136" s="684" t="str">
        <f>IF(C136="na","na",(C136/E136)*Eqtn!$D$25)</f>
        <v>na</v>
      </c>
      <c r="H136" s="684">
        <f>IF(D136="na","na",Eqtn!$D$46/(D136*E136))</f>
        <v>17.857142857142854</v>
      </c>
      <c r="I136" s="611" t="str">
        <f>IF(C136="na","na",IF(F136="na","na",Eqtn!$D$68*C136/F136))</f>
        <v>na</v>
      </c>
      <c r="J136" s="612">
        <f>IF(D136="na","na",IF(F136="na","na",Eqtn!$D$90/(D136*F136)))</f>
        <v>2.6933850463262221</v>
      </c>
      <c r="L136" s="1062"/>
    </row>
    <row r="137" spans="1:12" ht="13.9" customHeight="1" x14ac:dyDescent="0.25">
      <c r="A137" s="847">
        <f>Chem!A137</f>
        <v>135</v>
      </c>
      <c r="B137" s="916" t="str">
        <f>Chem!B137</f>
        <v>n-Nitrosodi-n-propylamine</v>
      </c>
      <c r="C137" s="909" t="str">
        <f>Param!O137</f>
        <v>na</v>
      </c>
      <c r="D137" s="384">
        <f>Param!V137</f>
        <v>7</v>
      </c>
      <c r="E137" s="675">
        <f>Param!AB137</f>
        <v>1</v>
      </c>
      <c r="F137" s="552">
        <f>Param!N137</f>
        <v>1.1299999999999999</v>
      </c>
      <c r="G137" s="684" t="str">
        <f>IF(C137="na","na",(C137/E137)*Eqtn!$D$25)</f>
        <v>na</v>
      </c>
      <c r="H137" s="684">
        <f>IF(D137="na","na",Eqtn!$D$46/(D137*E137))</f>
        <v>1.2499999999999997E-2</v>
      </c>
      <c r="I137" s="611" t="str">
        <f>IF(C137="na","na",IF(F137="na","na",Eqtn!$D$68*C137/F137))</f>
        <v>na</v>
      </c>
      <c r="J137" s="612">
        <f>IF(D137="na","na",IF(F137="na","na",Eqtn!$D$90/(D137*F137)))</f>
        <v>0.22691173133651008</v>
      </c>
      <c r="L137" s="1062"/>
    </row>
    <row r="138" spans="1:12" ht="13.9" customHeight="1" x14ac:dyDescent="0.25">
      <c r="A138" s="847">
        <f>Chem!A138</f>
        <v>136</v>
      </c>
      <c r="B138" s="916" t="str">
        <f>Chem!B138</f>
        <v>Pentachlorophenol</v>
      </c>
      <c r="C138" s="909">
        <f>Param!O138</f>
        <v>5.0000000000000001E-3</v>
      </c>
      <c r="D138" s="384">
        <f>Param!V138</f>
        <v>0.4</v>
      </c>
      <c r="E138" s="675">
        <f>Param!AB138</f>
        <v>1</v>
      </c>
      <c r="F138" s="552">
        <f>Param!N138</f>
        <v>11</v>
      </c>
      <c r="G138" s="684">
        <f>IF(C138="na","na",(C138/E138)*Eqtn!$D$25)</f>
        <v>80</v>
      </c>
      <c r="H138" s="684">
        <f>IF(D138="na","na",Eqtn!$D$46/(D138*E138))</f>
        <v>0.21874999999999994</v>
      </c>
      <c r="I138" s="611">
        <f>IF(C138="na","na",IF(F138="na","na",Eqtn!$D$68*C138/F138))</f>
        <v>326.34032634032633</v>
      </c>
      <c r="J138" s="612">
        <f>IF(D138="na","na",IF(F138="na","na",Eqtn!$D$90/(D138*F138)))</f>
        <v>0.40792540792540782</v>
      </c>
      <c r="L138" s="1062"/>
    </row>
    <row r="139" spans="1:12" ht="13.9" customHeight="1" x14ac:dyDescent="0.25">
      <c r="A139" s="847">
        <f>Chem!A139</f>
        <v>137</v>
      </c>
      <c r="B139" s="916" t="str">
        <f>Chem!B139</f>
        <v>Phenol</v>
      </c>
      <c r="C139" s="909">
        <f>Param!O139</f>
        <v>0.3</v>
      </c>
      <c r="D139" s="384" t="str">
        <f>Param!V139</f>
        <v>na</v>
      </c>
      <c r="E139" s="675">
        <f>Param!AB139</f>
        <v>1</v>
      </c>
      <c r="F139" s="552">
        <f>Param!N139</f>
        <v>1.4</v>
      </c>
      <c r="G139" s="684">
        <f>IF(C139="na","na",(C139/E139)*Eqtn!$D$25)</f>
        <v>4800</v>
      </c>
      <c r="H139" s="684" t="str">
        <f>IF(D139="na","na",Eqtn!$D$46/(D139*E139))</f>
        <v>na</v>
      </c>
      <c r="I139" s="611">
        <f>IF(C139="na","na",IF(F139="na","na",Eqtn!$D$68*C139/F139))</f>
        <v>153846.15384615387</v>
      </c>
      <c r="J139" s="612" t="str">
        <f>IF(D139="na","na",IF(F139="na","na",Eqtn!$D$90/(D139*F139)))</f>
        <v>na</v>
      </c>
      <c r="L139" s="1062"/>
    </row>
    <row r="140" spans="1:12" ht="13.9" customHeight="1" x14ac:dyDescent="0.25">
      <c r="A140" s="847">
        <f>Chem!A140</f>
        <v>138</v>
      </c>
      <c r="B140" s="916" t="str">
        <f>Chem!B140</f>
        <v>Pyridine</v>
      </c>
      <c r="C140" s="909">
        <f>Param!O140</f>
        <v>1E-3</v>
      </c>
      <c r="D140" s="384" t="str">
        <f>Param!V140</f>
        <v>na</v>
      </c>
      <c r="E140" s="675">
        <f>Param!AB140</f>
        <v>2</v>
      </c>
      <c r="F140" s="552" t="str">
        <f>Param!N140</f>
        <v>na</v>
      </c>
      <c r="G140" s="684">
        <f>IF(C140="na","na",(C140/E140)*Eqtn!$D$25)</f>
        <v>8</v>
      </c>
      <c r="H140" s="684" t="str">
        <f>IF(D140="na","na",Eqtn!$D$46/(D140*E140))</f>
        <v>na</v>
      </c>
      <c r="I140" s="611" t="str">
        <f>IF(C140="na","na",IF(F140="na","na",Eqtn!$D$68*C140/F140))</f>
        <v>na</v>
      </c>
      <c r="J140" s="612" t="str">
        <f>IF(D140="na","na",IF(F140="na","na",Eqtn!$D$90/(D140*F140)))</f>
        <v>na</v>
      </c>
      <c r="L140" s="1062"/>
    </row>
    <row r="141" spans="1:12" ht="13.9" customHeight="1" x14ac:dyDescent="0.25">
      <c r="A141" s="847">
        <f>Chem!A141</f>
        <v>139</v>
      </c>
      <c r="B141" s="916" t="str">
        <f>Chem!B141</f>
        <v>2,3,4,5-Tetrachlorophenol</v>
      </c>
      <c r="C141" s="909" t="str">
        <f>Param!O141</f>
        <v>na</v>
      </c>
      <c r="D141" s="384" t="str">
        <f>Param!V141</f>
        <v>na</v>
      </c>
      <c r="E141" s="675" t="str">
        <f>Param!AB141</f>
        <v>na</v>
      </c>
      <c r="F141" s="552" t="str">
        <f>Param!N141</f>
        <v>na</v>
      </c>
      <c r="G141" s="684" t="str">
        <f>IF(C141="na","na",(C141/E141)*Eqtn!$D$25)</f>
        <v>na</v>
      </c>
      <c r="H141" s="684" t="str">
        <f>IF(D141="na","na",Eqtn!$D$46/(D141*E141))</f>
        <v>na</v>
      </c>
      <c r="I141" s="611" t="str">
        <f>IF(C141="na","na",IF(F141="na","na",Eqtn!$D$68*C141/F141))</f>
        <v>na</v>
      </c>
      <c r="J141" s="612" t="str">
        <f>IF(D141="na","na",IF(F141="na","na",Eqtn!$D$90/(D141*F141)))</f>
        <v>na</v>
      </c>
      <c r="L141" s="1062"/>
    </row>
    <row r="142" spans="1:12" ht="13.9" customHeight="1" x14ac:dyDescent="0.25">
      <c r="A142" s="847">
        <f>Chem!A142</f>
        <v>140</v>
      </c>
      <c r="B142" s="916" t="str">
        <f>Chem!B142</f>
        <v>2,3,4,6-Tetrachlorophenol</v>
      </c>
      <c r="C142" s="909">
        <f>Param!O142</f>
        <v>0.03</v>
      </c>
      <c r="D142" s="384" t="str">
        <f>Param!V142</f>
        <v>na</v>
      </c>
      <c r="E142" s="675">
        <f>Param!AB142</f>
        <v>1</v>
      </c>
      <c r="F142" s="552" t="str">
        <f>Param!N142</f>
        <v>na</v>
      </c>
      <c r="G142" s="684">
        <f>IF(C142="na","na",(C142/E142)*Eqtn!$D$25)</f>
        <v>480</v>
      </c>
      <c r="H142" s="684" t="str">
        <f>IF(D142="na","na",Eqtn!$D$46/(D142*E142))</f>
        <v>na</v>
      </c>
      <c r="I142" s="611" t="str">
        <f>IF(C142="na","na",IF(F142="na","na",Eqtn!$D$68*C142/F142))</f>
        <v>na</v>
      </c>
      <c r="J142" s="612" t="str">
        <f>IF(D142="na","na",IF(F142="na","na",Eqtn!$D$90/(D142*F142)))</f>
        <v>na</v>
      </c>
      <c r="L142" s="1062"/>
    </row>
    <row r="143" spans="1:12" ht="13.9" customHeight="1" x14ac:dyDescent="0.25">
      <c r="A143" s="847">
        <f>Chem!A143</f>
        <v>141</v>
      </c>
      <c r="B143" s="916" t="str">
        <f>Chem!B143</f>
        <v>1,2,4-Trichlorobenzene</v>
      </c>
      <c r="C143" s="909">
        <f>Param!O143</f>
        <v>0.01</v>
      </c>
      <c r="D143" s="384">
        <f>Param!V143</f>
        <v>2.9000000000000001E-2</v>
      </c>
      <c r="E143" s="675">
        <f>Param!AB143</f>
        <v>2</v>
      </c>
      <c r="F143" s="552">
        <f>Param!N143</f>
        <v>114</v>
      </c>
      <c r="G143" s="684">
        <f>IF(C143="na","na",(C143/E143)*Eqtn!$D$25)</f>
        <v>80</v>
      </c>
      <c r="H143" s="684">
        <f>IF(D143="na","na",Eqtn!$D$46/(D143*E143))</f>
        <v>1.5086206896551719</v>
      </c>
      <c r="I143" s="611">
        <f>IF(C143="na","na",IF(F143="na","na",Eqtn!$D$68*C143/F143))</f>
        <v>62.977957714799821</v>
      </c>
      <c r="J143" s="612">
        <f>IF(D143="na","na",IF(F143="na","na",Eqtn!$D$90/(D143*F143)))</f>
        <v>0.54291342857586045</v>
      </c>
      <c r="L143" s="1062"/>
    </row>
    <row r="144" spans="1:12" ht="13.9" customHeight="1" x14ac:dyDescent="0.25">
      <c r="A144" s="847">
        <f>Chem!A144</f>
        <v>142</v>
      </c>
      <c r="B144" s="916" t="str">
        <f>Chem!B144</f>
        <v>2,4,5-Trichlorophenol</v>
      </c>
      <c r="C144" s="909">
        <f>Param!O144</f>
        <v>0.1</v>
      </c>
      <c r="D144" s="384" t="str">
        <f>Param!V144</f>
        <v>na</v>
      </c>
      <c r="E144" s="675">
        <f>Param!AB144</f>
        <v>1</v>
      </c>
      <c r="F144" s="552" t="str">
        <f>Param!N144</f>
        <v>na</v>
      </c>
      <c r="G144" s="684">
        <f>IF(C144="na","na",(C144/E144)*Eqtn!$D$25)</f>
        <v>1600</v>
      </c>
      <c r="H144" s="684" t="str">
        <f>IF(D144="na","na",Eqtn!$D$46/(D144*E144))</f>
        <v>na</v>
      </c>
      <c r="I144" s="611" t="str">
        <f>IF(C144="na","na",IF(F144="na","na",Eqtn!$D$68*C144/F144))</f>
        <v>na</v>
      </c>
      <c r="J144" s="612" t="str">
        <f>IF(D144="na","na",IF(F144="na","na",Eqtn!$D$90/(D144*F144)))</f>
        <v>na</v>
      </c>
      <c r="L144" s="1062"/>
    </row>
    <row r="145" spans="1:12" ht="13.9" customHeight="1" x14ac:dyDescent="0.25">
      <c r="A145" s="842">
        <f>Chem!A145</f>
        <v>143</v>
      </c>
      <c r="B145" s="916" t="str">
        <f>Chem!B145</f>
        <v>2,4,6-Trichlorophenol</v>
      </c>
      <c r="C145" s="910">
        <f>Param!O145</f>
        <v>1E-3</v>
      </c>
      <c r="D145" s="385">
        <f>Param!V145</f>
        <v>1.0999999999999999E-2</v>
      </c>
      <c r="E145" s="676">
        <f>Param!AB145</f>
        <v>1</v>
      </c>
      <c r="F145" s="589">
        <f>Param!N145</f>
        <v>150</v>
      </c>
      <c r="G145" s="685">
        <f>IF(C145="na","na",(C145/E145)*Eqtn!$D$25)</f>
        <v>16</v>
      </c>
      <c r="H145" s="685">
        <f>IF(D145="na","na",Eqtn!$D$46/(D145*E145))</f>
        <v>7.9545454545454533</v>
      </c>
      <c r="I145" s="618">
        <f>IF(C145="na","na",IF(F145="na","na",Eqtn!$D$68*C145/F145))</f>
        <v>4.7863247863247871</v>
      </c>
      <c r="J145" s="619">
        <f>IF(D145="na","na",IF(F145="na","na",Eqtn!$D$90/(D145*F145)))</f>
        <v>1.0878010878010875</v>
      </c>
      <c r="L145" s="1062"/>
    </row>
    <row r="146" spans="1:12" ht="13.9" customHeight="1" x14ac:dyDescent="0.25">
      <c r="A146" s="1197">
        <f>Chem!A146</f>
        <v>144</v>
      </c>
      <c r="B146" s="887" t="str">
        <f>Chem!B146</f>
        <v>Volatile Organic Compounds</v>
      </c>
      <c r="C146" s="127"/>
      <c r="D146" s="259"/>
      <c r="E146" s="2374"/>
      <c r="F146" s="127"/>
      <c r="G146" s="127"/>
      <c r="H146" s="127"/>
      <c r="I146" s="127"/>
      <c r="J146" s="2364"/>
      <c r="L146" s="1063"/>
    </row>
    <row r="147" spans="1:12" s="284" customFormat="1" ht="13.9" customHeight="1" x14ac:dyDescent="0.25">
      <c r="A147" s="846">
        <f>Chem!A147</f>
        <v>145</v>
      </c>
      <c r="B147" s="916" t="str">
        <f>Chem!B147</f>
        <v>Acetone</v>
      </c>
      <c r="C147" s="911">
        <f>Param!O147</f>
        <v>0.9</v>
      </c>
      <c r="D147" s="590" t="str">
        <f>Param!V147</f>
        <v>na</v>
      </c>
      <c r="E147" s="677">
        <f>Param!AB147</f>
        <v>2</v>
      </c>
      <c r="F147" s="591" t="str">
        <f>Param!N147</f>
        <v>na</v>
      </c>
      <c r="G147" s="686">
        <f>IF(C147="na","na",(C147/E147)*Eqtn!$D$25)</f>
        <v>7200</v>
      </c>
      <c r="H147" s="686" t="str">
        <f>IF(D147="na","na",Eqtn!$D$46/(D147*E147))</f>
        <v>na</v>
      </c>
      <c r="I147" s="620" t="str">
        <f>IF(C147="na","na",IF(F147="na","na",Eqtn!$D$68*C147/F147))</f>
        <v>na</v>
      </c>
      <c r="J147" s="613" t="str">
        <f>IF(D147="na","na",IF(F147="na","na",Eqtn!$D$90/(D147*F147)))</f>
        <v>na</v>
      </c>
      <c r="K147" s="124"/>
      <c r="L147" s="1062"/>
    </row>
    <row r="148" spans="1:12" s="284" customFormat="1" ht="13.9" customHeight="1" x14ac:dyDescent="0.25">
      <c r="A148" s="846">
        <f>Chem!A148</f>
        <v>146</v>
      </c>
      <c r="B148" s="916" t="str">
        <f>Chem!B148</f>
        <v>Acetaldehyde</v>
      </c>
      <c r="C148" s="909" t="str">
        <f>Param!O148</f>
        <v>na</v>
      </c>
      <c r="D148" s="384" t="str">
        <f>Param!V148</f>
        <v>na</v>
      </c>
      <c r="E148" s="675">
        <f>Param!AB148</f>
        <v>2</v>
      </c>
      <c r="F148" s="552" t="str">
        <f>Param!N148</f>
        <v>na</v>
      </c>
      <c r="G148" s="684" t="str">
        <f>IF(C148="na","na",(C148/E148)*Eqtn!$D$25)</f>
        <v>na</v>
      </c>
      <c r="H148" s="684" t="str">
        <f>IF(D148="na","na",Eqtn!$D$46/(D148*E148))</f>
        <v>na</v>
      </c>
      <c r="I148" s="611" t="str">
        <f>IF(C148="na","na",IF(F148="na","na",Eqtn!$D$68*C148/F148))</f>
        <v>na</v>
      </c>
      <c r="J148" s="612" t="str">
        <f>IF(D148="na","na",IF(F148="na","na",Eqtn!$D$90/(D148*F148)))</f>
        <v>na</v>
      </c>
      <c r="K148" s="124"/>
      <c r="L148" s="1062"/>
    </row>
    <row r="149" spans="1:12" s="284" customFormat="1" ht="13.9" customHeight="1" x14ac:dyDescent="0.25">
      <c r="A149" s="846">
        <f>Chem!A149</f>
        <v>147</v>
      </c>
      <c r="B149" s="916" t="str">
        <f>Chem!B149</f>
        <v>Acrolein</v>
      </c>
      <c r="C149" s="909">
        <f>Param!O149</f>
        <v>5.0000000000000001E-4</v>
      </c>
      <c r="D149" s="384" t="str">
        <f>Param!V149</f>
        <v>na</v>
      </c>
      <c r="E149" s="675">
        <f>Param!AB149</f>
        <v>2</v>
      </c>
      <c r="F149" s="552" t="str">
        <f>Param!N149</f>
        <v>na</v>
      </c>
      <c r="G149" s="684">
        <f>IF(C149="na","na",(C149/E149)*Eqtn!$D$25)</f>
        <v>4</v>
      </c>
      <c r="H149" s="684" t="str">
        <f>IF(D149="na","na",Eqtn!$D$46/(D149*E149))</f>
        <v>na</v>
      </c>
      <c r="I149" s="611" t="str">
        <f>IF(C149="na","na",IF(F149="na","na",Eqtn!$D$68*C149/F149))</f>
        <v>na</v>
      </c>
      <c r="J149" s="612" t="str">
        <f>IF(D149="na","na",IF(F149="na","na",Eqtn!$D$90/(D149*F149)))</f>
        <v>na</v>
      </c>
      <c r="K149" s="124"/>
      <c r="L149" s="1062"/>
    </row>
    <row r="150" spans="1:12" s="284" customFormat="1" ht="13.9" customHeight="1" x14ac:dyDescent="0.25">
      <c r="A150" s="846">
        <f>Chem!A150</f>
        <v>148</v>
      </c>
      <c r="B150" s="916" t="str">
        <f>Chem!B150</f>
        <v>Acrylonitrile</v>
      </c>
      <c r="C150" s="909">
        <f>Param!O150</f>
        <v>1E-3</v>
      </c>
      <c r="D150" s="384">
        <f>Param!V150</f>
        <v>0.54</v>
      </c>
      <c r="E150" s="675">
        <f>Param!AB150</f>
        <v>2</v>
      </c>
      <c r="F150" s="552">
        <f>Param!N150</f>
        <v>30</v>
      </c>
      <c r="G150" s="684">
        <f>IF(C150="na","na",(C150/E150)*Eqtn!$D$25)</f>
        <v>8</v>
      </c>
      <c r="H150" s="684">
        <f>IF(D150="na","na",Eqtn!$D$46/(D150*E150))</f>
        <v>8.101851851851849E-2</v>
      </c>
      <c r="I150" s="611">
        <f>IF(C150="na","na",IF(F150="na","na",Eqtn!$D$68*C150/F150))</f>
        <v>23.931623931623935</v>
      </c>
      <c r="J150" s="612">
        <f>IF(D150="na","na",IF(F150="na","na",Eqtn!$D$90/(D150*F150)))</f>
        <v>0.11079455523899964</v>
      </c>
      <c r="K150" s="124"/>
      <c r="L150" s="1062"/>
    </row>
    <row r="151" spans="1:12" s="284" customFormat="1" ht="13.9" customHeight="1" x14ac:dyDescent="0.25">
      <c r="A151" s="846">
        <f>Chem!A151</f>
        <v>149</v>
      </c>
      <c r="B151" s="916" t="str">
        <f>Chem!B151</f>
        <v>Benzaldehyde</v>
      </c>
      <c r="C151" s="909">
        <f>Param!O151</f>
        <v>0.1</v>
      </c>
      <c r="D151" s="394">
        <f>Param!V151</f>
        <v>4.0000000000000001E-3</v>
      </c>
      <c r="E151" s="675">
        <f>Param!AB151</f>
        <v>2</v>
      </c>
      <c r="F151" s="552" t="str">
        <f>Param!N151</f>
        <v>na</v>
      </c>
      <c r="G151" s="684">
        <f>IF(C151="na","na",(C151/E151)*Eqtn!$D$25)</f>
        <v>800</v>
      </c>
      <c r="H151" s="684">
        <f>IF(D151="na","na",Eqtn!$D$46/(D151*E151))</f>
        <v>10.937499999999998</v>
      </c>
      <c r="I151" s="611" t="str">
        <f>IF(C151="na","na",IF(F151="na","na",Eqtn!$D$68*C151/F151))</f>
        <v>na</v>
      </c>
      <c r="J151" s="612" t="str">
        <f>IF(D151="na","na",IF(F151="na","na",Eqtn!$D$90/(D151*F151)))</f>
        <v>na</v>
      </c>
      <c r="K151" s="124"/>
      <c r="L151" s="1062"/>
    </row>
    <row r="152" spans="1:12" s="284" customFormat="1" ht="13.9" customHeight="1" x14ac:dyDescent="0.25">
      <c r="A152" s="846">
        <f>Chem!A152</f>
        <v>150</v>
      </c>
      <c r="B152" s="916" t="str">
        <f>Chem!B152</f>
        <v>Benzene</v>
      </c>
      <c r="C152" s="909">
        <f>Param!O152</f>
        <v>4.0000000000000001E-3</v>
      </c>
      <c r="D152" s="384">
        <f>Param!V152</f>
        <v>5.5E-2</v>
      </c>
      <c r="E152" s="675">
        <f>Param!AB152</f>
        <v>2</v>
      </c>
      <c r="F152" s="552">
        <f>Param!N152</f>
        <v>5.2</v>
      </c>
      <c r="G152" s="684">
        <f>IF(C152="na","na",(C152/E152)*Eqtn!$D$25)</f>
        <v>32</v>
      </c>
      <c r="H152" s="684">
        <f>IF(D152="na","na",Eqtn!$D$46/(D152*E152))</f>
        <v>0.7954545454545453</v>
      </c>
      <c r="I152" s="611">
        <f>IF(C152="na","na",IF(F152="na","na",Eqtn!$D$68*C152/F152))</f>
        <v>552.26824457593693</v>
      </c>
      <c r="J152" s="612">
        <f>IF(D152="na","na",IF(F152="na","na",Eqtn!$D$90/(D152*F152)))</f>
        <v>6.2757755065447354</v>
      </c>
      <c r="K152" s="124"/>
      <c r="L152" s="1062"/>
    </row>
    <row r="153" spans="1:12" s="284" customFormat="1" ht="13.9" customHeight="1" x14ac:dyDescent="0.25">
      <c r="A153" s="846">
        <f>Chem!A153</f>
        <v>151</v>
      </c>
      <c r="B153" s="916" t="str">
        <f>Chem!B153</f>
        <v>Bromobenzene</v>
      </c>
      <c r="C153" s="909">
        <f>Param!O153</f>
        <v>8.0000000000000002E-3</v>
      </c>
      <c r="D153" s="384" t="str">
        <f>Param!V153</f>
        <v>na</v>
      </c>
      <c r="E153" s="675">
        <f>Param!AB153</f>
        <v>2</v>
      </c>
      <c r="F153" s="552" t="str">
        <f>Param!N153</f>
        <v>na</v>
      </c>
      <c r="G153" s="684">
        <f>IF(C153="na","na",(C153/E153)*Eqtn!$D$25)</f>
        <v>64</v>
      </c>
      <c r="H153" s="684" t="str">
        <f>IF(D153="na","na",Eqtn!$D$46/(D153*E153))</f>
        <v>na</v>
      </c>
      <c r="I153" s="611" t="str">
        <f>IF(C153="na","na",IF(F153="na","na",Eqtn!$D$68*C153/F153))</f>
        <v>na</v>
      </c>
      <c r="J153" s="612" t="str">
        <f>IF(D153="na","na",IF(F153="na","na",Eqtn!$D$90/(D153*F153)))</f>
        <v>na</v>
      </c>
      <c r="K153" s="124"/>
      <c r="L153" s="1062"/>
    </row>
    <row r="154" spans="1:12" s="284" customFormat="1" ht="13.9" customHeight="1" x14ac:dyDescent="0.25">
      <c r="A154" s="846">
        <f>Chem!A154</f>
        <v>152</v>
      </c>
      <c r="B154" s="916" t="str">
        <f>Chem!B154</f>
        <v>Bromochloromethane</v>
      </c>
      <c r="C154" s="909" t="str">
        <f>Param!O154</f>
        <v>na</v>
      </c>
      <c r="D154" s="384" t="str">
        <f>Param!V154</f>
        <v>na</v>
      </c>
      <c r="E154" s="675">
        <f>Param!AB154</f>
        <v>2</v>
      </c>
      <c r="F154" s="552" t="str">
        <f>Param!N154</f>
        <v>na</v>
      </c>
      <c r="G154" s="684" t="str">
        <f>IF(C154="na","na",(C154/E154)*Eqtn!$D$25)</f>
        <v>na</v>
      </c>
      <c r="H154" s="684" t="str">
        <f>IF(D154="na","na",Eqtn!$D$46/(D154*E154))</f>
        <v>na</v>
      </c>
      <c r="I154" s="611" t="str">
        <f>IF(C154="na","na",IF(F154="na","na",Eqtn!$D$68*C154/F154))</f>
        <v>na</v>
      </c>
      <c r="J154" s="612" t="str">
        <f>IF(D154="na","na",IF(F154="na","na",Eqtn!$D$90/(D154*F154)))</f>
        <v>na</v>
      </c>
      <c r="K154" s="124"/>
      <c r="L154" s="1062"/>
    </row>
    <row r="155" spans="1:12" s="284" customFormat="1" ht="13.9" customHeight="1" x14ac:dyDescent="0.25">
      <c r="A155" s="846">
        <f>Chem!A155</f>
        <v>153</v>
      </c>
      <c r="B155" s="916" t="str">
        <f>Chem!B155</f>
        <v>Bromoethane</v>
      </c>
      <c r="C155" s="909" t="str">
        <f>Param!O155</f>
        <v>na</v>
      </c>
      <c r="D155" s="384" t="str">
        <f>Param!V155</f>
        <v>na</v>
      </c>
      <c r="E155" s="675" t="str">
        <f>Param!AB155</f>
        <v>na</v>
      </c>
      <c r="F155" s="552" t="str">
        <f>Param!N155</f>
        <v>na</v>
      </c>
      <c r="G155" s="684" t="str">
        <f>IF(C155="na","na",(C155/E155)*Eqtn!$D$25)</f>
        <v>na</v>
      </c>
      <c r="H155" s="684" t="str">
        <f>IF(D155="na","na",Eqtn!$D$46/(D155*E155))</f>
        <v>na</v>
      </c>
      <c r="I155" s="611" t="str">
        <f>IF(C155="na","na",IF(F155="na","na",Eqtn!$D$68*C155/F155))</f>
        <v>na</v>
      </c>
      <c r="J155" s="612" t="str">
        <f>IF(D155="na","na",IF(F155="na","na",Eqtn!$D$90/(D155*F155)))</f>
        <v>na</v>
      </c>
      <c r="K155" s="124"/>
      <c r="L155" s="1062"/>
    </row>
    <row r="156" spans="1:12" s="284" customFormat="1" ht="13.9" customHeight="1" x14ac:dyDescent="0.25">
      <c r="A156" s="846">
        <f>Chem!A156</f>
        <v>154</v>
      </c>
      <c r="B156" s="916" t="str">
        <f>Chem!B156</f>
        <v>Bromoform</v>
      </c>
      <c r="C156" s="909">
        <f>Param!O156</f>
        <v>0.02</v>
      </c>
      <c r="D156" s="384">
        <f>Param!V156</f>
        <v>7.9000000000000008E-3</v>
      </c>
      <c r="E156" s="675">
        <f>Param!AB156</f>
        <v>2</v>
      </c>
      <c r="F156" s="552">
        <f>Param!N156</f>
        <v>3.75</v>
      </c>
      <c r="G156" s="684">
        <f>IF(C156="na","na",(C156/E156)*Eqtn!$D$25)</f>
        <v>160</v>
      </c>
      <c r="H156" s="684">
        <f>IF(D156="na","na",Eqtn!$D$46/(D156*E156))</f>
        <v>5.5379746835443022</v>
      </c>
      <c r="I156" s="611">
        <f>IF(C156="na","na",IF(F156="na","na",Eqtn!$D$68*C156/F156))</f>
        <v>3829.0598290598291</v>
      </c>
      <c r="J156" s="612">
        <f>IF(D156="na","na",IF(F156="na","na",Eqtn!$D$90/(D156*F156)))</f>
        <v>60.586389700313731</v>
      </c>
      <c r="K156" s="694"/>
      <c r="L156" s="1062"/>
    </row>
    <row r="157" spans="1:12" s="284" customFormat="1" ht="13.9" customHeight="1" x14ac:dyDescent="0.25">
      <c r="A157" s="846">
        <f>Chem!A157</f>
        <v>155</v>
      </c>
      <c r="B157" s="916" t="str">
        <f>Chem!B157</f>
        <v>Bromomethane</v>
      </c>
      <c r="C157" s="909">
        <f>Param!O157</f>
        <v>1.4E-3</v>
      </c>
      <c r="D157" s="384" t="str">
        <f>Param!V157</f>
        <v>na</v>
      </c>
      <c r="E157" s="675">
        <f>Param!AB157</f>
        <v>2</v>
      </c>
      <c r="F157" s="552">
        <f>Param!N157</f>
        <v>3.75</v>
      </c>
      <c r="G157" s="684">
        <f>IF(C157="na","na",(C157/E157)*Eqtn!$D$25)</f>
        <v>11.2</v>
      </c>
      <c r="H157" s="684" t="str">
        <f>IF(D157="na","na",Eqtn!$D$46/(D157*E157))</f>
        <v>na</v>
      </c>
      <c r="I157" s="611">
        <f>IF(C157="na","na",IF(F157="na","na",Eqtn!$D$68*C157/F157))</f>
        <v>268.03418803418805</v>
      </c>
      <c r="J157" s="612" t="str">
        <f>IF(D157="na","na",IF(F157="na","na",Eqtn!$D$90/(D157*F157)))</f>
        <v>na</v>
      </c>
      <c r="K157" s="124"/>
      <c r="L157" s="1062"/>
    </row>
    <row r="158" spans="1:12" s="284" customFormat="1" ht="13.9" customHeight="1" x14ac:dyDescent="0.25">
      <c r="A158" s="846">
        <f>Chem!A158</f>
        <v>156</v>
      </c>
      <c r="B158" s="916" t="str">
        <f>Chem!B158</f>
        <v>2-Butoxyethanol (EGBE)</v>
      </c>
      <c r="C158" s="909">
        <f>Param!O158</f>
        <v>0.1</v>
      </c>
      <c r="D158" s="384" t="str">
        <f>Param!V158</f>
        <v>na</v>
      </c>
      <c r="E158" s="675">
        <f>Param!AB158</f>
        <v>1</v>
      </c>
      <c r="F158" s="552" t="str">
        <f>Param!N158</f>
        <v>na</v>
      </c>
      <c r="G158" s="684">
        <f>IF(C158="na","na",(C158/E158)*Eqtn!$D$25)</f>
        <v>1600</v>
      </c>
      <c r="H158" s="684" t="str">
        <f>IF(D158="na","na",Eqtn!$D$46/(D158*E158))</f>
        <v>na</v>
      </c>
      <c r="I158" s="611" t="str">
        <f>IF(C158="na","na",IF(F158="na","na",Eqtn!$D$68*C158/F158))</f>
        <v>na</v>
      </c>
      <c r="J158" s="612" t="str">
        <f>IF(D158="na","na",IF(F158="na","na",Eqtn!$D$90/(D158*F158)))</f>
        <v>na</v>
      </c>
      <c r="K158" s="124"/>
      <c r="L158" s="1062"/>
    </row>
    <row r="159" spans="1:12" s="284" customFormat="1" ht="13.9" customHeight="1" x14ac:dyDescent="0.25">
      <c r="A159" s="846">
        <f>Chem!A159</f>
        <v>157</v>
      </c>
      <c r="B159" s="916" t="str">
        <f>Chem!B159</f>
        <v>n-Butylbenzene</v>
      </c>
      <c r="C159" s="909">
        <f>Param!O159</f>
        <v>0.05</v>
      </c>
      <c r="D159" s="384" t="str">
        <f>Param!V159</f>
        <v>na</v>
      </c>
      <c r="E159" s="675">
        <f>Param!AB159</f>
        <v>2</v>
      </c>
      <c r="F159" s="552" t="str">
        <f>Param!N159</f>
        <v>na</v>
      </c>
      <c r="G159" s="684">
        <f>IF(C159="na","na",(C159/E159)*Eqtn!$D$25)</f>
        <v>400</v>
      </c>
      <c r="H159" s="684" t="str">
        <f>IF(D159="na","na",Eqtn!$D$46/(D159*E159))</f>
        <v>na</v>
      </c>
      <c r="I159" s="611" t="str">
        <f>IF(C159="na","na",IF(F159="na","na",Eqtn!$D$68*C159/F159))</f>
        <v>na</v>
      </c>
      <c r="J159" s="612" t="str">
        <f>IF(D159="na","na",IF(F159="na","na",Eqtn!$D$90/(D159*F159)))</f>
        <v>na</v>
      </c>
      <c r="K159" s="124"/>
      <c r="L159" s="1062"/>
    </row>
    <row r="160" spans="1:12" s="284" customFormat="1" ht="13.9" customHeight="1" x14ac:dyDescent="0.25">
      <c r="A160" s="846">
        <f>Chem!A160</f>
        <v>158</v>
      </c>
      <c r="B160" s="916" t="str">
        <f>Chem!B160</f>
        <v>sec-Butylbenzene</v>
      </c>
      <c r="C160" s="909">
        <f>Param!O160</f>
        <v>0.1</v>
      </c>
      <c r="D160" s="384" t="str">
        <f>Param!V160</f>
        <v>na</v>
      </c>
      <c r="E160" s="675">
        <f>Param!AB160</f>
        <v>2</v>
      </c>
      <c r="F160" s="552" t="str">
        <f>Param!N160</f>
        <v>na</v>
      </c>
      <c r="G160" s="684">
        <f>IF(C160="na","na",(C160/E160)*Eqtn!$D$25)</f>
        <v>800</v>
      </c>
      <c r="H160" s="684" t="str">
        <f>IF(D160="na","na",Eqtn!$D$46/(D160*E160))</f>
        <v>na</v>
      </c>
      <c r="I160" s="611" t="str">
        <f>IF(C160="na","na",IF(F160="na","na",Eqtn!$D$68*C160/F160))</f>
        <v>na</v>
      </c>
      <c r="J160" s="612" t="str">
        <f>IF(D160="na","na",IF(F160="na","na",Eqtn!$D$90/(D160*F160)))</f>
        <v>na</v>
      </c>
      <c r="K160" s="124"/>
      <c r="L160" s="1062"/>
    </row>
    <row r="161" spans="1:12" s="284" customFormat="1" ht="13.9" customHeight="1" x14ac:dyDescent="0.25">
      <c r="A161" s="846">
        <f>Chem!A161</f>
        <v>159</v>
      </c>
      <c r="B161" s="916" t="str">
        <f>Chem!B161</f>
        <v>tert-Butylbenzene</v>
      </c>
      <c r="C161" s="909">
        <f>Param!O161</f>
        <v>0.1</v>
      </c>
      <c r="D161" s="384" t="str">
        <f>Param!V161</f>
        <v>na</v>
      </c>
      <c r="E161" s="675">
        <f>Param!AB161</f>
        <v>2</v>
      </c>
      <c r="F161" s="552" t="str">
        <f>Param!N161</f>
        <v>na</v>
      </c>
      <c r="G161" s="684">
        <f>IF(C161="na","na",(C161/E161)*Eqtn!$D$25)</f>
        <v>800</v>
      </c>
      <c r="H161" s="684" t="str">
        <f>IF(D161="na","na",Eqtn!$D$46/(D161*E161))</f>
        <v>na</v>
      </c>
      <c r="I161" s="611" t="str">
        <f>IF(C161="na","na",IF(F161="na","na",Eqtn!$D$68*C161/F161))</f>
        <v>na</v>
      </c>
      <c r="J161" s="612" t="str">
        <f>IF(D161="na","na",IF(F161="na","na",Eqtn!$D$90/(D161*F161)))</f>
        <v>na</v>
      </c>
      <c r="K161" s="124"/>
      <c r="L161" s="1062"/>
    </row>
    <row r="162" spans="1:12" s="284" customFormat="1" ht="13.9" customHeight="1" x14ac:dyDescent="0.25">
      <c r="A162" s="846">
        <f>Chem!A162</f>
        <v>160</v>
      </c>
      <c r="B162" s="916" t="str">
        <f>Chem!B162</f>
        <v>Carbon disulfide</v>
      </c>
      <c r="C162" s="909">
        <f>Param!O162</f>
        <v>0.1</v>
      </c>
      <c r="D162" s="384" t="str">
        <f>Param!V162</f>
        <v>na</v>
      </c>
      <c r="E162" s="675">
        <f>Param!AB162</f>
        <v>2</v>
      </c>
      <c r="F162" s="552" t="str">
        <f>Param!N162</f>
        <v>na</v>
      </c>
      <c r="G162" s="684">
        <f>IF(C162="na","na",(C162/E162)*Eqtn!$D$25)</f>
        <v>800</v>
      </c>
      <c r="H162" s="684" t="str">
        <f>IF(D162="na","na",Eqtn!$D$46/(D162*E162))</f>
        <v>na</v>
      </c>
      <c r="I162" s="611" t="str">
        <f>IF(C162="na","na",IF(F162="na","na",Eqtn!$D$68*C162/F162))</f>
        <v>na</v>
      </c>
      <c r="J162" s="612" t="str">
        <f>IF(D162="na","na",IF(F162="na","na",Eqtn!$D$90/(D162*F162)))</f>
        <v>na</v>
      </c>
      <c r="K162" s="124"/>
      <c r="L162" s="1062"/>
    </row>
    <row r="163" spans="1:12" s="284" customFormat="1" ht="13.9" customHeight="1" x14ac:dyDescent="0.25">
      <c r="A163" s="846">
        <f>Chem!A163</f>
        <v>161</v>
      </c>
      <c r="B163" s="916" t="str">
        <f>Chem!B163</f>
        <v>Carbon tetrachloride</v>
      </c>
      <c r="C163" s="909">
        <f>Param!O163</f>
        <v>4.0000000000000001E-3</v>
      </c>
      <c r="D163" s="384">
        <f>Param!V163</f>
        <v>7.0000000000000007E-2</v>
      </c>
      <c r="E163" s="675">
        <f>Param!AB163</f>
        <v>2</v>
      </c>
      <c r="F163" s="552">
        <f>Param!N163</f>
        <v>18.75</v>
      </c>
      <c r="G163" s="684">
        <f>IF(C163="na","na",(C163/E163)*Eqtn!$D$25)</f>
        <v>32</v>
      </c>
      <c r="H163" s="684">
        <f>IF(D163="na","na",Eqtn!$D$46/(D163*E163))</f>
        <v>0.62499999999999978</v>
      </c>
      <c r="I163" s="611">
        <f>IF(C163="na","na",IF(F163="na","na",Eqtn!$D$68*C163/F163))</f>
        <v>153.16239316239319</v>
      </c>
      <c r="J163" s="612">
        <f>IF(D163="na","na",IF(F163="na","na",Eqtn!$D$90/(D163*F163)))</f>
        <v>1.3675213675213671</v>
      </c>
      <c r="K163" s="124"/>
      <c r="L163" s="1062"/>
    </row>
    <row r="164" spans="1:12" s="284" customFormat="1" ht="13.9" customHeight="1" x14ac:dyDescent="0.25">
      <c r="A164" s="846">
        <f>Chem!A164</f>
        <v>162</v>
      </c>
      <c r="B164" s="916" t="str">
        <f>Chem!B164</f>
        <v>Chlorobenzene</v>
      </c>
      <c r="C164" s="909">
        <f>Param!O164</f>
        <v>0.02</v>
      </c>
      <c r="D164" s="384" t="str">
        <f>Param!V164</f>
        <v>na</v>
      </c>
      <c r="E164" s="675">
        <f>Param!AB164</f>
        <v>2</v>
      </c>
      <c r="F164" s="552">
        <f>Param!N164</f>
        <v>10.3</v>
      </c>
      <c r="G164" s="684">
        <f>IF(C164="na","na",(C164/E164)*Eqtn!$D$25)</f>
        <v>160</v>
      </c>
      <c r="H164" s="684" t="str">
        <f>IF(D164="na","na",Eqtn!$D$46/(D164*E164))</f>
        <v>na</v>
      </c>
      <c r="I164" s="611">
        <f>IF(C164="na","na",IF(F164="na","na",Eqtn!$D$68*C164/F164))</f>
        <v>1394.0751804829474</v>
      </c>
      <c r="J164" s="612" t="str">
        <f>IF(D164="na","na",IF(F164="na","na",Eqtn!$D$90/(D164*F164)))</f>
        <v>na</v>
      </c>
      <c r="K164" s="124"/>
      <c r="L164" s="1062"/>
    </row>
    <row r="165" spans="1:12" s="284" customFormat="1" ht="13.9" customHeight="1" x14ac:dyDescent="0.25">
      <c r="A165" s="846">
        <f>Chem!A165</f>
        <v>163</v>
      </c>
      <c r="B165" s="916" t="str">
        <f>Chem!B165</f>
        <v>Chloroethane</v>
      </c>
      <c r="C165" s="909" t="str">
        <f>Param!O165</f>
        <v>na</v>
      </c>
      <c r="D165" s="384" t="str">
        <f>Param!V165</f>
        <v>na</v>
      </c>
      <c r="E165" s="675">
        <f>Param!AB165</f>
        <v>2</v>
      </c>
      <c r="F165" s="552" t="str">
        <f>Param!N165</f>
        <v>na</v>
      </c>
      <c r="G165" s="684" t="str">
        <f>IF(C165="na","na",(C165/E165)*Eqtn!$D$25)</f>
        <v>na</v>
      </c>
      <c r="H165" s="684" t="str">
        <f>IF(D165="na","na",Eqtn!$D$46/(D165*E165))</f>
        <v>na</v>
      </c>
      <c r="I165" s="611" t="str">
        <f>IF(C165="na","na",IF(F165="na","na",Eqtn!$D$68*C165/F165))</f>
        <v>na</v>
      </c>
      <c r="J165" s="612" t="str">
        <f>IF(D165="na","na",IF(F165="na","na",Eqtn!$D$90/(D165*F165)))</f>
        <v>na</v>
      </c>
      <c r="K165" s="124"/>
      <c r="L165" s="1062"/>
    </row>
    <row r="166" spans="1:12" s="284" customFormat="1" ht="13.9" customHeight="1" x14ac:dyDescent="0.25">
      <c r="A166" s="846">
        <f>Chem!A166</f>
        <v>164</v>
      </c>
      <c r="B166" s="916" t="str">
        <f>Chem!B166</f>
        <v>2-Chloroethyl vinyl ether</v>
      </c>
      <c r="C166" s="909" t="str">
        <f>Param!O166</f>
        <v>na</v>
      </c>
      <c r="D166" s="384" t="str">
        <f>Param!V166</f>
        <v>na</v>
      </c>
      <c r="E166" s="675" t="str">
        <f>Param!AB166</f>
        <v>na</v>
      </c>
      <c r="F166" s="552" t="str">
        <f>Param!N166</f>
        <v>na</v>
      </c>
      <c r="G166" s="684" t="str">
        <f>IF(C166="na","na",(C166/E166)*Eqtn!$D$25)</f>
        <v>na</v>
      </c>
      <c r="H166" s="684" t="str">
        <f>IF(D166="na","na",Eqtn!$D$46/(D166*E166))</f>
        <v>na</v>
      </c>
      <c r="I166" s="611" t="str">
        <f>IF(C166="na","na",IF(F166="na","na",Eqtn!$D$68*C166/F166))</f>
        <v>na</v>
      </c>
      <c r="J166" s="612" t="str">
        <f>IF(D166="na","na",IF(F166="na","na",Eqtn!$D$90/(D166*F166)))</f>
        <v>na</v>
      </c>
      <c r="K166" s="124"/>
      <c r="L166" s="1062"/>
    </row>
    <row r="167" spans="1:12" s="284" customFormat="1" ht="13.9" customHeight="1" x14ac:dyDescent="0.25">
      <c r="A167" s="846">
        <f>Chem!A167</f>
        <v>165</v>
      </c>
      <c r="B167" s="916" t="str">
        <f>Chem!B167</f>
        <v>Chloroform</v>
      </c>
      <c r="C167" s="909">
        <f>Param!O167</f>
        <v>0.01</v>
      </c>
      <c r="D167" s="384">
        <f>Param!V167</f>
        <v>3.1E-2</v>
      </c>
      <c r="E167" s="675">
        <f>Param!AB167</f>
        <v>2</v>
      </c>
      <c r="F167" s="552">
        <f>Param!N167</f>
        <v>3.75</v>
      </c>
      <c r="G167" s="684">
        <f>IF(C167="na","na",(C167/E167)*Eqtn!$D$25)</f>
        <v>80</v>
      </c>
      <c r="H167" s="684">
        <f>IF(D167="na","na",Eqtn!$D$46/(D167*E167))</f>
        <v>1.4112903225806448</v>
      </c>
      <c r="I167" s="611">
        <f>IF(C167="na","na",IF(F167="na","na",Eqtn!$D$68*C167/F167))</f>
        <v>1914.5299145299145</v>
      </c>
      <c r="J167" s="612">
        <f>IF(D167="na","na",IF(F167="na","na",Eqtn!$D$90/(D167*F167)))</f>
        <v>15.439757375241244</v>
      </c>
      <c r="K167" s="124"/>
      <c r="L167" s="1062"/>
    </row>
    <row r="168" spans="1:12" s="284" customFormat="1" ht="13.9" customHeight="1" x14ac:dyDescent="0.25">
      <c r="A168" s="846">
        <f>Chem!A168</f>
        <v>166</v>
      </c>
      <c r="B168" s="916" t="str">
        <f>Chem!B168</f>
        <v>Chloromethane</v>
      </c>
      <c r="C168" s="909" t="str">
        <f>Param!O168</f>
        <v>na</v>
      </c>
      <c r="D168" s="384" t="str">
        <f>Param!V168</f>
        <v>na</v>
      </c>
      <c r="E168" s="675">
        <f>Param!AB168</f>
        <v>2</v>
      </c>
      <c r="F168" s="552">
        <f>Param!N168</f>
        <v>3.75</v>
      </c>
      <c r="G168" s="684" t="str">
        <f>IF(C168="na","na",(C168/E168)*Eqtn!$D$25)</f>
        <v>na</v>
      </c>
      <c r="H168" s="684" t="str">
        <f>IF(D168="na","na",Eqtn!$D$46/(D168*E168))</f>
        <v>na</v>
      </c>
      <c r="I168" s="611" t="str">
        <f>IF(C168="na","na",IF(F168="na","na",Eqtn!$D$68*C168/F168))</f>
        <v>na</v>
      </c>
      <c r="J168" s="612" t="str">
        <f>IF(D168="na","na",IF(F168="na","na",Eqtn!$D$90/(D168*F168)))</f>
        <v>na</v>
      </c>
      <c r="K168" s="124"/>
      <c r="L168" s="1062"/>
    </row>
    <row r="169" spans="1:12" s="284" customFormat="1" ht="13.9" customHeight="1" x14ac:dyDescent="0.25">
      <c r="A169" s="846">
        <f>Chem!A169</f>
        <v>167</v>
      </c>
      <c r="B169" s="916" t="str">
        <f>Chem!B169</f>
        <v>3-Chloro-1-propene (allyl chloride)</v>
      </c>
      <c r="C169" s="909" t="str">
        <f>Param!O169</f>
        <v>na</v>
      </c>
      <c r="D169" s="384">
        <f>Param!V169</f>
        <v>2.1000000000000001E-2</v>
      </c>
      <c r="E169" s="675">
        <f>Param!AB169</f>
        <v>2</v>
      </c>
      <c r="F169" s="552" t="str">
        <f>Param!N169</f>
        <v>na</v>
      </c>
      <c r="G169" s="684" t="str">
        <f>IF(C169="na","na",(C169/E169)*Eqtn!$D$25)</f>
        <v>na</v>
      </c>
      <c r="H169" s="684">
        <f>IF(D169="na","na",Eqtn!$D$46/(D169*E169))</f>
        <v>2.0833333333333326</v>
      </c>
      <c r="I169" s="611" t="str">
        <f>IF(C169="na","na",IF(F169="na","na",Eqtn!$D$68*C169/F169))</f>
        <v>na</v>
      </c>
      <c r="J169" s="612" t="str">
        <f>IF(D169="na","na",IF(F169="na","na",Eqtn!$D$90/(D169*F169)))</f>
        <v>na</v>
      </c>
      <c r="K169" s="124"/>
      <c r="L169" s="1062"/>
    </row>
    <row r="170" spans="1:12" s="284" customFormat="1" ht="13.9" customHeight="1" x14ac:dyDescent="0.25">
      <c r="A170" s="846">
        <f>Chem!A170</f>
        <v>168</v>
      </c>
      <c r="B170" s="916" t="str">
        <f>Chem!B170</f>
        <v>2-Chlorotoluene</v>
      </c>
      <c r="C170" s="909">
        <f>Param!O170</f>
        <v>0.02</v>
      </c>
      <c r="D170" s="384" t="str">
        <f>Param!V170</f>
        <v>na</v>
      </c>
      <c r="E170" s="675">
        <f>Param!AB170</f>
        <v>2</v>
      </c>
      <c r="F170" s="552" t="str">
        <f>Param!N170</f>
        <v>na</v>
      </c>
      <c r="G170" s="684">
        <f>IF(C170="na","na",(C170/E170)*Eqtn!$D$25)</f>
        <v>160</v>
      </c>
      <c r="H170" s="684" t="str">
        <f>IF(D170="na","na",Eqtn!$D$46/(D170*E170))</f>
        <v>na</v>
      </c>
      <c r="I170" s="611" t="str">
        <f>IF(C170="na","na",IF(F170="na","na",Eqtn!$D$68*C170/F170))</f>
        <v>na</v>
      </c>
      <c r="J170" s="612" t="str">
        <f>IF(D170="na","na",IF(F170="na","na",Eqtn!$D$90/(D170*F170)))</f>
        <v>na</v>
      </c>
      <c r="K170" s="124"/>
      <c r="L170" s="1062"/>
    </row>
    <row r="171" spans="1:12" s="284" customFormat="1" ht="13.9" customHeight="1" x14ac:dyDescent="0.25">
      <c r="A171" s="846">
        <f>Chem!A171</f>
        <v>169</v>
      </c>
      <c r="B171" s="916" t="str">
        <f>Chem!B171</f>
        <v>4-Chlorotoluene</v>
      </c>
      <c r="C171" s="909">
        <f>Param!O171</f>
        <v>0.02</v>
      </c>
      <c r="D171" s="384" t="str">
        <f>Param!V171</f>
        <v>na</v>
      </c>
      <c r="E171" s="675">
        <f>Param!AB171</f>
        <v>2</v>
      </c>
      <c r="F171" s="552" t="str">
        <f>Param!N171</f>
        <v>na</v>
      </c>
      <c r="G171" s="684">
        <f>IF(C171="na","na",(C171/E171)*Eqtn!$D$25)</f>
        <v>160</v>
      </c>
      <c r="H171" s="684" t="str">
        <f>IF(D171="na","na",Eqtn!$D$46/(D171*E171))</f>
        <v>na</v>
      </c>
      <c r="I171" s="611" t="str">
        <f>IF(C171="na","na",IF(F171="na","na",Eqtn!$D$68*C171/F171))</f>
        <v>na</v>
      </c>
      <c r="J171" s="612" t="str">
        <f>IF(D171="na","na",IF(F171="na","na",Eqtn!$D$90/(D171*F171)))</f>
        <v>na</v>
      </c>
      <c r="K171" s="124"/>
      <c r="L171" s="1062"/>
    </row>
    <row r="172" spans="1:12" s="284" customFormat="1" ht="13.9" customHeight="1" x14ac:dyDescent="0.25">
      <c r="A172" s="846">
        <f>Chem!A172</f>
        <v>170</v>
      </c>
      <c r="B172" s="916" t="str">
        <f>Chem!B172</f>
        <v>Dibromochloromethane</v>
      </c>
      <c r="C172" s="909">
        <f>Param!O172</f>
        <v>0.02</v>
      </c>
      <c r="D172" s="384">
        <f>Param!V172</f>
        <v>8.4000000000000005E-2</v>
      </c>
      <c r="E172" s="675">
        <f>Param!AB172</f>
        <v>2</v>
      </c>
      <c r="F172" s="552">
        <f>Param!N172</f>
        <v>3.75</v>
      </c>
      <c r="G172" s="684">
        <f>IF(C172="na","na",(C172/E172)*Eqtn!$D$25)</f>
        <v>160</v>
      </c>
      <c r="H172" s="684">
        <f>IF(D172="na","na",Eqtn!$D$46/(D172*E172))</f>
        <v>0.52083333333333315</v>
      </c>
      <c r="I172" s="611">
        <f>IF(C172="na","na",IF(F172="na","na",Eqtn!$D$68*C172/F172))</f>
        <v>3829.0598290598291</v>
      </c>
      <c r="J172" s="612">
        <f>IF(D172="na","na",IF(F172="na","na",Eqtn!$D$90/(D172*F172)))</f>
        <v>5.698005698005697</v>
      </c>
      <c r="K172" s="124"/>
      <c r="L172" s="1062"/>
    </row>
    <row r="173" spans="1:12" s="284" customFormat="1" ht="13.9" customHeight="1" x14ac:dyDescent="0.25">
      <c r="A173" s="846">
        <f>Chem!A173</f>
        <v>171</v>
      </c>
      <c r="B173" s="1843" t="str">
        <f>Chem!B173</f>
        <v>1,2-Dibromo-3-chloropropane</v>
      </c>
      <c r="C173" s="909">
        <f>Param!O173</f>
        <v>2.0000000000000001E-4</v>
      </c>
      <c r="D173" s="384">
        <f>Param!V173</f>
        <v>0.8</v>
      </c>
      <c r="E173" s="675">
        <f>Param!AB173</f>
        <v>2</v>
      </c>
      <c r="F173" s="552" t="str">
        <f>Param!N173</f>
        <v>na</v>
      </c>
      <c r="G173" s="684">
        <f>IF(C173="na","na",(C173/E173)*Eqtn!$D$25)</f>
        <v>1.6</v>
      </c>
      <c r="H173" s="694">
        <v>1.4E-2</v>
      </c>
      <c r="I173" s="611" t="str">
        <f>IF(C173="na","na",IF(F173="na","na",Eqtn!$D$68*C173/F173))</f>
        <v>na</v>
      </c>
      <c r="J173" s="612" t="str">
        <f>IF(D173="na","na",IF(F173="na","na",Eqtn!$D$90/(D173*F173)))</f>
        <v>na</v>
      </c>
      <c r="K173" s="124"/>
      <c r="L173" s="1062"/>
    </row>
    <row r="174" spans="1:12" s="284" customFormat="1" ht="13.9" customHeight="1" x14ac:dyDescent="0.25">
      <c r="A174" s="846">
        <f>Chem!A174</f>
        <v>172</v>
      </c>
      <c r="B174" s="916" t="str">
        <f>Chem!B174</f>
        <v>Dibromomethane</v>
      </c>
      <c r="C174" s="909">
        <f>Param!O174</f>
        <v>0.01</v>
      </c>
      <c r="D174" s="384" t="str">
        <f>Param!V174</f>
        <v>na</v>
      </c>
      <c r="E174" s="675">
        <f>Param!AB174</f>
        <v>2</v>
      </c>
      <c r="F174" s="552" t="str">
        <f>Param!N174</f>
        <v>na</v>
      </c>
      <c r="G174" s="684">
        <f>IF(C174="na","na",(C174/E174)*Eqtn!$D$25)</f>
        <v>80</v>
      </c>
      <c r="H174" s="684" t="str">
        <f>IF(D174="na","na",Eqtn!$D$46/(D174*E174))</f>
        <v>na</v>
      </c>
      <c r="I174" s="611" t="str">
        <f>IF(C174="na","na",IF(F174="na","na",Eqtn!$D$68*C174/F174))</f>
        <v>na</v>
      </c>
      <c r="J174" s="612" t="str">
        <f>IF(D174="na","na",IF(F174="na","na",Eqtn!$D$90/(D174*F174)))</f>
        <v>na</v>
      </c>
      <c r="K174" s="124"/>
      <c r="L174" s="1062"/>
    </row>
    <row r="175" spans="1:12" s="284" customFormat="1" ht="13.9" customHeight="1" x14ac:dyDescent="0.25">
      <c r="A175" s="846">
        <f>Chem!A175</f>
        <v>173</v>
      </c>
      <c r="B175" s="916" t="str">
        <f>Chem!B175</f>
        <v>Dichlorobromomethane</v>
      </c>
      <c r="C175" s="909">
        <f>Param!O175</f>
        <v>0.02</v>
      </c>
      <c r="D175" s="384">
        <f>Param!V175</f>
        <v>6.2E-2</v>
      </c>
      <c r="E175" s="675">
        <f>Param!AB175</f>
        <v>2</v>
      </c>
      <c r="F175" s="552">
        <f>Param!N175</f>
        <v>3.75</v>
      </c>
      <c r="G175" s="684">
        <f>IF(C175="na","na",(C175/E175)*Eqtn!$D$25)</f>
        <v>160</v>
      </c>
      <c r="H175" s="684">
        <f>IF(D175="na","na",Eqtn!$D$46/(D175*E175))</f>
        <v>0.7056451612903224</v>
      </c>
      <c r="I175" s="611">
        <f>IF(C175="na","na",IF(F175="na","na",Eqtn!$D$68*C175/F175))</f>
        <v>3829.0598290598291</v>
      </c>
      <c r="J175" s="612">
        <f>IF(D175="na","na",IF(F175="na","na",Eqtn!$D$90/(D175*F175)))</f>
        <v>7.7198786876206222</v>
      </c>
      <c r="K175" s="124"/>
      <c r="L175" s="1062"/>
    </row>
    <row r="176" spans="1:12" s="284" customFormat="1" ht="13.9" customHeight="1" x14ac:dyDescent="0.25">
      <c r="A176" s="846">
        <f>Chem!A176</f>
        <v>174</v>
      </c>
      <c r="B176" s="916" t="str">
        <f>Chem!B176</f>
        <v>trans-1,4-Dichloro-2-butene</v>
      </c>
      <c r="C176" s="909" t="str">
        <f>Param!O176</f>
        <v>na</v>
      </c>
      <c r="D176" s="384" t="str">
        <f>Param!V176</f>
        <v>na</v>
      </c>
      <c r="E176" s="675">
        <f>Param!AB176</f>
        <v>2</v>
      </c>
      <c r="F176" s="552" t="str">
        <f>Param!N176</f>
        <v>na</v>
      </c>
      <c r="G176" s="684" t="str">
        <f>IF(C176="na","na",(C176/E176)*Eqtn!$D$25)</f>
        <v>na</v>
      </c>
      <c r="H176" s="684" t="str">
        <f>IF(D176="na","na",Eqtn!$D$46/(D176*E176))</f>
        <v>na</v>
      </c>
      <c r="I176" s="611" t="str">
        <f>IF(C176="na","na",IF(F176="na","na",Eqtn!$D$68*C176/F176))</f>
        <v>na</v>
      </c>
      <c r="J176" s="612" t="str">
        <f>IF(D176="na","na",IF(F176="na","na",Eqtn!$D$90/(D176*F176)))</f>
        <v>na</v>
      </c>
      <c r="K176" s="124"/>
      <c r="L176" s="1062"/>
    </row>
    <row r="177" spans="1:12" s="284" customFormat="1" ht="13.9" customHeight="1" x14ac:dyDescent="0.25">
      <c r="A177" s="846">
        <f>Chem!A177</f>
        <v>175</v>
      </c>
      <c r="B177" s="916" t="str">
        <f>Chem!B177</f>
        <v>Dichlorodifluoromethane</v>
      </c>
      <c r="C177" s="909">
        <f>Param!O177</f>
        <v>0.2</v>
      </c>
      <c r="D177" s="394" t="str">
        <f>Param!V177</f>
        <v>na</v>
      </c>
      <c r="E177" s="675">
        <f>Param!AB177</f>
        <v>2</v>
      </c>
      <c r="F177" s="552" t="str">
        <f>Param!N177</f>
        <v>na</v>
      </c>
      <c r="G177" s="684">
        <f>IF(C177="na","na",(C177/E177)*Eqtn!$D$25)</f>
        <v>1600</v>
      </c>
      <c r="H177" s="684" t="str">
        <f>IF(D177="na","na",Eqtn!$D$46/(D177*E177))</f>
        <v>na</v>
      </c>
      <c r="I177" s="611" t="str">
        <f>IF(C177="na","na",IF(F177="na","na",Eqtn!$D$68*C177/F177))</f>
        <v>na</v>
      </c>
      <c r="J177" s="612" t="str">
        <f>IF(D177="na","na",IF(F177="na","na",Eqtn!$D$90/(D177*F177)))</f>
        <v>na</v>
      </c>
      <c r="K177" s="124"/>
      <c r="L177" s="1062"/>
    </row>
    <row r="178" spans="1:12" s="284" customFormat="1" ht="13.9" customHeight="1" x14ac:dyDescent="0.25">
      <c r="A178" s="846">
        <f>Chem!A178</f>
        <v>176</v>
      </c>
      <c r="B178" s="916" t="str">
        <f>Chem!B178</f>
        <v>1,1-Dichloroethane</v>
      </c>
      <c r="C178" s="909">
        <f>Param!O178</f>
        <v>0.2</v>
      </c>
      <c r="D178" s="384">
        <f>Param!V178</f>
        <v>5.7000000000000002E-3</v>
      </c>
      <c r="E178" s="675">
        <f>Param!AB178</f>
        <v>2</v>
      </c>
      <c r="F178" s="552" t="str">
        <f>Param!N178</f>
        <v>na</v>
      </c>
      <c r="G178" s="684">
        <f>IF(C178="na","na",(C178/E178)*Eqtn!$D$25)</f>
        <v>1600</v>
      </c>
      <c r="H178" s="684">
        <f>IF(D178="na","na",Eqtn!$D$46/(D178*E178))</f>
        <v>7.675438596491226</v>
      </c>
      <c r="I178" s="611" t="str">
        <f>IF(C178="na","na",IF(F178="na","na",Eqtn!$D$68*C178/F178))</f>
        <v>na</v>
      </c>
      <c r="J178" s="612" t="str">
        <f>IF(D178="na","na",IF(F178="na","na",Eqtn!$D$90/(D178*F178)))</f>
        <v>na</v>
      </c>
      <c r="K178" s="124"/>
      <c r="L178" s="1062"/>
    </row>
    <row r="179" spans="1:12" s="284" customFormat="1" ht="13.9" customHeight="1" x14ac:dyDescent="0.25">
      <c r="A179" s="846">
        <f>Chem!A179</f>
        <v>177</v>
      </c>
      <c r="B179" s="916" t="str">
        <f>Chem!B179</f>
        <v>1,2-Dichloroethane (EDC)</v>
      </c>
      <c r="C179" s="909">
        <f>Param!O179</f>
        <v>6.0000000000000001E-3</v>
      </c>
      <c r="D179" s="384">
        <f>Param!V179</f>
        <v>9.0999999999999998E-2</v>
      </c>
      <c r="E179" s="675">
        <f>Param!AB179</f>
        <v>2</v>
      </c>
      <c r="F179" s="552">
        <f>Param!N179</f>
        <v>1.2</v>
      </c>
      <c r="G179" s="684">
        <f>IF(C179="na","na",(C179/E179)*Eqtn!$D$25)</f>
        <v>48</v>
      </c>
      <c r="H179" s="684">
        <f>IF(D179="na","na",Eqtn!$D$46/(D179*E179))</f>
        <v>0.48076923076923067</v>
      </c>
      <c r="I179" s="611">
        <f>IF(C179="na","na",IF(F179="na","na",Eqtn!$D$68*C179/F179))</f>
        <v>3589.7435897435898</v>
      </c>
      <c r="J179" s="612">
        <f>IF(D179="na","na",IF(F179="na","na",Eqtn!$D$90/(D179*F179)))</f>
        <v>16.436554898093359</v>
      </c>
      <c r="K179" s="124"/>
      <c r="L179" s="1062"/>
    </row>
    <row r="180" spans="1:12" s="284" customFormat="1" ht="13.9" customHeight="1" x14ac:dyDescent="0.25">
      <c r="A180" s="846">
        <f>Chem!A180</f>
        <v>178</v>
      </c>
      <c r="B180" s="916" t="str">
        <f>Chem!B180</f>
        <v>1,1-Dichloroethylene</v>
      </c>
      <c r="C180" s="909">
        <f>Param!O180</f>
        <v>0.05</v>
      </c>
      <c r="D180" s="384" t="str">
        <f>Param!V180</f>
        <v>na</v>
      </c>
      <c r="E180" s="675">
        <f>Param!AB180</f>
        <v>2</v>
      </c>
      <c r="F180" s="552">
        <f>Param!N180</f>
        <v>5.6</v>
      </c>
      <c r="G180" s="684">
        <f>IF(C180="na","na",(C180/E180)*Eqtn!$D$25)</f>
        <v>400</v>
      </c>
      <c r="H180" s="684" t="str">
        <f>IF(D180="na","na",Eqtn!$D$46/(D180*E180))</f>
        <v>na</v>
      </c>
      <c r="I180" s="611">
        <f>IF(C180="na","na",IF(F180="na","na",Eqtn!$D$68*C180/F180))</f>
        <v>6410.2564102564111</v>
      </c>
      <c r="J180" s="612" t="str">
        <f>IF(D180="na","na",IF(F180="na","na",Eqtn!$D$90/(D180*F180)))</f>
        <v>na</v>
      </c>
      <c r="K180" s="124"/>
      <c r="L180" s="1062"/>
    </row>
    <row r="181" spans="1:12" s="284" customFormat="1" ht="13.9" customHeight="1" x14ac:dyDescent="0.25">
      <c r="A181" s="846">
        <f>Chem!A181</f>
        <v>179</v>
      </c>
      <c r="B181" s="916" t="str">
        <f>Chem!B181</f>
        <v>cis-1,2-Dichloroethylene</v>
      </c>
      <c r="C181" s="909">
        <f>Param!O181</f>
        <v>2E-3</v>
      </c>
      <c r="D181" s="384" t="str">
        <f>Param!V181</f>
        <v>na</v>
      </c>
      <c r="E181" s="675">
        <f>Param!AB181</f>
        <v>2</v>
      </c>
      <c r="F181" s="552" t="str">
        <f>Param!N181</f>
        <v>na</v>
      </c>
      <c r="G181" s="684">
        <f>IF(C181="na","na",(C181/E181)*Eqtn!$D$25)</f>
        <v>16</v>
      </c>
      <c r="H181" s="684" t="str">
        <f>IF(D181="na","na",Eqtn!$D$46/(D181*E181))</f>
        <v>na</v>
      </c>
      <c r="I181" s="611" t="str">
        <f>IF(C181="na","na",IF(F181="na","na",Eqtn!$D$68*C181/F181))</f>
        <v>na</v>
      </c>
      <c r="J181" s="612" t="str">
        <f>IF(D181="na","na",IF(F181="na","na",Eqtn!$D$90/(D181*F181)))</f>
        <v>na</v>
      </c>
      <c r="K181" s="124"/>
      <c r="L181" s="1062"/>
    </row>
    <row r="182" spans="1:12" s="284" customFormat="1" ht="13.9" customHeight="1" x14ac:dyDescent="0.25">
      <c r="A182" s="846">
        <f>Chem!A182</f>
        <v>180</v>
      </c>
      <c r="B182" s="916" t="str">
        <f>Chem!B182</f>
        <v>trans-1,2-Dichloroethylene</v>
      </c>
      <c r="C182" s="909">
        <f>Param!O182</f>
        <v>0.02</v>
      </c>
      <c r="D182" s="384" t="str">
        <f>Param!V182</f>
        <v>na</v>
      </c>
      <c r="E182" s="675">
        <f>Param!AB182</f>
        <v>2</v>
      </c>
      <c r="F182" s="552">
        <f>Param!N182</f>
        <v>1.58</v>
      </c>
      <c r="G182" s="684">
        <f>IF(C182="na","na",(C182/E182)*Eqtn!$D$25)</f>
        <v>160</v>
      </c>
      <c r="H182" s="684" t="str">
        <f>IF(D182="na","na",Eqtn!$D$46/(D182*E182))</f>
        <v>na</v>
      </c>
      <c r="I182" s="611">
        <f>IF(C182="na","na",IF(F182="na","na",Eqtn!$D$68*C182/F182))</f>
        <v>9087.9584550470627</v>
      </c>
      <c r="J182" s="612" t="str">
        <f>IF(D182="na","na",IF(F182="na","na",Eqtn!$D$90/(D182*F182)))</f>
        <v>na</v>
      </c>
      <c r="K182" s="124"/>
      <c r="L182" s="1062"/>
    </row>
    <row r="183" spans="1:12" s="284" customFormat="1" ht="13.9" customHeight="1" x14ac:dyDescent="0.25">
      <c r="A183" s="846">
        <f>Chem!A183</f>
        <v>181</v>
      </c>
      <c r="B183" s="916" t="str">
        <f>Chem!B183</f>
        <v>1,2-Dichloroethylene (mixed isomers)</v>
      </c>
      <c r="C183" s="909" t="str">
        <f>Param!O183</f>
        <v>na</v>
      </c>
      <c r="D183" s="384" t="str">
        <f>Param!V183</f>
        <v>na</v>
      </c>
      <c r="E183" s="675" t="str">
        <f>Param!AB183</f>
        <v>na</v>
      </c>
      <c r="F183" s="552" t="str">
        <f>Param!N183</f>
        <v>na</v>
      </c>
      <c r="G183" s="684" t="str">
        <f>IF(C183="na","na",(C183/E183)*Eqtn!$D$25)</f>
        <v>na</v>
      </c>
      <c r="H183" s="684" t="str">
        <f>IF(D183="na","na",Eqtn!$D$46/(D183*E183))</f>
        <v>na</v>
      </c>
      <c r="I183" s="611" t="str">
        <f>IF(C183="na","na",IF(F183="na","na",Eqtn!$D$68*C183/F183))</f>
        <v>na</v>
      </c>
      <c r="J183" s="612" t="str">
        <f>IF(D183="na","na",IF(F183="na","na",Eqtn!$D$90/(D183*F183)))</f>
        <v>na</v>
      </c>
      <c r="K183" s="124"/>
      <c r="L183" s="1062"/>
    </row>
    <row r="184" spans="1:12" s="284" customFormat="1" ht="13.9" customHeight="1" x14ac:dyDescent="0.25">
      <c r="A184" s="846">
        <f>Chem!A184</f>
        <v>182</v>
      </c>
      <c r="B184" s="916" t="str">
        <f>Chem!B184</f>
        <v>1,2-Dichloropropane</v>
      </c>
      <c r="C184" s="909">
        <f>Param!O184</f>
        <v>0.04</v>
      </c>
      <c r="D184" s="384">
        <f>Param!V184</f>
        <v>3.6999999999999998E-2</v>
      </c>
      <c r="E184" s="675">
        <f>Param!AB184</f>
        <v>2</v>
      </c>
      <c r="F184" s="552">
        <f>Param!N184</f>
        <v>4.1100000000000003</v>
      </c>
      <c r="G184" s="684">
        <f>IF(C184="na","na",(C184/E184)*Eqtn!$D$25)</f>
        <v>320</v>
      </c>
      <c r="H184" s="684">
        <f>IF(D184="na","na",Eqtn!$D$46/(D184*E184))</f>
        <v>1.1824324324324322</v>
      </c>
      <c r="I184" s="611">
        <f>IF(C184="na","na",IF(F184="na","na",Eqtn!$D$68*C184/F184))</f>
        <v>6987.3354544887388</v>
      </c>
      <c r="J184" s="612">
        <f>IF(D184="na","na",IF(F184="na","na",Eqtn!$D$90/(D184*F184)))</f>
        <v>11.802931510960704</v>
      </c>
      <c r="K184" s="124"/>
      <c r="L184" s="1062"/>
    </row>
    <row r="185" spans="1:12" s="284" customFormat="1" ht="13.9" customHeight="1" x14ac:dyDescent="0.25">
      <c r="A185" s="846">
        <f>Chem!A185</f>
        <v>183</v>
      </c>
      <c r="B185" s="916" t="str">
        <f>Chem!B185</f>
        <v>1,3-Dichloropropane</v>
      </c>
      <c r="C185" s="909">
        <f>Param!O185</f>
        <v>0.02</v>
      </c>
      <c r="D185" s="384" t="str">
        <f>Param!V185</f>
        <v>na</v>
      </c>
      <c r="E185" s="675">
        <f>Param!AB185</f>
        <v>2</v>
      </c>
      <c r="F185" s="552" t="str">
        <f>Param!N185</f>
        <v>na</v>
      </c>
      <c r="G185" s="684">
        <f>IF(C185="na","na",(C185/E185)*Eqtn!$D$25)</f>
        <v>160</v>
      </c>
      <c r="H185" s="684" t="str">
        <f>IF(D185="na","na",Eqtn!$D$46/(D185*E185))</f>
        <v>na</v>
      </c>
      <c r="I185" s="611" t="str">
        <f>IF(C185="na","na",IF(F185="na","na",Eqtn!$D$68*C185/F185))</f>
        <v>na</v>
      </c>
      <c r="J185" s="612" t="str">
        <f>IF(D185="na","na",IF(F185="na","na",Eqtn!$D$90/(D185*F185)))</f>
        <v>na</v>
      </c>
      <c r="K185" s="124"/>
      <c r="L185" s="1062"/>
    </row>
    <row r="186" spans="1:12" s="284" customFormat="1" ht="13.9" customHeight="1" x14ac:dyDescent="0.25">
      <c r="A186" s="846">
        <f>Chem!A186</f>
        <v>184</v>
      </c>
      <c r="B186" s="916" t="str">
        <f>Chem!B186</f>
        <v>2,2-Dichloropropane</v>
      </c>
      <c r="C186" s="909" t="str">
        <f>Param!O186</f>
        <v>na</v>
      </c>
      <c r="D186" s="384" t="str">
        <f>Param!V186</f>
        <v>na</v>
      </c>
      <c r="E186" s="675" t="str">
        <f>Param!AB186</f>
        <v>na</v>
      </c>
      <c r="F186" s="552" t="str">
        <f>Param!N186</f>
        <v>na</v>
      </c>
      <c r="G186" s="684" t="str">
        <f>IF(C186="na","na",(C186/E186)*Eqtn!$D$25)</f>
        <v>na</v>
      </c>
      <c r="H186" s="684" t="str">
        <f>IF(D186="na","na",Eqtn!$D$46/(D186*E186))</f>
        <v>na</v>
      </c>
      <c r="I186" s="611" t="str">
        <f>IF(C186="na","na",IF(F186="na","na",Eqtn!$D$68*C186/F186))</f>
        <v>na</v>
      </c>
      <c r="J186" s="612" t="str">
        <f>IF(D186="na","na",IF(F186="na","na",Eqtn!$D$90/(D186*F186)))</f>
        <v>na</v>
      </c>
      <c r="K186" s="124"/>
      <c r="L186" s="1062"/>
    </row>
    <row r="187" spans="1:12" s="284" customFormat="1" ht="13.9" customHeight="1" x14ac:dyDescent="0.25">
      <c r="A187" s="846">
        <f>Chem!A187</f>
        <v>185</v>
      </c>
      <c r="B187" s="916" t="str">
        <f>Chem!B187</f>
        <v>1,1-Dichloropropene</v>
      </c>
      <c r="C187" s="909" t="str">
        <f>Param!O187</f>
        <v>na</v>
      </c>
      <c r="D187" s="384" t="str">
        <f>Param!V187</f>
        <v>na</v>
      </c>
      <c r="E187" s="675" t="str">
        <f>Param!AB187</f>
        <v>na</v>
      </c>
      <c r="F187" s="552" t="str">
        <f>Param!N187</f>
        <v>na</v>
      </c>
      <c r="G187" s="684" t="str">
        <f>IF(C187="na","na",(C187/E187)*Eqtn!$D$25)</f>
        <v>na</v>
      </c>
      <c r="H187" s="684" t="str">
        <f>IF(D187="na","na",Eqtn!$D$46/(D187*E187))</f>
        <v>na</v>
      </c>
      <c r="I187" s="611" t="str">
        <f>IF(C187="na","na",IF(F187="na","na",Eqtn!$D$68*C187/F187))</f>
        <v>na</v>
      </c>
      <c r="J187" s="612" t="str">
        <f>IF(D187="na","na",IF(F187="na","na",Eqtn!$D$90/(D187*F187)))</f>
        <v>na</v>
      </c>
      <c r="K187" s="124"/>
      <c r="L187" s="1062"/>
    </row>
    <row r="188" spans="1:12" s="284" customFormat="1" ht="13.9" customHeight="1" x14ac:dyDescent="0.25">
      <c r="A188" s="846">
        <f>Chem!A188</f>
        <v>186</v>
      </c>
      <c r="B188" s="916" t="str">
        <f>Chem!B188</f>
        <v>cis-1,3-Dichloropropene</v>
      </c>
      <c r="C188" s="909">
        <f>Param!O188</f>
        <v>0.03</v>
      </c>
      <c r="D188" s="384">
        <f>Param!V188</f>
        <v>0.1</v>
      </c>
      <c r="E188" s="675">
        <f>Param!AB188</f>
        <v>2</v>
      </c>
      <c r="F188" s="552">
        <f>Param!N188</f>
        <v>1.91</v>
      </c>
      <c r="G188" s="684">
        <f>IF(C188="na","na",(C188/E188)*Eqtn!$D$25)</f>
        <v>240</v>
      </c>
      <c r="H188" s="684">
        <f>IF(D188="na","na",Eqtn!$D$46/(D188*E188))</f>
        <v>0.43749999999999989</v>
      </c>
      <c r="I188" s="611">
        <f>IF(C188="na","na",IF(F188="na","na",Eqtn!$D$68*C188/F188))</f>
        <v>11276.681433749498</v>
      </c>
      <c r="J188" s="612">
        <f>IF(D188="na","na",IF(F188="na","na",Eqtn!$D$90/(D188*F188)))</f>
        <v>9.3972345281245779</v>
      </c>
      <c r="K188" s="124"/>
      <c r="L188" s="1062"/>
    </row>
    <row r="189" spans="1:12" s="284" customFormat="1" ht="13.9" customHeight="1" x14ac:dyDescent="0.25">
      <c r="A189" s="846">
        <f>Chem!A189</f>
        <v>187</v>
      </c>
      <c r="B189" s="916" t="str">
        <f>Chem!B189</f>
        <v>trans-1,3-Dichloropropene</v>
      </c>
      <c r="C189" s="909">
        <f>Param!O189</f>
        <v>0.03</v>
      </c>
      <c r="D189" s="384">
        <f>Param!V189</f>
        <v>0.1</v>
      </c>
      <c r="E189" s="675">
        <f>Param!AB189</f>
        <v>2</v>
      </c>
      <c r="F189" s="552">
        <f>Param!N189</f>
        <v>1.91</v>
      </c>
      <c r="G189" s="684">
        <f>IF(C189="na","na",(C189/E189)*Eqtn!$D$25)</f>
        <v>240</v>
      </c>
      <c r="H189" s="684">
        <f>IF(D189="na","na",Eqtn!$D$46/(D189*E189))</f>
        <v>0.43749999999999989</v>
      </c>
      <c r="I189" s="611">
        <f>IF(C189="na","na",IF(F189="na","na",Eqtn!$D$68*C189/F189))</f>
        <v>11276.681433749498</v>
      </c>
      <c r="J189" s="612">
        <f>IF(D189="na","na",IF(F189="na","na",Eqtn!$D$90/(D189*F189)))</f>
        <v>9.3972345281245779</v>
      </c>
      <c r="K189" s="124"/>
      <c r="L189" s="1062"/>
    </row>
    <row r="190" spans="1:12" s="284" customFormat="1" ht="13.9" customHeight="1" x14ac:dyDescent="0.25">
      <c r="A190" s="846">
        <f>Chem!A190</f>
        <v>188</v>
      </c>
      <c r="B190" s="916" t="str">
        <f>Chem!B190</f>
        <v>Diisopropyl ether</v>
      </c>
      <c r="C190" s="909" t="str">
        <f>Param!O190</f>
        <v>na</v>
      </c>
      <c r="D190" s="384" t="str">
        <f>Param!V190</f>
        <v>na</v>
      </c>
      <c r="E190" s="675">
        <f>Param!AB190</f>
        <v>2</v>
      </c>
      <c r="F190" s="552" t="str">
        <f>Param!N190</f>
        <v>na</v>
      </c>
      <c r="G190" s="684" t="str">
        <f>IF(C190="na","na",(C190/E190)*Eqtn!$D$25)</f>
        <v>na</v>
      </c>
      <c r="H190" s="684" t="str">
        <f>IF(D190="na","na",Eqtn!$D$46/(D190*E190))</f>
        <v>na</v>
      </c>
      <c r="I190" s="611" t="str">
        <f>IF(C190="na","na",IF(F190="na","na",Eqtn!$D$68*C190/F190))</f>
        <v>na</v>
      </c>
      <c r="J190" s="612" t="str">
        <f>IF(D190="na","na",IF(F190="na","na",Eqtn!$D$90/(D190*F190)))</f>
        <v>na</v>
      </c>
      <c r="K190" s="124"/>
      <c r="L190" s="1062"/>
    </row>
    <row r="191" spans="1:12" s="284" customFormat="1" ht="13.9" customHeight="1" x14ac:dyDescent="0.25">
      <c r="A191" s="846">
        <f>Chem!A191</f>
        <v>189</v>
      </c>
      <c r="B191" s="916" t="str">
        <f>Chem!B191</f>
        <v>Ethane</v>
      </c>
      <c r="C191" s="909" t="str">
        <f>Param!O191</f>
        <v>na</v>
      </c>
      <c r="D191" s="394" t="str">
        <f>Param!V191</f>
        <v>na</v>
      </c>
      <c r="E191" s="675" t="str">
        <f>Param!AB191</f>
        <v>na</v>
      </c>
      <c r="F191" s="552" t="str">
        <f>Param!N191</f>
        <v>na</v>
      </c>
      <c r="G191" s="684" t="str">
        <f>IF(C191="na","na",(C191/E191)*Eqtn!$D$25)</f>
        <v>na</v>
      </c>
      <c r="H191" s="684" t="str">
        <f>IF(D191="na","na",Eqtn!$D$46/(D191*E191))</f>
        <v>na</v>
      </c>
      <c r="I191" s="611" t="str">
        <f>IF(C191="na","na",IF(F191="na","na",Eqtn!$D$68*C191/F191))</f>
        <v>na</v>
      </c>
      <c r="J191" s="612" t="str">
        <f>IF(D191="na","na",IF(F191="na","na",Eqtn!$D$90/(D191*F191)))</f>
        <v>na</v>
      </c>
      <c r="K191" s="124"/>
      <c r="L191" s="1062"/>
    </row>
    <row r="192" spans="1:12" s="284" customFormat="1" ht="13.9" customHeight="1" x14ac:dyDescent="0.25">
      <c r="A192" s="846">
        <f>Chem!A192</f>
        <v>190</v>
      </c>
      <c r="B192" s="916" t="str">
        <f>Chem!B192</f>
        <v>Ethylbenzene</v>
      </c>
      <c r="C192" s="909">
        <f>Param!O192</f>
        <v>0.1</v>
      </c>
      <c r="D192" s="384" t="str">
        <f>Param!V192</f>
        <v>na</v>
      </c>
      <c r="E192" s="675">
        <f>Param!AB192</f>
        <v>2</v>
      </c>
      <c r="F192" s="552">
        <f>Param!N192</f>
        <v>37.5</v>
      </c>
      <c r="G192" s="684">
        <f>IF(C192="na","na",(C192/E192)*Eqtn!$D$25)</f>
        <v>800</v>
      </c>
      <c r="H192" s="684" t="str">
        <f>IF(D192="na","na",Eqtn!$D$46/(D192*E192))</f>
        <v>na</v>
      </c>
      <c r="I192" s="611">
        <f>IF(C192="na","na",IF(F192="na","na",Eqtn!$D$68*C192/F192))</f>
        <v>1914.5299145299145</v>
      </c>
      <c r="J192" s="612" t="str">
        <f>IF(D192="na","na",IF(F192="na","na",Eqtn!$D$90/(D192*F192)))</f>
        <v>na</v>
      </c>
      <c r="K192" s="124"/>
      <c r="L192" s="1062"/>
    </row>
    <row r="193" spans="1:12" s="284" customFormat="1" ht="13.9" customHeight="1" x14ac:dyDescent="0.25">
      <c r="A193" s="846">
        <f>Chem!A193</f>
        <v>191</v>
      </c>
      <c r="B193" s="1843" t="str">
        <f>Chem!B193</f>
        <v>Ethylene oxide</v>
      </c>
      <c r="C193" s="909" t="str">
        <f>Param!O193</f>
        <v>na</v>
      </c>
      <c r="D193" s="394">
        <f>Param!V193</f>
        <v>0.31</v>
      </c>
      <c r="E193" s="675">
        <f>Param!AB193</f>
        <v>2</v>
      </c>
      <c r="F193" s="552" t="str">
        <f>Param!N193</f>
        <v>na</v>
      </c>
      <c r="G193" s="684" t="str">
        <f>IF(C193="na","na",(C193/E193)*Eqtn!$D$25)</f>
        <v>na</v>
      </c>
      <c r="H193" s="694">
        <v>3.6999999999999998E-2</v>
      </c>
      <c r="I193" s="611" t="str">
        <f>IF(C193="na","na",IF(F193="na","na",Eqtn!$D$68*C193/F193))</f>
        <v>na</v>
      </c>
      <c r="J193" s="612" t="str">
        <f>IF(D193="na","na",IF(F193="na","na",Eqtn!$D$90/(D193*F193)))</f>
        <v>na</v>
      </c>
      <c r="K193" s="124"/>
      <c r="L193" s="1062"/>
    </row>
    <row r="194" spans="1:12" s="284" customFormat="1" ht="13.9" customHeight="1" x14ac:dyDescent="0.25">
      <c r="A194" s="846">
        <f>Chem!A194</f>
        <v>192</v>
      </c>
      <c r="B194" s="916" t="str">
        <f>Chem!B194</f>
        <v>Ethyl ether</v>
      </c>
      <c r="C194" s="909">
        <f>Param!O194</f>
        <v>0.2</v>
      </c>
      <c r="D194" s="384" t="str">
        <f>Param!V194</f>
        <v>na</v>
      </c>
      <c r="E194" s="675">
        <f>Param!AB194</f>
        <v>2</v>
      </c>
      <c r="F194" s="552" t="str">
        <f>Param!N194</f>
        <v>na</v>
      </c>
      <c r="G194" s="684">
        <f>IF(C194="na","na",(C194/E194)*Eqtn!$D$25)</f>
        <v>1600</v>
      </c>
      <c r="H194" s="684" t="str">
        <f>IF(D194="na","na",Eqtn!$D$46/(D194*E194))</f>
        <v>na</v>
      </c>
      <c r="I194" s="611" t="str">
        <f>IF(C194="na","na",IF(F194="na","na",Eqtn!$D$68*C194/F194))</f>
        <v>na</v>
      </c>
      <c r="J194" s="612" t="str">
        <f>IF(D194="na","na",IF(F194="na","na",Eqtn!$D$90/(D194*F194)))</f>
        <v>na</v>
      </c>
      <c r="K194" s="124"/>
      <c r="L194" s="1062"/>
    </row>
    <row r="195" spans="1:12" s="284" customFormat="1" ht="13.9" customHeight="1" x14ac:dyDescent="0.25">
      <c r="A195" s="846">
        <f>Chem!A195</f>
        <v>193</v>
      </c>
      <c r="B195" s="916" t="str">
        <f>Chem!B195</f>
        <v>Ethylene dibromide (EDB)</v>
      </c>
      <c r="C195" s="909">
        <f>Param!O195</f>
        <v>8.9999999999999993E-3</v>
      </c>
      <c r="D195" s="384">
        <f>Param!V195</f>
        <v>2</v>
      </c>
      <c r="E195" s="675">
        <f>Param!AB195</f>
        <v>2</v>
      </c>
      <c r="F195" s="552" t="str">
        <f>Param!N195</f>
        <v>na</v>
      </c>
      <c r="G195" s="684">
        <f>IF(C195="na","na",(C195/E195)*Eqtn!$D$25)</f>
        <v>72</v>
      </c>
      <c r="H195" s="684">
        <f>IF(D195="na","na",Eqtn!$D$46/(D195*E195))</f>
        <v>2.1874999999999995E-2</v>
      </c>
      <c r="I195" s="611" t="str">
        <f>IF(C195="na","na",IF(F195="na","na",Eqtn!$D$68*C195/F195))</f>
        <v>na</v>
      </c>
      <c r="J195" s="612" t="str">
        <f>IF(D195="na","na",IF(F195="na","na",Eqtn!$D$90/(D195*F195)))</f>
        <v>na</v>
      </c>
      <c r="K195" s="124"/>
      <c r="L195" s="1062"/>
    </row>
    <row r="196" spans="1:12" s="284" customFormat="1" ht="13.9" customHeight="1" x14ac:dyDescent="0.25">
      <c r="A196" s="846">
        <f>Chem!A196</f>
        <v>194</v>
      </c>
      <c r="B196" s="1843" t="str">
        <f>Chem!B196</f>
        <v>Formaldehyde</v>
      </c>
      <c r="C196" s="909">
        <f>Param!O196</f>
        <v>0.2</v>
      </c>
      <c r="D196" s="384">
        <f>Param!V196</f>
        <v>2.1000000000000001E-2</v>
      </c>
      <c r="E196" s="675">
        <f>Param!AB196</f>
        <v>2</v>
      </c>
      <c r="F196" s="552" t="str">
        <f>Param!N196</f>
        <v>na</v>
      </c>
      <c r="G196" s="684">
        <f>IF(C196="na","na",(C196/E196)*Eqtn!$D$25)</f>
        <v>1600</v>
      </c>
      <c r="H196" s="694">
        <v>0.55000000000000004</v>
      </c>
      <c r="I196" s="611" t="str">
        <f>IF(C196="na","na",IF(F196="na","na",Eqtn!$D$68*C196/F196))</f>
        <v>na</v>
      </c>
      <c r="J196" s="612" t="str">
        <f>IF(D196="na","na",IF(F196="na","na",Eqtn!$D$90/(D196*F196)))</f>
        <v>na</v>
      </c>
      <c r="K196" s="124"/>
      <c r="L196" s="1062"/>
    </row>
    <row r="197" spans="1:12" s="284" customFormat="1" ht="13.9" customHeight="1" x14ac:dyDescent="0.25">
      <c r="A197" s="846">
        <f>Chem!A197</f>
        <v>195</v>
      </c>
      <c r="B197" s="916" t="str">
        <f>Chem!B197</f>
        <v>n-Hexane</v>
      </c>
      <c r="C197" s="909">
        <f>Param!O197</f>
        <v>0.06</v>
      </c>
      <c r="D197" s="384" t="str">
        <f>Param!V197</f>
        <v>na</v>
      </c>
      <c r="E197" s="675">
        <f>Param!AB197</f>
        <v>2</v>
      </c>
      <c r="F197" s="552" t="str">
        <f>Param!N197</f>
        <v>na</v>
      </c>
      <c r="G197" s="684">
        <f>IF(C197="na","na",(C197/E197)*Eqtn!$D$25)</f>
        <v>480</v>
      </c>
      <c r="H197" s="684" t="str">
        <f>IF(D197="na","na",Eqtn!$D$46/(D197*E197))</f>
        <v>na</v>
      </c>
      <c r="I197" s="611" t="str">
        <f>IF(C197="na","na",IF(F197="na","na",Eqtn!$D$68*C197/F197))</f>
        <v>na</v>
      </c>
      <c r="J197" s="612" t="str">
        <f>IF(D197="na","na",IF(F197="na","na",Eqtn!$D$90/(D197*F197)))</f>
        <v>na</v>
      </c>
      <c r="K197" s="124"/>
      <c r="L197" s="1062"/>
    </row>
    <row r="198" spans="1:12" s="284" customFormat="1" ht="13.9" customHeight="1" x14ac:dyDescent="0.25">
      <c r="A198" s="846">
        <f>Chem!A198</f>
        <v>196</v>
      </c>
      <c r="B198" s="916" t="str">
        <f>Chem!B198</f>
        <v>2-Hexanone</v>
      </c>
      <c r="C198" s="909">
        <f>Param!O198</f>
        <v>5.0000000000000001E-3</v>
      </c>
      <c r="D198" s="384" t="str">
        <f>Param!V198</f>
        <v>na</v>
      </c>
      <c r="E198" s="675">
        <f>Param!AB198</f>
        <v>2</v>
      </c>
      <c r="F198" s="552" t="str">
        <f>Param!N198</f>
        <v>na</v>
      </c>
      <c r="G198" s="684">
        <f>IF(C198="na","na",(C198/E198)*Eqtn!$D$25)</f>
        <v>40</v>
      </c>
      <c r="H198" s="684" t="str">
        <f>IF(D198="na","na",Eqtn!$D$46/(D198*E198))</f>
        <v>na</v>
      </c>
      <c r="I198" s="611" t="str">
        <f>IF(C198="na","na",IF(F198="na","na",Eqtn!$D$68*C198/F198))</f>
        <v>na</v>
      </c>
      <c r="J198" s="612" t="str">
        <f>IF(D198="na","na",IF(F198="na","na",Eqtn!$D$90/(D198*F198)))</f>
        <v>na</v>
      </c>
      <c r="K198" s="124"/>
      <c r="L198" s="1062"/>
    </row>
    <row r="199" spans="1:12" s="284" customFormat="1" ht="13.9" customHeight="1" x14ac:dyDescent="0.25">
      <c r="A199" s="846">
        <f>Chem!A199</f>
        <v>197</v>
      </c>
      <c r="B199" s="916" t="str">
        <f>Chem!B199</f>
        <v>Isopropylbenzene (cumene)</v>
      </c>
      <c r="C199" s="909">
        <f>Param!O199</f>
        <v>0.1</v>
      </c>
      <c r="D199" s="384" t="str">
        <f>Param!V199</f>
        <v>na</v>
      </c>
      <c r="E199" s="675">
        <f>Param!AB199</f>
        <v>2</v>
      </c>
      <c r="F199" s="552" t="str">
        <f>Param!N199</f>
        <v>na</v>
      </c>
      <c r="G199" s="684">
        <f>IF(C199="na","na",(C199/E199)*Eqtn!$D$25)</f>
        <v>800</v>
      </c>
      <c r="H199" s="684" t="str">
        <f>IF(D199="na","na",Eqtn!$D$46/(D199*E199))</f>
        <v>na</v>
      </c>
      <c r="I199" s="611" t="str">
        <f>IF(C199="na","na",IF(F199="na","na",Eqtn!$D$68*C199/F199))</f>
        <v>na</v>
      </c>
      <c r="J199" s="612" t="str">
        <f>IF(D199="na","na",IF(F199="na","na",Eqtn!$D$90/(D199*F199)))</f>
        <v>na</v>
      </c>
      <c r="K199" s="124"/>
      <c r="L199" s="1062"/>
    </row>
    <row r="200" spans="1:12" s="284" customFormat="1" ht="13.9" customHeight="1" x14ac:dyDescent="0.25">
      <c r="A200" s="846">
        <f>Chem!A200</f>
        <v>198</v>
      </c>
      <c r="B200" s="916" t="str">
        <f>Chem!B200</f>
        <v>4-Isopropyltoluene (p-isopropyltoluene)</v>
      </c>
      <c r="C200" s="909">
        <f>Param!O200</f>
        <v>4.0000000000000001E-3</v>
      </c>
      <c r="D200" s="384" t="str">
        <f>Param!V200</f>
        <v>na</v>
      </c>
      <c r="E200" s="675">
        <f>Param!AB200</f>
        <v>2</v>
      </c>
      <c r="F200" s="552" t="str">
        <f>Param!N200</f>
        <v>na</v>
      </c>
      <c r="G200" s="684">
        <f>IF(C200="na","na",(C200/E200)*Eqtn!$D$25)</f>
        <v>32</v>
      </c>
      <c r="H200" s="684" t="str">
        <f>IF(D200="na","na",Eqtn!$D$46/(D200*E200))</f>
        <v>na</v>
      </c>
      <c r="I200" s="611" t="str">
        <f>IF(C200="na","na",IF(F200="na","na",Eqtn!$D$68*C200/F200))</f>
        <v>na</v>
      </c>
      <c r="J200" s="612" t="str">
        <f>IF(D200="na","na",IF(F200="na","na",Eqtn!$D$90/(D200*F200)))</f>
        <v>na</v>
      </c>
      <c r="K200" s="124"/>
      <c r="L200" s="1062"/>
    </row>
    <row r="201" spans="1:12" s="284" customFormat="1" ht="13.9" customHeight="1" x14ac:dyDescent="0.25">
      <c r="A201" s="846">
        <f>Chem!A201</f>
        <v>199</v>
      </c>
      <c r="B201" s="916" t="str">
        <f>Chem!B201</f>
        <v>Methane</v>
      </c>
      <c r="C201" s="909" t="str">
        <f>Param!O201</f>
        <v>na</v>
      </c>
      <c r="D201" s="394" t="str">
        <f>Param!V201</f>
        <v>na</v>
      </c>
      <c r="E201" s="675" t="str">
        <f>Param!AB201</f>
        <v>na</v>
      </c>
      <c r="F201" s="552" t="str">
        <f>Param!N201</f>
        <v>na</v>
      </c>
      <c r="G201" s="684" t="str">
        <f>IF(C201="na","na",(C201/E201)*Eqtn!$D$25)</f>
        <v>na</v>
      </c>
      <c r="H201" s="684" t="str">
        <f>IF(D201="na","na",Eqtn!$D$46/(D201*E201))</f>
        <v>na</v>
      </c>
      <c r="I201" s="611" t="str">
        <f>IF(C201="na","na",IF(F201="na","na",Eqtn!$D$68*C201/F201))</f>
        <v>na</v>
      </c>
      <c r="J201" s="612" t="str">
        <f>IF(D201="na","na",IF(F201="na","na",Eqtn!$D$90/(D201*F201)))</f>
        <v>na</v>
      </c>
      <c r="K201" s="124"/>
      <c r="L201" s="1062"/>
    </row>
    <row r="202" spans="1:12" s="284" customFormat="1" ht="13.9" customHeight="1" x14ac:dyDescent="0.25">
      <c r="A202" s="846">
        <f>Chem!A202</f>
        <v>200</v>
      </c>
      <c r="B202" s="916" t="str">
        <f>Chem!B202</f>
        <v>Methyl ethyl ketone (2-butanone)</v>
      </c>
      <c r="C202" s="909">
        <f>Param!O202</f>
        <v>0.6</v>
      </c>
      <c r="D202" s="384" t="str">
        <f>Param!V202</f>
        <v>na</v>
      </c>
      <c r="E202" s="675">
        <f>Param!AB202</f>
        <v>2</v>
      </c>
      <c r="F202" s="552" t="str">
        <f>Param!N202</f>
        <v>na</v>
      </c>
      <c r="G202" s="684">
        <f>IF(C202="na","na",(C202/E202)*Eqtn!$D$25)</f>
        <v>4800</v>
      </c>
      <c r="H202" s="684" t="str">
        <f>IF(D202="na","na",Eqtn!$D$46/(D202*E202))</f>
        <v>na</v>
      </c>
      <c r="I202" s="611" t="str">
        <f>IF(C202="na","na",IF(F202="na","na",Eqtn!$D$68*C202/F202))</f>
        <v>na</v>
      </c>
      <c r="J202" s="612" t="str">
        <f>IF(D202="na","na",IF(F202="na","na",Eqtn!$D$90/(D202*F202)))</f>
        <v>na</v>
      </c>
      <c r="K202" s="124"/>
      <c r="L202" s="1062"/>
    </row>
    <row r="203" spans="1:12" s="284" customFormat="1" ht="13.9" customHeight="1" x14ac:dyDescent="0.25">
      <c r="A203" s="846">
        <f>Chem!A203</f>
        <v>201</v>
      </c>
      <c r="B203" s="916" t="str">
        <f>Chem!B203</f>
        <v>Methyl iodide</v>
      </c>
      <c r="C203" s="909" t="str">
        <f>Param!O203</f>
        <v>na</v>
      </c>
      <c r="D203" s="384" t="str">
        <f>Param!V203</f>
        <v>na</v>
      </c>
      <c r="E203" s="675" t="str">
        <f>Param!AB203</f>
        <v>na</v>
      </c>
      <c r="F203" s="552" t="str">
        <f>Param!N203</f>
        <v>na</v>
      </c>
      <c r="G203" s="684" t="str">
        <f>IF(C203="na","na",(C203/E203)*Eqtn!$D$25)</f>
        <v>na</v>
      </c>
      <c r="H203" s="684" t="str">
        <f>IF(D203="na","na",Eqtn!$D$46/(D203*E203))</f>
        <v>na</v>
      </c>
      <c r="I203" s="611" t="str">
        <f>IF(C203="na","na",IF(F203="na","na",Eqtn!$D$68*C203/F203))</f>
        <v>na</v>
      </c>
      <c r="J203" s="612" t="str">
        <f>IF(D203="na","na",IF(F203="na","na",Eqtn!$D$90/(D203*F203)))</f>
        <v>na</v>
      </c>
      <c r="K203" s="124"/>
      <c r="L203" s="1062"/>
    </row>
    <row r="204" spans="1:12" s="284" customFormat="1" ht="13.9" customHeight="1" x14ac:dyDescent="0.25">
      <c r="A204" s="846">
        <f>Chem!A204</f>
        <v>202</v>
      </c>
      <c r="B204" s="916" t="str">
        <f>Chem!B204</f>
        <v>Methyl isobutyl ketone</v>
      </c>
      <c r="C204" s="909">
        <f>Param!O204</f>
        <v>0.08</v>
      </c>
      <c r="D204" s="384" t="str">
        <f>Param!V204</f>
        <v>na</v>
      </c>
      <c r="E204" s="675">
        <f>Param!AB204</f>
        <v>2</v>
      </c>
      <c r="F204" s="552" t="str">
        <f>Param!N204</f>
        <v>na</v>
      </c>
      <c r="G204" s="684">
        <f>IF(C204="na","na",(C204/E204)*Eqtn!$D$25)</f>
        <v>640</v>
      </c>
      <c r="H204" s="684" t="str">
        <f>IF(D204="na","na",Eqtn!$D$46/(D204*E204))</f>
        <v>na</v>
      </c>
      <c r="I204" s="611" t="str">
        <f>IF(C204="na","na",IF(F204="na","na",Eqtn!$D$68*C204/F204))</f>
        <v>na</v>
      </c>
      <c r="J204" s="612" t="str">
        <f>IF(D204="na","na",IF(F204="na","na",Eqtn!$D$90/(D204*F204)))</f>
        <v>na</v>
      </c>
      <c r="K204" s="124"/>
      <c r="L204" s="1062"/>
    </row>
    <row r="205" spans="1:12" s="284" customFormat="1" ht="13.9" customHeight="1" x14ac:dyDescent="0.25">
      <c r="A205" s="846">
        <f>Chem!A205</f>
        <v>203</v>
      </c>
      <c r="B205" s="916" t="str">
        <f>Chem!B205</f>
        <v>Methyl tert-butyl ether (MTBE)</v>
      </c>
      <c r="C205" s="909" t="str">
        <f>Param!O205</f>
        <v>na</v>
      </c>
      <c r="D205" s="384">
        <f>Param!V205</f>
        <v>1.8E-3</v>
      </c>
      <c r="E205" s="675">
        <f>Param!AB205</f>
        <v>2</v>
      </c>
      <c r="F205" s="552" t="str">
        <f>Param!N205</f>
        <v>na</v>
      </c>
      <c r="G205" s="684" t="str">
        <f>IF(C205="na","na",(C205/E205)*Eqtn!$D$25)</f>
        <v>na</v>
      </c>
      <c r="H205" s="684">
        <f>IF(D205="na","na",Eqtn!$D$46/(D205*E205))</f>
        <v>24.30555555555555</v>
      </c>
      <c r="I205" s="611" t="str">
        <f>IF(C205="na","na",IF(F205="na","na",Eqtn!$D$68*C205/F205))</f>
        <v>na</v>
      </c>
      <c r="J205" s="612" t="str">
        <f>IF(D205="na","na",IF(F205="na","na",Eqtn!$D$90/(D205*F205)))</f>
        <v>na</v>
      </c>
      <c r="K205" s="124"/>
      <c r="L205" s="1062"/>
    </row>
    <row r="206" spans="1:12" s="284" customFormat="1" ht="13.9" customHeight="1" x14ac:dyDescent="0.25">
      <c r="A206" s="846">
        <f>Chem!A206</f>
        <v>204</v>
      </c>
      <c r="B206" s="1843" t="str">
        <f>Chem!B206</f>
        <v>Methylene chloride</v>
      </c>
      <c r="C206" s="909">
        <f>Param!O206</f>
        <v>6.0000000000000001E-3</v>
      </c>
      <c r="D206" s="384">
        <f>Param!V206</f>
        <v>2E-3</v>
      </c>
      <c r="E206" s="675">
        <f>Param!AB206</f>
        <v>2</v>
      </c>
      <c r="F206" s="552">
        <f>Param!N206</f>
        <v>0.9</v>
      </c>
      <c r="G206" s="684">
        <f>IF(C206="na","na",(C206/E206)*Eqtn!$D$25)</f>
        <v>48</v>
      </c>
      <c r="H206" s="694">
        <v>5.8</v>
      </c>
      <c r="I206" s="611">
        <f>IF(C206="na","na",IF(F206="na","na",Eqtn!$D$68*C206/F206))</f>
        <v>4786.3247863247861</v>
      </c>
      <c r="J206" s="132">
        <f>'SW-MMA'!H32</f>
        <v>229.71344437617972</v>
      </c>
      <c r="K206" s="124"/>
      <c r="L206" s="1062"/>
    </row>
    <row r="207" spans="1:12" s="284" customFormat="1" ht="13.9" customHeight="1" x14ac:dyDescent="0.25">
      <c r="A207" s="846">
        <f>Chem!A207</f>
        <v>205</v>
      </c>
      <c r="B207" s="916" t="str">
        <f>Chem!B207</f>
        <v>2-Pentanone</v>
      </c>
      <c r="C207" s="909" t="str">
        <f>Param!O207</f>
        <v>na</v>
      </c>
      <c r="D207" s="384" t="str">
        <f>Param!V207</f>
        <v>na</v>
      </c>
      <c r="E207" s="675" t="str">
        <f>Param!AB207</f>
        <v>na</v>
      </c>
      <c r="F207" s="552" t="str">
        <f>Param!N207</f>
        <v>na</v>
      </c>
      <c r="G207" s="684" t="str">
        <f>IF(C207="na","na",(C207/E207)*Eqtn!$D$25)</f>
        <v>na</v>
      </c>
      <c r="H207" s="684" t="str">
        <f>IF(D207="na","na",Eqtn!$D$46/(D207*E207))</f>
        <v>na</v>
      </c>
      <c r="I207" s="611" t="str">
        <f>IF(C207="na","na",IF(F207="na","na",Eqtn!$D$68*C207/F207))</f>
        <v>na</v>
      </c>
      <c r="J207" s="612" t="str">
        <f>IF(D207="na","na",IF(F207="na","na",Eqtn!$D$90/(D207*F207)))</f>
        <v>na</v>
      </c>
      <c r="K207" s="124"/>
      <c r="L207" s="1062"/>
    </row>
    <row r="208" spans="1:12" s="284" customFormat="1" ht="13.9" customHeight="1" x14ac:dyDescent="0.25">
      <c r="A208" s="846">
        <f>Chem!A208</f>
        <v>206</v>
      </c>
      <c r="B208" s="916" t="str">
        <f>Chem!B208</f>
        <v>n-Propylbenzene</v>
      </c>
      <c r="C208" s="909">
        <f>Param!O208</f>
        <v>0.1</v>
      </c>
      <c r="D208" s="384" t="str">
        <f>Param!V208</f>
        <v>na</v>
      </c>
      <c r="E208" s="675">
        <f>Param!AB208</f>
        <v>2</v>
      </c>
      <c r="F208" s="552" t="str">
        <f>Param!N208</f>
        <v>na</v>
      </c>
      <c r="G208" s="684">
        <f>IF(C208="na","na",(C208/E208)*Eqtn!$D$25)</f>
        <v>800</v>
      </c>
      <c r="H208" s="684" t="str">
        <f>IF(D208="na","na",Eqtn!$D$46/(D208*E208))</f>
        <v>na</v>
      </c>
      <c r="I208" s="611" t="str">
        <f>IF(C208="na","na",IF(F208="na","na",Eqtn!$D$68*C208/F208))</f>
        <v>na</v>
      </c>
      <c r="J208" s="612" t="str">
        <f>IF(D208="na","na",IF(F208="na","na",Eqtn!$D$90/(D208*F208)))</f>
        <v>na</v>
      </c>
      <c r="K208" s="124"/>
      <c r="L208" s="1062"/>
    </row>
    <row r="209" spans="1:12" s="284" customFormat="1" ht="13.9" customHeight="1" x14ac:dyDescent="0.25">
      <c r="A209" s="846">
        <f>Chem!A209</f>
        <v>207</v>
      </c>
      <c r="B209" s="916" t="str">
        <f>Chem!B209</f>
        <v>Styrene</v>
      </c>
      <c r="C209" s="909">
        <f>Param!O209</f>
        <v>0.2</v>
      </c>
      <c r="D209" s="384" t="str">
        <f>Param!V209</f>
        <v>na</v>
      </c>
      <c r="E209" s="675">
        <f>Param!AB209</f>
        <v>2</v>
      </c>
      <c r="F209" s="552" t="str">
        <f>Param!N209</f>
        <v>na</v>
      </c>
      <c r="G209" s="684">
        <f>IF(C209="na","na",(C209/E209)*Eqtn!$D$25)</f>
        <v>1600</v>
      </c>
      <c r="H209" s="684" t="str">
        <f>IF(D209="na","na",Eqtn!$D$46/(D209*E209))</f>
        <v>na</v>
      </c>
      <c r="I209" s="611" t="str">
        <f>IF(C209="na","na",IF(F209="na","na",Eqtn!$D$68*C209/F209))</f>
        <v>na</v>
      </c>
      <c r="J209" s="612" t="str">
        <f>IF(D209="na","na",IF(F209="na","na",Eqtn!$D$90/(D209*F209)))</f>
        <v>na</v>
      </c>
      <c r="K209" s="124"/>
      <c r="L209" s="1062"/>
    </row>
    <row r="210" spans="1:12" s="284" customFormat="1" ht="13.9" customHeight="1" x14ac:dyDescent="0.25">
      <c r="A210" s="846">
        <f>Chem!A210</f>
        <v>208</v>
      </c>
      <c r="B210" s="916" t="str">
        <f>Chem!B210</f>
        <v>1,1,1,2-Tetrachloroethane</v>
      </c>
      <c r="C210" s="909">
        <f>Param!O210</f>
        <v>0.03</v>
      </c>
      <c r="D210" s="384">
        <f>Param!V210</f>
        <v>2.5999999999999999E-2</v>
      </c>
      <c r="E210" s="675">
        <f>Param!AB210</f>
        <v>2</v>
      </c>
      <c r="F210" s="552" t="str">
        <f>Param!N210</f>
        <v>na</v>
      </c>
      <c r="G210" s="684">
        <f>IF(C210="na","na",(C210/E210)*Eqtn!$D$25)</f>
        <v>240</v>
      </c>
      <c r="H210" s="684">
        <f>IF(D210="na","na",Eqtn!$D$46/(D210*E210))</f>
        <v>1.6826923076923075</v>
      </c>
      <c r="I210" s="611" t="str">
        <f>IF(C210="na","na",IF(F210="na","na",Eqtn!$D$68*C210/F210))</f>
        <v>na</v>
      </c>
      <c r="J210" s="612" t="str">
        <f>IF(D210="na","na",IF(F210="na","na",Eqtn!$D$90/(D210*F210)))</f>
        <v>na</v>
      </c>
      <c r="K210" s="124"/>
      <c r="L210" s="1062"/>
    </row>
    <row r="211" spans="1:12" s="284" customFormat="1" ht="13.9" customHeight="1" x14ac:dyDescent="0.25">
      <c r="A211" s="846">
        <f>Chem!A211</f>
        <v>209</v>
      </c>
      <c r="B211" s="916" t="str">
        <f>Chem!B211</f>
        <v>1,1,2,2-Tetrachloroethane</v>
      </c>
      <c r="C211" s="909">
        <f>Param!O211</f>
        <v>0.02</v>
      </c>
      <c r="D211" s="384">
        <f>Param!V211</f>
        <v>0.2</v>
      </c>
      <c r="E211" s="675">
        <f>Param!AB211</f>
        <v>2</v>
      </c>
      <c r="F211" s="552">
        <f>Param!N211</f>
        <v>5</v>
      </c>
      <c r="G211" s="684">
        <f>IF(C211="na","na",(C211/E211)*Eqtn!$D$25)</f>
        <v>160</v>
      </c>
      <c r="H211" s="684">
        <f>IF(D211="na","na",Eqtn!$D$46/(D211*E211))</f>
        <v>0.21874999999999994</v>
      </c>
      <c r="I211" s="611">
        <f>IF(C211="na","na",IF(F211="na","na",Eqtn!$D$68*C211/F211))</f>
        <v>2871.7948717948721</v>
      </c>
      <c r="J211" s="612">
        <f>IF(D211="na","na",IF(F211="na","na",Eqtn!$D$90/(D211*F211)))</f>
        <v>1.7948717948717945</v>
      </c>
      <c r="K211" s="124"/>
      <c r="L211" s="1062"/>
    </row>
    <row r="212" spans="1:12" s="284" customFormat="1" ht="13.9" customHeight="1" x14ac:dyDescent="0.25">
      <c r="A212" s="846">
        <f>Chem!A212</f>
        <v>210</v>
      </c>
      <c r="B212" s="916" t="str">
        <f>Chem!B212</f>
        <v>Tetrachloroethylene (PCE)</v>
      </c>
      <c r="C212" s="909">
        <f>Param!O212</f>
        <v>6.0000000000000001E-3</v>
      </c>
      <c r="D212" s="384">
        <f>Param!V212</f>
        <v>2.0999999999999999E-3</v>
      </c>
      <c r="E212" s="675">
        <f>Param!AB212</f>
        <v>2</v>
      </c>
      <c r="F212" s="552">
        <f>Param!N212</f>
        <v>31</v>
      </c>
      <c r="G212" s="684">
        <f>IF(C212="na","na",(C212/E212)*Eqtn!$D$25)</f>
        <v>48</v>
      </c>
      <c r="H212" s="684">
        <f>IF(D212="na","na",Eqtn!$D$46/(D212*E212))</f>
        <v>20.833333333333329</v>
      </c>
      <c r="I212" s="611">
        <f>IF(C212="na","na",IF(F212="na","na",Eqtn!$D$68*C212/F212))</f>
        <v>138.95781637717121</v>
      </c>
      <c r="J212" s="612">
        <f>IF(D212="na","na",IF(F212="na","na",Eqtn!$D$90/(D212*F212)))</f>
        <v>27.570995312930794</v>
      </c>
      <c r="K212" s="318"/>
      <c r="L212" s="1062"/>
    </row>
    <row r="213" spans="1:12" s="284" customFormat="1" ht="13.9" customHeight="1" x14ac:dyDescent="0.25">
      <c r="A213" s="846">
        <f>Chem!A213</f>
        <v>211</v>
      </c>
      <c r="B213" s="916" t="str">
        <f>Chem!B213</f>
        <v>Tetrahydrofuran</v>
      </c>
      <c r="C213" s="909">
        <f>Param!O213</f>
        <v>0.9</v>
      </c>
      <c r="D213" s="384" t="str">
        <f>Param!V213</f>
        <v>na</v>
      </c>
      <c r="E213" s="675">
        <f>Param!AB213</f>
        <v>2</v>
      </c>
      <c r="F213" s="552" t="str">
        <f>Param!N213</f>
        <v>na</v>
      </c>
      <c r="G213" s="684">
        <f>IF(C213="na","na",(C213/E213)*Eqtn!$D$25)</f>
        <v>7200</v>
      </c>
      <c r="H213" s="684" t="str">
        <f>IF(D213="na","na",Eqtn!$D$46/(D213*E213))</f>
        <v>na</v>
      </c>
      <c r="I213" s="611" t="str">
        <f>IF(C213="na","na",IF(F213="na","na",Eqtn!$D$68*C213/F213))</f>
        <v>na</v>
      </c>
      <c r="J213" s="612" t="str">
        <f>IF(D213="na","na",IF(F213="na","na",Eqtn!$D$90/(D213*F213)))</f>
        <v>na</v>
      </c>
      <c r="K213" s="318"/>
      <c r="L213" s="1062"/>
    </row>
    <row r="214" spans="1:12" s="284" customFormat="1" ht="13.9" customHeight="1" x14ac:dyDescent="0.25">
      <c r="A214" s="846">
        <f>Chem!A214</f>
        <v>212</v>
      </c>
      <c r="B214" s="916" t="str">
        <f>Chem!B214</f>
        <v>Toluene</v>
      </c>
      <c r="C214" s="909">
        <f>Param!O214</f>
        <v>0.08</v>
      </c>
      <c r="D214" s="384" t="str">
        <f>Param!V214</f>
        <v>na</v>
      </c>
      <c r="E214" s="675">
        <f>Param!AB214</f>
        <v>2</v>
      </c>
      <c r="F214" s="552">
        <f>Param!N214</f>
        <v>10.7</v>
      </c>
      <c r="G214" s="684">
        <f>IF(C214="na","na",(C214/E214)*Eqtn!$D$25)</f>
        <v>640</v>
      </c>
      <c r="H214" s="684" t="str">
        <f>IF(D214="na","na",Eqtn!$D$46/(D214*E214))</f>
        <v>na</v>
      </c>
      <c r="I214" s="611">
        <f>IF(C214="na","na",IF(F214="na","na",Eqtn!$D$68*C214/F214))</f>
        <v>5367.8408818595735</v>
      </c>
      <c r="J214" s="612" t="str">
        <f>IF(D214="na","na",IF(F214="na","na",Eqtn!$D$90/(D214*F214)))</f>
        <v>na</v>
      </c>
      <c r="K214" s="124"/>
      <c r="L214" s="1062"/>
    </row>
    <row r="215" spans="1:12" s="284" customFormat="1" ht="13.9" customHeight="1" x14ac:dyDescent="0.25">
      <c r="A215" s="846">
        <f>Chem!A215</f>
        <v>213</v>
      </c>
      <c r="B215" s="916" t="str">
        <f>Chem!B215</f>
        <v>1,2,3-Trichlorobenzene</v>
      </c>
      <c r="C215" s="909">
        <f>Param!O215</f>
        <v>8.0000000000000004E-4</v>
      </c>
      <c r="D215" s="384" t="str">
        <f>Param!V215</f>
        <v>na</v>
      </c>
      <c r="E215" s="675">
        <f>Param!AB215</f>
        <v>2</v>
      </c>
      <c r="F215" s="552" t="str">
        <f>Param!N215</f>
        <v>na</v>
      </c>
      <c r="G215" s="684">
        <f>IF(C215="na","na",(C215/E215)*Eqtn!$D$25)</f>
        <v>6.4</v>
      </c>
      <c r="H215" s="684" t="str">
        <f>IF(D215="na","na",Eqtn!$D$46/(D215*E215))</f>
        <v>na</v>
      </c>
      <c r="I215" s="611" t="str">
        <f>IF(C215="na","na",IF(F215="na","na",Eqtn!$D$68*C215/F215))</f>
        <v>na</v>
      </c>
      <c r="J215" s="612" t="str">
        <f>IF(D215="na","na",IF(F215="na","na",Eqtn!$D$90/(D215*F215)))</f>
        <v>na</v>
      </c>
      <c r="K215" s="124"/>
      <c r="L215" s="1062"/>
    </row>
    <row r="216" spans="1:12" s="284" customFormat="1" ht="13.9" customHeight="1" x14ac:dyDescent="0.25">
      <c r="A216" s="846">
        <f>Chem!A216</f>
        <v>214</v>
      </c>
      <c r="B216" s="916" t="str">
        <f>Chem!B216</f>
        <v>1,1,1-Trichloroethane</v>
      </c>
      <c r="C216" s="909">
        <f>Param!O216</f>
        <v>2</v>
      </c>
      <c r="D216" s="384" t="str">
        <f>Param!V216</f>
        <v>na</v>
      </c>
      <c r="E216" s="675">
        <f>Param!AB216</f>
        <v>2</v>
      </c>
      <c r="F216" s="552">
        <f>Param!N216</f>
        <v>5.6</v>
      </c>
      <c r="G216" s="684">
        <f>IF(C216="na","na",(C216/E216)*Eqtn!$D$25)</f>
        <v>16000</v>
      </c>
      <c r="H216" s="684" t="str">
        <f>IF(D216="na","na",Eqtn!$D$46/(D216*E216))</f>
        <v>na</v>
      </c>
      <c r="I216" s="611">
        <f>IF(C216="na","na",IF(F216="na","na",Eqtn!$D$68*C216/F216))</f>
        <v>256410.25641025644</v>
      </c>
      <c r="J216" s="612" t="str">
        <f>IF(D216="na","na",IF(F216="na","na",Eqtn!$D$90/(D216*F216)))</f>
        <v>na</v>
      </c>
      <c r="K216" s="124"/>
      <c r="L216" s="1062"/>
    </row>
    <row r="217" spans="1:12" s="284" customFormat="1" ht="13.9" customHeight="1" x14ac:dyDescent="0.25">
      <c r="A217" s="846">
        <f>Chem!A217</f>
        <v>215</v>
      </c>
      <c r="B217" s="916" t="str">
        <f>Chem!B217</f>
        <v>1,1,2-Trichloroethane</v>
      </c>
      <c r="C217" s="909">
        <f>Param!O217</f>
        <v>4.0000000000000001E-3</v>
      </c>
      <c r="D217" s="384">
        <f>Param!V217</f>
        <v>5.7000000000000002E-2</v>
      </c>
      <c r="E217" s="675">
        <f>Param!AB217</f>
        <v>2</v>
      </c>
      <c r="F217" s="552">
        <f>Param!N217</f>
        <v>4.5</v>
      </c>
      <c r="G217" s="684">
        <f>IF(C217="na","na",(C217/E217)*Eqtn!$D$25)</f>
        <v>32</v>
      </c>
      <c r="H217" s="684">
        <f>IF(D217="na","na",Eqtn!$D$46/(D217*E217))</f>
        <v>0.76754385964912264</v>
      </c>
      <c r="I217" s="611">
        <f>IF(C217="na","na",IF(F217="na","na",Eqtn!$D$68*C217/F217))</f>
        <v>638.17663817663822</v>
      </c>
      <c r="J217" s="612">
        <f>IF(D217="na","na",IF(F217="na","na",Eqtn!$D$90/(D217*F217)))</f>
        <v>6.997550857199978</v>
      </c>
      <c r="K217" s="124"/>
      <c r="L217" s="1062"/>
    </row>
    <row r="218" spans="1:12" s="284" customFormat="1" ht="13.9" customHeight="1" x14ac:dyDescent="0.25">
      <c r="A218" s="846">
        <f>Chem!A218</f>
        <v>216</v>
      </c>
      <c r="B218" s="1843" t="str">
        <f>Chem!B218</f>
        <v>Trichloroethylene (TCE)</v>
      </c>
      <c r="C218" s="909">
        <f>Param!O218</f>
        <v>5.0000000000000001E-4</v>
      </c>
      <c r="D218" s="384">
        <f>Param!V218</f>
        <v>4.5999999999999999E-2</v>
      </c>
      <c r="E218" s="675">
        <f>Param!AB218</f>
        <v>2</v>
      </c>
      <c r="F218" s="552">
        <f>Param!N218</f>
        <v>11</v>
      </c>
      <c r="G218" s="684">
        <v>4</v>
      </c>
      <c r="H218" s="694">
        <v>0.54</v>
      </c>
      <c r="I218" s="611">
        <f>IF(C218="na","na",IF(F218="na","na",Eqtn!$D$68*C218/F218))</f>
        <v>32.634032634032636</v>
      </c>
      <c r="J218" s="132">
        <f>4.9*27/97.5</f>
        <v>1.3569230769230771</v>
      </c>
      <c r="K218" s="124"/>
      <c r="L218" s="1062"/>
    </row>
    <row r="219" spans="1:12" s="284" customFormat="1" ht="13.9" customHeight="1" x14ac:dyDescent="0.25">
      <c r="A219" s="846">
        <f>Chem!A219</f>
        <v>217</v>
      </c>
      <c r="B219" s="916" t="str">
        <f>Chem!B219</f>
        <v>Trichlorofluoroethane</v>
      </c>
      <c r="C219" s="909" t="str">
        <f>Param!O219</f>
        <v>na</v>
      </c>
      <c r="D219" s="384" t="str">
        <f>Param!V219</f>
        <v>na</v>
      </c>
      <c r="E219" s="675" t="str">
        <f>Param!AB219</f>
        <v>na</v>
      </c>
      <c r="F219" s="552" t="str">
        <f>Param!N219</f>
        <v>na</v>
      </c>
      <c r="G219" s="684" t="str">
        <f>IF(C219="na","na",(C219/E219)*Eqtn!$D$25)</f>
        <v>na</v>
      </c>
      <c r="H219" s="684" t="str">
        <f>IF(D219="na","na",Eqtn!$D$46/(D219*E219))</f>
        <v>na</v>
      </c>
      <c r="I219" s="611" t="str">
        <f>IF(C219="na","na",IF(F219="na","na",Eqtn!$D$68*C219/F219))</f>
        <v>na</v>
      </c>
      <c r="J219" s="612" t="str">
        <f>IF(D219="na","na",IF(F219="na","na",Eqtn!$D$90/(D219*F219)))</f>
        <v>na</v>
      </c>
      <c r="K219" s="124"/>
      <c r="L219" s="1062"/>
    </row>
    <row r="220" spans="1:12" s="284" customFormat="1" ht="13.9" customHeight="1" x14ac:dyDescent="0.25">
      <c r="A220" s="846">
        <f>Chem!A220</f>
        <v>218</v>
      </c>
      <c r="B220" s="916" t="str">
        <f>Chem!B220</f>
        <v>Trichlorofluoromethane</v>
      </c>
      <c r="C220" s="909">
        <f>Param!O220</f>
        <v>0.3</v>
      </c>
      <c r="D220" s="384" t="str">
        <f>Param!V220</f>
        <v>na</v>
      </c>
      <c r="E220" s="675">
        <f>Param!AB220</f>
        <v>2</v>
      </c>
      <c r="F220" s="552" t="str">
        <f>Param!N220</f>
        <v>na</v>
      </c>
      <c r="G220" s="684">
        <f>IF(C220="na","na",(C220/E220)*Eqtn!$D$25)</f>
        <v>2400</v>
      </c>
      <c r="H220" s="684" t="str">
        <f>IF(D220="na","na",Eqtn!$D$46/(D220*E220))</f>
        <v>na</v>
      </c>
      <c r="I220" s="611" t="str">
        <f>IF(C220="na","na",IF(F220="na","na",Eqtn!$D$68*C220/F220))</f>
        <v>na</v>
      </c>
      <c r="J220" s="612" t="str">
        <f>IF(D220="na","na",IF(F220="na","na",Eqtn!$D$90/(D220*F220)))</f>
        <v>na</v>
      </c>
      <c r="K220" s="124"/>
      <c r="L220" s="1062"/>
    </row>
    <row r="221" spans="1:12" s="284" customFormat="1" ht="13.9" customHeight="1" x14ac:dyDescent="0.25">
      <c r="A221" s="846">
        <f>Chem!A221</f>
        <v>219</v>
      </c>
      <c r="B221" s="1843" t="str">
        <f>Chem!B221</f>
        <v>1,2,3-Trichloropropane</v>
      </c>
      <c r="C221" s="909">
        <f>Param!O221</f>
        <v>4.0000000000000001E-3</v>
      </c>
      <c r="D221" s="384">
        <f>Param!V221</f>
        <v>30</v>
      </c>
      <c r="E221" s="675">
        <f>Param!AB221</f>
        <v>2</v>
      </c>
      <c r="F221" s="552" t="str">
        <f>Param!N221</f>
        <v>na</v>
      </c>
      <c r="G221" s="684">
        <f>IF(C221="na","na",(C221/E221)*Eqtn!$D$25)</f>
        <v>32</v>
      </c>
      <c r="H221" s="694">
        <v>3.8000000000000002E-4</v>
      </c>
      <c r="I221" s="611" t="str">
        <f>IF(C221="na","na",IF(F221="na","na",Eqtn!$D$68*C221/F221))</f>
        <v>na</v>
      </c>
      <c r="J221" s="612" t="str">
        <f>IF(D221="na","na",IF(F221="na","na",Eqtn!$D$90/(D221*F221)))</f>
        <v>na</v>
      </c>
      <c r="K221" s="124"/>
      <c r="L221" s="1062"/>
    </row>
    <row r="222" spans="1:12" s="284" customFormat="1" ht="13.9" customHeight="1" x14ac:dyDescent="0.25">
      <c r="A222" s="846">
        <f>Chem!A222</f>
        <v>220</v>
      </c>
      <c r="B222" s="916" t="str">
        <f>Chem!B222</f>
        <v>Trichlorotrifluoroethane</v>
      </c>
      <c r="C222" s="909">
        <f>Param!O222</f>
        <v>30</v>
      </c>
      <c r="D222" s="384" t="str">
        <f>Param!V222</f>
        <v>na</v>
      </c>
      <c r="E222" s="675">
        <f>Param!AB222</f>
        <v>2</v>
      </c>
      <c r="F222" s="552" t="str">
        <f>Param!N222</f>
        <v>na</v>
      </c>
      <c r="G222" s="684">
        <f>IF(C222="na","na",(C222/E222)*Eqtn!$D$25)</f>
        <v>240000</v>
      </c>
      <c r="H222" s="684" t="str">
        <f>IF(D222="na","na",Eqtn!$D$46/(D222*E222))</f>
        <v>na</v>
      </c>
      <c r="I222" s="611" t="str">
        <f>IF(C222="na","na",IF(F222="na","na",Eqtn!$D$68*C222/F222))</f>
        <v>na</v>
      </c>
      <c r="J222" s="612" t="str">
        <f>IF(D222="na","na",IF(F222="na","na",Eqtn!$D$90/(D222*F222)))</f>
        <v>na</v>
      </c>
      <c r="K222" s="124"/>
      <c r="L222" s="1062"/>
    </row>
    <row r="223" spans="1:12" s="284" customFormat="1" ht="13.9" customHeight="1" x14ac:dyDescent="0.25">
      <c r="A223" s="846">
        <f>Chem!A223</f>
        <v>221</v>
      </c>
      <c r="B223" s="916" t="str">
        <f>Chem!B223</f>
        <v>1,2,3-Trimethylbenzene</v>
      </c>
      <c r="C223" s="909">
        <f>Param!O223</f>
        <v>0.01</v>
      </c>
      <c r="D223" s="394" t="str">
        <f>Param!V223</f>
        <v>na</v>
      </c>
      <c r="E223" s="675">
        <f>Param!AB223</f>
        <v>2</v>
      </c>
      <c r="F223" s="552" t="str">
        <f>Param!N223</f>
        <v>na</v>
      </c>
      <c r="G223" s="684">
        <f>IF(C223="na","na",(C223/E223)*Eqtn!$D$25)</f>
        <v>80</v>
      </c>
      <c r="H223" s="684" t="str">
        <f>IF(D223="na","na",Eqtn!$D$46/(D223*E223))</f>
        <v>na</v>
      </c>
      <c r="I223" s="611" t="str">
        <f>IF(C223="na","na",IF(F223="na","na",Eqtn!$D$68*C223/F223))</f>
        <v>na</v>
      </c>
      <c r="J223" s="612" t="str">
        <f>IF(D223="na","na",IF(F223="na","na",Eqtn!$D$90/(D223*F223)))</f>
        <v>na</v>
      </c>
      <c r="K223" s="124"/>
      <c r="L223" s="1062"/>
    </row>
    <row r="224" spans="1:12" s="284" customFormat="1" ht="13.9" customHeight="1" x14ac:dyDescent="0.25">
      <c r="A224" s="846">
        <f>Chem!A224</f>
        <v>222</v>
      </c>
      <c r="B224" s="916" t="str">
        <f>Chem!B224</f>
        <v>1,2,4-Trimethylbenzene</v>
      </c>
      <c r="C224" s="909">
        <f>Param!O224</f>
        <v>0.01</v>
      </c>
      <c r="D224" s="384" t="str">
        <f>Param!V224</f>
        <v>na</v>
      </c>
      <c r="E224" s="675">
        <f>Param!AB224</f>
        <v>2</v>
      </c>
      <c r="F224" s="552" t="str">
        <f>Param!N224</f>
        <v>na</v>
      </c>
      <c r="G224" s="684">
        <f>IF(C224="na","na",(C224/E224)*Eqtn!$D$25)</f>
        <v>80</v>
      </c>
      <c r="H224" s="684" t="str">
        <f>IF(D224="na","na",Eqtn!$D$46/(D224*E224))</f>
        <v>na</v>
      </c>
      <c r="I224" s="611" t="str">
        <f>IF(C224="na","na",IF(F224="na","na",Eqtn!$D$68*C224/F224))</f>
        <v>na</v>
      </c>
      <c r="J224" s="612" t="str">
        <f>IF(D224="na","na",IF(F224="na","na",Eqtn!$D$90/(D224*F224)))</f>
        <v>na</v>
      </c>
      <c r="K224" s="124"/>
      <c r="L224" s="1062"/>
    </row>
    <row r="225" spans="1:12" s="284" customFormat="1" ht="13.9" customHeight="1" x14ac:dyDescent="0.25">
      <c r="A225" s="846">
        <f>Chem!A225</f>
        <v>223</v>
      </c>
      <c r="B225" s="916" t="str">
        <f>Chem!B225</f>
        <v>1,3,5-Trimethylbenzene</v>
      </c>
      <c r="C225" s="909">
        <f>Param!O225</f>
        <v>0.01</v>
      </c>
      <c r="D225" s="384" t="str">
        <f>Param!V225</f>
        <v>na</v>
      </c>
      <c r="E225" s="675">
        <f>Param!AB225</f>
        <v>2</v>
      </c>
      <c r="F225" s="552" t="str">
        <f>Param!N225</f>
        <v>na</v>
      </c>
      <c r="G225" s="684">
        <f>IF(C225="na","na",(C225/E225)*Eqtn!$D$25)</f>
        <v>80</v>
      </c>
      <c r="H225" s="684" t="str">
        <f>IF(D225="na","na",Eqtn!$D$46/(D225*E225))</f>
        <v>na</v>
      </c>
      <c r="I225" s="611" t="str">
        <f>IF(C225="na","na",IF(F225="na","na",Eqtn!$D$68*C225/F225))</f>
        <v>na</v>
      </c>
      <c r="J225" s="612" t="str">
        <f>IF(D225="na","na",IF(F225="na","na",Eqtn!$D$90/(D225*F225)))</f>
        <v>na</v>
      </c>
      <c r="K225" s="124"/>
      <c r="L225" s="1062"/>
    </row>
    <row r="226" spans="1:12" s="284" customFormat="1" ht="13.9" customHeight="1" x14ac:dyDescent="0.25">
      <c r="A226" s="846">
        <f>Chem!A226</f>
        <v>224</v>
      </c>
      <c r="B226" s="916" t="str">
        <f>Chem!B226</f>
        <v>Vinyl acetate</v>
      </c>
      <c r="C226" s="909">
        <f>Param!O226</f>
        <v>1</v>
      </c>
      <c r="D226" s="384" t="str">
        <f>Param!V226</f>
        <v>na</v>
      </c>
      <c r="E226" s="675">
        <f>Param!AB226</f>
        <v>2</v>
      </c>
      <c r="F226" s="552" t="str">
        <f>Param!N226</f>
        <v>na</v>
      </c>
      <c r="G226" s="684">
        <f>IF(C226="na","na",(C226/E226)*Eqtn!$D$25)</f>
        <v>8000</v>
      </c>
      <c r="H226" s="684" t="str">
        <f>IF(D226="na","na",Eqtn!$D$46/(D226*E226))</f>
        <v>na</v>
      </c>
      <c r="I226" s="611" t="str">
        <f>IF(C226="na","na",IF(F226="na","na",Eqtn!$D$68*C226/F226))</f>
        <v>na</v>
      </c>
      <c r="J226" s="612" t="str">
        <f>IF(D226="na","na",IF(F226="na","na",Eqtn!$D$90/(D226*F226)))</f>
        <v>na</v>
      </c>
      <c r="K226" s="124"/>
      <c r="L226" s="1062"/>
    </row>
    <row r="227" spans="1:12" s="284" customFormat="1" ht="13.9" customHeight="1" x14ac:dyDescent="0.25">
      <c r="A227" s="846">
        <f>Chem!A227</f>
        <v>225</v>
      </c>
      <c r="B227" s="1843" t="str">
        <f>Chem!B227</f>
        <v>Vinyl chloride</v>
      </c>
      <c r="C227" s="909">
        <f>Param!O227</f>
        <v>3.0000000000000001E-3</v>
      </c>
      <c r="D227" s="384">
        <f>Param!V227</f>
        <v>1.5</v>
      </c>
      <c r="E227" s="675">
        <f>Param!AB227</f>
        <v>2</v>
      </c>
      <c r="F227" s="552">
        <f>Param!N227</f>
        <v>1.17</v>
      </c>
      <c r="G227" s="684">
        <f>IF(C227="na","na",(C227/E227)*Eqtn!$D$25)</f>
        <v>24</v>
      </c>
      <c r="H227" s="684">
        <f>IF(D227="na","na",Eqtn!$D$46/(D227*E227))</f>
        <v>2.916666666666666E-2</v>
      </c>
      <c r="I227" s="611">
        <f>IF(C227="na","na",IF(F227="na","na",Eqtn!$D$68*C227/F227))</f>
        <v>1840.8941485864564</v>
      </c>
      <c r="J227" s="612">
        <f>IF(D227="na","na",IF(F227="na","na",Eqtn!$D$90/(D227*F227)))</f>
        <v>1.02271897143692</v>
      </c>
      <c r="K227" s="124"/>
      <c r="L227" s="1062"/>
    </row>
    <row r="228" spans="1:12" s="284" customFormat="1" ht="13.9" customHeight="1" x14ac:dyDescent="0.25">
      <c r="A228" s="1661">
        <f>Chem!A228</f>
        <v>226</v>
      </c>
      <c r="B228" s="916" t="str">
        <f>Chem!B228</f>
        <v>Total xylenes</v>
      </c>
      <c r="C228" s="910">
        <f>Param!O228</f>
        <v>0.2</v>
      </c>
      <c r="D228" s="385" t="str">
        <f>Param!V228</f>
        <v>na</v>
      </c>
      <c r="E228" s="676">
        <f>Param!AB228</f>
        <v>2</v>
      </c>
      <c r="F228" s="589" t="str">
        <f>Param!N228</f>
        <v>na</v>
      </c>
      <c r="G228" s="685">
        <f>IF(C228="na","na",(C228/E228)*Eqtn!$D$25)</f>
        <v>1600</v>
      </c>
      <c r="H228" s="685" t="str">
        <f>IF(D228="na","na",Eqtn!$D$46/(D228*E228))</f>
        <v>na</v>
      </c>
      <c r="I228" s="618" t="str">
        <f>IF(C228="na","na",IF(F228="na","na",Eqtn!$D$68*C228/F228))</f>
        <v>na</v>
      </c>
      <c r="J228" s="619" t="str">
        <f>IF(D228="na","na",IF(F228="na","na",Eqtn!$D$90/(D228*F228)))</f>
        <v>na</v>
      </c>
      <c r="K228" s="124"/>
      <c r="L228" s="1062"/>
    </row>
    <row r="229" spans="1:12" s="284" customFormat="1" ht="13.9" customHeight="1" x14ac:dyDescent="0.25">
      <c r="A229" s="1197">
        <f>Chem!A229</f>
        <v>227</v>
      </c>
      <c r="B229" s="887" t="str">
        <f>Chem!B229</f>
        <v>PFAS</v>
      </c>
      <c r="C229" s="127"/>
      <c r="D229" s="259"/>
      <c r="E229" s="2374"/>
      <c r="F229" s="127"/>
      <c r="G229" s="127"/>
      <c r="H229" s="127"/>
      <c r="I229" s="127"/>
      <c r="J229" s="2364"/>
      <c r="K229" s="124"/>
      <c r="L229" s="1063"/>
    </row>
    <row r="230" spans="1:12" s="284" customFormat="1" ht="13.9" customHeight="1" x14ac:dyDescent="0.25">
      <c r="A230" s="2251">
        <f>Chem!A230</f>
        <v>228</v>
      </c>
      <c r="B230" s="923" t="str">
        <f>Chem!B230</f>
        <v>6:2 Fluorotelomer sulfonic acid (6:2 FTS)</v>
      </c>
      <c r="C230" s="683">
        <f>Param!O230</f>
        <v>2.0000000000000001E-4</v>
      </c>
      <c r="D230" s="1801" t="str">
        <f>Param!V230</f>
        <v>na</v>
      </c>
      <c r="E230" s="2253">
        <f>Param!AB230</f>
        <v>1</v>
      </c>
      <c r="F230" s="683" t="str">
        <f>Param!N230</f>
        <v>na</v>
      </c>
      <c r="G230" s="691">
        <f>IF(C230="na","na",(C230/E230)*Eqtn!$D$25)</f>
        <v>3.2</v>
      </c>
      <c r="H230" s="691" t="str">
        <f>IF(D230="na","na",Eqtn!$D$46/(D230*E230))</f>
        <v>na</v>
      </c>
      <c r="I230" s="1565" t="str">
        <f>IF(C230="na","na",IF(F230="na","na",Eqtn!$D$68*C230/F230))</f>
        <v>na</v>
      </c>
      <c r="J230" s="2254" t="str">
        <f>IF(D230="na","na",IF(F230="na","na",Eqtn!$D$90/(D230*F230)))</f>
        <v>na</v>
      </c>
      <c r="K230" s="267"/>
      <c r="L230" s="1062"/>
    </row>
    <row r="231" spans="1:12" s="284" customFormat="1" ht="13.9" customHeight="1" x14ac:dyDescent="0.25">
      <c r="A231" s="846">
        <f>Chem!A231</f>
        <v>229</v>
      </c>
      <c r="B231" s="918" t="str">
        <f>Chem!B231</f>
        <v>GenX (HFPO-DA)</v>
      </c>
      <c r="C231" s="1119">
        <f>Param!O231</f>
        <v>3.0000000000000001E-6</v>
      </c>
      <c r="D231" s="531" t="str">
        <f>Param!V231</f>
        <v>na</v>
      </c>
      <c r="E231" s="1614">
        <f>Param!AB231</f>
        <v>2</v>
      </c>
      <c r="F231" s="1119" t="str">
        <f>Param!N231</f>
        <v>na</v>
      </c>
      <c r="G231" s="1326">
        <f>IF(C231="na","na",(C231/E231)*Eqtn!$D$25)</f>
        <v>2.4E-2</v>
      </c>
      <c r="H231" s="1326" t="str">
        <f>IF(D231="na","na",Eqtn!$D$46/(D231*E231))</f>
        <v>na</v>
      </c>
      <c r="I231" s="1615" t="str">
        <f>IF(C231="na","na",IF(F231="na","na",Eqtn!$D$68*C231/F231))</f>
        <v>na</v>
      </c>
      <c r="J231" s="1616" t="str">
        <f>IF(D231="na","na",IF(F231="na","na",Eqtn!$D$90/(D231*F231)))</f>
        <v>na</v>
      </c>
      <c r="K231" s="124"/>
      <c r="L231" s="1062"/>
    </row>
    <row r="232" spans="1:12" s="284" customFormat="1" ht="13.9" customHeight="1" x14ac:dyDescent="0.25">
      <c r="A232" s="846">
        <f>Chem!A232</f>
        <v>230</v>
      </c>
      <c r="B232" s="918" t="str">
        <f>Chem!B232</f>
        <v>Perfluorobutanoic acid (PFBA)</v>
      </c>
      <c r="C232" s="1119">
        <f>Param!O232</f>
        <v>1E-3</v>
      </c>
      <c r="D232" s="531" t="str">
        <f>Param!V232</f>
        <v>na</v>
      </c>
      <c r="E232" s="1614">
        <f>Param!AB232</f>
        <v>2</v>
      </c>
      <c r="F232" s="1119" t="str">
        <f>Param!N232</f>
        <v>na</v>
      </c>
      <c r="G232" s="1326">
        <f>IF(C232="na","na",(C232/E232)*Eqtn!$D$25)</f>
        <v>8</v>
      </c>
      <c r="H232" s="1326" t="str">
        <f>IF(D232="na","na",Eqtn!$D$46/(D232*E232))</f>
        <v>na</v>
      </c>
      <c r="I232" s="1615" t="str">
        <f>IF(C232="na","na",IF(F232="na","na",Eqtn!$D$68*C232/F232))</f>
        <v>na</v>
      </c>
      <c r="J232" s="1616" t="str">
        <f>IF(D232="na","na",IF(F232="na","na",Eqtn!$D$90/(D232*F232)))</f>
        <v>na</v>
      </c>
      <c r="K232" s="124"/>
      <c r="L232" s="1062"/>
    </row>
    <row r="233" spans="1:12" s="284" customFormat="1" ht="13.9" customHeight="1" x14ac:dyDescent="0.25">
      <c r="A233" s="846">
        <f>Chem!A233</f>
        <v>231</v>
      </c>
      <c r="B233" s="916" t="str">
        <f>Chem!B233</f>
        <v>Perfluorobutanesulfonic acid (PFBS)</v>
      </c>
      <c r="C233" s="552">
        <f>Param!O233</f>
        <v>2.9999999999999997E-4</v>
      </c>
      <c r="D233" s="343" t="str">
        <f>Param!V233</f>
        <v>na</v>
      </c>
      <c r="E233" s="1541">
        <f>Param!AB233</f>
        <v>1</v>
      </c>
      <c r="F233" s="552" t="str">
        <f>Param!N233</f>
        <v>na</v>
      </c>
      <c r="G233" s="602">
        <f>IF(C233="na","na",(C233/E233)*Eqtn!$D$25)</f>
        <v>4.8</v>
      </c>
      <c r="H233" s="602" t="str">
        <f>IF(D233="na","na",Eqtn!$D$46/(D233*E233))</f>
        <v>na</v>
      </c>
      <c r="I233" s="1145" t="str">
        <f>IF(C233="na","na",IF(F233="na","na",Eqtn!$D$68*C233/F233))</f>
        <v>na</v>
      </c>
      <c r="J233" s="612" t="str">
        <f>IF(D233="na","na",IF(F233="na","na",Eqtn!$D$90/(D233*F233)))</f>
        <v>na</v>
      </c>
      <c r="K233" s="124"/>
      <c r="L233" s="1062"/>
    </row>
    <row r="234" spans="1:12" s="284" customFormat="1" ht="13.9" customHeight="1" x14ac:dyDescent="0.25">
      <c r="A234" s="846">
        <f>Chem!A234</f>
        <v>232</v>
      </c>
      <c r="B234" s="916" t="str">
        <f>Chem!B234</f>
        <v>Perfluorodecanoic acid (PFDA)</v>
      </c>
      <c r="C234" s="552">
        <f>Param!O234</f>
        <v>2.0000000000000001E-9</v>
      </c>
      <c r="D234" s="343" t="str">
        <f>Param!V234</f>
        <v>na</v>
      </c>
      <c r="E234" s="1541">
        <f>Param!AB234</f>
        <v>1</v>
      </c>
      <c r="F234" s="552" t="str">
        <f>Param!N234</f>
        <v>na</v>
      </c>
      <c r="G234" s="602">
        <f>IF(C234="na","na",(C234/E234)*Eqtn!$D$25)</f>
        <v>3.2000000000000005E-5</v>
      </c>
      <c r="H234" s="602" t="str">
        <f>IF(D234="na","na",Eqtn!$D$46/(D234*E234))</f>
        <v>na</v>
      </c>
      <c r="I234" s="1145" t="str">
        <f>IF(C234="na","na",IF(F234="na","na",Eqtn!$D$68*C234/F234))</f>
        <v>na</v>
      </c>
      <c r="J234" s="612" t="str">
        <f>IF(D234="na","na",IF(F234="na","na",Eqtn!$D$90/(D234*F234)))</f>
        <v>na</v>
      </c>
      <c r="K234" s="124"/>
      <c r="L234" s="1062"/>
    </row>
    <row r="235" spans="1:12" s="284" customFormat="1" ht="13.9" customHeight="1" x14ac:dyDescent="0.25">
      <c r="A235" s="846">
        <f>Chem!A235</f>
        <v>233</v>
      </c>
      <c r="B235" s="916" t="str">
        <f>Chem!B235</f>
        <v>Perfluorohexanoic acid (PFHxA)</v>
      </c>
      <c r="C235" s="552">
        <f>Param!O235</f>
        <v>5.0000000000000001E-4</v>
      </c>
      <c r="D235" s="343" t="str">
        <f>Param!V235</f>
        <v>na</v>
      </c>
      <c r="E235" s="1541">
        <f>Param!AB235</f>
        <v>1</v>
      </c>
      <c r="F235" s="552" t="str">
        <f>Param!N235</f>
        <v>na</v>
      </c>
      <c r="G235" s="602">
        <f>IF(C235="na","na",(C235/E235)*Eqtn!$D$25)</f>
        <v>8</v>
      </c>
      <c r="H235" s="602" t="str">
        <f>IF(D235="na","na",Eqtn!$D$46/(D235*E235))</f>
        <v>na</v>
      </c>
      <c r="I235" s="1145" t="str">
        <f>IF(C235="na","na",IF(F235="na","na",Eqtn!$D$68*C235/F235))</f>
        <v>na</v>
      </c>
      <c r="J235" s="612" t="str">
        <f>IF(D235="na","na",IF(F235="na","na",Eqtn!$D$90/(D235*F235)))</f>
        <v>na</v>
      </c>
      <c r="K235" s="124"/>
      <c r="L235" s="1062"/>
    </row>
    <row r="236" spans="1:12" s="284" customFormat="1" ht="13.9" customHeight="1" x14ac:dyDescent="0.25">
      <c r="A236" s="846">
        <f>Chem!A236</f>
        <v>234</v>
      </c>
      <c r="B236" s="916" t="str">
        <f>Chem!B236</f>
        <v>Perfluorohexanesulfonic acid (PFHxS)</v>
      </c>
      <c r="C236" s="552">
        <f>Param!O236</f>
        <v>4.0000000000000001E-10</v>
      </c>
      <c r="D236" s="343" t="str">
        <f>Param!V236</f>
        <v>na</v>
      </c>
      <c r="E236" s="1541">
        <f>Param!AB236</f>
        <v>1</v>
      </c>
      <c r="F236" s="552" t="str">
        <f>Param!N236</f>
        <v>na</v>
      </c>
      <c r="G236" s="602">
        <f>IF(C236="na","na",(C236/E236)*Eqtn!$D$25)</f>
        <v>6.4000000000000006E-6</v>
      </c>
      <c r="H236" s="602" t="str">
        <f>IF(D236="na","na",Eqtn!$D$46/(D236*E236))</f>
        <v>na</v>
      </c>
      <c r="I236" s="1145" t="str">
        <f>IF(C236="na","na",IF(F236="na","na",Eqtn!$D$68*C236/F236))</f>
        <v>na</v>
      </c>
      <c r="J236" s="612" t="str">
        <f>IF(D236="na","na",IF(F236="na","na",Eqtn!$D$90/(D236*F236)))</f>
        <v>na</v>
      </c>
      <c r="K236" s="124"/>
      <c r="L236" s="1062"/>
    </row>
    <row r="237" spans="1:12" s="284" customFormat="1" ht="13.9" customHeight="1" x14ac:dyDescent="0.25">
      <c r="A237" s="846">
        <f>Chem!A237</f>
        <v>235</v>
      </c>
      <c r="B237" s="916" t="str">
        <f>Chem!B237</f>
        <v>Perfluorononanoic acid (PFNA)</v>
      </c>
      <c r="C237" s="552">
        <f>Param!O237</f>
        <v>2.5000000000000002E-6</v>
      </c>
      <c r="D237" s="343" t="str">
        <f>Param!V237</f>
        <v>na</v>
      </c>
      <c r="E237" s="1541">
        <f>Param!AB237</f>
        <v>1</v>
      </c>
      <c r="F237" s="552" t="str">
        <f>Param!N237</f>
        <v>na</v>
      </c>
      <c r="G237" s="602">
        <f>IF(C237="na","na",(C237/E237)*Eqtn!$D$25)</f>
        <v>0.04</v>
      </c>
      <c r="H237" s="602" t="str">
        <f>IF(D237="na","na",Eqtn!$D$46/(D237*E237))</f>
        <v>na</v>
      </c>
      <c r="I237" s="1145" t="str">
        <f>IF(C237="na","na",IF(F237="na","na",Eqtn!$D$68*C237/F237))</f>
        <v>na</v>
      </c>
      <c r="J237" s="612" t="str">
        <f>IF(D237="na","na",IF(F237="na","na",Eqtn!$D$90/(D237*F237)))</f>
        <v>na</v>
      </c>
      <c r="K237" s="124"/>
      <c r="L237" s="1062"/>
    </row>
    <row r="238" spans="1:12" s="284" customFormat="1" ht="13.9" customHeight="1" x14ac:dyDescent="0.25">
      <c r="A238" s="846">
        <f>Chem!A238</f>
        <v>236</v>
      </c>
      <c r="B238" s="916" t="str">
        <f>Chem!B238</f>
        <v>Perfluorooctanesulfonic acid (PFOS)</v>
      </c>
      <c r="C238" s="552">
        <f>Param!O238</f>
        <v>9.9999999999999995E-8</v>
      </c>
      <c r="D238" s="343">
        <f>Param!V238</f>
        <v>39.5</v>
      </c>
      <c r="E238" s="1541">
        <f>Param!AB238</f>
        <v>1</v>
      </c>
      <c r="F238" s="552" t="str">
        <f>Param!N238</f>
        <v>na</v>
      </c>
      <c r="G238" s="602">
        <f>IF(C238="na","na",(C238/E238)*Eqtn!$D$25)</f>
        <v>1.5999999999999999E-3</v>
      </c>
      <c r="H238" s="602">
        <f>IF(D238="na","na",Eqtn!$D$46/(D238*E238))</f>
        <v>2.2151898734177212E-3</v>
      </c>
      <c r="I238" s="1145" t="str">
        <f>IF(C238="na","na",IF(F238="na","na",Eqtn!$D$68*C238/F238))</f>
        <v>na</v>
      </c>
      <c r="J238" s="612" t="str">
        <f>IF(D238="na","na",IF(F238="na","na",Eqtn!$D$90/(D238*F238)))</f>
        <v>na</v>
      </c>
      <c r="K238" s="124"/>
      <c r="L238" s="1062"/>
    </row>
    <row r="239" spans="1:12" s="284" customFormat="1" ht="13.9" customHeight="1" x14ac:dyDescent="0.25">
      <c r="A239" s="1661">
        <f>Chem!A239</f>
        <v>237</v>
      </c>
      <c r="B239" s="1142" t="str">
        <f>Chem!B239</f>
        <v>Perfluorooctanoic acid (PFOA)</v>
      </c>
      <c r="C239" s="589">
        <f>Param!O239</f>
        <v>2.9999999999999997E-8</v>
      </c>
      <c r="D239" s="533">
        <f>Param!V239</f>
        <v>29300</v>
      </c>
      <c r="E239" s="1542">
        <f>Param!AB239</f>
        <v>1</v>
      </c>
      <c r="F239" s="589" t="str">
        <f>Param!N239</f>
        <v>na</v>
      </c>
      <c r="G239" s="609">
        <f>IF(C239="na","na",(C239/E239)*Eqtn!$D$25)</f>
        <v>4.7999999999999996E-4</v>
      </c>
      <c r="H239" s="609">
        <f>IF(D239="na","na",Eqtn!$D$46/(D239*E239))</f>
        <v>2.9863481228668937E-6</v>
      </c>
      <c r="I239" s="1543" t="str">
        <f>IF(C239="na","na",IF(F239="na","na",Eqtn!$D$68*C239/F239))</f>
        <v>na</v>
      </c>
      <c r="J239" s="619" t="str">
        <f>IF(D239="na","na",IF(F239="na","na",Eqtn!$D$90/(D239*F239)))</f>
        <v>na</v>
      </c>
      <c r="K239" s="124"/>
      <c r="L239" s="1062"/>
    </row>
    <row r="240" spans="1:12" ht="13.9" customHeight="1" x14ac:dyDescent="0.25">
      <c r="A240" s="1197">
        <f>Chem!A240</f>
        <v>238</v>
      </c>
      <c r="B240" s="887" t="str">
        <f>Chem!B240</f>
        <v>Petroleum Hydrocarbons</v>
      </c>
      <c r="C240" s="127"/>
      <c r="D240" s="259"/>
      <c r="E240" s="2374"/>
      <c r="F240" s="127"/>
      <c r="G240" s="127"/>
      <c r="H240" s="127"/>
      <c r="I240" s="127"/>
      <c r="J240" s="2364"/>
      <c r="L240" s="1063"/>
    </row>
    <row r="241" spans="1:12" ht="13.9" customHeight="1" x14ac:dyDescent="0.25">
      <c r="A241" s="846">
        <f>Chem!A241</f>
        <v>239</v>
      </c>
      <c r="B241" s="916" t="str">
        <f>Chem!B241</f>
        <v>Gasoline range hydrocarbons, fresh</v>
      </c>
      <c r="C241" s="591" t="str">
        <f>Param!O241</f>
        <v>na</v>
      </c>
      <c r="D241" s="681" t="str">
        <f>Param!V241</f>
        <v>na</v>
      </c>
      <c r="E241" s="677">
        <f>Param!AB241</f>
        <v>1</v>
      </c>
      <c r="F241" s="591" t="str">
        <f>Param!N241</f>
        <v>na</v>
      </c>
      <c r="G241" s="686">
        <v>800</v>
      </c>
      <c r="H241" s="686" t="str">
        <f>IF(D241="na","na",Eqtn!$D$46/(D241*E241))</f>
        <v>na</v>
      </c>
      <c r="I241" s="620">
        <v>800</v>
      </c>
      <c r="J241" s="613" t="str">
        <f>IF(D241="na","na",IF(F241="na","na",Eqtn!$D$90/(D241*F241)))</f>
        <v>na</v>
      </c>
      <c r="L241" s="1062"/>
    </row>
    <row r="242" spans="1:12" ht="13.9" customHeight="1" x14ac:dyDescent="0.25">
      <c r="A242" s="846">
        <f>Chem!A242</f>
        <v>240</v>
      </c>
      <c r="B242" s="916" t="str">
        <f>Chem!B242</f>
        <v>Gasoline range hydrocarbons, weathered</v>
      </c>
      <c r="C242" s="552" t="str">
        <f>Param!O242</f>
        <v>na</v>
      </c>
      <c r="D242" s="398" t="str">
        <f>Param!V242</f>
        <v>na</v>
      </c>
      <c r="E242" s="675">
        <f>Param!AB242</f>
        <v>1</v>
      </c>
      <c r="F242" s="552" t="str">
        <f>Param!N242</f>
        <v>na</v>
      </c>
      <c r="G242" s="684">
        <v>1000</v>
      </c>
      <c r="H242" s="684" t="str">
        <f>IF(D242="na","na",Eqtn!$D$46/(D242*E242))</f>
        <v>na</v>
      </c>
      <c r="I242" s="611">
        <v>1000</v>
      </c>
      <c r="J242" s="612" t="str">
        <f>IF(D242="na","na",IF(F242="na","na",Eqtn!$D$90/(D242*F242)))</f>
        <v>na</v>
      </c>
      <c r="L242" s="1062"/>
    </row>
    <row r="243" spans="1:12" ht="13.9" customHeight="1" x14ac:dyDescent="0.25">
      <c r="A243" s="846">
        <f>Chem!A243</f>
        <v>241</v>
      </c>
      <c r="B243" s="916" t="str">
        <f>Chem!B243</f>
        <v>Diesel range hydrocarbons, fresh</v>
      </c>
      <c r="C243" s="909" t="str">
        <f>Param!O243</f>
        <v>na</v>
      </c>
      <c r="D243" s="398" t="str">
        <f>Param!V243</f>
        <v>na</v>
      </c>
      <c r="E243" s="675">
        <f>Param!AB243</f>
        <v>1</v>
      </c>
      <c r="F243" s="552" t="str">
        <f>Param!N243</f>
        <v>na</v>
      </c>
      <c r="G243" s="684">
        <v>500</v>
      </c>
      <c r="H243" s="684" t="str">
        <f>IF(D243="na","na",Eqtn!$D$46/(D243*E243))</f>
        <v>na</v>
      </c>
      <c r="I243" s="611">
        <v>500</v>
      </c>
      <c r="J243" s="612" t="str">
        <f>IF(D243="na","na",IF(F243="na","na",Eqtn!$D$90/(D243*F243)))</f>
        <v>na</v>
      </c>
      <c r="L243" s="1062"/>
    </row>
    <row r="244" spans="1:12" ht="13.9" customHeight="1" x14ac:dyDescent="0.25">
      <c r="A244" s="846">
        <f>Chem!A244</f>
        <v>242</v>
      </c>
      <c r="B244" s="916" t="str">
        <f>Chem!B244</f>
        <v>Diesel range hydrocarbons, weathered</v>
      </c>
      <c r="C244" s="909" t="str">
        <f>Param!O244</f>
        <v>na</v>
      </c>
      <c r="D244" s="398" t="str">
        <f>Param!V244</f>
        <v>na</v>
      </c>
      <c r="E244" s="675">
        <f>Param!AB244</f>
        <v>1</v>
      </c>
      <c r="F244" s="552" t="str">
        <f>Param!N244</f>
        <v>na</v>
      </c>
      <c r="G244" s="684">
        <v>500</v>
      </c>
      <c r="H244" s="684" t="str">
        <f>IF(D244="na","na",Eqtn!$D$46/(D244*E244))</f>
        <v>na</v>
      </c>
      <c r="I244" s="611">
        <v>500</v>
      </c>
      <c r="J244" s="612" t="str">
        <f>IF(D244="na","na",IF(F244="na","na",Eqtn!$D$90/(D244*F244)))</f>
        <v>na</v>
      </c>
      <c r="L244" s="1062"/>
    </row>
    <row r="245" spans="1:12" ht="13.9" customHeight="1" x14ac:dyDescent="0.25">
      <c r="A245" s="846">
        <f>Chem!A245</f>
        <v>243</v>
      </c>
      <c r="B245" s="917" t="str">
        <f>Chem!B245</f>
        <v>Oil range hydrocarbons</v>
      </c>
      <c r="C245" s="552" t="str">
        <f>Param!O245</f>
        <v>na</v>
      </c>
      <c r="D245" s="398" t="str">
        <f>Param!V245</f>
        <v>na</v>
      </c>
      <c r="E245" s="675">
        <f>Param!AB245</f>
        <v>1</v>
      </c>
      <c r="F245" s="552" t="str">
        <f>Param!N245</f>
        <v>na</v>
      </c>
      <c r="G245" s="684">
        <v>500</v>
      </c>
      <c r="H245" s="684" t="str">
        <f>IF(D245="na","na",Eqtn!$D$46/(D245*E245))</f>
        <v>na</v>
      </c>
      <c r="I245" s="611">
        <v>500</v>
      </c>
      <c r="J245" s="612" t="str">
        <f>IF(D245="na","na",IF(F245="na","na",Eqtn!$D$90/(D245*F245)))</f>
        <v>na</v>
      </c>
      <c r="L245" s="1062"/>
    </row>
    <row r="246" spans="1:12" ht="13.9" customHeight="1" x14ac:dyDescent="0.25">
      <c r="A246" s="1661">
        <f>Chem!A246</f>
        <v>244</v>
      </c>
      <c r="B246" s="917" t="str">
        <f>Chem!B246</f>
        <v>Total diesel &amp; oil range hydrocarbons</v>
      </c>
      <c r="C246" s="1002" t="str">
        <f>Param!O246</f>
        <v>na</v>
      </c>
      <c r="D246" s="1003" t="str">
        <f>Param!V246</f>
        <v>na</v>
      </c>
      <c r="E246" s="1004" t="str">
        <f>Param!AB246</f>
        <v>na</v>
      </c>
      <c r="F246" s="997" t="str">
        <f>Param!N246</f>
        <v>na</v>
      </c>
      <c r="G246" s="999">
        <v>500</v>
      </c>
      <c r="H246" s="999" t="str">
        <f>IF(D246="na","na",Eqtn!$D$46/(D246*E246))</f>
        <v>na</v>
      </c>
      <c r="I246" s="1005">
        <v>500</v>
      </c>
      <c r="J246" s="1006" t="str">
        <f>IF(D246="na","na",IF(F246="na","na",Eqtn!$D$90/(D246*F246)))</f>
        <v>na</v>
      </c>
      <c r="L246" s="1062"/>
    </row>
    <row r="247" spans="1:12" ht="13.9" customHeight="1" x14ac:dyDescent="0.25">
      <c r="A247" s="1197">
        <f>Chem!A247</f>
        <v>245</v>
      </c>
      <c r="B247" s="887" t="str">
        <f>Chem!B247</f>
        <v>Pesticides</v>
      </c>
      <c r="C247" s="127"/>
      <c r="D247" s="259"/>
      <c r="E247" s="2374"/>
      <c r="F247" s="127"/>
      <c r="G247" s="127"/>
      <c r="H247" s="127"/>
      <c r="I247" s="127"/>
      <c r="J247" s="2364"/>
      <c r="L247" s="1063"/>
    </row>
    <row r="248" spans="1:12" ht="13.9" customHeight="1" x14ac:dyDescent="0.25">
      <c r="A248" s="846">
        <f>Chem!A248</f>
        <v>246</v>
      </c>
      <c r="B248" s="918" t="str">
        <f>Chem!B248</f>
        <v>Aldrin</v>
      </c>
      <c r="C248" s="911">
        <f>Param!O248</f>
        <v>3.0000000000000001E-5</v>
      </c>
      <c r="D248" s="552">
        <f>Param!V248</f>
        <v>17</v>
      </c>
      <c r="E248" s="677">
        <f>Param!AB248</f>
        <v>2</v>
      </c>
      <c r="F248" s="591">
        <f>Param!N248</f>
        <v>4670</v>
      </c>
      <c r="G248" s="686">
        <f>IF(C248="na","na",(C248/E248)*Eqtn!$D$25)</f>
        <v>0.24000000000000002</v>
      </c>
      <c r="H248" s="686">
        <f>IF(D248="na","na",Eqtn!$D$46/(D248*E248))</f>
        <v>2.5735294117647054E-3</v>
      </c>
      <c r="I248" s="620">
        <f>IF(C248="na","na",IF(F248="na","na",Eqtn!$D$68*C248/F248))</f>
        <v>4.6120902651951906E-3</v>
      </c>
      <c r="J248" s="613">
        <f>IF(D248="na","na",IF(F248="na","na",Eqtn!$D$90/(D248*F248)))</f>
        <v>2.2608285613701907E-5</v>
      </c>
      <c r="L248" s="1062"/>
    </row>
    <row r="249" spans="1:12" ht="13.9" customHeight="1" x14ac:dyDescent="0.25">
      <c r="A249" s="846">
        <f>Chem!A249</f>
        <v>247</v>
      </c>
      <c r="B249" s="916" t="str">
        <f>Chem!B249</f>
        <v>alpha-BHC (alpha-HCH)</v>
      </c>
      <c r="C249" s="909">
        <f>Param!O249</f>
        <v>8.9999999999999998E-4</v>
      </c>
      <c r="D249" s="552">
        <f>Param!V249</f>
        <v>6.3</v>
      </c>
      <c r="E249" s="675">
        <f>Param!AB249</f>
        <v>1</v>
      </c>
      <c r="F249" s="552">
        <f>Param!N249</f>
        <v>130</v>
      </c>
      <c r="G249" s="684">
        <f>IF(C249="na","na",(C249/E249)*Eqtn!$D$25)</f>
        <v>14.4</v>
      </c>
      <c r="H249" s="684">
        <f>IF(D249="na","na",Eqtn!$D$46/(D249*E249))</f>
        <v>1.3888888888888886E-2</v>
      </c>
      <c r="I249" s="611">
        <f>IF(C249="na","na",IF(F249="na","na",Eqtn!$D$68*C249/F249))</f>
        <v>4.9704142011834325</v>
      </c>
      <c r="J249" s="612">
        <f>IF(D249="na","na",IF(F249="na","na",Eqtn!$D$90/(D249*F249)))</f>
        <v>2.1915406530791143E-3</v>
      </c>
      <c r="L249" s="1062"/>
    </row>
    <row r="250" spans="1:12" ht="13.9" customHeight="1" x14ac:dyDescent="0.25">
      <c r="A250" s="846">
        <f>Chem!A250</f>
        <v>248</v>
      </c>
      <c r="B250" s="916" t="str">
        <f>Chem!B250</f>
        <v>beta-BHC (beta-HCH)</v>
      </c>
      <c r="C250" s="909" t="str">
        <f>Param!O250</f>
        <v>na</v>
      </c>
      <c r="D250" s="552">
        <f>Param!V250</f>
        <v>1.8</v>
      </c>
      <c r="E250" s="675">
        <f>Param!AB250</f>
        <v>1</v>
      </c>
      <c r="F250" s="552">
        <f>Param!N250</f>
        <v>130</v>
      </c>
      <c r="G250" s="684" t="str">
        <f>IF(C250="na","na",(C250/E250)*Eqtn!$D$25)</f>
        <v>na</v>
      </c>
      <c r="H250" s="684">
        <f>IF(D250="na","na",Eqtn!$D$46/(D250*E250))</f>
        <v>4.8611111111111098E-2</v>
      </c>
      <c r="I250" s="611" t="str">
        <f>IF(C250="na","na",IF(F250="na","na",Eqtn!$D$68*C250/F250))</f>
        <v>na</v>
      </c>
      <c r="J250" s="612">
        <f>IF(D250="na","na",IF(F250="na","na",Eqtn!$D$90/(D250*F250)))</f>
        <v>7.6703922857768994E-3</v>
      </c>
      <c r="L250" s="1062"/>
    </row>
    <row r="251" spans="1:12" ht="13.9" customHeight="1" x14ac:dyDescent="0.25">
      <c r="A251" s="846">
        <f>Chem!A251</f>
        <v>249</v>
      </c>
      <c r="B251" s="916" t="str">
        <f>Chem!B251</f>
        <v>delta-BHC (delta-HCH)</v>
      </c>
      <c r="C251" s="909">
        <f>Param!O251</f>
        <v>5.9999999999999995E-8</v>
      </c>
      <c r="D251" s="552" t="str">
        <f>Param!V251</f>
        <v>na</v>
      </c>
      <c r="E251" s="675">
        <f>Param!AB251</f>
        <v>1</v>
      </c>
      <c r="F251" s="552" t="str">
        <f>Param!N251</f>
        <v>na</v>
      </c>
      <c r="G251" s="684">
        <f>IF(C251="na","na",(C251/E251)*Eqtn!$D$25)</f>
        <v>9.5999999999999992E-4</v>
      </c>
      <c r="H251" s="684" t="str">
        <f>IF(D251="na","na",Eqtn!$D$46/(D251*E251))</f>
        <v>na</v>
      </c>
      <c r="I251" s="611" t="str">
        <f>IF(C251="na","na",IF(F251="na","na",Eqtn!$D$68*C251/F251))</f>
        <v>na</v>
      </c>
      <c r="J251" s="612" t="str">
        <f>IF(D251="na","na",IF(F251="na","na",Eqtn!$D$90/(D251*F251)))</f>
        <v>na</v>
      </c>
      <c r="L251" s="1062"/>
    </row>
    <row r="252" spans="1:12" ht="13.9" customHeight="1" x14ac:dyDescent="0.25">
      <c r="A252" s="846">
        <f>Chem!A252</f>
        <v>250</v>
      </c>
      <c r="B252" s="916" t="str">
        <f>Chem!B252</f>
        <v>Carbaryl</v>
      </c>
      <c r="C252" s="909">
        <f>Param!O252</f>
        <v>0.1</v>
      </c>
      <c r="D252" s="552" t="str">
        <f>Param!V252</f>
        <v>na</v>
      </c>
      <c r="E252" s="675">
        <f>Param!AB252</f>
        <v>1</v>
      </c>
      <c r="F252" s="552" t="str">
        <f>Param!N252</f>
        <v>na</v>
      </c>
      <c r="G252" s="684">
        <f>IF(C252="na","na",(C252/E252)*Eqtn!$D$25)</f>
        <v>1600</v>
      </c>
      <c r="H252" s="684" t="str">
        <f>IF(D252="na","na",Eqtn!$D$46/(D252*E252))</f>
        <v>na</v>
      </c>
      <c r="I252" s="611" t="str">
        <f>IF(C252="na","na",IF(F252="na","na",Eqtn!$D$68*C252/F252))</f>
        <v>na</v>
      </c>
      <c r="J252" s="612" t="str">
        <f>IF(D252="na","na",IF(F252="na","na",Eqtn!$D$90/(D252*F252)))</f>
        <v>na</v>
      </c>
      <c r="L252" s="1062"/>
    </row>
    <row r="253" spans="1:12" ht="13.9" customHeight="1" x14ac:dyDescent="0.25">
      <c r="A253" s="846">
        <f>Chem!A253</f>
        <v>251</v>
      </c>
      <c r="B253" s="916" t="str">
        <f>Chem!B253</f>
        <v>cis-Chlordane (alpha)</v>
      </c>
      <c r="C253" s="909">
        <f>Param!O253</f>
        <v>5.0000000000000001E-4</v>
      </c>
      <c r="D253" s="552" t="str">
        <f>Param!V253</f>
        <v>na</v>
      </c>
      <c r="E253" s="675">
        <f>Param!AB253</f>
        <v>2</v>
      </c>
      <c r="F253" s="552" t="str">
        <f>Param!N253</f>
        <v>na</v>
      </c>
      <c r="G253" s="684">
        <f>IF(C253="na","na",(C253/E253)*Eqtn!$D$25)</f>
        <v>4</v>
      </c>
      <c r="H253" s="684" t="str">
        <f>IF(D253="na","na",Eqtn!$D$46/(D253*E253))</f>
        <v>na</v>
      </c>
      <c r="I253" s="611" t="str">
        <f>IF(C253="na","na",IF(F253="na","na",Eqtn!$D$68*C253/F253))</f>
        <v>na</v>
      </c>
      <c r="J253" s="612" t="str">
        <f>IF(D253="na","na",IF(F253="na","na",Eqtn!$D$90/(D253*F253)))</f>
        <v>na</v>
      </c>
      <c r="L253" s="1062"/>
    </row>
    <row r="254" spans="1:12" ht="13.9" customHeight="1" x14ac:dyDescent="0.25">
      <c r="A254" s="846">
        <f>Chem!A254</f>
        <v>252</v>
      </c>
      <c r="B254" s="916" t="str">
        <f>Chem!B254</f>
        <v>trans-Chlordane (gamma)</v>
      </c>
      <c r="C254" s="909">
        <f>Param!O254</f>
        <v>5.0000000000000001E-4</v>
      </c>
      <c r="D254" s="552" t="str">
        <f>Param!V254</f>
        <v>na</v>
      </c>
      <c r="E254" s="675">
        <f>Param!AB254</f>
        <v>2</v>
      </c>
      <c r="F254" s="552" t="str">
        <f>Param!N254</f>
        <v>na</v>
      </c>
      <c r="G254" s="684">
        <f>IF(C254="na","na",(C254/E254)*Eqtn!$D$25)</f>
        <v>4</v>
      </c>
      <c r="H254" s="684" t="str">
        <f>IF(D254="na","na",Eqtn!$D$46/(D254*E254))</f>
        <v>na</v>
      </c>
      <c r="I254" s="611" t="str">
        <f>IF(C254="na","na",IF(F254="na","na",Eqtn!$D$68*C254/F254))</f>
        <v>na</v>
      </c>
      <c r="J254" s="612" t="str">
        <f>IF(D254="na","na",IF(F254="na","na",Eqtn!$D$90/(D254*F254)))</f>
        <v>na</v>
      </c>
      <c r="L254" s="1062"/>
    </row>
    <row r="255" spans="1:12" ht="13.9" customHeight="1" x14ac:dyDescent="0.25">
      <c r="A255" s="846">
        <f>Chem!A255</f>
        <v>253</v>
      </c>
      <c r="B255" s="916" t="str">
        <f>Chem!B255</f>
        <v>Chlordane</v>
      </c>
      <c r="C255" s="909">
        <f>Param!O255</f>
        <v>5.0000000000000001E-4</v>
      </c>
      <c r="D255" s="552">
        <f>Param!V255</f>
        <v>0.35</v>
      </c>
      <c r="E255" s="675">
        <f>Param!AB255</f>
        <v>2</v>
      </c>
      <c r="F255" s="552">
        <f>Param!N255</f>
        <v>14100</v>
      </c>
      <c r="G255" s="684">
        <f>IF(C255="na","na",(C255/E255)*Eqtn!$D$25)</f>
        <v>4</v>
      </c>
      <c r="H255" s="684">
        <f>IF(D255="na","na",Eqtn!$D$46/(D255*E255))</f>
        <v>0.12499999999999999</v>
      </c>
      <c r="I255" s="611">
        <f>IF(C255="na","na",IF(F255="na","na",Eqtn!$D$68*C255/F255))</f>
        <v>2.5459174395344609E-2</v>
      </c>
      <c r="J255" s="612">
        <f>IF(D255="na","na",IF(F255="na","na",Eqtn!$D$90/(D255*F255)))</f>
        <v>3.6370249136206576E-4</v>
      </c>
      <c r="L255" s="1062"/>
    </row>
    <row r="256" spans="1:12" ht="13.9" customHeight="1" x14ac:dyDescent="0.25">
      <c r="A256" s="846">
        <f>Chem!A256</f>
        <v>254</v>
      </c>
      <c r="B256" s="916" t="str">
        <f>Chem!B256</f>
        <v>Chlorpyrifos</v>
      </c>
      <c r="C256" s="909">
        <f>Param!O256</f>
        <v>1E-3</v>
      </c>
      <c r="D256" s="552" t="str">
        <f>Param!V256</f>
        <v>na</v>
      </c>
      <c r="E256" s="675">
        <f>Param!AB256</f>
        <v>1</v>
      </c>
      <c r="F256" s="552" t="str">
        <f>Param!N256</f>
        <v>na</v>
      </c>
      <c r="G256" s="684">
        <f>IF(C256="na","na",(C256/E256)*Eqtn!$D$25)</f>
        <v>16</v>
      </c>
      <c r="H256" s="684" t="str">
        <f>IF(D256="na","na",Eqtn!$D$46/(D256*E256))</f>
        <v>na</v>
      </c>
      <c r="I256" s="611" t="str">
        <f>IF(C256="na","na",IF(F256="na","na",Eqtn!$D$68*C256/F256))</f>
        <v>na</v>
      </c>
      <c r="J256" s="612" t="str">
        <f>IF(D256="na","na",IF(F256="na","na",Eqtn!$D$90/(D256*F256)))</f>
        <v>na</v>
      </c>
      <c r="L256" s="1062"/>
    </row>
    <row r="257" spans="1:12" ht="13.9" customHeight="1" x14ac:dyDescent="0.25">
      <c r="A257" s="846">
        <f>Chem!A257</f>
        <v>255</v>
      </c>
      <c r="B257" s="916" t="str">
        <f>Chem!B257</f>
        <v>4,4'-DDD</v>
      </c>
      <c r="C257" s="909">
        <f>Param!O257</f>
        <v>5.0000000000000001E-4</v>
      </c>
      <c r="D257" s="552">
        <f>Param!V257</f>
        <v>0.24</v>
      </c>
      <c r="E257" s="675">
        <f>Param!AB257</f>
        <v>1</v>
      </c>
      <c r="F257" s="552">
        <f>Param!N257</f>
        <v>53600</v>
      </c>
      <c r="G257" s="684">
        <f>IF(C257="na","na",(C257/E257)*Eqtn!$D$25)</f>
        <v>8</v>
      </c>
      <c r="H257" s="684">
        <f>IF(D257="na","na",Eqtn!$D$46/(D257*E257))</f>
        <v>0.36458333333333326</v>
      </c>
      <c r="I257" s="611">
        <f>IF(C257="na","na",IF(F257="na","na",Eqtn!$D$68*C257/F257))</f>
        <v>6.697282816685802E-3</v>
      </c>
      <c r="J257" s="612">
        <f>IF(D257="na","na",IF(F257="na","na",Eqtn!$D$90/(D257*F257)))</f>
        <v>1.3952672534762084E-4</v>
      </c>
      <c r="L257" s="1062"/>
    </row>
    <row r="258" spans="1:12" ht="13.9" customHeight="1" x14ac:dyDescent="0.25">
      <c r="A258" s="846">
        <f>Chem!A258</f>
        <v>256</v>
      </c>
      <c r="B258" s="916" t="str">
        <f>Chem!B258</f>
        <v>4,4'-DDE</v>
      </c>
      <c r="C258" s="909">
        <f>Param!O258</f>
        <v>5.0000000000000001E-4</v>
      </c>
      <c r="D258" s="552">
        <f>Param!V258</f>
        <v>0.34</v>
      </c>
      <c r="E258" s="675">
        <f>Param!AB258</f>
        <v>2</v>
      </c>
      <c r="F258" s="552">
        <f>Param!N258</f>
        <v>53600</v>
      </c>
      <c r="G258" s="684">
        <f>IF(C258="na","na",(C258/E258)*Eqtn!$D$25)</f>
        <v>4</v>
      </c>
      <c r="H258" s="684">
        <f>IF(D258="na","na",Eqtn!$D$46/(D258*E258))</f>
        <v>0.12867647058823525</v>
      </c>
      <c r="I258" s="611">
        <f>IF(C258="na","na",IF(F258="na","na",Eqtn!$D$68*C258/F258))</f>
        <v>6.697282816685802E-3</v>
      </c>
      <c r="J258" s="612">
        <f>IF(D258="na","na",IF(F258="na","na",Eqtn!$D$90/(D258*F258)))</f>
        <v>9.8489453186555894E-5</v>
      </c>
      <c r="L258" s="1062"/>
    </row>
    <row r="259" spans="1:12" s="284" customFormat="1" ht="13.9" customHeight="1" x14ac:dyDescent="0.25">
      <c r="A259" s="846">
        <f>Chem!A259</f>
        <v>257</v>
      </c>
      <c r="B259" s="916" t="str">
        <f>Chem!B259</f>
        <v>4,4'-DDT</v>
      </c>
      <c r="C259" s="909">
        <f>Param!O259</f>
        <v>5.0000000000000001E-4</v>
      </c>
      <c r="D259" s="552">
        <f>Param!V259</f>
        <v>0.34</v>
      </c>
      <c r="E259" s="675">
        <f>Param!AB259</f>
        <v>1</v>
      </c>
      <c r="F259" s="552">
        <f>Param!N259</f>
        <v>53600</v>
      </c>
      <c r="G259" s="684">
        <f>IF(C259="na","na",(C259/E259)*Eqtn!$D$25)</f>
        <v>8</v>
      </c>
      <c r="H259" s="684">
        <f>IF(D259="na","na",Eqtn!$D$46/(D259*E259))</f>
        <v>0.25735294117647051</v>
      </c>
      <c r="I259" s="611">
        <f>IF(C259="na","na",IF(F259="na","na",Eqtn!$D$68*C259/F259))</f>
        <v>6.697282816685802E-3</v>
      </c>
      <c r="J259" s="612">
        <f>IF(D259="na","na",IF(F259="na","na",Eqtn!$D$90/(D259*F259)))</f>
        <v>9.8489453186555894E-5</v>
      </c>
      <c r="K259" s="124"/>
      <c r="L259" s="1062"/>
    </row>
    <row r="260" spans="1:12" s="284" customFormat="1" ht="13.9" customHeight="1" x14ac:dyDescent="0.25">
      <c r="A260" s="846">
        <f>Chem!A260</f>
        <v>258</v>
      </c>
      <c r="B260" s="916" t="str">
        <f>Chem!B260</f>
        <v xml:space="preserve">Total DDD </v>
      </c>
      <c r="C260" s="909">
        <f>Param!O260</f>
        <v>5.0000000000000001E-4</v>
      </c>
      <c r="D260" s="552">
        <f>Param!V260</f>
        <v>0.24</v>
      </c>
      <c r="E260" s="675">
        <f>Param!AB260</f>
        <v>1</v>
      </c>
      <c r="F260" s="552">
        <f>Param!N260</f>
        <v>53600</v>
      </c>
      <c r="G260" s="684">
        <f>IF(C260="na","na",(C260/E260)*Eqtn!$D$25)</f>
        <v>8</v>
      </c>
      <c r="H260" s="684">
        <f>IF(D260="na","na",Eqtn!$D$46/(D260*E260))</f>
        <v>0.36458333333333326</v>
      </c>
      <c r="I260" s="611">
        <f>IF(C260="na","na",IF(F260="na","na",Eqtn!$D$68*C260/F260))</f>
        <v>6.697282816685802E-3</v>
      </c>
      <c r="J260" s="612">
        <f>IF(D260="na","na",IF(F260="na","na",Eqtn!$D$90/(D260*F260)))</f>
        <v>1.3952672534762084E-4</v>
      </c>
      <c r="K260" s="124"/>
      <c r="L260" s="1062"/>
    </row>
    <row r="261" spans="1:12" s="284" customFormat="1" ht="13.9" customHeight="1" x14ac:dyDescent="0.25">
      <c r="A261" s="846">
        <f>Chem!A261</f>
        <v>259</v>
      </c>
      <c r="B261" s="916" t="str">
        <f>Chem!B261</f>
        <v>Total DDE</v>
      </c>
      <c r="C261" s="909">
        <f>Param!O261</f>
        <v>5.0000000000000001E-4</v>
      </c>
      <c r="D261" s="552">
        <f>Param!V261</f>
        <v>0.34</v>
      </c>
      <c r="E261" s="675">
        <f>Param!AB261</f>
        <v>2</v>
      </c>
      <c r="F261" s="552">
        <f>Param!N261</f>
        <v>53600</v>
      </c>
      <c r="G261" s="684">
        <f>IF(C261="na","na",(C261/E261)*Eqtn!$D$25)</f>
        <v>4</v>
      </c>
      <c r="H261" s="684">
        <f>IF(D261="na","na",Eqtn!$D$46/(D261*E261))</f>
        <v>0.12867647058823525</v>
      </c>
      <c r="I261" s="611">
        <f>IF(C261="na","na",IF(F261="na","na",Eqtn!$D$68*C261/F261))</f>
        <v>6.697282816685802E-3</v>
      </c>
      <c r="J261" s="612">
        <f>IF(D261="na","na",IF(F261="na","na",Eqtn!$D$90/(D261*F261)))</f>
        <v>9.8489453186555894E-5</v>
      </c>
      <c r="K261" s="124"/>
      <c r="L261" s="1062"/>
    </row>
    <row r="262" spans="1:12" s="284" customFormat="1" ht="13.9" customHeight="1" x14ac:dyDescent="0.25">
      <c r="A262" s="846">
        <f>Chem!A262</f>
        <v>260</v>
      </c>
      <c r="B262" s="916" t="str">
        <f>Chem!B262</f>
        <v>Total DDT</v>
      </c>
      <c r="C262" s="909">
        <f>Param!O262</f>
        <v>5.0000000000000001E-4</v>
      </c>
      <c r="D262" s="552">
        <f>Param!V262</f>
        <v>0.34</v>
      </c>
      <c r="E262" s="675">
        <f>Param!AB262</f>
        <v>1</v>
      </c>
      <c r="F262" s="552">
        <f>Param!N262</f>
        <v>53600</v>
      </c>
      <c r="G262" s="684">
        <f>IF(C262="na","na",(C262/E262)*Eqtn!$D$25)</f>
        <v>8</v>
      </c>
      <c r="H262" s="684">
        <f>IF(D262="na","na",Eqtn!$D$46/(D262*E262))</f>
        <v>0.25735294117647051</v>
      </c>
      <c r="I262" s="611">
        <f>IF(C262="na","na",IF(F262="na","na",Eqtn!$D$68*C262/F262))</f>
        <v>6.697282816685802E-3</v>
      </c>
      <c r="J262" s="612">
        <f>IF(D262="na","na",IF(F262="na","na",Eqtn!$D$90/(D262*F262)))</f>
        <v>9.8489453186555894E-5</v>
      </c>
      <c r="K262" s="124"/>
      <c r="L262" s="1062"/>
    </row>
    <row r="263" spans="1:12" s="284" customFormat="1" ht="13.9" customHeight="1" x14ac:dyDescent="0.25">
      <c r="A263" s="846">
        <f>Chem!A263</f>
        <v>261</v>
      </c>
      <c r="B263" s="916" t="str">
        <f>Chem!B263</f>
        <v>Diazinon</v>
      </c>
      <c r="C263" s="909">
        <f>Param!O263</f>
        <v>6.9999999999999999E-4</v>
      </c>
      <c r="D263" s="552" t="str">
        <f>Param!V263</f>
        <v>na</v>
      </c>
      <c r="E263" s="675">
        <f>Param!AB263</f>
        <v>1</v>
      </c>
      <c r="F263" s="552" t="str">
        <f>Param!N263</f>
        <v>na</v>
      </c>
      <c r="G263" s="684">
        <f>IF(C263="na","na",(C263/E263)*Eqtn!$D$25)</f>
        <v>11.2</v>
      </c>
      <c r="H263" s="684" t="str">
        <f>IF(D263="na","na",Eqtn!$D$46/(D263*E263))</f>
        <v>na</v>
      </c>
      <c r="I263" s="611" t="str">
        <f>IF(C263="na","na",IF(F263="na","na",Eqtn!$D$68*C263/F263))</f>
        <v>na</v>
      </c>
      <c r="J263" s="612" t="str">
        <f>IF(D263="na","na",IF(F263="na","na",Eqtn!$D$90/(D263*F263)))</f>
        <v>na</v>
      </c>
      <c r="K263" s="124"/>
      <c r="L263" s="1062"/>
    </row>
    <row r="264" spans="1:12" s="284" customFormat="1" ht="13.9" customHeight="1" x14ac:dyDescent="0.25">
      <c r="A264" s="846">
        <f>Chem!A264</f>
        <v>262</v>
      </c>
      <c r="B264" s="916" t="str">
        <f>Chem!B264</f>
        <v>Dieldrin</v>
      </c>
      <c r="C264" s="909">
        <f>Param!O264</f>
        <v>5.0000000000000002E-5</v>
      </c>
      <c r="D264" s="552">
        <f>Param!V264</f>
        <v>16</v>
      </c>
      <c r="E264" s="675">
        <f>Param!AB264</f>
        <v>1</v>
      </c>
      <c r="F264" s="552">
        <f>Param!N264</f>
        <v>4670</v>
      </c>
      <c r="G264" s="684">
        <f>IF(C264="na","na",(C264/E264)*Eqtn!$D$25)</f>
        <v>0.8</v>
      </c>
      <c r="H264" s="684">
        <f>IF(D264="na","na",Eqtn!$D$46/(D264*E264))</f>
        <v>5.4687499999999988E-3</v>
      </c>
      <c r="I264" s="611">
        <f>IF(C264="na","na",IF(F264="na","na",Eqtn!$D$68*C264/F264))</f>
        <v>7.6868171086586518E-3</v>
      </c>
      <c r="J264" s="612">
        <f>IF(D264="na","na",IF(F264="na","na",Eqtn!$D$90/(D264*F264)))</f>
        <v>2.4021303464558277E-5</v>
      </c>
      <c r="K264" s="124"/>
      <c r="L264" s="1062"/>
    </row>
    <row r="265" spans="1:12" s="284" customFormat="1" ht="13.9" customHeight="1" x14ac:dyDescent="0.25">
      <c r="A265" s="846">
        <f>Chem!A265</f>
        <v>263</v>
      </c>
      <c r="B265" s="916" t="str">
        <f>Chem!B265</f>
        <v>alpha-Endosulfan</v>
      </c>
      <c r="C265" s="909" t="str">
        <f>Param!O265</f>
        <v>na</v>
      </c>
      <c r="D265" s="552" t="str">
        <f>Param!V265</f>
        <v>na</v>
      </c>
      <c r="E265" s="675">
        <f>Param!AB265</f>
        <v>1</v>
      </c>
      <c r="F265" s="552" t="str">
        <f>Param!N265</f>
        <v>na</v>
      </c>
      <c r="G265" s="684" t="str">
        <f>IF(C265="na","na",(C265/E265)*Eqtn!$D$25)</f>
        <v>na</v>
      </c>
      <c r="H265" s="684" t="str">
        <f>IF(D265="na","na",Eqtn!$D$46/(D265*E265))</f>
        <v>na</v>
      </c>
      <c r="I265" s="611" t="str">
        <f>IF(C265="na","na",IF(F265="na","na",Eqtn!$D$68*C265/F265))</f>
        <v>na</v>
      </c>
      <c r="J265" s="612" t="str">
        <f>IF(D265="na","na",IF(F265="na","na",Eqtn!$D$90/(D265*F265)))</f>
        <v>na</v>
      </c>
      <c r="K265" s="124"/>
      <c r="L265" s="1062"/>
    </row>
    <row r="266" spans="1:12" s="284" customFormat="1" ht="13.9" customHeight="1" x14ac:dyDescent="0.25">
      <c r="A266" s="846">
        <f>Chem!A266</f>
        <v>264</v>
      </c>
      <c r="B266" s="916" t="str">
        <f>Chem!B266</f>
        <v>beta-Endosulfan</v>
      </c>
      <c r="C266" s="909" t="str">
        <f>Param!O266</f>
        <v>na</v>
      </c>
      <c r="D266" s="552" t="str">
        <f>Param!V266</f>
        <v>na</v>
      </c>
      <c r="E266" s="675">
        <f>Param!AB266</f>
        <v>1</v>
      </c>
      <c r="F266" s="552" t="str">
        <f>Param!N266</f>
        <v>na</v>
      </c>
      <c r="G266" s="684" t="str">
        <f>IF(C266="na","na",(C266/E266)*Eqtn!$D$25)</f>
        <v>na</v>
      </c>
      <c r="H266" s="684" t="str">
        <f>IF(D266="na","na",Eqtn!$D$46/(D266*E266))</f>
        <v>na</v>
      </c>
      <c r="I266" s="611" t="str">
        <f>IF(C266="na","na",IF(F266="na","na",Eqtn!$D$68*C266/F266))</f>
        <v>na</v>
      </c>
      <c r="J266" s="612" t="str">
        <f>IF(D266="na","na",IF(F266="na","na",Eqtn!$D$90/(D266*F266)))</f>
        <v>na</v>
      </c>
      <c r="K266" s="124"/>
      <c r="L266" s="1062"/>
    </row>
    <row r="267" spans="1:12" s="284" customFormat="1" ht="13.9" customHeight="1" x14ac:dyDescent="0.25">
      <c r="A267" s="846">
        <f>Chem!A267</f>
        <v>265</v>
      </c>
      <c r="B267" s="916" t="str">
        <f>Chem!B267</f>
        <v>Sum of alpha and beta endosuflan</v>
      </c>
      <c r="C267" s="909">
        <f>Param!O267</f>
        <v>6.0000000000000001E-3</v>
      </c>
      <c r="D267" s="552" t="str">
        <f>Param!V267</f>
        <v>na</v>
      </c>
      <c r="E267" s="675">
        <f>Param!AB267</f>
        <v>2</v>
      </c>
      <c r="F267" s="552">
        <f>Param!N267</f>
        <v>270</v>
      </c>
      <c r="G267" s="684">
        <f>IF(C267="na","na",(C267/E267)*Eqtn!$D$25)</f>
        <v>48</v>
      </c>
      <c r="H267" s="684" t="str">
        <f>IF(D267="na","na",Eqtn!$D$46/(D267*E267))</f>
        <v>na</v>
      </c>
      <c r="I267" s="611">
        <f>IF(C267="na","na",IF(F267="na","na",Eqtn!$D$68*C267/F267))</f>
        <v>15.954415954415953</v>
      </c>
      <c r="J267" s="612" t="str">
        <f>IF(D267="na","na",IF(F267="na","na",Eqtn!$D$90/(D267*F267)))</f>
        <v>na</v>
      </c>
      <c r="K267" s="124"/>
      <c r="L267" s="1062"/>
    </row>
    <row r="268" spans="1:12" s="284" customFormat="1" ht="13.9" customHeight="1" x14ac:dyDescent="0.25">
      <c r="A268" s="846">
        <f>Chem!A268</f>
        <v>266</v>
      </c>
      <c r="B268" s="916" t="str">
        <f>Chem!B268</f>
        <v>Endosulfan sulfate</v>
      </c>
      <c r="C268" s="909">
        <f>Param!O268</f>
        <v>6.0000000000000001E-3</v>
      </c>
      <c r="D268" s="552" t="str">
        <f>Param!V268</f>
        <v>na</v>
      </c>
      <c r="E268" s="675">
        <f>Param!AB268</f>
        <v>1</v>
      </c>
      <c r="F268" s="552" t="str">
        <f>Param!N268</f>
        <v>na</v>
      </c>
      <c r="G268" s="684">
        <f>IF(C268="na","na",(C268/E268)*Eqtn!$D$25)</f>
        <v>96</v>
      </c>
      <c r="H268" s="684" t="str">
        <f>IF(D268="na","na",Eqtn!$D$46/(D268*E268))</f>
        <v>na</v>
      </c>
      <c r="I268" s="611" t="str">
        <f>IF(C268="na","na",IF(F268="na","na",Eqtn!$D$68*C268/F268))</f>
        <v>na</v>
      </c>
      <c r="J268" s="612" t="str">
        <f>IF(D268="na","na",IF(F268="na","na",Eqtn!$D$90/(D268*F268)))</f>
        <v>na</v>
      </c>
      <c r="K268" s="124"/>
      <c r="L268" s="1062"/>
    </row>
    <row r="269" spans="1:12" s="284" customFormat="1" ht="13.9" customHeight="1" x14ac:dyDescent="0.25">
      <c r="A269" s="846">
        <f>Chem!A269</f>
        <v>267</v>
      </c>
      <c r="B269" s="916" t="str">
        <f>Chem!B269</f>
        <v>Sum of alpha, beta, and endosulfan sulfate</v>
      </c>
      <c r="C269" s="909">
        <f>Param!O269</f>
        <v>6.0000000000000001E-3</v>
      </c>
      <c r="D269" s="552" t="str">
        <f>Param!V269</f>
        <v>na</v>
      </c>
      <c r="E269" s="675">
        <f>Param!AB269</f>
        <v>1</v>
      </c>
      <c r="F269" s="552">
        <f>Param!N269</f>
        <v>270</v>
      </c>
      <c r="G269" s="684">
        <f>IF(C269="na","na",(C269/E269)*Eqtn!$D$25)</f>
        <v>96</v>
      </c>
      <c r="H269" s="684" t="str">
        <f>IF(D269="na","na",Eqtn!$D$46/(D269*E269))</f>
        <v>na</v>
      </c>
      <c r="I269" s="611">
        <f>IF(C269="na","na",IF(F269="na","na",Eqtn!$D$68*C269/F269))</f>
        <v>15.954415954415953</v>
      </c>
      <c r="J269" s="612" t="str">
        <f>IF(D269="na","na",IF(F269="na","na",Eqtn!$D$90/(D269*F269)))</f>
        <v>na</v>
      </c>
      <c r="K269" s="124"/>
      <c r="L269" s="1062"/>
    </row>
    <row r="270" spans="1:12" s="284" customFormat="1" ht="13.9" customHeight="1" x14ac:dyDescent="0.25">
      <c r="A270" s="846">
        <f>Chem!A270</f>
        <v>268</v>
      </c>
      <c r="B270" s="916" t="str">
        <f>Chem!B270</f>
        <v>Endrin</v>
      </c>
      <c r="C270" s="909">
        <f>Param!O270</f>
        <v>2.9999999999999997E-4</v>
      </c>
      <c r="D270" s="552" t="str">
        <f>Param!V270</f>
        <v>na</v>
      </c>
      <c r="E270" s="675">
        <f>Param!AB270</f>
        <v>1</v>
      </c>
      <c r="F270" s="552">
        <f>Param!N270</f>
        <v>3970</v>
      </c>
      <c r="G270" s="684">
        <f>IF(C270="na","na",(C270/E270)*Eqtn!$D$25)</f>
        <v>4.8</v>
      </c>
      <c r="H270" s="684" t="str">
        <f>IF(D270="na","na",Eqtn!$D$46/(D270*E270))</f>
        <v>na</v>
      </c>
      <c r="I270" s="611">
        <f>IF(C270="na","na",IF(F270="na","na",Eqtn!$D$68*C270/F270))</f>
        <v>5.4253051734160049E-2</v>
      </c>
      <c r="J270" s="612" t="str">
        <f>IF(D270="na","na",IF(F270="na","na",Eqtn!$D$90/(D270*F270)))</f>
        <v>na</v>
      </c>
      <c r="K270" s="124"/>
      <c r="L270" s="1062"/>
    </row>
    <row r="271" spans="1:12" s="284" customFormat="1" ht="13.9" customHeight="1" x14ac:dyDescent="0.25">
      <c r="A271" s="846">
        <f>Chem!A271</f>
        <v>269</v>
      </c>
      <c r="B271" s="916" t="str">
        <f>Chem!B271</f>
        <v>Endrin aldehyde</v>
      </c>
      <c r="C271" s="909" t="str">
        <f>Param!O271</f>
        <v>na</v>
      </c>
      <c r="D271" s="552" t="str">
        <f>Param!V271</f>
        <v>na</v>
      </c>
      <c r="E271" s="675">
        <f>Param!AB271</f>
        <v>1</v>
      </c>
      <c r="F271" s="552" t="str">
        <f>Param!N271</f>
        <v>na</v>
      </c>
      <c r="G271" s="684" t="str">
        <f>IF(C271="na","na",(C271/E271)*Eqtn!$D$25)</f>
        <v>na</v>
      </c>
      <c r="H271" s="684" t="str">
        <f>IF(D271="na","na",Eqtn!$D$46/(D271*E271))</f>
        <v>na</v>
      </c>
      <c r="I271" s="611" t="str">
        <f>IF(C271="na","na",IF(F271="na","na",Eqtn!$D$68*C271/F271))</f>
        <v>na</v>
      </c>
      <c r="J271" s="612" t="str">
        <f>IF(D271="na","na",IF(F271="na","na",Eqtn!$D$90/(D271*F271)))</f>
        <v>na</v>
      </c>
      <c r="K271" s="124"/>
      <c r="L271" s="1062"/>
    </row>
    <row r="272" spans="1:12" s="284" customFormat="1" ht="13.9" customHeight="1" x14ac:dyDescent="0.25">
      <c r="A272" s="846">
        <f>Chem!A272</f>
        <v>270</v>
      </c>
      <c r="B272" s="916" t="str">
        <f>Chem!B272</f>
        <v>Endrin ketone</v>
      </c>
      <c r="C272" s="909" t="str">
        <f>Param!O272</f>
        <v>na</v>
      </c>
      <c r="D272" s="552" t="str">
        <f>Param!V272</f>
        <v>na</v>
      </c>
      <c r="E272" s="675" t="str">
        <f>Param!AB272</f>
        <v>na</v>
      </c>
      <c r="F272" s="552" t="str">
        <f>Param!N272</f>
        <v>na</v>
      </c>
      <c r="G272" s="684" t="str">
        <f>IF(C272="na","na",(C272/E272)*Eqtn!$D$25)</f>
        <v>na</v>
      </c>
      <c r="H272" s="684" t="str">
        <f>IF(D272="na","na",Eqtn!$D$46/(D272*E272))</f>
        <v>na</v>
      </c>
      <c r="I272" s="611" t="str">
        <f>IF(C272="na","na",IF(F272="na","na",Eqtn!$D$68*C272/F272))</f>
        <v>na</v>
      </c>
      <c r="J272" s="612" t="str">
        <f>IF(D272="na","na",IF(F272="na","na",Eqtn!$D$90/(D272*F272)))</f>
        <v>na</v>
      </c>
      <c r="K272" s="124"/>
      <c r="L272" s="1062"/>
    </row>
    <row r="273" spans="1:12" s="284" customFormat="1" ht="13.9" customHeight="1" x14ac:dyDescent="0.25">
      <c r="A273" s="846">
        <f>Chem!A273</f>
        <v>271</v>
      </c>
      <c r="B273" s="916" t="str">
        <f>Chem!B273</f>
        <v>Heptachlor</v>
      </c>
      <c r="C273" s="909">
        <f>Param!O273</f>
        <v>5.0000000000000001E-4</v>
      </c>
      <c r="D273" s="552">
        <f>Param!V273</f>
        <v>4.5</v>
      </c>
      <c r="E273" s="675">
        <f>Param!AB273</f>
        <v>2</v>
      </c>
      <c r="F273" s="552">
        <f>Param!N273</f>
        <v>11200</v>
      </c>
      <c r="G273" s="684">
        <f>IF(C273="na","na",(C273/E273)*Eqtn!$D$25)</f>
        <v>4</v>
      </c>
      <c r="H273" s="684">
        <f>IF(D273="na","na",Eqtn!$D$46/(D273*E273))</f>
        <v>9.7222222222222206E-3</v>
      </c>
      <c r="I273" s="611">
        <f>IF(C273="na","na",IF(F273="na","na",Eqtn!$D$68*C273/F273))</f>
        <v>3.2051282051282055E-2</v>
      </c>
      <c r="J273" s="612">
        <f>IF(D273="na","na",IF(F273="na","na",Eqtn!$D$90/(D273*F273)))</f>
        <v>3.5612535612535603E-5</v>
      </c>
      <c r="K273" s="124"/>
      <c r="L273" s="1062"/>
    </row>
    <row r="274" spans="1:12" s="284" customFormat="1" ht="13.9" customHeight="1" x14ac:dyDescent="0.25">
      <c r="A274" s="846">
        <f>Chem!A274</f>
        <v>272</v>
      </c>
      <c r="B274" s="916" t="str">
        <f>Chem!B274</f>
        <v>Heptachlor epoxide</v>
      </c>
      <c r="C274" s="909">
        <f>Param!O274</f>
        <v>1.2999999999999999E-5</v>
      </c>
      <c r="D274" s="552">
        <f>Param!V274</f>
        <v>9.1</v>
      </c>
      <c r="E274" s="675">
        <f>Param!AB274</f>
        <v>2</v>
      </c>
      <c r="F274" s="552">
        <f>Param!N274</f>
        <v>11200</v>
      </c>
      <c r="G274" s="684">
        <f>IF(C274="na","na",(C274/E274)*Eqtn!$D$25)</f>
        <v>0.104</v>
      </c>
      <c r="H274" s="684">
        <f>IF(D274="na","na",Eqtn!$D$46/(D274*E274))</f>
        <v>4.8076923076923071E-3</v>
      </c>
      <c r="I274" s="611">
        <f>IF(C274="na","na",IF(F274="na","na",Eqtn!$D$68*C274/F274))</f>
        <v>8.3333333333333339E-4</v>
      </c>
      <c r="J274" s="612">
        <f>IF(D274="na","na",IF(F274="na","na",Eqtn!$D$90/(D274*F274)))</f>
        <v>1.7610594533671452E-5</v>
      </c>
      <c r="K274" s="124"/>
      <c r="L274" s="1062"/>
    </row>
    <row r="275" spans="1:12" s="284" customFormat="1" ht="13.9" customHeight="1" x14ac:dyDescent="0.25">
      <c r="A275" s="846">
        <f>Chem!A275</f>
        <v>273</v>
      </c>
      <c r="B275" s="916" t="str">
        <f>Chem!B275</f>
        <v>Lindane (gamma-BHC)</v>
      </c>
      <c r="C275" s="909">
        <f>Param!O275</f>
        <v>2.9999999999999997E-4</v>
      </c>
      <c r="D275" s="552">
        <f>Param!V275</f>
        <v>1.1000000000000001</v>
      </c>
      <c r="E275" s="675">
        <f>Param!AB275</f>
        <v>1</v>
      </c>
      <c r="F275" s="552">
        <f>Param!N275</f>
        <v>130</v>
      </c>
      <c r="G275" s="684">
        <f>IF(C275="na","na",(C275/E275)*Eqtn!$D$25)</f>
        <v>4.8</v>
      </c>
      <c r="H275" s="684">
        <f>IF(D275="na","na",Eqtn!$D$46/(D275*E275))</f>
        <v>7.9545454545454516E-2</v>
      </c>
      <c r="I275" s="611">
        <f>IF(C275="na","na",IF(F275="na","na",Eqtn!$D$68*C275/F275))</f>
        <v>1.6568047337278107</v>
      </c>
      <c r="J275" s="612">
        <f>IF(D275="na","na",IF(F275="na","na",Eqtn!$D$90/(D275*F275)))</f>
        <v>1.2551551013089472E-2</v>
      </c>
      <c r="K275" s="124"/>
      <c r="L275" s="1062"/>
    </row>
    <row r="276" spans="1:12" s="284" customFormat="1" ht="13.9" customHeight="1" x14ac:dyDescent="0.25">
      <c r="A276" s="846">
        <f>Chem!A276</f>
        <v>274</v>
      </c>
      <c r="B276" s="916" t="str">
        <f>Chem!B276</f>
        <v>Malathion</v>
      </c>
      <c r="C276" s="909">
        <f>Param!O276</f>
        <v>0.02</v>
      </c>
      <c r="D276" s="552" t="str">
        <f>Param!V276</f>
        <v>na</v>
      </c>
      <c r="E276" s="675">
        <f>Param!AB276</f>
        <v>1</v>
      </c>
      <c r="F276" s="552" t="str">
        <f>Param!N276</f>
        <v>na</v>
      </c>
      <c r="G276" s="684">
        <f>IF(C276="na","na",(C276/E276)*Eqtn!$D$25)</f>
        <v>320</v>
      </c>
      <c r="H276" s="684" t="str">
        <f>IF(D276="na","na",Eqtn!$D$46/(D276*E276))</f>
        <v>na</v>
      </c>
      <c r="I276" s="611" t="str">
        <f>IF(C276="na","na",IF(F276="na","na",Eqtn!$D$68*C276/F276))</f>
        <v>na</v>
      </c>
      <c r="J276" s="612" t="str">
        <f>IF(D276="na","na",IF(F276="na","na",Eqtn!$D$90/(D276*F276)))</f>
        <v>na</v>
      </c>
      <c r="K276" s="124"/>
      <c r="L276" s="1062"/>
    </row>
    <row r="277" spans="1:12" s="284" customFormat="1" ht="13.9" customHeight="1" x14ac:dyDescent="0.25">
      <c r="A277" s="846">
        <f>Chem!A277</f>
        <v>275</v>
      </c>
      <c r="B277" s="916" t="str">
        <f>Chem!B277</f>
        <v>Methoxychlor</v>
      </c>
      <c r="C277" s="909">
        <f>Param!O277</f>
        <v>5.0000000000000001E-3</v>
      </c>
      <c r="D277" s="552" t="str">
        <f>Param!V277</f>
        <v>na</v>
      </c>
      <c r="E277" s="675">
        <f>Param!AB277</f>
        <v>1</v>
      </c>
      <c r="F277" s="552">
        <f>Param!N277</f>
        <v>1550</v>
      </c>
      <c r="G277" s="684">
        <f>IF(C277="na","na",(C277/E277)*Eqtn!$D$25)</f>
        <v>80</v>
      </c>
      <c r="H277" s="684" t="str">
        <f>IF(D277="na","na",Eqtn!$D$46/(D277*E277))</f>
        <v>na</v>
      </c>
      <c r="I277" s="611">
        <f>IF(C277="na","na",IF(F277="na","na",Eqtn!$D$68*C277/F277))</f>
        <v>2.315963606286187</v>
      </c>
      <c r="J277" s="612" t="str">
        <f>IF(D277="na","na",IF(F277="na","na",Eqtn!$D$90/(D277*F277)))</f>
        <v>na</v>
      </c>
      <c r="K277" s="124"/>
      <c r="L277" s="1062"/>
    </row>
    <row r="278" spans="1:12" s="284" customFormat="1" ht="13.9" customHeight="1" x14ac:dyDescent="0.25">
      <c r="A278" s="846">
        <f>Chem!A278</f>
        <v>276</v>
      </c>
      <c r="B278" s="916" t="str">
        <f>Chem!B278</f>
        <v>Mirex</v>
      </c>
      <c r="C278" s="909">
        <f>Param!O278</f>
        <v>2.0000000000000001E-4</v>
      </c>
      <c r="D278" s="552">
        <f>Param!V278</f>
        <v>18</v>
      </c>
      <c r="E278" s="675">
        <f>Param!AB278</f>
        <v>2</v>
      </c>
      <c r="F278" s="552" t="str">
        <f>Param!N278</f>
        <v>na</v>
      </c>
      <c r="G278" s="684">
        <f>IF(C278="na","na",(C278/E278)*Eqtn!$D$25)</f>
        <v>1.6</v>
      </c>
      <c r="H278" s="684">
        <f>IF(D278="na","na",Eqtn!$D$46/(D278*E278))</f>
        <v>2.4305555555555552E-3</v>
      </c>
      <c r="I278" s="611" t="str">
        <f>IF(C278="na","na",IF(F278="na","na",Eqtn!$D$68*C278/F278))</f>
        <v>na</v>
      </c>
      <c r="J278" s="612" t="str">
        <f>IF(D278="na","na",IF(F278="na","na",Eqtn!$D$90/(D278*F278)))</f>
        <v>na</v>
      </c>
      <c r="K278" s="124"/>
      <c r="L278" s="1062"/>
    </row>
    <row r="279" spans="1:12" s="284" customFormat="1" ht="13.9" customHeight="1" x14ac:dyDescent="0.25">
      <c r="A279" s="846">
        <f>Chem!A279</f>
        <v>277</v>
      </c>
      <c r="B279" s="916" t="str">
        <f>Chem!B279</f>
        <v>Nonachlor</v>
      </c>
      <c r="C279" s="909" t="str">
        <f>Param!O279</f>
        <v>na</v>
      </c>
      <c r="D279" s="552" t="str">
        <f>Param!V279</f>
        <v>na</v>
      </c>
      <c r="E279" s="675" t="str">
        <f>Param!AB279</f>
        <v>na</v>
      </c>
      <c r="F279" s="552" t="str">
        <f>Param!N279</f>
        <v>na</v>
      </c>
      <c r="G279" s="684" t="str">
        <f>IF(C279="na","na",(C279/E279)*Eqtn!$D$25)</f>
        <v>na</v>
      </c>
      <c r="H279" s="684" t="str">
        <f>IF(D279="na","na",Eqtn!$D$46/(D279*E279))</f>
        <v>na</v>
      </c>
      <c r="I279" s="611" t="str">
        <f>IF(C279="na","na",IF(F279="na","na",Eqtn!$D$68*C279/F279))</f>
        <v>na</v>
      </c>
      <c r="J279" s="612" t="str">
        <f>IF(D279="na","na",IF(F279="na","na",Eqtn!$D$90/(D279*F279)))</f>
        <v>na</v>
      </c>
      <c r="K279" s="124"/>
      <c r="L279" s="1062"/>
    </row>
    <row r="280" spans="1:12" s="284" customFormat="1" ht="13.9" customHeight="1" x14ac:dyDescent="0.25">
      <c r="A280" s="1661">
        <f>Chem!A280</f>
        <v>278</v>
      </c>
      <c r="B280" s="1142" t="str">
        <f>Chem!B280</f>
        <v>Toxaphene</v>
      </c>
      <c r="C280" s="910">
        <f>Param!O280</f>
        <v>9.0000000000000006E-5</v>
      </c>
      <c r="D280" s="589">
        <f>Param!V280</f>
        <v>1.1000000000000001</v>
      </c>
      <c r="E280" s="676">
        <f>Param!AB280</f>
        <v>1</v>
      </c>
      <c r="F280" s="589">
        <f>Param!N280</f>
        <v>13100</v>
      </c>
      <c r="G280" s="685">
        <f>IF(C280="na","na",(C280/E280)*Eqtn!$D$25)</f>
        <v>1.4400000000000002</v>
      </c>
      <c r="H280" s="685">
        <f>IF(D280="na","na",Eqtn!$D$46/(D280*E280))</f>
        <v>7.9545454545454516E-2</v>
      </c>
      <c r="I280" s="618">
        <f>IF(C280="na","na",IF(F280="na","na",Eqtn!$D$68*C280/F280))</f>
        <v>4.9324721080446282E-3</v>
      </c>
      <c r="J280" s="619">
        <f>IF(D280="na","na",IF(F280="na","na",Eqtn!$D$90/(D280*F280)))</f>
        <v>1.2455737646577337E-4</v>
      </c>
      <c r="K280" s="124"/>
      <c r="L280" s="1137"/>
    </row>
    <row r="281" spans="1:12" s="284" customFormat="1" ht="13.9" customHeight="1" x14ac:dyDescent="0.25">
      <c r="A281" s="1197">
        <f>Chem!A281</f>
        <v>279</v>
      </c>
      <c r="B281" s="1143" t="str">
        <f>Chem!B281</f>
        <v>Herbicides</v>
      </c>
      <c r="C281" s="127"/>
      <c r="D281" s="127"/>
      <c r="E281" s="2374"/>
      <c r="F281" s="127"/>
      <c r="G281" s="127"/>
      <c r="H281" s="127"/>
      <c r="I281" s="127"/>
      <c r="J281" s="2364"/>
      <c r="K281" s="124"/>
      <c r="L281" s="1063"/>
    </row>
    <row r="282" spans="1:12" s="284" customFormat="1" ht="13.9" customHeight="1" x14ac:dyDescent="0.25">
      <c r="A282" s="846">
        <f>Chem!A282</f>
        <v>280</v>
      </c>
      <c r="B282" s="1690" t="str">
        <f>Chem!B282</f>
        <v>2,4-Dichlorophenoxyacetic acid (2,4-D)</v>
      </c>
      <c r="C282" s="909">
        <f>Param!O282</f>
        <v>0.01</v>
      </c>
      <c r="D282" s="552" t="str">
        <f>Param!V282</f>
        <v>na</v>
      </c>
      <c r="E282" s="675">
        <f>Param!AB282</f>
        <v>1</v>
      </c>
      <c r="F282" s="552" t="str">
        <f>Param!N282</f>
        <v>na</v>
      </c>
      <c r="G282" s="684">
        <f>IF(C282="na","na",(C282/E282)*Eqtn!$D$25)</f>
        <v>160</v>
      </c>
      <c r="H282" s="684" t="str">
        <f>IF(D282="na","na",Eqtn!$D$46/(D282*E282))</f>
        <v>na</v>
      </c>
      <c r="I282" s="1144" t="str">
        <f>IF(C282="na","na",IF(F282="na","na",Eqtn!$D$68*C282/F282))</f>
        <v>na</v>
      </c>
      <c r="J282" s="613" t="str">
        <f>IF(D282="na","na",IF(F282="na","na",Eqtn!$D$90/(D282*F282)))</f>
        <v>na</v>
      </c>
      <c r="K282" s="124"/>
      <c r="L282" s="1062"/>
    </row>
    <row r="283" spans="1:12" s="284" customFormat="1" ht="13.9" customHeight="1" x14ac:dyDescent="0.25">
      <c r="A283" s="846">
        <f>Chem!A283</f>
        <v>281</v>
      </c>
      <c r="B283" s="1580" t="str">
        <f>Chem!B283</f>
        <v>4-(2,4-Dichlorophenoxy)butanoic acid 2,4-DB</v>
      </c>
      <c r="C283" s="909" t="str">
        <f>Param!O283</f>
        <v>na</v>
      </c>
      <c r="D283" s="552" t="str">
        <f>Param!V283</f>
        <v>na</v>
      </c>
      <c r="E283" s="675" t="str">
        <f>Param!AB283</f>
        <v>na</v>
      </c>
      <c r="F283" s="552" t="str">
        <f>Param!N283</f>
        <v>na</v>
      </c>
      <c r="G283" s="684" t="str">
        <f>IF(C283="na","na",(C283/E283)*Eqtn!$D$25)</f>
        <v>na</v>
      </c>
      <c r="H283" s="684" t="str">
        <f>IF(D283="na","na",Eqtn!$D$46/(D283*E283))</f>
        <v>na</v>
      </c>
      <c r="I283" s="1145" t="str">
        <f>IF(C283="na","na",IF(F283="na","na",Eqtn!$D$68*C283/F283))</f>
        <v>na</v>
      </c>
      <c r="J283" s="612" t="str">
        <f>IF(D283="na","na",IF(F283="na","na",Eqtn!$D$90/(D283*F283)))</f>
        <v>na</v>
      </c>
      <c r="K283" s="124"/>
      <c r="L283" s="1062"/>
    </row>
    <row r="284" spans="1:12" s="284" customFormat="1" ht="13.9" customHeight="1" x14ac:dyDescent="0.25">
      <c r="A284" s="846">
        <f>Chem!A284</f>
        <v>282</v>
      </c>
      <c r="B284" s="1580" t="str">
        <f>Chem!B284</f>
        <v>2-(2,4,5-Trichlorophenoxy)propionic acid (2,4,5-TP)</v>
      </c>
      <c r="C284" s="909">
        <f>Param!O284</f>
        <v>8.0000000000000002E-3</v>
      </c>
      <c r="D284" s="552" t="str">
        <f>Param!V284</f>
        <v>na</v>
      </c>
      <c r="E284" s="675">
        <f>Param!AB284</f>
        <v>1</v>
      </c>
      <c r="F284" s="552" t="str">
        <f>Param!N284</f>
        <v>na</v>
      </c>
      <c r="G284" s="684">
        <f>IF(C284="na","na",(C284/E284)*Eqtn!$D$25)</f>
        <v>128</v>
      </c>
      <c r="H284" s="684" t="str">
        <f>IF(D284="na","na",Eqtn!$D$46/(D284*E284))</f>
        <v>na</v>
      </c>
      <c r="I284" s="1145" t="str">
        <f>IF(C284="na","na",IF(F284="na","na",Eqtn!$D$68*C284/F284))</f>
        <v>na</v>
      </c>
      <c r="J284" s="612" t="str">
        <f>IF(D284="na","na",IF(F284="na","na",Eqtn!$D$90/(D284*F284)))</f>
        <v>na</v>
      </c>
      <c r="K284" s="124"/>
      <c r="L284" s="1062"/>
    </row>
    <row r="285" spans="1:12" s="284" customFormat="1" ht="13.9" customHeight="1" x14ac:dyDescent="0.25">
      <c r="A285" s="846">
        <f>Chem!A285</f>
        <v>283</v>
      </c>
      <c r="B285" s="1580" t="str">
        <f>Chem!B285</f>
        <v>2,4,5-Trichlorophenoxyacetic acid (2,4,5-T)</v>
      </c>
      <c r="C285" s="909">
        <f>Param!O285</f>
        <v>0.01</v>
      </c>
      <c r="D285" s="552" t="str">
        <f>Param!V285</f>
        <v>na</v>
      </c>
      <c r="E285" s="675">
        <f>Param!AB285</f>
        <v>1</v>
      </c>
      <c r="F285" s="552" t="str">
        <f>Param!N285</f>
        <v>na</v>
      </c>
      <c r="G285" s="684">
        <f>IF(C285="na","na",(C285/E285)*Eqtn!$D$25)</f>
        <v>160</v>
      </c>
      <c r="H285" s="684" t="str">
        <f>IF(D285="na","na",Eqtn!$D$46/(D285*E285))</f>
        <v>na</v>
      </c>
      <c r="I285" s="1145" t="str">
        <f>IF(C285="na","na",IF(F285="na","na",Eqtn!$D$68*C285/F285))</f>
        <v>na</v>
      </c>
      <c r="J285" s="612" t="str">
        <f>IF(D285="na","na",IF(F285="na","na",Eqtn!$D$90/(D285*F285)))</f>
        <v>na</v>
      </c>
      <c r="K285" s="124"/>
      <c r="L285" s="1062"/>
    </row>
    <row r="286" spans="1:12" s="284" customFormat="1" ht="13.9" customHeight="1" x14ac:dyDescent="0.25">
      <c r="A286" s="846">
        <f>Chem!A286</f>
        <v>284</v>
      </c>
      <c r="B286" s="1580" t="str">
        <f>Chem!B286</f>
        <v>Dalapon</v>
      </c>
      <c r="C286" s="909">
        <f>Param!O286</f>
        <v>0.03</v>
      </c>
      <c r="D286" s="552" t="str">
        <f>Param!V286</f>
        <v>na</v>
      </c>
      <c r="E286" s="675">
        <f>Param!AB286</f>
        <v>1</v>
      </c>
      <c r="F286" s="552" t="str">
        <f>Param!N286</f>
        <v>na</v>
      </c>
      <c r="G286" s="684">
        <f>IF(C286="na","na",(C286/E286)*Eqtn!$D$25)</f>
        <v>480</v>
      </c>
      <c r="H286" s="684" t="str">
        <f>IF(D286="na","na",Eqtn!$D$46/(D286*E286))</f>
        <v>na</v>
      </c>
      <c r="I286" s="1145" t="str">
        <f>IF(C286="na","na",IF(F286="na","na",Eqtn!$D$68*C286/F286))</f>
        <v>na</v>
      </c>
      <c r="J286" s="612" t="str">
        <f>IF(D286="na","na",IF(F286="na","na",Eqtn!$D$90/(D286*F286)))</f>
        <v>na</v>
      </c>
      <c r="K286" s="124"/>
      <c r="L286" s="1062"/>
    </row>
    <row r="287" spans="1:12" s="284" customFormat="1" ht="13.9" customHeight="1" x14ac:dyDescent="0.25">
      <c r="A287" s="846">
        <f>Chem!A287</f>
        <v>285</v>
      </c>
      <c r="B287" s="1580" t="str">
        <f>Chem!B287</f>
        <v>Dicamba</v>
      </c>
      <c r="C287" s="909">
        <f>Param!O287</f>
        <v>0.03</v>
      </c>
      <c r="D287" s="552" t="str">
        <f>Param!V287</f>
        <v>na</v>
      </c>
      <c r="E287" s="675">
        <f>Param!AB287</f>
        <v>1</v>
      </c>
      <c r="F287" s="552" t="str">
        <f>Param!N287</f>
        <v>na</v>
      </c>
      <c r="G287" s="684">
        <f>IF(C287="na","na",(C287/E287)*Eqtn!$D$25)</f>
        <v>480</v>
      </c>
      <c r="H287" s="684" t="str">
        <f>IF(D287="na","na",Eqtn!$D$46/(D287*E287))</f>
        <v>na</v>
      </c>
      <c r="I287" s="1145" t="str">
        <f>IF(C287="na","na",IF(F287="na","na",Eqtn!$D$68*C287/F287))</f>
        <v>na</v>
      </c>
      <c r="J287" s="612" t="str">
        <f>IF(D287="na","na",IF(F287="na","na",Eqtn!$D$90/(D287*F287)))</f>
        <v>na</v>
      </c>
      <c r="K287" s="124"/>
      <c r="L287" s="1062"/>
    </row>
    <row r="288" spans="1:12" s="284" customFormat="1" ht="13.9" customHeight="1" x14ac:dyDescent="0.25">
      <c r="A288" s="846">
        <f>Chem!A288</f>
        <v>286</v>
      </c>
      <c r="B288" s="1580" t="str">
        <f>Chem!B288</f>
        <v>Dichloroprop</v>
      </c>
      <c r="C288" s="909" t="str">
        <f>Param!O288</f>
        <v>na</v>
      </c>
      <c r="D288" s="552" t="str">
        <f>Param!V288</f>
        <v>na</v>
      </c>
      <c r="E288" s="675" t="str">
        <f>Param!AB288</f>
        <v>na</v>
      </c>
      <c r="F288" s="552" t="str">
        <f>Param!N288</f>
        <v>na</v>
      </c>
      <c r="G288" s="684" t="str">
        <f>IF(C288="na","na",(C288/E288)*Eqtn!$D$25)</f>
        <v>na</v>
      </c>
      <c r="H288" s="684" t="str">
        <f>IF(D288="na","na",Eqtn!$D$46/(D288*E288))</f>
        <v>na</v>
      </c>
      <c r="I288" s="1145" t="str">
        <f>IF(C288="na","na",IF(F288="na","na",Eqtn!$D$68*C288/F288))</f>
        <v>na</v>
      </c>
      <c r="J288" s="612" t="str">
        <f>IF(D288="na","na",IF(F288="na","na",Eqtn!$D$90/(D288*F288)))</f>
        <v>na</v>
      </c>
      <c r="K288" s="124"/>
      <c r="L288" s="1062"/>
    </row>
    <row r="289" spans="1:12" s="284" customFormat="1" ht="13.9" customHeight="1" x14ac:dyDescent="0.25">
      <c r="A289" s="846">
        <f>Chem!A289</f>
        <v>287</v>
      </c>
      <c r="B289" s="1580" t="str">
        <f>Chem!B289</f>
        <v>Dinoseb</v>
      </c>
      <c r="C289" s="909">
        <f>Param!O289</f>
        <v>1E-3</v>
      </c>
      <c r="D289" s="552" t="str">
        <f>Param!V289</f>
        <v>na</v>
      </c>
      <c r="E289" s="675">
        <f>Param!AB289</f>
        <v>1</v>
      </c>
      <c r="F289" s="552" t="str">
        <f>Param!N289</f>
        <v>na</v>
      </c>
      <c r="G289" s="684">
        <f>IF(C289="na","na",(C289/E289)*Eqtn!$D$25)</f>
        <v>16</v>
      </c>
      <c r="H289" s="684" t="str">
        <f>IF(D289="na","na",Eqtn!$D$46/(D289*E289))</f>
        <v>na</v>
      </c>
      <c r="I289" s="1145" t="str">
        <f>IF(C289="na","na",IF(F289="na","na",Eqtn!$D$68*C289/F289))</f>
        <v>na</v>
      </c>
      <c r="J289" s="612" t="str">
        <f>IF(D289="na","na",IF(F289="na","na",Eqtn!$D$90/(D289*F289)))</f>
        <v>na</v>
      </c>
      <c r="K289" s="124"/>
      <c r="L289" s="1062"/>
    </row>
    <row r="290" spans="1:12" s="284" customFormat="1" ht="13.9" customHeight="1" x14ac:dyDescent="0.25">
      <c r="A290" s="846">
        <f>Chem!A290</f>
        <v>288</v>
      </c>
      <c r="B290" s="1580" t="str">
        <f>Chem!B290</f>
        <v>2-Methyl-4-chlorophenoxy acetic acid (MCPA)</v>
      </c>
      <c r="C290" s="909">
        <f>Param!O290</f>
        <v>5.0000000000000001E-4</v>
      </c>
      <c r="D290" s="552" t="str">
        <f>Param!V290</f>
        <v>na</v>
      </c>
      <c r="E290" s="675">
        <f>Param!AB290</f>
        <v>1</v>
      </c>
      <c r="F290" s="552" t="str">
        <f>Param!N290</f>
        <v>na</v>
      </c>
      <c r="G290" s="684">
        <f>IF(C290="na","na",(C290/E290)*Eqtn!$D$25)</f>
        <v>8</v>
      </c>
      <c r="H290" s="684" t="str">
        <f>IF(D290="na","na",Eqtn!$D$46/(D290*E290))</f>
        <v>na</v>
      </c>
      <c r="I290" s="1145" t="str">
        <f>IF(C290="na","na",IF(F290="na","na",Eqtn!$D$68*C290/F290))</f>
        <v>na</v>
      </c>
      <c r="J290" s="612" t="str">
        <f>IF(D290="na","na",IF(F290="na","na",Eqtn!$D$90/(D290*F290)))</f>
        <v>na</v>
      </c>
      <c r="K290" s="124"/>
      <c r="L290" s="1062"/>
    </row>
    <row r="291" spans="1:12" s="284" customFormat="1" ht="13.9" customHeight="1" thickBot="1" x14ac:dyDescent="0.3">
      <c r="A291" s="1662">
        <f>Chem!A291</f>
        <v>289</v>
      </c>
      <c r="B291" s="1581" t="str">
        <f>Chem!B291</f>
        <v>(2-Methyl-4-chlorophenol)2-propionic acid (MCPP)</v>
      </c>
      <c r="C291" s="915">
        <f>Param!O291</f>
        <v>1E-3</v>
      </c>
      <c r="D291" s="561" t="str">
        <f>Param!V291</f>
        <v>na</v>
      </c>
      <c r="E291" s="682">
        <f>Param!AB291</f>
        <v>1</v>
      </c>
      <c r="F291" s="561" t="str">
        <f>Param!N291</f>
        <v>na</v>
      </c>
      <c r="G291" s="688">
        <f>IF(C291="na","na",(C291/E291)*Eqtn!$D$25)</f>
        <v>16</v>
      </c>
      <c r="H291" s="688" t="str">
        <f>IF(D291="na","na",Eqtn!$D$46/(D291*E291))</f>
        <v>na</v>
      </c>
      <c r="I291" s="1146" t="str">
        <f>IF(C291="na","na",IF(F291="na","na",Eqtn!$D$68*C291/F291))</f>
        <v>na</v>
      </c>
      <c r="J291" s="1234" t="str">
        <f>IF(D291="na","na",IF(F291="na","na",Eqtn!$D$90/(D291*F291)))</f>
        <v>na</v>
      </c>
      <c r="K291" s="124"/>
      <c r="L291" s="1065"/>
    </row>
    <row r="292" spans="1:12" s="284" customFormat="1" ht="15.75" thickTop="1" x14ac:dyDescent="0.2">
      <c r="A292" s="130"/>
      <c r="B292" s="919"/>
      <c r="C292" s="124"/>
      <c r="D292" s="124"/>
      <c r="E292" s="200"/>
      <c r="F292" s="200"/>
      <c r="G292" s="124"/>
      <c r="H292" s="124"/>
      <c r="I292" s="124"/>
      <c r="J292" s="124"/>
      <c r="K292" s="124"/>
      <c r="L292" s="968">
        <f>COUNTA(L4:L291)</f>
        <v>0</v>
      </c>
    </row>
    <row r="293" spans="1:12" s="284" customFormat="1" x14ac:dyDescent="0.25">
      <c r="A293" s="130"/>
      <c r="B293" s="919"/>
      <c r="C293" s="124"/>
      <c r="D293" s="124"/>
      <c r="E293" s="200"/>
      <c r="F293" s="200"/>
      <c r="G293" s="124"/>
      <c r="H293" s="124"/>
      <c r="I293" s="124"/>
      <c r="J293" s="124"/>
      <c r="K293" s="124"/>
      <c r="L293" s="11"/>
    </row>
    <row r="294" spans="1:12" s="284" customFormat="1" x14ac:dyDescent="0.25">
      <c r="A294" s="130"/>
      <c r="B294" s="919"/>
      <c r="C294" s="124"/>
      <c r="D294" s="124"/>
      <c r="E294" s="200"/>
      <c r="F294" s="200"/>
      <c r="G294" s="124"/>
      <c r="H294" s="124"/>
      <c r="I294" s="124"/>
      <c r="J294" s="124"/>
      <c r="K294" s="124"/>
      <c r="L294" s="11"/>
    </row>
    <row r="295" spans="1:12" s="284" customFormat="1" x14ac:dyDescent="0.25">
      <c r="A295" s="130"/>
      <c r="B295" s="919"/>
      <c r="C295" s="124"/>
      <c r="D295" s="124"/>
      <c r="E295" s="200"/>
      <c r="F295" s="1571"/>
      <c r="G295" s="124"/>
      <c r="H295" s="124"/>
      <c r="I295" s="124"/>
      <c r="J295" s="124"/>
      <c r="K295" s="124"/>
      <c r="L295" s="11"/>
    </row>
    <row r="296" spans="1:12" s="284" customFormat="1" x14ac:dyDescent="0.25">
      <c r="A296" s="130"/>
      <c r="B296" s="920"/>
      <c r="C296" s="124"/>
      <c r="D296" s="124"/>
      <c r="E296" s="200"/>
      <c r="F296" s="200"/>
      <c r="G296" s="124"/>
      <c r="H296" s="124"/>
      <c r="I296" s="124"/>
      <c r="J296" s="124"/>
      <c r="K296" s="124"/>
      <c r="L296" s="11"/>
    </row>
    <row r="297" spans="1:12" s="124" customFormat="1" x14ac:dyDescent="0.25">
      <c r="A297" s="130"/>
      <c r="B297" s="919"/>
      <c r="E297" s="200"/>
      <c r="F297" s="200"/>
      <c r="L297" s="11"/>
    </row>
    <row r="298" spans="1:12" s="124" customFormat="1" x14ac:dyDescent="0.25">
      <c r="A298" s="130"/>
      <c r="B298" s="921"/>
      <c r="E298" s="200"/>
      <c r="F298" s="200"/>
      <c r="L298" s="11"/>
    </row>
    <row r="299" spans="1:12" s="124" customFormat="1" x14ac:dyDescent="0.25">
      <c r="A299" s="130"/>
      <c r="B299" s="919"/>
      <c r="E299" s="200"/>
      <c r="F299" s="200"/>
      <c r="L299" s="11"/>
    </row>
    <row r="300" spans="1:12" s="124" customFormat="1" x14ac:dyDescent="0.25">
      <c r="A300" s="130"/>
      <c r="B300" s="919"/>
      <c r="E300" s="200"/>
      <c r="F300" s="200"/>
      <c r="L300" s="11"/>
    </row>
    <row r="301" spans="1:12" s="124" customFormat="1" x14ac:dyDescent="0.25">
      <c r="A301" s="130"/>
      <c r="B301" s="919"/>
      <c r="E301" s="200"/>
      <c r="F301" s="200"/>
      <c r="L301" s="11"/>
    </row>
    <row r="302" spans="1:12" s="124" customFormat="1" x14ac:dyDescent="0.25">
      <c r="A302" s="130"/>
      <c r="B302" s="919"/>
      <c r="E302" s="200"/>
      <c r="F302" s="200"/>
      <c r="L302" s="11"/>
    </row>
    <row r="303" spans="1:12" s="124" customFormat="1" x14ac:dyDescent="0.25">
      <c r="A303" s="130"/>
      <c r="B303" s="919"/>
      <c r="E303" s="200"/>
      <c r="F303" s="200"/>
      <c r="L303" s="11"/>
    </row>
    <row r="304" spans="1:12" s="124" customFormat="1" x14ac:dyDescent="0.25">
      <c r="A304" s="130"/>
      <c r="B304" s="919"/>
      <c r="E304" s="200"/>
      <c r="F304" s="200"/>
      <c r="L304" s="11"/>
    </row>
    <row r="305" spans="1:12" s="124" customFormat="1" x14ac:dyDescent="0.25">
      <c r="A305" s="130"/>
      <c r="B305" s="919"/>
      <c r="E305" s="200"/>
      <c r="F305" s="200"/>
      <c r="L305" s="11"/>
    </row>
    <row r="306" spans="1:12" s="124" customFormat="1" x14ac:dyDescent="0.25">
      <c r="A306" s="130"/>
      <c r="B306" s="919"/>
      <c r="E306" s="200"/>
      <c r="F306" s="200"/>
      <c r="L306" s="11"/>
    </row>
    <row r="307" spans="1:12" s="124" customFormat="1" x14ac:dyDescent="0.25">
      <c r="A307" s="130"/>
      <c r="B307" s="919"/>
      <c r="E307" s="200"/>
      <c r="F307" s="200"/>
      <c r="L307" s="11"/>
    </row>
    <row r="308" spans="1:12" s="124" customFormat="1" x14ac:dyDescent="0.25">
      <c r="A308" s="130"/>
      <c r="B308" s="919"/>
      <c r="E308" s="200"/>
      <c r="F308" s="200"/>
      <c r="L308" s="11"/>
    </row>
    <row r="309" spans="1:12" s="124" customFormat="1" x14ac:dyDescent="0.25">
      <c r="A309" s="130"/>
      <c r="B309" s="919"/>
      <c r="E309" s="200"/>
      <c r="F309" s="200"/>
      <c r="L309" s="11"/>
    </row>
    <row r="310" spans="1:12" s="124" customFormat="1" x14ac:dyDescent="0.25">
      <c r="A310" s="130"/>
      <c r="B310" s="919"/>
      <c r="E310" s="200"/>
      <c r="F310" s="200"/>
      <c r="L310" s="11"/>
    </row>
    <row r="311" spans="1:12" s="124" customFormat="1" x14ac:dyDescent="0.25">
      <c r="A311" s="130"/>
      <c r="B311" s="919"/>
      <c r="E311" s="200"/>
      <c r="F311" s="200"/>
      <c r="L311" s="11"/>
    </row>
    <row r="312" spans="1:12" s="124" customFormat="1" x14ac:dyDescent="0.25">
      <c r="A312" s="130"/>
      <c r="B312" s="919"/>
      <c r="E312" s="200"/>
      <c r="F312" s="200"/>
      <c r="L312" s="11"/>
    </row>
    <row r="313" spans="1:12" s="124" customFormat="1" x14ac:dyDescent="0.25">
      <c r="A313" s="130"/>
      <c r="B313" s="919"/>
      <c r="E313" s="200"/>
      <c r="F313" s="200"/>
      <c r="L313" s="11"/>
    </row>
    <row r="314" spans="1:12" s="124" customFormat="1" x14ac:dyDescent="0.25">
      <c r="A314" s="130"/>
      <c r="B314" s="919"/>
      <c r="E314" s="200"/>
      <c r="F314" s="200"/>
      <c r="L314" s="11"/>
    </row>
    <row r="315" spans="1:12" s="124" customFormat="1" x14ac:dyDescent="0.25">
      <c r="A315" s="130"/>
      <c r="B315" s="919"/>
      <c r="E315" s="200"/>
      <c r="F315" s="200"/>
      <c r="L315" s="11"/>
    </row>
    <row r="316" spans="1:12" s="124" customFormat="1" x14ac:dyDescent="0.25">
      <c r="A316" s="130"/>
      <c r="B316" s="919"/>
      <c r="E316" s="200"/>
      <c r="F316" s="200"/>
      <c r="L316" s="11"/>
    </row>
    <row r="317" spans="1:12" s="124" customFormat="1" x14ac:dyDescent="0.25">
      <c r="A317" s="130"/>
      <c r="B317" s="919"/>
      <c r="E317" s="200"/>
      <c r="F317" s="200"/>
      <c r="L317" s="11"/>
    </row>
  </sheetData>
  <autoFilter ref="A2:L2" xr:uid="{00000000-0009-0000-0000-00000E000000}"/>
  <printOptions horizontalCentered="1"/>
  <pageMargins left="0.7" right="0.7" top="0.75" bottom="0.75" header="0.3" footer="0.3"/>
  <pageSetup orientation="landscape" r:id="rId1"/>
  <headerFooter scaleWithDoc="0">
    <oddFooter>&amp;R&amp;"Arial,Regular"&amp;9Page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6DD0E-D1FC-44E9-8BA1-001C7FE8989D}">
  <sheetPr>
    <tabColor theme="4" tint="0.59999389629810485"/>
  </sheetPr>
  <dimension ref="A1:Z44"/>
  <sheetViews>
    <sheetView workbookViewId="0">
      <selection activeCell="I5" sqref="I5"/>
    </sheetView>
  </sheetViews>
  <sheetFormatPr defaultColWidth="9.140625" defaultRowHeight="12.75" x14ac:dyDescent="0.2"/>
  <cols>
    <col min="1" max="1" width="33" style="2404" customWidth="1"/>
    <col min="2" max="8" width="13.140625" style="2404" customWidth="1"/>
    <col min="9" max="9" width="11.42578125" style="2404" customWidth="1"/>
    <col min="10" max="10" width="5.7109375" style="2404" customWidth="1"/>
    <col min="11" max="14" width="8.5703125" style="2404" customWidth="1"/>
    <col min="15" max="26" width="8.5703125" style="2410" customWidth="1"/>
    <col min="27" max="30" width="11.42578125" style="2404" customWidth="1"/>
    <col min="31" max="16384" width="9.140625" style="2404"/>
  </cols>
  <sheetData>
    <row r="1" spans="1:26" x14ac:dyDescent="0.2">
      <c r="A1" s="2515" t="s">
        <v>1697</v>
      </c>
    </row>
    <row r="3" spans="1:26" x14ac:dyDescent="0.2">
      <c r="A3" s="2453" t="s">
        <v>735</v>
      </c>
    </row>
    <row r="4" spans="1:26" x14ac:dyDescent="0.2">
      <c r="A4" s="2406" t="s">
        <v>694</v>
      </c>
      <c r="B4" s="2406"/>
      <c r="C4" s="2406"/>
      <c r="D4" s="2406"/>
      <c r="E4" s="2406"/>
      <c r="F4" s="2406"/>
    </row>
    <row r="5" spans="1:26" x14ac:dyDescent="0.2">
      <c r="A5" s="2407" t="s">
        <v>692</v>
      </c>
      <c r="B5" s="2407"/>
      <c r="C5" s="2407"/>
      <c r="D5" s="2407"/>
      <c r="E5" s="2407"/>
      <c r="F5" s="2407"/>
    </row>
    <row r="6" spans="1:26" x14ac:dyDescent="0.2">
      <c r="A6" s="2418" t="s">
        <v>693</v>
      </c>
      <c r="B6" s="2418"/>
      <c r="C6" s="2418"/>
      <c r="D6" s="2418"/>
      <c r="E6" s="2418"/>
      <c r="F6" s="2418"/>
    </row>
    <row r="7" spans="1:26" x14ac:dyDescent="0.2">
      <c r="A7" s="2405"/>
    </row>
    <row r="8" spans="1:26" x14ac:dyDescent="0.2">
      <c r="A8" s="2453" t="s">
        <v>728</v>
      </c>
      <c r="B8" s="2410"/>
      <c r="C8" s="2410"/>
      <c r="D8" s="2410"/>
      <c r="E8" s="2410"/>
      <c r="F8" s="2410"/>
      <c r="G8" s="2410"/>
      <c r="H8" s="2454"/>
      <c r="J8" s="2411"/>
      <c r="K8" s="2411"/>
      <c r="L8" s="2411"/>
      <c r="M8" s="2411"/>
      <c r="N8" s="2411"/>
      <c r="O8" s="2404"/>
      <c r="P8" s="2404"/>
      <c r="Q8" s="2404"/>
      <c r="R8" s="2404"/>
      <c r="S8" s="2404"/>
      <c r="T8" s="2404"/>
      <c r="U8" s="2404"/>
      <c r="V8" s="2404"/>
      <c r="W8" s="2404"/>
      <c r="X8" s="2404"/>
      <c r="Y8" s="2404"/>
      <c r="Z8" s="2404"/>
    </row>
    <row r="9" spans="1:26" x14ac:dyDescent="0.2">
      <c r="A9" s="2453" t="s">
        <v>727</v>
      </c>
      <c r="B9" s="2410"/>
      <c r="C9" s="2410"/>
      <c r="D9" s="2410"/>
      <c r="E9" s="2410"/>
      <c r="F9" s="2410"/>
      <c r="G9" s="2410"/>
      <c r="H9" s="2454"/>
      <c r="J9" s="2411"/>
      <c r="K9" s="2411"/>
      <c r="L9" s="2411"/>
      <c r="M9" s="2411"/>
      <c r="N9" s="2411"/>
      <c r="O9" s="2404"/>
      <c r="P9" s="2404"/>
      <c r="Q9" s="2404"/>
      <c r="R9" s="2404"/>
      <c r="S9" s="2404"/>
      <c r="T9" s="2404"/>
      <c r="U9" s="2404"/>
      <c r="V9" s="2404"/>
      <c r="W9" s="2404"/>
      <c r="X9" s="2404"/>
      <c r="Y9" s="2404"/>
      <c r="Z9" s="2404"/>
    </row>
    <row r="10" spans="1:26" x14ac:dyDescent="0.2">
      <c r="A10" s="2455"/>
      <c r="B10" s="2456"/>
      <c r="C10" s="2670" t="s">
        <v>695</v>
      </c>
      <c r="D10" s="2670"/>
      <c r="E10" s="2670"/>
      <c r="F10" s="2670"/>
      <c r="G10" s="2456"/>
      <c r="H10" s="2457"/>
      <c r="I10" s="2457"/>
      <c r="J10" s="2411"/>
      <c r="K10" s="2661" t="s">
        <v>729</v>
      </c>
      <c r="L10" s="2662"/>
      <c r="M10" s="2662"/>
      <c r="N10" s="2662"/>
      <c r="O10" s="2661" t="s">
        <v>721</v>
      </c>
      <c r="P10" s="2662"/>
      <c r="Q10" s="2662"/>
      <c r="R10" s="2662"/>
      <c r="S10" s="2661" t="s">
        <v>722</v>
      </c>
      <c r="T10" s="2662"/>
      <c r="U10" s="2662"/>
      <c r="V10" s="2666"/>
      <c r="W10" s="2667" t="s">
        <v>723</v>
      </c>
      <c r="X10" s="2667"/>
      <c r="Y10" s="2667"/>
      <c r="Z10" s="2667"/>
    </row>
    <row r="11" spans="1:26" ht="13.5" thickBot="1" x14ac:dyDescent="0.25">
      <c r="A11" s="2458" t="s">
        <v>696</v>
      </c>
      <c r="B11" s="2459" t="s">
        <v>471</v>
      </c>
      <c r="C11" s="2460" t="s">
        <v>697</v>
      </c>
      <c r="D11" s="2460" t="s">
        <v>698</v>
      </c>
      <c r="E11" s="2460" t="s">
        <v>699</v>
      </c>
      <c r="F11" s="2460" t="s">
        <v>700</v>
      </c>
      <c r="G11" s="2459" t="s">
        <v>473</v>
      </c>
      <c r="H11" s="2461" t="s">
        <v>539</v>
      </c>
      <c r="I11" s="2461"/>
      <c r="J11" s="2413"/>
      <c r="K11" s="2486" t="s">
        <v>697</v>
      </c>
      <c r="L11" s="2486" t="s">
        <v>698</v>
      </c>
      <c r="M11" s="2487" t="s">
        <v>699</v>
      </c>
      <c r="N11" s="2487" t="s">
        <v>700</v>
      </c>
      <c r="O11" s="2486" t="s">
        <v>697</v>
      </c>
      <c r="P11" s="2486" t="s">
        <v>698</v>
      </c>
      <c r="Q11" s="2487" t="s">
        <v>699</v>
      </c>
      <c r="R11" s="2487" t="s">
        <v>700</v>
      </c>
      <c r="S11" s="2486" t="s">
        <v>697</v>
      </c>
      <c r="T11" s="2486" t="s">
        <v>698</v>
      </c>
      <c r="U11" s="2487" t="s">
        <v>699</v>
      </c>
      <c r="V11" s="2487" t="s">
        <v>700</v>
      </c>
      <c r="W11" s="2486" t="s">
        <v>697</v>
      </c>
      <c r="X11" s="2486" t="s">
        <v>698</v>
      </c>
      <c r="Y11" s="2487" t="s">
        <v>699</v>
      </c>
      <c r="Z11" s="2487" t="s">
        <v>700</v>
      </c>
    </row>
    <row r="12" spans="1:26" ht="13.5" thickTop="1" x14ac:dyDescent="0.2">
      <c r="A12" s="2404" t="s">
        <v>551</v>
      </c>
      <c r="B12" s="2410" t="s">
        <v>552</v>
      </c>
      <c r="C12" s="2410">
        <v>10</v>
      </c>
      <c r="D12" s="2410">
        <v>3</v>
      </c>
      <c r="E12" s="2410">
        <v>3</v>
      </c>
      <c r="F12" s="2410">
        <v>1</v>
      </c>
      <c r="G12" s="2410" t="s">
        <v>17</v>
      </c>
      <c r="H12" s="2454" t="s">
        <v>733</v>
      </c>
      <c r="J12" s="2411"/>
      <c r="K12" s="2485">
        <v>10</v>
      </c>
      <c r="L12" s="2485">
        <v>3</v>
      </c>
      <c r="M12" s="2485">
        <v>3</v>
      </c>
      <c r="N12" s="2485">
        <v>1</v>
      </c>
      <c r="O12" s="2485">
        <v>10</v>
      </c>
      <c r="P12" s="2485">
        <v>3</v>
      </c>
      <c r="Q12" s="2485">
        <v>3</v>
      </c>
      <c r="R12" s="2485">
        <v>1</v>
      </c>
      <c r="S12" s="2485">
        <v>10</v>
      </c>
      <c r="T12" s="2485">
        <v>3</v>
      </c>
      <c r="U12" s="2485">
        <v>3</v>
      </c>
      <c r="V12" s="2485">
        <v>1</v>
      </c>
      <c r="W12" s="2485">
        <v>10</v>
      </c>
      <c r="X12" s="2485">
        <v>3</v>
      </c>
      <c r="Y12" s="2485">
        <v>3</v>
      </c>
      <c r="Z12" s="2485">
        <v>1</v>
      </c>
    </row>
    <row r="13" spans="1:26" x14ac:dyDescent="0.2">
      <c r="A13" s="2404" t="s">
        <v>466</v>
      </c>
      <c r="B13" s="2410" t="s">
        <v>87</v>
      </c>
      <c r="C13" s="2410">
        <v>15.2</v>
      </c>
      <c r="D13" s="2410">
        <v>15.2</v>
      </c>
      <c r="E13" s="2410">
        <v>81.8</v>
      </c>
      <c r="F13" s="2410">
        <v>81.8</v>
      </c>
      <c r="G13" s="2410" t="s">
        <v>19</v>
      </c>
      <c r="H13" s="2454" t="s">
        <v>733</v>
      </c>
      <c r="J13" s="2411"/>
      <c r="K13" s="2484">
        <v>15.2</v>
      </c>
      <c r="L13" s="2484">
        <v>15.2</v>
      </c>
      <c r="M13" s="2481">
        <v>81.8</v>
      </c>
      <c r="N13" s="2481">
        <v>81.8</v>
      </c>
      <c r="O13" s="2482">
        <v>16</v>
      </c>
      <c r="P13" s="2482">
        <v>16</v>
      </c>
      <c r="Q13" s="2481">
        <v>80</v>
      </c>
      <c r="R13" s="2481">
        <v>80</v>
      </c>
      <c r="S13" s="2482">
        <v>16</v>
      </c>
      <c r="T13" s="2482">
        <v>16</v>
      </c>
      <c r="U13" s="2481">
        <v>80</v>
      </c>
      <c r="V13" s="2481">
        <v>80</v>
      </c>
      <c r="W13" s="2481">
        <v>16</v>
      </c>
      <c r="X13" s="2481">
        <v>16</v>
      </c>
      <c r="Y13" s="2481">
        <v>70</v>
      </c>
      <c r="Z13" s="2481">
        <v>70</v>
      </c>
    </row>
    <row r="14" spans="1:26" x14ac:dyDescent="0.2">
      <c r="A14" s="2404" t="s">
        <v>701</v>
      </c>
      <c r="B14" s="2410" t="s">
        <v>27</v>
      </c>
      <c r="C14" s="2410">
        <v>38.6</v>
      </c>
      <c r="D14" s="2410">
        <v>38.6</v>
      </c>
      <c r="E14" s="2410">
        <v>97.5</v>
      </c>
      <c r="F14" s="2410">
        <v>97.5</v>
      </c>
      <c r="G14" s="2410" t="s">
        <v>28</v>
      </c>
      <c r="H14" s="2454" t="s">
        <v>734</v>
      </c>
      <c r="J14" s="2411"/>
      <c r="K14" s="2484">
        <v>38.6</v>
      </c>
      <c r="L14" s="2484">
        <v>38.6</v>
      </c>
      <c r="M14" s="2481">
        <v>97.5</v>
      </c>
      <c r="N14" s="2481">
        <v>97.5</v>
      </c>
      <c r="O14" s="2484">
        <v>195.6</v>
      </c>
      <c r="P14" s="2484">
        <v>195.6</v>
      </c>
      <c r="Q14" s="2481">
        <v>489</v>
      </c>
      <c r="R14" s="2481">
        <v>489</v>
      </c>
      <c r="S14" s="2481">
        <v>77.2</v>
      </c>
      <c r="T14" s="2481">
        <v>77.2</v>
      </c>
      <c r="U14" s="2481">
        <v>193</v>
      </c>
      <c r="V14" s="2481">
        <v>193</v>
      </c>
      <c r="W14" s="2481">
        <v>27</v>
      </c>
      <c r="X14" s="2481">
        <v>27</v>
      </c>
      <c r="Y14" s="2481">
        <v>27</v>
      </c>
      <c r="Z14" s="2481">
        <v>27</v>
      </c>
    </row>
    <row r="15" spans="1:26" ht="25.5" x14ac:dyDescent="0.2">
      <c r="A15" s="2462" t="s">
        <v>702</v>
      </c>
      <c r="B15" s="2463" t="s">
        <v>703</v>
      </c>
      <c r="C15" s="2464">
        <f>C12*C14/C13</f>
        <v>25.394736842105264</v>
      </c>
      <c r="D15" s="2464">
        <f>D12*D14/D13</f>
        <v>7.6184210526315796</v>
      </c>
      <c r="E15" s="2464">
        <f>E12*E14/E13</f>
        <v>3.5757946210268949</v>
      </c>
      <c r="F15" s="2464">
        <f>F12*F14/F13</f>
        <v>1.1919315403422983</v>
      </c>
      <c r="G15" s="2465" t="s">
        <v>704</v>
      </c>
      <c r="H15" s="2466" t="s">
        <v>541</v>
      </c>
      <c r="I15" s="2467"/>
      <c r="J15" s="2411"/>
      <c r="K15" s="2665" t="s">
        <v>730</v>
      </c>
      <c r="L15" s="2665"/>
      <c r="M15" s="2665"/>
      <c r="N15" s="2665"/>
      <c r="O15" s="2664" t="s">
        <v>736</v>
      </c>
      <c r="P15" s="2664"/>
      <c r="Q15" s="2664"/>
      <c r="R15" s="2664"/>
      <c r="S15" s="2664" t="s">
        <v>736</v>
      </c>
      <c r="T15" s="2664"/>
      <c r="U15" s="2664"/>
      <c r="V15" s="2664"/>
      <c r="W15" s="2663" t="s">
        <v>733</v>
      </c>
      <c r="X15" s="2663"/>
      <c r="Y15" s="2663"/>
      <c r="Z15" s="2663"/>
    </row>
    <row r="16" spans="1:26" x14ac:dyDescent="0.2">
      <c r="A16" s="2467" t="s">
        <v>91</v>
      </c>
      <c r="B16" s="2468" t="s">
        <v>30</v>
      </c>
      <c r="C16" s="2468">
        <v>2</v>
      </c>
      <c r="D16" s="2468">
        <v>4</v>
      </c>
      <c r="E16" s="2468">
        <v>10</v>
      </c>
      <c r="F16" s="2468">
        <v>54</v>
      </c>
      <c r="G16" s="2468" t="s">
        <v>21</v>
      </c>
      <c r="H16" s="2469" t="s">
        <v>734</v>
      </c>
      <c r="I16" s="2467"/>
      <c r="J16" s="2411"/>
      <c r="K16" s="2411"/>
      <c r="L16" s="2411"/>
      <c r="M16" s="2411"/>
      <c r="N16" s="2411"/>
      <c r="O16" s="2414"/>
      <c r="P16" s="2414"/>
    </row>
    <row r="17" spans="1:23" x14ac:dyDescent="0.2">
      <c r="B17" s="2410"/>
      <c r="C17" s="2410"/>
      <c r="D17" s="2410"/>
      <c r="E17" s="2410"/>
      <c r="F17" s="2410"/>
      <c r="G17" s="2410"/>
      <c r="H17" s="2454"/>
      <c r="J17" s="2411"/>
      <c r="K17" s="2411"/>
      <c r="L17" s="2411"/>
      <c r="M17" s="2411"/>
      <c r="N17" s="2411"/>
      <c r="O17" s="2414"/>
      <c r="P17" s="2414"/>
    </row>
    <row r="18" spans="1:23" x14ac:dyDescent="0.2">
      <c r="A18" s="2453" t="s">
        <v>705</v>
      </c>
      <c r="B18" s="2410"/>
      <c r="C18" s="2410"/>
      <c r="D18" s="2410"/>
      <c r="E18" s="2410"/>
      <c r="F18" s="2410"/>
      <c r="G18" s="2410"/>
      <c r="H18" s="2454"/>
      <c r="J18" s="2411"/>
      <c r="K18" s="2411"/>
      <c r="L18" s="2411"/>
      <c r="M18" s="2411"/>
      <c r="N18" s="2411"/>
      <c r="O18" s="2414"/>
      <c r="P18" s="2414"/>
    </row>
    <row r="19" spans="1:23" ht="13.5" thickBot="1" x14ac:dyDescent="0.25">
      <c r="A19" s="2470" t="s">
        <v>472</v>
      </c>
      <c r="B19" s="2471" t="s">
        <v>471</v>
      </c>
      <c r="C19" s="2471" t="s">
        <v>538</v>
      </c>
      <c r="D19" s="2472" t="s">
        <v>473</v>
      </c>
      <c r="E19" s="2471"/>
      <c r="F19" s="2470" t="s">
        <v>539</v>
      </c>
      <c r="G19" s="2471"/>
      <c r="H19" s="2454"/>
      <c r="J19" s="2411"/>
      <c r="K19" s="2411"/>
      <c r="L19" s="2411"/>
      <c r="M19" s="2411"/>
      <c r="N19" s="2411"/>
      <c r="O19" s="2414"/>
      <c r="P19" s="2414"/>
    </row>
    <row r="20" spans="1:23" ht="13.5" thickTop="1" x14ac:dyDescent="0.2">
      <c r="A20" s="2404" t="s">
        <v>706</v>
      </c>
      <c r="B20" s="2410" t="s">
        <v>16</v>
      </c>
      <c r="C20" s="2473">
        <v>9.9999999999999995E-7</v>
      </c>
      <c r="D20" s="2454" t="s">
        <v>17</v>
      </c>
      <c r="E20" s="2410"/>
      <c r="F20" s="2404" t="s">
        <v>737</v>
      </c>
      <c r="G20" s="2410"/>
      <c r="H20" s="2454"/>
      <c r="J20" s="2411"/>
      <c r="K20" s="2411"/>
      <c r="L20" s="2411"/>
      <c r="M20" s="2411"/>
      <c r="N20" s="2411"/>
      <c r="O20" s="2414"/>
      <c r="P20" s="2414"/>
    </row>
    <row r="21" spans="1:23" x14ac:dyDescent="0.2">
      <c r="A21" s="2404" t="s">
        <v>707</v>
      </c>
      <c r="B21" s="2410" t="s">
        <v>22</v>
      </c>
      <c r="C21" s="2474">
        <v>1000</v>
      </c>
      <c r="D21" s="2454" t="s">
        <v>708</v>
      </c>
      <c r="E21" s="2410"/>
      <c r="F21" s="2488" t="s">
        <v>444</v>
      </c>
      <c r="G21" s="2410"/>
      <c r="H21" s="2454"/>
      <c r="J21" s="2411"/>
      <c r="K21" s="2411"/>
      <c r="L21" s="2411"/>
      <c r="M21" s="2411"/>
      <c r="N21" s="2411"/>
      <c r="O21" s="2412"/>
      <c r="P21" s="2412"/>
    </row>
    <row r="22" spans="1:23" x14ac:dyDescent="0.2">
      <c r="A22" s="2404" t="s">
        <v>709</v>
      </c>
      <c r="B22" s="2410" t="s">
        <v>24</v>
      </c>
      <c r="C22" s="2474">
        <v>1000</v>
      </c>
      <c r="D22" s="2454" t="s">
        <v>710</v>
      </c>
      <c r="E22" s="2410"/>
      <c r="F22" s="2488" t="s">
        <v>444</v>
      </c>
      <c r="G22" s="2410"/>
      <c r="H22" s="2454"/>
      <c r="J22" s="2415"/>
      <c r="K22" s="2415"/>
      <c r="L22" s="2415"/>
      <c r="M22" s="2415"/>
      <c r="N22" s="2415"/>
      <c r="O22" s="2412"/>
      <c r="P22" s="2412"/>
    </row>
    <row r="23" spans="1:23" x14ac:dyDescent="0.2">
      <c r="A23" s="2408" t="s">
        <v>711</v>
      </c>
      <c r="B23" s="2475" t="s">
        <v>20</v>
      </c>
      <c r="C23" s="2476">
        <v>75</v>
      </c>
      <c r="D23" s="2477" t="s">
        <v>712</v>
      </c>
      <c r="E23" s="2475"/>
      <c r="F23" s="2408" t="s">
        <v>737</v>
      </c>
      <c r="G23" s="2475"/>
      <c r="H23" s="2454"/>
      <c r="J23" s="2415"/>
      <c r="K23" s="2415"/>
      <c r="L23" s="2415"/>
      <c r="M23" s="2415"/>
      <c r="N23" s="2415"/>
      <c r="O23" s="2412"/>
      <c r="P23" s="2412"/>
    </row>
    <row r="24" spans="1:23" x14ac:dyDescent="0.2">
      <c r="B24" s="2410"/>
      <c r="C24" s="2410"/>
      <c r="D24" s="2410"/>
      <c r="E24" s="2410"/>
      <c r="F24" s="2410"/>
      <c r="G24" s="2410"/>
      <c r="H24" s="2454"/>
      <c r="J24" s="2415"/>
      <c r="K24" s="2415"/>
      <c r="L24" s="2415"/>
      <c r="M24" s="2415"/>
      <c r="N24" s="2415"/>
      <c r="O24" s="2412"/>
      <c r="P24" s="2412"/>
    </row>
    <row r="25" spans="1:23" x14ac:dyDescent="0.2">
      <c r="A25" s="2453" t="s">
        <v>713</v>
      </c>
      <c r="B25" s="2410"/>
      <c r="C25" s="2410"/>
      <c r="D25" s="2410"/>
      <c r="E25" s="2410"/>
      <c r="F25" s="2410"/>
      <c r="G25" s="2410"/>
      <c r="H25" s="2454"/>
      <c r="S25" s="2412"/>
      <c r="T25" s="2412"/>
      <c r="U25" s="2412"/>
      <c r="V25" s="2412"/>
      <c r="W25" s="2412"/>
    </row>
    <row r="26" spans="1:23" x14ac:dyDescent="0.2">
      <c r="A26" s="2671" t="s">
        <v>714</v>
      </c>
      <c r="B26" s="2673" t="s">
        <v>715</v>
      </c>
      <c r="C26" s="2673" t="s">
        <v>716</v>
      </c>
      <c r="D26" s="2670" t="s">
        <v>717</v>
      </c>
      <c r="E26" s="2670"/>
      <c r="F26" s="2670"/>
      <c r="G26" s="2670"/>
      <c r="H26" s="2673" t="s">
        <v>718</v>
      </c>
      <c r="J26" s="2411"/>
      <c r="K26" s="2411"/>
      <c r="L26" s="2411"/>
      <c r="M26" s="2411"/>
      <c r="N26" s="2411"/>
      <c r="O26" s="2412"/>
      <c r="P26" s="2412"/>
      <c r="Q26" s="2412"/>
      <c r="R26" s="2412"/>
      <c r="S26" s="2412"/>
      <c r="T26" s="2412"/>
      <c r="U26" s="2412"/>
      <c r="V26" s="2412"/>
      <c r="W26" s="2412"/>
    </row>
    <row r="27" spans="1:23" ht="13.5" thickBot="1" x14ac:dyDescent="0.25">
      <c r="A27" s="2672"/>
      <c r="B27" s="2674"/>
      <c r="C27" s="2674"/>
      <c r="D27" s="2460" t="s">
        <v>697</v>
      </c>
      <c r="E27" s="2460" t="s">
        <v>698</v>
      </c>
      <c r="F27" s="2460" t="s">
        <v>699</v>
      </c>
      <c r="G27" s="2460" t="s">
        <v>700</v>
      </c>
      <c r="H27" s="2674"/>
      <c r="I27" s="2478"/>
      <c r="J27" s="2411"/>
      <c r="K27" s="2411"/>
      <c r="L27" s="2411"/>
      <c r="M27" s="2411"/>
      <c r="N27" s="2411"/>
      <c r="O27" s="2412"/>
      <c r="P27" s="2412"/>
      <c r="Q27" s="2412"/>
      <c r="R27" s="2412"/>
      <c r="S27" s="2412"/>
      <c r="T27" s="2412"/>
      <c r="U27" s="2412"/>
      <c r="V27" s="2412"/>
      <c r="W27" s="2412"/>
    </row>
    <row r="28" spans="1:23" ht="13.5" thickTop="1" x14ac:dyDescent="0.2">
      <c r="A28" s="2449" t="s">
        <v>3</v>
      </c>
      <c r="B28" s="2421">
        <v>0.16</v>
      </c>
      <c r="C28" s="2421">
        <v>16</v>
      </c>
      <c r="D28" s="2421">
        <f>$C$20*$C$21*$C$22/($B28*$C28*C$15)</f>
        <v>1.5382124352331605E-2</v>
      </c>
      <c r="E28" s="2421">
        <f t="shared" ref="E28:G28" si="0">$C$20*$C$21*$C$22/($B28*$C28*D$15)</f>
        <v>5.1273747841105347E-2</v>
      </c>
      <c r="F28" s="2421">
        <f t="shared" si="0"/>
        <v>0.10924145299145299</v>
      </c>
      <c r="G28" s="2421">
        <f t="shared" si="0"/>
        <v>0.32772435897435892</v>
      </c>
      <c r="H28" s="2421">
        <f>C$23/(C$16/D28+D$16/E28+E$16/F28+F$16/G28)</f>
        <v>0.16151726557700138</v>
      </c>
      <c r="I28" s="2421"/>
      <c r="J28" s="2411"/>
      <c r="K28" s="2411"/>
      <c r="L28" s="2411"/>
      <c r="M28" s="2411"/>
      <c r="N28" s="2411"/>
      <c r="O28" s="2412"/>
      <c r="P28" s="2412"/>
      <c r="Q28" s="2412"/>
      <c r="R28" s="2412"/>
      <c r="S28" s="2412"/>
      <c r="T28" s="2412"/>
      <c r="U28" s="2412"/>
      <c r="V28" s="2412"/>
      <c r="W28" s="2412"/>
    </row>
    <row r="29" spans="1:23" x14ac:dyDescent="0.2">
      <c r="A29" s="2449" t="s">
        <v>464</v>
      </c>
      <c r="B29" s="2421">
        <v>1</v>
      </c>
      <c r="C29" s="2421">
        <v>30</v>
      </c>
      <c r="D29" s="2421">
        <f t="shared" ref="D29:G29" si="1">$C$20*$C$21*$C$22/($B29*$C29*C$15)</f>
        <v>1.3126079447322971E-3</v>
      </c>
      <c r="E29" s="2421">
        <f t="shared" si="1"/>
        <v>4.3753598157743228E-3</v>
      </c>
      <c r="F29" s="2421">
        <f t="shared" si="1"/>
        <v>9.3219373219373212E-3</v>
      </c>
      <c r="G29" s="2421">
        <f t="shared" si="1"/>
        <v>2.7965811965811965E-2</v>
      </c>
      <c r="H29" s="2421">
        <f t="shared" ref="H29:H32" si="2">C$23/(C$16/D29+D$16/E29+E$16/F29+F$16/G29)</f>
        <v>1.3782806662570783E-2</v>
      </c>
      <c r="I29" s="2421"/>
      <c r="S29" s="2480"/>
      <c r="T29" s="2480"/>
      <c r="U29" s="2480"/>
      <c r="V29" s="2480"/>
      <c r="W29" s="2480"/>
    </row>
    <row r="30" spans="1:23" x14ac:dyDescent="0.2">
      <c r="A30" s="2449" t="s">
        <v>6</v>
      </c>
      <c r="B30" s="2421">
        <v>230</v>
      </c>
      <c r="C30" s="2421">
        <v>87.5</v>
      </c>
      <c r="D30" s="2421">
        <f t="shared" ref="D30:G30" si="3">$C$20*$C$21*$C$22/($B30*$C30*C$15)</f>
        <v>1.9566826505326166E-6</v>
      </c>
      <c r="E30" s="2421">
        <f t="shared" si="3"/>
        <v>6.5222755017753885E-6</v>
      </c>
      <c r="F30" s="2421">
        <f t="shared" si="3"/>
        <v>1.3896055635186071E-5</v>
      </c>
      <c r="G30" s="2421">
        <f t="shared" si="3"/>
        <v>4.1688166905558206E-5</v>
      </c>
      <c r="H30" s="2421">
        <f t="shared" si="2"/>
        <v>2.0545798751658312E-5</v>
      </c>
      <c r="I30" s="2421"/>
      <c r="S30" s="2480"/>
      <c r="T30" s="2480"/>
      <c r="U30" s="2480"/>
      <c r="V30" s="2480"/>
      <c r="W30" s="2480"/>
    </row>
    <row r="31" spans="1:23" x14ac:dyDescent="0.2">
      <c r="A31" s="2449" t="s">
        <v>7</v>
      </c>
      <c r="B31" s="2421">
        <v>51</v>
      </c>
      <c r="C31" s="2421">
        <v>2.5999999999999999E-2</v>
      </c>
      <c r="D31" s="2421">
        <f t="shared" ref="D31:G31" si="4">$C$20*$C$21*$C$22/($B31*$C31*C$15)</f>
        <v>2.9697012324260117E-2</v>
      </c>
      <c r="E31" s="2421">
        <f t="shared" si="4"/>
        <v>9.899004108086705E-2</v>
      </c>
      <c r="F31" s="2421">
        <f t="shared" si="4"/>
        <v>0.21090355931984894</v>
      </c>
      <c r="G31" s="2421">
        <f t="shared" si="4"/>
        <v>0.63271067795954672</v>
      </c>
      <c r="H31" s="2421">
        <f t="shared" si="2"/>
        <v>0.31182820503553815</v>
      </c>
      <c r="I31" s="2421"/>
      <c r="S31" s="2480"/>
      <c r="T31" s="2480"/>
      <c r="U31" s="2480"/>
      <c r="V31" s="2480"/>
      <c r="W31" s="2480"/>
    </row>
    <row r="32" spans="1:23" x14ac:dyDescent="0.2">
      <c r="A32" s="2449" t="s">
        <v>11</v>
      </c>
      <c r="B32" s="2421">
        <v>2E-3</v>
      </c>
      <c r="C32" s="2421">
        <v>0.9</v>
      </c>
      <c r="D32" s="2421">
        <f t="shared" ref="D32:G32" si="5">$C$20*$C$21*$C$22/($B32*$C32*C$15)</f>
        <v>21.876799078871613</v>
      </c>
      <c r="E32" s="2421">
        <f t="shared" si="5"/>
        <v>72.922663596238706</v>
      </c>
      <c r="F32" s="2421">
        <f t="shared" si="5"/>
        <v>155.36562203228868</v>
      </c>
      <c r="G32" s="2421">
        <f t="shared" si="5"/>
        <v>466.09686609686605</v>
      </c>
      <c r="H32" s="2421">
        <f t="shared" si="2"/>
        <v>229.71344437617972</v>
      </c>
      <c r="I32" s="2421"/>
      <c r="S32" s="2480"/>
      <c r="T32" s="2480"/>
      <c r="U32" s="2480"/>
      <c r="V32" s="2480"/>
      <c r="W32" s="2480"/>
    </row>
    <row r="33" spans="1:23" x14ac:dyDescent="0.2">
      <c r="A33" s="2467" t="s">
        <v>539</v>
      </c>
      <c r="B33" s="2468" t="s">
        <v>148</v>
      </c>
      <c r="C33" s="2468" t="s">
        <v>148</v>
      </c>
      <c r="D33" s="2468" t="s">
        <v>542</v>
      </c>
      <c r="E33" s="2468" t="s">
        <v>542</v>
      </c>
      <c r="F33" s="2468" t="s">
        <v>542</v>
      </c>
      <c r="G33" s="2468" t="s">
        <v>542</v>
      </c>
      <c r="H33" s="2468" t="s">
        <v>573</v>
      </c>
      <c r="S33" s="2480"/>
      <c r="T33" s="2480"/>
      <c r="U33" s="2480"/>
      <c r="V33" s="2480"/>
      <c r="W33" s="2480"/>
    </row>
    <row r="34" spans="1:23" x14ac:dyDescent="0.2">
      <c r="A34" s="2479"/>
      <c r="S34" s="2480"/>
      <c r="T34" s="2480"/>
      <c r="U34" s="2480"/>
      <c r="V34" s="2480"/>
      <c r="W34" s="2480"/>
    </row>
    <row r="35" spans="1:23" x14ac:dyDescent="0.2">
      <c r="A35" s="2453" t="s">
        <v>580</v>
      </c>
    </row>
    <row r="36" spans="1:23" x14ac:dyDescent="0.2">
      <c r="A36" s="2404" t="s">
        <v>726</v>
      </c>
    </row>
    <row r="37" spans="1:23" x14ac:dyDescent="0.2">
      <c r="A37" s="2404" t="s">
        <v>725</v>
      </c>
    </row>
    <row r="38" spans="1:23" x14ac:dyDescent="0.2">
      <c r="A38" s="2404" t="s">
        <v>724</v>
      </c>
    </row>
    <row r="40" spans="1:23" x14ac:dyDescent="0.2">
      <c r="A40" s="2453" t="s">
        <v>719</v>
      </c>
    </row>
    <row r="41" spans="1:23" ht="26.25" customHeight="1" x14ac:dyDescent="0.2">
      <c r="A41" s="2668" t="s">
        <v>720</v>
      </c>
      <c r="B41" s="2668"/>
      <c r="C41" s="2668"/>
      <c r="D41" s="2668"/>
      <c r="E41" s="2668"/>
      <c r="F41" s="2668"/>
      <c r="G41" s="2668"/>
      <c r="H41" s="2668"/>
      <c r="I41" s="2483"/>
      <c r="J41" s="2483"/>
      <c r="K41" s="2483"/>
      <c r="L41" s="2483"/>
      <c r="M41" s="2483"/>
      <c r="N41" s="2483"/>
      <c r="O41" s="2483"/>
    </row>
    <row r="42" spans="1:23" ht="24.75" customHeight="1" x14ac:dyDescent="0.2">
      <c r="A42" s="2668" t="s">
        <v>731</v>
      </c>
      <c r="B42" s="2668"/>
      <c r="C42" s="2668"/>
      <c r="D42" s="2668"/>
      <c r="E42" s="2668"/>
      <c r="F42" s="2668"/>
      <c r="G42" s="2668"/>
      <c r="H42" s="2668"/>
      <c r="O42" s="2404"/>
    </row>
    <row r="43" spans="1:23" x14ac:dyDescent="0.2">
      <c r="A43" s="2669" t="s">
        <v>732</v>
      </c>
      <c r="B43" s="2669"/>
      <c r="C43" s="2669"/>
      <c r="D43" s="2669"/>
      <c r="E43" s="2669"/>
      <c r="F43" s="2669"/>
      <c r="G43" s="2669"/>
      <c r="H43" s="2669"/>
      <c r="O43" s="2404"/>
    </row>
    <row r="44" spans="1:23" ht="25.5" customHeight="1" x14ac:dyDescent="0.2">
      <c r="A44" s="2668" t="s">
        <v>586</v>
      </c>
      <c r="B44" s="2668"/>
      <c r="C44" s="2668"/>
      <c r="D44" s="2668"/>
      <c r="E44" s="2668"/>
      <c r="F44" s="2668"/>
      <c r="G44" s="2668"/>
      <c r="H44" s="2668"/>
      <c r="I44" s="2483"/>
      <c r="J44" s="2483"/>
      <c r="K44" s="2483"/>
      <c r="L44" s="2483"/>
      <c r="M44" s="2483"/>
      <c r="N44" s="2483"/>
      <c r="O44" s="2483"/>
    </row>
  </sheetData>
  <mergeCells count="18">
    <mergeCell ref="A41:H41"/>
    <mergeCell ref="A42:H42"/>
    <mergeCell ref="A43:H43"/>
    <mergeCell ref="A44:H44"/>
    <mergeCell ref="C10:F10"/>
    <mergeCell ref="A26:A27"/>
    <mergeCell ref="B26:B27"/>
    <mergeCell ref="C26:C27"/>
    <mergeCell ref="D26:G26"/>
    <mergeCell ref="H26:H27"/>
    <mergeCell ref="K10:N10"/>
    <mergeCell ref="W15:Z15"/>
    <mergeCell ref="S15:V15"/>
    <mergeCell ref="O15:R15"/>
    <mergeCell ref="K15:N15"/>
    <mergeCell ref="O10:R10"/>
    <mergeCell ref="S10:V10"/>
    <mergeCell ref="W10:Z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M292"/>
  <sheetViews>
    <sheetView zoomScaleNormal="100" workbookViewId="0">
      <pane xSplit="2" ySplit="2" topLeftCell="C252" activePane="bottomRight" state="frozen"/>
      <selection activeCell="B1" sqref="B1"/>
      <selection pane="topRight" activeCell="C1" sqref="C1"/>
      <selection pane="bottomLeft" activeCell="B4" sqref="B4"/>
      <selection pane="bottomRight" activeCell="D269" sqref="D269"/>
    </sheetView>
  </sheetViews>
  <sheetFormatPr defaultColWidth="8.85546875" defaultRowHeight="15" x14ac:dyDescent="0.25"/>
  <cols>
    <col min="1" max="1" width="6" style="32" customWidth="1"/>
    <col min="2" max="2" width="34.28515625" style="32" customWidth="1"/>
    <col min="3" max="3" width="12.28515625" style="32" customWidth="1"/>
    <col min="4" max="4" width="15" style="32" customWidth="1"/>
    <col min="5" max="5" width="17.85546875" style="32" customWidth="1"/>
    <col min="6" max="6" width="14.7109375" style="30" customWidth="1"/>
    <col min="7" max="7" width="18.140625" style="30" customWidth="1"/>
    <col min="8" max="8" width="13.140625" style="30" customWidth="1"/>
    <col min="9" max="9" width="18.140625" style="30" customWidth="1"/>
    <col min="10" max="10" width="17.7109375" style="30" customWidth="1"/>
    <col min="11" max="11" width="20" style="30" customWidth="1"/>
    <col min="12" max="12" width="4.42578125" style="30" customWidth="1"/>
    <col min="13" max="13" width="13.7109375" style="30" customWidth="1"/>
    <col min="14" max="16384" width="8.85546875" style="32"/>
  </cols>
  <sheetData>
    <row r="1" spans="1:13" ht="15.75" thickBot="1" x14ac:dyDescent="0.3">
      <c r="B1" s="359" t="s">
        <v>1698</v>
      </c>
    </row>
    <row r="2" spans="1:13" ht="75" thickTop="1" thickBot="1" x14ac:dyDescent="0.3">
      <c r="A2" s="1709" t="s">
        <v>445</v>
      </c>
      <c r="B2" s="1738" t="s">
        <v>0</v>
      </c>
      <c r="C2" s="1738" t="s">
        <v>1722</v>
      </c>
      <c r="D2" s="1738" t="s">
        <v>633</v>
      </c>
      <c r="E2" s="1727" t="s">
        <v>423</v>
      </c>
      <c r="F2" s="1738" t="s">
        <v>1723</v>
      </c>
      <c r="G2" s="1727" t="s">
        <v>424</v>
      </c>
      <c r="H2" s="1738" t="s">
        <v>753</v>
      </c>
      <c r="I2" s="1738" t="s">
        <v>425</v>
      </c>
      <c r="J2" s="1738" t="s">
        <v>506</v>
      </c>
      <c r="K2" s="1743" t="s">
        <v>634</v>
      </c>
      <c r="L2" s="128"/>
      <c r="M2" s="1724" t="s">
        <v>465</v>
      </c>
    </row>
    <row r="3" spans="1:13" ht="13.9" customHeight="1" thickTop="1" x14ac:dyDescent="0.25">
      <c r="A3" s="907">
        <f>Chem!A3</f>
        <v>1</v>
      </c>
      <c r="B3" s="934" t="str">
        <f>Chem!B3</f>
        <v>PCBs</v>
      </c>
      <c r="C3" s="120"/>
      <c r="D3" s="321"/>
      <c r="E3" s="120"/>
      <c r="F3" s="120"/>
      <c r="G3" s="646"/>
      <c r="H3" s="212"/>
      <c r="I3" s="212"/>
      <c r="J3" s="212"/>
      <c r="K3" s="213"/>
      <c r="L3" s="129"/>
      <c r="M3" s="1061"/>
    </row>
    <row r="4" spans="1:13" ht="13.9" customHeight="1" x14ac:dyDescent="0.25">
      <c r="A4" s="842">
        <f>Chem!A4</f>
        <v>2</v>
      </c>
      <c r="B4" s="931" t="str">
        <f>Chem!B4</f>
        <v>Total PCB Aroclors</v>
      </c>
      <c r="C4" s="924">
        <f>Param!J4</f>
        <v>1483.8999999999999</v>
      </c>
      <c r="D4" s="219">
        <f>'SD-Det'!Z4</f>
        <v>2E-3</v>
      </c>
      <c r="E4" s="2091">
        <f>IF(OR($C4="na",$D4="na"),"na",IF($D4="PQL","TBD",$D4/(Eqtn!$D$237*($C4+Eqtn!$D$238))))</f>
        <v>1.3472522987492349E-3</v>
      </c>
      <c r="F4" s="273">
        <f>'SD-Det'!P4</f>
        <v>1.2E-2</v>
      </c>
      <c r="G4" s="728">
        <f>IF(OR($C4="na",$F4="na"),"na",IF($F4="PQL","TBD",$F4/(Eqtn!$D$237*($C4+Eqtn!$D$238))))</f>
        <v>8.0835137924954101E-3</v>
      </c>
      <c r="H4" s="709">
        <f>'SD-Det'!AR4</f>
        <v>0.13</v>
      </c>
      <c r="I4" s="728">
        <f>IF(OR($C4="na",$H4="na"),"na",IF($H4="PQL","TBD",$H4/(Eqtn!$D$237*($C4+Eqtn!$D$238))))</f>
        <v>8.7571399418700277E-2</v>
      </c>
      <c r="J4" s="709"/>
      <c r="K4" s="710">
        <f>IF(OR($C4="na",$J4="na"),"na",IF($J4="PQL","TBD",$J4/(Eqtn!$D$237*($C4+Eqtn!$D$238))))</f>
        <v>0</v>
      </c>
      <c r="M4" s="1062"/>
    </row>
    <row r="5" spans="1:13" ht="13.9" customHeight="1" x14ac:dyDescent="0.25">
      <c r="A5" s="842">
        <f>Chem!A5</f>
        <v>3</v>
      </c>
      <c r="B5" s="931" t="str">
        <f>Chem!B5</f>
        <v>Total PCB congeners</v>
      </c>
      <c r="C5" s="924">
        <f>Param!J5</f>
        <v>1483.8999999999999</v>
      </c>
      <c r="D5" s="219">
        <f>'SD-Det'!Z5</f>
        <v>3.5000000000000001E-3</v>
      </c>
      <c r="E5" s="2092">
        <f>IF(OR($C5="na",$D5="na"),"na",IF($D5="PQL","TBD",$D5/(Eqtn!$D$237*($C5+Eqtn!$D$238))))</f>
        <v>2.3576915228111614E-3</v>
      </c>
      <c r="F5" s="273">
        <f>'SD-Det'!P5</f>
        <v>3.5000000000000001E-3</v>
      </c>
      <c r="G5" s="728">
        <f>IF(OR($C5="na",$F5="na"),"na",IF($F5="PQL","TBD",$F5/(Eqtn!$D$237*($C5+Eqtn!$D$238))))</f>
        <v>2.3576915228111614E-3</v>
      </c>
      <c r="H5" s="711">
        <f>'SD-Det'!AR5</f>
        <v>0.13</v>
      </c>
      <c r="I5" s="711">
        <f>IF(OR($C5="na",$H5="na"),"na",IF($H5="PQL","TBD",$H5/(Eqtn!$D$237*($C5+Eqtn!$D$238))))</f>
        <v>8.7571399418700277E-2</v>
      </c>
      <c r="J5" s="711"/>
      <c r="K5" s="712">
        <f>IF(OR($C5="na",$J5="na"),"na",IF($J5="PQL","TBD",$J5/(Eqtn!$D$237*($C5+Eqtn!$D$238))))</f>
        <v>0</v>
      </c>
      <c r="M5" s="1062"/>
    </row>
    <row r="6" spans="1:13" ht="13.9" customHeight="1" x14ac:dyDescent="0.25">
      <c r="A6" s="842">
        <f>Chem!A6</f>
        <v>4</v>
      </c>
      <c r="B6" s="931" t="str">
        <f>Chem!B6</f>
        <v>Total PCB TEQ</v>
      </c>
      <c r="C6" s="925">
        <f>Param!J6</f>
        <v>1483.8999999999999</v>
      </c>
      <c r="D6" s="2003">
        <f>'SD-Det'!Z6</f>
        <v>6.9999999999999997E-7</v>
      </c>
      <c r="E6" s="2093">
        <f>IF(OR($C6="na",$D6="na"),"na",IF($D6="PQL","TBD",$D6/(Eqtn!$D$237*($C6+Eqtn!$D$238))))</f>
        <v>4.7153830456223224E-7</v>
      </c>
      <c r="F6" s="651">
        <f>'SD-Det'!P6</f>
        <v>6.9999999999999997E-7</v>
      </c>
      <c r="G6" s="729">
        <f>IF(OR($C6="na",$F6="na"),"na",IF($F6="PQL","TBD",$F6/(Eqtn!$D$237*($C6+Eqtn!$D$238))))</f>
        <v>4.7153830456223224E-7</v>
      </c>
      <c r="H6" s="713" t="str">
        <f>'SD-Det'!AR6</f>
        <v>na</v>
      </c>
      <c r="I6" s="713" t="str">
        <f>IF(OR($C6="na",$H6="na"),"na",IF($H6="PQL","TBD",$H6/(Eqtn!$D$237*($C6+Eqtn!$D$238))))</f>
        <v>na</v>
      </c>
      <c r="J6" s="713"/>
      <c r="K6" s="714">
        <f>IF(OR($C6="na",$J6="na"),"na",IF($J6="PQL","TBD",$J6/(Eqtn!$D$237*($C6+Eqtn!$D$238))))</f>
        <v>0</v>
      </c>
      <c r="M6" s="1062"/>
    </row>
    <row r="7" spans="1:13" ht="13.9" customHeight="1" x14ac:dyDescent="0.25">
      <c r="A7" s="906">
        <f>Chem!A7</f>
        <v>5</v>
      </c>
      <c r="B7" s="934" t="str">
        <f>Chem!B7</f>
        <v xml:space="preserve">Dioxins/Furans </v>
      </c>
      <c r="C7" s="31"/>
      <c r="D7" s="259"/>
      <c r="E7" s="31"/>
      <c r="F7" s="31"/>
      <c r="G7" s="647"/>
      <c r="H7" s="31"/>
      <c r="I7" s="31"/>
      <c r="J7" s="31"/>
      <c r="K7" s="648"/>
      <c r="L7" s="129"/>
      <c r="M7" s="1063"/>
    </row>
    <row r="8" spans="1:13" ht="13.9" customHeight="1" x14ac:dyDescent="0.25">
      <c r="A8" s="844">
        <f>Chem!A8</f>
        <v>6</v>
      </c>
      <c r="B8" s="931" t="str">
        <f>Chem!B8</f>
        <v>Total dioxin/furan TEQ</v>
      </c>
      <c r="C8" s="924">
        <f>Param!J8</f>
        <v>4732.8999999999996</v>
      </c>
      <c r="D8" s="220">
        <f>'SD-Det'!Z8</f>
        <v>1.9999999999999999E-6</v>
      </c>
      <c r="E8" s="2092">
        <f>IF(OR($C8="na",$D8="na"),"na",IF($D8="PQL","TBD",$D8/(Eqtn!$D$237*($C8+Eqtn!$D$238))))</f>
        <v>4.2252007125676739E-7</v>
      </c>
      <c r="F8" s="299">
        <f>'SD-Det'!P8</f>
        <v>5.0000000000000004E-6</v>
      </c>
      <c r="G8" s="729">
        <f>IF(OR($C8="na",$F8="na"),"na",IF($F8="PQL","TBD",$F8/(Eqtn!$D$237*($C8+Eqtn!$D$238))))</f>
        <v>1.0563001781419186E-6</v>
      </c>
      <c r="H8" s="711">
        <f>'SD-Det'!AR8</f>
        <v>2.5000000000000001E-5</v>
      </c>
      <c r="I8" s="711">
        <f>IF(OR($C8="na",$H8="na"),"na",IF($H8="PQL","TBD",$H8/(Eqtn!$D$237*($C8+Eqtn!$D$238))))</f>
        <v>5.2815008907095923E-6</v>
      </c>
      <c r="J8" s="711"/>
      <c r="K8" s="712">
        <f>IF(OR($C8="na",$J8="na"),"na",IF($J8="PQL","TBD",$J8/(Eqtn!$D$237*($C8+Eqtn!$D$238))))</f>
        <v>0</v>
      </c>
      <c r="M8" s="1062"/>
    </row>
    <row r="9" spans="1:13" ht="13.9" customHeight="1" x14ac:dyDescent="0.25">
      <c r="A9" s="845">
        <f>Chem!A9</f>
        <v>7</v>
      </c>
      <c r="B9" s="931" t="str">
        <f>Chem!B9</f>
        <v>2,3,7,8-TCDD</v>
      </c>
      <c r="C9" s="924">
        <f>Param!J9</f>
        <v>4732.8999999999996</v>
      </c>
      <c r="D9" s="220">
        <f>'SD-Det'!Z9</f>
        <v>2.3304900059546648E-5</v>
      </c>
      <c r="E9" s="2092">
        <f>IF(OR($C9="na",$D9="na"),"na",IF($D9="PQL","TBD",$D9/(Eqtn!$D$237*($C9+Eqtn!$D$238))))</f>
        <v>4.9233940168957463E-6</v>
      </c>
      <c r="F9" s="299">
        <f>'SD-Det'!P9</f>
        <v>2.330490005954665E-4</v>
      </c>
      <c r="G9" s="729">
        <f>IF(OR($C9="na",$F9="na"),"na",IF($F9="PQL","TBD",$F9/(Eqtn!$D$237*($C9+Eqtn!$D$238))))</f>
        <v>4.9233940168957465E-5</v>
      </c>
      <c r="H9" s="711" t="str">
        <f>'SD-Det'!AR9</f>
        <v>na</v>
      </c>
      <c r="I9" s="711" t="str">
        <f>IF(OR($C9="na",$H9="na"),"na",IF($H9="PQL","TBD",$H9/(Eqtn!$D$237*($C9+Eqtn!$D$238))))</f>
        <v>na</v>
      </c>
      <c r="J9" s="711"/>
      <c r="K9" s="712">
        <f>IF(OR($C9="na",$J9="na"),"na",IF($J9="PQL","TBD",$J9/(Eqtn!$D$237*($C9+Eqtn!$D$238))))</f>
        <v>0</v>
      </c>
      <c r="M9" s="1062"/>
    </row>
    <row r="10" spans="1:13" s="361" customFormat="1" ht="13.9" customHeight="1" x14ac:dyDescent="0.2">
      <c r="A10" s="845">
        <f>Chem!A10</f>
        <v>8</v>
      </c>
      <c r="B10" s="931" t="str">
        <f>Chem!B10</f>
        <v>Total chlorinated dioxins</v>
      </c>
      <c r="C10" s="926">
        <f>Param!J10</f>
        <v>4732.8999999999996</v>
      </c>
      <c r="D10" s="220" t="str">
        <f>'SD-Det'!Z10</f>
        <v>na</v>
      </c>
      <c r="E10" s="1426" t="str">
        <f>IF(OR($C10="na",$D10="na"),"na",IF($D10="PQL","TBD",$D10/(Eqtn!$D$237*($C10+Eqtn!$D$238))))</f>
        <v>na</v>
      </c>
      <c r="F10" s="299" t="str">
        <f>'SD-Det'!P10</f>
        <v>na</v>
      </c>
      <c r="G10" s="730" t="str">
        <f>IF(OR($C10="na",$F10="na"),"na",IF($F10="PQL","TBD",$F10/(Eqtn!$D$237*($C10+Eqtn!$D$238))))</f>
        <v>na</v>
      </c>
      <c r="H10" s="715" t="str">
        <f>'SD-Det'!AR10</f>
        <v>na</v>
      </c>
      <c r="I10" s="715" t="str">
        <f>IF(OR($C10="na",$H10="na"),"na",IF($H10="PQL","TBD",$H10/(Eqtn!$D$237*($C10+Eqtn!$D$238))))</f>
        <v>na</v>
      </c>
      <c r="J10" s="715"/>
      <c r="K10" s="716">
        <f>IF(OR($C10="na",$J10="na"),"na",IF($J10="PQL","TBD",$J10/(Eqtn!$D$237*($C10+Eqtn!$D$238))))</f>
        <v>0</v>
      </c>
      <c r="L10" s="362"/>
      <c r="M10" s="1064"/>
    </row>
    <row r="11" spans="1:13" s="361" customFormat="1" ht="13.9" customHeight="1" x14ac:dyDescent="0.2">
      <c r="A11" s="845">
        <f>Chem!A11</f>
        <v>9</v>
      </c>
      <c r="B11" s="931" t="str">
        <f>Chem!B11</f>
        <v>Total chlorinated furans</v>
      </c>
      <c r="C11" s="926">
        <f>Param!J11</f>
        <v>4732.8999999999996</v>
      </c>
      <c r="D11" s="220" t="str">
        <f>'SD-Det'!Z11</f>
        <v>na</v>
      </c>
      <c r="E11" s="1426" t="str">
        <f>IF(OR($C11="na",$D11="na"),"na",IF($D11="PQL","TBD",$D11/(Eqtn!$D$237*($C11+Eqtn!$D$238))))</f>
        <v>na</v>
      </c>
      <c r="F11" s="299" t="str">
        <f>'SD-Det'!P11</f>
        <v>na</v>
      </c>
      <c r="G11" s="730" t="str">
        <f>IF(OR($C11="na",$F11="na"),"na",IF($F11="PQL","TBD",$F11/(Eqtn!$D$237*($C11+Eqtn!$D$238))))</f>
        <v>na</v>
      </c>
      <c r="H11" s="717" t="str">
        <f>'SD-Det'!AR11</f>
        <v>na</v>
      </c>
      <c r="I11" s="717" t="str">
        <f>IF(OR($C11="na",$H11="na"),"na",IF($H11="PQL","TBD",$H11/(Eqtn!$D$237*($C11+Eqtn!$D$238))))</f>
        <v>na</v>
      </c>
      <c r="J11" s="717"/>
      <c r="K11" s="718">
        <f>IF(OR($C11="na",$J11="na"),"na",IF($J11="PQL","TBD",$J11/(Eqtn!$D$237*($C11+Eqtn!$D$238))))</f>
        <v>0</v>
      </c>
      <c r="L11" s="362"/>
      <c r="M11" s="1064"/>
    </row>
    <row r="12" spans="1:13" s="361" customFormat="1" ht="13.9" customHeight="1" x14ac:dyDescent="0.25">
      <c r="A12" s="906">
        <f>Chem!A12</f>
        <v>10</v>
      </c>
      <c r="B12" s="934" t="str">
        <f>Chem!B12</f>
        <v>Inorganics</v>
      </c>
      <c r="C12" s="31"/>
      <c r="D12" s="259"/>
      <c r="E12" s="31"/>
      <c r="F12" s="31"/>
      <c r="G12" s="647"/>
      <c r="H12" s="31"/>
      <c r="I12" s="31"/>
      <c r="J12" s="31"/>
      <c r="K12" s="648"/>
      <c r="L12" s="129"/>
      <c r="M12" s="1063"/>
    </row>
    <row r="13" spans="1:13" s="361" customFormat="1" ht="13.9" customHeight="1" x14ac:dyDescent="0.25">
      <c r="A13" s="1986">
        <f>Chem!A13</f>
        <v>11</v>
      </c>
      <c r="B13" s="1554" t="str">
        <f>Chem!B13</f>
        <v>Ammonia</v>
      </c>
      <c r="C13" s="683" t="str">
        <f>Param!J13</f>
        <v>na</v>
      </c>
      <c r="D13" s="2094" t="str">
        <f>'SD-Det'!Z13</f>
        <v>na</v>
      </c>
      <c r="E13" s="1565" t="str">
        <f>IF(OR($C13="na",$D13="na"),"na",IF($D13="PQL","TBD",$D13/(Eqtn!$D$237*($C13+Eqtn!$D$238))))</f>
        <v>na</v>
      </c>
      <c r="F13" s="822" t="str">
        <f>'SD-Det'!P13</f>
        <v>na</v>
      </c>
      <c r="G13" s="822" t="str">
        <f>IF(OR($C13="na",$F13="na"),"na",IF($F13="PQL","TBD",$F13/(Eqtn!$D$237*($C13+Eqtn!$D$238))))</f>
        <v>na</v>
      </c>
      <c r="H13" s="822" t="str">
        <f>'SD-Det'!AR13</f>
        <v>na</v>
      </c>
      <c r="I13" s="822" t="str">
        <f>IF(OR($C13="na",$H13="na"),"na",IF($H13="PQL","TBD",$H13/(Eqtn!$D$237*($C13+Eqtn!$D$238))))</f>
        <v>na</v>
      </c>
      <c r="J13" s="822"/>
      <c r="K13" s="1535" t="str">
        <f>IF(OR($C13="na",$J13="na"),"na",IF($J13="PQL","TBD",$J13/(Eqtn!$D$237*($C13+Eqtn!$D$238))))</f>
        <v>na</v>
      </c>
      <c r="L13" s="133"/>
      <c r="M13" s="1062"/>
    </row>
    <row r="14" spans="1:13" s="361" customFormat="1" ht="13.9" customHeight="1" x14ac:dyDescent="0.25">
      <c r="A14" s="1321">
        <f>Chem!A14</f>
        <v>12</v>
      </c>
      <c r="B14" s="931" t="str">
        <f>Chem!B14</f>
        <v>Chloride</v>
      </c>
      <c r="C14" s="557" t="str">
        <f>Param!J14</f>
        <v>na</v>
      </c>
      <c r="D14" s="2095" t="str">
        <f>'SD-Det'!Z14</f>
        <v>na</v>
      </c>
      <c r="E14" s="289" t="str">
        <f>IF(OR($C14="na",$D14="na"),"na",IF($D14="PQL","TBD",$D14/(Eqtn!$D$237*($C14+Eqtn!$D$238))))</f>
        <v>na</v>
      </c>
      <c r="F14" s="348" t="str">
        <f>'SD-Det'!P14</f>
        <v>na</v>
      </c>
      <c r="G14" s="348" t="str">
        <f>IF(OR($C14="na",$F14="na"),"na",IF($F14="PQL","TBD",$F14/(Eqtn!$D$237*($C14+Eqtn!$D$238))))</f>
        <v>na</v>
      </c>
      <c r="H14" s="348" t="str">
        <f>'SD-Det'!AR14</f>
        <v>na</v>
      </c>
      <c r="I14" s="348" t="str">
        <f>IF(OR($C14="na",$H14="na"),"na",IF($H14="PQL","TBD",$H14/(Eqtn!$D$237*($C14+Eqtn!$D$238))))</f>
        <v>na</v>
      </c>
      <c r="J14" s="348"/>
      <c r="K14" s="367" t="str">
        <f>IF(OR($C14="na",$J14="na"),"na",IF($J14="PQL","TBD",$J14/(Eqtn!$D$237*($C14+Eqtn!$D$238))))</f>
        <v>na</v>
      </c>
      <c r="L14" s="133"/>
      <c r="M14" s="1062"/>
    </row>
    <row r="15" spans="1:13" s="361" customFormat="1" ht="13.9" customHeight="1" x14ac:dyDescent="0.2">
      <c r="A15" s="843">
        <f>Chem!A15</f>
        <v>13</v>
      </c>
      <c r="B15" s="932" t="str">
        <f>Chem!B15</f>
        <v>Cyanide (multiple forms, see notes)</v>
      </c>
      <c r="C15" s="1812" t="str">
        <f>Param!J15</f>
        <v>na</v>
      </c>
      <c r="D15" s="656" t="str">
        <f>'SD-Det'!Z15</f>
        <v>na</v>
      </c>
      <c r="E15" s="1790" t="str">
        <f>IF(OR($C15="na",$D15="na"),"na",IF($D15="PQL","TBD",$D15/(Eqtn!$D$237*($C15+Eqtn!$D$238))))</f>
        <v>na</v>
      </c>
      <c r="F15" s="2070" t="str">
        <f>'SD-Det'!P15</f>
        <v>na</v>
      </c>
      <c r="G15" s="2090" t="str">
        <f>IF(OR($C15="na",$F15="na"),"na",IF($F15="PQL","TBD",$F15/(Eqtn!$D$237*($C15+Eqtn!$D$238))))</f>
        <v>na</v>
      </c>
      <c r="H15" s="1472" t="str">
        <f>'SD-Det'!AR15</f>
        <v>na</v>
      </c>
      <c r="I15" s="1472" t="str">
        <f>IF(OR($C15="na",$H15="na"),"na",IF($H15="PQL","TBD",$H15/(Eqtn!$D$237*($C15+Eqtn!$D$238))))</f>
        <v>na</v>
      </c>
      <c r="J15" s="1472"/>
      <c r="K15" s="1473" t="str">
        <f>IF(OR($C15="na",$J15="na"),"na",IF($J15="PQL","TBD",$J15/(Eqtn!$D$237*($C15+Eqtn!$D$238))))</f>
        <v>na</v>
      </c>
      <c r="L15" s="362"/>
      <c r="M15" s="1064"/>
    </row>
    <row r="16" spans="1:13" s="361" customFormat="1" ht="13.9" customHeight="1" x14ac:dyDescent="0.2">
      <c r="A16" s="843">
        <f>Chem!A16</f>
        <v>14</v>
      </c>
      <c r="B16" s="931" t="str">
        <f>Chem!B16</f>
        <v>Fluoride</v>
      </c>
      <c r="C16" s="926" t="str">
        <f>Param!J16</f>
        <v>na</v>
      </c>
      <c r="D16" s="220" t="str">
        <f>'SD-Det'!Z16</f>
        <v>na</v>
      </c>
      <c r="E16" s="1426" t="str">
        <f>IF(OR($C16="na",$D16="na"),"na",IF($D16="PQL","TBD",$D16/(Eqtn!$D$237*($C16+Eqtn!$D$238))))</f>
        <v>na</v>
      </c>
      <c r="F16" s="299" t="str">
        <f>'SD-Det'!P16</f>
        <v>na</v>
      </c>
      <c r="G16" s="730" t="str">
        <f>IF(OR($C16="na",$F16="na"),"na",IF($F16="PQL","TBD",$F16/(Eqtn!$D$237*($C16+Eqtn!$D$238))))</f>
        <v>na</v>
      </c>
      <c r="H16" s="715" t="str">
        <f>'SD-Det'!AR16</f>
        <v>na</v>
      </c>
      <c r="I16" s="715" t="str">
        <f>IF(OR($C16="na",$H16="na"),"na",IF($H16="PQL","TBD",$H16/(Eqtn!$D$237*($C16+Eqtn!$D$238))))</f>
        <v>na</v>
      </c>
      <c r="J16" s="715"/>
      <c r="K16" s="716" t="str">
        <f>IF(OR($C16="na",$J16="na"),"na",IF($J16="PQL","TBD",$J16/(Eqtn!$D$237*($C16+Eqtn!$D$238))))</f>
        <v>na</v>
      </c>
      <c r="L16" s="362"/>
      <c r="M16" s="1064"/>
    </row>
    <row r="17" spans="1:13" s="361" customFormat="1" ht="13.9" customHeight="1" x14ac:dyDescent="0.2">
      <c r="A17" s="1069">
        <f>Chem!A17</f>
        <v>15</v>
      </c>
      <c r="B17" s="931" t="str">
        <f>Chem!B17</f>
        <v>Nitrate</v>
      </c>
      <c r="C17" s="926" t="str">
        <f>Param!J17</f>
        <v>na</v>
      </c>
      <c r="D17" s="220" t="str">
        <f>'SD-Det'!Z17</f>
        <v>na</v>
      </c>
      <c r="E17" s="1426" t="str">
        <f>IF(OR($C17="na",$D17="na"),"na",IF($D17="PQL","TBD",$D17/(Eqtn!$D$237*($C17+Eqtn!$D$238))))</f>
        <v>na</v>
      </c>
      <c r="F17" s="299" t="str">
        <f>'SD-Det'!P17</f>
        <v>na</v>
      </c>
      <c r="G17" s="730" t="str">
        <f>IF(OR($C17="na",$F17="na"),"na",IF($F17="PQL","TBD",$F17/(Eqtn!$D$237*($C17+Eqtn!$D$238))))</f>
        <v>na</v>
      </c>
      <c r="H17" s="715" t="str">
        <f>'SD-Det'!AR17</f>
        <v>na</v>
      </c>
      <c r="I17" s="715" t="str">
        <f>IF(OR($C17="na",$H17="na"),"na",IF($H17="PQL","TBD",$H17/(Eqtn!$D$237*($C17+Eqtn!$D$238))))</f>
        <v>na</v>
      </c>
      <c r="J17" s="715"/>
      <c r="K17" s="716" t="str">
        <f>IF(OR($C17="na",$J17="na"),"na",IF($J17="PQL","TBD",$J17/(Eqtn!$D$237*($C17+Eqtn!$D$238))))</f>
        <v>na</v>
      </c>
      <c r="L17" s="362"/>
      <c r="M17" s="1064"/>
    </row>
    <row r="18" spans="1:13" s="361" customFormat="1" ht="13.9" customHeight="1" x14ac:dyDescent="0.2">
      <c r="A18" s="844">
        <f>Chem!A18</f>
        <v>16</v>
      </c>
      <c r="B18" s="931" t="str">
        <f>Chem!B18</f>
        <v>Nitrite</v>
      </c>
      <c r="C18" s="926" t="str">
        <f>Param!J18</f>
        <v>na</v>
      </c>
      <c r="D18" s="220" t="str">
        <f>'SD-Det'!Z18</f>
        <v>na</v>
      </c>
      <c r="E18" s="1426" t="str">
        <f>IF(OR($C18="na",$D18="na"),"na",IF($D18="PQL","TBD",$D18/(Eqtn!$D$237*($C18+Eqtn!$D$238))))</f>
        <v>na</v>
      </c>
      <c r="F18" s="299" t="str">
        <f>'SD-Det'!P18</f>
        <v>na</v>
      </c>
      <c r="G18" s="730" t="str">
        <f>IF(OR($C18="na",$F18="na"),"na",IF($F18="PQL","TBD",$F18/(Eqtn!$D$237*($C18+Eqtn!$D$238))))</f>
        <v>na</v>
      </c>
      <c r="H18" s="715" t="str">
        <f>'SD-Det'!AR18</f>
        <v>na</v>
      </c>
      <c r="I18" s="715" t="str">
        <f>IF(OR($C18="na",$H18="na"),"na",IF($H18="PQL","TBD",$H18/(Eqtn!$D$237*($C18+Eqtn!$D$238))))</f>
        <v>na</v>
      </c>
      <c r="J18" s="715"/>
      <c r="K18" s="716" t="str">
        <f>IF(OR($C18="na",$J18="na"),"na",IF($J18="PQL","TBD",$J18/(Eqtn!$D$237*($C18+Eqtn!$D$238))))</f>
        <v>na</v>
      </c>
      <c r="L18" s="362"/>
      <c r="M18" s="1064"/>
    </row>
    <row r="19" spans="1:13" s="361" customFormat="1" ht="13.9" customHeight="1" x14ac:dyDescent="0.2">
      <c r="A19" s="1321">
        <f>Chem!A19</f>
        <v>17</v>
      </c>
      <c r="B19" s="931" t="str">
        <f>Chem!B19</f>
        <v>Sulfate</v>
      </c>
      <c r="C19" s="926" t="str">
        <f>Param!J19</f>
        <v>na</v>
      </c>
      <c r="D19" s="220" t="str">
        <f>'SD-Det'!Z19</f>
        <v>na</v>
      </c>
      <c r="E19" s="1426" t="str">
        <f>IF(OR($C19="na",$D19="na"),"na",IF($D19="PQL","TBD",$D19/(Eqtn!$D$237*($C19+Eqtn!$D$238))))</f>
        <v>na</v>
      </c>
      <c r="F19" s="299" t="str">
        <f>'SD-Det'!P19</f>
        <v>na</v>
      </c>
      <c r="G19" s="730" t="str">
        <f>IF(OR($C19="na",$F19="na"),"na",IF($F19="PQL","TBD",$F19/(Eqtn!$D$237*($C19+Eqtn!$D$238))))</f>
        <v>na</v>
      </c>
      <c r="H19" s="715" t="str">
        <f>'SD-Det'!AR19</f>
        <v>na</v>
      </c>
      <c r="I19" s="715" t="str">
        <f>IF(OR($C19="na",$H19="na"),"na",IF($H19="PQL","TBD",$H19/(Eqtn!$D$237*($C19+Eqtn!$D$238))))</f>
        <v>na</v>
      </c>
      <c r="J19" s="715"/>
      <c r="K19" s="716" t="str">
        <f>IF(OR($C19="na",$J19="na"),"na",IF($J19="PQL","TBD",$J19/(Eqtn!$D$237*($C19+Eqtn!$D$238))))</f>
        <v>na</v>
      </c>
      <c r="L19" s="362"/>
      <c r="M19" s="1064"/>
    </row>
    <row r="20" spans="1:13" s="361" customFormat="1" ht="13.9" customHeight="1" x14ac:dyDescent="0.2">
      <c r="A20" s="1322">
        <f>Chem!A20</f>
        <v>18</v>
      </c>
      <c r="B20" s="1348" t="str">
        <f>Chem!B20</f>
        <v>Sulfide</v>
      </c>
      <c r="C20" s="1349" t="str">
        <f>Param!J20</f>
        <v>na</v>
      </c>
      <c r="D20" s="2096" t="str">
        <f>'SD-Det'!Z20</f>
        <v>na</v>
      </c>
      <c r="E20" s="2097" t="str">
        <f>IF(OR($C20="na",$D20="na"),"na",IF($D20="PQL","TBD",$D20/(Eqtn!$D$237*($C20+Eqtn!$D$238))))</f>
        <v>na</v>
      </c>
      <c r="F20" s="1351" t="str">
        <f>'SD-Det'!P20</f>
        <v>na</v>
      </c>
      <c r="G20" s="1352" t="str">
        <f>IF(OR($C20="na",$F20="na"),"na",IF($F20="PQL","TBD",$F20/(Eqtn!$D$237*($C20+Eqtn!$D$238))))</f>
        <v>na</v>
      </c>
      <c r="H20" s="1352" t="str">
        <f>'SD-Det'!AR20</f>
        <v>na</v>
      </c>
      <c r="I20" s="1352" t="str">
        <f>IF(OR($C20="na",$H20="na"),"na",IF($H20="PQL","TBD",$H20/(Eqtn!$D$237*($C20+Eqtn!$D$238))))</f>
        <v>na</v>
      </c>
      <c r="J20" s="1352"/>
      <c r="K20" s="1353" t="str">
        <f>IF(OR($C20="na",$J20="na"),"na",IF($J20="PQL","TBD",$J20/(Eqtn!$D$237*($C20+Eqtn!$D$238))))</f>
        <v>na</v>
      </c>
      <c r="L20" s="362"/>
      <c r="M20" s="1064"/>
    </row>
    <row r="21" spans="1:13" ht="13.9" customHeight="1" x14ac:dyDescent="0.25">
      <c r="A21" s="906">
        <f>Chem!A21</f>
        <v>19</v>
      </c>
      <c r="B21" s="934" t="str">
        <f>Chem!B21</f>
        <v>Metals</v>
      </c>
      <c r="C21" s="31"/>
      <c r="D21" s="259"/>
      <c r="E21" s="31"/>
      <c r="F21" s="31"/>
      <c r="G21" s="647"/>
      <c r="H21" s="31"/>
      <c r="I21" s="31"/>
      <c r="J21" s="31"/>
      <c r="K21" s="648"/>
      <c r="L21" s="129"/>
      <c r="M21" s="1063"/>
    </row>
    <row r="22" spans="1:13" ht="13.9" customHeight="1" x14ac:dyDescent="0.25">
      <c r="A22" s="846">
        <f>Chem!A22</f>
        <v>20</v>
      </c>
      <c r="B22" s="931" t="str">
        <f>Chem!B22</f>
        <v>Aluminum</v>
      </c>
      <c r="C22" s="924" t="str">
        <f>Param!J22</f>
        <v>na</v>
      </c>
      <c r="D22" s="219" t="str">
        <f>'SD-Det'!Z22</f>
        <v>na</v>
      </c>
      <c r="E22" s="2092" t="str">
        <f>IF(OR($C22="na",$D22="na"),"na",IF($D22="PQL","TBD",$D22/(Eqtn!$D$237*($C22+Eqtn!$D$238))))</f>
        <v>na</v>
      </c>
      <c r="F22" s="273" t="str">
        <f>'SD-Det'!P22</f>
        <v>na</v>
      </c>
      <c r="G22" s="727" t="str">
        <f>IF(OR($C22="na",$F22="na"),"na",IF($F22="PQL","TBD",$F22/(Eqtn!$D$237*($C22+Eqtn!$D$238))))</f>
        <v>na</v>
      </c>
      <c r="H22" s="709" t="str">
        <f>'SD-Det'!AR22</f>
        <v>na</v>
      </c>
      <c r="I22" s="709" t="str">
        <f>IF(OR($C22="na",$H22="na"),"na",IF($H22="PQL","TBD",$H22/(Eqtn!$D$237*($C22+Eqtn!$D$238))))</f>
        <v>na</v>
      </c>
      <c r="J22" s="709"/>
      <c r="K22" s="710" t="str">
        <f>IF(OR($C22="na",$J22="na"),"na",IF($J22="PQL","TBD",$J22/(Eqtn!$D$237*($C22+Eqtn!$D$238))))</f>
        <v>na</v>
      </c>
      <c r="L22" s="322"/>
      <c r="M22" s="1062"/>
    </row>
    <row r="23" spans="1:13" ht="13.9" customHeight="1" x14ac:dyDescent="0.25">
      <c r="A23" s="847">
        <f>Chem!A23</f>
        <v>21</v>
      </c>
      <c r="B23" s="931" t="str">
        <f>Chem!B23</f>
        <v>Antimony</v>
      </c>
      <c r="C23" s="924" t="str">
        <f>Param!J23</f>
        <v>na</v>
      </c>
      <c r="D23" s="219" t="str">
        <f>'SD-Det'!Z23</f>
        <v>na</v>
      </c>
      <c r="E23" s="2092" t="str">
        <f>IF(OR($C23="na",$D23="na"),"na",IF($D23="PQL","TBD",$D23/(Eqtn!$D$237*($C23+Eqtn!$D$238))))</f>
        <v>na</v>
      </c>
      <c r="F23" s="273" t="str">
        <f>'SD-Det'!P23</f>
        <v>na</v>
      </c>
      <c r="G23" s="728" t="str">
        <f>IF(OR($C23="na",$F23="na"),"na",IF($F23="PQL","TBD",$F23/(Eqtn!$D$237*($C23+Eqtn!$D$238))))</f>
        <v>na</v>
      </c>
      <c r="H23" s="711" t="str">
        <f>'SD-Det'!AR23</f>
        <v>na</v>
      </c>
      <c r="I23" s="711" t="str">
        <f>IF(OR($C23="na",$H23="na"),"na",IF($H23="PQL","TBD",$H23/(Eqtn!$D$237*($C23+Eqtn!$D$238))))</f>
        <v>na</v>
      </c>
      <c r="J23" s="711"/>
      <c r="K23" s="712" t="str">
        <f>IF(OR($C23="na",$J23="na"),"na",IF($J23="PQL","TBD",$J23/(Eqtn!$D$237*($C23+Eqtn!$D$238))))</f>
        <v>na</v>
      </c>
      <c r="L23" s="322"/>
      <c r="M23" s="1062"/>
    </row>
    <row r="24" spans="1:13" ht="13.9" customHeight="1" x14ac:dyDescent="0.25">
      <c r="A24" s="847">
        <f>Chem!A24</f>
        <v>22</v>
      </c>
      <c r="B24" s="931" t="str">
        <f>Chem!B24</f>
        <v>Arsenic</v>
      </c>
      <c r="C24" s="924">
        <f>Param!J24</f>
        <v>31</v>
      </c>
      <c r="D24" s="219">
        <f>'SD-Det'!Z24</f>
        <v>7</v>
      </c>
      <c r="E24" s="2092">
        <f>IF(OR($C24="na",$D24="na"),"na",IF($D24="PQL","TBD",$D24/(Eqtn!$D$237*($C24+Eqtn!$D$238))))</f>
        <v>221.49837133550486</v>
      </c>
      <c r="F24" s="273">
        <f>'SD-Det'!P24</f>
        <v>0.66879281420884107</v>
      </c>
      <c r="G24" s="728">
        <f>IF(OR($C24="na",$F24="na"),"na",IF($F24="PQL","TBD",$F24/(Eqtn!$D$237*($C24+Eqtn!$D$238))))</f>
        <v>21.162359872592457</v>
      </c>
      <c r="H24" s="711">
        <f>'SD-Det'!AR24</f>
        <v>28</v>
      </c>
      <c r="I24" s="711">
        <f>IF(OR($C24="na",$H24="na"),"na",IF($H24="PQL","TBD",$H24/(Eqtn!$D$237*($C24+Eqtn!$D$238))))</f>
        <v>885.99348534201943</v>
      </c>
      <c r="J24" s="711"/>
      <c r="K24" s="712">
        <f>IF(OR($C24="na",$J24="na"),"na",IF($J24="PQL","TBD",$J24/(Eqtn!$D$237*($C24+Eqtn!$D$238))))</f>
        <v>0</v>
      </c>
      <c r="L24" s="322"/>
      <c r="M24" s="1062"/>
    </row>
    <row r="25" spans="1:13" ht="13.9" customHeight="1" x14ac:dyDescent="0.25">
      <c r="A25" s="847">
        <f>Chem!A25</f>
        <v>23</v>
      </c>
      <c r="B25" s="931" t="str">
        <f>Chem!B25</f>
        <v>Barium</v>
      </c>
      <c r="C25" s="924">
        <f>Param!J25</f>
        <v>52</v>
      </c>
      <c r="D25" s="219" t="str">
        <f>'SD-Det'!Z25</f>
        <v>na</v>
      </c>
      <c r="E25" s="2092" t="str">
        <f>IF(OR($C25="na",$D25="na"),"na",IF($D25="PQL","TBD",$D25/(Eqtn!$D$237*($C25+Eqtn!$D$238))))</f>
        <v>na</v>
      </c>
      <c r="F25" s="273" t="str">
        <f>'SD-Det'!P25</f>
        <v>na</v>
      </c>
      <c r="G25" s="728" t="str">
        <f>IF(OR($C25="na",$F25="na"),"na",IF($F25="PQL","TBD",$F25/(Eqtn!$D$237*($C25+Eqtn!$D$238))))</f>
        <v>na</v>
      </c>
      <c r="H25" s="711" t="str">
        <f>'SD-Det'!AR25</f>
        <v>na</v>
      </c>
      <c r="I25" s="711" t="str">
        <f>IF(OR($C25="na",$H25="na"),"na",IF($H25="PQL","TBD",$H25/(Eqtn!$D$237*($C25+Eqtn!$D$238))))</f>
        <v>na</v>
      </c>
      <c r="J25" s="711"/>
      <c r="K25" s="712">
        <f>IF(OR($C25="na",$J25="na"),"na",IF($J25="PQL","TBD",$J25/(Eqtn!$D$237*($C25+Eqtn!$D$238))))</f>
        <v>0</v>
      </c>
      <c r="L25" s="322"/>
      <c r="M25" s="1062"/>
    </row>
    <row r="26" spans="1:13" ht="13.9" customHeight="1" x14ac:dyDescent="0.25">
      <c r="A26" s="847">
        <f>Chem!A26</f>
        <v>24</v>
      </c>
      <c r="B26" s="931" t="str">
        <f>Chem!B26</f>
        <v>Beryllium</v>
      </c>
      <c r="C26" s="924">
        <f>Param!J26</f>
        <v>100000</v>
      </c>
      <c r="D26" s="219" t="str">
        <f>'SD-Det'!Z26</f>
        <v>na</v>
      </c>
      <c r="E26" s="2092" t="str">
        <f>IF(OR($C26="na",$D26="na"),"na",IF($D26="PQL","TBD",$D26/(Eqtn!$D$237*($C26+Eqtn!$D$238))))</f>
        <v>na</v>
      </c>
      <c r="F26" s="273" t="str">
        <f>'SD-Det'!P26</f>
        <v>na</v>
      </c>
      <c r="G26" s="728" t="str">
        <f>IF(OR($C26="na",$F26="na"),"na",IF($F26="PQL","TBD",$F26/(Eqtn!$D$237*($C26+Eqtn!$D$238))))</f>
        <v>na</v>
      </c>
      <c r="H26" s="711" t="str">
        <f>'SD-Det'!AR26</f>
        <v>na</v>
      </c>
      <c r="I26" s="711" t="str">
        <f>IF(OR($C26="na",$H26="na"),"na",IF($H26="PQL","TBD",$H26/(Eqtn!$D$237*($C26+Eqtn!$D$238))))</f>
        <v>na</v>
      </c>
      <c r="J26" s="711"/>
      <c r="K26" s="712">
        <f>IF(OR($C26="na",$J26="na"),"na",IF($J26="PQL","TBD",$J26/(Eqtn!$D$237*($C26+Eqtn!$D$238))))</f>
        <v>0</v>
      </c>
      <c r="L26" s="322"/>
      <c r="M26" s="1062"/>
    </row>
    <row r="27" spans="1:13" ht="13.9" customHeight="1" x14ac:dyDescent="0.25">
      <c r="A27" s="847">
        <f>Chem!A27</f>
        <v>25</v>
      </c>
      <c r="B27" s="931" t="str">
        <f>Chem!B27</f>
        <v>Cadmium</v>
      </c>
      <c r="C27" s="924">
        <f>Param!J27</f>
        <v>4300</v>
      </c>
      <c r="D27" s="219">
        <f>'SD-Det'!Z27</f>
        <v>5.0999999999999996</v>
      </c>
      <c r="E27" s="2092">
        <f>IF(OR($C27="na",$D27="na"),"na",IF($D27="PQL","TBD",$D27/(Eqtn!$D$237*($C27+Eqtn!$D$238))))</f>
        <v>1.1858802288324823</v>
      </c>
      <c r="F27" s="273">
        <f>'SD-Det'!P27</f>
        <v>6.7</v>
      </c>
      <c r="G27" s="728">
        <f>IF(OR($C27="na",$F27="na"),"na",IF($F27="PQL","TBD",$F27/(Eqtn!$D$237*($C27+Eqtn!$D$238))))</f>
        <v>1.5579210849367908</v>
      </c>
      <c r="H27" s="711">
        <f>'SD-Det'!AR27</f>
        <v>5.0999999999999996</v>
      </c>
      <c r="I27" s="711">
        <f>IF(OR($C27="na",$H27="na"),"na",IF($H27="PQL","TBD",$H27/(Eqtn!$D$237*($C27+Eqtn!$D$238))))</f>
        <v>1.1858802288324823</v>
      </c>
      <c r="J27" s="711"/>
      <c r="K27" s="712">
        <f>IF(OR($C27="na",$J27="na"),"na",IF($J27="PQL","TBD",$J27/(Eqtn!$D$237*($C27+Eqtn!$D$238))))</f>
        <v>0</v>
      </c>
      <c r="L27" s="322"/>
      <c r="M27" s="1062"/>
    </row>
    <row r="28" spans="1:13" ht="13.9" customHeight="1" x14ac:dyDescent="0.25">
      <c r="A28" s="847">
        <f>Chem!A28</f>
        <v>26</v>
      </c>
      <c r="B28" s="931" t="str">
        <f>Chem!B28</f>
        <v>Chromium, total</v>
      </c>
      <c r="C28" s="924" t="str">
        <f>Param!J28</f>
        <v>na</v>
      </c>
      <c r="D28" s="219">
        <f>'SD-Det'!Z28</f>
        <v>260</v>
      </c>
      <c r="E28" s="2092" t="str">
        <f>IF(OR($C28="na",$D28="na"),"na",IF($D28="PQL","TBD",$D28/(Eqtn!$D$237*($C28+Eqtn!$D$238))))</f>
        <v>na</v>
      </c>
      <c r="F28" s="273">
        <f>'SD-Det'!P28</f>
        <v>270</v>
      </c>
      <c r="G28" s="728" t="str">
        <f>IF(OR($C28="na",$F28="na"),"na",IF($F28="PQL","TBD",$F28/(Eqtn!$D$237*($C28+Eqtn!$D$238))))</f>
        <v>na</v>
      </c>
      <c r="H28" s="711">
        <f>'SD-Det'!AR28</f>
        <v>260</v>
      </c>
      <c r="I28" s="711" t="str">
        <f>IF(OR($C28="na",$H28="na"),"na",IF($H28="PQL","TBD",$H28/(Eqtn!$D$237*($C28+Eqtn!$D$238))))</f>
        <v>na</v>
      </c>
      <c r="J28" s="711"/>
      <c r="K28" s="712" t="str">
        <f>IF(OR($C28="na",$J28="na"),"na",IF($J28="PQL","TBD",$J28/(Eqtn!$D$237*($C28+Eqtn!$D$238))))</f>
        <v>na</v>
      </c>
      <c r="L28" s="322"/>
      <c r="M28" s="1062"/>
    </row>
    <row r="29" spans="1:13" ht="13.9" customHeight="1" x14ac:dyDescent="0.25">
      <c r="A29" s="847">
        <f>Chem!A29</f>
        <v>27</v>
      </c>
      <c r="B29" s="931" t="str">
        <f>Chem!B29</f>
        <v>Chromium, trivalent</v>
      </c>
      <c r="C29" s="924">
        <f>Param!J29</f>
        <v>4300000</v>
      </c>
      <c r="D29" s="219" t="str">
        <f>'SD-Det'!Z29</f>
        <v>na</v>
      </c>
      <c r="E29" s="2092" t="str">
        <f>IF(OR($C29="na",$D29="na"),"na",IF($D29="PQL","TBD",$D29/(Eqtn!$D$237*($C29+Eqtn!$D$238))))</f>
        <v>na</v>
      </c>
      <c r="F29" s="273" t="str">
        <f>'SD-Det'!P29</f>
        <v>na</v>
      </c>
      <c r="G29" s="728" t="str">
        <f>IF(OR($C29="na",$F29="na"),"na",IF($F29="PQL","TBD",$F29/(Eqtn!$D$237*($C29+Eqtn!$D$238))))</f>
        <v>na</v>
      </c>
      <c r="H29" s="711" t="str">
        <f>'SD-Det'!AR29</f>
        <v>na</v>
      </c>
      <c r="I29" s="711" t="str">
        <f>IF(OR($C29="na",$H29="na"),"na",IF($H29="PQL","TBD",$H29/(Eqtn!$D$237*($C29+Eqtn!$D$238))))</f>
        <v>na</v>
      </c>
      <c r="J29" s="711"/>
      <c r="K29" s="712">
        <f>IF(OR($C29="na",$J29="na"),"na",IF($J29="PQL","TBD",$J29/(Eqtn!$D$237*($C29+Eqtn!$D$238))))</f>
        <v>0</v>
      </c>
      <c r="L29" s="322"/>
      <c r="M29" s="1062"/>
    </row>
    <row r="30" spans="1:13" ht="13.9" customHeight="1" x14ac:dyDescent="0.25">
      <c r="A30" s="847">
        <f>Chem!A30</f>
        <v>28</v>
      </c>
      <c r="B30" s="931" t="str">
        <f>Chem!B30</f>
        <v>Chromium, hexavalent</v>
      </c>
      <c r="C30" s="924">
        <f>Param!J30</f>
        <v>14</v>
      </c>
      <c r="D30" s="219" t="str">
        <f>'SD-Det'!Z30</f>
        <v>na</v>
      </c>
      <c r="E30" s="2092" t="str">
        <f>IF(OR($C30="na",$D30="na"),"na",IF($D30="PQL","TBD",$D30/(Eqtn!$D$237*($C30+Eqtn!$D$238))))</f>
        <v>na</v>
      </c>
      <c r="F30" s="273" t="str">
        <f>'SD-Det'!P30</f>
        <v>na</v>
      </c>
      <c r="G30" s="728" t="str">
        <f>IF(OR($C30="na",$F30="na"),"na",IF($F30="PQL","TBD",$F30/(Eqtn!$D$237*($C30+Eqtn!$D$238))))</f>
        <v>na</v>
      </c>
      <c r="H30" s="711" t="str">
        <f>'SD-Det'!AR30</f>
        <v>na</v>
      </c>
      <c r="I30" s="711" t="str">
        <f>IF(OR($C30="na",$H30="na"),"na",IF($H30="PQL","TBD",$H30/(Eqtn!$D$237*($C30+Eqtn!$D$238))))</f>
        <v>na</v>
      </c>
      <c r="J30" s="711"/>
      <c r="K30" s="712">
        <f>IF(OR($C30="na",$J30="na"),"na",IF($J30="PQL","TBD",$J30/(Eqtn!$D$237*($C30+Eqtn!$D$238))))</f>
        <v>0</v>
      </c>
      <c r="L30" s="322"/>
      <c r="M30" s="1062"/>
    </row>
    <row r="31" spans="1:13" ht="13.9" customHeight="1" x14ac:dyDescent="0.25">
      <c r="A31" s="847">
        <f>Chem!A31</f>
        <v>29</v>
      </c>
      <c r="B31" s="931" t="str">
        <f>Chem!B31</f>
        <v>Cobalt</v>
      </c>
      <c r="C31" s="924" t="str">
        <f>Param!J31</f>
        <v>na</v>
      </c>
      <c r="D31" s="219" t="str">
        <f>'SD-Det'!Z31</f>
        <v>na</v>
      </c>
      <c r="E31" s="2092" t="str">
        <f>IF(OR($C31="na",$D31="na"),"na",IF($D31="PQL","TBD",$D31/(Eqtn!$D$237*($C31+Eqtn!$D$238))))</f>
        <v>na</v>
      </c>
      <c r="F31" s="273" t="str">
        <f>'SD-Det'!P31</f>
        <v>na</v>
      </c>
      <c r="G31" s="728" t="str">
        <f>IF(OR($C31="na",$F31="na"),"na",IF($F31="PQL","TBD",$F31/(Eqtn!$D$237*($C31+Eqtn!$D$238))))</f>
        <v>na</v>
      </c>
      <c r="H31" s="711" t="str">
        <f>'SD-Det'!AR31</f>
        <v>na</v>
      </c>
      <c r="I31" s="711" t="str">
        <f>IF(OR($C31="na",$H31="na"),"na",IF($H31="PQL","TBD",$H31/(Eqtn!$D$237*($C31+Eqtn!$D$238))))</f>
        <v>na</v>
      </c>
      <c r="J31" s="711"/>
      <c r="K31" s="712" t="str">
        <f>IF(OR($C31="na",$J31="na"),"na",IF($J31="PQL","TBD",$J31/(Eqtn!$D$237*($C31+Eqtn!$D$238))))</f>
        <v>na</v>
      </c>
      <c r="L31" s="322"/>
      <c r="M31" s="1062"/>
    </row>
    <row r="32" spans="1:13" ht="13.9" customHeight="1" x14ac:dyDescent="0.25">
      <c r="A32" s="847">
        <f>Chem!A32</f>
        <v>30</v>
      </c>
      <c r="B32" s="931" t="str">
        <f>Chem!B32</f>
        <v>Copper</v>
      </c>
      <c r="C32" s="924">
        <f>Param!J32</f>
        <v>28500</v>
      </c>
      <c r="D32" s="219">
        <f>'SD-Det'!Z32</f>
        <v>390</v>
      </c>
      <c r="E32" s="2092">
        <f>IF(OR($C32="na",$D32="na"),"na",IF($D32="PQL","TBD",$D32/(Eqtn!$D$237*($C32+Eqtn!$D$238))))</f>
        <v>13.6839210315984</v>
      </c>
      <c r="F32" s="273">
        <f>'SD-Det'!P32</f>
        <v>390</v>
      </c>
      <c r="G32" s="728">
        <f>IF(OR($C32="na",$F32="na"),"na",IF($F32="PQL","TBD",$F32/(Eqtn!$D$237*($C32+Eqtn!$D$238))))</f>
        <v>13.6839210315984</v>
      </c>
      <c r="H32" s="711">
        <f>'SD-Det'!AR32</f>
        <v>390</v>
      </c>
      <c r="I32" s="711">
        <f>IF(OR($C32="na",$H32="na"),"na",IF($H32="PQL","TBD",$H32/(Eqtn!$D$237*($C32+Eqtn!$D$238))))</f>
        <v>13.6839210315984</v>
      </c>
      <c r="J32" s="711"/>
      <c r="K32" s="712">
        <f>IF(OR($C32="na",$J32="na"),"na",IF($J32="PQL","TBD",$J32/(Eqtn!$D$237*($C32+Eqtn!$D$238))))</f>
        <v>0</v>
      </c>
      <c r="L32" s="322"/>
      <c r="M32" s="1062"/>
    </row>
    <row r="33" spans="1:13" ht="13.9" customHeight="1" x14ac:dyDescent="0.25">
      <c r="A33" s="847">
        <f>Chem!A33</f>
        <v>31</v>
      </c>
      <c r="B33" s="931" t="str">
        <f>Chem!B33</f>
        <v>Iron</v>
      </c>
      <c r="C33" s="924" t="str">
        <f>Param!J33</f>
        <v>na</v>
      </c>
      <c r="D33" s="219" t="str">
        <f>'SD-Det'!Z33</f>
        <v>na</v>
      </c>
      <c r="E33" s="2092" t="str">
        <f>IF(OR($C33="na",$D33="na"),"na",IF($D33="PQL","TBD",$D33/(Eqtn!$D$237*($C33+Eqtn!$D$238))))</f>
        <v>na</v>
      </c>
      <c r="F33" s="273" t="str">
        <f>'SD-Det'!P33</f>
        <v>na</v>
      </c>
      <c r="G33" s="728" t="str">
        <f>IF(OR($C33="na",$F33="na"),"na",IF($F33="PQL","TBD",$F33/(Eqtn!$D$237*($C33+Eqtn!$D$238))))</f>
        <v>na</v>
      </c>
      <c r="H33" s="711" t="str">
        <f>'SD-Det'!AR33</f>
        <v>na</v>
      </c>
      <c r="I33" s="711" t="str">
        <f>IF(OR($C33="na",$H33="na"),"na",IF($H33="PQL","TBD",$H33/(Eqtn!$D$237*($C33+Eqtn!$D$238))))</f>
        <v>na</v>
      </c>
      <c r="J33" s="711"/>
      <c r="K33" s="712" t="str">
        <f>IF(OR($C33="na",$J33="na"),"na",IF($J33="PQL","TBD",$J33/(Eqtn!$D$237*($C33+Eqtn!$D$238))))</f>
        <v>na</v>
      </c>
      <c r="L33" s="322"/>
      <c r="M33" s="1062"/>
    </row>
    <row r="34" spans="1:13" ht="13.9" customHeight="1" x14ac:dyDescent="0.25">
      <c r="A34" s="847">
        <f>Chem!A34</f>
        <v>32</v>
      </c>
      <c r="B34" s="931" t="str">
        <f>Chem!B34</f>
        <v>Lead</v>
      </c>
      <c r="C34" s="924">
        <f>Param!J34</f>
        <v>23270</v>
      </c>
      <c r="D34" s="219">
        <f>'SD-Det'!Z34</f>
        <v>450</v>
      </c>
      <c r="E34" s="2092">
        <f>IF(OR($C34="na",$D34="na"),"na",IF($D34="PQL","TBD",$D34/(Eqtn!$D$237*($C34+Eqtn!$D$238))))</f>
        <v>19.337702643008942</v>
      </c>
      <c r="F34" s="273">
        <f>'SD-Det'!P34</f>
        <v>530</v>
      </c>
      <c r="G34" s="728">
        <f>IF(OR($C34="na",$F34="na"),"na",IF($F34="PQL","TBD",$F34/(Eqtn!$D$237*($C34+Eqtn!$D$238))))</f>
        <v>22.775516446210535</v>
      </c>
      <c r="H34" s="711">
        <f>'SD-Det'!AR34</f>
        <v>450</v>
      </c>
      <c r="I34" s="711">
        <f>IF(OR($C34="na",$H34="na"),"na",IF($H34="PQL","TBD",$H34/(Eqtn!$D$237*($C34+Eqtn!$D$238))))</f>
        <v>19.337702643008942</v>
      </c>
      <c r="J34" s="711"/>
      <c r="K34" s="712">
        <f>IF(OR($C34="na",$J34="na"),"na",IF($J34="PQL","TBD",$J34/(Eqtn!$D$237*($C34+Eqtn!$D$238))))</f>
        <v>0</v>
      </c>
      <c r="L34" s="322"/>
      <c r="M34" s="1062"/>
    </row>
    <row r="35" spans="1:13" ht="13.9" customHeight="1" x14ac:dyDescent="0.25">
      <c r="A35" s="847">
        <f>Chem!A35</f>
        <v>33</v>
      </c>
      <c r="B35" s="931" t="str">
        <f>Chem!B35</f>
        <v>Manganese</v>
      </c>
      <c r="C35" s="924" t="str">
        <f>Param!J35</f>
        <v>na</v>
      </c>
      <c r="D35" s="219" t="str">
        <f>'SD-Det'!Z35</f>
        <v>na</v>
      </c>
      <c r="E35" s="2092" t="str">
        <f>IF(OR($C35="na",$D35="na"),"na",IF($D35="PQL","TBD",$D35/(Eqtn!$D$237*($C35+Eqtn!$D$238))))</f>
        <v>na</v>
      </c>
      <c r="F35" s="273" t="str">
        <f>'SD-Det'!P35</f>
        <v>na</v>
      </c>
      <c r="G35" s="728" t="str">
        <f>IF(OR($C35="na",$F35="na"),"na",IF($F35="PQL","TBD",$F35/(Eqtn!$D$237*($C35+Eqtn!$D$238))))</f>
        <v>na</v>
      </c>
      <c r="H35" s="711" t="str">
        <f>'SD-Det'!AR35</f>
        <v>na</v>
      </c>
      <c r="I35" s="711" t="str">
        <f>IF(OR($C35="na",$H35="na"),"na",IF($H35="PQL","TBD",$H35/(Eqtn!$D$237*($C35+Eqtn!$D$238))))</f>
        <v>na</v>
      </c>
      <c r="J35" s="711"/>
      <c r="K35" s="712" t="str">
        <f>IF(OR($C35="na",$J35="na"),"na",IF($J35="PQL","TBD",$J35/(Eqtn!$D$237*($C35+Eqtn!$D$238))))</f>
        <v>na</v>
      </c>
      <c r="M35" s="1062"/>
    </row>
    <row r="36" spans="1:13" ht="13.9" customHeight="1" x14ac:dyDescent="0.25">
      <c r="A36" s="847">
        <f>Chem!A36</f>
        <v>34</v>
      </c>
      <c r="B36" s="931" t="str">
        <f>Chem!B36</f>
        <v>Mercury, inorganic</v>
      </c>
      <c r="C36" s="924">
        <f>Param!J36</f>
        <v>200</v>
      </c>
      <c r="D36" s="219">
        <f>'SD-Det'!Z36</f>
        <v>0.41</v>
      </c>
      <c r="E36" s="2092">
        <f>IF(OR($C36="na",$D36="na"),"na",IF($D36="PQL","TBD",$D36/(Eqtn!$D$237*($C36+Eqtn!$D$238))))</f>
        <v>2.0438384282677222</v>
      </c>
      <c r="F36" s="273">
        <f>'SD-Det'!P36</f>
        <v>0.2</v>
      </c>
      <c r="G36" s="728">
        <f>IF(OR($C36="na",$F36="na"),"na",IF($F36="PQL","TBD",$F36/(Eqtn!$D$237*($C36+Eqtn!$D$238))))</f>
        <v>0.99699435525254754</v>
      </c>
      <c r="H36" s="711">
        <f>'SD-Det'!AR36</f>
        <v>0.41</v>
      </c>
      <c r="I36" s="711">
        <f>IF(OR($C36="na",$H36="na"),"na",IF($H36="PQL","TBD",$H36/(Eqtn!$D$237*($C36+Eqtn!$D$238))))</f>
        <v>2.0438384282677222</v>
      </c>
      <c r="J36" s="711"/>
      <c r="K36" s="712">
        <f>IF(OR($C36="na",$J36="na"),"na",IF($J36="PQL","TBD",$J36/(Eqtn!$D$237*($C36+Eqtn!$D$238))))</f>
        <v>0</v>
      </c>
      <c r="L36" s="322"/>
      <c r="M36" s="1062"/>
    </row>
    <row r="37" spans="1:13" ht="13.9" customHeight="1" x14ac:dyDescent="0.25">
      <c r="A37" s="847">
        <f>Chem!A37</f>
        <v>35</v>
      </c>
      <c r="B37" s="931" t="str">
        <f>Chem!B37</f>
        <v>Methylmercury</v>
      </c>
      <c r="C37" s="924" t="str">
        <f>Param!J37</f>
        <v>na</v>
      </c>
      <c r="D37" s="219" t="str">
        <f>'SD-Det'!Z37</f>
        <v>na</v>
      </c>
      <c r="E37" s="2092" t="str">
        <f>IF(OR($C37="na",$D37="na"),"na",IF($D37="PQL","TBD",$D37/(Eqtn!$D$237*($C37+Eqtn!$D$238))))</f>
        <v>na</v>
      </c>
      <c r="F37" s="273" t="str">
        <f>'SD-Det'!P37</f>
        <v>na</v>
      </c>
      <c r="G37" s="728" t="str">
        <f>IF(OR($C37="na",$F37="na"),"na",IF($F37="PQL","TBD",$F37/(Eqtn!$D$237*($C37+Eqtn!$D$238))))</f>
        <v>na</v>
      </c>
      <c r="H37" s="711" t="str">
        <f>'SD-Det'!AR37</f>
        <v>na</v>
      </c>
      <c r="I37" s="711" t="str">
        <f>IF(OR($C37="na",$H37="na"),"na",IF($H37="PQL","TBD",$H37/(Eqtn!$D$237*($C37+Eqtn!$D$238))))</f>
        <v>na</v>
      </c>
      <c r="J37" s="711"/>
      <c r="K37" s="712" t="str">
        <f>IF(OR($C37="na",$J37="na"),"na",IF($J37="PQL","TBD",$J37/(Eqtn!$D$237*($C37+Eqtn!$D$238))))</f>
        <v>na</v>
      </c>
      <c r="L37" s="322"/>
      <c r="M37" s="1062"/>
    </row>
    <row r="38" spans="1:13" ht="13.9" customHeight="1" x14ac:dyDescent="0.25">
      <c r="A38" s="847">
        <f>Chem!A38</f>
        <v>36</v>
      </c>
      <c r="B38" s="931" t="str">
        <f>Chem!B38</f>
        <v>Molybdenum</v>
      </c>
      <c r="C38" s="924" t="str">
        <f>Param!J38</f>
        <v>na</v>
      </c>
      <c r="D38" s="219" t="str">
        <f>'SD-Det'!Z38</f>
        <v>na</v>
      </c>
      <c r="E38" s="2092" t="str">
        <f>IF(OR($C38="na",$D38="na"),"na",IF($D38="PQL","TBD",$D38/(Eqtn!$D$237*($C38+Eqtn!$D$238))))</f>
        <v>na</v>
      </c>
      <c r="F38" s="273" t="str">
        <f>'SD-Det'!P38</f>
        <v>na</v>
      </c>
      <c r="G38" s="728" t="str">
        <f>IF(OR($C38="na",$F38="na"),"na",IF($F38="PQL","TBD",$F38/(Eqtn!$D$237*($C38+Eqtn!$D$238))))</f>
        <v>na</v>
      </c>
      <c r="H38" s="711" t="str">
        <f>'SD-Det'!AR38</f>
        <v>na</v>
      </c>
      <c r="I38" s="711" t="str">
        <f>IF(OR($C38="na",$H38="na"),"na",IF($H38="PQL","TBD",$H38/(Eqtn!$D$237*($C38+Eqtn!$D$238))))</f>
        <v>na</v>
      </c>
      <c r="J38" s="711"/>
      <c r="K38" s="712" t="str">
        <f>IF(OR($C38="na",$J38="na"),"na",IF($J38="PQL","TBD",$J38/(Eqtn!$D$237*($C38+Eqtn!$D$238))))</f>
        <v>na</v>
      </c>
      <c r="L38" s="322"/>
      <c r="M38" s="1062"/>
    </row>
    <row r="39" spans="1:13" ht="13.9" customHeight="1" x14ac:dyDescent="0.25">
      <c r="A39" s="847">
        <f>Chem!A39</f>
        <v>37</v>
      </c>
      <c r="B39" s="931" t="str">
        <f>Chem!B39</f>
        <v>Nickel</v>
      </c>
      <c r="C39" s="924">
        <f>Param!J39</f>
        <v>1900</v>
      </c>
      <c r="D39" s="219" t="str">
        <f>'SD-Det'!Z39</f>
        <v>na</v>
      </c>
      <c r="E39" s="2092" t="str">
        <f>IF(OR($C39="na",$D39="na"),"na",IF($D39="PQL","TBD",$D39/(Eqtn!$D$237*($C39+Eqtn!$D$238))))</f>
        <v>na</v>
      </c>
      <c r="F39" s="273" t="str">
        <f>'SD-Det'!P39</f>
        <v>na</v>
      </c>
      <c r="G39" s="728" t="str">
        <f>IF(OR($C39="na",$F39="na"),"na",IF($F39="PQL","TBD",$F39/(Eqtn!$D$237*($C39+Eqtn!$D$238))))</f>
        <v>na</v>
      </c>
      <c r="H39" s="711" t="str">
        <f>'SD-Det'!AR39</f>
        <v>na</v>
      </c>
      <c r="I39" s="711" t="str">
        <f>IF(OR($C39="na",$H39="na"),"na",IF($H39="PQL","TBD",$H39/(Eqtn!$D$237*($C39+Eqtn!$D$238))))</f>
        <v>na</v>
      </c>
      <c r="J39" s="711"/>
      <c r="K39" s="712">
        <f>IF(OR($C39="na",$J39="na"),"na",IF($J39="PQL","TBD",$J39/(Eqtn!$D$237*($C39+Eqtn!$D$238))))</f>
        <v>0</v>
      </c>
      <c r="L39" s="322"/>
      <c r="M39" s="1062"/>
    </row>
    <row r="40" spans="1:13" ht="13.9" customHeight="1" x14ac:dyDescent="0.25">
      <c r="A40" s="847">
        <f>Chem!A40</f>
        <v>38</v>
      </c>
      <c r="B40" s="931" t="str">
        <f>Chem!B40</f>
        <v>Selenium</v>
      </c>
      <c r="C40" s="924">
        <f>Param!J40</f>
        <v>2.2000000000000002</v>
      </c>
      <c r="D40" s="219" t="str">
        <f>'SD-Det'!Z40</f>
        <v>na</v>
      </c>
      <c r="E40" s="2092" t="str">
        <f>IF(OR($C40="na",$D40="na"),"na",IF($D40="PQL","TBD",$D40/(Eqtn!$D$237*($C40+Eqtn!$D$238))))</f>
        <v>na</v>
      </c>
      <c r="F40" s="273" t="str">
        <f>'SD-Det'!P40</f>
        <v>na</v>
      </c>
      <c r="G40" s="728" t="str">
        <f>IF(OR($C40="na",$F40="na"),"na",IF($F40="PQL","TBD",$F40/(Eqtn!$D$237*($C40+Eqtn!$D$238))))</f>
        <v>na</v>
      </c>
      <c r="H40" s="711" t="str">
        <f>'SD-Det'!AR40</f>
        <v>na</v>
      </c>
      <c r="I40" s="711" t="str">
        <f>IF(OR($C40="na",$H40="na"),"na",IF($H40="PQL","TBD",$H40/(Eqtn!$D$237*($C40+Eqtn!$D$238))))</f>
        <v>na</v>
      </c>
      <c r="J40" s="711"/>
      <c r="K40" s="712">
        <f>IF(OR($C40="na",$J40="na"),"na",IF($J40="PQL","TBD",$J40/(Eqtn!$D$237*($C40+Eqtn!$D$238))))</f>
        <v>0</v>
      </c>
      <c r="L40" s="322"/>
      <c r="M40" s="1062"/>
    </row>
    <row r="41" spans="1:13" ht="13.9" customHeight="1" x14ac:dyDescent="0.25">
      <c r="A41" s="847">
        <f>Chem!A41</f>
        <v>39</v>
      </c>
      <c r="B41" s="931" t="str">
        <f>Chem!B41</f>
        <v>Silver</v>
      </c>
      <c r="C41" s="924">
        <f>Param!J41</f>
        <v>110</v>
      </c>
      <c r="D41" s="219">
        <f>'SD-Det'!Z41</f>
        <v>6.1</v>
      </c>
      <c r="E41" s="2092">
        <f>IF(OR($C41="na",$D41="na"),"na",IF($D41="PQL","TBD",$D41/(Eqtn!$D$237*($C41+Eqtn!$D$238))))</f>
        <v>55.152240393564675</v>
      </c>
      <c r="F41" s="273">
        <f>'SD-Det'!P41</f>
        <v>6.1</v>
      </c>
      <c r="G41" s="728">
        <f>IF(OR($C41="na",$F41="na"),"na",IF($F41="PQL","TBD",$F41/(Eqtn!$D$237*($C41+Eqtn!$D$238))))</f>
        <v>55.152240393564675</v>
      </c>
      <c r="H41" s="711">
        <f>'SD-Det'!AR41</f>
        <v>6.1</v>
      </c>
      <c r="I41" s="711">
        <f>IF(OR($C41="na",$H41="na"),"na",IF($H41="PQL","TBD",$H41/(Eqtn!$D$237*($C41+Eqtn!$D$238))))</f>
        <v>55.152240393564675</v>
      </c>
      <c r="J41" s="711"/>
      <c r="K41" s="712">
        <f>IF(OR($C41="na",$J41="na"),"na",IF($J41="PQL","TBD",$J41/(Eqtn!$D$237*($C41+Eqtn!$D$238))))</f>
        <v>0</v>
      </c>
      <c r="L41" s="322"/>
      <c r="M41" s="1062"/>
    </row>
    <row r="42" spans="1:13" ht="13.9" customHeight="1" x14ac:dyDescent="0.25">
      <c r="A42" s="847">
        <f>Chem!A42</f>
        <v>40</v>
      </c>
      <c r="B42" s="931" t="str">
        <f>Chem!B42</f>
        <v>Thallium</v>
      </c>
      <c r="C42" s="924">
        <f>Param!J42</f>
        <v>96</v>
      </c>
      <c r="D42" s="219" t="str">
        <f>'SD-Det'!Z42</f>
        <v>na</v>
      </c>
      <c r="E42" s="2092" t="str">
        <f>IF(OR($C42="na",$D42="na"),"na",IF($D42="PQL","TBD",$D42/(Eqtn!$D$237*($C42+Eqtn!$D$238))))</f>
        <v>na</v>
      </c>
      <c r="F42" s="273" t="str">
        <f>'SD-Det'!P42</f>
        <v>na</v>
      </c>
      <c r="G42" s="728" t="str">
        <f>IF(OR($C42="na",$F42="na"),"na",IF($F42="PQL","TBD",$F42/(Eqtn!$D$237*($C42+Eqtn!$D$238))))</f>
        <v>na</v>
      </c>
      <c r="H42" s="711" t="str">
        <f>'SD-Det'!AR42</f>
        <v>na</v>
      </c>
      <c r="I42" s="711" t="str">
        <f>IF(OR($C42="na",$H42="na"),"na",IF($H42="PQL","TBD",$H42/(Eqtn!$D$237*($C42+Eqtn!$D$238))))</f>
        <v>na</v>
      </c>
      <c r="J42" s="711"/>
      <c r="K42" s="712">
        <f>IF(OR($C42="na",$J42="na"),"na",IF($J42="PQL","TBD",$J42/(Eqtn!$D$237*($C42+Eqtn!$D$238))))</f>
        <v>0</v>
      </c>
      <c r="L42" s="322"/>
      <c r="M42" s="1062"/>
    </row>
    <row r="43" spans="1:13" ht="13.9" customHeight="1" x14ac:dyDescent="0.25">
      <c r="A43" s="847">
        <f>Chem!A43</f>
        <v>41</v>
      </c>
      <c r="B43" s="931" t="str">
        <f>Chem!B43</f>
        <v>Tin</v>
      </c>
      <c r="C43" s="924" t="str">
        <f>Param!J43</f>
        <v>na</v>
      </c>
      <c r="D43" s="219" t="str">
        <f>'SD-Det'!Z43</f>
        <v>na</v>
      </c>
      <c r="E43" s="2092" t="str">
        <f>IF(OR($C43="na",$D43="na"),"na",IF($D43="PQL","TBD",$D43/(Eqtn!$D$237*($C43+Eqtn!$D$238))))</f>
        <v>na</v>
      </c>
      <c r="F43" s="273" t="str">
        <f>'SD-Det'!P43</f>
        <v>na</v>
      </c>
      <c r="G43" s="728" t="str">
        <f>IF(OR($C43="na",$F43="na"),"na",IF($F43="PQL","TBD",$F43/(Eqtn!$D$237*($C43+Eqtn!$D$238))))</f>
        <v>na</v>
      </c>
      <c r="H43" s="711" t="str">
        <f>'SD-Det'!AR43</f>
        <v>na</v>
      </c>
      <c r="I43" s="711" t="str">
        <f>IF(OR($C43="na",$H43="na"),"na",IF($H43="PQL","TBD",$H43/(Eqtn!$D$237*($C43+Eqtn!$D$238))))</f>
        <v>na</v>
      </c>
      <c r="J43" s="711"/>
      <c r="K43" s="712" t="str">
        <f>IF(OR($C43="na",$J43="na"),"na",IF($J43="PQL","TBD",$J43/(Eqtn!$D$237*($C43+Eqtn!$D$238))))</f>
        <v>na</v>
      </c>
      <c r="L43" s="322"/>
      <c r="M43" s="1062"/>
    </row>
    <row r="44" spans="1:13" ht="13.9" customHeight="1" x14ac:dyDescent="0.25">
      <c r="A44" s="847">
        <f>Chem!A44</f>
        <v>42</v>
      </c>
      <c r="B44" s="931" t="str">
        <f>Chem!B44</f>
        <v>Vanadium</v>
      </c>
      <c r="C44" s="924" t="str">
        <f>Param!J44</f>
        <v>na</v>
      </c>
      <c r="D44" s="219" t="str">
        <f>'SD-Det'!Z44</f>
        <v>na</v>
      </c>
      <c r="E44" s="2092" t="str">
        <f>IF(OR($C44="na",$D44="na"),"na",IF($D44="PQL","TBD",$D44/(Eqtn!$D$237*($C44+Eqtn!$D$238))))</f>
        <v>na</v>
      </c>
      <c r="F44" s="273" t="str">
        <f>'SD-Det'!P44</f>
        <v>na</v>
      </c>
      <c r="G44" s="728" t="str">
        <f>IF(OR($C44="na",$F44="na"),"na",IF($F44="PQL","TBD",$F44/(Eqtn!$D$237*($C44+Eqtn!$D$238))))</f>
        <v>na</v>
      </c>
      <c r="H44" s="711" t="str">
        <f>'SD-Det'!AR44</f>
        <v>na</v>
      </c>
      <c r="I44" s="711" t="str">
        <f>IF(OR($C44="na",$H44="na"),"na",IF($H44="PQL","TBD",$H44/(Eqtn!$D$237*($C44+Eqtn!$D$238))))</f>
        <v>na</v>
      </c>
      <c r="J44" s="711"/>
      <c r="K44" s="712" t="str">
        <f>IF(OR($C44="na",$J44="na"),"na",IF($J44="PQL","TBD",$J44/(Eqtn!$D$237*($C44+Eqtn!$D$238))))</f>
        <v>na</v>
      </c>
      <c r="L44" s="322"/>
      <c r="M44" s="1062"/>
    </row>
    <row r="45" spans="1:13" ht="13.9" customHeight="1" x14ac:dyDescent="0.25">
      <c r="A45" s="844">
        <f>Chem!A45</f>
        <v>43</v>
      </c>
      <c r="B45" s="931" t="str">
        <f>Chem!B45</f>
        <v>Zinc</v>
      </c>
      <c r="C45" s="924">
        <f>Param!J45</f>
        <v>530</v>
      </c>
      <c r="D45" s="219">
        <f>'SD-Det'!Z45</f>
        <v>410</v>
      </c>
      <c r="E45" s="2092">
        <f>IF(OR($C45="na",$D45="na"),"na",IF($D45="PQL","TBD",$D45/(Eqtn!$D$237*($C45+Eqtn!$D$238))))</f>
        <v>772.70585626784168</v>
      </c>
      <c r="F45" s="273">
        <f>'SD-Det'!P45</f>
        <v>960</v>
      </c>
      <c r="G45" s="729">
        <f>IF(OR($C45="na",$F45="na"),"na",IF($F45="PQL","TBD",$F45/(Eqtn!$D$237*($C45+Eqtn!$D$238))))</f>
        <v>1809.2624927247025</v>
      </c>
      <c r="H45" s="713">
        <f>'SD-Det'!AR45</f>
        <v>410</v>
      </c>
      <c r="I45" s="713">
        <f>IF(OR($C45="na",$H45="na"),"na",IF($H45="PQL","TBD",$H45/(Eqtn!$D$237*($C45+Eqtn!$D$238))))</f>
        <v>772.70585626784168</v>
      </c>
      <c r="J45" s="713"/>
      <c r="K45" s="714">
        <f>IF(OR($C45="na",$J45="na"),"na",IF($J45="PQL","TBD",$J45/(Eqtn!$D$237*($C45+Eqtn!$D$238))))</f>
        <v>0</v>
      </c>
      <c r="L45" s="322"/>
      <c r="M45" s="1062"/>
    </row>
    <row r="46" spans="1:13" ht="13.9" customHeight="1" x14ac:dyDescent="0.25">
      <c r="A46" s="906">
        <f>Chem!A46</f>
        <v>44</v>
      </c>
      <c r="B46" s="934" t="str">
        <f>Chem!B46</f>
        <v>Metals - Butyltins</v>
      </c>
      <c r="C46" s="31"/>
      <c r="D46" s="259"/>
      <c r="E46" s="31"/>
      <c r="F46" s="31"/>
      <c r="G46" s="647"/>
      <c r="H46" s="31"/>
      <c r="I46" s="31"/>
      <c r="J46" s="31"/>
      <c r="K46" s="648"/>
      <c r="L46" s="129"/>
      <c r="M46" s="1063"/>
    </row>
    <row r="47" spans="1:13" ht="13.9" customHeight="1" x14ac:dyDescent="0.25">
      <c r="A47" s="847">
        <f>Chem!A47</f>
        <v>45</v>
      </c>
      <c r="B47" s="931" t="str">
        <f>Chem!B47</f>
        <v>Monobutyltin</v>
      </c>
      <c r="C47" s="924" t="str">
        <f>Param!J47</f>
        <v>na</v>
      </c>
      <c r="D47" s="221" t="str">
        <f>'SD-Det'!Z47</f>
        <v>na</v>
      </c>
      <c r="E47" s="2092" t="str">
        <f>IF(OR($C47="na",$D47="na"),"na",IF($D47="PQL","TBD",$D47/(Eqtn!$D$237*($C47+Eqtn!$D$238))))</f>
        <v>na</v>
      </c>
      <c r="F47" s="273" t="str">
        <f>'SD-Det'!P47</f>
        <v>na</v>
      </c>
      <c r="G47" s="727" t="str">
        <f>IF(OR($C47="na",$F47="na"),"na",IF($F47="PQL","TBD",$F47/(Eqtn!$D$237*($C47+Eqtn!$D$238))))</f>
        <v>na</v>
      </c>
      <c r="H47" s="709" t="str">
        <f>'SD-Det'!AR47</f>
        <v>na</v>
      </c>
      <c r="I47" s="709" t="str">
        <f>IF(OR($C47="na",$H47="na"),"na",IF($H47="PQL","TBD",$H47/(Eqtn!$D$237*($C47+Eqtn!$D$238))))</f>
        <v>na</v>
      </c>
      <c r="J47" s="709"/>
      <c r="K47" s="710" t="str">
        <f>IF(OR($C47="na",$J47="na"),"na",IF($J47="PQL","TBD",$J47/(Eqtn!$D$237*($C47+Eqtn!$D$238))))</f>
        <v>na</v>
      </c>
      <c r="L47" s="322"/>
      <c r="M47" s="1062"/>
    </row>
    <row r="48" spans="1:13" ht="13.9" customHeight="1" x14ac:dyDescent="0.25">
      <c r="A48" s="847">
        <f>Chem!A48</f>
        <v>46</v>
      </c>
      <c r="B48" s="931" t="str">
        <f>Chem!B48</f>
        <v>Dibutyltin</v>
      </c>
      <c r="C48" s="924" t="str">
        <f>Param!J48</f>
        <v>na</v>
      </c>
      <c r="D48" s="221" t="str">
        <f>'SD-Det'!Z48</f>
        <v>na</v>
      </c>
      <c r="E48" s="2092" t="str">
        <f>IF(OR($C48="na",$D48="na"),"na",IF($D48="PQL","TBD",$D48/(Eqtn!$D$237*($C48+Eqtn!$D$238))))</f>
        <v>na</v>
      </c>
      <c r="F48" s="273" t="str">
        <f>'SD-Det'!P48</f>
        <v>na</v>
      </c>
      <c r="G48" s="728" t="str">
        <f>IF(OR($C48="na",$F48="na"),"na",IF($F48="PQL","TBD",$F48/(Eqtn!$D$237*($C48+Eqtn!$D$238))))</f>
        <v>na</v>
      </c>
      <c r="H48" s="711" t="str">
        <f>'SD-Det'!AR48</f>
        <v>na</v>
      </c>
      <c r="I48" s="711" t="str">
        <f>IF(OR($C48="na",$H48="na"),"na",IF($H48="PQL","TBD",$H48/(Eqtn!$D$237*($C48+Eqtn!$D$238))))</f>
        <v>na</v>
      </c>
      <c r="J48" s="711"/>
      <c r="K48" s="712" t="str">
        <f>IF(OR($C48="na",$J48="na"),"na",IF($J48="PQL","TBD",$J48/(Eqtn!$D$237*($C48+Eqtn!$D$238))))</f>
        <v>na</v>
      </c>
      <c r="L48" s="322"/>
      <c r="M48" s="1062"/>
    </row>
    <row r="49" spans="1:13" ht="13.9" customHeight="1" x14ac:dyDescent="0.25">
      <c r="A49" s="847">
        <f>Chem!A49</f>
        <v>47</v>
      </c>
      <c r="B49" s="931" t="str">
        <f>Chem!B49</f>
        <v>Tributyl tin</v>
      </c>
      <c r="C49" s="924">
        <f>Param!J49</f>
        <v>153.71</v>
      </c>
      <c r="D49" s="221" t="str">
        <f>'SD-Det'!Z49</f>
        <v>na</v>
      </c>
      <c r="E49" s="2092" t="str">
        <f>IF(OR($C49="na",$D49="na"),"na",IF($D49="PQL","TBD",$D49/(Eqtn!$D$237*($C49+Eqtn!$D$238))))</f>
        <v>na</v>
      </c>
      <c r="F49" s="273" t="str">
        <f>'SD-Det'!P49</f>
        <v>na</v>
      </c>
      <c r="G49" s="728" t="str">
        <f>IF(OR($C49="na",$F49="na"),"na",IF($F49="PQL","TBD",$F49/(Eqtn!$D$237*($C49+Eqtn!$D$238))))</f>
        <v>na</v>
      </c>
      <c r="H49" s="711" t="str">
        <f>'SD-Det'!AR49</f>
        <v>na</v>
      </c>
      <c r="I49" s="711" t="str">
        <f>IF(OR($C49="na",$H49="na"),"na",IF($H49="PQL","TBD",$H49/(Eqtn!$D$237*($C49+Eqtn!$D$238))))</f>
        <v>na</v>
      </c>
      <c r="J49" s="711"/>
      <c r="K49" s="712">
        <f>IF(OR($C49="na",$J49="na"),"na",IF($J49="PQL","TBD",$J49/(Eqtn!$D$237*($C49+Eqtn!$D$238))))</f>
        <v>0</v>
      </c>
      <c r="L49" s="322"/>
      <c r="M49" s="1062"/>
    </row>
    <row r="50" spans="1:13" ht="13.9" customHeight="1" x14ac:dyDescent="0.25">
      <c r="A50" s="847">
        <f>Chem!A50</f>
        <v>48</v>
      </c>
      <c r="B50" s="931" t="str">
        <f>Chem!B50</f>
        <v>Tributyltin oxide</v>
      </c>
      <c r="C50" s="924">
        <f>Param!J50</f>
        <v>492100</v>
      </c>
      <c r="D50" s="219">
        <f>'SD-Det'!Z50</f>
        <v>2.0999999999999999E-3</v>
      </c>
      <c r="E50" s="2092">
        <f>IF(OR($C50="na",$D50="na"),"na",IF($D50="PQL","TBD",$D50/(Eqtn!$D$237*($C50+Eqtn!$D$238))))</f>
        <v>4.2674200914381415E-6</v>
      </c>
      <c r="F50" s="273">
        <f>'SD-Det'!P50</f>
        <v>2.0999999999999999E-3</v>
      </c>
      <c r="G50" s="728">
        <f>IF(OR($C50="na",$F50="na"),"na",IF($F50="PQL","TBD",$F50/(Eqtn!$D$237*($C50+Eqtn!$D$238))))</f>
        <v>4.2674200914381415E-6</v>
      </c>
      <c r="H50" s="711" t="str">
        <f>'SD-Det'!AR50</f>
        <v>na</v>
      </c>
      <c r="I50" s="711" t="str">
        <f>IF(OR($C50="na",$H50="na"),"na",IF($H50="PQL","TBD",$H50/(Eqtn!$D$237*($C50+Eqtn!$D$238))))</f>
        <v>na</v>
      </c>
      <c r="J50" s="711"/>
      <c r="K50" s="712">
        <f>IF(OR($C50="na",$J50="na"),"na",IF($J50="PQL","TBD",$J50/(Eqtn!$D$237*($C50+Eqtn!$D$238))))</f>
        <v>0</v>
      </c>
      <c r="L50" s="322"/>
      <c r="M50" s="1062"/>
    </row>
    <row r="51" spans="1:13" ht="13.9" customHeight="1" x14ac:dyDescent="0.25">
      <c r="A51" s="847">
        <f>Chem!A51</f>
        <v>49</v>
      </c>
      <c r="B51" s="931" t="str">
        <f>Chem!B51</f>
        <v>Tetrabutyltin</v>
      </c>
      <c r="C51" s="924" t="str">
        <f>Param!J51</f>
        <v>na</v>
      </c>
      <c r="D51" s="221" t="str">
        <f>'SD-Det'!Z51</f>
        <v>na</v>
      </c>
      <c r="E51" s="2092" t="str">
        <f>IF(OR($C51="na",$D51="na"),"na",IF($D51="PQL","TBD",$D51/(Eqtn!$D$237*($C51+Eqtn!$D$238))))</f>
        <v>na</v>
      </c>
      <c r="F51" s="273" t="str">
        <f>'SD-Det'!P51</f>
        <v>na</v>
      </c>
      <c r="G51" s="729" t="str">
        <f>IF(OR($C51="na",$F51="na"),"na",IF($F51="PQL","TBD",$F51/(Eqtn!$D$237*($C51+Eqtn!$D$238))))</f>
        <v>na</v>
      </c>
      <c r="H51" s="713" t="str">
        <f>'SD-Det'!AR51</f>
        <v>na</v>
      </c>
      <c r="I51" s="713" t="str">
        <f>IF(OR($C51="na",$H51="na"),"na",IF($H51="PQL","TBD",$H51/(Eqtn!$D$237*($C51+Eqtn!$D$238))))</f>
        <v>na</v>
      </c>
      <c r="J51" s="713"/>
      <c r="K51" s="714" t="str">
        <f>IF(OR($C51="na",$J51="na"),"na",IF($J51="PQL","TBD",$J51/(Eqtn!$D$237*($C51+Eqtn!$D$238))))</f>
        <v>na</v>
      </c>
      <c r="L51" s="322"/>
      <c r="M51" s="1062"/>
    </row>
    <row r="52" spans="1:13" ht="13.9" customHeight="1" x14ac:dyDescent="0.25">
      <c r="A52" s="906">
        <f>Chem!A52</f>
        <v>50</v>
      </c>
      <c r="B52" s="934" t="str">
        <f>Chem!B52</f>
        <v>SVOCs - PAHs</v>
      </c>
      <c r="C52" s="31"/>
      <c r="D52" s="259"/>
      <c r="E52" s="31"/>
      <c r="F52" s="31"/>
      <c r="G52" s="647"/>
      <c r="H52" s="31"/>
      <c r="I52" s="31"/>
      <c r="J52" s="31"/>
      <c r="K52" s="648"/>
      <c r="L52" s="129"/>
      <c r="M52" s="1063"/>
    </row>
    <row r="53" spans="1:13" ht="13.9" customHeight="1" x14ac:dyDescent="0.25">
      <c r="A53" s="846">
        <f>Chem!A53</f>
        <v>51</v>
      </c>
      <c r="B53" s="931" t="str">
        <f>Chem!B53</f>
        <v>Acenaphthene</v>
      </c>
      <c r="C53" s="924">
        <f>Param!J53</f>
        <v>93.1</v>
      </c>
      <c r="D53" s="219">
        <f>'SD-Det'!Z53</f>
        <v>0.5</v>
      </c>
      <c r="E53" s="2092">
        <f>IF(OR($C53="na",$D53="na"),"na",IF($D53="PQL","TBD",$D53/(Eqtn!$D$237*($C53+Eqtn!$D$238))))</f>
        <v>5.3360118020025737</v>
      </c>
      <c r="F53" s="273">
        <f>'SD-Det'!P53</f>
        <v>0.5</v>
      </c>
      <c r="G53" s="727">
        <f>IF(OR($C53="na",$F53="na"),"na",IF($F53="PQL","TBD",$F53/(Eqtn!$D$237*($C53+Eqtn!$D$238))))</f>
        <v>5.3360118020025737</v>
      </c>
      <c r="H53" s="709">
        <f>'SD-Det'!AR53</f>
        <v>0.5</v>
      </c>
      <c r="I53" s="709">
        <f>IF(OR($C53="na",$H53="na"),"na",IF($H53="PQL","TBD",$H53/(Eqtn!$D$237*($C53+Eqtn!$D$238))))</f>
        <v>5.3360118020025737</v>
      </c>
      <c r="J53" s="709"/>
      <c r="K53" s="710">
        <f>IF(OR($C53="na",$J53="na"),"na",IF($J53="PQL","TBD",$J53/(Eqtn!$D$237*($C53+Eqtn!$D$238))))</f>
        <v>0</v>
      </c>
      <c r="L53" s="322"/>
      <c r="M53" s="1062"/>
    </row>
    <row r="54" spans="1:13" ht="13.9" customHeight="1" x14ac:dyDescent="0.25">
      <c r="A54" s="847">
        <f>Chem!A54</f>
        <v>52</v>
      </c>
      <c r="B54" s="931" t="str">
        <f>Chem!B54</f>
        <v>Acenaphthylene</v>
      </c>
      <c r="C54" s="924" t="str">
        <f>Param!J54</f>
        <v>na</v>
      </c>
      <c r="D54" s="219">
        <f>'SD-Det'!Z54</f>
        <v>1.3</v>
      </c>
      <c r="E54" s="2092" t="str">
        <f>IF(OR($C54="na",$D54="na"),"na",IF($D54="PQL","TBD",$D54/(Eqtn!$D$237*($C54+Eqtn!$D$238))))</f>
        <v>na</v>
      </c>
      <c r="F54" s="273">
        <f>'SD-Det'!P54</f>
        <v>1.3</v>
      </c>
      <c r="G54" s="728" t="str">
        <f>IF(OR($C54="na",$F54="na"),"na",IF($F54="PQL","TBD",$F54/(Eqtn!$D$237*($C54+Eqtn!$D$238))))</f>
        <v>na</v>
      </c>
      <c r="H54" s="711" t="str">
        <f>'SD-Det'!AR54</f>
        <v>na</v>
      </c>
      <c r="I54" s="711" t="str">
        <f>IF(OR($C54="na",$H54="na"),"na",IF($H54="PQL","TBD",$H54/(Eqtn!$D$237*($C54+Eqtn!$D$238))))</f>
        <v>na</v>
      </c>
      <c r="J54" s="711"/>
      <c r="K54" s="712" t="str">
        <f>IF(OR($C54="na",$J54="na"),"na",IF($J54="PQL","TBD",$J54/(Eqtn!$D$237*($C54+Eqtn!$D$238))))</f>
        <v>na</v>
      </c>
      <c r="L54" s="322"/>
      <c r="M54" s="1062"/>
    </row>
    <row r="55" spans="1:13" ht="13.9" customHeight="1" x14ac:dyDescent="0.25">
      <c r="A55" s="847">
        <f>Chem!A55</f>
        <v>53</v>
      </c>
      <c r="B55" s="931" t="str">
        <f>Chem!B55</f>
        <v>Anthracene</v>
      </c>
      <c r="C55" s="924">
        <f>Param!J55</f>
        <v>446.5</v>
      </c>
      <c r="D55" s="219">
        <f>'SD-Det'!Z55</f>
        <v>0.96</v>
      </c>
      <c r="E55" s="2092">
        <f>IF(OR($C55="na",$D55="na"),"na",IF($D55="PQL","TBD",$D55/(Eqtn!$D$237*($C55+Eqtn!$D$238))))</f>
        <v>2.1471565306055322</v>
      </c>
      <c r="F55" s="273">
        <f>'SD-Det'!P55</f>
        <v>0.96</v>
      </c>
      <c r="G55" s="728">
        <f>IF(OR($C55="na",$F55="na"),"na",IF($F55="PQL","TBD",$F55/(Eqtn!$D$237*($C55+Eqtn!$D$238))))</f>
        <v>2.1471565306055322</v>
      </c>
      <c r="H55" s="711">
        <f>'SD-Det'!AR55</f>
        <v>0.96</v>
      </c>
      <c r="I55" s="711">
        <f>IF(OR($C55="na",$H55="na"),"na",IF($H55="PQL","TBD",$H55/(Eqtn!$D$237*($C55+Eqtn!$D$238))))</f>
        <v>2.1471565306055322</v>
      </c>
      <c r="J55" s="711"/>
      <c r="K55" s="712">
        <f>IF(OR($C55="na",$J55="na"),"na",IF($J55="PQL","TBD",$J55/(Eqtn!$D$237*($C55+Eqtn!$D$238))))</f>
        <v>0</v>
      </c>
      <c r="L55" s="322"/>
      <c r="M55" s="1062"/>
    </row>
    <row r="56" spans="1:13" ht="13.9" customHeight="1" x14ac:dyDescent="0.25">
      <c r="A56" s="847">
        <f>Chem!A56</f>
        <v>54</v>
      </c>
      <c r="B56" s="931" t="str">
        <f>Chem!B56</f>
        <v>Benzo(a)anthracene</v>
      </c>
      <c r="C56" s="924">
        <f>Param!J56</f>
        <v>6793.2029999999995</v>
      </c>
      <c r="D56" s="219">
        <f>'SD-Det'!Z56</f>
        <v>1.3</v>
      </c>
      <c r="E56" s="2092">
        <f>IF(OR($C56="na",$D56="na"),"na",IF($D56="PQL","TBD",$D56/(Eqtn!$D$237*($C56+Eqtn!$D$238))))</f>
        <v>0.19135077028339165</v>
      </c>
      <c r="F56" s="273">
        <f>'SD-Det'!P56</f>
        <v>1.6</v>
      </c>
      <c r="G56" s="728">
        <f>IF(OR($C56="na",$F56="na"),"na",IF($F56="PQL","TBD",$F56/(Eqtn!$D$237*($C56+Eqtn!$D$238))))</f>
        <v>0.23550864034878971</v>
      </c>
      <c r="H56" s="711">
        <f>'SD-Det'!AR56</f>
        <v>1.3</v>
      </c>
      <c r="I56" s="711">
        <f>IF(OR($C56="na",$H56="na"),"na",IF($H56="PQL","TBD",$H56/(Eqtn!$D$237*($C56+Eqtn!$D$238))))</f>
        <v>0.19135077028339165</v>
      </c>
      <c r="J56" s="711"/>
      <c r="K56" s="712">
        <f>IF(OR($C56="na",$J56="na"),"na",IF($J56="PQL","TBD",$J56/(Eqtn!$D$237*($C56+Eqtn!$D$238))))</f>
        <v>0</v>
      </c>
      <c r="L56" s="322"/>
      <c r="M56" s="1062"/>
    </row>
    <row r="57" spans="1:13" ht="13.9" customHeight="1" x14ac:dyDescent="0.25">
      <c r="A57" s="847">
        <f>Chem!A57</f>
        <v>55</v>
      </c>
      <c r="B57" s="931" t="str">
        <f>Chem!B57</f>
        <v>Benzo(b)fluoranthene</v>
      </c>
      <c r="C57" s="924">
        <f>Param!J57</f>
        <v>11381</v>
      </c>
      <c r="D57" s="219" t="str">
        <f>'SD-Det'!Z57</f>
        <v>na</v>
      </c>
      <c r="E57" s="2092" t="str">
        <f>IF(OR($C57="na",$D57="na"),"na",IF($D57="PQL","TBD",$D57/(Eqtn!$D$237*($C57+Eqtn!$D$238))))</f>
        <v>na</v>
      </c>
      <c r="F57" s="273" t="str">
        <f>'SD-Det'!P57</f>
        <v>na</v>
      </c>
      <c r="G57" s="728" t="str">
        <f>IF(OR($C57="na",$F57="na"),"na",IF($F57="PQL","TBD",$F57/(Eqtn!$D$237*($C57+Eqtn!$D$238))))</f>
        <v>na</v>
      </c>
      <c r="H57" s="711" t="str">
        <f>'SD-Det'!AR57</f>
        <v>na</v>
      </c>
      <c r="I57" s="711" t="str">
        <f>IF(OR($C57="na",$H57="na"),"na",IF($H57="PQL","TBD",$H57/(Eqtn!$D$237*($C57+Eqtn!$D$238))))</f>
        <v>na</v>
      </c>
      <c r="J57" s="711"/>
      <c r="K57" s="712">
        <f>IF(OR($C57="na",$J57="na"),"na",IF($J57="PQL","TBD",$J57/(Eqtn!$D$237*($C57+Eqtn!$D$238))))</f>
        <v>0</v>
      </c>
      <c r="L57" s="322"/>
      <c r="M57" s="1062"/>
    </row>
    <row r="58" spans="1:13" ht="13.9" customHeight="1" x14ac:dyDescent="0.25">
      <c r="A58" s="847">
        <f>Chem!A58</f>
        <v>56</v>
      </c>
      <c r="B58" s="931" t="str">
        <f>Chem!B58</f>
        <v>Benzo(k)fluoranthene</v>
      </c>
      <c r="C58" s="924">
        <f>Param!J58</f>
        <v>11153</v>
      </c>
      <c r="D58" s="219" t="str">
        <f>'SD-Det'!Z58</f>
        <v>na</v>
      </c>
      <c r="E58" s="2092" t="str">
        <f>IF(OR($C58="na",$D58="na"),"na",IF($D58="PQL","TBD",$D58/(Eqtn!$D$237*($C58+Eqtn!$D$238))))</f>
        <v>na</v>
      </c>
      <c r="F58" s="273" t="str">
        <f>'SD-Det'!P58</f>
        <v>na</v>
      </c>
      <c r="G58" s="728" t="str">
        <f>IF(OR($C58="na",$F58="na"),"na",IF($F58="PQL","TBD",$F58/(Eqtn!$D$237*($C58+Eqtn!$D$238))))</f>
        <v>na</v>
      </c>
      <c r="H58" s="711" t="str">
        <f>'SD-Det'!AR58</f>
        <v>na</v>
      </c>
      <c r="I58" s="711" t="str">
        <f>IF(OR($C58="na",$H58="na"),"na",IF($H58="PQL","TBD",$H58/(Eqtn!$D$237*($C58+Eqtn!$D$238))))</f>
        <v>na</v>
      </c>
      <c r="J58" s="711"/>
      <c r="K58" s="712">
        <f>IF(OR($C58="na",$J58="na"),"na",IF($J58="PQL","TBD",$J58/(Eqtn!$D$237*($C58+Eqtn!$D$238))))</f>
        <v>0</v>
      </c>
      <c r="L58" s="322"/>
      <c r="M58" s="1062"/>
    </row>
    <row r="59" spans="1:13" ht="13.9" customHeight="1" x14ac:dyDescent="0.25">
      <c r="A59" s="847">
        <f>Chem!A59</f>
        <v>57</v>
      </c>
      <c r="B59" s="931" t="str">
        <f>Chem!B59</f>
        <v>Total benzofluoranthenes</v>
      </c>
      <c r="C59" s="924" t="str">
        <f>Param!J59</f>
        <v>na</v>
      </c>
      <c r="D59" s="219">
        <f>'SD-Det'!Z59</f>
        <v>3.2</v>
      </c>
      <c r="E59" s="2092" t="str">
        <f>IF(OR($C59="na",$D59="na"),"na",IF($D59="PQL","TBD",$D59/(Eqtn!$D$237*($C59+Eqtn!$D$238))))</f>
        <v>na</v>
      </c>
      <c r="F59" s="273">
        <f>'SD-Det'!P59</f>
        <v>3.6</v>
      </c>
      <c r="G59" s="728" t="str">
        <f>IF(OR($C59="na",$F59="na"),"na",IF($F59="PQL","TBD",$F59/(Eqtn!$D$237*($C59+Eqtn!$D$238))))</f>
        <v>na</v>
      </c>
      <c r="H59" s="711">
        <f>'SD-Det'!AR59</f>
        <v>3.2</v>
      </c>
      <c r="I59" s="711" t="str">
        <f>IF(OR($C59="na",$H59="na"),"na",IF($H59="PQL","TBD",$H59/(Eqtn!$D$237*($C59+Eqtn!$D$238))))</f>
        <v>na</v>
      </c>
      <c r="J59" s="711"/>
      <c r="K59" s="712" t="str">
        <f>IF(OR($C59="na",$J59="na"),"na",IF($J59="PQL","TBD",$J59/(Eqtn!$D$237*($C59+Eqtn!$D$238))))</f>
        <v>na</v>
      </c>
      <c r="L59" s="322"/>
      <c r="M59" s="1062"/>
    </row>
    <row r="60" spans="1:13" ht="13.9" customHeight="1" x14ac:dyDescent="0.25">
      <c r="A60" s="847">
        <f>Chem!A60</f>
        <v>58</v>
      </c>
      <c r="B60" s="931" t="str">
        <f>Chem!B60</f>
        <v>Benzo(g,h,i)perylene</v>
      </c>
      <c r="C60" s="924" t="str">
        <f>Param!J60</f>
        <v>na</v>
      </c>
      <c r="D60" s="219">
        <f>'SD-Det'!Z60</f>
        <v>0.67</v>
      </c>
      <c r="E60" s="2092" t="str">
        <f>IF(OR($C60="na",$D60="na"),"na",IF($D60="PQL","TBD",$D60/(Eqtn!$D$237*($C60+Eqtn!$D$238))))</f>
        <v>na</v>
      </c>
      <c r="F60" s="273">
        <f>'SD-Det'!P60</f>
        <v>0.72</v>
      </c>
      <c r="G60" s="728" t="str">
        <f>IF(OR($C60="na",$F60="na"),"na",IF($F60="PQL","TBD",$F60/(Eqtn!$D$237*($C60+Eqtn!$D$238))))</f>
        <v>na</v>
      </c>
      <c r="H60" s="711">
        <f>'SD-Det'!AR60</f>
        <v>0.67</v>
      </c>
      <c r="I60" s="711" t="str">
        <f>IF(OR($C60="na",$H60="na"),"na",IF($H60="PQL","TBD",$H60/(Eqtn!$D$237*($C60+Eqtn!$D$238))))</f>
        <v>na</v>
      </c>
      <c r="J60" s="711"/>
      <c r="K60" s="712" t="str">
        <f>IF(OR($C60="na",$J60="na"),"na",IF($J60="PQL","TBD",$J60/(Eqtn!$D$237*($C60+Eqtn!$D$238))))</f>
        <v>na</v>
      </c>
      <c r="L60" s="322"/>
      <c r="M60" s="1062"/>
    </row>
    <row r="61" spans="1:13" ht="13.9" customHeight="1" x14ac:dyDescent="0.25">
      <c r="A61" s="847">
        <f>Chem!A61</f>
        <v>59</v>
      </c>
      <c r="B61" s="931" t="str">
        <f>Chem!B61</f>
        <v>Benzo(a)pyrene</v>
      </c>
      <c r="C61" s="924">
        <f>Param!J61</f>
        <v>18406.705999999998</v>
      </c>
      <c r="D61" s="219">
        <f>'SD-Det'!Z61</f>
        <v>1.6</v>
      </c>
      <c r="E61" s="2092">
        <f>IF(OR($C61="na",$D61="na"),"na",IF($D61="PQL","TBD",$D61/(Eqtn!$D$237*($C61+Eqtn!$D$238))))</f>
        <v>8.6921994144448733E-2</v>
      </c>
      <c r="F61" s="273">
        <f>'SD-Det'!P61</f>
        <v>1.6</v>
      </c>
      <c r="G61" s="728">
        <f>IF(OR($C61="na",$F61="na"),"na",IF($F61="PQL","TBD",$F61/(Eqtn!$D$237*($C61+Eqtn!$D$238))))</f>
        <v>8.6921994144448733E-2</v>
      </c>
      <c r="H61" s="711">
        <f>'SD-Det'!AR61</f>
        <v>1.6</v>
      </c>
      <c r="I61" s="711">
        <f>IF(OR($C61="na",$H61="na"),"na",IF($H61="PQL","TBD",$H61/(Eqtn!$D$237*($C61+Eqtn!$D$238))))</f>
        <v>8.6921994144448733E-2</v>
      </c>
      <c r="J61" s="711"/>
      <c r="K61" s="712">
        <f>IF(OR($C61="na",$J61="na"),"na",IF($J61="PQL","TBD",$J61/(Eqtn!$D$237*($C61+Eqtn!$D$238))))</f>
        <v>0</v>
      </c>
      <c r="L61" s="322"/>
      <c r="M61" s="1062"/>
    </row>
    <row r="62" spans="1:13" ht="13.9" customHeight="1" x14ac:dyDescent="0.25">
      <c r="A62" s="847">
        <f>Chem!A62</f>
        <v>60</v>
      </c>
      <c r="B62" s="931" t="str">
        <f>Chem!B62</f>
        <v>Chrysene</v>
      </c>
      <c r="C62" s="924">
        <f>Param!J62</f>
        <v>3477</v>
      </c>
      <c r="D62" s="219">
        <f>'SD-Det'!Z62</f>
        <v>1.4</v>
      </c>
      <c r="E62" s="2092">
        <f>IF(OR($C62="na",$D62="na"),"na",IF($D62="PQL","TBD",$D62/(Eqtn!$D$237*($C62+Eqtn!$D$238))))</f>
        <v>0.40257614905466493</v>
      </c>
      <c r="F62" s="273">
        <f>'SD-Det'!P62</f>
        <v>2.8</v>
      </c>
      <c r="G62" s="728">
        <f>IF(OR($C62="na",$F62="na"),"na",IF($F62="PQL","TBD",$F62/(Eqtn!$D$237*($C62+Eqtn!$D$238))))</f>
        <v>0.80515229810932987</v>
      </c>
      <c r="H62" s="711">
        <f>'SD-Det'!AR62</f>
        <v>1.4</v>
      </c>
      <c r="I62" s="711">
        <f>IF(OR($C62="na",$H62="na"),"na",IF($H62="PQL","TBD",$H62/(Eqtn!$D$237*($C62+Eqtn!$D$238))))</f>
        <v>0.40257614905466493</v>
      </c>
      <c r="J62" s="711"/>
      <c r="K62" s="712">
        <f>IF(OR($C62="na",$J62="na"),"na",IF($J62="PQL","TBD",$J62/(Eqtn!$D$237*($C62+Eqtn!$D$238))))</f>
        <v>0</v>
      </c>
      <c r="L62" s="322"/>
      <c r="M62" s="1062"/>
    </row>
    <row r="63" spans="1:13" ht="13.9" customHeight="1" x14ac:dyDescent="0.25">
      <c r="A63" s="847">
        <f>Chem!A63</f>
        <v>61</v>
      </c>
      <c r="B63" s="931" t="str">
        <f>Chem!B63</f>
        <v>Dibenz(a,h)anthracene</v>
      </c>
      <c r="C63" s="924">
        <f>Param!J63</f>
        <v>33992.919000000002</v>
      </c>
      <c r="D63" s="219">
        <f>'SD-Det'!Z63</f>
        <v>0.23</v>
      </c>
      <c r="E63" s="2092">
        <f>IF(OR($C63="na",$D63="na"),"na",IF($D63="PQL","TBD",$D63/(Eqtn!$D$237*($C63+Eqtn!$D$238))))</f>
        <v>6.7659950151090472E-3</v>
      </c>
      <c r="F63" s="273">
        <f>'SD-Det'!P63</f>
        <v>0.23</v>
      </c>
      <c r="G63" s="728">
        <f>IF(OR($C63="na",$F63="na"),"na",IF($F63="PQL","TBD",$F63/(Eqtn!$D$237*($C63+Eqtn!$D$238))))</f>
        <v>6.7659950151090472E-3</v>
      </c>
      <c r="H63" s="711">
        <f>'SD-Det'!AR63</f>
        <v>0.23</v>
      </c>
      <c r="I63" s="711">
        <f>IF(OR($C63="na",$H63="na"),"na",IF($H63="PQL","TBD",$H63/(Eqtn!$D$237*($C63+Eqtn!$D$238))))</f>
        <v>6.7659950151090472E-3</v>
      </c>
      <c r="J63" s="711"/>
      <c r="K63" s="712">
        <f>IF(OR($C63="na",$J63="na"),"na",IF($J63="PQL","TBD",$J63/(Eqtn!$D$237*($C63+Eqtn!$D$238))))</f>
        <v>0</v>
      </c>
      <c r="L63" s="322"/>
      <c r="M63" s="1062"/>
    </row>
    <row r="64" spans="1:13" ht="13.9" customHeight="1" x14ac:dyDescent="0.25">
      <c r="A64" s="847">
        <f>Chem!A64</f>
        <v>62</v>
      </c>
      <c r="B64" s="931" t="str">
        <f>Chem!B64</f>
        <v>Dibenzofuran</v>
      </c>
      <c r="C64" s="924">
        <f>Param!J64</f>
        <v>174.04</v>
      </c>
      <c r="D64" s="219">
        <f>'SD-Det'!Z64</f>
        <v>0.54</v>
      </c>
      <c r="E64" s="2092">
        <f>IF(OR($C64="na",$D64="na"),"na",IF($D64="PQL","TBD",$D64/(Eqtn!$D$237*($C64+Eqtn!$D$238))))</f>
        <v>3.0920230520760006</v>
      </c>
      <c r="F64" s="273">
        <f>'SD-Det'!P64</f>
        <v>0.54</v>
      </c>
      <c r="G64" s="728">
        <f>IF(OR($C64="na",$F64="na"),"na",IF($F64="PQL","TBD",$F64/(Eqtn!$D$237*($C64+Eqtn!$D$238))))</f>
        <v>3.0920230520760006</v>
      </c>
      <c r="H64" s="711">
        <f>'SD-Det'!AR64</f>
        <v>0.54</v>
      </c>
      <c r="I64" s="711">
        <f>IF(OR($C64="na",$H64="na"),"na",IF($H64="PQL","TBD",$H64/(Eqtn!$D$237*($C64+Eqtn!$D$238))))</f>
        <v>3.0920230520760006</v>
      </c>
      <c r="J64" s="711"/>
      <c r="K64" s="712">
        <f>IF(OR($C64="na",$J64="na"),"na",IF($J64="PQL","TBD",$J64/(Eqtn!$D$237*($C64+Eqtn!$D$238))))</f>
        <v>0</v>
      </c>
      <c r="L64" s="322"/>
      <c r="M64" s="1062"/>
    </row>
    <row r="65" spans="1:13" ht="13.9" customHeight="1" x14ac:dyDescent="0.25">
      <c r="A65" s="847">
        <f>Chem!A65</f>
        <v>63</v>
      </c>
      <c r="B65" s="931" t="str">
        <f>Chem!B65</f>
        <v>Fluoranthene</v>
      </c>
      <c r="C65" s="924">
        <f>Param!J65</f>
        <v>932.9</v>
      </c>
      <c r="D65" s="219">
        <f>'SD-Det'!Z65</f>
        <v>1.7</v>
      </c>
      <c r="E65" s="2092">
        <f>IF(OR($C65="na",$D65="na"),"na",IF($D65="PQL","TBD",$D65/(Eqtn!$D$237*($C65+Eqtn!$D$238))))</f>
        <v>1.8210976366689666</v>
      </c>
      <c r="F65" s="273">
        <f>'SD-Det'!P65</f>
        <v>2.5</v>
      </c>
      <c r="G65" s="728">
        <f>IF(OR($C65="na",$F65="na"),"na",IF($F65="PQL","TBD",$F65/(Eqtn!$D$237*($C65+Eqtn!$D$238))))</f>
        <v>2.6780847598073039</v>
      </c>
      <c r="H65" s="711">
        <f>'SD-Det'!AR65</f>
        <v>1.7</v>
      </c>
      <c r="I65" s="711">
        <f>IF(OR($C65="na",$H65="na"),"na",IF($H65="PQL","TBD",$H65/(Eqtn!$D$237*($C65+Eqtn!$D$238))))</f>
        <v>1.8210976366689666</v>
      </c>
      <c r="J65" s="711"/>
      <c r="K65" s="712">
        <f>IF(OR($C65="na",$J65="na"),"na",IF($J65="PQL","TBD",$J65/(Eqtn!$D$237*($C65+Eqtn!$D$238))))</f>
        <v>0</v>
      </c>
      <c r="L65" s="322"/>
      <c r="M65" s="1062"/>
    </row>
    <row r="66" spans="1:13" ht="13.9" customHeight="1" x14ac:dyDescent="0.25">
      <c r="A66" s="847">
        <f>Chem!A66</f>
        <v>64</v>
      </c>
      <c r="B66" s="931" t="str">
        <f>Chem!B66</f>
        <v>Fluorene</v>
      </c>
      <c r="C66" s="924">
        <f>Param!J66</f>
        <v>146.49</v>
      </c>
      <c r="D66" s="219">
        <f>'SD-Det'!Z66</f>
        <v>0.54</v>
      </c>
      <c r="E66" s="2092">
        <f>IF(OR($C66="na",$D66="na"),"na",IF($D66="PQL","TBD",$D66/(Eqtn!$D$237*($C66+Eqtn!$D$238))))</f>
        <v>3.6711482935958859</v>
      </c>
      <c r="F66" s="273">
        <f>'SD-Det'!P66</f>
        <v>0.54</v>
      </c>
      <c r="G66" s="728">
        <f>IF(OR($C66="na",$F66="na"),"na",IF($F66="PQL","TBD",$F66/(Eqtn!$D$237*($C66+Eqtn!$D$238))))</f>
        <v>3.6711482935958859</v>
      </c>
      <c r="H66" s="711">
        <f>'SD-Det'!AR66</f>
        <v>0.54</v>
      </c>
      <c r="I66" s="711">
        <f>IF(OR($C66="na",$H66="na"),"na",IF($H66="PQL","TBD",$H66/(Eqtn!$D$237*($C66+Eqtn!$D$238))))</f>
        <v>3.6711482935958859</v>
      </c>
      <c r="J66" s="711"/>
      <c r="K66" s="712">
        <f>IF(OR($C66="na",$J66="na"),"na",IF($J66="PQL","TBD",$J66/(Eqtn!$D$237*($C66+Eqtn!$D$238))))</f>
        <v>0</v>
      </c>
      <c r="L66" s="322"/>
      <c r="M66" s="1062"/>
    </row>
    <row r="67" spans="1:13" ht="13.9" customHeight="1" x14ac:dyDescent="0.25">
      <c r="A67" s="847">
        <f>Chem!A67</f>
        <v>65</v>
      </c>
      <c r="B67" s="931" t="str">
        <f>Chem!B67</f>
        <v>Indeno(1,2,3-cd)pyrene</v>
      </c>
      <c r="C67" s="924">
        <f>Param!J67</f>
        <v>37050</v>
      </c>
      <c r="D67" s="219">
        <f>'SD-Det'!Z67</f>
        <v>0.6</v>
      </c>
      <c r="E67" s="2092">
        <f>IF(OR($C67="na",$D67="na"),"na",IF($D67="PQL","TBD",$D67/(Eqtn!$D$237*($C67+Eqtn!$D$238))))</f>
        <v>1.6194068446135471E-2</v>
      </c>
      <c r="F67" s="273">
        <f>'SD-Det'!P67</f>
        <v>0.69</v>
      </c>
      <c r="G67" s="728">
        <f>IF(OR($C67="na",$F67="na"),"na",IF($F67="PQL","TBD",$F67/(Eqtn!$D$237*($C67+Eqtn!$D$238))))</f>
        <v>1.8623178713055792E-2</v>
      </c>
      <c r="H67" s="711">
        <f>'SD-Det'!AR67</f>
        <v>0.6</v>
      </c>
      <c r="I67" s="711">
        <f>IF(OR($C67="na",$H67="na"),"na",IF($H67="PQL","TBD",$H67/(Eqtn!$D$237*($C67+Eqtn!$D$238))))</f>
        <v>1.6194068446135471E-2</v>
      </c>
      <c r="J67" s="711"/>
      <c r="K67" s="712">
        <f>IF(OR($C67="na",$J67="na"),"na",IF($J67="PQL","TBD",$J67/(Eqtn!$D$237*($C67+Eqtn!$D$238))))</f>
        <v>0</v>
      </c>
      <c r="L67" s="322"/>
      <c r="M67" s="1062"/>
    </row>
    <row r="68" spans="1:13" ht="13.9" customHeight="1" x14ac:dyDescent="0.25">
      <c r="A68" s="847">
        <f>Chem!A68</f>
        <v>66</v>
      </c>
      <c r="B68" s="931" t="str">
        <f>Chem!B68</f>
        <v>Methyl isopropyl phenanthrene (retene)</v>
      </c>
      <c r="C68" s="924" t="str">
        <f>Param!J68</f>
        <v>na</v>
      </c>
      <c r="D68" s="219" t="str">
        <f>'SD-Det'!Z68</f>
        <v>na</v>
      </c>
      <c r="E68" s="2092" t="str">
        <f>IF(OR($C68="na",$D68="na"),"na",IF($D68="PQL","TBD",$D68/(Eqtn!$D$237*($C68+Eqtn!$D$238))))</f>
        <v>na</v>
      </c>
      <c r="F68" s="273" t="str">
        <f>'SD-Det'!P68</f>
        <v>na</v>
      </c>
      <c r="G68" s="728" t="str">
        <f>IF(OR($C68="na",$F68="na"),"na",IF($F68="PQL","TBD",$F68/(Eqtn!$D$237*($C68+Eqtn!$D$238))))</f>
        <v>na</v>
      </c>
      <c r="H68" s="711" t="str">
        <f>'SD-Det'!AR68</f>
        <v>na</v>
      </c>
      <c r="I68" s="711" t="str">
        <f>IF(OR($C68="na",$H68="na"),"na",IF($H68="PQL","TBD",$H68/(Eqtn!$D$237*($C68+Eqtn!$D$238))))</f>
        <v>na</v>
      </c>
      <c r="J68" s="711"/>
      <c r="K68" s="712" t="str">
        <f>IF(OR($C68="na",$J68="na"),"na",IF($J68="PQL","TBD",$J68/(Eqtn!$D$237*($C68+Eqtn!$D$238))))</f>
        <v>na</v>
      </c>
      <c r="L68" s="322"/>
      <c r="M68" s="1062"/>
    </row>
    <row r="69" spans="1:13" ht="13.9" customHeight="1" x14ac:dyDescent="0.25">
      <c r="A69" s="847">
        <f>Chem!A69</f>
        <v>67</v>
      </c>
      <c r="B69" s="931" t="str">
        <f>Chem!B69</f>
        <v>1-Methylnaphthalene</v>
      </c>
      <c r="C69" s="924">
        <f>Param!J69</f>
        <v>48.07</v>
      </c>
      <c r="D69" s="219" t="str">
        <f>'SD-Det'!Z69</f>
        <v>na</v>
      </c>
      <c r="E69" s="2092" t="str">
        <f>IF(OR($C69="na",$D69="na"),"na",IF($D69="PQL","TBD",$D69/(Eqtn!$D$237*($C69+Eqtn!$D$238))))</f>
        <v>na</v>
      </c>
      <c r="F69" s="273" t="str">
        <f>'SD-Det'!P69</f>
        <v>na</v>
      </c>
      <c r="G69" s="728" t="str">
        <f>IF(OR($C69="na",$F69="na"),"na",IF($F69="PQL","TBD",$F69/(Eqtn!$D$237*($C69+Eqtn!$D$238))))</f>
        <v>na</v>
      </c>
      <c r="H69" s="711" t="str">
        <f>'SD-Det'!AR69</f>
        <v>na</v>
      </c>
      <c r="I69" s="711" t="str">
        <f>IF(OR($C69="na",$H69="na"),"na",IF($H69="PQL","TBD",$H69/(Eqtn!$D$237*($C69+Eqtn!$D$238))))</f>
        <v>na</v>
      </c>
      <c r="J69" s="711"/>
      <c r="K69" s="712">
        <f>IF(OR($C69="na",$J69="na"),"na",IF($J69="PQL","TBD",$J69/(Eqtn!$D$237*($C69+Eqtn!$D$238))))</f>
        <v>0</v>
      </c>
      <c r="L69" s="322"/>
      <c r="M69" s="1062"/>
    </row>
    <row r="70" spans="1:13" ht="13.9" customHeight="1" x14ac:dyDescent="0.25">
      <c r="A70" s="847">
        <f>Chem!A70</f>
        <v>68</v>
      </c>
      <c r="B70" s="931" t="str">
        <f>Chem!B70</f>
        <v>2-Methylnaphthalene</v>
      </c>
      <c r="C70" s="924">
        <f>Param!J70</f>
        <v>47.12</v>
      </c>
      <c r="D70" s="219">
        <f>'SD-Det'!Z70</f>
        <v>0.67</v>
      </c>
      <c r="E70" s="2092">
        <f>IF(OR($C70="na",$D70="na"),"na",IF($D70="PQL","TBD",$D70/(Eqtn!$D$237*($C70+Eqtn!$D$238))))</f>
        <v>14.039369399351651</v>
      </c>
      <c r="F70" s="273">
        <f>'SD-Det'!P70</f>
        <v>0.67</v>
      </c>
      <c r="G70" s="728">
        <f>IF(OR($C70="na",$F70="na"),"na",IF($F70="PQL","TBD",$F70/(Eqtn!$D$237*($C70+Eqtn!$D$238))))</f>
        <v>14.039369399351651</v>
      </c>
      <c r="H70" s="711">
        <f>'SD-Det'!AR70</f>
        <v>0.67</v>
      </c>
      <c r="I70" s="711">
        <f>IF(OR($C70="na",$H70="na"),"na",IF($H70="PQL","TBD",$H70/(Eqtn!$D$237*($C70+Eqtn!$D$238))))</f>
        <v>14.039369399351651</v>
      </c>
      <c r="J70" s="711"/>
      <c r="K70" s="712">
        <f>IF(OR($C70="na",$J70="na"),"na",IF($J70="PQL","TBD",$J70/(Eqtn!$D$237*($C70+Eqtn!$D$238))))</f>
        <v>0</v>
      </c>
      <c r="L70" s="322"/>
      <c r="M70" s="1062"/>
    </row>
    <row r="71" spans="1:13" ht="13.9" customHeight="1" x14ac:dyDescent="0.25">
      <c r="A71" s="847">
        <f>Chem!A71</f>
        <v>69</v>
      </c>
      <c r="B71" s="931" t="str">
        <f>Chem!B71</f>
        <v>Naphthalene</v>
      </c>
      <c r="C71" s="924">
        <f>Param!J71</f>
        <v>22.61</v>
      </c>
      <c r="D71" s="219">
        <f>'SD-Det'!Z71</f>
        <v>2.1</v>
      </c>
      <c r="E71" s="2092">
        <f>IF(OR($C71="na",$D71="na"),"na",IF($D71="PQL","TBD",$D71/(Eqtn!$D$237*($C71+Eqtn!$D$238))))</f>
        <v>90.466778166337249</v>
      </c>
      <c r="F71" s="273">
        <f>'SD-Det'!P71</f>
        <v>2.1</v>
      </c>
      <c r="G71" s="728">
        <f>IF(OR($C71="na",$F71="na"),"na",IF($F71="PQL","TBD",$F71/(Eqtn!$D$237*($C71+Eqtn!$D$238))))</f>
        <v>90.466778166337249</v>
      </c>
      <c r="H71" s="711">
        <f>'SD-Det'!AR71</f>
        <v>2.1</v>
      </c>
      <c r="I71" s="711">
        <f>IF(OR($C71="na",$H71="na"),"na",IF($H71="PQL","TBD",$H71/(Eqtn!$D$237*($C71+Eqtn!$D$238))))</f>
        <v>90.466778166337249</v>
      </c>
      <c r="J71" s="711"/>
      <c r="K71" s="712">
        <f>IF(OR($C71="na",$J71="na"),"na",IF($J71="PQL","TBD",$J71/(Eqtn!$D$237*($C71+Eqtn!$D$238))))</f>
        <v>0</v>
      </c>
      <c r="L71" s="322"/>
      <c r="M71" s="1062"/>
    </row>
    <row r="72" spans="1:13" ht="13.9" customHeight="1" x14ac:dyDescent="0.25">
      <c r="A72" s="847">
        <f>Chem!A72</f>
        <v>70</v>
      </c>
      <c r="B72" s="931" t="str">
        <f>Chem!B72</f>
        <v>Phenanthrene</v>
      </c>
      <c r="C72" s="924" t="str">
        <f>Param!J72</f>
        <v>na</v>
      </c>
      <c r="D72" s="219">
        <f>'SD-Det'!Z72</f>
        <v>1.5</v>
      </c>
      <c r="E72" s="2092" t="str">
        <f>IF(OR($C72="na",$D72="na"),"na",IF($D72="PQL","TBD",$D72/(Eqtn!$D$237*($C72+Eqtn!$D$238))))</f>
        <v>na</v>
      </c>
      <c r="F72" s="273">
        <f>'SD-Det'!P72</f>
        <v>1.5</v>
      </c>
      <c r="G72" s="728" t="str">
        <f>IF(OR($C72="na",$F72="na"),"na",IF($F72="PQL","TBD",$F72/(Eqtn!$D$237*($C72+Eqtn!$D$238))))</f>
        <v>na</v>
      </c>
      <c r="H72" s="711">
        <f>'SD-Det'!AR72</f>
        <v>1.5</v>
      </c>
      <c r="I72" s="711" t="str">
        <f>IF(OR($C72="na",$H72="na"),"na",IF($H72="PQL","TBD",$H72/(Eqtn!$D$237*($C72+Eqtn!$D$238))))</f>
        <v>na</v>
      </c>
      <c r="J72" s="711"/>
      <c r="K72" s="712" t="str">
        <f>IF(OR($C72="na",$J72="na"),"na",IF($J72="PQL","TBD",$J72/(Eqtn!$D$237*($C72+Eqtn!$D$238))))</f>
        <v>na</v>
      </c>
      <c r="L72" s="322"/>
      <c r="M72" s="1062"/>
    </row>
    <row r="73" spans="1:13" ht="13.9" customHeight="1" x14ac:dyDescent="0.25">
      <c r="A73" s="847">
        <f>Chem!A73</f>
        <v>71</v>
      </c>
      <c r="B73" s="931" t="str">
        <f>Chem!B73</f>
        <v>Pyrene</v>
      </c>
      <c r="C73" s="924">
        <f>Param!J73</f>
        <v>1292</v>
      </c>
      <c r="D73" s="219">
        <f>'SD-Det'!Z73</f>
        <v>2.6</v>
      </c>
      <c r="E73" s="2092">
        <f>IF(OR($C73="na",$D73="na"),"na",IF($D73="PQL","TBD",$D73/(Eqtn!$D$237*($C73+Eqtn!$D$238))))</f>
        <v>2.0114452142849015</v>
      </c>
      <c r="F73" s="273">
        <f>'SD-Det'!P73</f>
        <v>3.3</v>
      </c>
      <c r="G73" s="728">
        <f>IF(OR($C73="na",$F73="na"),"na",IF($F73="PQL","TBD",$F73/(Eqtn!$D$237*($C73+Eqtn!$D$238))))</f>
        <v>2.5529881565923751</v>
      </c>
      <c r="H73" s="711">
        <f>'SD-Det'!AR73</f>
        <v>2.6</v>
      </c>
      <c r="I73" s="711">
        <f>IF(OR($C73="na",$H73="na"),"na",IF($H73="PQL","TBD",$H73/(Eqtn!$D$237*($C73+Eqtn!$D$238))))</f>
        <v>2.0114452142849015</v>
      </c>
      <c r="J73" s="711"/>
      <c r="K73" s="712">
        <f>IF(OR($C73="na",$J73="na"),"na",IF($J73="PQL","TBD",$J73/(Eqtn!$D$237*($C73+Eqtn!$D$238))))</f>
        <v>0</v>
      </c>
      <c r="L73" s="322"/>
      <c r="M73" s="1062"/>
    </row>
    <row r="74" spans="1:13" ht="13.9" customHeight="1" x14ac:dyDescent="0.25">
      <c r="A74" s="847">
        <f>Chem!A74</f>
        <v>72</v>
      </c>
      <c r="B74" s="931" t="str">
        <f>Chem!B74</f>
        <v>Total LPAHs</v>
      </c>
      <c r="C74" s="924" t="str">
        <f>Param!J74</f>
        <v>na</v>
      </c>
      <c r="D74" s="219">
        <f>'SD-Det'!Z74</f>
        <v>5.2</v>
      </c>
      <c r="E74" s="2092" t="str">
        <f>IF(OR($C74="na",$D74="na"),"na",IF($D74="PQL","TBD",$D74/(Eqtn!$D$237*($C74+Eqtn!$D$238))))</f>
        <v>na</v>
      </c>
      <c r="F74" s="273">
        <f>'SD-Det'!P74</f>
        <v>5.2</v>
      </c>
      <c r="G74" s="728" t="str">
        <f>IF(OR($C74="na",$F74="na"),"na",IF($F74="PQL","TBD",$F74/(Eqtn!$D$237*($C74+Eqtn!$D$238))))</f>
        <v>na</v>
      </c>
      <c r="H74" s="711">
        <f>'SD-Det'!AR74</f>
        <v>5.2</v>
      </c>
      <c r="I74" s="711" t="str">
        <f>IF(OR($C74="na",$H74="na"),"na",IF($H74="PQL","TBD",$H74/(Eqtn!$D$237*($C74+Eqtn!$D$238))))</f>
        <v>na</v>
      </c>
      <c r="J74" s="711"/>
      <c r="K74" s="712" t="str">
        <f>IF(OR($C74="na",$J74="na"),"na",IF($J74="PQL","TBD",$J74/(Eqtn!$D$237*($C74+Eqtn!$D$238))))</f>
        <v>na</v>
      </c>
      <c r="L74" s="322"/>
      <c r="M74" s="1062"/>
    </row>
    <row r="75" spans="1:13" ht="13.9" customHeight="1" x14ac:dyDescent="0.25">
      <c r="A75" s="847">
        <f>Chem!A75</f>
        <v>73</v>
      </c>
      <c r="B75" s="931" t="str">
        <f>Chem!B75</f>
        <v>Total HPAHs</v>
      </c>
      <c r="C75" s="924" t="str">
        <f>Param!J75</f>
        <v>na</v>
      </c>
      <c r="D75" s="219">
        <f>'SD-Det'!Z75</f>
        <v>12</v>
      </c>
      <c r="E75" s="2092" t="str">
        <f>IF(OR($C75="na",$D75="na"),"na",IF($D75="PQL","TBD",$D75/(Eqtn!$D$237*($C75+Eqtn!$D$238))))</f>
        <v>na</v>
      </c>
      <c r="F75" s="273">
        <f>'SD-Det'!P75</f>
        <v>17</v>
      </c>
      <c r="G75" s="728" t="str">
        <f>IF(OR($C75="na",$F75="na"),"na",IF($F75="PQL","TBD",$F75/(Eqtn!$D$237*($C75+Eqtn!$D$238))))</f>
        <v>na</v>
      </c>
      <c r="H75" s="711">
        <f>'SD-Det'!AR75</f>
        <v>12</v>
      </c>
      <c r="I75" s="711" t="str">
        <f>IF(OR($C75="na",$H75="na"),"na",IF($H75="PQL","TBD",$H75/(Eqtn!$D$237*($C75+Eqtn!$D$238))))</f>
        <v>na</v>
      </c>
      <c r="J75" s="711"/>
      <c r="K75" s="712" t="str">
        <f>IF(OR($C75="na",$J75="na"),"na",IF($J75="PQL","TBD",$J75/(Eqtn!$D$237*($C75+Eqtn!$D$238))))</f>
        <v>na</v>
      </c>
      <c r="L75" s="322"/>
      <c r="M75" s="1062"/>
    </row>
    <row r="76" spans="1:13" ht="13.9" customHeight="1" x14ac:dyDescent="0.25">
      <c r="A76" s="842">
        <f>Chem!A76</f>
        <v>74</v>
      </c>
      <c r="B76" s="931" t="str">
        <f>Chem!B76</f>
        <v>Total PAHs</v>
      </c>
      <c r="C76" s="927" t="str">
        <f>Param!J76</f>
        <v>na</v>
      </c>
      <c r="D76" s="2098" t="str">
        <f>'SD-Det'!Z76</f>
        <v>na</v>
      </c>
      <c r="E76" s="2099" t="str">
        <f>IF(OR($C76="na",$D76="na"),"na",IF($D76="PQL","TBD",$D76/(Eqtn!$D$237*($C76+Eqtn!$D$238))))</f>
        <v>na</v>
      </c>
      <c r="F76" s="731" t="str">
        <f>'SD-Det'!P76</f>
        <v>na</v>
      </c>
      <c r="G76" s="728" t="str">
        <f>IF(OR($C76="na",$F76="na"),"na",IF($F76="PQL","TBD",$F76/(Eqtn!$D$237*($C76+Eqtn!$D$238))))</f>
        <v>na</v>
      </c>
      <c r="H76" s="711" t="str">
        <f>'SD-Det'!AR76</f>
        <v>na</v>
      </c>
      <c r="I76" s="711" t="str">
        <f>IF(OR($C76="na",$H76="na"),"na",IF($H76="PQL","TBD",$H76/(Eqtn!$D$237*($C76+Eqtn!$D$238))))</f>
        <v>na</v>
      </c>
      <c r="J76" s="711"/>
      <c r="K76" s="712" t="str">
        <f>IF(OR($C76="na",$J76="na"),"na",IF($J76="PQL","TBD",$J76/(Eqtn!$D$237*($C76+Eqtn!$D$238))))</f>
        <v>na</v>
      </c>
      <c r="L76" s="322"/>
      <c r="M76" s="1062"/>
    </row>
    <row r="77" spans="1:13" ht="13.9" customHeight="1" x14ac:dyDescent="0.25">
      <c r="A77" s="844">
        <f>Chem!A77</f>
        <v>75</v>
      </c>
      <c r="B77" s="931" t="str">
        <f>Chem!B77</f>
        <v>Total cPAH TEQ</v>
      </c>
      <c r="C77" s="928">
        <f>Param!J77</f>
        <v>18406.705999999998</v>
      </c>
      <c r="D77" s="290">
        <f>'SD-Det'!Z77</f>
        <v>0.59</v>
      </c>
      <c r="E77" s="2100">
        <f>IF(OR($C77="na",$D77="na"),"na",IF($D77="PQL","TBD",$D77/(Eqtn!$D$237*($C77+Eqtn!$D$238))))</f>
        <v>3.205248534076547E-2</v>
      </c>
      <c r="F77" s="732">
        <f>'SD-Det'!P77</f>
        <v>2.1000000000000001E-2</v>
      </c>
      <c r="G77" s="729">
        <f>IF(OR($C77="na",$F77="na"),"na",IF($F77="PQL","TBD",$F77/(Eqtn!$D$237*($C77+Eqtn!$D$238))))</f>
        <v>1.1408511731458898E-3</v>
      </c>
      <c r="H77" s="713">
        <f>'SD-Det'!AR77</f>
        <v>1.35</v>
      </c>
      <c r="I77" s="713">
        <f>IF(OR($C77="na",$H77="na"),"na",IF($H77="PQL","TBD",$H77/(Eqtn!$D$237*($C77+Eqtn!$D$238))))</f>
        <v>7.3340432559378624E-2</v>
      </c>
      <c r="J77" s="713"/>
      <c r="K77" s="714">
        <f>IF(OR($C77="na",$J77="na"),"na",IF($J77="PQL","TBD",$J77/(Eqtn!$D$237*($C77+Eqtn!$D$238))))</f>
        <v>0</v>
      </c>
      <c r="L77" s="322"/>
      <c r="M77" s="1062"/>
    </row>
    <row r="78" spans="1:13" ht="13.9" customHeight="1" x14ac:dyDescent="0.25">
      <c r="A78" s="906">
        <f>Chem!A78</f>
        <v>76</v>
      </c>
      <c r="B78" s="934" t="str">
        <f>Chem!B78</f>
        <v>Other SVOCs</v>
      </c>
      <c r="C78" s="31"/>
      <c r="D78" s="323"/>
      <c r="E78" s="31"/>
      <c r="F78" s="297"/>
      <c r="G78" s="647"/>
      <c r="H78" s="31"/>
      <c r="I78" s="31"/>
      <c r="J78" s="31"/>
      <c r="K78" s="648"/>
      <c r="L78" s="129"/>
      <c r="M78" s="1063"/>
    </row>
    <row r="79" spans="1:13" ht="13.9" customHeight="1" x14ac:dyDescent="0.25">
      <c r="A79" s="846">
        <f>Chem!A79</f>
        <v>77</v>
      </c>
      <c r="B79" s="931" t="str">
        <f>Chem!B79</f>
        <v>Aniline</v>
      </c>
      <c r="C79" s="929">
        <f>Param!J79</f>
        <v>1.3338000000000001</v>
      </c>
      <c r="D79" s="218" t="str">
        <f>'SD-Det'!Z79</f>
        <v>na</v>
      </c>
      <c r="E79" s="2101" t="str">
        <f>IF(OR($C79="na",$D79="na"),"na",IF($D79="PQL","TBD",$D79/(Eqtn!$D$237*($C79+Eqtn!$D$238))))</f>
        <v>na</v>
      </c>
      <c r="F79" s="298" t="str">
        <f>'SD-Det'!P79</f>
        <v>na</v>
      </c>
      <c r="G79" s="727" t="str">
        <f>IF(OR($C79="na",$F79="na"),"na",IF($F79="PQL","TBD",$F79/(Eqtn!$D$237*($C79+Eqtn!$D$238))))</f>
        <v>na</v>
      </c>
      <c r="H79" s="709" t="str">
        <f>'SD-Det'!AR79</f>
        <v>na</v>
      </c>
      <c r="I79" s="709" t="str">
        <f>IF(OR($C79="na",$H79="na"),"na",IF($H79="PQL","TBD",$H79/(Eqtn!$D$237*($C79+Eqtn!$D$238))))</f>
        <v>na</v>
      </c>
      <c r="J79" s="709"/>
      <c r="K79" s="710">
        <f>IF(OR($C79="na",$J79="na"),"na",IF($J79="PQL","TBD",$J79/(Eqtn!$D$237*($C79+Eqtn!$D$238))))</f>
        <v>0</v>
      </c>
      <c r="L79" s="322"/>
      <c r="M79" s="1062"/>
    </row>
    <row r="80" spans="1:13" ht="13.9" customHeight="1" x14ac:dyDescent="0.25">
      <c r="A80" s="847">
        <f>Chem!A80</f>
        <v>78</v>
      </c>
      <c r="B80" s="931" t="str">
        <f>Chem!B80</f>
        <v>Azobenzene</v>
      </c>
      <c r="C80" s="924">
        <f>Param!J80</f>
        <v>71.420999999999992</v>
      </c>
      <c r="D80" s="219" t="str">
        <f>'SD-Det'!Z80</f>
        <v>na</v>
      </c>
      <c r="E80" s="2092" t="str">
        <f>IF(OR($C80="na",$D80="na"),"na",IF($D80="PQL","TBD",$D80/(Eqtn!$D$237*($C80+Eqtn!$D$238))))</f>
        <v>na</v>
      </c>
      <c r="F80" s="273" t="str">
        <f>'SD-Det'!P80</f>
        <v>na</v>
      </c>
      <c r="G80" s="728" t="str">
        <f>IF(OR($C80="na",$F80="na"),"na",IF($F80="PQL","TBD",$F80/(Eqtn!$D$237*($C80+Eqtn!$D$238))))</f>
        <v>na</v>
      </c>
      <c r="H80" s="711" t="str">
        <f>'SD-Det'!AR80</f>
        <v>na</v>
      </c>
      <c r="I80" s="711" t="str">
        <f>IF(OR($C80="na",$H80="na"),"na",IF($H80="PQL","TBD",$H80/(Eqtn!$D$237*($C80+Eqtn!$D$238))))</f>
        <v>na</v>
      </c>
      <c r="J80" s="711"/>
      <c r="K80" s="712">
        <f>IF(OR($C80="na",$J80="na"),"na",IF($J80="PQL","TBD",$J80/(Eqtn!$D$237*($C80+Eqtn!$D$238))))</f>
        <v>0</v>
      </c>
      <c r="L80" s="322"/>
      <c r="M80" s="1062"/>
    </row>
    <row r="81" spans="1:13" ht="13.9" customHeight="1" x14ac:dyDescent="0.25">
      <c r="A81" s="847">
        <f>Chem!A81</f>
        <v>79</v>
      </c>
      <c r="B81" s="931" t="str">
        <f>Chem!B81</f>
        <v>Benzidine</v>
      </c>
      <c r="C81" s="924">
        <f>Param!J81</f>
        <v>22.61</v>
      </c>
      <c r="D81" s="219" t="str">
        <f>'SD-Det'!Z81</f>
        <v>na</v>
      </c>
      <c r="E81" s="2092" t="str">
        <f>IF(OR($C81="na",$D81="na"),"na",IF($D81="PQL","TBD",$D81/(Eqtn!$D$237*($C81+Eqtn!$D$238))))</f>
        <v>na</v>
      </c>
      <c r="F81" s="273" t="str">
        <f>'SD-Det'!P81</f>
        <v>na</v>
      </c>
      <c r="G81" s="728" t="str">
        <f>IF(OR($C81="na",$F81="na"),"na",IF($F81="PQL","TBD",$F81/(Eqtn!$D$237*($C81+Eqtn!$D$238))))</f>
        <v>na</v>
      </c>
      <c r="H81" s="711" t="str">
        <f>'SD-Det'!AR81</f>
        <v>na</v>
      </c>
      <c r="I81" s="711" t="str">
        <f>IF(OR($C81="na",$H81="na"),"na",IF($H81="PQL","TBD",$H81/(Eqtn!$D$237*($C81+Eqtn!$D$238))))</f>
        <v>na</v>
      </c>
      <c r="J81" s="711"/>
      <c r="K81" s="712">
        <f>IF(OR($C81="na",$J81="na"),"na",IF($J81="PQL","TBD",$J81/(Eqtn!$D$237*($C81+Eqtn!$D$238))))</f>
        <v>0</v>
      </c>
      <c r="L81" s="322"/>
      <c r="M81" s="1062"/>
    </row>
    <row r="82" spans="1:13" ht="13.9" customHeight="1" x14ac:dyDescent="0.25">
      <c r="A82" s="847">
        <f>Chem!A82</f>
        <v>80</v>
      </c>
      <c r="B82" s="931" t="str">
        <f>Chem!B82</f>
        <v>Benzoic acid</v>
      </c>
      <c r="C82" s="924">
        <f>Param!J82</f>
        <v>9.6139999999999993E-3</v>
      </c>
      <c r="D82" s="219">
        <f>'SD-Det'!Z82</f>
        <v>0.65</v>
      </c>
      <c r="E82" s="2092">
        <f>IF(OR($C82="na",$D82="na"),"na",IF($D82="PQL","TBD",$D82/(Eqtn!$D$237*($C82+Eqtn!$D$238))))</f>
        <v>1061.1288990245105</v>
      </c>
      <c r="F82" s="273">
        <f>'SD-Det'!P82</f>
        <v>0.65</v>
      </c>
      <c r="G82" s="728">
        <f>IF(OR($C82="na",$F82="na"),"na",IF($F82="PQL","TBD",$F82/(Eqtn!$D$237*($C82+Eqtn!$D$238))))</f>
        <v>1061.1288990245105</v>
      </c>
      <c r="H82" s="711">
        <f>'SD-Det'!AR82</f>
        <v>0.65</v>
      </c>
      <c r="I82" s="711">
        <f>IF(OR($C82="na",$H82="na"),"na",IF($H82="PQL","TBD",$H82/(Eqtn!$D$237*($C82+Eqtn!$D$238))))</f>
        <v>1061.1288990245105</v>
      </c>
      <c r="J82" s="711"/>
      <c r="K82" s="712">
        <f>IF(OR($C82="na",$J82="na"),"na",IF($J82="PQL","TBD",$J82/(Eqtn!$D$237*($C82+Eqtn!$D$238))))</f>
        <v>0</v>
      </c>
      <c r="L82" s="322"/>
      <c r="M82" s="1062"/>
    </row>
    <row r="83" spans="1:13" ht="13.9" customHeight="1" x14ac:dyDescent="0.25">
      <c r="A83" s="847">
        <f>Chem!A83</f>
        <v>81</v>
      </c>
      <c r="B83" s="931" t="str">
        <f>Chem!B83</f>
        <v>Benzyl alcohol</v>
      </c>
      <c r="C83" s="924">
        <f>Param!J83</f>
        <v>0.40849999999999997</v>
      </c>
      <c r="D83" s="219">
        <f>'SD-Det'!Z83</f>
        <v>5.7000000000000002E-2</v>
      </c>
      <c r="E83" s="2092">
        <f>IF(OR($C83="na",$D83="na"),"na",IF($D83="PQL","TBD",$D83/(Eqtn!$D$237*($C83+Eqtn!$D$238))))</f>
        <v>56.355229870016579</v>
      </c>
      <c r="F83" s="273">
        <f>'SD-Det'!P83</f>
        <v>7.2999999999999995E-2</v>
      </c>
      <c r="G83" s="728">
        <f>IF(OR($C83="na",$F83="na"),"na",IF($F83="PQL","TBD",$F83/(Eqtn!$D$237*($C83+Eqtn!$D$238))))</f>
        <v>72.174241763354559</v>
      </c>
      <c r="H83" s="711">
        <f>'SD-Det'!AR83</f>
        <v>5.7000000000000002E-2</v>
      </c>
      <c r="I83" s="711">
        <f>IF(OR($C83="na",$H83="na"),"na",IF($H83="PQL","TBD",$H83/(Eqtn!$D$237*($C83+Eqtn!$D$238))))</f>
        <v>56.355229870016579</v>
      </c>
      <c r="J83" s="711"/>
      <c r="K83" s="712">
        <f>IF(OR($C83="na",$J83="na"),"na",IF($J83="PQL","TBD",$J83/(Eqtn!$D$237*($C83+Eqtn!$D$238))))</f>
        <v>0</v>
      </c>
      <c r="L83" s="322"/>
      <c r="M83" s="1062"/>
    </row>
    <row r="84" spans="1:13" ht="13.9" customHeight="1" x14ac:dyDescent="0.25">
      <c r="A84" s="847">
        <f>Chem!A84</f>
        <v>82</v>
      </c>
      <c r="B84" s="931" t="str">
        <f>Chem!B84</f>
        <v>Bis(2-chloroethoxy)methane</v>
      </c>
      <c r="C84" s="924">
        <f>Param!J84</f>
        <v>0.27360000000000001</v>
      </c>
      <c r="D84" s="219" t="str">
        <f>'SD-Det'!Z84</f>
        <v>na</v>
      </c>
      <c r="E84" s="2092" t="str">
        <f>IF(OR($C84="na",$D84="na"),"na",IF($D84="PQL","TBD",$D84/(Eqtn!$D$237*($C84+Eqtn!$D$238))))</f>
        <v>na</v>
      </c>
      <c r="F84" s="273" t="str">
        <f>'SD-Det'!P84</f>
        <v>na</v>
      </c>
      <c r="G84" s="728" t="str">
        <f>IF(OR($C84="na",$F84="na"),"na",IF($F84="PQL","TBD",$F84/(Eqtn!$D$237*($C84+Eqtn!$D$238))))</f>
        <v>na</v>
      </c>
      <c r="H84" s="711" t="str">
        <f>'SD-Det'!AR84</f>
        <v>na</v>
      </c>
      <c r="I84" s="711" t="str">
        <f>IF(OR($C84="na",$H84="na"),"na",IF($H84="PQL","TBD",$H84/(Eqtn!$D$237*($C84+Eqtn!$D$238))))</f>
        <v>na</v>
      </c>
      <c r="J84" s="711"/>
      <c r="K84" s="712">
        <f>IF(OR($C84="na",$J84="na"),"na",IF($J84="PQL","TBD",$J84/(Eqtn!$D$237*($C84+Eqtn!$D$238))))</f>
        <v>0</v>
      </c>
      <c r="L84" s="322"/>
      <c r="M84" s="1062"/>
    </row>
    <row r="85" spans="1:13" ht="13.9" customHeight="1" x14ac:dyDescent="0.25">
      <c r="A85" s="847">
        <f>Chem!A85</f>
        <v>83</v>
      </c>
      <c r="B85" s="931" t="str">
        <f>Chem!B85</f>
        <v>Bis(2-chloroethyl)ether</v>
      </c>
      <c r="C85" s="924">
        <f>Param!J85</f>
        <v>1.444</v>
      </c>
      <c r="D85" s="219" t="str">
        <f>'SD-Det'!Z85</f>
        <v>na</v>
      </c>
      <c r="E85" s="2092" t="str">
        <f>IF(OR($C85="na",$D85="na"),"na",IF($D85="PQL","TBD",$D85/(Eqtn!$D$237*($C85+Eqtn!$D$238))))</f>
        <v>na</v>
      </c>
      <c r="F85" s="273" t="str">
        <f>'SD-Det'!P85</f>
        <v>na</v>
      </c>
      <c r="G85" s="728" t="str">
        <f>IF(OR($C85="na",$F85="na"),"na",IF($F85="PQL","TBD",$F85/(Eqtn!$D$237*($C85+Eqtn!$D$238))))</f>
        <v>na</v>
      </c>
      <c r="H85" s="711" t="str">
        <f>'SD-Det'!AR85</f>
        <v>na</v>
      </c>
      <c r="I85" s="711" t="str">
        <f>IF(OR($C85="na",$H85="na"),"na",IF($H85="PQL","TBD",$H85/(Eqtn!$D$237*($C85+Eqtn!$D$238))))</f>
        <v>na</v>
      </c>
      <c r="J85" s="711"/>
      <c r="K85" s="712">
        <f>IF(OR($C85="na",$J85="na"),"na",IF($J85="PQL","TBD",$J85/(Eqtn!$D$237*($C85+Eqtn!$D$238))))</f>
        <v>0</v>
      </c>
      <c r="L85" s="322"/>
      <c r="M85" s="1062"/>
    </row>
    <row r="86" spans="1:13" ht="13.9" customHeight="1" x14ac:dyDescent="0.25">
      <c r="A86" s="847">
        <f>Chem!A86</f>
        <v>84</v>
      </c>
      <c r="B86" s="931" t="str">
        <f>Chem!B86</f>
        <v>Bis(chloromethyl)ether</v>
      </c>
      <c r="C86" s="924">
        <f>Param!J86</f>
        <v>0.18429999999999999</v>
      </c>
      <c r="D86" s="219" t="str">
        <f>'SD-Det'!Z86</f>
        <v>na</v>
      </c>
      <c r="E86" s="2092" t="str">
        <f>IF(OR($C86="na",$D86="na"),"na",IF($D86="PQL","TBD",$D86/(Eqtn!$D$237*($C86+Eqtn!$D$238))))</f>
        <v>na</v>
      </c>
      <c r="F86" s="273" t="str">
        <f>'SD-Det'!P86</f>
        <v>na</v>
      </c>
      <c r="G86" s="728" t="str">
        <f>IF(OR($C86="na",$F86="na"),"na",IF($F86="PQL","TBD",$F86/(Eqtn!$D$237*($C86+Eqtn!$D$238))))</f>
        <v>na</v>
      </c>
      <c r="H86" s="711" t="str">
        <f>'SD-Det'!AR86</f>
        <v>na</v>
      </c>
      <c r="I86" s="711" t="str">
        <f>IF(OR($C86="na",$H86="na"),"na",IF($H86="PQL","TBD",$H86/(Eqtn!$D$237*($C86+Eqtn!$D$238))))</f>
        <v>na</v>
      </c>
      <c r="J86" s="711"/>
      <c r="K86" s="712">
        <f>IF(OR($C86="na",$J86="na"),"na",IF($J86="PQL","TBD",$J86/(Eqtn!$D$237*($C86+Eqtn!$D$238))))</f>
        <v>0</v>
      </c>
      <c r="L86" s="322"/>
      <c r="M86" s="1062"/>
    </row>
    <row r="87" spans="1:13" ht="13.9" customHeight="1" x14ac:dyDescent="0.25">
      <c r="A87" s="847">
        <f>Chem!A87</f>
        <v>85</v>
      </c>
      <c r="B87" s="931" t="str">
        <f>Chem!B87</f>
        <v xml:space="preserve">Bis(2-chloro-1-methylethyl)ether </v>
      </c>
      <c r="C87" s="924">
        <f>Param!J87</f>
        <v>1.5751000000000002</v>
      </c>
      <c r="D87" s="219" t="str">
        <f>'SD-Det'!Z87</f>
        <v>na</v>
      </c>
      <c r="E87" s="2092" t="str">
        <f>IF(OR($C87="na",$D87="na"),"na",IF($D87="PQL","TBD",$D87/(Eqtn!$D$237*($C87+Eqtn!$D$238))))</f>
        <v>na</v>
      </c>
      <c r="F87" s="273" t="str">
        <f>'SD-Det'!P87</f>
        <v>na</v>
      </c>
      <c r="G87" s="728" t="str">
        <f>IF(OR($C87="na",$F87="na"),"na",IF($F87="PQL","TBD",$F87/(Eqtn!$D$237*($C87+Eqtn!$D$238))))</f>
        <v>na</v>
      </c>
      <c r="H87" s="711" t="str">
        <f>'SD-Det'!AR87</f>
        <v>na</v>
      </c>
      <c r="I87" s="711" t="str">
        <f>IF(OR($C87="na",$H87="na"),"na",IF($H87="PQL","TBD",$H87/(Eqtn!$D$237*($C87+Eqtn!$D$238))))</f>
        <v>na</v>
      </c>
      <c r="J87" s="711"/>
      <c r="K87" s="712">
        <f>IF(OR($C87="na",$J87="na"),"na",IF($J87="PQL","TBD",$J87/(Eqtn!$D$237*($C87+Eqtn!$D$238))))</f>
        <v>0</v>
      </c>
      <c r="L87" s="322"/>
      <c r="M87" s="1062"/>
    </row>
    <row r="88" spans="1:13" ht="13.9" customHeight="1" x14ac:dyDescent="0.25">
      <c r="A88" s="847">
        <f>Chem!A88</f>
        <v>86</v>
      </c>
      <c r="B88" s="931" t="str">
        <f>Chem!B88</f>
        <v>2,6-Bis(1,1-dimethylethyl) phenol</v>
      </c>
      <c r="C88" s="924" t="str">
        <f>Param!J88</f>
        <v>na</v>
      </c>
      <c r="D88" s="219" t="str">
        <f>'SD-Det'!Z88</f>
        <v>na</v>
      </c>
      <c r="E88" s="2092" t="str">
        <f>IF(OR($C88="na",$D88="na"),"na",IF($D88="PQL","TBD",$D88/(Eqtn!$D$237*($C88+Eqtn!$D$238))))</f>
        <v>na</v>
      </c>
      <c r="F88" s="273" t="str">
        <f>'SD-Det'!P88</f>
        <v>na</v>
      </c>
      <c r="G88" s="728" t="str">
        <f>IF(OR($C88="na",$F88="na"),"na",IF($F88="PQL","TBD",$F88/(Eqtn!$D$237*($C88+Eqtn!$D$238))))</f>
        <v>na</v>
      </c>
      <c r="H88" s="711" t="str">
        <f>'SD-Det'!AR88</f>
        <v>na</v>
      </c>
      <c r="I88" s="711" t="str">
        <f>IF(OR($C88="na",$H88="na"),"na",IF($H88="PQL","TBD",$H88/(Eqtn!$D$237*($C88+Eqtn!$D$238))))</f>
        <v>na</v>
      </c>
      <c r="J88" s="711"/>
      <c r="K88" s="712" t="str">
        <f>IF(OR($C88="na",$J88="na"),"na",IF($J88="PQL","TBD",$J88/(Eqtn!$D$237*($C88+Eqtn!$D$238))))</f>
        <v>na</v>
      </c>
      <c r="L88" s="322"/>
      <c r="M88" s="1062"/>
    </row>
    <row r="89" spans="1:13" ht="13.9" customHeight="1" x14ac:dyDescent="0.25">
      <c r="A89" s="847">
        <f>Chem!A89</f>
        <v>87</v>
      </c>
      <c r="B89" s="931" t="str">
        <f>Chem!B89</f>
        <v>Bis(2-ethylhexyl) phthalate</v>
      </c>
      <c r="C89" s="924">
        <f>Param!J89</f>
        <v>2109</v>
      </c>
      <c r="D89" s="219">
        <f>'SD-Det'!Z89</f>
        <v>1.3</v>
      </c>
      <c r="E89" s="2092">
        <f>IF(OR($C89="na",$D89="na"),"na",IF($D89="PQL","TBD",$D89/(Eqtn!$D$237*($C89+Eqtn!$D$238))))</f>
        <v>0.61622970589670478</v>
      </c>
      <c r="F89" s="273">
        <f>'SD-Det'!P89</f>
        <v>1.9</v>
      </c>
      <c r="G89" s="728">
        <f>IF(OR($C89="na",$F89="na"),"na",IF($F89="PQL","TBD",$F89/(Eqtn!$D$237*($C89+Eqtn!$D$238))))</f>
        <v>0.90064341631056855</v>
      </c>
      <c r="H89" s="711">
        <f>'SD-Det'!AR89</f>
        <v>1.3</v>
      </c>
      <c r="I89" s="711">
        <f>IF(OR($C89="na",$H89="na"),"na",IF($H89="PQL","TBD",$H89/(Eqtn!$D$237*($C89+Eqtn!$D$238))))</f>
        <v>0.61622970589670478</v>
      </c>
      <c r="J89" s="711"/>
      <c r="K89" s="712">
        <f>IF(OR($C89="na",$J89="na"),"na",IF($J89="PQL","TBD",$J89/(Eqtn!$D$237*($C89+Eqtn!$D$238))))</f>
        <v>0</v>
      </c>
      <c r="L89" s="322"/>
      <c r="M89" s="1062"/>
    </row>
    <row r="90" spans="1:13" ht="13.9" customHeight="1" x14ac:dyDescent="0.25">
      <c r="A90" s="847">
        <f>Chem!A90</f>
        <v>88</v>
      </c>
      <c r="B90" s="931" t="str">
        <f>Chem!B90</f>
        <v>4-Bromophenyl phenyl ether</v>
      </c>
      <c r="C90" s="924" t="str">
        <f>Param!J90</f>
        <v>na</v>
      </c>
      <c r="D90" s="219" t="str">
        <f>'SD-Det'!Z90</f>
        <v>na</v>
      </c>
      <c r="E90" s="2092" t="str">
        <f>IF(OR($C90="na",$D90="na"),"na",IF($D90="PQL","TBD",$D90/(Eqtn!$D$237*($C90+Eqtn!$D$238))))</f>
        <v>na</v>
      </c>
      <c r="F90" s="273" t="str">
        <f>'SD-Det'!P90</f>
        <v>na</v>
      </c>
      <c r="G90" s="728" t="str">
        <f>IF(OR($C90="na",$F90="na"),"na",IF($F90="PQL","TBD",$F90/(Eqtn!$D$237*($C90+Eqtn!$D$238))))</f>
        <v>na</v>
      </c>
      <c r="H90" s="711" t="str">
        <f>'SD-Det'!AR90</f>
        <v>na</v>
      </c>
      <c r="I90" s="711" t="str">
        <f>IF(OR($C90="na",$H90="na"),"na",IF($H90="PQL","TBD",$H90/(Eqtn!$D$237*($C90+Eqtn!$D$238))))</f>
        <v>na</v>
      </c>
      <c r="J90" s="711"/>
      <c r="K90" s="712" t="str">
        <f>IF(OR($C90="na",$J90="na"),"na",IF($J90="PQL","TBD",$J90/(Eqtn!$D$237*($C90+Eqtn!$D$238))))</f>
        <v>na</v>
      </c>
      <c r="L90" s="322"/>
      <c r="M90" s="1062"/>
    </row>
    <row r="91" spans="1:13" ht="13.9" customHeight="1" x14ac:dyDescent="0.25">
      <c r="A91" s="847">
        <f>Chem!A91</f>
        <v>89</v>
      </c>
      <c r="B91" s="931" t="str">
        <f>Chem!B91</f>
        <v>Butyl benzyl phthalate</v>
      </c>
      <c r="C91" s="924">
        <f>Param!J91</f>
        <v>260.3</v>
      </c>
      <c r="D91" s="219">
        <f>'SD-Det'!Z91</f>
        <v>6.3E-2</v>
      </c>
      <c r="E91" s="2092">
        <f>IF(OR($C91="na",$D91="na"),"na",IF($D91="PQL","TBD",$D91/(Eqtn!$D$237*($C91+Eqtn!$D$238))))</f>
        <v>0.24146910615847675</v>
      </c>
      <c r="F91" s="273">
        <f>'SD-Det'!P91</f>
        <v>0.9</v>
      </c>
      <c r="G91" s="728">
        <f>IF(OR($C91="na",$F91="na"),"na",IF($F91="PQL","TBD",$F91/(Eqtn!$D$237*($C91+Eqtn!$D$238))))</f>
        <v>3.4495586594068111</v>
      </c>
      <c r="H91" s="711">
        <f>'SD-Det'!AR91</f>
        <v>6.3E-2</v>
      </c>
      <c r="I91" s="711">
        <f>IF(OR($C91="na",$H91="na"),"na",IF($H91="PQL","TBD",$H91/(Eqtn!$D$237*($C91+Eqtn!$D$238))))</f>
        <v>0.24146910615847675</v>
      </c>
      <c r="J91" s="711"/>
      <c r="K91" s="712">
        <f>IF(OR($C91="na",$J91="na"),"na",IF($J91="PQL","TBD",$J91/(Eqtn!$D$237*($C91+Eqtn!$D$238))))</f>
        <v>0</v>
      </c>
      <c r="L91" s="322"/>
      <c r="M91" s="1062"/>
    </row>
    <row r="92" spans="1:13" ht="13.9" customHeight="1" x14ac:dyDescent="0.25">
      <c r="A92" s="847">
        <f>Chem!A92</f>
        <v>90</v>
      </c>
      <c r="B92" s="931" t="str">
        <f>Chem!B92</f>
        <v>Butyl diphenyl phosphate</v>
      </c>
      <c r="C92" s="924" t="str">
        <f>Param!J92</f>
        <v>na</v>
      </c>
      <c r="D92" s="219" t="str">
        <f>'SD-Det'!Z92</f>
        <v>na</v>
      </c>
      <c r="E92" s="2092" t="str">
        <f>IF(OR($C92="na",$D92="na"),"na",IF($D92="PQL","TBD",$D92/(Eqtn!$D$237*($C92+Eqtn!$D$238))))</f>
        <v>na</v>
      </c>
      <c r="F92" s="273" t="str">
        <f>'SD-Det'!P92</f>
        <v>na</v>
      </c>
      <c r="G92" s="728" t="str">
        <f>IF(OR($C92="na",$F92="na"),"na",IF($F92="PQL","TBD",$F92/(Eqtn!$D$237*($C92+Eqtn!$D$238))))</f>
        <v>na</v>
      </c>
      <c r="H92" s="711" t="str">
        <f>'SD-Det'!AR92</f>
        <v>na</v>
      </c>
      <c r="I92" s="711" t="str">
        <f>IF(OR($C92="na",$H92="na"),"na",IF($H92="PQL","TBD",$H92/(Eqtn!$D$237*($C92+Eqtn!$D$238))))</f>
        <v>na</v>
      </c>
      <c r="J92" s="711"/>
      <c r="K92" s="712" t="str">
        <f>IF(OR($C92="na",$J92="na"),"na",IF($J92="PQL","TBD",$J92/(Eqtn!$D$237*($C92+Eqtn!$D$238))))</f>
        <v>na</v>
      </c>
      <c r="L92" s="322"/>
      <c r="M92" s="1062"/>
    </row>
    <row r="93" spans="1:13" ht="13.9" customHeight="1" x14ac:dyDescent="0.25">
      <c r="A93" s="847">
        <f>Chem!A93</f>
        <v>91</v>
      </c>
      <c r="B93" s="931" t="str">
        <f>Chem!B93</f>
        <v>Carbazole</v>
      </c>
      <c r="C93" s="924" t="str">
        <f>Param!J93</f>
        <v>na</v>
      </c>
      <c r="D93" s="219" t="str">
        <f>'SD-Det'!Z93</f>
        <v>na</v>
      </c>
      <c r="E93" s="2092" t="str">
        <f>IF(OR($C93="na",$D93="na"),"na",IF($D93="PQL","TBD",$D93/(Eqtn!$D$237*($C93+Eqtn!$D$238))))</f>
        <v>na</v>
      </c>
      <c r="F93" s="273" t="str">
        <f>'SD-Det'!P93</f>
        <v>na</v>
      </c>
      <c r="G93" s="728" t="str">
        <f>IF(OR($C93="na",$F93="na"),"na",IF($F93="PQL","TBD",$F93/(Eqtn!$D$237*($C93+Eqtn!$D$238))))</f>
        <v>na</v>
      </c>
      <c r="H93" s="711" t="str">
        <f>'SD-Det'!AR93</f>
        <v>na</v>
      </c>
      <c r="I93" s="711" t="str">
        <f>IF(OR($C93="na",$H93="na"),"na",IF($H93="PQL","TBD",$H93/(Eqtn!$D$237*($C93+Eqtn!$D$238))))</f>
        <v>na</v>
      </c>
      <c r="J93" s="711"/>
      <c r="K93" s="712" t="str">
        <f>IF(OR($C93="na",$J93="na"),"na",IF($J93="PQL","TBD",$J93/(Eqtn!$D$237*($C93+Eqtn!$D$238))))</f>
        <v>na</v>
      </c>
      <c r="L93" s="322"/>
      <c r="M93" s="1062"/>
    </row>
    <row r="94" spans="1:13" ht="13.9" customHeight="1" x14ac:dyDescent="0.25">
      <c r="A94" s="847">
        <f>Chem!A94</f>
        <v>92</v>
      </c>
      <c r="B94" s="931" t="str">
        <f>Chem!B94</f>
        <v>4-Chloroaniline</v>
      </c>
      <c r="C94" s="924">
        <f>Param!J94</f>
        <v>2.1469999999999998</v>
      </c>
      <c r="D94" s="219" t="str">
        <f>'SD-Det'!Z94</f>
        <v>na</v>
      </c>
      <c r="E94" s="2092" t="str">
        <f>IF(OR($C94="na",$D94="na"),"na",IF($D94="PQL","TBD",$D94/(Eqtn!$D$237*($C94+Eqtn!$D$238))))</f>
        <v>na</v>
      </c>
      <c r="F94" s="273" t="str">
        <f>'SD-Det'!P94</f>
        <v>na</v>
      </c>
      <c r="G94" s="728" t="str">
        <f>IF(OR($C94="na",$F94="na"),"na",IF($F94="PQL","TBD",$F94/(Eqtn!$D$237*($C94+Eqtn!$D$238))))</f>
        <v>na</v>
      </c>
      <c r="H94" s="711" t="str">
        <f>'SD-Det'!AR94</f>
        <v>na</v>
      </c>
      <c r="I94" s="711" t="str">
        <f>IF(OR($C94="na",$H94="na"),"na",IF($H94="PQL","TBD",$H94/(Eqtn!$D$237*($C94+Eqtn!$D$238))))</f>
        <v>na</v>
      </c>
      <c r="J94" s="711"/>
      <c r="K94" s="712">
        <f>IF(OR($C94="na",$J94="na"),"na",IF($J94="PQL","TBD",$J94/(Eqtn!$D$237*($C94+Eqtn!$D$238))))</f>
        <v>0</v>
      </c>
      <c r="L94" s="322"/>
      <c r="M94" s="1062"/>
    </row>
    <row r="95" spans="1:13" ht="13.9" customHeight="1" x14ac:dyDescent="0.25">
      <c r="A95" s="847">
        <f>Chem!A95</f>
        <v>93</v>
      </c>
      <c r="B95" s="931" t="str">
        <f>Chem!B95</f>
        <v>4-Chloro-3-methylphenol (chlorocresol)</v>
      </c>
      <c r="C95" s="924">
        <f>Param!J95</f>
        <v>9.347999999999999</v>
      </c>
      <c r="D95" s="219" t="str">
        <f>'SD-Det'!Z95</f>
        <v>na</v>
      </c>
      <c r="E95" s="2092" t="str">
        <f>IF(OR($C95="na",$D95="na"),"na",IF($D95="PQL","TBD",$D95/(Eqtn!$D$237*($C95+Eqtn!$D$238))))</f>
        <v>na</v>
      </c>
      <c r="F95" s="273" t="str">
        <f>'SD-Det'!P95</f>
        <v>na</v>
      </c>
      <c r="G95" s="728" t="str">
        <f>IF(OR($C95="na",$F95="na"),"na",IF($F95="PQL","TBD",$F95/(Eqtn!$D$237*($C95+Eqtn!$D$238))))</f>
        <v>na</v>
      </c>
      <c r="H95" s="711" t="str">
        <f>'SD-Det'!AR95</f>
        <v>na</v>
      </c>
      <c r="I95" s="711" t="str">
        <f>IF(OR($C95="na",$H95="na"),"na",IF($H95="PQL","TBD",$H95/(Eqtn!$D$237*($C95+Eqtn!$D$238))))</f>
        <v>na</v>
      </c>
      <c r="J95" s="711"/>
      <c r="K95" s="712">
        <f>IF(OR($C95="na",$J95="na"),"na",IF($J95="PQL","TBD",$J95/(Eqtn!$D$237*($C95+Eqtn!$D$238))))</f>
        <v>0</v>
      </c>
      <c r="L95" s="322"/>
      <c r="M95" s="1062"/>
    </row>
    <row r="96" spans="1:13" ht="13.9" customHeight="1" x14ac:dyDescent="0.25">
      <c r="A96" s="847">
        <f>Chem!A96</f>
        <v>94</v>
      </c>
      <c r="B96" s="931" t="str">
        <f>Chem!B96</f>
        <v>2-Chloronaphthalene (beta-)</v>
      </c>
      <c r="C96" s="924">
        <f>Param!J96</f>
        <v>47.12</v>
      </c>
      <c r="D96" s="219" t="str">
        <f>'SD-Det'!Z96</f>
        <v>na</v>
      </c>
      <c r="E96" s="2092" t="str">
        <f>IF(OR($C96="na",$D96="na"),"na",IF($D96="PQL","TBD",$D96/(Eqtn!$D$237*($C96+Eqtn!$D$238))))</f>
        <v>na</v>
      </c>
      <c r="F96" s="273" t="str">
        <f>'SD-Det'!P96</f>
        <v>na</v>
      </c>
      <c r="G96" s="728" t="str">
        <f>IF(OR($C96="na",$F96="na"),"na",IF($F96="PQL","TBD",$F96/(Eqtn!$D$237*($C96+Eqtn!$D$238))))</f>
        <v>na</v>
      </c>
      <c r="H96" s="711" t="str">
        <f>'SD-Det'!AR96</f>
        <v>na</v>
      </c>
      <c r="I96" s="711" t="str">
        <f>IF(OR($C96="na",$H96="na"),"na",IF($H96="PQL","TBD",$H96/(Eqtn!$D$237*($C96+Eqtn!$D$238))))</f>
        <v>na</v>
      </c>
      <c r="J96" s="711"/>
      <c r="K96" s="712">
        <f>IF(OR($C96="na",$J96="na"),"na",IF($J96="PQL","TBD",$J96/(Eqtn!$D$237*($C96+Eqtn!$D$238))))</f>
        <v>0</v>
      </c>
      <c r="L96" s="322"/>
      <c r="M96" s="1062"/>
    </row>
    <row r="97" spans="1:13" ht="13.9" customHeight="1" x14ac:dyDescent="0.25">
      <c r="A97" s="847">
        <f>Chem!A97</f>
        <v>95</v>
      </c>
      <c r="B97" s="931" t="str">
        <f>Chem!B97</f>
        <v>2-Chlorophenol</v>
      </c>
      <c r="C97" s="924">
        <f>Param!J97</f>
        <v>5.4340000000000002</v>
      </c>
      <c r="D97" s="219" t="str">
        <f>'SD-Det'!Z97</f>
        <v>na</v>
      </c>
      <c r="E97" s="2092" t="str">
        <f>IF(OR($C97="na",$D97="na"),"na",IF($D97="PQL","TBD",$D97/(Eqtn!$D$237*($C97+Eqtn!$D$238))))</f>
        <v>na</v>
      </c>
      <c r="F97" s="273" t="str">
        <f>'SD-Det'!P97</f>
        <v>na</v>
      </c>
      <c r="G97" s="728" t="str">
        <f>IF(OR($C97="na",$F97="na"),"na",IF($F97="PQL","TBD",$F97/(Eqtn!$D$237*($C97+Eqtn!$D$238))))</f>
        <v>na</v>
      </c>
      <c r="H97" s="711" t="str">
        <f>'SD-Det'!AR97</f>
        <v>na</v>
      </c>
      <c r="I97" s="711" t="str">
        <f>IF(OR($C97="na",$H97="na"),"na",IF($H97="PQL","TBD",$H97/(Eqtn!$D$237*($C97+Eqtn!$D$238))))</f>
        <v>na</v>
      </c>
      <c r="J97" s="711"/>
      <c r="K97" s="712">
        <f>IF(OR($C97="na",$J97="na"),"na",IF($J97="PQL","TBD",$J97/(Eqtn!$D$237*($C97+Eqtn!$D$238))))</f>
        <v>0</v>
      </c>
      <c r="L97" s="322"/>
      <c r="M97" s="1062"/>
    </row>
    <row r="98" spans="1:13" ht="13.9" customHeight="1" x14ac:dyDescent="0.25">
      <c r="A98" s="847">
        <f>Chem!A98</f>
        <v>96</v>
      </c>
      <c r="B98" s="931" t="str">
        <f>Chem!B98</f>
        <v>4-Chlorophenyl phenyl ether</v>
      </c>
      <c r="C98" s="924" t="str">
        <f>Param!J98</f>
        <v>na</v>
      </c>
      <c r="D98" s="219" t="str">
        <f>'SD-Det'!Z98</f>
        <v>na</v>
      </c>
      <c r="E98" s="2092" t="str">
        <f>IF(OR($C98="na",$D98="na"),"na",IF($D98="PQL","TBD",$D98/(Eqtn!$D$237*($C98+Eqtn!$D$238))))</f>
        <v>na</v>
      </c>
      <c r="F98" s="273" t="str">
        <f>'SD-Det'!P98</f>
        <v>na</v>
      </c>
      <c r="G98" s="728" t="str">
        <f>IF(OR($C98="na",$F98="na"),"na",IF($F98="PQL","TBD",$F98/(Eqtn!$D$237*($C98+Eqtn!$D$238))))</f>
        <v>na</v>
      </c>
      <c r="H98" s="711" t="str">
        <f>'SD-Det'!AR98</f>
        <v>na</v>
      </c>
      <c r="I98" s="711" t="str">
        <f>IF(OR($C98="na",$H98="na"),"na",IF($H98="PQL","TBD",$H98/(Eqtn!$D$237*($C98+Eqtn!$D$238))))</f>
        <v>na</v>
      </c>
      <c r="J98" s="711"/>
      <c r="K98" s="712" t="str">
        <f>IF(OR($C98="na",$J98="na"),"na",IF($J98="PQL","TBD",$J98/(Eqtn!$D$237*($C98+Eqtn!$D$238))))</f>
        <v>na</v>
      </c>
      <c r="L98" s="322"/>
      <c r="M98" s="1062"/>
    </row>
    <row r="99" spans="1:13" ht="13.9" customHeight="1" x14ac:dyDescent="0.25">
      <c r="A99" s="847">
        <f>Chem!A99</f>
        <v>97</v>
      </c>
      <c r="B99" s="931" t="str">
        <f>Chem!B99</f>
        <v>Dibutyl phthalate</v>
      </c>
      <c r="C99" s="924">
        <f>Param!J99</f>
        <v>29.83</v>
      </c>
      <c r="D99" s="219">
        <f>'SD-Det'!Z99</f>
        <v>1.4</v>
      </c>
      <c r="E99" s="2092">
        <f>IF(OR($C99="na",$D99="na"),"na",IF($D99="PQL","TBD",$D99/(Eqtn!$D$237*($C99+Eqtn!$D$238))))</f>
        <v>46.00278336168239</v>
      </c>
      <c r="F99" s="273">
        <f>'SD-Det'!P99</f>
        <v>1.4</v>
      </c>
      <c r="G99" s="728">
        <f>IF(OR($C99="na",$F99="na"),"na",IF($F99="PQL","TBD",$F99/(Eqtn!$D$237*($C99+Eqtn!$D$238))))</f>
        <v>46.00278336168239</v>
      </c>
      <c r="H99" s="711" t="str">
        <f>'SD-Det'!AR99</f>
        <v>na</v>
      </c>
      <c r="I99" s="711" t="str">
        <f>IF(OR($C99="na",$H99="na"),"na",IF($H99="PQL","TBD",$H99/(Eqtn!$D$237*($C99+Eqtn!$D$238))))</f>
        <v>na</v>
      </c>
      <c r="J99" s="711"/>
      <c r="K99" s="712">
        <f>IF(OR($C99="na",$J99="na"),"na",IF($J99="PQL","TBD",$J99/(Eqtn!$D$237*($C99+Eqtn!$D$238))))</f>
        <v>0</v>
      </c>
      <c r="L99" s="322"/>
      <c r="M99" s="1062"/>
    </row>
    <row r="100" spans="1:13" ht="13.9" customHeight="1" x14ac:dyDescent="0.25">
      <c r="A100" s="847">
        <f>Chem!A100</f>
        <v>98</v>
      </c>
      <c r="B100" s="931" t="str">
        <f>Chem!B100</f>
        <v>Dibutyl phenyl phosphate</v>
      </c>
      <c r="C100" s="924" t="str">
        <f>Param!J100</f>
        <v>na</v>
      </c>
      <c r="D100" s="219" t="str">
        <f>'SD-Det'!Z100</f>
        <v>na</v>
      </c>
      <c r="E100" s="2092" t="str">
        <f>IF(OR($C100="na",$D100="na"),"na",IF($D100="PQL","TBD",$D100/(Eqtn!$D$237*($C100+Eqtn!$D$238))))</f>
        <v>na</v>
      </c>
      <c r="F100" s="273" t="str">
        <f>'SD-Det'!P100</f>
        <v>na</v>
      </c>
      <c r="G100" s="728" t="str">
        <f>IF(OR($C100="na",$F100="na"),"na",IF($F100="PQL","TBD",$F100/(Eqtn!$D$237*($C100+Eqtn!$D$238))))</f>
        <v>na</v>
      </c>
      <c r="H100" s="711" t="str">
        <f>'SD-Det'!AR100</f>
        <v>na</v>
      </c>
      <c r="I100" s="711" t="str">
        <f>IF(OR($C100="na",$H100="na"),"na",IF($H100="PQL","TBD",$H100/(Eqtn!$D$237*($C100+Eqtn!$D$238))))</f>
        <v>na</v>
      </c>
      <c r="J100" s="711"/>
      <c r="K100" s="712" t="str">
        <f>IF(OR($C100="na",$J100="na"),"na",IF($J100="PQL","TBD",$J100/(Eqtn!$D$237*($C100+Eqtn!$D$238))))</f>
        <v>na</v>
      </c>
      <c r="L100" s="322"/>
      <c r="M100" s="1062"/>
    </row>
    <row r="101" spans="1:13" ht="13.9" customHeight="1" x14ac:dyDescent="0.25">
      <c r="A101" s="847">
        <f>Chem!A101</f>
        <v>99</v>
      </c>
      <c r="B101" s="931" t="str">
        <f>Chem!B101</f>
        <v>1,2-Dichlorobenzene</v>
      </c>
      <c r="C101" s="924">
        <f>Param!J101</f>
        <v>7.2009999999999996</v>
      </c>
      <c r="D101" s="219">
        <f>'SD-Det'!Z101</f>
        <v>3.5000000000000003E-2</v>
      </c>
      <c r="E101" s="2092">
        <f>IF(OR($C101="na",$D101="na"),"na",IF($D101="PQL","TBD",$D101/(Eqtn!$D$237*($C101+Eqtn!$D$238))))</f>
        <v>4.48491335448906</v>
      </c>
      <c r="F101" s="273">
        <f>'SD-Det'!P101</f>
        <v>0.05</v>
      </c>
      <c r="G101" s="728">
        <f>IF(OR($C101="na",$F101="na"),"na",IF($F101="PQL","TBD",$F101/(Eqtn!$D$237*($C101+Eqtn!$D$238))))</f>
        <v>6.4070190778415137</v>
      </c>
      <c r="H101" s="711">
        <f>'SD-Det'!AR101</f>
        <v>3.5000000000000003E-2</v>
      </c>
      <c r="I101" s="711">
        <f>IF(OR($C101="na",$H101="na"),"na",IF($H101="PQL","TBD",$H101/(Eqtn!$D$237*($C101+Eqtn!$D$238))))</f>
        <v>4.48491335448906</v>
      </c>
      <c r="J101" s="711"/>
      <c r="K101" s="712">
        <f>IF(OR($C101="na",$J101="na"),"na",IF($J101="PQL","TBD",$J101/(Eqtn!$D$237*($C101+Eqtn!$D$238))))</f>
        <v>0</v>
      </c>
      <c r="L101" s="322"/>
      <c r="M101" s="1062"/>
    </row>
    <row r="102" spans="1:13" ht="13.9" customHeight="1" x14ac:dyDescent="0.25">
      <c r="A102" s="847">
        <f>Chem!A102</f>
        <v>100</v>
      </c>
      <c r="B102" s="931" t="str">
        <f>Chem!B102</f>
        <v>1,3-Dichlorobenzene</v>
      </c>
      <c r="C102" s="924">
        <f>Param!J102</f>
        <v>7.125</v>
      </c>
      <c r="D102" s="219" t="str">
        <f>'SD-Det'!Z102</f>
        <v>na</v>
      </c>
      <c r="E102" s="2092" t="str">
        <f>IF(OR($C102="na",$D102="na"),"na",IF($D102="PQL","TBD",$D102/(Eqtn!$D$237*($C102+Eqtn!$D$238))))</f>
        <v>na</v>
      </c>
      <c r="F102" s="273" t="str">
        <f>'SD-Det'!P102</f>
        <v>na</v>
      </c>
      <c r="G102" s="728" t="str">
        <f>IF(OR($C102="na",$F102="na"),"na",IF($F102="PQL","TBD",$F102/(Eqtn!$D$237*($C102+Eqtn!$D$238))))</f>
        <v>na</v>
      </c>
      <c r="H102" s="711" t="str">
        <f>'SD-Det'!AR102</f>
        <v>na</v>
      </c>
      <c r="I102" s="711" t="str">
        <f>IF(OR($C102="na",$H102="na"),"na",IF($H102="PQL","TBD",$H102/(Eqtn!$D$237*($C102+Eqtn!$D$238))))</f>
        <v>na</v>
      </c>
      <c r="J102" s="711"/>
      <c r="K102" s="712">
        <f>IF(OR($C102="na",$J102="na"),"na",IF($J102="PQL","TBD",$J102/(Eqtn!$D$237*($C102+Eqtn!$D$238))))</f>
        <v>0</v>
      </c>
      <c r="L102" s="322"/>
      <c r="M102" s="1062"/>
    </row>
    <row r="103" spans="1:13" ht="13.9" customHeight="1" x14ac:dyDescent="0.25">
      <c r="A103" s="847">
        <f>Chem!A103</f>
        <v>101</v>
      </c>
      <c r="B103" s="931" t="str">
        <f>Chem!B103</f>
        <v>1,4-Dichlorobenzene</v>
      </c>
      <c r="C103" s="924">
        <f>Param!J103</f>
        <v>11.703999999999999</v>
      </c>
      <c r="D103" s="219">
        <f>'SD-Det'!Z103</f>
        <v>0.11</v>
      </c>
      <c r="E103" s="2092">
        <f>IF(OR($C103="na",$D103="na"),"na",IF($D103="PQL","TBD",$D103/(Eqtn!$D$237*($C103+Eqtn!$D$238))))</f>
        <v>8.9380454836581933</v>
      </c>
      <c r="F103" s="273">
        <f>'SD-Det'!P103</f>
        <v>0.11</v>
      </c>
      <c r="G103" s="728">
        <f>IF(OR($C103="na",$F103="na"),"na",IF($F103="PQL","TBD",$F103/(Eqtn!$D$237*($C103+Eqtn!$D$238))))</f>
        <v>8.9380454836581933</v>
      </c>
      <c r="H103" s="711">
        <f>'SD-Det'!AR103</f>
        <v>0.11</v>
      </c>
      <c r="I103" s="711">
        <f>IF(OR($C103="na",$H103="na"),"na",IF($H103="PQL","TBD",$H103/(Eqtn!$D$237*($C103+Eqtn!$D$238))))</f>
        <v>8.9380454836581933</v>
      </c>
      <c r="J103" s="711"/>
      <c r="K103" s="712">
        <f>IF(OR($C103="na",$J103="na"),"na",IF($J103="PQL","TBD",$J103/(Eqtn!$D$237*($C103+Eqtn!$D$238))))</f>
        <v>0</v>
      </c>
      <c r="L103" s="322"/>
      <c r="M103" s="1062"/>
    </row>
    <row r="104" spans="1:13" ht="13.9" customHeight="1" x14ac:dyDescent="0.25">
      <c r="A104" s="847">
        <f>Chem!A104</f>
        <v>102</v>
      </c>
      <c r="B104" s="931" t="str">
        <f>Chem!B104</f>
        <v>3,3'-Dichlorobenzidine</v>
      </c>
      <c r="C104" s="924">
        <f>Param!J104</f>
        <v>60.61</v>
      </c>
      <c r="D104" s="2102" t="str">
        <f>'SD-Det'!Z104</f>
        <v>na</v>
      </c>
      <c r="E104" s="2092" t="str">
        <f>IF(OR($C104="na",$D104="na"),"na",IF($D104="PQL","TBD",$D104/(Eqtn!$D$237*($C104+Eqtn!$D$238))))</f>
        <v>na</v>
      </c>
      <c r="F104" s="273" t="str">
        <f>'SD-Det'!P104</f>
        <v>na</v>
      </c>
      <c r="G104" s="728" t="str">
        <f>IF(OR($C104="na",$F104="na"),"na",IF($F104="PQL","TBD",$F104/(Eqtn!$D$237*($C104+Eqtn!$D$238))))</f>
        <v>na</v>
      </c>
      <c r="H104" s="711" t="str">
        <f>'SD-Det'!AR104</f>
        <v>na</v>
      </c>
      <c r="I104" s="711" t="str">
        <f>IF(OR($C104="na",$H104="na"),"na",IF($H104="PQL","TBD",$H104/(Eqtn!$D$237*($C104+Eqtn!$D$238))))</f>
        <v>na</v>
      </c>
      <c r="J104" s="711"/>
      <c r="K104" s="712">
        <f>IF(OR($C104="na",$J104="na"),"na",IF($J104="PQL","TBD",$J104/(Eqtn!$D$237*($C104+Eqtn!$D$238))))</f>
        <v>0</v>
      </c>
      <c r="L104" s="322"/>
      <c r="M104" s="1062"/>
    </row>
    <row r="105" spans="1:13" ht="13.9" customHeight="1" x14ac:dyDescent="0.25">
      <c r="A105" s="847">
        <f>Chem!A105</f>
        <v>103</v>
      </c>
      <c r="B105" s="931" t="str">
        <f>Chem!B105</f>
        <v>2,4-Dichlorophenol</v>
      </c>
      <c r="C105" s="924">
        <f>Param!J105</f>
        <v>1.3623000000000001</v>
      </c>
      <c r="D105" s="219" t="str">
        <f>'SD-Det'!Z105</f>
        <v>na</v>
      </c>
      <c r="E105" s="2092" t="str">
        <f>IF(OR($C105="na",$D105="na"),"na",IF($D105="PQL","TBD",$D105/(Eqtn!$D$237*($C105+Eqtn!$D$238))))</f>
        <v>na</v>
      </c>
      <c r="F105" s="273" t="str">
        <f>'SD-Det'!P105</f>
        <v>na</v>
      </c>
      <c r="G105" s="728" t="str">
        <f>IF(OR($C105="na",$F105="na"),"na",IF($F105="PQL","TBD",$F105/(Eqtn!$D$237*($C105+Eqtn!$D$238))))</f>
        <v>na</v>
      </c>
      <c r="H105" s="711" t="str">
        <f>'SD-Det'!AR105</f>
        <v>na</v>
      </c>
      <c r="I105" s="711" t="str">
        <f>IF(OR($C105="na",$H105="na"),"na",IF($H105="PQL","TBD",$H105/(Eqtn!$D$237*($C105+Eqtn!$D$238))))</f>
        <v>na</v>
      </c>
      <c r="J105" s="711"/>
      <c r="K105" s="712">
        <f>IF(OR($C105="na",$J105="na"),"na",IF($J105="PQL","TBD",$J105/(Eqtn!$D$237*($C105+Eqtn!$D$238))))</f>
        <v>0</v>
      </c>
      <c r="L105" s="322"/>
      <c r="M105" s="1062"/>
    </row>
    <row r="106" spans="1:13" ht="13.9" customHeight="1" x14ac:dyDescent="0.25">
      <c r="A106" s="846">
        <f>Chem!A106</f>
        <v>104</v>
      </c>
      <c r="B106" s="931" t="str">
        <f>Chem!B106</f>
        <v>Di(2-ethylhexyl)adipate</v>
      </c>
      <c r="C106" s="924">
        <f>Param!J106</f>
        <v>684</v>
      </c>
      <c r="D106" s="219" t="str">
        <f>'SD-Det'!Z106</f>
        <v>na</v>
      </c>
      <c r="E106" s="2092" t="str">
        <f>IF(OR($C106="na",$D106="na"),"na",IF($D106="PQL","TBD",$D106/(Eqtn!$D$237*($C106+Eqtn!$D$238))))</f>
        <v>na</v>
      </c>
      <c r="F106" s="273" t="str">
        <f>'SD-Det'!P106</f>
        <v>na</v>
      </c>
      <c r="G106" s="728" t="str">
        <f>IF(OR($C106="na",$F106="na"),"na",IF($F106="PQL","TBD",$F106/(Eqtn!$D$237*($C106+Eqtn!$D$238))))</f>
        <v>na</v>
      </c>
      <c r="H106" s="711" t="str">
        <f>'SD-Det'!AR106</f>
        <v>na</v>
      </c>
      <c r="I106" s="711" t="str">
        <f>IF(OR($C106="na",$H106="na"),"na",IF($H106="PQL","TBD",$H106/(Eqtn!$D$237*($C106+Eqtn!$D$238))))</f>
        <v>na</v>
      </c>
      <c r="J106" s="711"/>
      <c r="K106" s="712">
        <f>IF(OR($C106="na",$J106="na"),"na",IF($J106="PQL","TBD",$J106/(Eqtn!$D$237*($C106+Eqtn!$D$238))))</f>
        <v>0</v>
      </c>
      <c r="L106" s="322"/>
      <c r="M106" s="1062"/>
    </row>
    <row r="107" spans="1:13" ht="13.9" customHeight="1" x14ac:dyDescent="0.25">
      <c r="A107" s="846">
        <f>Chem!A107</f>
        <v>105</v>
      </c>
      <c r="B107" s="931" t="str">
        <f>Chem!B107</f>
        <v>Diethyl phthalate</v>
      </c>
      <c r="C107" s="924">
        <f>Param!J107</f>
        <v>1.5580000000000001</v>
      </c>
      <c r="D107" s="219">
        <f>'SD-Det'!Z107</f>
        <v>0.2</v>
      </c>
      <c r="E107" s="2092">
        <f>IF(OR($C107="na",$D107="na"),"na",IF($D107="PQL","TBD",$D107/(Eqtn!$D$237*($C107+Eqtn!$D$238))))</f>
        <v>92.552264808362381</v>
      </c>
      <c r="F107" s="273">
        <f>'SD-Det'!P107</f>
        <v>1.2</v>
      </c>
      <c r="G107" s="728">
        <f>IF(OR($C107="na",$F107="na"),"na",IF($F107="PQL","TBD",$F107/(Eqtn!$D$237*($C107+Eqtn!$D$238))))</f>
        <v>555.31358885017426</v>
      </c>
      <c r="H107" s="711" t="str">
        <f>'SD-Det'!AR107</f>
        <v>na</v>
      </c>
      <c r="I107" s="711" t="str">
        <f>IF(OR($C107="na",$H107="na"),"na",IF($H107="PQL","TBD",$H107/(Eqtn!$D$237*($C107+Eqtn!$D$238))))</f>
        <v>na</v>
      </c>
      <c r="J107" s="711"/>
      <c r="K107" s="712">
        <f>IF(OR($C107="na",$J107="na"),"na",IF($J107="PQL","TBD",$J107/(Eqtn!$D$237*($C107+Eqtn!$D$238))))</f>
        <v>0</v>
      </c>
      <c r="L107" s="322"/>
      <c r="M107" s="1062"/>
    </row>
    <row r="108" spans="1:13" ht="13.9" customHeight="1" x14ac:dyDescent="0.25">
      <c r="A108" s="847">
        <f>Chem!A108</f>
        <v>106</v>
      </c>
      <c r="B108" s="931" t="str">
        <f>Chem!B108</f>
        <v>Dimethyl phthalate</v>
      </c>
      <c r="C108" s="924">
        <f>Param!J108</f>
        <v>0.60040000000000004</v>
      </c>
      <c r="D108" s="219">
        <f>'SD-Det'!Z108</f>
        <v>7.0999999999999994E-2</v>
      </c>
      <c r="E108" s="2092">
        <f>IF(OR($C108="na",$D108="na"),"na",IF($D108="PQL","TBD",$D108/(Eqtn!$D$237*($C108+Eqtn!$D$238))))</f>
        <v>59.002385514841023</v>
      </c>
      <c r="F108" s="273">
        <f>'SD-Det'!P108</f>
        <v>0.16</v>
      </c>
      <c r="G108" s="728">
        <f>IF(OR($C108="na",$F108="na"),"na",IF($F108="PQL","TBD",$F108/(Eqtn!$D$237*($C108+Eqtn!$D$238))))</f>
        <v>132.9631222869657</v>
      </c>
      <c r="H108" s="711">
        <f>'SD-Det'!AR108</f>
        <v>7.0999999999999994E-2</v>
      </c>
      <c r="I108" s="711">
        <f>IF(OR($C108="na",$H108="na"),"na",IF($H108="PQL","TBD",$H108/(Eqtn!$D$237*($C108+Eqtn!$D$238))))</f>
        <v>59.002385514841023</v>
      </c>
      <c r="J108" s="711"/>
      <c r="K108" s="712">
        <f>IF(OR($C108="na",$J108="na"),"na",IF($J108="PQL","TBD",$J108/(Eqtn!$D$237*($C108+Eqtn!$D$238))))</f>
        <v>0</v>
      </c>
      <c r="L108" s="322"/>
      <c r="M108" s="1062"/>
    </row>
    <row r="109" spans="1:13" ht="13.9" customHeight="1" x14ac:dyDescent="0.25">
      <c r="A109" s="847">
        <f>Chem!A109</f>
        <v>107</v>
      </c>
      <c r="B109" s="931" t="str">
        <f>Chem!B109</f>
        <v>2,4-Dimethylphenol</v>
      </c>
      <c r="C109" s="924">
        <f>Param!J109</f>
        <v>9.347999999999999</v>
      </c>
      <c r="D109" s="219">
        <f>'SD-Det'!Z109</f>
        <v>2.9000000000000001E-2</v>
      </c>
      <c r="E109" s="2092">
        <f>IF(OR($C109="na",$D109="na"),"na",IF($D109="PQL","TBD",$D109/(Eqtn!$D$237*($C109+Eqtn!$D$238))))</f>
        <v>2.9142971992007851</v>
      </c>
      <c r="F109" s="273">
        <f>'SD-Det'!P109</f>
        <v>2.9000000000000001E-2</v>
      </c>
      <c r="G109" s="728">
        <f>IF(OR($C109="na",$F109="na"),"na",IF($F109="PQL","TBD",$F109/(Eqtn!$D$237*($C109+Eqtn!$D$238))))</f>
        <v>2.9142971992007851</v>
      </c>
      <c r="H109" s="711">
        <f>'SD-Det'!AR109</f>
        <v>2.9000000000000001E-2</v>
      </c>
      <c r="I109" s="711">
        <f>IF(OR($C109="na",$H109="na"),"na",IF($H109="PQL","TBD",$H109/(Eqtn!$D$237*($C109+Eqtn!$D$238))))</f>
        <v>2.9142971992007851</v>
      </c>
      <c r="J109" s="711"/>
      <c r="K109" s="712">
        <f>IF(OR($C109="na",$J109="na"),"na",IF($J109="PQL","TBD",$J109/(Eqtn!$D$237*($C109+Eqtn!$D$238))))</f>
        <v>0</v>
      </c>
      <c r="L109" s="322"/>
      <c r="M109" s="1062"/>
    </row>
    <row r="110" spans="1:13" ht="13.9" customHeight="1" x14ac:dyDescent="0.25">
      <c r="A110" s="847">
        <f>Chem!A110</f>
        <v>108</v>
      </c>
      <c r="B110" s="931" t="str">
        <f>Chem!B110</f>
        <v>1,2-Dinitrobenzene</v>
      </c>
      <c r="C110" s="924">
        <f>Param!J110</f>
        <v>6.8209999999999997</v>
      </c>
      <c r="D110" s="219" t="str">
        <f>'SD-Det'!Z110</f>
        <v>na</v>
      </c>
      <c r="E110" s="2092" t="str">
        <f>IF(OR($C110="na",$D110="na"),"na",IF($D110="PQL","TBD",$D110/(Eqtn!$D$237*($C110+Eqtn!$D$238))))</f>
        <v>na</v>
      </c>
      <c r="F110" s="273" t="str">
        <f>'SD-Det'!P110</f>
        <v>na</v>
      </c>
      <c r="G110" s="728" t="str">
        <f>IF(OR($C110="na",$F110="na"),"na",IF($F110="PQL","TBD",$F110/(Eqtn!$D$237*($C110+Eqtn!$D$238))))</f>
        <v>na</v>
      </c>
      <c r="H110" s="711" t="str">
        <f>'SD-Det'!AR110</f>
        <v>na</v>
      </c>
      <c r="I110" s="711" t="str">
        <f>IF(OR($C110="na",$H110="na"),"na",IF($H110="PQL","TBD",$H110/(Eqtn!$D$237*($C110+Eqtn!$D$238))))</f>
        <v>na</v>
      </c>
      <c r="J110" s="711"/>
      <c r="K110" s="712">
        <f>IF(OR($C110="na",$J110="na"),"na",IF($J110="PQL","TBD",$J110/(Eqtn!$D$237*($C110+Eqtn!$D$238))))</f>
        <v>0</v>
      </c>
      <c r="L110" s="322"/>
      <c r="M110" s="1062"/>
    </row>
    <row r="111" spans="1:13" ht="13.9" customHeight="1" x14ac:dyDescent="0.25">
      <c r="A111" s="847">
        <f>Chem!A111</f>
        <v>109</v>
      </c>
      <c r="B111" s="931" t="str">
        <f>Chem!B111</f>
        <v>1,3-Dinitrobenzene</v>
      </c>
      <c r="C111" s="924">
        <f>Param!J111</f>
        <v>6.6879999999999997</v>
      </c>
      <c r="D111" s="219" t="str">
        <f>'SD-Det'!Z111</f>
        <v>na</v>
      </c>
      <c r="E111" s="2092" t="str">
        <f>IF(OR($C111="na",$D111="na"),"na",IF($D111="PQL","TBD",$D111/(Eqtn!$D$237*($C111+Eqtn!$D$238))))</f>
        <v>na</v>
      </c>
      <c r="F111" s="273" t="str">
        <f>'SD-Det'!P111</f>
        <v>na</v>
      </c>
      <c r="G111" s="728" t="str">
        <f>IF(OR($C111="na",$F111="na"),"na",IF($F111="PQL","TBD",$F111/(Eqtn!$D$237*($C111+Eqtn!$D$238))))</f>
        <v>na</v>
      </c>
      <c r="H111" s="711" t="str">
        <f>'SD-Det'!AR111</f>
        <v>na</v>
      </c>
      <c r="I111" s="711" t="str">
        <f>IF(OR($C111="na",$H111="na"),"na",IF($H111="PQL","TBD",$H111/(Eqtn!$D$237*($C111+Eqtn!$D$238))))</f>
        <v>na</v>
      </c>
      <c r="J111" s="711"/>
      <c r="K111" s="712">
        <f>IF(OR($C111="na",$J111="na"),"na",IF($J111="PQL","TBD",$J111/(Eqtn!$D$237*($C111+Eqtn!$D$238))))</f>
        <v>0</v>
      </c>
      <c r="L111" s="322"/>
      <c r="M111" s="1062"/>
    </row>
    <row r="112" spans="1:13" ht="13.9" customHeight="1" x14ac:dyDescent="0.25">
      <c r="A112" s="847">
        <f>Chem!A112</f>
        <v>110</v>
      </c>
      <c r="B112" s="931" t="str">
        <f>Chem!B112</f>
        <v>1,4-Dinitrobenzene</v>
      </c>
      <c r="C112" s="924">
        <f>Param!J112</f>
        <v>6.6879999999999997</v>
      </c>
      <c r="D112" s="219" t="str">
        <f>'SD-Det'!Z112</f>
        <v>na</v>
      </c>
      <c r="E112" s="2092" t="str">
        <f>IF(OR($C112="na",$D112="na"),"na",IF($D112="PQL","TBD",$D112/(Eqtn!$D$237*($C112+Eqtn!$D$238))))</f>
        <v>na</v>
      </c>
      <c r="F112" s="273" t="str">
        <f>'SD-Det'!P112</f>
        <v>na</v>
      </c>
      <c r="G112" s="728" t="str">
        <f>IF(OR($C112="na",$F112="na"),"na",IF($F112="PQL","TBD",$F112/(Eqtn!$D$237*($C112+Eqtn!$D$238))))</f>
        <v>na</v>
      </c>
      <c r="H112" s="711" t="str">
        <f>'SD-Det'!AR112</f>
        <v>na</v>
      </c>
      <c r="I112" s="711" t="str">
        <f>IF(OR($C112="na",$H112="na"),"na",IF($H112="PQL","TBD",$H112/(Eqtn!$D$237*($C112+Eqtn!$D$238))))</f>
        <v>na</v>
      </c>
      <c r="J112" s="711"/>
      <c r="K112" s="712">
        <f>IF(OR($C112="na",$J112="na"),"na",IF($J112="PQL","TBD",$J112/(Eqtn!$D$237*($C112+Eqtn!$D$238))))</f>
        <v>0</v>
      </c>
      <c r="L112" s="322"/>
      <c r="M112" s="1062"/>
    </row>
    <row r="113" spans="1:13" ht="13.9" customHeight="1" x14ac:dyDescent="0.25">
      <c r="A113" s="847">
        <f>Chem!A113</f>
        <v>111</v>
      </c>
      <c r="B113" s="931" t="str">
        <f>Chem!B113</f>
        <v>4,6-Dinitro-o-cresol (DNOC)</v>
      </c>
      <c r="C113" s="924">
        <f>Param!J113</f>
        <v>14.326000000000001</v>
      </c>
      <c r="D113" s="219" t="str">
        <f>'SD-Det'!Z113</f>
        <v>na</v>
      </c>
      <c r="E113" s="2092" t="str">
        <f>IF(OR($C113="na",$D113="na"),"na",IF($D113="PQL","TBD",$D113/(Eqtn!$D$237*($C113+Eqtn!$D$238))))</f>
        <v>na</v>
      </c>
      <c r="F113" s="273" t="str">
        <f>'SD-Det'!P113</f>
        <v>na</v>
      </c>
      <c r="G113" s="728" t="str">
        <f>IF(OR($C113="na",$F113="na"),"na",IF($F113="PQL","TBD",$F113/(Eqtn!$D$237*($C113+Eqtn!$D$238))))</f>
        <v>na</v>
      </c>
      <c r="H113" s="711" t="str">
        <f>'SD-Det'!AR113</f>
        <v>na</v>
      </c>
      <c r="I113" s="711" t="str">
        <f>IF(OR($C113="na",$H113="na"),"na",IF($H113="PQL","TBD",$H113/(Eqtn!$D$237*($C113+Eqtn!$D$238))))</f>
        <v>na</v>
      </c>
      <c r="J113" s="711"/>
      <c r="K113" s="712">
        <f>IF(OR($C113="na",$J113="na"),"na",IF($J113="PQL","TBD",$J113/(Eqtn!$D$237*($C113+Eqtn!$D$238))))</f>
        <v>0</v>
      </c>
      <c r="L113" s="322"/>
      <c r="M113" s="1062"/>
    </row>
    <row r="114" spans="1:13" ht="13.9" customHeight="1" x14ac:dyDescent="0.25">
      <c r="A114" s="847">
        <f>Chem!A114</f>
        <v>112</v>
      </c>
      <c r="B114" s="931" t="str">
        <f>Chem!B114</f>
        <v>2,4-Dinitrophenol</v>
      </c>
      <c r="C114" s="924">
        <f>Param!J114</f>
        <v>1.9000000000000001E-4</v>
      </c>
      <c r="D114" s="219" t="str">
        <f>'SD-Det'!Z114</f>
        <v>na</v>
      </c>
      <c r="E114" s="2092" t="str">
        <f>IF(OR($C114="na",$D114="na"),"na",IF($D114="PQL","TBD",$D114/(Eqtn!$D$237*($C114+Eqtn!$D$238))))</f>
        <v>na</v>
      </c>
      <c r="F114" s="273" t="str">
        <f>'SD-Det'!P114</f>
        <v>na</v>
      </c>
      <c r="G114" s="728" t="str">
        <f>IF(OR($C114="na",$F114="na"),"na",IF($F114="PQL","TBD",$F114/(Eqtn!$D$237*($C114+Eqtn!$D$238))))</f>
        <v>na</v>
      </c>
      <c r="H114" s="711" t="str">
        <f>'SD-Det'!AR114</f>
        <v>na</v>
      </c>
      <c r="I114" s="711" t="str">
        <f>IF(OR($C114="na",$H114="na"),"na",IF($H114="PQL","TBD",$H114/(Eqtn!$D$237*($C114+Eqtn!$D$238))))</f>
        <v>na</v>
      </c>
      <c r="J114" s="711"/>
      <c r="K114" s="712">
        <f>IF(OR($C114="na",$J114="na"),"na",IF($J114="PQL","TBD",$J114/(Eqtn!$D$237*($C114+Eqtn!$D$238))))</f>
        <v>0</v>
      </c>
      <c r="L114" s="322"/>
      <c r="M114" s="1062"/>
    </row>
    <row r="115" spans="1:13" ht="13.9" customHeight="1" x14ac:dyDescent="0.25">
      <c r="A115" s="847">
        <f>Chem!A115</f>
        <v>113</v>
      </c>
      <c r="B115" s="931" t="str">
        <f>Chem!B115</f>
        <v>2,4-Dinitrotoluene</v>
      </c>
      <c r="C115" s="924">
        <f>Param!J115</f>
        <v>10.943999999999999</v>
      </c>
      <c r="D115" s="219" t="str">
        <f>'SD-Det'!Z115</f>
        <v>na</v>
      </c>
      <c r="E115" s="2092" t="str">
        <f>IF(OR($C115="na",$D115="na"),"na",IF($D115="PQL","TBD",$D115/(Eqtn!$D$237*($C115+Eqtn!$D$238))))</f>
        <v>na</v>
      </c>
      <c r="F115" s="273" t="str">
        <f>'SD-Det'!P115</f>
        <v>na</v>
      </c>
      <c r="G115" s="728" t="str">
        <f>IF(OR($C115="na",$F115="na"),"na",IF($F115="PQL","TBD",$F115/(Eqtn!$D$237*($C115+Eqtn!$D$238))))</f>
        <v>na</v>
      </c>
      <c r="H115" s="711" t="str">
        <f>'SD-Det'!AR115</f>
        <v>na</v>
      </c>
      <c r="I115" s="711" t="str">
        <f>IF(OR($C115="na",$H115="na"),"na",IF($H115="PQL","TBD",$H115/(Eqtn!$D$237*($C115+Eqtn!$D$238))))</f>
        <v>na</v>
      </c>
      <c r="J115" s="711"/>
      <c r="K115" s="712">
        <f>IF(OR($C115="na",$J115="na"),"na",IF($J115="PQL","TBD",$J115/(Eqtn!$D$237*($C115+Eqtn!$D$238))))</f>
        <v>0</v>
      </c>
      <c r="L115" s="322"/>
      <c r="M115" s="1062"/>
    </row>
    <row r="116" spans="1:13" ht="13.9" customHeight="1" x14ac:dyDescent="0.25">
      <c r="A116" s="842">
        <f>Chem!A116</f>
        <v>114</v>
      </c>
      <c r="B116" s="931" t="str">
        <f>Chem!B116</f>
        <v>2,6-Dinitrotoluene</v>
      </c>
      <c r="C116" s="924">
        <f>Param!J116</f>
        <v>11.153</v>
      </c>
      <c r="D116" s="219" t="str">
        <f>'SD-Det'!Z116</f>
        <v>na</v>
      </c>
      <c r="E116" s="2092" t="str">
        <f>IF(OR($C116="na",$D116="na"),"na",IF($D116="PQL","TBD",$D116/(Eqtn!$D$237*($C116+Eqtn!$D$238))))</f>
        <v>na</v>
      </c>
      <c r="F116" s="273" t="str">
        <f>'SD-Det'!P116</f>
        <v>na</v>
      </c>
      <c r="G116" s="728" t="str">
        <f>IF(OR($C116="na",$F116="na"),"na",IF($F116="PQL","TBD",$F116/(Eqtn!$D$237*($C116+Eqtn!$D$238))))</f>
        <v>na</v>
      </c>
      <c r="H116" s="711" t="str">
        <f>'SD-Det'!AR116</f>
        <v>na</v>
      </c>
      <c r="I116" s="711" t="str">
        <f>IF(OR($C116="na",$H116="na"),"na",IF($H116="PQL","TBD",$H116/(Eqtn!$D$237*($C116+Eqtn!$D$238))))</f>
        <v>na</v>
      </c>
      <c r="J116" s="711"/>
      <c r="K116" s="712">
        <f>IF(OR($C116="na",$J116="na"),"na",IF($J116="PQL","TBD",$J116/(Eqtn!$D$237*($C116+Eqtn!$D$238))))</f>
        <v>0</v>
      </c>
      <c r="L116" s="322"/>
      <c r="M116" s="1062"/>
    </row>
    <row r="117" spans="1:13" ht="13.9" customHeight="1" x14ac:dyDescent="0.25">
      <c r="A117" s="847">
        <f>Chem!A117</f>
        <v>115</v>
      </c>
      <c r="B117" s="931" t="str">
        <f>Chem!B117</f>
        <v>Di-n-octyl phthalate</v>
      </c>
      <c r="C117" s="924">
        <f>Param!J117</f>
        <v>2679</v>
      </c>
      <c r="D117" s="219">
        <f>'SD-Det'!Z117</f>
        <v>6.2</v>
      </c>
      <c r="E117" s="2092">
        <f>IF(OR($C117="na",$D117="na"),"na",IF($D117="PQL","TBD",$D117/(Eqtn!$D$237*($C117+Eqtn!$D$238))))</f>
        <v>2.3137756362059787</v>
      </c>
      <c r="F117" s="273">
        <f>'SD-Det'!P117</f>
        <v>6.2</v>
      </c>
      <c r="G117" s="728">
        <f>IF(OR($C117="na",$F117="na"),"na",IF($F117="PQL","TBD",$F117/(Eqtn!$D$237*($C117+Eqtn!$D$238))))</f>
        <v>2.3137756362059787</v>
      </c>
      <c r="H117" s="711" t="str">
        <f>'SD-Det'!AR117</f>
        <v>na</v>
      </c>
      <c r="I117" s="711" t="str">
        <f>IF(OR($C117="na",$H117="na"),"na",IF($H117="PQL","TBD",$H117/(Eqtn!$D$237*($C117+Eqtn!$D$238))))</f>
        <v>na</v>
      </c>
      <c r="J117" s="711"/>
      <c r="K117" s="712">
        <f>IF(OR($C117="na",$J117="na"),"na",IF($J117="PQL","TBD",$J117/(Eqtn!$D$237*($C117+Eqtn!$D$238))))</f>
        <v>0</v>
      </c>
      <c r="L117" s="322"/>
      <c r="M117" s="1062"/>
    </row>
    <row r="118" spans="1:13" ht="13.9" customHeight="1" x14ac:dyDescent="0.25">
      <c r="A118" s="848">
        <f>Chem!A118</f>
        <v>116</v>
      </c>
      <c r="B118" s="931" t="str">
        <f>Chem!B118</f>
        <v>1,4-Dioxane</v>
      </c>
      <c r="C118" s="924">
        <f>Param!J118</f>
        <v>4.9969999999999994E-2</v>
      </c>
      <c r="D118" s="219" t="str">
        <f>'SD-Det'!Z118</f>
        <v>na</v>
      </c>
      <c r="E118" s="2092" t="str">
        <f>IF(OR($C118="na",$D118="na"),"na",IF($D118="PQL","TBD",$D118/(Eqtn!$D$237*($C118+Eqtn!$D$238))))</f>
        <v>na</v>
      </c>
      <c r="F118" s="273" t="str">
        <f>'SD-Det'!P118</f>
        <v>na</v>
      </c>
      <c r="G118" s="728" t="str">
        <f>IF(OR($C118="na",$F118="na"),"na",IF($F118="PQL","TBD",$F118/(Eqtn!$D$237*($C118+Eqtn!$D$238))))</f>
        <v>na</v>
      </c>
      <c r="H118" s="711" t="str">
        <f>'SD-Det'!AR118</f>
        <v>na</v>
      </c>
      <c r="I118" s="711" t="str">
        <f>IF(OR($C118="na",$H118="na"),"na",IF($H118="PQL","TBD",$H118/(Eqtn!$D$237*($C118+Eqtn!$D$238))))</f>
        <v>na</v>
      </c>
      <c r="J118" s="711"/>
      <c r="K118" s="712">
        <f>IF(OR($C118="na",$J118="na"),"na",IF($J118="PQL","TBD",$J118/(Eqtn!$D$237*($C118+Eqtn!$D$238))))</f>
        <v>0</v>
      </c>
      <c r="L118" s="322"/>
      <c r="M118" s="1062"/>
    </row>
    <row r="119" spans="1:13" ht="13.9" customHeight="1" x14ac:dyDescent="0.25">
      <c r="A119" s="848">
        <f>Chem!A119</f>
        <v>117</v>
      </c>
      <c r="B119" s="931" t="str">
        <f>Chem!B119</f>
        <v>1,2-Diphenylhydrazine</v>
      </c>
      <c r="C119" s="924">
        <f>Param!J119</f>
        <v>28.689999999999998</v>
      </c>
      <c r="D119" s="219" t="str">
        <f>'SD-Det'!Z119</f>
        <v>na</v>
      </c>
      <c r="E119" s="2092" t="str">
        <f>IF(OR($C119="na",$D119="na"),"na",IF($D119="PQL","TBD",$D119/(Eqtn!$D$237*($C119+Eqtn!$D$238))))</f>
        <v>na</v>
      </c>
      <c r="F119" s="273" t="str">
        <f>'SD-Det'!P119</f>
        <v>na</v>
      </c>
      <c r="G119" s="728" t="str">
        <f>IF(OR($C119="na",$F119="na"),"na",IF($F119="PQL","TBD",$F119/(Eqtn!$D$237*($C119+Eqtn!$D$238))))</f>
        <v>na</v>
      </c>
      <c r="H119" s="711" t="str">
        <f>'SD-Det'!AR119</f>
        <v>na</v>
      </c>
      <c r="I119" s="711" t="str">
        <f>IF(OR($C119="na",$H119="na"),"na",IF($H119="PQL","TBD",$H119/(Eqtn!$D$237*($C119+Eqtn!$D$238))))</f>
        <v>na</v>
      </c>
      <c r="J119" s="711"/>
      <c r="K119" s="712">
        <f>IF(OR($C119="na",$J119="na"),"na",IF($J119="PQL","TBD",$J119/(Eqtn!$D$237*($C119+Eqtn!$D$238))))</f>
        <v>0</v>
      </c>
      <c r="L119" s="322"/>
      <c r="M119" s="1062"/>
    </row>
    <row r="120" spans="1:13" ht="13.9" customHeight="1" x14ac:dyDescent="0.25">
      <c r="A120" s="847">
        <f>Chem!A120</f>
        <v>118</v>
      </c>
      <c r="B120" s="931" t="str">
        <f>Chem!B120</f>
        <v>Hexachlorobenzene</v>
      </c>
      <c r="C120" s="924">
        <f>Param!J120</f>
        <v>1520</v>
      </c>
      <c r="D120" s="219">
        <f>'SD-Det'!Z120</f>
        <v>2.1999999999999999E-2</v>
      </c>
      <c r="E120" s="2092">
        <f>IF(OR($C120="na",$D120="na"),"na",IF($D120="PQL","TBD",$D120/(Eqtn!$D$237*($C120+Eqtn!$D$238))))</f>
        <v>1.446794518428255E-2</v>
      </c>
      <c r="F120" s="273">
        <f>'SD-Det'!P120</f>
        <v>1E-3</v>
      </c>
      <c r="G120" s="728">
        <f>IF(OR($C120="na",$F120="na"),"na",IF($F120="PQL","TBD",$F120/(Eqtn!$D$237*($C120+Eqtn!$D$238))))</f>
        <v>6.5763387201284325E-4</v>
      </c>
      <c r="H120" s="711">
        <f>'SD-Det'!AR120</f>
        <v>2.1999999999999999E-2</v>
      </c>
      <c r="I120" s="711">
        <f>IF(OR($C120="na",$H120="na"),"na",IF($H120="PQL","TBD",$H120/(Eqtn!$D$237*($C120+Eqtn!$D$238))))</f>
        <v>1.446794518428255E-2</v>
      </c>
      <c r="J120" s="711"/>
      <c r="K120" s="712">
        <f>IF(OR($C120="na",$J120="na"),"na",IF($J120="PQL","TBD",$J120/(Eqtn!$D$237*($C120+Eqtn!$D$238))))</f>
        <v>0</v>
      </c>
      <c r="L120" s="322"/>
      <c r="M120" s="1062"/>
    </row>
    <row r="121" spans="1:13" ht="13.9" customHeight="1" x14ac:dyDescent="0.25">
      <c r="A121" s="847">
        <f>Chem!A121</f>
        <v>119</v>
      </c>
      <c r="B121" s="931" t="str">
        <f>Chem!B121</f>
        <v>Hexachlorobutadiene</v>
      </c>
      <c r="C121" s="924">
        <f>Param!J121</f>
        <v>16.055</v>
      </c>
      <c r="D121" s="219">
        <f>'SD-Det'!Z121</f>
        <v>1.0999999999999999E-2</v>
      </c>
      <c r="E121" s="2092">
        <f>IF(OR($C121="na",$D121="na"),"na",IF($D121="PQL","TBD",$D121/(Eqtn!$D$237*($C121+Eqtn!$D$238))))</f>
        <v>0.66034571040132772</v>
      </c>
      <c r="F121" s="273">
        <f>'SD-Det'!P121</f>
        <v>0.12</v>
      </c>
      <c r="G121" s="728">
        <f>IF(OR($C121="na",$F121="na"),"na",IF($F121="PQL","TBD",$F121/(Eqtn!$D$237*($C121+Eqtn!$D$238))))</f>
        <v>7.2037713861963031</v>
      </c>
      <c r="H121" s="711" t="str">
        <f>'SD-Det'!AR121</f>
        <v>na</v>
      </c>
      <c r="I121" s="711" t="str">
        <f>IF(OR($C121="na",$H121="na"),"na",IF($H121="PQL","TBD",$H121/(Eqtn!$D$237*($C121+Eqtn!$D$238))))</f>
        <v>na</v>
      </c>
      <c r="J121" s="711"/>
      <c r="K121" s="712">
        <f>IF(OR($C121="na",$J121="na"),"na",IF($J121="PQL","TBD",$J121/(Eqtn!$D$237*($C121+Eqtn!$D$238))))</f>
        <v>0</v>
      </c>
      <c r="L121" s="322"/>
      <c r="M121" s="1062"/>
    </row>
    <row r="122" spans="1:13" ht="13.9" customHeight="1" x14ac:dyDescent="0.25">
      <c r="A122" s="847">
        <f>Chem!A122</f>
        <v>120</v>
      </c>
      <c r="B122" s="931" t="str">
        <f>Chem!B122</f>
        <v>Hexachlorocyclopentadiene</v>
      </c>
      <c r="C122" s="924">
        <f>Param!J122</f>
        <v>26.599999999999998</v>
      </c>
      <c r="D122" s="219" t="str">
        <f>'SD-Det'!Z122</f>
        <v>na</v>
      </c>
      <c r="E122" s="2092" t="str">
        <f>IF(OR($C122="na",$D122="na"),"na",IF($D122="PQL","TBD",$D122/(Eqtn!$D$237*($C122+Eqtn!$D$238))))</f>
        <v>na</v>
      </c>
      <c r="F122" s="273" t="str">
        <f>'SD-Det'!P122</f>
        <v>na</v>
      </c>
      <c r="G122" s="728" t="str">
        <f>IF(OR($C122="na",$F122="na"),"na",IF($F122="PQL","TBD",$F122/(Eqtn!$D$237*($C122+Eqtn!$D$238))))</f>
        <v>na</v>
      </c>
      <c r="H122" s="711" t="str">
        <f>'SD-Det'!AR122</f>
        <v>na</v>
      </c>
      <c r="I122" s="711" t="str">
        <f>IF(OR($C122="na",$H122="na"),"na",IF($H122="PQL","TBD",$H122/(Eqtn!$D$237*($C122+Eqtn!$D$238))))</f>
        <v>na</v>
      </c>
      <c r="J122" s="711"/>
      <c r="K122" s="712">
        <f>IF(OR($C122="na",$J122="na"),"na",IF($J122="PQL","TBD",$J122/(Eqtn!$D$237*($C122+Eqtn!$D$238))))</f>
        <v>0</v>
      </c>
      <c r="L122" s="322"/>
      <c r="M122" s="1062"/>
    </row>
    <row r="123" spans="1:13" ht="13.9" customHeight="1" x14ac:dyDescent="0.25">
      <c r="A123" s="847">
        <f>Chem!A123</f>
        <v>121</v>
      </c>
      <c r="B123" s="931" t="str">
        <f>Chem!B123</f>
        <v>Hexachloroethane</v>
      </c>
      <c r="C123" s="924">
        <f>Param!J123</f>
        <v>3.7429999999999999</v>
      </c>
      <c r="D123" s="219" t="str">
        <f>'SD-Det'!Z123</f>
        <v>na</v>
      </c>
      <c r="E123" s="2092" t="str">
        <f>IF(OR($C123="na",$D123="na"),"na",IF($D123="PQL","TBD",$D123/(Eqtn!$D$237*($C123+Eqtn!$D$238))))</f>
        <v>na</v>
      </c>
      <c r="F123" s="273" t="str">
        <f>'SD-Det'!P123</f>
        <v>na</v>
      </c>
      <c r="G123" s="728" t="str">
        <f>IF(OR($C123="na",$F123="na"),"na",IF($F123="PQL","TBD",$F123/(Eqtn!$D$237*($C123+Eqtn!$D$238))))</f>
        <v>na</v>
      </c>
      <c r="H123" s="711" t="str">
        <f>'SD-Det'!AR123</f>
        <v>na</v>
      </c>
      <c r="I123" s="711" t="str">
        <f>IF(OR($C123="na",$H123="na"),"na",IF($H123="PQL","TBD",$H123/(Eqtn!$D$237*($C123+Eqtn!$D$238))))</f>
        <v>na</v>
      </c>
      <c r="J123" s="711"/>
      <c r="K123" s="712">
        <f>IF(OR($C123="na",$J123="na"),"na",IF($J123="PQL","TBD",$J123/(Eqtn!$D$237*($C123+Eqtn!$D$238))))</f>
        <v>0</v>
      </c>
      <c r="L123" s="322"/>
      <c r="M123" s="1062"/>
    </row>
    <row r="124" spans="1:13" ht="13.9" customHeight="1" x14ac:dyDescent="0.25">
      <c r="A124" s="847">
        <f>Chem!A124</f>
        <v>122</v>
      </c>
      <c r="B124" s="931" t="str">
        <f>Chem!B124</f>
        <v>Isophorone</v>
      </c>
      <c r="C124" s="924">
        <f>Param!J124</f>
        <v>1.2388000000000001</v>
      </c>
      <c r="D124" s="219" t="str">
        <f>'SD-Det'!Z124</f>
        <v>na</v>
      </c>
      <c r="E124" s="2092" t="str">
        <f>IF(OR($C124="na",$D124="na"),"na",IF($D124="PQL","TBD",$D124/(Eqtn!$D$237*($C124+Eqtn!$D$238))))</f>
        <v>na</v>
      </c>
      <c r="F124" s="273" t="str">
        <f>'SD-Det'!P124</f>
        <v>na</v>
      </c>
      <c r="G124" s="728" t="str">
        <f>IF(OR($C124="na",$F124="na"),"na",IF($F124="PQL","TBD",$F124/(Eqtn!$D$237*($C124+Eqtn!$D$238))))</f>
        <v>na</v>
      </c>
      <c r="H124" s="711" t="str">
        <f>'SD-Det'!AR124</f>
        <v>na</v>
      </c>
      <c r="I124" s="711" t="str">
        <f>IF(OR($C124="na",$H124="na"),"na",IF($H124="PQL","TBD",$H124/(Eqtn!$D$237*($C124+Eqtn!$D$238))))</f>
        <v>na</v>
      </c>
      <c r="J124" s="711"/>
      <c r="K124" s="712">
        <f>IF(OR($C124="na",$J124="na"),"na",IF($J124="PQL","TBD",$J124/(Eqtn!$D$237*($C124+Eqtn!$D$238))))</f>
        <v>0</v>
      </c>
      <c r="L124" s="322"/>
      <c r="M124" s="1062"/>
    </row>
    <row r="125" spans="1:13" ht="13.9" customHeight="1" x14ac:dyDescent="0.25">
      <c r="A125" s="847">
        <f>Chem!A125</f>
        <v>123</v>
      </c>
      <c r="B125" s="931" t="str">
        <f>Chem!B125</f>
        <v>2-Methoxynaphthalene</v>
      </c>
      <c r="C125" s="924" t="str">
        <f>Param!J125</f>
        <v>na</v>
      </c>
      <c r="D125" s="219" t="str">
        <f>'SD-Det'!Z125</f>
        <v>na</v>
      </c>
      <c r="E125" s="2092" t="str">
        <f>IF(OR($C125="na",$D125="na"),"na",IF($D125="PQL","TBD",$D125/(Eqtn!$D$237*($C125+Eqtn!$D$238))))</f>
        <v>na</v>
      </c>
      <c r="F125" s="273" t="str">
        <f>'SD-Det'!P125</f>
        <v>na</v>
      </c>
      <c r="G125" s="728" t="str">
        <f>IF(OR($C125="na",$F125="na"),"na",IF($F125="PQL","TBD",$F125/(Eqtn!$D$237*($C125+Eqtn!$D$238))))</f>
        <v>na</v>
      </c>
      <c r="H125" s="711" t="str">
        <f>'SD-Det'!AR125</f>
        <v>na</v>
      </c>
      <c r="I125" s="711" t="str">
        <f>IF(OR($C125="na",$H125="na"),"na",IF($H125="PQL","TBD",$H125/(Eqtn!$D$237*($C125+Eqtn!$D$238))))</f>
        <v>na</v>
      </c>
      <c r="J125" s="711"/>
      <c r="K125" s="712" t="str">
        <f>IF(OR($C125="na",$J125="na"),"na",IF($J125="PQL","TBD",$J125/(Eqtn!$D$237*($C125+Eqtn!$D$238))))</f>
        <v>na</v>
      </c>
      <c r="L125" s="322"/>
      <c r="M125" s="1062"/>
    </row>
    <row r="126" spans="1:13" ht="13.9" customHeight="1" x14ac:dyDescent="0.25">
      <c r="A126" s="847">
        <f>Chem!A126</f>
        <v>124</v>
      </c>
      <c r="B126" s="931" t="str">
        <f>Chem!B126</f>
        <v>2-Methylphenol (o-cresol)</v>
      </c>
      <c r="C126" s="924">
        <f>Param!J126</f>
        <v>5.8330000000000002</v>
      </c>
      <c r="D126" s="219">
        <f>'SD-Det'!Z126</f>
        <v>6.3E-2</v>
      </c>
      <c r="E126" s="2092">
        <f>IF(OR($C126="na",$D126="na"),"na",IF($D126="PQL","TBD",$D126/(Eqtn!$D$237*($C126+Eqtn!$D$238))))</f>
        <v>9.7887780936103326</v>
      </c>
      <c r="F126" s="273">
        <f>'SD-Det'!P126</f>
        <v>6.3E-2</v>
      </c>
      <c r="G126" s="728">
        <f>IF(OR($C126="na",$F126="na"),"na",IF($F126="PQL","TBD",$F126/(Eqtn!$D$237*($C126+Eqtn!$D$238))))</f>
        <v>9.7887780936103326</v>
      </c>
      <c r="H126" s="711" t="str">
        <f>'SD-Det'!AR126</f>
        <v>na</v>
      </c>
      <c r="I126" s="711" t="str">
        <f>IF(OR($C126="na",$H126="na"),"na",IF($H126="PQL","TBD",$H126/(Eqtn!$D$237*($C126+Eqtn!$D$238))))</f>
        <v>na</v>
      </c>
      <c r="J126" s="711"/>
      <c r="K126" s="712">
        <f>IF(OR($C126="na",$J126="na"),"na",IF($J126="PQL","TBD",$J126/(Eqtn!$D$237*($C126+Eqtn!$D$238))))</f>
        <v>0</v>
      </c>
      <c r="L126" s="322"/>
      <c r="M126" s="1062"/>
    </row>
    <row r="127" spans="1:13" ht="13.9" customHeight="1" x14ac:dyDescent="0.25">
      <c r="A127" s="847">
        <f>Chem!A127</f>
        <v>125</v>
      </c>
      <c r="B127" s="931" t="str">
        <f>Chem!B127</f>
        <v>3-Methylphenol (m-cresol)</v>
      </c>
      <c r="C127" s="924">
        <f>Param!J127</f>
        <v>5.7</v>
      </c>
      <c r="D127" s="219" t="str">
        <f>'SD-Det'!Z127</f>
        <v>na</v>
      </c>
      <c r="E127" s="2092" t="str">
        <f>IF(OR($C127="na",$D127="na"),"na",IF($D127="PQL","TBD",$D127/(Eqtn!$D$237*($C127+Eqtn!$D$238))))</f>
        <v>na</v>
      </c>
      <c r="F127" s="273" t="str">
        <f>'SD-Det'!P127</f>
        <v>na</v>
      </c>
      <c r="G127" s="728" t="str">
        <f>IF(OR($C127="na",$F127="na"),"na",IF($F127="PQL","TBD",$F127/(Eqtn!$D$237*($C127+Eqtn!$D$238))))</f>
        <v>na</v>
      </c>
      <c r="H127" s="711" t="str">
        <f>'SD-Det'!AR127</f>
        <v>na</v>
      </c>
      <c r="I127" s="711" t="str">
        <f>IF(OR($C127="na",$H127="na"),"na",IF($H127="PQL","TBD",$H127/(Eqtn!$D$237*($C127+Eqtn!$D$238))))</f>
        <v>na</v>
      </c>
      <c r="J127" s="711"/>
      <c r="K127" s="712">
        <f>IF(OR($C127="na",$J127="na"),"na",IF($J127="PQL","TBD",$J127/(Eqtn!$D$237*($C127+Eqtn!$D$238))))</f>
        <v>0</v>
      </c>
      <c r="L127" s="322"/>
      <c r="M127" s="1062"/>
    </row>
    <row r="128" spans="1:13" ht="13.9" customHeight="1" x14ac:dyDescent="0.25">
      <c r="A128" s="847">
        <f>Chem!A128</f>
        <v>126</v>
      </c>
      <c r="B128" s="931" t="str">
        <f>Chem!B128</f>
        <v>4-Methylphenol (p-cresol)</v>
      </c>
      <c r="C128" s="924">
        <f>Param!J128</f>
        <v>5.7</v>
      </c>
      <c r="D128" s="219">
        <f>'SD-Det'!Z128</f>
        <v>0.67</v>
      </c>
      <c r="E128" s="2092">
        <f>IF(OR($C128="na",$D128="na"),"na",IF($D128="PQL","TBD",$D128/(Eqtn!$D$237*($C128+Eqtn!$D$238))))</f>
        <v>106.29958002799813</v>
      </c>
      <c r="F128" s="273">
        <f>'SD-Det'!P128</f>
        <v>0.67</v>
      </c>
      <c r="G128" s="728">
        <f>IF(OR($C128="na",$F128="na"),"na",IF($F128="PQL","TBD",$F128/(Eqtn!$D$237*($C128+Eqtn!$D$238))))</f>
        <v>106.29958002799813</v>
      </c>
      <c r="H128" s="711">
        <f>'SD-Det'!AR128</f>
        <v>0.67</v>
      </c>
      <c r="I128" s="711">
        <f>IF(OR($C128="na",$H128="na"),"na",IF($H128="PQL","TBD",$H128/(Eqtn!$D$237*($C128+Eqtn!$D$238))))</f>
        <v>106.29958002799813</v>
      </c>
      <c r="J128" s="711"/>
      <c r="K128" s="712">
        <f>IF(OR($C128="na",$J128="na"),"na",IF($J128="PQL","TBD",$J128/(Eqtn!$D$237*($C128+Eqtn!$D$238))))</f>
        <v>0</v>
      </c>
      <c r="L128" s="322"/>
      <c r="M128" s="1062"/>
    </row>
    <row r="129" spans="1:13" ht="13.9" customHeight="1" x14ac:dyDescent="0.25">
      <c r="A129" s="847">
        <f>Chem!A129</f>
        <v>127</v>
      </c>
      <c r="B129" s="931" t="str">
        <f>Chem!B129</f>
        <v>2-Nitroaniline</v>
      </c>
      <c r="C129" s="924">
        <f>Param!J129</f>
        <v>2.109</v>
      </c>
      <c r="D129" s="219" t="str">
        <f>'SD-Det'!Z129</f>
        <v>na</v>
      </c>
      <c r="E129" s="2092" t="str">
        <f>IF(OR($C129="na",$D129="na"),"na",IF($D129="PQL","TBD",$D129/(Eqtn!$D$237*($C129+Eqtn!$D$238))))</f>
        <v>na</v>
      </c>
      <c r="F129" s="273" t="str">
        <f>'SD-Det'!P129</f>
        <v>na</v>
      </c>
      <c r="G129" s="728" t="str">
        <f>IF(OR($C129="na",$F129="na"),"na",IF($F129="PQL","TBD",$F129/(Eqtn!$D$237*($C129+Eqtn!$D$238))))</f>
        <v>na</v>
      </c>
      <c r="H129" s="711" t="str">
        <f>'SD-Det'!AR129</f>
        <v>na</v>
      </c>
      <c r="I129" s="711" t="str">
        <f>IF(OR($C129="na",$H129="na"),"na",IF($H129="PQL","TBD",$H129/(Eqtn!$D$237*($C129+Eqtn!$D$238))))</f>
        <v>na</v>
      </c>
      <c r="J129" s="711"/>
      <c r="K129" s="712">
        <f>IF(OR($C129="na",$J129="na"),"na",IF($J129="PQL","TBD",$J129/(Eqtn!$D$237*($C129+Eqtn!$D$238))))</f>
        <v>0</v>
      </c>
      <c r="L129" s="322"/>
      <c r="M129" s="1062"/>
    </row>
    <row r="130" spans="1:13" ht="13.9" customHeight="1" x14ac:dyDescent="0.25">
      <c r="A130" s="847">
        <f>Chem!A130</f>
        <v>128</v>
      </c>
      <c r="B130" s="931" t="str">
        <f>Chem!B130</f>
        <v>3-Nitroaniline</v>
      </c>
      <c r="C130" s="924" t="str">
        <f>Param!J130</f>
        <v>na</v>
      </c>
      <c r="D130" s="219" t="str">
        <f>'SD-Det'!Z130</f>
        <v>na</v>
      </c>
      <c r="E130" s="2092" t="str">
        <f>IF(OR($C130="na",$D130="na"),"na",IF($D130="PQL","TBD",$D130/(Eqtn!$D$237*($C130+Eqtn!$D$238))))</f>
        <v>na</v>
      </c>
      <c r="F130" s="273" t="str">
        <f>'SD-Det'!P130</f>
        <v>na</v>
      </c>
      <c r="G130" s="728" t="str">
        <f>IF(OR($C130="na",$F130="na"),"na",IF($F130="PQL","TBD",$F130/(Eqtn!$D$237*($C130+Eqtn!$D$238))))</f>
        <v>na</v>
      </c>
      <c r="H130" s="711" t="str">
        <f>'SD-Det'!AR130</f>
        <v>na</v>
      </c>
      <c r="I130" s="711" t="str">
        <f>IF(OR($C130="na",$H130="na"),"na",IF($H130="PQL","TBD",$H130/(Eqtn!$D$237*($C130+Eqtn!$D$238))))</f>
        <v>na</v>
      </c>
      <c r="J130" s="711"/>
      <c r="K130" s="712" t="str">
        <f>IF(OR($C130="na",$J130="na"),"na",IF($J130="PQL","TBD",$J130/(Eqtn!$D$237*($C130+Eqtn!$D$238))))</f>
        <v>na</v>
      </c>
      <c r="L130" s="322"/>
      <c r="M130" s="1062"/>
    </row>
    <row r="131" spans="1:13" ht="13.9" customHeight="1" x14ac:dyDescent="0.25">
      <c r="A131" s="847">
        <f>Chem!A131</f>
        <v>129</v>
      </c>
      <c r="B131" s="931" t="str">
        <f>Chem!B131</f>
        <v>4-Nitroaniline</v>
      </c>
      <c r="C131" s="924">
        <f>Param!J131</f>
        <v>2.07708</v>
      </c>
      <c r="D131" s="219" t="str">
        <f>'SD-Det'!Z131</f>
        <v>na</v>
      </c>
      <c r="E131" s="2092" t="str">
        <f>IF(OR($C131="na",$D131="na"),"na",IF($D131="PQL","TBD",$D131/(Eqtn!$D$237*($C131+Eqtn!$D$238))))</f>
        <v>na</v>
      </c>
      <c r="F131" s="273" t="str">
        <f>'SD-Det'!P131</f>
        <v>na</v>
      </c>
      <c r="G131" s="728" t="str">
        <f>IF(OR($C131="na",$F131="na"),"na",IF($F131="PQL","TBD",$F131/(Eqtn!$D$237*($C131+Eqtn!$D$238))))</f>
        <v>na</v>
      </c>
      <c r="H131" s="711" t="str">
        <f>'SD-Det'!AR131</f>
        <v>na</v>
      </c>
      <c r="I131" s="711" t="str">
        <f>IF(OR($C131="na",$H131="na"),"na",IF($H131="PQL","TBD",$H131/(Eqtn!$D$237*($C131+Eqtn!$D$238))))</f>
        <v>na</v>
      </c>
      <c r="J131" s="711"/>
      <c r="K131" s="712">
        <f>IF(OR($C131="na",$J131="na"),"na",IF($J131="PQL","TBD",$J131/(Eqtn!$D$237*($C131+Eqtn!$D$238))))</f>
        <v>0</v>
      </c>
      <c r="L131" s="322"/>
      <c r="M131" s="1062"/>
    </row>
    <row r="132" spans="1:13" ht="13.9" customHeight="1" x14ac:dyDescent="0.25">
      <c r="A132" s="847">
        <f>Chem!A132</f>
        <v>130</v>
      </c>
      <c r="B132" s="931" t="str">
        <f>Chem!B132</f>
        <v>Nitrobenzene</v>
      </c>
      <c r="C132" s="924">
        <f>Param!J132</f>
        <v>2.2610000000000001</v>
      </c>
      <c r="D132" s="219" t="str">
        <f>'SD-Det'!Z132</f>
        <v>na</v>
      </c>
      <c r="E132" s="2092" t="str">
        <f>IF(OR($C132="na",$D132="na"),"na",IF($D132="PQL","TBD",$D132/(Eqtn!$D$237*($C132+Eqtn!$D$238))))</f>
        <v>na</v>
      </c>
      <c r="F132" s="273" t="str">
        <f>'SD-Det'!P132</f>
        <v>na</v>
      </c>
      <c r="G132" s="728" t="str">
        <f>IF(OR($C132="na",$F132="na"),"na",IF($F132="PQL","TBD",$F132/(Eqtn!$D$237*($C132+Eqtn!$D$238))))</f>
        <v>na</v>
      </c>
      <c r="H132" s="711" t="str">
        <f>'SD-Det'!AR132</f>
        <v>na</v>
      </c>
      <c r="I132" s="711" t="str">
        <f>IF(OR($C132="na",$H132="na"),"na",IF($H132="PQL","TBD",$H132/(Eqtn!$D$237*($C132+Eqtn!$D$238))))</f>
        <v>na</v>
      </c>
      <c r="J132" s="711"/>
      <c r="K132" s="712">
        <f>IF(OR($C132="na",$J132="na"),"na",IF($J132="PQL","TBD",$J132/(Eqtn!$D$237*($C132+Eqtn!$D$238))))</f>
        <v>0</v>
      </c>
      <c r="L132" s="322"/>
      <c r="M132" s="1062"/>
    </row>
    <row r="133" spans="1:13" ht="13.9" customHeight="1" x14ac:dyDescent="0.25">
      <c r="A133" s="847">
        <f>Chem!A133</f>
        <v>131</v>
      </c>
      <c r="B133" s="931" t="str">
        <f>Chem!B133</f>
        <v>2-Nitrophenol</v>
      </c>
      <c r="C133" s="924" t="str">
        <f>Param!J133</f>
        <v>na</v>
      </c>
      <c r="D133" s="219" t="str">
        <f>'SD-Det'!Z133</f>
        <v>na</v>
      </c>
      <c r="E133" s="2092" t="str">
        <f>IF(OR($C133="na",$D133="na"),"na",IF($D133="PQL","TBD",$D133/(Eqtn!$D$237*($C133+Eqtn!$D$238))))</f>
        <v>na</v>
      </c>
      <c r="F133" s="273" t="str">
        <f>'SD-Det'!P133</f>
        <v>na</v>
      </c>
      <c r="G133" s="728" t="str">
        <f>IF(OR($C133="na",$F133="na"),"na",IF($F133="PQL","TBD",$F133/(Eqtn!$D$237*($C133+Eqtn!$D$238))))</f>
        <v>na</v>
      </c>
      <c r="H133" s="711" t="str">
        <f>'SD-Det'!AR133</f>
        <v>na</v>
      </c>
      <c r="I133" s="711" t="str">
        <f>IF(OR($C133="na",$H133="na"),"na",IF($H133="PQL","TBD",$H133/(Eqtn!$D$237*($C133+Eqtn!$D$238))))</f>
        <v>na</v>
      </c>
      <c r="J133" s="711"/>
      <c r="K133" s="712" t="str">
        <f>IF(OR($C133="na",$J133="na"),"na",IF($J133="PQL","TBD",$J133/(Eqtn!$D$237*($C133+Eqtn!$D$238))))</f>
        <v>na</v>
      </c>
      <c r="L133" s="322"/>
      <c r="M133" s="1062"/>
    </row>
    <row r="134" spans="1:13" ht="13.9" customHeight="1" x14ac:dyDescent="0.25">
      <c r="A134" s="847">
        <f>Chem!A134</f>
        <v>132</v>
      </c>
      <c r="B134" s="931" t="str">
        <f>Chem!B134</f>
        <v>4-Nitrophenol</v>
      </c>
      <c r="C134" s="924" t="str">
        <f>Param!J134</f>
        <v>na</v>
      </c>
      <c r="D134" s="219" t="str">
        <f>'SD-Det'!Z134</f>
        <v>na</v>
      </c>
      <c r="E134" s="2092" t="str">
        <f>IF(OR($C134="na",$D134="na"),"na",IF($D134="PQL","TBD",$D134/(Eqtn!$D$237*($C134+Eqtn!$D$238))))</f>
        <v>na</v>
      </c>
      <c r="F134" s="273" t="str">
        <f>'SD-Det'!P134</f>
        <v>na</v>
      </c>
      <c r="G134" s="728" t="str">
        <f>IF(OR($C134="na",$F134="na"),"na",IF($F134="PQL","TBD",$F134/(Eqtn!$D$237*($C134+Eqtn!$D$238))))</f>
        <v>na</v>
      </c>
      <c r="H134" s="711" t="str">
        <f>'SD-Det'!AR134</f>
        <v>na</v>
      </c>
      <c r="I134" s="711" t="str">
        <f>IF(OR($C134="na",$H134="na"),"na",IF($H134="PQL","TBD",$H134/(Eqtn!$D$237*($C134+Eqtn!$D$238))))</f>
        <v>na</v>
      </c>
      <c r="J134" s="711"/>
      <c r="K134" s="712" t="str">
        <f>IF(OR($C134="na",$J134="na"),"na",IF($J134="PQL","TBD",$J134/(Eqtn!$D$237*($C134+Eqtn!$D$238))))</f>
        <v>na</v>
      </c>
      <c r="L134" s="322"/>
      <c r="M134" s="1062"/>
    </row>
    <row r="135" spans="1:13" ht="13.9" customHeight="1" x14ac:dyDescent="0.25">
      <c r="A135" s="847">
        <f>Chem!A135</f>
        <v>133</v>
      </c>
      <c r="B135" s="931" t="str">
        <f>Chem!B135</f>
        <v>n-Nitrosodimethylamine</v>
      </c>
      <c r="C135" s="924">
        <f>Param!J135</f>
        <v>0.43320000000000003</v>
      </c>
      <c r="D135" s="219" t="str">
        <f>'SD-Det'!Z135</f>
        <v>na</v>
      </c>
      <c r="E135" s="2092" t="str">
        <f>IF(OR($C135="na",$D135="na"),"na",IF($D135="PQL","TBD",$D135/(Eqtn!$D$237*($C135+Eqtn!$D$238))))</f>
        <v>na</v>
      </c>
      <c r="F135" s="273" t="str">
        <f>'SD-Det'!P135</f>
        <v>na</v>
      </c>
      <c r="G135" s="728" t="str">
        <f>IF(OR($C135="na",$F135="na"),"na",IF($F135="PQL","TBD",$F135/(Eqtn!$D$237*($C135+Eqtn!$D$238))))</f>
        <v>na</v>
      </c>
      <c r="H135" s="711" t="str">
        <f>'SD-Det'!AR135</f>
        <v>na</v>
      </c>
      <c r="I135" s="711" t="str">
        <f>IF(OR($C135="na",$H135="na"),"na",IF($H135="PQL","TBD",$H135/(Eqtn!$D$237*($C135+Eqtn!$D$238))))</f>
        <v>na</v>
      </c>
      <c r="J135" s="711"/>
      <c r="K135" s="712">
        <f>IF(OR($C135="na",$J135="na"),"na",IF($J135="PQL","TBD",$J135/(Eqtn!$D$237*($C135+Eqtn!$D$238))))</f>
        <v>0</v>
      </c>
      <c r="L135" s="322"/>
      <c r="M135" s="1062"/>
    </row>
    <row r="136" spans="1:13" ht="13.9" customHeight="1" x14ac:dyDescent="0.25">
      <c r="A136" s="847">
        <f>Chem!A136</f>
        <v>134</v>
      </c>
      <c r="B136" s="931" t="str">
        <f>Chem!B136</f>
        <v>n-Nitrosodiphenylamine</v>
      </c>
      <c r="C136" s="924">
        <f>Param!J136</f>
        <v>49.97</v>
      </c>
      <c r="D136" s="219">
        <f>'SD-Det'!Z136</f>
        <v>2.8000000000000001E-2</v>
      </c>
      <c r="E136" s="2092">
        <f>IF(OR($C136="na",$D136="na"),"na",IF($D136="PQL","TBD",$D136/(Eqtn!$D$237*($C136+Eqtn!$D$238))))</f>
        <v>0.55365575639146725</v>
      </c>
      <c r="F136" s="273">
        <f>'SD-Det'!P136</f>
        <v>0.04</v>
      </c>
      <c r="G136" s="728">
        <f>IF(OR($C136="na",$F136="na"),"na",IF($F136="PQL","TBD",$F136/(Eqtn!$D$237*($C136+Eqtn!$D$238))))</f>
        <v>0.79093679484495316</v>
      </c>
      <c r="H136" s="711">
        <f>'SD-Det'!AR136</f>
        <v>2.8000000000000001E-2</v>
      </c>
      <c r="I136" s="711">
        <f>IF(OR($C136="na",$H136="na"),"na",IF($H136="PQL","TBD",$H136/(Eqtn!$D$237*($C136+Eqtn!$D$238))))</f>
        <v>0.55365575639146725</v>
      </c>
      <c r="J136" s="711"/>
      <c r="K136" s="712">
        <f>IF(OR($C136="na",$J136="na"),"na",IF($J136="PQL","TBD",$J136/(Eqtn!$D$237*($C136+Eqtn!$D$238))))</f>
        <v>0</v>
      </c>
      <c r="L136" s="322"/>
      <c r="M136" s="1062"/>
    </row>
    <row r="137" spans="1:13" ht="13.9" customHeight="1" x14ac:dyDescent="0.25">
      <c r="A137" s="847">
        <f>Chem!A137</f>
        <v>135</v>
      </c>
      <c r="B137" s="931" t="str">
        <f>Chem!B137</f>
        <v>n-Nitrosodi-n-propylamine</v>
      </c>
      <c r="C137" s="924">
        <f>Param!J137</f>
        <v>5.2249999999999996</v>
      </c>
      <c r="D137" s="219" t="str">
        <f>'SD-Det'!Z137</f>
        <v>na</v>
      </c>
      <c r="E137" s="2092" t="str">
        <f>IF(OR($C137="na",$D137="na"),"na",IF($D137="PQL","TBD",$D137/(Eqtn!$D$237*($C137+Eqtn!$D$238))))</f>
        <v>na</v>
      </c>
      <c r="F137" s="273" t="str">
        <f>'SD-Det'!P137</f>
        <v>na</v>
      </c>
      <c r="G137" s="728" t="str">
        <f>IF(OR($C137="na",$F137="na"),"na",IF($F137="PQL","TBD",$F137/(Eqtn!$D$237*($C137+Eqtn!$D$238))))</f>
        <v>na</v>
      </c>
      <c r="H137" s="711" t="str">
        <f>'SD-Det'!AR137</f>
        <v>na</v>
      </c>
      <c r="I137" s="711" t="str">
        <f>IF(OR($C137="na",$H137="na"),"na",IF($H137="PQL","TBD",$H137/(Eqtn!$D$237*($C137+Eqtn!$D$238))))</f>
        <v>na</v>
      </c>
      <c r="J137" s="711"/>
      <c r="K137" s="712">
        <f>IF(OR($C137="na",$J137="na"),"na",IF($J137="PQL","TBD",$J137/(Eqtn!$D$237*($C137+Eqtn!$D$238))))</f>
        <v>0</v>
      </c>
      <c r="L137" s="322"/>
      <c r="M137" s="1062"/>
    </row>
    <row r="138" spans="1:13" ht="13.9" customHeight="1" x14ac:dyDescent="0.25">
      <c r="A138" s="847">
        <f>Chem!A138</f>
        <v>136</v>
      </c>
      <c r="B138" s="931" t="str">
        <f>Chem!B138</f>
        <v>Pentachlorophenol</v>
      </c>
      <c r="C138" s="924">
        <f>Param!J138</f>
        <v>7.79</v>
      </c>
      <c r="D138" s="219">
        <f>'SD-Det'!Z138</f>
        <v>0.35499999999999998</v>
      </c>
      <c r="E138" s="2092">
        <f>IF(OR($C138="na",$D138="na"),"na",IF($D138="PQL","TBD",$D138/(Eqtn!$D$237*($C138+Eqtn!$D$238))))</f>
        <v>42.297448836557336</v>
      </c>
      <c r="F138" s="273">
        <f>'SD-Det'!P138</f>
        <v>0.35499999999999998</v>
      </c>
      <c r="G138" s="728">
        <f>IF(OR($C138="na",$F138="na"),"na",IF($F138="PQL","TBD",$F138/(Eqtn!$D$237*($C138+Eqtn!$D$238))))</f>
        <v>42.297448836557336</v>
      </c>
      <c r="H138" s="711">
        <f>'SD-Det'!AR138</f>
        <v>0.36</v>
      </c>
      <c r="I138" s="711">
        <f>IF(OR($C138="na",$H138="na"),"na",IF($H138="PQL","TBD",$H138/(Eqtn!$D$237*($C138+Eqtn!$D$238))))</f>
        <v>42.89318755256518</v>
      </c>
      <c r="J138" s="711"/>
      <c r="K138" s="712">
        <f>IF(OR($C138="na",$J138="na"),"na",IF($J138="PQL","TBD",$J138/(Eqtn!$D$237*($C138+Eqtn!$D$238))))</f>
        <v>0</v>
      </c>
      <c r="L138" s="322"/>
      <c r="M138" s="1062"/>
    </row>
    <row r="139" spans="1:13" ht="13.9" customHeight="1" x14ac:dyDescent="0.25">
      <c r="A139" s="847">
        <f>Chem!A139</f>
        <v>137</v>
      </c>
      <c r="B139" s="931" t="str">
        <f>Chem!B139</f>
        <v>Phenol</v>
      </c>
      <c r="C139" s="924">
        <f>Param!J139</f>
        <v>3.5529999999999999</v>
      </c>
      <c r="D139" s="219">
        <f>'SD-Det'!Z139</f>
        <v>0.42</v>
      </c>
      <c r="E139" s="2092">
        <f>IF(OR($C139="na",$D139="na"),"na",IF($D139="PQL","TBD",$D139/(Eqtn!$D$237*($C139+Eqtn!$D$238))))</f>
        <v>101.06014069156842</v>
      </c>
      <c r="F139" s="273">
        <f>'SD-Det'!P139</f>
        <v>1.2</v>
      </c>
      <c r="G139" s="728">
        <f>IF(OR($C139="na",$F139="na"),"na",IF($F139="PQL","TBD",$F139/(Eqtn!$D$237*($C139+Eqtn!$D$238))))</f>
        <v>288.7432591187669</v>
      </c>
      <c r="H139" s="711">
        <f>'SD-Det'!AR139</f>
        <v>0.42</v>
      </c>
      <c r="I139" s="711">
        <f>IF(OR($C139="na",$H139="na"),"na",IF($H139="PQL","TBD",$H139/(Eqtn!$D$237*($C139+Eqtn!$D$238))))</f>
        <v>101.06014069156842</v>
      </c>
      <c r="J139" s="711"/>
      <c r="K139" s="712">
        <f>IF(OR($C139="na",$J139="na"),"na",IF($J139="PQL","TBD",$J139/(Eqtn!$D$237*($C139+Eqtn!$D$238))))</f>
        <v>0</v>
      </c>
      <c r="L139" s="322"/>
      <c r="M139" s="1062"/>
    </row>
    <row r="140" spans="1:13" ht="13.9" customHeight="1" x14ac:dyDescent="0.25">
      <c r="A140" s="847">
        <f>Chem!A140</f>
        <v>138</v>
      </c>
      <c r="B140" s="931" t="str">
        <f>Chem!B140</f>
        <v>Pyridine</v>
      </c>
      <c r="C140" s="924">
        <f>Param!J140</f>
        <v>1.3623000000000001</v>
      </c>
      <c r="D140" s="219" t="str">
        <f>'SD-Det'!Z140</f>
        <v>na</v>
      </c>
      <c r="E140" s="2092" t="str">
        <f>IF(OR($C140="na",$D140="na"),"na",IF($D140="PQL","TBD",$D140/(Eqtn!$D$237*($C140+Eqtn!$D$238))))</f>
        <v>na</v>
      </c>
      <c r="F140" s="273" t="str">
        <f>'SD-Det'!P140</f>
        <v>na</v>
      </c>
      <c r="G140" s="728" t="str">
        <f>IF(OR($C140="na",$F140="na"),"na",IF($F140="PQL","TBD",$F140/(Eqtn!$D$237*($C140+Eqtn!$D$238))))</f>
        <v>na</v>
      </c>
      <c r="H140" s="711" t="str">
        <f>'SD-Det'!AR140</f>
        <v>na</v>
      </c>
      <c r="I140" s="711" t="str">
        <f>IF(OR($C140="na",$H140="na"),"na",IF($H140="PQL","TBD",$H140/(Eqtn!$D$237*($C140+Eqtn!$D$238))))</f>
        <v>na</v>
      </c>
      <c r="J140" s="711"/>
      <c r="K140" s="712">
        <f>IF(OR($C140="na",$J140="na"),"na",IF($J140="PQL","TBD",$J140/(Eqtn!$D$237*($C140+Eqtn!$D$238))))</f>
        <v>0</v>
      </c>
      <c r="L140" s="322"/>
      <c r="M140" s="1062"/>
    </row>
    <row r="141" spans="1:13" ht="13.9" customHeight="1" x14ac:dyDescent="0.25">
      <c r="A141" s="847">
        <f>Chem!A141</f>
        <v>139</v>
      </c>
      <c r="B141" s="931" t="str">
        <f>Chem!B141</f>
        <v>2,3,4,5-Tetrachlorophenol</v>
      </c>
      <c r="C141" s="924">
        <f>Param!J141</f>
        <v>8.702</v>
      </c>
      <c r="D141" s="219" t="str">
        <f>'SD-Det'!Z141</f>
        <v>na</v>
      </c>
      <c r="E141" s="2092" t="str">
        <f>IF(OR($C141="na",$D141="na"),"na",IF($D141="PQL","TBD",$D141/(Eqtn!$D$237*($C141+Eqtn!$D$238))))</f>
        <v>na</v>
      </c>
      <c r="F141" s="273" t="str">
        <f>'SD-Det'!P141</f>
        <v>na</v>
      </c>
      <c r="G141" s="728" t="str">
        <f>IF(OR($C141="na",$F141="na"),"na",IF($F141="PQL","TBD",$F141/(Eqtn!$D$237*($C141+Eqtn!$D$238))))</f>
        <v>na</v>
      </c>
      <c r="H141" s="711" t="str">
        <f>'SD-Det'!AR141</f>
        <v>na</v>
      </c>
      <c r="I141" s="711" t="str">
        <f>IF(OR($C141="na",$H141="na"),"na",IF($H141="PQL","TBD",$H141/(Eqtn!$D$237*($C141+Eqtn!$D$238))))</f>
        <v>na</v>
      </c>
      <c r="J141" s="711"/>
      <c r="K141" s="712">
        <f>IF(OR($C141="na",$J141="na"),"na",IF($J141="PQL","TBD",$J141/(Eqtn!$D$237*($C141+Eqtn!$D$238))))</f>
        <v>0</v>
      </c>
      <c r="L141" s="322"/>
      <c r="M141" s="1062"/>
    </row>
    <row r="142" spans="1:13" ht="13.9" customHeight="1" x14ac:dyDescent="0.25">
      <c r="A142" s="847">
        <f>Chem!A142</f>
        <v>140</v>
      </c>
      <c r="B142" s="931" t="str">
        <f>Chem!B142</f>
        <v>2,3,4,6-Tetrachlorophenol</v>
      </c>
      <c r="C142" s="924">
        <f>Param!J142</f>
        <v>1.9949999999999999</v>
      </c>
      <c r="D142" s="219" t="str">
        <f>'SD-Det'!Z142</f>
        <v>na</v>
      </c>
      <c r="E142" s="2092" t="str">
        <f>IF(OR($C142="na",$D142="na"),"na",IF($D142="PQL","TBD",$D142/(Eqtn!$D$237*($C142+Eqtn!$D$238))))</f>
        <v>na</v>
      </c>
      <c r="F142" s="273" t="str">
        <f>'SD-Det'!P142</f>
        <v>na</v>
      </c>
      <c r="G142" s="728" t="str">
        <f>IF(OR($C142="na",$F142="na"),"na",IF($F142="PQL","TBD",$F142/(Eqtn!$D$237*($C142+Eqtn!$D$238))))</f>
        <v>na</v>
      </c>
      <c r="H142" s="711" t="str">
        <f>'SD-Det'!AR142</f>
        <v>na</v>
      </c>
      <c r="I142" s="711" t="str">
        <f>IF(OR($C142="na",$H142="na"),"na",IF($H142="PQL","TBD",$H142/(Eqtn!$D$237*($C142+Eqtn!$D$238))))</f>
        <v>na</v>
      </c>
      <c r="J142" s="711"/>
      <c r="K142" s="712">
        <f>IF(OR($C142="na",$J142="na"),"na",IF($J142="PQL","TBD",$J142/(Eqtn!$D$237*($C142+Eqtn!$D$238))))</f>
        <v>0</v>
      </c>
      <c r="L142" s="322"/>
      <c r="M142" s="1062"/>
    </row>
    <row r="143" spans="1:13" ht="13.9" customHeight="1" x14ac:dyDescent="0.25">
      <c r="A143" s="847">
        <f>Chem!A143</f>
        <v>141</v>
      </c>
      <c r="B143" s="931" t="str">
        <f>Chem!B143</f>
        <v>1,2,4-Trichlorobenzene</v>
      </c>
      <c r="C143" s="924">
        <f>Param!J143</f>
        <v>31.54</v>
      </c>
      <c r="D143" s="219">
        <f>'SD-Det'!Z143</f>
        <v>3.1E-2</v>
      </c>
      <c r="E143" s="2092">
        <f>IF(OR($C143="na",$D143="na"),"na",IF($D143="PQL","TBD",$D143/(Eqtn!$D$237*($C143+Eqtn!$D$238))))</f>
        <v>0.96444192302765219</v>
      </c>
      <c r="F143" s="273">
        <f>'SD-Det'!P143</f>
        <v>5.0999999999999997E-2</v>
      </c>
      <c r="G143" s="728">
        <f>IF(OR($C143="na",$F143="na"),"na",IF($F143="PQL","TBD",$F143/(Eqtn!$D$237*($C143+Eqtn!$D$238))))</f>
        <v>1.5866625185293632</v>
      </c>
      <c r="H143" s="711">
        <f>'SD-Det'!AR143</f>
        <v>3.1E-2</v>
      </c>
      <c r="I143" s="711">
        <f>IF(OR($C143="na",$H143="na"),"na",IF($H143="PQL","TBD",$H143/(Eqtn!$D$237*($C143+Eqtn!$D$238))))</f>
        <v>0.96444192302765219</v>
      </c>
      <c r="J143" s="711"/>
      <c r="K143" s="712">
        <f>IF(OR($C143="na",$J143="na"),"na",IF($J143="PQL","TBD",$J143/(Eqtn!$D$237*($C143+Eqtn!$D$238))))</f>
        <v>0</v>
      </c>
      <c r="L143" s="322"/>
      <c r="M143" s="1062"/>
    </row>
    <row r="144" spans="1:13" ht="13.9" customHeight="1" x14ac:dyDescent="0.25">
      <c r="A144" s="847">
        <f>Chem!A144</f>
        <v>142</v>
      </c>
      <c r="B144" s="931" t="str">
        <f>Chem!B144</f>
        <v>2,4,5-Trichlorophenol</v>
      </c>
      <c r="C144" s="924">
        <f>Param!J144</f>
        <v>5.6619999999999999</v>
      </c>
      <c r="D144" s="219" t="str">
        <f>'SD-Det'!Z144</f>
        <v>na</v>
      </c>
      <c r="E144" s="2092" t="str">
        <f>IF(OR($C144="na",$D144="na"),"na",IF($D144="PQL","TBD",$D144/(Eqtn!$D$237*($C144+Eqtn!$D$238))))</f>
        <v>na</v>
      </c>
      <c r="F144" s="273" t="str">
        <f>'SD-Det'!P144</f>
        <v>na</v>
      </c>
      <c r="G144" s="728" t="str">
        <f>IF(OR($C144="na",$F144="na"),"na",IF($F144="PQL","TBD",$F144/(Eqtn!$D$237*($C144+Eqtn!$D$238))))</f>
        <v>na</v>
      </c>
      <c r="H144" s="711" t="str">
        <f>'SD-Det'!AR144</f>
        <v>na</v>
      </c>
      <c r="I144" s="711" t="str">
        <f>IF(OR($C144="na",$H144="na"),"na",IF($H144="PQL","TBD",$H144/(Eqtn!$D$237*($C144+Eqtn!$D$238))))</f>
        <v>na</v>
      </c>
      <c r="J144" s="711"/>
      <c r="K144" s="712">
        <f>IF(OR($C144="na",$J144="na"),"na",IF($J144="PQL","TBD",$J144/(Eqtn!$D$237*($C144+Eqtn!$D$238))))</f>
        <v>0</v>
      </c>
      <c r="L144" s="322"/>
      <c r="M144" s="1062"/>
    </row>
    <row r="145" spans="1:13" ht="13.9" customHeight="1" x14ac:dyDescent="0.25">
      <c r="A145" s="842">
        <f>Chem!A145</f>
        <v>143</v>
      </c>
      <c r="B145" s="931" t="str">
        <f>Chem!B145</f>
        <v>2,4,6-Trichlorophenol</v>
      </c>
      <c r="C145" s="925">
        <f>Param!J145</f>
        <v>2.4889999999999999</v>
      </c>
      <c r="D145" s="2003" t="str">
        <f>'SD-Det'!Z145</f>
        <v>na</v>
      </c>
      <c r="E145" s="2093" t="str">
        <f>IF(OR($C145="na",$D145="na"),"na",IF($D145="PQL","TBD",$D145/(Eqtn!$D$237*($C145+Eqtn!$D$238))))</f>
        <v>na</v>
      </c>
      <c r="F145" s="651" t="str">
        <f>'SD-Det'!P145</f>
        <v>na</v>
      </c>
      <c r="G145" s="729" t="str">
        <f>IF(OR($C145="na",$F145="na"),"na",IF($F145="PQL","TBD",$F145/(Eqtn!$D$237*($C145+Eqtn!$D$238))))</f>
        <v>na</v>
      </c>
      <c r="H145" s="713" t="str">
        <f>'SD-Det'!AR145</f>
        <v>na</v>
      </c>
      <c r="I145" s="713" t="str">
        <f>IF(OR($C145="na",$H145="na"),"na",IF($H145="PQL","TBD",$H145/(Eqtn!$D$237*($C145+Eqtn!$D$238))))</f>
        <v>na</v>
      </c>
      <c r="J145" s="713"/>
      <c r="K145" s="714">
        <f>IF(OR($C145="na",$J145="na"),"na",IF($J145="PQL","TBD",$J145/(Eqtn!$D$237*($C145+Eqtn!$D$238))))</f>
        <v>0</v>
      </c>
      <c r="L145" s="322"/>
      <c r="M145" s="1062"/>
    </row>
    <row r="146" spans="1:13" ht="13.9" customHeight="1" x14ac:dyDescent="0.25">
      <c r="A146" s="1197">
        <f>Chem!A146</f>
        <v>144</v>
      </c>
      <c r="B146" s="934" t="str">
        <f>Chem!B146</f>
        <v>Volatile Organic Compounds</v>
      </c>
      <c r="C146" s="31"/>
      <c r="D146" s="297"/>
      <c r="E146" s="31"/>
      <c r="F146" s="297"/>
      <c r="G146" s="647"/>
      <c r="H146" s="31"/>
      <c r="I146" s="31"/>
      <c r="J146" s="31"/>
      <c r="K146" s="648"/>
      <c r="L146" s="129"/>
      <c r="M146" s="1063"/>
    </row>
    <row r="147" spans="1:13" ht="13.9" customHeight="1" x14ac:dyDescent="0.25">
      <c r="A147" s="846">
        <f>Chem!A147</f>
        <v>145</v>
      </c>
      <c r="B147" s="931" t="str">
        <f>Chem!B147</f>
        <v>Acetone</v>
      </c>
      <c r="C147" s="929">
        <f>Param!J147</f>
        <v>4.4839999999999998E-2</v>
      </c>
      <c r="D147" s="218" t="str">
        <f>'SD-Det'!Z147</f>
        <v>na</v>
      </c>
      <c r="E147" s="2101" t="str">
        <f>IF(OR($C147="na",$D147="na"),"na",IF($D147="PQL","TBD",$D147/(Eqtn!$D$237*($C147+Eqtn!$D$238))))</f>
        <v>na</v>
      </c>
      <c r="F147" s="298" t="str">
        <f>'SD-Det'!P147</f>
        <v>na</v>
      </c>
      <c r="G147" s="727" t="str">
        <f>IF(OR($C147="na",$F147="na"),"na",IF($F147="PQL","TBD",$F147/(Eqtn!$D$237*($C147+Eqtn!$D$238))))</f>
        <v>na</v>
      </c>
      <c r="H147" s="709" t="str">
        <f>'SD-Det'!AR147</f>
        <v>na</v>
      </c>
      <c r="I147" s="709" t="str">
        <f>IF(OR($C147="na",$H147="na"),"na",IF($H147="PQL","TBD",$H147/(Eqtn!$D$237*($C147+Eqtn!$D$238))))</f>
        <v>na</v>
      </c>
      <c r="J147" s="709"/>
      <c r="K147" s="712">
        <f>IF(OR($C147="na",$J147="na"),"na",IF($J147="PQL","TBD",$J147/(Eqtn!$D$237*($C147+Eqtn!$D$238))))</f>
        <v>0</v>
      </c>
      <c r="L147" s="322"/>
      <c r="M147" s="1062"/>
    </row>
    <row r="148" spans="1:13" ht="13.9" customHeight="1" x14ac:dyDescent="0.25">
      <c r="A148" s="846">
        <f>Chem!A148</f>
        <v>146</v>
      </c>
      <c r="B148" s="931" t="str">
        <f>Chem!B148</f>
        <v>Acetaldehyde</v>
      </c>
      <c r="C148" s="929">
        <f>Param!J148</f>
        <v>1.9E-2</v>
      </c>
      <c r="D148" s="218" t="str">
        <f>'SD-Det'!Z148</f>
        <v>na</v>
      </c>
      <c r="E148" s="2101" t="str">
        <f>IF(OR($C148="na",$D148="na"),"na",IF($D148="PQL","TBD",$D148/(Eqtn!$D$237*($C148+Eqtn!$D$238))))</f>
        <v>na</v>
      </c>
      <c r="F148" s="298" t="str">
        <f>'SD-Det'!P148</f>
        <v>na</v>
      </c>
      <c r="G148" s="727" t="str">
        <f>IF(OR($C148="na",$F148="na"),"na",IF($F148="PQL","TBD",$F148/(Eqtn!$D$237*($C148+Eqtn!$D$238))))</f>
        <v>na</v>
      </c>
      <c r="H148" s="709" t="str">
        <f>'SD-Det'!AR148</f>
        <v>na</v>
      </c>
      <c r="I148" s="709" t="str">
        <f>IF(OR($C148="na",$H148="na"),"na",IF($H148="PQL","TBD",$H148/(Eqtn!$D$237*($C148+Eqtn!$D$238))))</f>
        <v>na</v>
      </c>
      <c r="J148" s="32"/>
      <c r="K148" s="712">
        <f>IF(OR($C148="na",$J148="na"),"na",IF($J148="PQL","TBD",$J148/(Eqtn!$D$237*($C148+Eqtn!$D$238))))</f>
        <v>0</v>
      </c>
      <c r="L148" s="322"/>
      <c r="M148" s="1062"/>
    </row>
    <row r="149" spans="1:13" ht="13.9" customHeight="1" x14ac:dyDescent="0.25">
      <c r="A149" s="846">
        <f>Chem!A149</f>
        <v>147</v>
      </c>
      <c r="B149" s="931" t="str">
        <f>Chem!B149</f>
        <v>Acrolein</v>
      </c>
      <c r="C149" s="924">
        <f>Param!J149</f>
        <v>1.9E-2</v>
      </c>
      <c r="D149" s="219" t="str">
        <f>'SD-Det'!Z149</f>
        <v>na</v>
      </c>
      <c r="E149" s="2092" t="str">
        <f>IF(OR($C149="na",$D149="na"),"na",IF($D149="PQL","TBD",$D149/(Eqtn!$D$237*($C149+Eqtn!$D$238))))</f>
        <v>na</v>
      </c>
      <c r="F149" s="273" t="str">
        <f>'SD-Det'!P149</f>
        <v>na</v>
      </c>
      <c r="G149" s="728" t="str">
        <f>IF(OR($C149="na",$F149="na"),"na",IF($F149="PQL","TBD",$F149/(Eqtn!$D$237*($C149+Eqtn!$D$238))))</f>
        <v>na</v>
      </c>
      <c r="H149" s="711" t="str">
        <f>'SD-Det'!AR149</f>
        <v>na</v>
      </c>
      <c r="I149" s="711" t="str">
        <f>IF(OR($C149="na",$H149="na"),"na",IF($H149="PQL","TBD",$H149/(Eqtn!$D$237*($C149+Eqtn!$D$238))))</f>
        <v>na</v>
      </c>
      <c r="J149" s="711"/>
      <c r="K149" s="712">
        <f>IF(OR($C149="na",$J149="na"),"na",IF($J149="PQL","TBD",$J149/(Eqtn!$D$237*($C149+Eqtn!$D$238))))</f>
        <v>0</v>
      </c>
      <c r="L149" s="322"/>
      <c r="M149" s="1062"/>
    </row>
    <row r="150" spans="1:13" ht="13.9" customHeight="1" x14ac:dyDescent="0.25">
      <c r="A150" s="846">
        <f>Chem!A150</f>
        <v>148</v>
      </c>
      <c r="B150" s="931" t="str">
        <f>Chem!B150</f>
        <v>Acrylonitrile</v>
      </c>
      <c r="C150" s="924">
        <f>Param!J150</f>
        <v>0.16169</v>
      </c>
      <c r="D150" s="219" t="str">
        <f>'SD-Det'!Z150</f>
        <v>na</v>
      </c>
      <c r="E150" s="2092" t="str">
        <f>IF(OR($C150="na",$D150="na"),"na",IF($D150="PQL","TBD",$D150/(Eqtn!$D$237*($C150+Eqtn!$D$238))))</f>
        <v>na</v>
      </c>
      <c r="F150" s="273" t="str">
        <f>'SD-Det'!P150</f>
        <v>na</v>
      </c>
      <c r="G150" s="728" t="str">
        <f>IF(OR($C150="na",$F150="na"),"na",IF($F150="PQL","TBD",$F150/(Eqtn!$D$237*($C150+Eqtn!$D$238))))</f>
        <v>na</v>
      </c>
      <c r="H150" s="711" t="str">
        <f>'SD-Det'!AR150</f>
        <v>na</v>
      </c>
      <c r="I150" s="711" t="str">
        <f>IF(OR($C150="na",$H150="na"),"na",IF($H150="PQL","TBD",$H150/(Eqtn!$D$237*($C150+Eqtn!$D$238))))</f>
        <v>na</v>
      </c>
      <c r="J150" s="711"/>
      <c r="K150" s="712">
        <f>IF(OR($C150="na",$J150="na"),"na",IF($J150="PQL","TBD",$J150/(Eqtn!$D$237*($C150+Eqtn!$D$238))))</f>
        <v>0</v>
      </c>
      <c r="L150" s="322"/>
      <c r="M150" s="1062"/>
    </row>
    <row r="151" spans="1:13" ht="13.9" customHeight="1" x14ac:dyDescent="0.25">
      <c r="A151" s="846">
        <f>Chem!A151</f>
        <v>149</v>
      </c>
      <c r="B151" s="931" t="str">
        <f>Chem!B151</f>
        <v>Benzaldehyde</v>
      </c>
      <c r="C151" s="924">
        <f>Param!J151</f>
        <v>0.21089999999999998</v>
      </c>
      <c r="D151" s="219" t="str">
        <f>'SD-Det'!Z151</f>
        <v>na</v>
      </c>
      <c r="E151" s="2092" t="str">
        <f>IF(OR($C151="na",$D151="na"),"na",IF($D151="PQL","TBD",$D151/(Eqtn!$D$237*($C151+Eqtn!$D$238))))</f>
        <v>na</v>
      </c>
      <c r="F151" s="273" t="str">
        <f>'SD-Det'!P151</f>
        <v>na</v>
      </c>
      <c r="G151" s="728" t="str">
        <f>IF(OR($C151="na",$F151="na"),"na",IF($F151="PQL","TBD",$F151/(Eqtn!$D$237*($C151+Eqtn!$D$238))))</f>
        <v>na</v>
      </c>
      <c r="H151" s="711" t="str">
        <f>'SD-Det'!AR151</f>
        <v>na</v>
      </c>
      <c r="I151" s="711" t="str">
        <f>IF(OR($C151="na",$H151="na"),"na",IF($H151="PQL","TBD",$H151/(Eqtn!$D$237*($C151+Eqtn!$D$238))))</f>
        <v>na</v>
      </c>
      <c r="J151" s="711"/>
      <c r="K151" s="712">
        <f>IF(OR($C151="na",$J151="na"),"na",IF($J151="PQL","TBD",$J151/(Eqtn!$D$237*($C151+Eqtn!$D$238))))</f>
        <v>0</v>
      </c>
      <c r="L151" s="322"/>
      <c r="M151" s="1062"/>
    </row>
    <row r="152" spans="1:13" ht="13.9" customHeight="1" x14ac:dyDescent="0.25">
      <c r="A152" s="846">
        <f>Chem!A152</f>
        <v>150</v>
      </c>
      <c r="B152" s="931" t="str">
        <f>Chem!B152</f>
        <v>Benzene</v>
      </c>
      <c r="C152" s="924">
        <f>Param!J152</f>
        <v>1.1779999999999999</v>
      </c>
      <c r="D152" s="219" t="str">
        <f>'SD-Det'!Z152</f>
        <v>na</v>
      </c>
      <c r="E152" s="2092" t="str">
        <f>IF(OR($C152="na",$D152="na"),"na",IF($D152="PQL","TBD",$D152/(Eqtn!$D$237*($C152+Eqtn!$D$238))))</f>
        <v>na</v>
      </c>
      <c r="F152" s="273" t="str">
        <f>'SD-Det'!P152</f>
        <v>na</v>
      </c>
      <c r="G152" s="728" t="str">
        <f>IF(OR($C152="na",$F152="na"),"na",IF($F152="PQL","TBD",$F152/(Eqtn!$D$237*($C152+Eqtn!$D$238))))</f>
        <v>na</v>
      </c>
      <c r="H152" s="711" t="str">
        <f>'SD-Det'!AR152</f>
        <v>na</v>
      </c>
      <c r="I152" s="711" t="str">
        <f>IF(OR($C152="na",$H152="na"),"na",IF($H152="PQL","TBD",$H152/(Eqtn!$D$237*($C152+Eqtn!$D$238))))</f>
        <v>na</v>
      </c>
      <c r="J152" s="711"/>
      <c r="K152" s="712">
        <f>IF(OR($C152="na",$J152="na"),"na",IF($J152="PQL","TBD",$J152/(Eqtn!$D$237*($C152+Eqtn!$D$238))))</f>
        <v>0</v>
      </c>
      <c r="L152" s="322"/>
      <c r="M152" s="1062"/>
    </row>
    <row r="153" spans="1:13" ht="13.9" customHeight="1" x14ac:dyDescent="0.25">
      <c r="A153" s="846">
        <f>Chem!A153</f>
        <v>151</v>
      </c>
      <c r="B153" s="931" t="str">
        <f>Chem!B153</f>
        <v>Bromobenzene</v>
      </c>
      <c r="C153" s="924">
        <f>Param!J153</f>
        <v>4.4459999999999997</v>
      </c>
      <c r="D153" s="219" t="str">
        <f>'SD-Det'!Z153</f>
        <v>na</v>
      </c>
      <c r="E153" s="2092" t="str">
        <f>IF(OR($C153="na",$D153="na"),"na",IF($D153="PQL","TBD",$D153/(Eqtn!$D$237*($C153+Eqtn!$D$238))))</f>
        <v>na</v>
      </c>
      <c r="F153" s="273" t="str">
        <f>'SD-Det'!P153</f>
        <v>na</v>
      </c>
      <c r="G153" s="728" t="str">
        <f>IF(OR($C153="na",$F153="na"),"na",IF($F153="PQL","TBD",$F153/(Eqtn!$D$237*($C153+Eqtn!$D$238))))</f>
        <v>na</v>
      </c>
      <c r="H153" s="711" t="str">
        <f>'SD-Det'!AR153</f>
        <v>na</v>
      </c>
      <c r="I153" s="711" t="str">
        <f>IF(OR($C153="na",$H153="na"),"na",IF($H153="PQL","TBD",$H153/(Eqtn!$D$237*($C153+Eqtn!$D$238))))</f>
        <v>na</v>
      </c>
      <c r="J153" s="711"/>
      <c r="K153" s="712">
        <f>IF(OR($C153="na",$J153="na"),"na",IF($J153="PQL","TBD",$J153/(Eqtn!$D$237*($C153+Eqtn!$D$238))))</f>
        <v>0</v>
      </c>
      <c r="L153" s="322"/>
      <c r="M153" s="1062"/>
    </row>
    <row r="154" spans="1:13" ht="13.9" customHeight="1" x14ac:dyDescent="0.25">
      <c r="A154" s="846">
        <f>Chem!A154</f>
        <v>152</v>
      </c>
      <c r="B154" s="931" t="str">
        <f>Chem!B154</f>
        <v>Bromochloromethane</v>
      </c>
      <c r="C154" s="924">
        <f>Param!J154</f>
        <v>0.4123</v>
      </c>
      <c r="D154" s="219" t="str">
        <f>'SD-Det'!Z154</f>
        <v>na</v>
      </c>
      <c r="E154" s="2092" t="str">
        <f>IF(OR($C154="na",$D154="na"),"na",IF($D154="PQL","TBD",$D154/(Eqtn!$D$237*($C154+Eqtn!$D$238))))</f>
        <v>na</v>
      </c>
      <c r="F154" s="273" t="str">
        <f>'SD-Det'!P154</f>
        <v>na</v>
      </c>
      <c r="G154" s="728" t="str">
        <f>IF(OR($C154="na",$F154="na"),"na",IF($F154="PQL","TBD",$F154/(Eqtn!$D$237*($C154+Eqtn!$D$238))))</f>
        <v>na</v>
      </c>
      <c r="H154" s="711" t="str">
        <f>'SD-Det'!AR154</f>
        <v>na</v>
      </c>
      <c r="I154" s="711" t="str">
        <f>IF(OR($C154="na",$H154="na"),"na",IF($H154="PQL","TBD",$H154/(Eqtn!$D$237*($C154+Eqtn!$D$238))))</f>
        <v>na</v>
      </c>
      <c r="J154" s="711"/>
      <c r="K154" s="712">
        <f>IF(OR($C154="na",$J154="na"),"na",IF($J154="PQL","TBD",$J154/(Eqtn!$D$237*($C154+Eqtn!$D$238))))</f>
        <v>0</v>
      </c>
      <c r="L154" s="322"/>
      <c r="M154" s="1062"/>
    </row>
    <row r="155" spans="1:13" ht="13.9" customHeight="1" x14ac:dyDescent="0.25">
      <c r="A155" s="846">
        <f>Chem!A155</f>
        <v>153</v>
      </c>
      <c r="B155" s="931" t="str">
        <f>Chem!B155</f>
        <v>Bromoethane</v>
      </c>
      <c r="C155" s="924" t="str">
        <f>Param!J155</f>
        <v>na</v>
      </c>
      <c r="D155" s="219" t="str">
        <f>'SD-Det'!Z155</f>
        <v>na</v>
      </c>
      <c r="E155" s="2092" t="str">
        <f>IF(OR($C155="na",$D155="na"),"na",IF($D155="PQL","TBD",$D155/(Eqtn!$D$237*($C155+Eqtn!$D$238))))</f>
        <v>na</v>
      </c>
      <c r="F155" s="273" t="str">
        <f>'SD-Det'!P155</f>
        <v>na</v>
      </c>
      <c r="G155" s="728" t="str">
        <f>IF(OR($C155="na",$F155="na"),"na",IF($F155="PQL","TBD",$F155/(Eqtn!$D$237*($C155+Eqtn!$D$238))))</f>
        <v>na</v>
      </c>
      <c r="H155" s="711" t="str">
        <f>'SD-Det'!AR155</f>
        <v>na</v>
      </c>
      <c r="I155" s="711" t="str">
        <f>IF(OR($C155="na",$H155="na"),"na",IF($H155="PQL","TBD",$H155/(Eqtn!$D$237*($C155+Eqtn!$D$238))))</f>
        <v>na</v>
      </c>
      <c r="J155" s="711"/>
      <c r="K155" s="712" t="str">
        <f>IF(OR($C155="na",$J155="na"),"na",IF($J155="PQL","TBD",$J155/(Eqtn!$D$237*($C155+Eqtn!$D$238))))</f>
        <v>na</v>
      </c>
      <c r="L155" s="322"/>
      <c r="M155" s="1062"/>
    </row>
    <row r="156" spans="1:13" ht="13.9" customHeight="1" x14ac:dyDescent="0.25">
      <c r="A156" s="846">
        <f>Chem!A156</f>
        <v>154</v>
      </c>
      <c r="B156" s="931" t="str">
        <f>Chem!B156</f>
        <v>Bromoform</v>
      </c>
      <c r="C156" s="924">
        <f>Param!J156</f>
        <v>2.3940000000000001</v>
      </c>
      <c r="D156" s="219" t="str">
        <f>'SD-Det'!Z156</f>
        <v>na</v>
      </c>
      <c r="E156" s="2092" t="str">
        <f>IF(OR($C156="na",$D156="na"),"na",IF($D156="PQL","TBD",$D156/(Eqtn!$D$237*($C156+Eqtn!$D$238))))</f>
        <v>na</v>
      </c>
      <c r="F156" s="273" t="str">
        <f>'SD-Det'!P156</f>
        <v>na</v>
      </c>
      <c r="G156" s="728" t="str">
        <f>IF(OR($C156="na",$F156="na"),"na",IF($F156="PQL","TBD",$F156/(Eqtn!$D$237*($C156+Eqtn!$D$238))))</f>
        <v>na</v>
      </c>
      <c r="H156" s="711" t="str">
        <f>'SD-Det'!AR156</f>
        <v>na</v>
      </c>
      <c r="I156" s="711" t="str">
        <f>IF(OR($C156="na",$H156="na"),"na",IF($H156="PQL","TBD",$H156/(Eqtn!$D$237*($C156+Eqtn!$D$238))))</f>
        <v>na</v>
      </c>
      <c r="J156" s="711"/>
      <c r="K156" s="712">
        <f>IF(OR($C156="na",$J156="na"),"na",IF($J156="PQL","TBD",$J156/(Eqtn!$D$237*($C156+Eqtn!$D$238))))</f>
        <v>0</v>
      </c>
      <c r="L156" s="322"/>
      <c r="M156" s="1062"/>
    </row>
    <row r="157" spans="1:13" ht="13.9" customHeight="1" x14ac:dyDescent="0.25">
      <c r="A157" s="846">
        <f>Chem!A157</f>
        <v>155</v>
      </c>
      <c r="B157" s="931" t="str">
        <f>Chem!B157</f>
        <v>Bromomethane</v>
      </c>
      <c r="C157" s="924">
        <f>Param!J157</f>
        <v>0.17099999999999999</v>
      </c>
      <c r="D157" s="219" t="str">
        <f>'SD-Det'!Z157</f>
        <v>na</v>
      </c>
      <c r="E157" s="2092" t="str">
        <f>IF(OR($C157="na",$D157="na"),"na",IF($D157="PQL","TBD",$D157/(Eqtn!$D$237*($C157+Eqtn!$D$238))))</f>
        <v>na</v>
      </c>
      <c r="F157" s="273" t="str">
        <f>'SD-Det'!P157</f>
        <v>na</v>
      </c>
      <c r="G157" s="728" t="str">
        <f>IF(OR($C157="na",$F157="na"),"na",IF($F157="PQL","TBD",$F157/(Eqtn!$D$237*($C157+Eqtn!$D$238))))</f>
        <v>na</v>
      </c>
      <c r="H157" s="711" t="str">
        <f>'SD-Det'!AR157</f>
        <v>na</v>
      </c>
      <c r="I157" s="711" t="str">
        <f>IF(OR($C157="na",$H157="na"),"na",IF($H157="PQL","TBD",$H157/(Eqtn!$D$237*($C157+Eqtn!$D$238))))</f>
        <v>na</v>
      </c>
      <c r="J157" s="711"/>
      <c r="K157" s="712">
        <f>IF(OR($C157="na",$J157="na"),"na",IF($J157="PQL","TBD",$J157/(Eqtn!$D$237*($C157+Eqtn!$D$238))))</f>
        <v>0</v>
      </c>
      <c r="L157" s="322"/>
      <c r="M157" s="1062"/>
    </row>
    <row r="158" spans="1:13" ht="13.9" customHeight="1" x14ac:dyDescent="0.25">
      <c r="A158" s="846">
        <f>Chem!A158</f>
        <v>156</v>
      </c>
      <c r="B158" s="931" t="str">
        <f>Chem!B158</f>
        <v>2-Butoxyethanol (EGBE)</v>
      </c>
      <c r="C158" s="924">
        <f>Param!J158</f>
        <v>5.3579999999999996E-2</v>
      </c>
      <c r="D158" s="219" t="str">
        <f>'SD-Det'!Z158</f>
        <v>na</v>
      </c>
      <c r="E158" s="2092" t="str">
        <f>IF(OR($C158="na",$D158="na"),"na",IF($D158="PQL","TBD",$D158/(Eqtn!$D$237*($C158+Eqtn!$D$238))))</f>
        <v>na</v>
      </c>
      <c r="F158" s="273" t="str">
        <f>'SD-Det'!P158</f>
        <v>na</v>
      </c>
      <c r="G158" s="728" t="str">
        <f>IF(OR($C158="na",$F158="na"),"na",IF($F158="PQL","TBD",$F158/(Eqtn!$D$237*($C158+Eqtn!$D$238))))</f>
        <v>na</v>
      </c>
      <c r="H158" s="711" t="str">
        <f>'SD-Det'!AR158</f>
        <v>na</v>
      </c>
      <c r="I158" s="711" t="str">
        <f>IF(OR($C158="na",$H158="na"),"na",IF($H158="PQL","TBD",$H158/(Eqtn!$D$237*($C158+Eqtn!$D$238))))</f>
        <v>na</v>
      </c>
      <c r="J158" s="711"/>
      <c r="K158" s="712">
        <f>IF(OR($C158="na",$J158="na"),"na",IF($J158="PQL","TBD",$J158/(Eqtn!$D$237*($C158+Eqtn!$D$238))))</f>
        <v>0</v>
      </c>
      <c r="L158" s="322"/>
      <c r="M158" s="1062"/>
    </row>
    <row r="159" spans="1:13" ht="13.9" customHeight="1" x14ac:dyDescent="0.25">
      <c r="A159" s="846">
        <f>Chem!A159</f>
        <v>157</v>
      </c>
      <c r="B159" s="931" t="str">
        <f>Chem!B159</f>
        <v>n-Butylbenzene</v>
      </c>
      <c r="C159" s="924">
        <f>Param!J159</f>
        <v>28.12</v>
      </c>
      <c r="D159" s="219" t="str">
        <f>'SD-Det'!Z159</f>
        <v>na</v>
      </c>
      <c r="E159" s="2092" t="str">
        <f>IF(OR($C159="na",$D159="na"),"na",IF($D159="PQL","TBD",$D159/(Eqtn!$D$237*($C159+Eqtn!$D$238))))</f>
        <v>na</v>
      </c>
      <c r="F159" s="273" t="str">
        <f>'SD-Det'!P159</f>
        <v>na</v>
      </c>
      <c r="G159" s="728" t="str">
        <f>IF(OR($C159="na",$F159="na"),"na",IF($F159="PQL","TBD",$F159/(Eqtn!$D$237*($C159+Eqtn!$D$238))))</f>
        <v>na</v>
      </c>
      <c r="H159" s="711" t="str">
        <f>'SD-Det'!AR159</f>
        <v>na</v>
      </c>
      <c r="I159" s="711" t="str">
        <f>IF(OR($C159="na",$H159="na"),"na",IF($H159="PQL","TBD",$H159/(Eqtn!$D$237*($C159+Eqtn!$D$238))))</f>
        <v>na</v>
      </c>
      <c r="J159" s="711"/>
      <c r="K159" s="712">
        <f>IF(OR($C159="na",$J159="na"),"na",IF($J159="PQL","TBD",$J159/(Eqtn!$D$237*($C159+Eqtn!$D$238))))</f>
        <v>0</v>
      </c>
      <c r="L159" s="322"/>
      <c r="M159" s="1062"/>
    </row>
    <row r="160" spans="1:13" ht="13.9" customHeight="1" x14ac:dyDescent="0.25">
      <c r="A160" s="846">
        <f>Chem!A160</f>
        <v>158</v>
      </c>
      <c r="B160" s="931" t="str">
        <f>Chem!B160</f>
        <v>sec-Butylbenzene</v>
      </c>
      <c r="C160" s="924">
        <f>Param!J160</f>
        <v>25.27</v>
      </c>
      <c r="D160" s="219" t="str">
        <f>'SD-Det'!Z160</f>
        <v>na</v>
      </c>
      <c r="E160" s="2092" t="str">
        <f>IF(OR($C160="na",$D160="na"),"na",IF($D160="PQL","TBD",$D160/(Eqtn!$D$237*($C160+Eqtn!$D$238))))</f>
        <v>na</v>
      </c>
      <c r="F160" s="273" t="str">
        <f>'SD-Det'!P160</f>
        <v>na</v>
      </c>
      <c r="G160" s="728" t="str">
        <f>IF(OR($C160="na",$F160="na"),"na",IF($F160="PQL","TBD",$F160/(Eqtn!$D$237*($C160+Eqtn!$D$238))))</f>
        <v>na</v>
      </c>
      <c r="H160" s="711" t="str">
        <f>'SD-Det'!AR160</f>
        <v>na</v>
      </c>
      <c r="I160" s="711" t="str">
        <f>IF(OR($C160="na",$H160="na"),"na",IF($H160="PQL","TBD",$H160/(Eqtn!$D$237*($C160+Eqtn!$D$238))))</f>
        <v>na</v>
      </c>
      <c r="J160" s="711"/>
      <c r="K160" s="712">
        <f>IF(OR($C160="na",$J160="na"),"na",IF($J160="PQL","TBD",$J160/(Eqtn!$D$237*($C160+Eqtn!$D$238))))</f>
        <v>0</v>
      </c>
      <c r="L160" s="322"/>
      <c r="M160" s="1062"/>
    </row>
    <row r="161" spans="1:13" ht="13.9" customHeight="1" x14ac:dyDescent="0.25">
      <c r="A161" s="846">
        <f>Chem!A161</f>
        <v>159</v>
      </c>
      <c r="B161" s="931" t="str">
        <f>Chem!B161</f>
        <v>tert-Butylbenzene</v>
      </c>
      <c r="C161" s="924">
        <f>Param!J161</f>
        <v>19</v>
      </c>
      <c r="D161" s="219" t="str">
        <f>'SD-Det'!Z161</f>
        <v>na</v>
      </c>
      <c r="E161" s="2092" t="str">
        <f>IF(OR($C161="na",$D161="na"),"na",IF($D161="PQL","TBD",$D161/(Eqtn!$D$237*($C161+Eqtn!$D$238))))</f>
        <v>na</v>
      </c>
      <c r="F161" s="273" t="str">
        <f>'SD-Det'!P161</f>
        <v>na</v>
      </c>
      <c r="G161" s="728" t="str">
        <f>IF(OR($C161="na",$F161="na"),"na",IF($F161="PQL","TBD",$F161/(Eqtn!$D$237*($C161+Eqtn!$D$238))))</f>
        <v>na</v>
      </c>
      <c r="H161" s="711" t="str">
        <f>'SD-Det'!AR161</f>
        <v>na</v>
      </c>
      <c r="I161" s="711" t="str">
        <f>IF(OR($C161="na",$H161="na"),"na",IF($H161="PQL","TBD",$H161/(Eqtn!$D$237*($C161+Eqtn!$D$238))))</f>
        <v>na</v>
      </c>
      <c r="J161" s="711"/>
      <c r="K161" s="712">
        <f>IF(OR($C161="na",$J161="na"),"na",IF($J161="PQL","TBD",$J161/(Eqtn!$D$237*($C161+Eqtn!$D$238))))</f>
        <v>0</v>
      </c>
      <c r="L161" s="322"/>
      <c r="M161" s="1062"/>
    </row>
    <row r="162" spans="1:13" ht="13.9" customHeight="1" x14ac:dyDescent="0.25">
      <c r="A162" s="846">
        <f>Chem!A162</f>
        <v>160</v>
      </c>
      <c r="B162" s="931" t="str">
        <f>Chem!B162</f>
        <v>Carbon disulfide</v>
      </c>
      <c r="C162" s="924">
        <f>Param!J162</f>
        <v>0.4123</v>
      </c>
      <c r="D162" s="219" t="str">
        <f>'SD-Det'!Z162</f>
        <v>na</v>
      </c>
      <c r="E162" s="2092" t="str">
        <f>IF(OR($C162="na",$D162="na"),"na",IF($D162="PQL","TBD",$D162/(Eqtn!$D$237*($C162+Eqtn!$D$238))))</f>
        <v>na</v>
      </c>
      <c r="F162" s="273" t="str">
        <f>'SD-Det'!P162</f>
        <v>na</v>
      </c>
      <c r="G162" s="728" t="str">
        <f>IF(OR($C162="na",$F162="na"),"na",IF($F162="PQL","TBD",$F162/(Eqtn!$D$237*($C162+Eqtn!$D$238))))</f>
        <v>na</v>
      </c>
      <c r="H162" s="711" t="str">
        <f>'SD-Det'!AR162</f>
        <v>na</v>
      </c>
      <c r="I162" s="711" t="str">
        <f>IF(OR($C162="na",$H162="na"),"na",IF($H162="PQL","TBD",$H162/(Eqtn!$D$237*($C162+Eqtn!$D$238))))</f>
        <v>na</v>
      </c>
      <c r="J162" s="711"/>
      <c r="K162" s="712">
        <f>IF(OR($C162="na",$J162="na"),"na",IF($J162="PQL","TBD",$J162/(Eqtn!$D$237*($C162+Eqtn!$D$238))))</f>
        <v>0</v>
      </c>
      <c r="L162" s="322"/>
      <c r="M162" s="1062"/>
    </row>
    <row r="163" spans="1:13" ht="13.9" customHeight="1" x14ac:dyDescent="0.25">
      <c r="A163" s="846">
        <f>Chem!A163</f>
        <v>161</v>
      </c>
      <c r="B163" s="931" t="str">
        <f>Chem!B163</f>
        <v>Carbon tetrachloride</v>
      </c>
      <c r="C163" s="924">
        <f>Param!J163</f>
        <v>2.8879999999999999</v>
      </c>
      <c r="D163" s="219" t="str">
        <f>'SD-Det'!Z163</f>
        <v>na</v>
      </c>
      <c r="E163" s="2092" t="str">
        <f>IF(OR($C163="na",$D163="na"),"na",IF($D163="PQL","TBD",$D163/(Eqtn!$D$237*($C163+Eqtn!$D$238))))</f>
        <v>na</v>
      </c>
      <c r="F163" s="273" t="str">
        <f>'SD-Det'!P163</f>
        <v>na</v>
      </c>
      <c r="G163" s="728" t="str">
        <f>IF(OR($C163="na",$F163="na"),"na",IF($F163="PQL","TBD",$F163/(Eqtn!$D$237*($C163+Eqtn!$D$238))))</f>
        <v>na</v>
      </c>
      <c r="H163" s="711" t="str">
        <f>'SD-Det'!AR163</f>
        <v>na</v>
      </c>
      <c r="I163" s="711" t="str">
        <f>IF(OR($C163="na",$H163="na"),"na",IF($H163="PQL","TBD",$H163/(Eqtn!$D$237*($C163+Eqtn!$D$238))))</f>
        <v>na</v>
      </c>
      <c r="J163" s="711"/>
      <c r="K163" s="712">
        <f>IF(OR($C163="na",$J163="na"),"na",IF($J163="PQL","TBD",$J163/(Eqtn!$D$237*($C163+Eqtn!$D$238))))</f>
        <v>0</v>
      </c>
      <c r="L163" s="322"/>
      <c r="M163" s="1062"/>
    </row>
    <row r="164" spans="1:13" ht="13.9" customHeight="1" x14ac:dyDescent="0.25">
      <c r="A164" s="846">
        <f>Chem!A164</f>
        <v>162</v>
      </c>
      <c r="B164" s="931" t="str">
        <f>Chem!B164</f>
        <v>Chlorobenzene</v>
      </c>
      <c r="C164" s="924">
        <f>Param!J164</f>
        <v>4.2560000000000002</v>
      </c>
      <c r="D164" s="219" t="str">
        <f>'SD-Det'!Z164</f>
        <v>na</v>
      </c>
      <c r="E164" s="2092" t="str">
        <f>IF(OR($C164="na",$D164="na"),"na",IF($D164="PQL","TBD",$D164/(Eqtn!$D$237*($C164+Eqtn!$D$238))))</f>
        <v>na</v>
      </c>
      <c r="F164" s="273" t="str">
        <f>'SD-Det'!P164</f>
        <v>na</v>
      </c>
      <c r="G164" s="728" t="str">
        <f>IF(OR($C164="na",$F164="na"),"na",IF($F164="PQL","TBD",$F164/(Eqtn!$D$237*($C164+Eqtn!$D$238))))</f>
        <v>na</v>
      </c>
      <c r="H164" s="711" t="str">
        <f>'SD-Det'!AR164</f>
        <v>na</v>
      </c>
      <c r="I164" s="711" t="str">
        <f>IF(OR($C164="na",$H164="na"),"na",IF($H164="PQL","TBD",$H164/(Eqtn!$D$237*($C164+Eqtn!$D$238))))</f>
        <v>na</v>
      </c>
      <c r="J164" s="711"/>
      <c r="K164" s="712">
        <f>IF(OR($C164="na",$J164="na"),"na",IF($J164="PQL","TBD",$J164/(Eqtn!$D$237*($C164+Eqtn!$D$238))))</f>
        <v>0</v>
      </c>
      <c r="L164" s="322"/>
      <c r="M164" s="1062"/>
    </row>
    <row r="165" spans="1:13" ht="13.9" customHeight="1" x14ac:dyDescent="0.25">
      <c r="A165" s="846">
        <f>Chem!A165</f>
        <v>163</v>
      </c>
      <c r="B165" s="931" t="str">
        <f>Chem!B165</f>
        <v>Chloroethane</v>
      </c>
      <c r="C165" s="924">
        <f>Param!J165</f>
        <v>0.4123</v>
      </c>
      <c r="D165" s="219" t="str">
        <f>'SD-Det'!Z165</f>
        <v>na</v>
      </c>
      <c r="E165" s="2092" t="str">
        <f>IF(OR($C165="na",$D165="na"),"na",IF($D165="PQL","TBD",$D165/(Eqtn!$D$237*($C165+Eqtn!$D$238))))</f>
        <v>na</v>
      </c>
      <c r="F165" s="273" t="str">
        <f>'SD-Det'!P165</f>
        <v>na</v>
      </c>
      <c r="G165" s="728" t="str">
        <f>IF(OR($C165="na",$F165="na"),"na",IF($F165="PQL","TBD",$F165/(Eqtn!$D$237*($C165+Eqtn!$D$238))))</f>
        <v>na</v>
      </c>
      <c r="H165" s="711" t="str">
        <f>'SD-Det'!AR165</f>
        <v>na</v>
      </c>
      <c r="I165" s="711" t="str">
        <f>IF(OR($C165="na",$H165="na"),"na",IF($H165="PQL","TBD",$H165/(Eqtn!$D$237*($C165+Eqtn!$D$238))))</f>
        <v>na</v>
      </c>
      <c r="J165" s="711"/>
      <c r="K165" s="712">
        <f>IF(OR($C165="na",$J165="na"),"na",IF($J165="PQL","TBD",$J165/(Eqtn!$D$237*($C165+Eqtn!$D$238))))</f>
        <v>0</v>
      </c>
      <c r="L165" s="322"/>
      <c r="M165" s="1062"/>
    </row>
    <row r="166" spans="1:13" ht="13.9" customHeight="1" x14ac:dyDescent="0.25">
      <c r="A166" s="846">
        <f>Chem!A166</f>
        <v>164</v>
      </c>
      <c r="B166" s="931" t="str">
        <f>Chem!B166</f>
        <v>2-Chloroethyl vinyl ether</v>
      </c>
      <c r="C166" s="924" t="str">
        <f>Param!J166</f>
        <v>na</v>
      </c>
      <c r="D166" s="219" t="str">
        <f>'SD-Det'!Z166</f>
        <v>na</v>
      </c>
      <c r="E166" s="2092" t="str">
        <f>IF(OR($C166="na",$D166="na"),"na",IF($D166="PQL","TBD",$D166/(Eqtn!$D$237*($C166+Eqtn!$D$238))))</f>
        <v>na</v>
      </c>
      <c r="F166" s="273" t="str">
        <f>'SD-Det'!P166</f>
        <v>na</v>
      </c>
      <c r="G166" s="728" t="str">
        <f>IF(OR($C166="na",$F166="na"),"na",IF($F166="PQL","TBD",$F166/(Eqtn!$D$237*($C166+Eqtn!$D$238))))</f>
        <v>na</v>
      </c>
      <c r="H166" s="711" t="str">
        <f>'SD-Det'!AR166</f>
        <v>na</v>
      </c>
      <c r="I166" s="711" t="str">
        <f>IF(OR($C166="na",$H166="na"),"na",IF($H166="PQL","TBD",$H166/(Eqtn!$D$237*($C166+Eqtn!$D$238))))</f>
        <v>na</v>
      </c>
      <c r="J166" s="711"/>
      <c r="K166" s="712" t="str">
        <f>IF(OR($C166="na",$J166="na"),"na",IF($J166="PQL","TBD",$J166/(Eqtn!$D$237*($C166+Eqtn!$D$238))))</f>
        <v>na</v>
      </c>
      <c r="L166" s="322"/>
      <c r="M166" s="1062"/>
    </row>
    <row r="167" spans="1:13" ht="13.9" customHeight="1" x14ac:dyDescent="0.25">
      <c r="A167" s="846">
        <f>Chem!A167</f>
        <v>165</v>
      </c>
      <c r="B167" s="931" t="str">
        <f>Chem!B167</f>
        <v>Chloroform</v>
      </c>
      <c r="C167" s="924">
        <f>Param!J167</f>
        <v>1.0069999999999999</v>
      </c>
      <c r="D167" s="219" t="str">
        <f>'SD-Det'!Z167</f>
        <v>na</v>
      </c>
      <c r="E167" s="2092" t="str">
        <f>IF(OR($C167="na",$D167="na"),"na",IF($D167="PQL","TBD",$D167/(Eqtn!$D$237*($C167+Eqtn!$D$238))))</f>
        <v>na</v>
      </c>
      <c r="F167" s="273" t="str">
        <f>'SD-Det'!P167</f>
        <v>na</v>
      </c>
      <c r="G167" s="728" t="str">
        <f>IF(OR($C167="na",$F167="na"),"na",IF($F167="PQL","TBD",$F167/(Eqtn!$D$237*($C167+Eqtn!$D$238))))</f>
        <v>na</v>
      </c>
      <c r="H167" s="711" t="str">
        <f>'SD-Det'!AR167</f>
        <v>na</v>
      </c>
      <c r="I167" s="711" t="str">
        <f>IF(OR($C167="na",$H167="na"),"na",IF($H167="PQL","TBD",$H167/(Eqtn!$D$237*($C167+Eqtn!$D$238))))</f>
        <v>na</v>
      </c>
      <c r="J167" s="711"/>
      <c r="K167" s="712">
        <f>IF(OR($C167="na",$J167="na"),"na",IF($J167="PQL","TBD",$J167/(Eqtn!$D$237*($C167+Eqtn!$D$238))))</f>
        <v>0</v>
      </c>
      <c r="L167" s="322"/>
      <c r="M167" s="1062"/>
    </row>
    <row r="168" spans="1:13" ht="13.9" customHeight="1" x14ac:dyDescent="0.25">
      <c r="A168" s="846">
        <f>Chem!A168</f>
        <v>166</v>
      </c>
      <c r="B168" s="931" t="str">
        <f>Chem!B168</f>
        <v>Chloromethane</v>
      </c>
      <c r="C168" s="924">
        <f>Param!J168</f>
        <v>0.11399999999999999</v>
      </c>
      <c r="D168" s="219" t="str">
        <f>'SD-Det'!Z168</f>
        <v>na</v>
      </c>
      <c r="E168" s="2092" t="str">
        <f>IF(OR($C168="na",$D168="na"),"na",IF($D168="PQL","TBD",$D168/(Eqtn!$D$237*($C168+Eqtn!$D$238))))</f>
        <v>na</v>
      </c>
      <c r="F168" s="273" t="str">
        <f>'SD-Det'!P168</f>
        <v>na</v>
      </c>
      <c r="G168" s="728" t="str">
        <f>IF(OR($C168="na",$F168="na"),"na",IF($F168="PQL","TBD",$F168/(Eqtn!$D$237*($C168+Eqtn!$D$238))))</f>
        <v>na</v>
      </c>
      <c r="H168" s="711" t="str">
        <f>'SD-Det'!AR168</f>
        <v>na</v>
      </c>
      <c r="I168" s="711" t="str">
        <f>IF(OR($C168="na",$H168="na"),"na",IF($H168="PQL","TBD",$H168/(Eqtn!$D$237*($C168+Eqtn!$D$238))))</f>
        <v>na</v>
      </c>
      <c r="J168" s="711"/>
      <c r="K168" s="712">
        <f>IF(OR($C168="na",$J168="na"),"na",IF($J168="PQL","TBD",$J168/(Eqtn!$D$237*($C168+Eqtn!$D$238))))</f>
        <v>0</v>
      </c>
      <c r="L168" s="322"/>
      <c r="M168" s="1062"/>
    </row>
    <row r="169" spans="1:13" ht="13.9" customHeight="1" x14ac:dyDescent="0.25">
      <c r="A169" s="846">
        <f>Chem!A169</f>
        <v>167</v>
      </c>
      <c r="B169" s="931" t="str">
        <f>Chem!B169</f>
        <v>3-Chloro-1-propene (allyl chloride)</v>
      </c>
      <c r="C169" s="924">
        <f>Param!J169</f>
        <v>0.75239999999999996</v>
      </c>
      <c r="D169" s="219" t="str">
        <f>'SD-Det'!Z169</f>
        <v>na</v>
      </c>
      <c r="E169" s="2092" t="str">
        <f>IF(OR($C169="na",$D169="na"),"na",IF($D169="PQL","TBD",$D169/(Eqtn!$D$237*($C169+Eqtn!$D$238))))</f>
        <v>na</v>
      </c>
      <c r="F169" s="273" t="str">
        <f>'SD-Det'!P169</f>
        <v>na</v>
      </c>
      <c r="G169" s="728" t="str">
        <f>IF(OR($C169="na",$F169="na"),"na",IF($F169="PQL","TBD",$F169/(Eqtn!$D$237*($C169+Eqtn!$D$238))))</f>
        <v>na</v>
      </c>
      <c r="H169" s="711" t="str">
        <f>'SD-Det'!AR169</f>
        <v>na</v>
      </c>
      <c r="I169" s="711" t="str">
        <f>IF(OR($C169="na",$H169="na"),"na",IF($H169="PQL","TBD",$H169/(Eqtn!$D$237*($C169+Eqtn!$D$238))))</f>
        <v>na</v>
      </c>
      <c r="J169" s="711"/>
      <c r="K169" s="712">
        <f>IF(OR($C169="na",$J169="na"),"na",IF($J169="PQL","TBD",$J169/(Eqtn!$D$237*($C169+Eqtn!$D$238))))</f>
        <v>0</v>
      </c>
      <c r="L169" s="322"/>
      <c r="M169" s="1062"/>
    </row>
    <row r="170" spans="1:13" ht="13.9" customHeight="1" x14ac:dyDescent="0.25">
      <c r="A170" s="846">
        <f>Chem!A170</f>
        <v>168</v>
      </c>
      <c r="B170" s="931" t="str">
        <f>Chem!B170</f>
        <v>2-Chlorotoluene</v>
      </c>
      <c r="C170" s="924">
        <f>Param!J170</f>
        <v>7.2770000000000001</v>
      </c>
      <c r="D170" s="219" t="str">
        <f>'SD-Det'!Z170</f>
        <v>na</v>
      </c>
      <c r="E170" s="2092" t="str">
        <f>IF(OR($C170="na",$D170="na"),"na",IF($D170="PQL","TBD",$D170/(Eqtn!$D$237*($C170+Eqtn!$D$238))))</f>
        <v>na</v>
      </c>
      <c r="F170" s="273" t="str">
        <f>'SD-Det'!P170</f>
        <v>na</v>
      </c>
      <c r="G170" s="728" t="str">
        <f>IF(OR($C170="na",$F170="na"),"na",IF($F170="PQL","TBD",$F170/(Eqtn!$D$237*($C170+Eqtn!$D$238))))</f>
        <v>na</v>
      </c>
      <c r="H170" s="711" t="str">
        <f>'SD-Det'!AR170</f>
        <v>na</v>
      </c>
      <c r="I170" s="711" t="str">
        <f>IF(OR($C170="na",$H170="na"),"na",IF($H170="PQL","TBD",$H170/(Eqtn!$D$237*($C170+Eqtn!$D$238))))</f>
        <v>na</v>
      </c>
      <c r="J170" s="711"/>
      <c r="K170" s="712">
        <f>IF(OR($C170="na",$J170="na"),"na",IF($J170="PQL","TBD",$J170/(Eqtn!$D$237*($C170+Eqtn!$D$238))))</f>
        <v>0</v>
      </c>
      <c r="L170" s="322"/>
      <c r="M170" s="1062"/>
    </row>
    <row r="171" spans="1:13" ht="13.9" customHeight="1" x14ac:dyDescent="0.25">
      <c r="A171" s="846">
        <f>Chem!A171</f>
        <v>169</v>
      </c>
      <c r="B171" s="931" t="str">
        <f>Chem!B171</f>
        <v>4-Chlorotoluene</v>
      </c>
      <c r="C171" s="924">
        <f>Param!J171</f>
        <v>7.125</v>
      </c>
      <c r="D171" s="219" t="str">
        <f>'SD-Det'!Z171</f>
        <v>na</v>
      </c>
      <c r="E171" s="2092" t="str">
        <f>IF(OR($C171="na",$D171="na"),"na",IF($D171="PQL","TBD",$D171/(Eqtn!$D$237*($C171+Eqtn!$D$238))))</f>
        <v>na</v>
      </c>
      <c r="F171" s="273" t="str">
        <f>'SD-Det'!P171</f>
        <v>na</v>
      </c>
      <c r="G171" s="728" t="str">
        <f>IF(OR($C171="na",$F171="na"),"na",IF($F171="PQL","TBD",$F171/(Eqtn!$D$237*($C171+Eqtn!$D$238))))</f>
        <v>na</v>
      </c>
      <c r="H171" s="711" t="str">
        <f>'SD-Det'!AR171</f>
        <v>na</v>
      </c>
      <c r="I171" s="711" t="str">
        <f>IF(OR($C171="na",$H171="na"),"na",IF($H171="PQL","TBD",$H171/(Eqtn!$D$237*($C171+Eqtn!$D$238))))</f>
        <v>na</v>
      </c>
      <c r="J171" s="711"/>
      <c r="K171" s="712">
        <f>IF(OR($C171="na",$J171="na"),"na",IF($J171="PQL","TBD",$J171/(Eqtn!$D$237*($C171+Eqtn!$D$238))))</f>
        <v>0</v>
      </c>
      <c r="L171" s="322"/>
      <c r="M171" s="1062"/>
    </row>
    <row r="172" spans="1:13" ht="13.9" customHeight="1" x14ac:dyDescent="0.25">
      <c r="A172" s="846">
        <f>Chem!A172</f>
        <v>170</v>
      </c>
      <c r="B172" s="931" t="str">
        <f>Chem!B172</f>
        <v>Dibromochloromethane</v>
      </c>
      <c r="C172" s="924">
        <f>Param!J172</f>
        <v>0.60419999999999996</v>
      </c>
      <c r="D172" s="219" t="str">
        <f>'SD-Det'!Z172</f>
        <v>na</v>
      </c>
      <c r="E172" s="2092" t="str">
        <f>IF(OR($C172="na",$D172="na"),"na",IF($D172="PQL","TBD",$D172/(Eqtn!$D$237*($C172+Eqtn!$D$238))))</f>
        <v>na</v>
      </c>
      <c r="F172" s="273" t="str">
        <f>'SD-Det'!P172</f>
        <v>na</v>
      </c>
      <c r="G172" s="728" t="str">
        <f>IF(OR($C172="na",$F172="na"),"na",IF($F172="PQL","TBD",$F172/(Eqtn!$D$237*($C172+Eqtn!$D$238))))</f>
        <v>na</v>
      </c>
      <c r="H172" s="711" t="str">
        <f>'SD-Det'!AR172</f>
        <v>na</v>
      </c>
      <c r="I172" s="711" t="str">
        <f>IF(OR($C172="na",$H172="na"),"na",IF($H172="PQL","TBD",$H172/(Eqtn!$D$237*($C172+Eqtn!$D$238))))</f>
        <v>na</v>
      </c>
      <c r="J172" s="711"/>
      <c r="K172" s="712">
        <f>IF(OR($C172="na",$J172="na"),"na",IF($J172="PQL","TBD",$J172/(Eqtn!$D$237*($C172+Eqtn!$D$238))))</f>
        <v>0</v>
      </c>
      <c r="L172" s="322"/>
      <c r="M172" s="1062"/>
    </row>
    <row r="173" spans="1:13" ht="13.9" customHeight="1" x14ac:dyDescent="0.25">
      <c r="A173" s="846">
        <f>Chem!A173</f>
        <v>171</v>
      </c>
      <c r="B173" s="931" t="str">
        <f>Chem!B173</f>
        <v>1,2-Dibromo-3-chloropropane</v>
      </c>
      <c r="C173" s="924">
        <f>Param!J173</f>
        <v>2.2039999999999997</v>
      </c>
      <c r="D173" s="219" t="str">
        <f>'SD-Det'!Z173</f>
        <v>na</v>
      </c>
      <c r="E173" s="2092" t="str">
        <f>IF(OR($C173="na",$D173="na"),"na",IF($D173="PQL","TBD",$D173/(Eqtn!$D$237*($C173+Eqtn!$D$238))))</f>
        <v>na</v>
      </c>
      <c r="F173" s="273" t="str">
        <f>'SD-Det'!P173</f>
        <v>na</v>
      </c>
      <c r="G173" s="728" t="str">
        <f>IF(OR($C173="na",$F173="na"),"na",IF($F173="PQL","TBD",$F173/(Eqtn!$D$237*($C173+Eqtn!$D$238))))</f>
        <v>na</v>
      </c>
      <c r="H173" s="711" t="str">
        <f>'SD-Det'!AR173</f>
        <v>na</v>
      </c>
      <c r="I173" s="711" t="str">
        <f>IF(OR($C173="na",$H173="na"),"na",IF($H173="PQL","TBD",$H173/(Eqtn!$D$237*($C173+Eqtn!$D$238))))</f>
        <v>na</v>
      </c>
      <c r="J173" s="711"/>
      <c r="K173" s="712">
        <f>IF(OR($C173="na",$J173="na"),"na",IF($J173="PQL","TBD",$J173/(Eqtn!$D$237*($C173+Eqtn!$D$238))))</f>
        <v>0</v>
      </c>
      <c r="L173" s="322"/>
      <c r="M173" s="1062"/>
    </row>
    <row r="174" spans="1:13" ht="13.9" customHeight="1" x14ac:dyDescent="0.25">
      <c r="A174" s="846">
        <f>Chem!A174</f>
        <v>172</v>
      </c>
      <c r="B174" s="931" t="str">
        <f>Chem!B174</f>
        <v>Dibromomethane</v>
      </c>
      <c r="C174" s="924">
        <f>Param!J174</f>
        <v>0.41287000000000001</v>
      </c>
      <c r="D174" s="219" t="str">
        <f>'SD-Det'!Z174</f>
        <v>na</v>
      </c>
      <c r="E174" s="2092" t="str">
        <f>IF(OR($C174="na",$D174="na"),"na",IF($D174="PQL","TBD",$D174/(Eqtn!$D$237*($C174+Eqtn!$D$238))))</f>
        <v>na</v>
      </c>
      <c r="F174" s="273" t="str">
        <f>'SD-Det'!P174</f>
        <v>na</v>
      </c>
      <c r="G174" s="728" t="str">
        <f>IF(OR($C174="na",$F174="na"),"na",IF($F174="PQL","TBD",$F174/(Eqtn!$D$237*($C174+Eqtn!$D$238))))</f>
        <v>na</v>
      </c>
      <c r="H174" s="711" t="str">
        <f>'SD-Det'!AR174</f>
        <v>na</v>
      </c>
      <c r="I174" s="711" t="str">
        <f>IF(OR($C174="na",$H174="na"),"na",IF($H174="PQL","TBD",$H174/(Eqtn!$D$237*($C174+Eqtn!$D$238))))</f>
        <v>na</v>
      </c>
      <c r="J174" s="711"/>
      <c r="K174" s="712">
        <f>IF(OR($C174="na",$J174="na"),"na",IF($J174="PQL","TBD",$J174/(Eqtn!$D$237*($C174+Eqtn!$D$238))))</f>
        <v>0</v>
      </c>
      <c r="L174" s="322"/>
      <c r="M174" s="1062"/>
    </row>
    <row r="175" spans="1:13" ht="13.9" customHeight="1" x14ac:dyDescent="0.25">
      <c r="A175" s="846">
        <f>Chem!A175</f>
        <v>173</v>
      </c>
      <c r="B175" s="931" t="str">
        <f>Chem!B175</f>
        <v>Dichlorobromomethane</v>
      </c>
      <c r="C175" s="924">
        <f>Param!J175</f>
        <v>0.60419999999999996</v>
      </c>
      <c r="D175" s="219" t="str">
        <f>'SD-Det'!Z175</f>
        <v>na</v>
      </c>
      <c r="E175" s="2092" t="str">
        <f>IF(OR($C175="na",$D175="na"),"na",IF($D175="PQL","TBD",$D175/(Eqtn!$D$237*($C175+Eqtn!$D$238))))</f>
        <v>na</v>
      </c>
      <c r="F175" s="273" t="str">
        <f>'SD-Det'!P175</f>
        <v>na</v>
      </c>
      <c r="G175" s="728" t="str">
        <f>IF(OR($C175="na",$F175="na"),"na",IF($F175="PQL","TBD",$F175/(Eqtn!$D$237*($C175+Eqtn!$D$238))))</f>
        <v>na</v>
      </c>
      <c r="H175" s="711" t="str">
        <f>'SD-Det'!AR175</f>
        <v>na</v>
      </c>
      <c r="I175" s="711" t="str">
        <f>IF(OR($C175="na",$H175="na"),"na",IF($H175="PQL","TBD",$H175/(Eqtn!$D$237*($C175+Eqtn!$D$238))))</f>
        <v>na</v>
      </c>
      <c r="J175" s="711"/>
      <c r="K175" s="712">
        <f>IF(OR($C175="na",$J175="na"),"na",IF($J175="PQL","TBD",$J175/(Eqtn!$D$237*($C175+Eqtn!$D$238))))</f>
        <v>0</v>
      </c>
      <c r="L175" s="322"/>
      <c r="M175" s="1062"/>
    </row>
    <row r="176" spans="1:13" ht="13.9" customHeight="1" x14ac:dyDescent="0.25">
      <c r="A176" s="846">
        <f>Chem!A176</f>
        <v>174</v>
      </c>
      <c r="B176" s="931" t="str">
        <f>Chem!B176</f>
        <v>trans-1,4-Dichloro-2-butene</v>
      </c>
      <c r="C176" s="924">
        <f>Param!J176</f>
        <v>2.508</v>
      </c>
      <c r="D176" s="219" t="str">
        <f>'SD-Det'!Z176</f>
        <v>na</v>
      </c>
      <c r="E176" s="2092" t="str">
        <f>IF(OR($C176="na",$D176="na"),"na",IF($D176="PQL","TBD",$D176/(Eqtn!$D$237*($C176+Eqtn!$D$238))))</f>
        <v>na</v>
      </c>
      <c r="F176" s="273" t="str">
        <f>'SD-Det'!P176</f>
        <v>na</v>
      </c>
      <c r="G176" s="728" t="str">
        <f>IF(OR($C176="na",$F176="na"),"na",IF($F176="PQL","TBD",$F176/(Eqtn!$D$237*($C176+Eqtn!$D$238))))</f>
        <v>na</v>
      </c>
      <c r="H176" s="711" t="str">
        <f>'SD-Det'!AR176</f>
        <v>na</v>
      </c>
      <c r="I176" s="711" t="str">
        <f>IF(OR($C176="na",$H176="na"),"na",IF($H176="PQL","TBD",$H176/(Eqtn!$D$237*($C176+Eqtn!$D$238))))</f>
        <v>na</v>
      </c>
      <c r="J176" s="711"/>
      <c r="K176" s="712">
        <f>IF(OR($C176="na",$J176="na"),"na",IF($J176="PQL","TBD",$J176/(Eqtn!$D$237*($C176+Eqtn!$D$238))))</f>
        <v>0</v>
      </c>
      <c r="L176" s="322"/>
      <c r="M176" s="1062"/>
    </row>
    <row r="177" spans="1:13" ht="13.9" customHeight="1" x14ac:dyDescent="0.25">
      <c r="A177" s="846">
        <f>Chem!A177</f>
        <v>175</v>
      </c>
      <c r="B177" s="931" t="str">
        <f>Chem!B177</f>
        <v>Dichlorodifluoromethane</v>
      </c>
      <c r="C177" s="924">
        <f>Param!J177</f>
        <v>0.83409999999999995</v>
      </c>
      <c r="D177" s="219" t="str">
        <f>'SD-Det'!Z177</f>
        <v>na</v>
      </c>
      <c r="E177" s="2092" t="str">
        <f>IF(OR($C177="na",$D177="na"),"na",IF($D177="PQL","TBD",$D177/(Eqtn!$D$237*($C177+Eqtn!$D$238))))</f>
        <v>na</v>
      </c>
      <c r="F177" s="273" t="str">
        <f>'SD-Det'!P177</f>
        <v>na</v>
      </c>
      <c r="G177" s="728" t="str">
        <f>IF(OR($C177="na",$F177="na"),"na",IF($F177="PQL","TBD",$F177/(Eqtn!$D$237*($C177+Eqtn!$D$238))))</f>
        <v>na</v>
      </c>
      <c r="H177" s="711" t="str">
        <f>'SD-Det'!AR177</f>
        <v>na</v>
      </c>
      <c r="I177" s="711" t="str">
        <f>IF(OR($C177="na",$H177="na"),"na",IF($H177="PQL","TBD",$H177/(Eqtn!$D$237*($C177+Eqtn!$D$238))))</f>
        <v>na</v>
      </c>
      <c r="J177" s="711"/>
      <c r="K177" s="712">
        <f>IF(OR($C177="na",$J177="na"),"na",IF($J177="PQL","TBD",$J177/(Eqtn!$D$237*($C177+Eqtn!$D$238))))</f>
        <v>0</v>
      </c>
      <c r="L177" s="322"/>
      <c r="M177" s="1062"/>
    </row>
    <row r="178" spans="1:13" ht="13.9" customHeight="1" x14ac:dyDescent="0.25">
      <c r="A178" s="846">
        <f>Chem!A178</f>
        <v>176</v>
      </c>
      <c r="B178" s="931" t="str">
        <f>Chem!B178</f>
        <v>1,1-Dichloroethane</v>
      </c>
      <c r="C178" s="924">
        <f>Param!J178</f>
        <v>1.0069999999999999</v>
      </c>
      <c r="D178" s="219" t="str">
        <f>'SD-Det'!Z178</f>
        <v>na</v>
      </c>
      <c r="E178" s="2092" t="str">
        <f>IF(OR($C178="na",$D178="na"),"na",IF($D178="PQL","TBD",$D178/(Eqtn!$D$237*($C178+Eqtn!$D$238))))</f>
        <v>na</v>
      </c>
      <c r="F178" s="273" t="str">
        <f>'SD-Det'!P178</f>
        <v>na</v>
      </c>
      <c r="G178" s="728" t="str">
        <f>IF(OR($C178="na",$F178="na"),"na",IF($F178="PQL","TBD",$F178/(Eqtn!$D$237*($C178+Eqtn!$D$238))))</f>
        <v>na</v>
      </c>
      <c r="H178" s="711" t="str">
        <f>'SD-Det'!AR178</f>
        <v>na</v>
      </c>
      <c r="I178" s="711" t="str">
        <f>IF(OR($C178="na",$H178="na"),"na",IF($H178="PQL","TBD",$H178/(Eqtn!$D$237*($C178+Eqtn!$D$238))))</f>
        <v>na</v>
      </c>
      <c r="J178" s="711"/>
      <c r="K178" s="712">
        <f>IF(OR($C178="na",$J178="na"),"na",IF($J178="PQL","TBD",$J178/(Eqtn!$D$237*($C178+Eqtn!$D$238))))</f>
        <v>0</v>
      </c>
      <c r="L178" s="322"/>
      <c r="M178" s="1062"/>
    </row>
    <row r="179" spans="1:13" ht="13.9" customHeight="1" x14ac:dyDescent="0.25">
      <c r="A179" s="846">
        <f>Chem!A179</f>
        <v>177</v>
      </c>
      <c r="B179" s="931" t="str">
        <f>Chem!B179</f>
        <v>1,2-Dichloroethane (EDC)</v>
      </c>
      <c r="C179" s="924">
        <f>Param!J179</f>
        <v>0.72199999999999998</v>
      </c>
      <c r="D179" s="219" t="str">
        <f>'SD-Det'!Z179</f>
        <v>na</v>
      </c>
      <c r="E179" s="2092" t="str">
        <f>IF(OR($C179="na",$D179="na"),"na",IF($D179="PQL","TBD",$D179/(Eqtn!$D$237*($C179+Eqtn!$D$238))))</f>
        <v>na</v>
      </c>
      <c r="F179" s="273" t="str">
        <f>'SD-Det'!P179</f>
        <v>na</v>
      </c>
      <c r="G179" s="728" t="str">
        <f>IF(OR($C179="na",$F179="na"),"na",IF($F179="PQL","TBD",$F179/(Eqtn!$D$237*($C179+Eqtn!$D$238))))</f>
        <v>na</v>
      </c>
      <c r="H179" s="711" t="str">
        <f>'SD-Det'!AR179</f>
        <v>na</v>
      </c>
      <c r="I179" s="711" t="str">
        <f>IF(OR($C179="na",$H179="na"),"na",IF($H179="PQL","TBD",$H179/(Eqtn!$D$237*($C179+Eqtn!$D$238))))</f>
        <v>na</v>
      </c>
      <c r="J179" s="711"/>
      <c r="K179" s="712">
        <f>IF(OR($C179="na",$J179="na"),"na",IF($J179="PQL","TBD",$J179/(Eqtn!$D$237*($C179+Eqtn!$D$238))))</f>
        <v>0</v>
      </c>
      <c r="L179" s="322"/>
      <c r="M179" s="1062"/>
    </row>
    <row r="180" spans="1:13" ht="13.9" customHeight="1" x14ac:dyDescent="0.25">
      <c r="A180" s="846">
        <f>Chem!A180</f>
        <v>178</v>
      </c>
      <c r="B180" s="931" t="str">
        <f>Chem!B180</f>
        <v>1,1-Dichloroethylene</v>
      </c>
      <c r="C180" s="924">
        <f>Param!J180</f>
        <v>1.2349999999999999</v>
      </c>
      <c r="D180" s="219" t="str">
        <f>'SD-Det'!Z180</f>
        <v>na</v>
      </c>
      <c r="E180" s="2092" t="str">
        <f>IF(OR($C180="na",$D180="na"),"na",IF($D180="PQL","TBD",$D180/(Eqtn!$D$237*($C180+Eqtn!$D$238))))</f>
        <v>na</v>
      </c>
      <c r="F180" s="273" t="str">
        <f>'SD-Det'!P180</f>
        <v>na</v>
      </c>
      <c r="G180" s="728" t="str">
        <f>IF(OR($C180="na",$F180="na"),"na",IF($F180="PQL","TBD",$F180/(Eqtn!$D$237*($C180+Eqtn!$D$238))))</f>
        <v>na</v>
      </c>
      <c r="H180" s="711" t="str">
        <f>'SD-Det'!AR180</f>
        <v>na</v>
      </c>
      <c r="I180" s="711" t="str">
        <f>IF(OR($C180="na",$H180="na"),"na",IF($H180="PQL","TBD",$H180/(Eqtn!$D$237*($C180+Eqtn!$D$238))))</f>
        <v>na</v>
      </c>
      <c r="J180" s="711"/>
      <c r="K180" s="712">
        <f>IF(OR($C180="na",$J180="na"),"na",IF($J180="PQL","TBD",$J180/(Eqtn!$D$237*($C180+Eqtn!$D$238))))</f>
        <v>0</v>
      </c>
      <c r="L180" s="322"/>
      <c r="M180" s="1062"/>
    </row>
    <row r="181" spans="1:13" ht="13.9" customHeight="1" x14ac:dyDescent="0.25">
      <c r="A181" s="846">
        <f>Chem!A181</f>
        <v>179</v>
      </c>
      <c r="B181" s="931" t="str">
        <f>Chem!B181</f>
        <v>cis-1,2-Dichloroethylene</v>
      </c>
      <c r="C181" s="924">
        <f>Param!J181</f>
        <v>0.75239999999999996</v>
      </c>
      <c r="D181" s="219" t="str">
        <f>'SD-Det'!Z181</f>
        <v>na</v>
      </c>
      <c r="E181" s="2092" t="str">
        <f>IF(OR($C181="na",$D181="na"),"na",IF($D181="PQL","TBD",$D181/(Eqtn!$D$237*($C181+Eqtn!$D$238))))</f>
        <v>na</v>
      </c>
      <c r="F181" s="273" t="str">
        <f>'SD-Det'!P181</f>
        <v>na</v>
      </c>
      <c r="G181" s="728" t="str">
        <f>IF(OR($C181="na",$F181="na"),"na",IF($F181="PQL","TBD",$F181/(Eqtn!$D$237*($C181+Eqtn!$D$238))))</f>
        <v>na</v>
      </c>
      <c r="H181" s="711" t="str">
        <f>'SD-Det'!AR181</f>
        <v>na</v>
      </c>
      <c r="I181" s="711" t="str">
        <f>IF(OR($C181="na",$H181="na"),"na",IF($H181="PQL","TBD",$H181/(Eqtn!$D$237*($C181+Eqtn!$D$238))))</f>
        <v>na</v>
      </c>
      <c r="J181" s="711"/>
      <c r="K181" s="712">
        <f>IF(OR($C181="na",$J181="na"),"na",IF($J181="PQL","TBD",$J181/(Eqtn!$D$237*($C181+Eqtn!$D$238))))</f>
        <v>0</v>
      </c>
      <c r="L181" s="322"/>
      <c r="M181" s="1062"/>
    </row>
    <row r="182" spans="1:13" ht="13.9" customHeight="1" x14ac:dyDescent="0.25">
      <c r="A182" s="846">
        <f>Chem!A182</f>
        <v>180</v>
      </c>
      <c r="B182" s="931" t="str">
        <f>Chem!B182</f>
        <v>trans-1,2-Dichloroethylene</v>
      </c>
      <c r="C182" s="924">
        <f>Param!J182</f>
        <v>0.72199999999999998</v>
      </c>
      <c r="D182" s="219" t="str">
        <f>'SD-Det'!Z182</f>
        <v>na</v>
      </c>
      <c r="E182" s="2092" t="str">
        <f>IF(OR($C182="na",$D182="na"),"na",IF($D182="PQL","TBD",$D182/(Eqtn!$D$237*($C182+Eqtn!$D$238))))</f>
        <v>na</v>
      </c>
      <c r="F182" s="273" t="str">
        <f>'SD-Det'!P182</f>
        <v>na</v>
      </c>
      <c r="G182" s="728" t="str">
        <f>IF(OR($C182="na",$F182="na"),"na",IF($F182="PQL","TBD",$F182/(Eqtn!$D$237*($C182+Eqtn!$D$238))))</f>
        <v>na</v>
      </c>
      <c r="H182" s="711" t="str">
        <f>'SD-Det'!AR182</f>
        <v>na</v>
      </c>
      <c r="I182" s="711" t="str">
        <f>IF(OR($C182="na",$H182="na"),"na",IF($H182="PQL","TBD",$H182/(Eqtn!$D$237*($C182+Eqtn!$D$238))))</f>
        <v>na</v>
      </c>
      <c r="J182" s="711"/>
      <c r="K182" s="712">
        <f>IF(OR($C182="na",$J182="na"),"na",IF($J182="PQL","TBD",$J182/(Eqtn!$D$237*($C182+Eqtn!$D$238))))</f>
        <v>0</v>
      </c>
      <c r="L182" s="322"/>
      <c r="M182" s="1062"/>
    </row>
    <row r="183" spans="1:13" ht="13.9" customHeight="1" x14ac:dyDescent="0.25">
      <c r="A183" s="846">
        <f>Chem!A183</f>
        <v>181</v>
      </c>
      <c r="B183" s="931" t="str">
        <f>Chem!B183</f>
        <v>1,2-Dichloroethylene (mixed isomers)</v>
      </c>
      <c r="C183" s="924">
        <f>Param!J183</f>
        <v>0.67449999999999999</v>
      </c>
      <c r="D183" s="219" t="str">
        <f>'SD-Det'!Z183</f>
        <v>na</v>
      </c>
      <c r="E183" s="2092" t="str">
        <f>IF(OR($C183="na",$D183="na"),"na",IF($D183="PQL","TBD",$D183/(Eqtn!$D$237*($C183+Eqtn!$D$238))))</f>
        <v>na</v>
      </c>
      <c r="F183" s="273" t="str">
        <f>'SD-Det'!P183</f>
        <v>na</v>
      </c>
      <c r="G183" s="728" t="str">
        <f>IF(OR($C183="na",$F183="na"),"na",IF($F183="PQL","TBD",$F183/(Eqtn!$D$237*($C183+Eqtn!$D$238))))</f>
        <v>na</v>
      </c>
      <c r="H183" s="711" t="str">
        <f>'SD-Det'!AR183</f>
        <v>na</v>
      </c>
      <c r="I183" s="711" t="str">
        <f>IF(OR($C183="na",$H183="na"),"na",IF($H183="PQL","TBD",$H183/(Eqtn!$D$237*($C183+Eqtn!$D$238))))</f>
        <v>na</v>
      </c>
      <c r="J183" s="711"/>
      <c r="K183" s="712">
        <f>IF(OR($C183="na",$J183="na"),"na",IF($J183="PQL","TBD",$J183/(Eqtn!$D$237*($C183+Eqtn!$D$238))))</f>
        <v>0</v>
      </c>
      <c r="L183" s="322"/>
      <c r="M183" s="1062"/>
    </row>
    <row r="184" spans="1:13" ht="13.9" customHeight="1" x14ac:dyDescent="0.25">
      <c r="A184" s="846">
        <f>Chem!A184</f>
        <v>182</v>
      </c>
      <c r="B184" s="931" t="str">
        <f>Chem!B184</f>
        <v>1,2-Dichloropropane</v>
      </c>
      <c r="C184" s="924">
        <f>Param!J184</f>
        <v>0.89300000000000002</v>
      </c>
      <c r="D184" s="219" t="str">
        <f>'SD-Det'!Z184</f>
        <v>na</v>
      </c>
      <c r="E184" s="2092" t="str">
        <f>IF(OR($C184="na",$D184="na"),"na",IF($D184="PQL","TBD",$D184/(Eqtn!$D$237*($C184+Eqtn!$D$238))))</f>
        <v>na</v>
      </c>
      <c r="F184" s="273" t="str">
        <f>'SD-Det'!P184</f>
        <v>na</v>
      </c>
      <c r="G184" s="728" t="str">
        <f>IF(OR($C184="na",$F184="na"),"na",IF($F184="PQL","TBD",$F184/(Eqtn!$D$237*($C184+Eqtn!$D$238))))</f>
        <v>na</v>
      </c>
      <c r="H184" s="711" t="str">
        <f>'SD-Det'!AR184</f>
        <v>na</v>
      </c>
      <c r="I184" s="711" t="str">
        <f>IF(OR($C184="na",$H184="na"),"na",IF($H184="PQL","TBD",$H184/(Eqtn!$D$237*($C184+Eqtn!$D$238))))</f>
        <v>na</v>
      </c>
      <c r="J184" s="711"/>
      <c r="K184" s="712">
        <f>IF(OR($C184="na",$J184="na"),"na",IF($J184="PQL","TBD",$J184/(Eqtn!$D$237*($C184+Eqtn!$D$238))))</f>
        <v>0</v>
      </c>
      <c r="L184" s="322"/>
      <c r="M184" s="1062"/>
    </row>
    <row r="185" spans="1:13" ht="13.9" customHeight="1" x14ac:dyDescent="0.25">
      <c r="A185" s="846">
        <f>Chem!A185</f>
        <v>183</v>
      </c>
      <c r="B185" s="931" t="str">
        <f>Chem!B185</f>
        <v>1,3-Dichloropropane</v>
      </c>
      <c r="C185" s="924">
        <f>Param!J185</f>
        <v>1.3718000000000001</v>
      </c>
      <c r="D185" s="219" t="str">
        <f>'SD-Det'!Z185</f>
        <v>na</v>
      </c>
      <c r="E185" s="2092" t="str">
        <f>IF(OR($C185="na",$D185="na"),"na",IF($D185="PQL","TBD",$D185/(Eqtn!$D$237*($C185+Eqtn!$D$238))))</f>
        <v>na</v>
      </c>
      <c r="F185" s="273" t="str">
        <f>'SD-Det'!P185</f>
        <v>na</v>
      </c>
      <c r="G185" s="728" t="str">
        <f>IF(OR($C185="na",$F185="na"),"na",IF($F185="PQL","TBD",$F185/(Eqtn!$D$237*($C185+Eqtn!$D$238))))</f>
        <v>na</v>
      </c>
      <c r="H185" s="711" t="str">
        <f>'SD-Det'!AR185</f>
        <v>na</v>
      </c>
      <c r="I185" s="711" t="str">
        <f>IF(OR($C185="na",$H185="na"),"na",IF($H185="PQL","TBD",$H185/(Eqtn!$D$237*($C185+Eqtn!$D$238))))</f>
        <v>na</v>
      </c>
      <c r="J185" s="711"/>
      <c r="K185" s="712">
        <f>IF(OR($C185="na",$J185="na"),"na",IF($J185="PQL","TBD",$J185/(Eqtn!$D$237*($C185+Eqtn!$D$238))))</f>
        <v>0</v>
      </c>
      <c r="L185" s="322"/>
      <c r="M185" s="1062"/>
    </row>
    <row r="186" spans="1:13" ht="13.9" customHeight="1" x14ac:dyDescent="0.25">
      <c r="A186" s="846">
        <f>Chem!A186</f>
        <v>184</v>
      </c>
      <c r="B186" s="931" t="str">
        <f>Chem!B186</f>
        <v>2,2-Dichloropropane</v>
      </c>
      <c r="C186" s="924" t="str">
        <f>Param!J186</f>
        <v>na</v>
      </c>
      <c r="D186" s="219" t="str">
        <f>'SD-Det'!Z186</f>
        <v>na</v>
      </c>
      <c r="E186" s="2092" t="str">
        <f>IF(OR($C186="na",$D186="na"),"na",IF($D186="PQL","TBD",$D186/(Eqtn!$D$237*($C186+Eqtn!$D$238))))</f>
        <v>na</v>
      </c>
      <c r="F186" s="273" t="str">
        <f>'SD-Det'!P186</f>
        <v>na</v>
      </c>
      <c r="G186" s="728" t="str">
        <f>IF(OR($C186="na",$F186="na"),"na",IF($F186="PQL","TBD",$F186/(Eqtn!$D$237*($C186+Eqtn!$D$238))))</f>
        <v>na</v>
      </c>
      <c r="H186" s="711" t="str">
        <f>'SD-Det'!AR186</f>
        <v>na</v>
      </c>
      <c r="I186" s="711" t="str">
        <f>IF(OR($C186="na",$H186="na"),"na",IF($H186="PQL","TBD",$H186/(Eqtn!$D$237*($C186+Eqtn!$D$238))))</f>
        <v>na</v>
      </c>
      <c r="J186" s="711"/>
      <c r="K186" s="712" t="str">
        <f>IF(OR($C186="na",$J186="na"),"na",IF($J186="PQL","TBD",$J186/(Eqtn!$D$237*($C186+Eqtn!$D$238))))</f>
        <v>na</v>
      </c>
      <c r="L186" s="322"/>
      <c r="M186" s="1062"/>
    </row>
    <row r="187" spans="1:13" ht="13.9" customHeight="1" x14ac:dyDescent="0.25">
      <c r="A187" s="846">
        <f>Chem!A187</f>
        <v>185</v>
      </c>
      <c r="B187" s="931" t="str">
        <f>Chem!B187</f>
        <v>1,1-Dichloropropene</v>
      </c>
      <c r="C187" s="924" t="str">
        <f>Param!J187</f>
        <v>na</v>
      </c>
      <c r="D187" s="219" t="str">
        <f>'SD-Det'!Z187</f>
        <v>na</v>
      </c>
      <c r="E187" s="2092" t="str">
        <f>IF(OR($C187="na",$D187="na"),"na",IF($D187="PQL","TBD",$D187/(Eqtn!$D$237*($C187+Eqtn!$D$238))))</f>
        <v>na</v>
      </c>
      <c r="F187" s="273" t="str">
        <f>'SD-Det'!P187</f>
        <v>na</v>
      </c>
      <c r="G187" s="728" t="str">
        <f>IF(OR($C187="na",$F187="na"),"na",IF($F187="PQL","TBD",$F187/(Eqtn!$D$237*($C187+Eqtn!$D$238))))</f>
        <v>na</v>
      </c>
      <c r="H187" s="711" t="str">
        <f>'SD-Det'!AR187</f>
        <v>na</v>
      </c>
      <c r="I187" s="711" t="str">
        <f>IF(OR($C187="na",$H187="na"),"na",IF($H187="PQL","TBD",$H187/(Eqtn!$D$237*($C187+Eqtn!$D$238))))</f>
        <v>na</v>
      </c>
      <c r="J187" s="711"/>
      <c r="K187" s="712" t="str">
        <f>IF(OR($C187="na",$J187="na"),"na",IF($J187="PQL","TBD",$J187/(Eqtn!$D$237*($C187+Eqtn!$D$238))))</f>
        <v>na</v>
      </c>
      <c r="L187" s="322"/>
      <c r="M187" s="1062"/>
    </row>
    <row r="188" spans="1:13" ht="13.9" customHeight="1" x14ac:dyDescent="0.25">
      <c r="A188" s="846">
        <f>Chem!A188</f>
        <v>186</v>
      </c>
      <c r="B188" s="931" t="str">
        <f>Chem!B188</f>
        <v>cis-1,3-Dichloropropene</v>
      </c>
      <c r="C188" s="924">
        <f>Param!J188</f>
        <v>0.51300000000000001</v>
      </c>
      <c r="D188" s="219" t="str">
        <f>'SD-Det'!Z188</f>
        <v>na</v>
      </c>
      <c r="E188" s="2092" t="str">
        <f>IF(OR($C188="na",$D188="na"),"na",IF($D188="PQL","TBD",$D188/(Eqtn!$D$237*($C188+Eqtn!$D$238))))</f>
        <v>na</v>
      </c>
      <c r="F188" s="273" t="str">
        <f>'SD-Det'!P188</f>
        <v>na</v>
      </c>
      <c r="G188" s="728" t="str">
        <f>IF(OR($C188="na",$F188="na"),"na",IF($F188="PQL","TBD",$F188/(Eqtn!$D$237*($C188+Eqtn!$D$238))))</f>
        <v>na</v>
      </c>
      <c r="H188" s="711" t="str">
        <f>'SD-Det'!AR188</f>
        <v>na</v>
      </c>
      <c r="I188" s="711" t="str">
        <f>IF(OR($C188="na",$H188="na"),"na",IF($H188="PQL","TBD",$H188/(Eqtn!$D$237*($C188+Eqtn!$D$238))))</f>
        <v>na</v>
      </c>
      <c r="J188" s="711"/>
      <c r="K188" s="712">
        <f>IF(OR($C188="na",$J188="na"),"na",IF($J188="PQL","TBD",$J188/(Eqtn!$D$237*($C188+Eqtn!$D$238))))</f>
        <v>0</v>
      </c>
      <c r="L188" s="322"/>
      <c r="M188" s="1062"/>
    </row>
    <row r="189" spans="1:13" ht="13.9" customHeight="1" x14ac:dyDescent="0.25">
      <c r="A189" s="846">
        <f>Chem!A189</f>
        <v>187</v>
      </c>
      <c r="B189" s="931" t="str">
        <f>Chem!B189</f>
        <v>trans-1,3-Dichloropropene</v>
      </c>
      <c r="C189" s="924">
        <f>Param!J189</f>
        <v>0.51300000000000001</v>
      </c>
      <c r="D189" s="219" t="str">
        <f>'SD-Det'!Z189</f>
        <v>na</v>
      </c>
      <c r="E189" s="2092" t="str">
        <f>IF(OR($C189="na",$D189="na"),"na",IF($D189="PQL","TBD",$D189/(Eqtn!$D$237*($C189+Eqtn!$D$238))))</f>
        <v>na</v>
      </c>
      <c r="F189" s="273" t="str">
        <f>'SD-Det'!P189</f>
        <v>na</v>
      </c>
      <c r="G189" s="728" t="str">
        <f>IF(OR($C189="na",$F189="na"),"na",IF($F189="PQL","TBD",$F189/(Eqtn!$D$237*($C189+Eqtn!$D$238))))</f>
        <v>na</v>
      </c>
      <c r="H189" s="711" t="str">
        <f>'SD-Det'!AR189</f>
        <v>na</v>
      </c>
      <c r="I189" s="711" t="str">
        <f>IF(OR($C189="na",$H189="na"),"na",IF($H189="PQL","TBD",$H189/(Eqtn!$D$237*($C189+Eqtn!$D$238))))</f>
        <v>na</v>
      </c>
      <c r="J189" s="711"/>
      <c r="K189" s="712">
        <f>IF(OR($C189="na",$J189="na"),"na",IF($J189="PQL","TBD",$J189/(Eqtn!$D$237*($C189+Eqtn!$D$238))))</f>
        <v>0</v>
      </c>
      <c r="L189" s="322"/>
      <c r="M189" s="1062"/>
    </row>
    <row r="190" spans="1:13" ht="13.9" customHeight="1" x14ac:dyDescent="0.25">
      <c r="A190" s="846">
        <f>Chem!A190</f>
        <v>188</v>
      </c>
      <c r="B190" s="931" t="str">
        <f>Chem!B190</f>
        <v>Diisopropyl ether</v>
      </c>
      <c r="C190" s="924">
        <f>Param!J190</f>
        <v>0.43320000000000003</v>
      </c>
      <c r="D190" s="219" t="str">
        <f>'SD-Det'!Z190</f>
        <v>na</v>
      </c>
      <c r="E190" s="2092" t="str">
        <f>IF(OR($C190="na",$D190="na"),"na",IF($D190="PQL","TBD",$D190/(Eqtn!$D$237*($C190+Eqtn!$D$238))))</f>
        <v>na</v>
      </c>
      <c r="F190" s="273" t="str">
        <f>'SD-Det'!P190</f>
        <v>na</v>
      </c>
      <c r="G190" s="728" t="str">
        <f>IF(OR($C190="na",$F190="na"),"na",IF($F190="PQL","TBD",$F190/(Eqtn!$D$237*($C190+Eqtn!$D$238))))</f>
        <v>na</v>
      </c>
      <c r="H190" s="711" t="str">
        <f>'SD-Det'!AR190</f>
        <v>na</v>
      </c>
      <c r="I190" s="711" t="str">
        <f>IF(OR($C190="na",$H190="na"),"na",IF($H190="PQL","TBD",$H190/(Eqtn!$D$237*($C190+Eqtn!$D$238))))</f>
        <v>na</v>
      </c>
      <c r="J190" s="711"/>
      <c r="K190" s="712">
        <f>IF(OR($C190="na",$J190="na"),"na",IF($J190="PQL","TBD",$J190/(Eqtn!$D$237*($C190+Eqtn!$D$238))))</f>
        <v>0</v>
      </c>
      <c r="L190" s="322"/>
      <c r="M190" s="1062"/>
    </row>
    <row r="191" spans="1:13" ht="13.9" customHeight="1" x14ac:dyDescent="0.25">
      <c r="A191" s="846">
        <f>Chem!A191</f>
        <v>189</v>
      </c>
      <c r="B191" s="931" t="str">
        <f>Chem!B191</f>
        <v>Ethane</v>
      </c>
      <c r="C191" s="924" t="str">
        <f>Param!J191</f>
        <v>na</v>
      </c>
      <c r="D191" s="219" t="str">
        <f>'SD-Det'!Z191</f>
        <v>na</v>
      </c>
      <c r="E191" s="2092" t="str">
        <f>IF(OR($C191="na",$D191="na"),"na",IF($D191="PQL","TBD",$D191/(Eqtn!$D$237*($C191+Eqtn!$D$238))))</f>
        <v>na</v>
      </c>
      <c r="F191" s="273" t="str">
        <f>'SD-Det'!P191</f>
        <v>na</v>
      </c>
      <c r="G191" s="728" t="str">
        <f>IF(OR($C191="na",$F191="na"),"na",IF($F191="PQL","TBD",$F191/(Eqtn!$D$237*($C191+Eqtn!$D$238))))</f>
        <v>na</v>
      </c>
      <c r="H191" s="711" t="str">
        <f>'SD-Det'!AR191</f>
        <v>na</v>
      </c>
      <c r="I191" s="711" t="str">
        <f>IF(OR($C191="na",$H191="na"),"na",IF($H191="PQL","TBD",$H191/(Eqtn!$D$237*($C191+Eqtn!$D$238))))</f>
        <v>na</v>
      </c>
      <c r="J191" s="711"/>
      <c r="K191" s="712" t="str">
        <f>IF(OR($C191="na",$J191="na"),"na",IF($J191="PQL","TBD",$J191/(Eqtn!$D$237*($C191+Eqtn!$D$238))))</f>
        <v>na</v>
      </c>
      <c r="L191" s="322"/>
      <c r="M191" s="1062"/>
    </row>
    <row r="192" spans="1:13" ht="13.9" customHeight="1" x14ac:dyDescent="0.25">
      <c r="A192" s="846">
        <f>Chem!A192</f>
        <v>190</v>
      </c>
      <c r="B192" s="931" t="str">
        <f>Chem!B192</f>
        <v>Ethylbenzene</v>
      </c>
      <c r="C192" s="924">
        <f>Param!J192</f>
        <v>3.8759999999999999</v>
      </c>
      <c r="D192" s="219" t="str">
        <f>'SD-Det'!Z192</f>
        <v>na</v>
      </c>
      <c r="E192" s="2092" t="str">
        <f>IF(OR($C192="na",$D192="na"),"na",IF($D192="PQL","TBD",$D192/(Eqtn!$D$237*($C192+Eqtn!$D$238))))</f>
        <v>na</v>
      </c>
      <c r="F192" s="273" t="str">
        <f>'SD-Det'!P192</f>
        <v>na</v>
      </c>
      <c r="G192" s="728" t="str">
        <f>IF(OR($C192="na",$F192="na"),"na",IF($F192="PQL","TBD",$F192/(Eqtn!$D$237*($C192+Eqtn!$D$238))))</f>
        <v>na</v>
      </c>
      <c r="H192" s="711" t="str">
        <f>'SD-Det'!AR192</f>
        <v>na</v>
      </c>
      <c r="I192" s="711" t="str">
        <f>IF(OR($C192="na",$H192="na"),"na",IF($H192="PQL","TBD",$H192/(Eqtn!$D$237*($C192+Eqtn!$D$238))))</f>
        <v>na</v>
      </c>
      <c r="J192" s="711"/>
      <c r="K192" s="712">
        <f>IF(OR($C192="na",$J192="na"),"na",IF($J192="PQL","TBD",$J192/(Eqtn!$D$237*($C192+Eqtn!$D$238))))</f>
        <v>0</v>
      </c>
      <c r="L192" s="322"/>
      <c r="M192" s="1062"/>
    </row>
    <row r="193" spans="1:13" ht="13.9" customHeight="1" x14ac:dyDescent="0.25">
      <c r="A193" s="846">
        <f>Chem!A193</f>
        <v>191</v>
      </c>
      <c r="B193" s="931" t="str">
        <f>Chem!B193</f>
        <v>Ethylene oxide</v>
      </c>
      <c r="C193" s="924">
        <f>Param!J193</f>
        <v>6.1560000000000004E-2</v>
      </c>
      <c r="D193" s="219" t="str">
        <f>'SD-Det'!Z193</f>
        <v>na</v>
      </c>
      <c r="E193" s="2092" t="str">
        <f>IF(OR($C193="na",$D193="na"),"na",IF($D193="PQL","TBD",$D193/(Eqtn!$D$237*($C193+Eqtn!$D$238))))</f>
        <v>na</v>
      </c>
      <c r="F193" s="273" t="str">
        <f>'SD-Det'!P193</f>
        <v>na</v>
      </c>
      <c r="G193" s="728" t="str">
        <f>IF(OR($C193="na",$F193="na"),"na",IF($F193="PQL","TBD",$F193/(Eqtn!$D$237*($C193+Eqtn!$D$238))))</f>
        <v>na</v>
      </c>
      <c r="H193" s="711" t="str">
        <f>'SD-Det'!AR193</f>
        <v>na</v>
      </c>
      <c r="I193" s="711" t="str">
        <f>IF(OR($C193="na",$H193="na"),"na",IF($H193="PQL","TBD",$H193/(Eqtn!$D$237*($C193+Eqtn!$D$238))))</f>
        <v>na</v>
      </c>
      <c r="J193" s="711"/>
      <c r="K193" s="712">
        <f>IF(OR($C193="na",$J193="na"),"na",IF($J193="PQL","TBD",$J193/(Eqtn!$D$237*($C193+Eqtn!$D$238))))</f>
        <v>0</v>
      </c>
      <c r="L193" s="322"/>
      <c r="M193" s="1062"/>
    </row>
    <row r="194" spans="1:13" ht="13.9" customHeight="1" x14ac:dyDescent="0.25">
      <c r="A194" s="846">
        <f>Chem!A194</f>
        <v>192</v>
      </c>
      <c r="B194" s="931" t="str">
        <f>Chem!B194</f>
        <v>Ethyl ether</v>
      </c>
      <c r="C194" s="924">
        <f>Param!J194</f>
        <v>0.18429999999999999</v>
      </c>
      <c r="D194" s="219" t="str">
        <f>'SD-Det'!Z194</f>
        <v>na</v>
      </c>
      <c r="E194" s="2092" t="str">
        <f>IF(OR($C194="na",$D194="na"),"na",IF($D194="PQL","TBD",$D194/(Eqtn!$D$237*($C194+Eqtn!$D$238))))</f>
        <v>na</v>
      </c>
      <c r="F194" s="273" t="str">
        <f>'SD-Det'!P194</f>
        <v>na</v>
      </c>
      <c r="G194" s="728" t="str">
        <f>IF(OR($C194="na",$F194="na"),"na",IF($F194="PQL","TBD",$F194/(Eqtn!$D$237*($C194+Eqtn!$D$238))))</f>
        <v>na</v>
      </c>
      <c r="H194" s="711" t="str">
        <f>'SD-Det'!AR194</f>
        <v>na</v>
      </c>
      <c r="I194" s="711" t="str">
        <f>IF(OR($C194="na",$H194="na"),"na",IF($H194="PQL","TBD",$H194/(Eqtn!$D$237*($C194+Eqtn!$D$238))))</f>
        <v>na</v>
      </c>
      <c r="J194" s="711"/>
      <c r="K194" s="712">
        <f>IF(OR($C194="na",$J194="na"),"na",IF($J194="PQL","TBD",$J194/(Eqtn!$D$237*($C194+Eqtn!$D$238))))</f>
        <v>0</v>
      </c>
      <c r="L194" s="322"/>
      <c r="M194" s="1062"/>
    </row>
    <row r="195" spans="1:13" ht="13.9" customHeight="1" x14ac:dyDescent="0.25">
      <c r="A195" s="846">
        <f>Chem!A195</f>
        <v>193</v>
      </c>
      <c r="B195" s="931" t="str">
        <f>Chem!B195</f>
        <v>Ethylene dibromide (EDB)</v>
      </c>
      <c r="C195" s="924">
        <f>Param!J195</f>
        <v>1.254</v>
      </c>
      <c r="D195" s="219" t="str">
        <f>'SD-Det'!Z195</f>
        <v>na</v>
      </c>
      <c r="E195" s="2092" t="str">
        <f>IF(OR($C195="na",$D195="na"),"na",IF($D195="PQL","TBD",$D195/(Eqtn!$D$237*($C195+Eqtn!$D$238))))</f>
        <v>na</v>
      </c>
      <c r="F195" s="273" t="str">
        <f>'SD-Det'!P195</f>
        <v>na</v>
      </c>
      <c r="G195" s="728" t="str">
        <f>IF(OR($C195="na",$F195="na"),"na",IF($F195="PQL","TBD",$F195/(Eqtn!$D$237*($C195+Eqtn!$D$238))))</f>
        <v>na</v>
      </c>
      <c r="H195" s="711" t="str">
        <f>'SD-Det'!AR195</f>
        <v>na</v>
      </c>
      <c r="I195" s="711" t="str">
        <f>IF(OR($C195="na",$H195="na"),"na",IF($H195="PQL","TBD",$H195/(Eqtn!$D$237*($C195+Eqtn!$D$238))))</f>
        <v>na</v>
      </c>
      <c r="J195" s="711"/>
      <c r="K195" s="712">
        <f>IF(OR($C195="na",$J195="na"),"na",IF($J195="PQL","TBD",$J195/(Eqtn!$D$237*($C195+Eqtn!$D$238))))</f>
        <v>0</v>
      </c>
      <c r="L195" s="322"/>
      <c r="M195" s="1062"/>
    </row>
    <row r="196" spans="1:13" ht="13.9" customHeight="1" x14ac:dyDescent="0.25">
      <c r="A196" s="846">
        <f>Chem!A196</f>
        <v>194</v>
      </c>
      <c r="B196" s="931" t="str">
        <f>Chem!B196</f>
        <v>Formaldehyde</v>
      </c>
      <c r="C196" s="924">
        <f>Param!J196</f>
        <v>1.9E-2</v>
      </c>
      <c r="D196" s="219" t="str">
        <f>'SD-Det'!Z196</f>
        <v>na</v>
      </c>
      <c r="E196" s="2092" t="str">
        <f>IF(OR($C196="na",$D196="na"),"na",IF($D196="PQL","TBD",$D196/(Eqtn!$D$237*($C196+Eqtn!$D$238))))</f>
        <v>na</v>
      </c>
      <c r="F196" s="273" t="str">
        <f>'SD-Det'!P196</f>
        <v>na</v>
      </c>
      <c r="G196" s="728" t="str">
        <f>IF(OR($C196="na",$F196="na"),"na",IF($F196="PQL","TBD",$F196/(Eqtn!$D$237*($C196+Eqtn!$D$238))))</f>
        <v>na</v>
      </c>
      <c r="H196" s="711" t="str">
        <f>'SD-Det'!AR196</f>
        <v>na</v>
      </c>
      <c r="I196" s="711" t="str">
        <f>IF(OR($C196="na",$H196="na"),"na",IF($H196="PQL","TBD",$H196/(Eqtn!$D$237*($C196+Eqtn!$D$238))))</f>
        <v>na</v>
      </c>
      <c r="J196" s="711"/>
      <c r="K196" s="712">
        <f>IF(OR($C196="na",$J196="na"),"na",IF($J196="PQL","TBD",$J196/(Eqtn!$D$237*($C196+Eqtn!$D$238))))</f>
        <v>0</v>
      </c>
      <c r="L196" s="322"/>
      <c r="M196" s="1062"/>
    </row>
    <row r="197" spans="1:13" ht="13.9" customHeight="1" x14ac:dyDescent="0.25">
      <c r="A197" s="846">
        <f>Chem!A197</f>
        <v>195</v>
      </c>
      <c r="B197" s="931" t="str">
        <f>Chem!B197</f>
        <v>n-Hexane</v>
      </c>
      <c r="C197" s="924">
        <f>Param!J197</f>
        <v>64.789999999999992</v>
      </c>
      <c r="D197" s="219" t="str">
        <f>'SD-Det'!Z197</f>
        <v>na</v>
      </c>
      <c r="E197" s="2092" t="str">
        <f>IF(OR($C197="na",$D197="na"),"na",IF($D197="PQL","TBD",$D197/(Eqtn!$D$237*($C197+Eqtn!$D$238))))</f>
        <v>na</v>
      </c>
      <c r="F197" s="273" t="str">
        <f>'SD-Det'!P197</f>
        <v>na</v>
      </c>
      <c r="G197" s="728" t="str">
        <f>IF(OR($C197="na",$F197="na"),"na",IF($F197="PQL","TBD",$F197/(Eqtn!$D$237*($C197+Eqtn!$D$238))))</f>
        <v>na</v>
      </c>
      <c r="H197" s="711" t="str">
        <f>'SD-Det'!AR197</f>
        <v>na</v>
      </c>
      <c r="I197" s="711" t="str">
        <f>IF(OR($C197="na",$H197="na"),"na",IF($H197="PQL","TBD",$H197/(Eqtn!$D$237*($C197+Eqtn!$D$238))))</f>
        <v>na</v>
      </c>
      <c r="J197" s="711"/>
      <c r="K197" s="712">
        <f>IF(OR($C197="na",$J197="na"),"na",IF($J197="PQL","TBD",$J197/(Eqtn!$D$237*($C197+Eqtn!$D$238))))</f>
        <v>0</v>
      </c>
      <c r="L197" s="322"/>
      <c r="M197" s="1062"/>
    </row>
    <row r="198" spans="1:13" ht="13.9" customHeight="1" x14ac:dyDescent="0.25">
      <c r="A198" s="846">
        <f>Chem!A198</f>
        <v>196</v>
      </c>
      <c r="B198" s="931" t="str">
        <f>Chem!B198</f>
        <v>2-Hexanone</v>
      </c>
      <c r="C198" s="924">
        <f>Param!J196</f>
        <v>1.9E-2</v>
      </c>
      <c r="D198" s="219" t="str">
        <f>'SD-Det'!Z198</f>
        <v>na</v>
      </c>
      <c r="E198" s="2092" t="str">
        <f>IF(OR($C198="na",$D198="na"),"na",IF($D198="PQL","TBD",$D198/(Eqtn!$D$237*($C198+Eqtn!$D$238))))</f>
        <v>na</v>
      </c>
      <c r="F198" s="273" t="str">
        <f>'SD-Det'!P198</f>
        <v>na</v>
      </c>
      <c r="G198" s="728" t="str">
        <f>IF(OR($C198="na",$F198="na"),"na",IF($F198="PQL","TBD",$F198/(Eqtn!$D$237*($C198+Eqtn!$D$238))))</f>
        <v>na</v>
      </c>
      <c r="H198" s="711" t="str">
        <f>'SD-Det'!AR198</f>
        <v>na</v>
      </c>
      <c r="I198" s="711" t="str">
        <f>IF(OR($C198="na",$H198="na"),"na",IF($H198="PQL","TBD",$H198/(Eqtn!$D$237*($C198+Eqtn!$D$238))))</f>
        <v>na</v>
      </c>
      <c r="J198" s="711"/>
      <c r="K198" s="712">
        <f>IF(OR($C198="na",$J198="na"),"na",IF($J198="PQL","TBD",$J198/(Eqtn!$D$237*($C198+Eqtn!$D$238))))</f>
        <v>0</v>
      </c>
      <c r="L198" s="322"/>
      <c r="M198" s="1062"/>
    </row>
    <row r="199" spans="1:13" ht="13.9" customHeight="1" x14ac:dyDescent="0.25">
      <c r="A199" s="846">
        <f>Chem!A199</f>
        <v>197</v>
      </c>
      <c r="B199" s="931" t="str">
        <f>Chem!B199</f>
        <v>Isopropylbenzene (cumene)</v>
      </c>
      <c r="C199" s="924">
        <f>Param!J199</f>
        <v>13.262</v>
      </c>
      <c r="D199" s="219" t="str">
        <f>'SD-Det'!Z199</f>
        <v>na</v>
      </c>
      <c r="E199" s="2092" t="str">
        <f>IF(OR($C199="na",$D199="na"),"na",IF($D199="PQL","TBD",$D199/(Eqtn!$D$237*($C199+Eqtn!$D$238))))</f>
        <v>na</v>
      </c>
      <c r="F199" s="273" t="str">
        <f>'SD-Det'!P199</f>
        <v>na</v>
      </c>
      <c r="G199" s="728" t="str">
        <f>IF(OR($C199="na",$F199="na"),"na",IF($F199="PQL","TBD",$F199/(Eqtn!$D$237*($C199+Eqtn!$D$238))))</f>
        <v>na</v>
      </c>
      <c r="H199" s="711" t="str">
        <f>'SD-Det'!AR199</f>
        <v>na</v>
      </c>
      <c r="I199" s="711" t="str">
        <f>IF(OR($C199="na",$H199="na"),"na",IF($H199="PQL","TBD",$H199/(Eqtn!$D$237*($C199+Eqtn!$D$238))))</f>
        <v>na</v>
      </c>
      <c r="J199" s="711"/>
      <c r="K199" s="712">
        <f>IF(OR($C199="na",$J199="na"),"na",IF($J199="PQL","TBD",$J199/(Eqtn!$D$237*($C199+Eqtn!$D$238))))</f>
        <v>0</v>
      </c>
      <c r="L199" s="322"/>
      <c r="M199" s="1062"/>
    </row>
    <row r="200" spans="1:13" ht="13.9" customHeight="1" x14ac:dyDescent="0.25">
      <c r="A200" s="846">
        <f>Chem!A200</f>
        <v>198</v>
      </c>
      <c r="B200" s="931" t="str">
        <f>Chem!B200</f>
        <v>4-Isopropyltoluene (p-isopropyltoluene)</v>
      </c>
      <c r="C200" s="924">
        <f>Param!J200</f>
        <v>21.28</v>
      </c>
      <c r="D200" s="219" t="str">
        <f>'SD-Det'!Z200</f>
        <v>na</v>
      </c>
      <c r="E200" s="2092" t="str">
        <f>IF(OR($C200="na",$D200="na"),"na",IF($D200="PQL","TBD",$D200/(Eqtn!$D$237*($C200+Eqtn!$D$238))))</f>
        <v>na</v>
      </c>
      <c r="F200" s="273" t="str">
        <f>'SD-Det'!P200</f>
        <v>na</v>
      </c>
      <c r="G200" s="728" t="str">
        <f>IF(OR($C200="na",$F200="na"),"na",IF($F200="PQL","TBD",$F200/(Eqtn!$D$237*($C200+Eqtn!$D$238))))</f>
        <v>na</v>
      </c>
      <c r="H200" s="711" t="str">
        <f>'SD-Det'!AR200</f>
        <v>na</v>
      </c>
      <c r="I200" s="711" t="str">
        <f>IF(OR($C200="na",$H200="na"),"na",IF($H200="PQL","TBD",$H200/(Eqtn!$D$237*($C200+Eqtn!$D$238))))</f>
        <v>na</v>
      </c>
      <c r="J200" s="711"/>
      <c r="K200" s="712">
        <f>IF(OR($C200="na",$J200="na"),"na",IF($J200="PQL","TBD",$J200/(Eqtn!$D$237*($C200+Eqtn!$D$238))))</f>
        <v>0</v>
      </c>
      <c r="L200" s="322"/>
      <c r="M200" s="1062"/>
    </row>
    <row r="201" spans="1:13" ht="13.9" customHeight="1" x14ac:dyDescent="0.25">
      <c r="A201" s="846">
        <f>Chem!A201</f>
        <v>199</v>
      </c>
      <c r="B201" s="931" t="str">
        <f>Chem!B201</f>
        <v>Methane</v>
      </c>
      <c r="C201" s="924" t="str">
        <f>Param!J201</f>
        <v>na</v>
      </c>
      <c r="D201" s="219" t="str">
        <f>'SD-Det'!Z201</f>
        <v>na</v>
      </c>
      <c r="E201" s="2092" t="str">
        <f>IF(OR($C201="na",$D201="na"),"na",IF($D201="PQL","TBD",$D201/(Eqtn!$D$237*($C201+Eqtn!$D$238))))</f>
        <v>na</v>
      </c>
      <c r="F201" s="273" t="str">
        <f>'SD-Det'!P201</f>
        <v>na</v>
      </c>
      <c r="G201" s="728" t="str">
        <f>IF(OR($C201="na",$F201="na"),"na",IF($F201="PQL","TBD",$F201/(Eqtn!$D$237*($C201+Eqtn!$D$238))))</f>
        <v>na</v>
      </c>
      <c r="H201" s="711" t="str">
        <f>'SD-Det'!AR201</f>
        <v>na</v>
      </c>
      <c r="I201" s="711" t="str">
        <f>IF(OR($C201="na",$H201="na"),"na",IF($H201="PQL","TBD",$H201/(Eqtn!$D$237*($C201+Eqtn!$D$238))))</f>
        <v>na</v>
      </c>
      <c r="J201" s="711"/>
      <c r="K201" s="712" t="str">
        <f>IF(OR($C201="na",$J201="na"),"na",IF($J201="PQL","TBD",$J201/(Eqtn!$D$237*($C201+Eqtn!$D$238))))</f>
        <v>na</v>
      </c>
      <c r="L201" s="322"/>
      <c r="M201" s="1062"/>
    </row>
    <row r="202" spans="1:13" ht="13.9" customHeight="1" x14ac:dyDescent="0.25">
      <c r="A202" s="846">
        <f>Chem!A202</f>
        <v>200</v>
      </c>
      <c r="B202" s="931" t="str">
        <f>Chem!B202</f>
        <v>Methyl ethyl ketone (2-butanone)</v>
      </c>
      <c r="C202" s="924">
        <f>Param!J202</f>
        <v>8.5689999999999988E-2</v>
      </c>
      <c r="D202" s="219" t="str">
        <f>'SD-Det'!Z202</f>
        <v>na</v>
      </c>
      <c r="E202" s="2092" t="str">
        <f>IF(OR($C202="na",$D202="na"),"na",IF($D202="PQL","TBD",$D202/(Eqtn!$D$237*($C202+Eqtn!$D$238))))</f>
        <v>na</v>
      </c>
      <c r="F202" s="273" t="str">
        <f>'SD-Det'!P202</f>
        <v>na</v>
      </c>
      <c r="G202" s="728" t="str">
        <f>IF(OR($C202="na",$F202="na"),"na",IF($F202="PQL","TBD",$F202/(Eqtn!$D$237*($C202+Eqtn!$D$238))))</f>
        <v>na</v>
      </c>
      <c r="H202" s="711" t="str">
        <f>'SD-Det'!AR202</f>
        <v>na</v>
      </c>
      <c r="I202" s="711" t="str">
        <f>IF(OR($C202="na",$H202="na"),"na",IF($H202="PQL","TBD",$H202/(Eqtn!$D$237*($C202+Eqtn!$D$238))))</f>
        <v>na</v>
      </c>
      <c r="J202" s="711"/>
      <c r="K202" s="712">
        <f>IF(OR($C202="na",$J202="na"),"na",IF($J202="PQL","TBD",$J202/(Eqtn!$D$237*($C202+Eqtn!$D$238))))</f>
        <v>0</v>
      </c>
      <c r="L202" s="322"/>
      <c r="M202" s="1062"/>
    </row>
    <row r="203" spans="1:13" ht="13.9" customHeight="1" x14ac:dyDescent="0.25">
      <c r="A203" s="846">
        <f>Chem!A203</f>
        <v>201</v>
      </c>
      <c r="B203" s="931" t="str">
        <f>Chem!B203</f>
        <v>Methyl iodide</v>
      </c>
      <c r="C203" s="924" t="str">
        <f>Param!J203</f>
        <v>na</v>
      </c>
      <c r="D203" s="219" t="str">
        <f>'SD-Det'!Z203</f>
        <v>na</v>
      </c>
      <c r="E203" s="2092" t="str">
        <f>IF(OR($C203="na",$D203="na"),"na",IF($D203="PQL","TBD",$D203/(Eqtn!$D$237*($C203+Eqtn!$D$238))))</f>
        <v>na</v>
      </c>
      <c r="F203" s="273" t="str">
        <f>'SD-Det'!P203</f>
        <v>na</v>
      </c>
      <c r="G203" s="728" t="str">
        <f>IF(OR($C203="na",$F203="na"),"na",IF($F203="PQL","TBD",$F203/(Eqtn!$D$237*($C203+Eqtn!$D$238))))</f>
        <v>na</v>
      </c>
      <c r="H203" s="711" t="str">
        <f>'SD-Det'!AR203</f>
        <v>na</v>
      </c>
      <c r="I203" s="711" t="str">
        <f>IF(OR($C203="na",$H203="na"),"na",IF($H203="PQL","TBD",$H203/(Eqtn!$D$237*($C203+Eqtn!$D$238))))</f>
        <v>na</v>
      </c>
      <c r="J203" s="711"/>
      <c r="K203" s="712" t="str">
        <f>IF(OR($C203="na",$J203="na"),"na",IF($J203="PQL","TBD",$J203/(Eqtn!$D$237*($C203+Eqtn!$D$238))))</f>
        <v>na</v>
      </c>
      <c r="L203" s="322"/>
      <c r="M203" s="1062"/>
    </row>
    <row r="204" spans="1:13" ht="13.9" customHeight="1" x14ac:dyDescent="0.25">
      <c r="A204" s="846">
        <f>Chem!A204</f>
        <v>202</v>
      </c>
      <c r="B204" s="931" t="str">
        <f>Chem!B204</f>
        <v>Methyl isobutyl ketone</v>
      </c>
      <c r="C204" s="924">
        <f>Param!J204</f>
        <v>0.23939999999999997</v>
      </c>
      <c r="D204" s="219" t="str">
        <f>'SD-Det'!Z204</f>
        <v>na</v>
      </c>
      <c r="E204" s="2092" t="str">
        <f>IF(OR($C204="na",$D204="na"),"na",IF($D204="PQL","TBD",$D204/(Eqtn!$D$237*($C204+Eqtn!$D$238))))</f>
        <v>na</v>
      </c>
      <c r="F204" s="273" t="str">
        <f>'SD-Det'!P204</f>
        <v>na</v>
      </c>
      <c r="G204" s="728" t="str">
        <f>IF(OR($C204="na",$F204="na"),"na",IF($F204="PQL","TBD",$F204/(Eqtn!$D$237*($C204+Eqtn!$D$238))))</f>
        <v>na</v>
      </c>
      <c r="H204" s="711" t="str">
        <f>'SD-Det'!AR204</f>
        <v>na</v>
      </c>
      <c r="I204" s="711" t="str">
        <f>IF(OR($C204="na",$H204="na"),"na",IF($H204="PQL","TBD",$H204/(Eqtn!$D$237*($C204+Eqtn!$D$238))))</f>
        <v>na</v>
      </c>
      <c r="J204" s="711"/>
      <c r="K204" s="712">
        <f>IF(OR($C204="na",$J204="na"),"na",IF($J204="PQL","TBD",$J204/(Eqtn!$D$237*($C204+Eqtn!$D$238))))</f>
        <v>0</v>
      </c>
      <c r="L204" s="322"/>
      <c r="M204" s="1062"/>
    </row>
    <row r="205" spans="1:13" ht="13.9" customHeight="1" x14ac:dyDescent="0.25">
      <c r="A205" s="846">
        <f>Chem!A205</f>
        <v>203</v>
      </c>
      <c r="B205" s="931" t="str">
        <f>Chem!B205</f>
        <v>Methyl tert-butyl ether (MTBE)</v>
      </c>
      <c r="C205" s="924">
        <f>Param!J205</f>
        <v>0.20710000000000001</v>
      </c>
      <c r="D205" s="219" t="str">
        <f>'SD-Det'!Z205</f>
        <v>na</v>
      </c>
      <c r="E205" s="2092" t="str">
        <f>IF(OR($C205="na",$D205="na"),"na",IF($D205="PQL","TBD",$D205/(Eqtn!$D$237*($C205+Eqtn!$D$238))))</f>
        <v>na</v>
      </c>
      <c r="F205" s="273" t="str">
        <f>'SD-Det'!P205</f>
        <v>na</v>
      </c>
      <c r="G205" s="728" t="str">
        <f>IF(OR($C205="na",$F205="na"),"na",IF($F205="PQL","TBD",$F205/(Eqtn!$D$237*($C205+Eqtn!$D$238))))</f>
        <v>na</v>
      </c>
      <c r="H205" s="711" t="str">
        <f>'SD-Det'!AR205</f>
        <v>na</v>
      </c>
      <c r="I205" s="711" t="str">
        <f>IF(OR($C205="na",$H205="na"),"na",IF($H205="PQL","TBD",$H205/(Eqtn!$D$237*($C205+Eqtn!$D$238))))</f>
        <v>na</v>
      </c>
      <c r="J205" s="711"/>
      <c r="K205" s="712">
        <f>IF(OR($C205="na",$J205="na"),"na",IF($J205="PQL","TBD",$J205/(Eqtn!$D$237*($C205+Eqtn!$D$238))))</f>
        <v>0</v>
      </c>
      <c r="L205" s="322"/>
      <c r="M205" s="1062"/>
    </row>
    <row r="206" spans="1:13" ht="13.9" customHeight="1" x14ac:dyDescent="0.25">
      <c r="A206" s="846">
        <f>Chem!A206</f>
        <v>204</v>
      </c>
      <c r="B206" s="931" t="str">
        <f>Chem!B206</f>
        <v>Methylene chloride</v>
      </c>
      <c r="C206" s="924">
        <f>Param!J206</f>
        <v>0.19</v>
      </c>
      <c r="D206" s="219" t="str">
        <f>'SD-Det'!Z206</f>
        <v>na</v>
      </c>
      <c r="E206" s="2092" t="str">
        <f>IF(OR($C206="na",$D206="na"),"na",IF($D206="PQL","TBD",$D206/(Eqtn!$D$237*($C206+Eqtn!$D$238))))</f>
        <v>na</v>
      </c>
      <c r="F206" s="273" t="str">
        <f>'SD-Det'!P206</f>
        <v>na</v>
      </c>
      <c r="G206" s="728" t="str">
        <f>IF(OR($C206="na",$F206="na"),"na",IF($F206="PQL","TBD",$F206/(Eqtn!$D$237*($C206+Eqtn!$D$238))))</f>
        <v>na</v>
      </c>
      <c r="H206" s="711" t="str">
        <f>'SD-Det'!AR206</f>
        <v>na</v>
      </c>
      <c r="I206" s="711" t="str">
        <f>IF(OR($C206="na",$H206="na"),"na",IF($H206="PQL","TBD",$H206/(Eqtn!$D$237*($C206+Eqtn!$D$238))))</f>
        <v>na</v>
      </c>
      <c r="J206" s="711"/>
      <c r="K206" s="712">
        <f>IF(OR($C206="na",$J206="na"),"na",IF($J206="PQL","TBD",$J206/(Eqtn!$D$237*($C206+Eqtn!$D$238))))</f>
        <v>0</v>
      </c>
      <c r="L206" s="322"/>
      <c r="M206" s="1062"/>
    </row>
    <row r="207" spans="1:13" ht="13.9" customHeight="1" x14ac:dyDescent="0.25">
      <c r="A207" s="846">
        <f>Chem!A207</f>
        <v>205</v>
      </c>
      <c r="B207" s="931" t="str">
        <f>Chem!B207</f>
        <v>2-Pentanone</v>
      </c>
      <c r="C207" s="924" t="str">
        <f>Param!J207</f>
        <v>na</v>
      </c>
      <c r="D207" s="219" t="str">
        <f>'SD-Det'!Z207</f>
        <v>na</v>
      </c>
      <c r="E207" s="2092" t="str">
        <f>IF(OR($C207="na",$D207="na"),"na",IF($D207="PQL","TBD",$D207/(Eqtn!$D$237*($C207+Eqtn!$D$238))))</f>
        <v>na</v>
      </c>
      <c r="F207" s="273" t="str">
        <f>'SD-Det'!P207</f>
        <v>na</v>
      </c>
      <c r="G207" s="728" t="str">
        <f>IF(OR($C207="na",$F207="na"),"na",IF($F207="PQL","TBD",$F207/(Eqtn!$D$237*($C207+Eqtn!$D$238))))</f>
        <v>na</v>
      </c>
      <c r="H207" s="711" t="str">
        <f>'SD-Det'!AR207</f>
        <v>na</v>
      </c>
      <c r="I207" s="711" t="str">
        <f>IF(OR($C207="na",$H207="na"),"na",IF($H207="PQL","TBD",$H207/(Eqtn!$D$237*($C207+Eqtn!$D$238))))</f>
        <v>na</v>
      </c>
      <c r="J207" s="711"/>
      <c r="K207" s="712" t="str">
        <f>IF(OR($C207="na",$J207="na"),"na",IF($J207="PQL","TBD",$J207/(Eqtn!$D$237*($C207+Eqtn!$D$238))))</f>
        <v>na</v>
      </c>
      <c r="L207" s="322"/>
      <c r="M207" s="1062"/>
    </row>
    <row r="208" spans="1:13" ht="13.9" customHeight="1" x14ac:dyDescent="0.25">
      <c r="A208" s="846">
        <f>Chem!A208</f>
        <v>206</v>
      </c>
      <c r="B208" s="931" t="str">
        <f>Chem!B208</f>
        <v>n-Propylbenzene</v>
      </c>
      <c r="C208" s="924">
        <f>Param!J208</f>
        <v>15.446999999999999</v>
      </c>
      <c r="D208" s="219" t="str">
        <f>'SD-Det'!Z208</f>
        <v>na</v>
      </c>
      <c r="E208" s="2092" t="str">
        <f>IF(OR($C208="na",$D208="na"),"na",IF($D208="PQL","TBD",$D208/(Eqtn!$D$237*($C208+Eqtn!$D$238))))</f>
        <v>na</v>
      </c>
      <c r="F208" s="273" t="str">
        <f>'SD-Det'!P208</f>
        <v>na</v>
      </c>
      <c r="G208" s="728" t="str">
        <f>IF(OR($C208="na",$F208="na"),"na",IF($F208="PQL","TBD",$F208/(Eqtn!$D$237*($C208+Eqtn!$D$238))))</f>
        <v>na</v>
      </c>
      <c r="H208" s="711" t="str">
        <f>'SD-Det'!AR208</f>
        <v>na</v>
      </c>
      <c r="I208" s="711" t="str">
        <f>IF(OR($C208="na",$H208="na"),"na",IF($H208="PQL","TBD",$H208/(Eqtn!$D$237*($C208+Eqtn!$D$238))))</f>
        <v>na</v>
      </c>
      <c r="J208" s="711"/>
      <c r="K208" s="712">
        <f>IF(OR($C208="na",$J208="na"),"na",IF($J208="PQL","TBD",$J208/(Eqtn!$D$237*($C208+Eqtn!$D$238))))</f>
        <v>0</v>
      </c>
      <c r="L208" s="322"/>
      <c r="M208" s="1062"/>
    </row>
    <row r="209" spans="1:13" ht="13.9" customHeight="1" x14ac:dyDescent="0.25">
      <c r="A209" s="846">
        <f>Chem!A209</f>
        <v>207</v>
      </c>
      <c r="B209" s="931" t="str">
        <f>Chem!B209</f>
        <v>Styrene</v>
      </c>
      <c r="C209" s="924">
        <f>Param!J209</f>
        <v>17.327999999999999</v>
      </c>
      <c r="D209" s="219" t="str">
        <f>'SD-Det'!Z209</f>
        <v>na</v>
      </c>
      <c r="E209" s="2092" t="str">
        <f>IF(OR($C209="na",$D209="na"),"na",IF($D209="PQL","TBD",$D209/(Eqtn!$D$237*($C209+Eqtn!$D$238))))</f>
        <v>na</v>
      </c>
      <c r="F209" s="273" t="str">
        <f>'SD-Det'!P209</f>
        <v>na</v>
      </c>
      <c r="G209" s="728" t="str">
        <f>IF(OR($C209="na",$F209="na"),"na",IF($F209="PQL","TBD",$F209/(Eqtn!$D$237*($C209+Eqtn!$D$238))))</f>
        <v>na</v>
      </c>
      <c r="H209" s="711" t="str">
        <f>'SD-Det'!AR209</f>
        <v>na</v>
      </c>
      <c r="I209" s="711" t="str">
        <f>IF(OR($C209="na",$H209="na"),"na",IF($H209="PQL","TBD",$H209/(Eqtn!$D$237*($C209+Eqtn!$D$238))))</f>
        <v>na</v>
      </c>
      <c r="J209" s="711"/>
      <c r="K209" s="712">
        <f>IF(OR($C209="na",$J209="na"),"na",IF($J209="PQL","TBD",$J209/(Eqtn!$D$237*($C209+Eqtn!$D$238))))</f>
        <v>0</v>
      </c>
      <c r="L209" s="322"/>
      <c r="M209" s="1062"/>
    </row>
    <row r="210" spans="1:13" ht="13.9" customHeight="1" x14ac:dyDescent="0.25">
      <c r="A210" s="846">
        <f>Chem!A210</f>
        <v>208</v>
      </c>
      <c r="B210" s="931" t="str">
        <f>Chem!B210</f>
        <v>1,1,1,2-Tetrachloroethane</v>
      </c>
      <c r="C210" s="924">
        <f>Param!J210</f>
        <v>1.6339999999999999</v>
      </c>
      <c r="D210" s="219" t="str">
        <f>'SD-Det'!Z210</f>
        <v>na</v>
      </c>
      <c r="E210" s="2092" t="str">
        <f>IF(OR($C210="na",$D210="na"),"na",IF($D210="PQL","TBD",$D210/(Eqtn!$D$237*($C210+Eqtn!$D$238))))</f>
        <v>na</v>
      </c>
      <c r="F210" s="273" t="str">
        <f>'SD-Det'!P210</f>
        <v>na</v>
      </c>
      <c r="G210" s="728" t="str">
        <f>IF(OR($C210="na",$F210="na"),"na",IF($F210="PQL","TBD",$F210/(Eqtn!$D$237*($C210+Eqtn!$D$238))))</f>
        <v>na</v>
      </c>
      <c r="H210" s="711" t="str">
        <f>'SD-Det'!AR210</f>
        <v>na</v>
      </c>
      <c r="I210" s="711" t="str">
        <f>IF(OR($C210="na",$H210="na"),"na",IF($H210="PQL","TBD",$H210/(Eqtn!$D$237*($C210+Eqtn!$D$238))))</f>
        <v>na</v>
      </c>
      <c r="J210" s="711"/>
      <c r="K210" s="712">
        <f>IF(OR($C210="na",$J210="na"),"na",IF($J210="PQL","TBD",$J210/(Eqtn!$D$237*($C210+Eqtn!$D$238))))</f>
        <v>0</v>
      </c>
      <c r="L210" s="322"/>
      <c r="M210" s="1062"/>
    </row>
    <row r="211" spans="1:13" ht="13.9" customHeight="1" x14ac:dyDescent="0.25">
      <c r="A211" s="846">
        <f>Chem!A211</f>
        <v>209</v>
      </c>
      <c r="B211" s="931" t="str">
        <f>Chem!B211</f>
        <v>1,1,2,2-Tetrachloroethane</v>
      </c>
      <c r="C211" s="924">
        <f>Param!J211</f>
        <v>1.5009999999999999</v>
      </c>
      <c r="D211" s="219" t="str">
        <f>'SD-Det'!Z211</f>
        <v>na</v>
      </c>
      <c r="E211" s="2092" t="str">
        <f>IF(OR($C211="na",$D211="na"),"na",IF($D211="PQL","TBD",$D211/(Eqtn!$D$237*($C211+Eqtn!$D$238))))</f>
        <v>na</v>
      </c>
      <c r="F211" s="273" t="str">
        <f>'SD-Det'!P211</f>
        <v>na</v>
      </c>
      <c r="G211" s="728" t="str">
        <f>IF(OR($C211="na",$F211="na"),"na",IF($F211="PQL","TBD",$F211/(Eqtn!$D$237*($C211+Eqtn!$D$238))))</f>
        <v>na</v>
      </c>
      <c r="H211" s="711" t="str">
        <f>'SD-Det'!AR211</f>
        <v>na</v>
      </c>
      <c r="I211" s="711" t="str">
        <f>IF(OR($C211="na",$H211="na"),"na",IF($H211="PQL","TBD",$H211/(Eqtn!$D$237*($C211+Eqtn!$D$238))))</f>
        <v>na</v>
      </c>
      <c r="J211" s="711"/>
      <c r="K211" s="712">
        <f>IF(OR($C211="na",$J211="na"),"na",IF($J211="PQL","TBD",$J211/(Eqtn!$D$237*($C211+Eqtn!$D$238))))</f>
        <v>0</v>
      </c>
      <c r="L211" s="322"/>
      <c r="M211" s="1062"/>
    </row>
    <row r="212" spans="1:13" ht="13.9" customHeight="1" x14ac:dyDescent="0.25">
      <c r="A212" s="846">
        <f>Chem!A212</f>
        <v>210</v>
      </c>
      <c r="B212" s="931" t="str">
        <f>Chem!B212</f>
        <v>Tetrachloroethylene (PCE)</v>
      </c>
      <c r="C212" s="924">
        <f>Param!J212</f>
        <v>5.0350000000000001</v>
      </c>
      <c r="D212" s="219" t="str">
        <f>'SD-Det'!Z212</f>
        <v>na</v>
      </c>
      <c r="E212" s="2092" t="str">
        <f>IF(OR($C212="na",$D212="na"),"na",IF($D212="PQL","TBD",$D212/(Eqtn!$D$237*($C212+Eqtn!$D$238))))</f>
        <v>na</v>
      </c>
      <c r="F212" s="273" t="str">
        <f>'SD-Det'!P212</f>
        <v>na</v>
      </c>
      <c r="G212" s="728" t="str">
        <f>IF(OR($C212="na",$F212="na"),"na",IF($F212="PQL","TBD",$F212/(Eqtn!$D$237*($C212+Eqtn!$D$238))))</f>
        <v>na</v>
      </c>
      <c r="H212" s="711" t="str">
        <f>'SD-Det'!AR212</f>
        <v>na</v>
      </c>
      <c r="I212" s="711" t="str">
        <f>IF(OR($C212="na",$H212="na"),"na",IF($H212="PQL","TBD",$H212/(Eqtn!$D$237*($C212+Eqtn!$D$238))))</f>
        <v>na</v>
      </c>
      <c r="J212" s="711"/>
      <c r="K212" s="712">
        <f>IF(OR($C212="na",$J212="na"),"na",IF($J212="PQL","TBD",$J212/(Eqtn!$D$237*($C212+Eqtn!$D$238))))</f>
        <v>0</v>
      </c>
      <c r="L212" s="322"/>
      <c r="M212" s="1062"/>
    </row>
    <row r="213" spans="1:13" ht="13.9" customHeight="1" x14ac:dyDescent="0.25">
      <c r="A213" s="846">
        <f>Chem!A213</f>
        <v>211</v>
      </c>
      <c r="B213" s="931" t="str">
        <f>Chem!B213</f>
        <v>Tetrahydrofuran</v>
      </c>
      <c r="C213" s="924">
        <f>Param!J213</f>
        <v>0.20520000000000002</v>
      </c>
      <c r="D213" s="219" t="str">
        <f>'SD-Det'!Z213</f>
        <v>na</v>
      </c>
      <c r="E213" s="2092" t="str">
        <f>IF(OR($C213="na",$D213="na"),"na",IF($D213="PQL","TBD",$D213/(Eqtn!$D$237*($C213+Eqtn!$D$238))))</f>
        <v>na</v>
      </c>
      <c r="F213" s="273" t="str">
        <f>'SD-Det'!P213</f>
        <v>na</v>
      </c>
      <c r="G213" s="728" t="str">
        <f>IF(OR($C213="na",$F213="na"),"na",IF($F213="PQL","TBD",$F213/(Eqtn!$D$237*($C213+Eqtn!$D$238))))</f>
        <v>na</v>
      </c>
      <c r="H213" s="711" t="str">
        <f>'SD-Det'!AR213</f>
        <v>na</v>
      </c>
      <c r="I213" s="711" t="str">
        <f>IF(OR($C213="na",$H213="na"),"na",IF($H213="PQL","TBD",$H213/(Eqtn!$D$237*($C213+Eqtn!$D$238))))</f>
        <v>na</v>
      </c>
      <c r="J213" s="711"/>
      <c r="K213" s="712">
        <f>IF(OR($C213="na",$J213="na"),"na",IF($J213="PQL","TBD",$J213/(Eqtn!$D$237*($C213+Eqtn!$D$238))))</f>
        <v>0</v>
      </c>
      <c r="L213" s="322"/>
      <c r="M213" s="1062"/>
    </row>
    <row r="214" spans="1:13" ht="13.9" customHeight="1" x14ac:dyDescent="0.25">
      <c r="A214" s="846">
        <f>Chem!A214</f>
        <v>212</v>
      </c>
      <c r="B214" s="931" t="str">
        <f>Chem!B214</f>
        <v>Toluene</v>
      </c>
      <c r="C214" s="924">
        <f>Param!J214</f>
        <v>2.66</v>
      </c>
      <c r="D214" s="219" t="str">
        <f>'SD-Det'!Z214</f>
        <v>na</v>
      </c>
      <c r="E214" s="2092" t="str">
        <f>IF(OR($C214="na",$D214="na"),"na",IF($D214="PQL","TBD",$D214/(Eqtn!$D$237*($C214+Eqtn!$D$238))))</f>
        <v>na</v>
      </c>
      <c r="F214" s="273" t="str">
        <f>'SD-Det'!P214</f>
        <v>na</v>
      </c>
      <c r="G214" s="728" t="str">
        <f>IF(OR($C214="na",$F214="na"),"na",IF($F214="PQL","TBD",$F214/(Eqtn!$D$237*($C214+Eqtn!$D$238))))</f>
        <v>na</v>
      </c>
      <c r="H214" s="711" t="str">
        <f>'SD-Det'!AR214</f>
        <v>na</v>
      </c>
      <c r="I214" s="711" t="str">
        <f>IF(OR($C214="na",$H214="na"),"na",IF($H214="PQL","TBD",$H214/(Eqtn!$D$237*($C214+Eqtn!$D$238))))</f>
        <v>na</v>
      </c>
      <c r="J214" s="711"/>
      <c r="K214" s="712">
        <f>IF(OR($C214="na",$J214="na"),"na",IF($J214="PQL","TBD",$J214/(Eqtn!$D$237*($C214+Eqtn!$D$238))))</f>
        <v>0</v>
      </c>
      <c r="L214" s="322"/>
      <c r="M214" s="1062"/>
    </row>
    <row r="215" spans="1:13" ht="13.9" customHeight="1" x14ac:dyDescent="0.25">
      <c r="A215" s="846">
        <f>Chem!A215</f>
        <v>213</v>
      </c>
      <c r="B215" s="931" t="str">
        <f>Chem!B215</f>
        <v>1,2,3-Trichlorobenzene</v>
      </c>
      <c r="C215" s="924">
        <f>Param!J215</f>
        <v>26.22</v>
      </c>
      <c r="D215" s="219" t="str">
        <f>'SD-Det'!Z215</f>
        <v>na</v>
      </c>
      <c r="E215" s="2092" t="str">
        <f>IF(OR($C215="na",$D215="na"),"na",IF($D215="PQL","TBD",$D215/(Eqtn!$D$237*($C215+Eqtn!$D$238))))</f>
        <v>na</v>
      </c>
      <c r="F215" s="273" t="str">
        <f>'SD-Det'!P215</f>
        <v>na</v>
      </c>
      <c r="G215" s="728" t="str">
        <f>IF(OR($C215="na",$F215="na"),"na",IF($F215="PQL","TBD",$F215/(Eqtn!$D$237*($C215+Eqtn!$D$238))))</f>
        <v>na</v>
      </c>
      <c r="H215" s="711" t="str">
        <f>'SD-Det'!AR215</f>
        <v>na</v>
      </c>
      <c r="I215" s="711" t="str">
        <f>IF(OR($C215="na",$H215="na"),"na",IF($H215="PQL","TBD",$H215/(Eqtn!$D$237*($C215+Eqtn!$D$238))))</f>
        <v>na</v>
      </c>
      <c r="J215" s="711"/>
      <c r="K215" s="712">
        <f>IF(OR($C215="na",$J215="na"),"na",IF($J215="PQL","TBD",$J215/(Eqtn!$D$237*($C215+Eqtn!$D$238))))</f>
        <v>0</v>
      </c>
      <c r="L215" s="322"/>
      <c r="M215" s="1062"/>
    </row>
    <row r="216" spans="1:13" ht="13.9" customHeight="1" x14ac:dyDescent="0.25">
      <c r="A216" s="846">
        <f>Chem!A216</f>
        <v>214</v>
      </c>
      <c r="B216" s="931" t="str">
        <f>Chem!B216</f>
        <v>1,1,1-Trichloroethane</v>
      </c>
      <c r="C216" s="924">
        <f>Param!J216</f>
        <v>2.5649999999999999</v>
      </c>
      <c r="D216" s="219" t="str">
        <f>'SD-Det'!Z216</f>
        <v>na</v>
      </c>
      <c r="E216" s="2092" t="str">
        <f>IF(OR($C216="na",$D216="na"),"na",IF($D216="PQL","TBD",$D216/(Eqtn!$D$237*($C216+Eqtn!$D$238))))</f>
        <v>na</v>
      </c>
      <c r="F216" s="273" t="str">
        <f>'SD-Det'!P216</f>
        <v>na</v>
      </c>
      <c r="G216" s="728" t="str">
        <f>IF(OR($C216="na",$F216="na"),"na",IF($F216="PQL","TBD",$F216/(Eqtn!$D$237*($C216+Eqtn!$D$238))))</f>
        <v>na</v>
      </c>
      <c r="H216" s="711" t="str">
        <f>'SD-Det'!AR216</f>
        <v>na</v>
      </c>
      <c r="I216" s="711" t="str">
        <f>IF(OR($C216="na",$H216="na"),"na",IF($H216="PQL","TBD",$H216/(Eqtn!$D$237*($C216+Eqtn!$D$238))))</f>
        <v>na</v>
      </c>
      <c r="J216" s="711"/>
      <c r="K216" s="712">
        <f>IF(OR($C216="na",$J216="na"),"na",IF($J216="PQL","TBD",$J216/(Eqtn!$D$237*($C216+Eqtn!$D$238))))</f>
        <v>0</v>
      </c>
      <c r="L216" s="322"/>
      <c r="M216" s="1062"/>
    </row>
    <row r="217" spans="1:13" ht="13.9" customHeight="1" x14ac:dyDescent="0.25">
      <c r="A217" s="846">
        <f>Chem!A217</f>
        <v>215</v>
      </c>
      <c r="B217" s="931" t="str">
        <f>Chem!B217</f>
        <v>1,1,2-Trichloroethane</v>
      </c>
      <c r="C217" s="924">
        <f>Param!J217</f>
        <v>1.425</v>
      </c>
      <c r="D217" s="219" t="str">
        <f>'SD-Det'!Z217</f>
        <v>na</v>
      </c>
      <c r="E217" s="2092" t="str">
        <f>IF(OR($C217="na",$D217="na"),"na",IF($D217="PQL","TBD",$D217/(Eqtn!$D$237*($C217+Eqtn!$D$238))))</f>
        <v>na</v>
      </c>
      <c r="F217" s="273" t="str">
        <f>'SD-Det'!P217</f>
        <v>na</v>
      </c>
      <c r="G217" s="728" t="str">
        <f>IF(OR($C217="na",$F217="na"),"na",IF($F217="PQL","TBD",$F217/(Eqtn!$D$237*($C217+Eqtn!$D$238))))</f>
        <v>na</v>
      </c>
      <c r="H217" s="711" t="str">
        <f>'SD-Det'!AR217</f>
        <v>na</v>
      </c>
      <c r="I217" s="711" t="str">
        <f>IF(OR($C217="na",$H217="na"),"na",IF($H217="PQL","TBD",$H217/(Eqtn!$D$237*($C217+Eqtn!$D$238))))</f>
        <v>na</v>
      </c>
      <c r="J217" s="711"/>
      <c r="K217" s="712">
        <f>IF(OR($C217="na",$J217="na"),"na",IF($J217="PQL","TBD",$J217/(Eqtn!$D$237*($C217+Eqtn!$D$238))))</f>
        <v>0</v>
      </c>
      <c r="L217" s="322"/>
      <c r="M217" s="1062"/>
    </row>
    <row r="218" spans="1:13" ht="13.9" customHeight="1" x14ac:dyDescent="0.25">
      <c r="A218" s="846">
        <f>Chem!A218</f>
        <v>216</v>
      </c>
      <c r="B218" s="931" t="str">
        <f>Chem!B218</f>
        <v>Trichloroethylene (TCE)</v>
      </c>
      <c r="C218" s="924">
        <f>Param!J218</f>
        <v>1.786</v>
      </c>
      <c r="D218" s="219" t="str">
        <f>'SD-Det'!Z218</f>
        <v>na</v>
      </c>
      <c r="E218" s="2092" t="str">
        <f>IF(OR($C218="na",$D218="na"),"na",IF($D218="PQL","TBD",$D218/(Eqtn!$D$237*($C218+Eqtn!$D$238))))</f>
        <v>na</v>
      </c>
      <c r="F218" s="273" t="str">
        <f>'SD-Det'!P218</f>
        <v>na</v>
      </c>
      <c r="G218" s="728" t="str">
        <f>IF(OR($C218="na",$F218="na"),"na",IF($F218="PQL","TBD",$F218/(Eqtn!$D$237*($C218+Eqtn!$D$238))))</f>
        <v>na</v>
      </c>
      <c r="H218" s="711" t="str">
        <f>'SD-Det'!AR218</f>
        <v>na</v>
      </c>
      <c r="I218" s="711" t="str">
        <f>IF(OR($C218="na",$H218="na"),"na",IF($H218="PQL","TBD",$H218/(Eqtn!$D$237*($C218+Eqtn!$D$238))))</f>
        <v>na</v>
      </c>
      <c r="J218" s="711"/>
      <c r="K218" s="712">
        <f>IF(OR($C218="na",$J218="na"),"na",IF($J218="PQL","TBD",$J218/(Eqtn!$D$237*($C218+Eqtn!$D$238))))</f>
        <v>0</v>
      </c>
      <c r="L218" s="322"/>
      <c r="M218" s="1062"/>
    </row>
    <row r="219" spans="1:13" ht="13.9" customHeight="1" x14ac:dyDescent="0.25">
      <c r="A219" s="846">
        <f>Chem!A219</f>
        <v>217</v>
      </c>
      <c r="B219" s="931" t="str">
        <f>Chem!B219</f>
        <v>Trichlorofluoroethane</v>
      </c>
      <c r="C219" s="924" t="str">
        <f>Param!J219</f>
        <v>na</v>
      </c>
      <c r="D219" s="219" t="str">
        <f>'SD-Det'!Z219</f>
        <v>na</v>
      </c>
      <c r="E219" s="2092" t="str">
        <f>IF(OR($C219="na",$D219="na"),"na",IF($D219="PQL","TBD",$D219/(Eqtn!$D$237*($C219+Eqtn!$D$238))))</f>
        <v>na</v>
      </c>
      <c r="F219" s="273" t="str">
        <f>'SD-Det'!P219</f>
        <v>na</v>
      </c>
      <c r="G219" s="728" t="str">
        <f>IF(OR($C219="na",$F219="na"),"na",IF($F219="PQL","TBD",$F219/(Eqtn!$D$237*($C219+Eqtn!$D$238))))</f>
        <v>na</v>
      </c>
      <c r="H219" s="711" t="str">
        <f>'SD-Det'!AR219</f>
        <v>na</v>
      </c>
      <c r="I219" s="711" t="str">
        <f>IF(OR($C219="na",$H219="na"),"na",IF($H219="PQL","TBD",$H219/(Eqtn!$D$237*($C219+Eqtn!$D$238))))</f>
        <v>na</v>
      </c>
      <c r="J219" s="711"/>
      <c r="K219" s="712" t="str">
        <f>IF(OR($C219="na",$J219="na"),"na",IF($J219="PQL","TBD",$J219/(Eqtn!$D$237*($C219+Eqtn!$D$238))))</f>
        <v>na</v>
      </c>
      <c r="L219" s="322"/>
      <c r="M219" s="1062"/>
    </row>
    <row r="220" spans="1:13" ht="13.9" customHeight="1" x14ac:dyDescent="0.25">
      <c r="A220" s="846">
        <f>Chem!A220</f>
        <v>218</v>
      </c>
      <c r="B220" s="931" t="str">
        <f>Chem!B220</f>
        <v>Trichlorofluoromethane</v>
      </c>
      <c r="C220" s="924">
        <f>Param!J220</f>
        <v>0.83409999999999995</v>
      </c>
      <c r="D220" s="219" t="str">
        <f>'SD-Det'!Z220</f>
        <v>na</v>
      </c>
      <c r="E220" s="2092" t="str">
        <f>IF(OR($C220="na",$D220="na"),"na",IF($D220="PQL","TBD",$D220/(Eqtn!$D$237*($C220+Eqtn!$D$238))))</f>
        <v>na</v>
      </c>
      <c r="F220" s="273" t="str">
        <f>'SD-Det'!P220</f>
        <v>na</v>
      </c>
      <c r="G220" s="728" t="str">
        <f>IF(OR($C220="na",$F220="na"),"na",IF($F220="PQL","TBD",$F220/(Eqtn!$D$237*($C220+Eqtn!$D$238))))</f>
        <v>na</v>
      </c>
      <c r="H220" s="711" t="str">
        <f>'SD-Det'!AR220</f>
        <v>na</v>
      </c>
      <c r="I220" s="711" t="str">
        <f>IF(OR($C220="na",$H220="na"),"na",IF($H220="PQL","TBD",$H220/(Eqtn!$D$237*($C220+Eqtn!$D$238))))</f>
        <v>na</v>
      </c>
      <c r="J220" s="711"/>
      <c r="K220" s="712">
        <f>IF(OR($C220="na",$J220="na"),"na",IF($J220="PQL","TBD",$J220/(Eqtn!$D$237*($C220+Eqtn!$D$238))))</f>
        <v>0</v>
      </c>
      <c r="L220" s="322"/>
      <c r="M220" s="1062"/>
    </row>
    <row r="221" spans="1:13" ht="13.9" customHeight="1" x14ac:dyDescent="0.25">
      <c r="A221" s="846">
        <f>Chem!A221</f>
        <v>219</v>
      </c>
      <c r="B221" s="931" t="str">
        <f>Chem!B221</f>
        <v>1,2,3-Trichloropropane</v>
      </c>
      <c r="C221" s="924">
        <f>Param!J221</f>
        <v>2.2039999999999997</v>
      </c>
      <c r="D221" s="219" t="str">
        <f>'SD-Det'!Z221</f>
        <v>na</v>
      </c>
      <c r="E221" s="2092" t="str">
        <f>IF(OR($C221="na",$D221="na"),"na",IF($D221="PQL","TBD",$D221/(Eqtn!$D$237*($C221+Eqtn!$D$238))))</f>
        <v>na</v>
      </c>
      <c r="F221" s="273" t="str">
        <f>'SD-Det'!P221</f>
        <v>na</v>
      </c>
      <c r="G221" s="728" t="str">
        <f>IF(OR($C221="na",$F221="na"),"na",IF($F221="PQL","TBD",$F221/(Eqtn!$D$237*($C221+Eqtn!$D$238))))</f>
        <v>na</v>
      </c>
      <c r="H221" s="711" t="str">
        <f>'SD-Det'!AR221</f>
        <v>na</v>
      </c>
      <c r="I221" s="711" t="str">
        <f>IF(OR($C221="na",$H221="na"),"na",IF($H221="PQL","TBD",$H221/(Eqtn!$D$237*($C221+Eqtn!$D$238))))</f>
        <v>na</v>
      </c>
      <c r="J221" s="711"/>
      <c r="K221" s="712">
        <f>IF(OR($C221="na",$J221="na"),"na",IF($J221="PQL","TBD",$J221/(Eqtn!$D$237*($C221+Eqtn!$D$238))))</f>
        <v>0</v>
      </c>
      <c r="L221" s="322"/>
      <c r="M221" s="1062"/>
    </row>
    <row r="222" spans="1:13" ht="13.9" customHeight="1" x14ac:dyDescent="0.25">
      <c r="A222" s="846">
        <f>Chem!A222</f>
        <v>220</v>
      </c>
      <c r="B222" s="931" t="str">
        <f>Chem!B222</f>
        <v>Trichlorotrifluoroethane</v>
      </c>
      <c r="C222" s="924">
        <f>Param!J222</f>
        <v>3.7429999999999999</v>
      </c>
      <c r="D222" s="219" t="str">
        <f>'SD-Det'!Z222</f>
        <v>na</v>
      </c>
      <c r="E222" s="2092" t="str">
        <f>IF(OR($C222="na",$D222="na"),"na",IF($D222="PQL","TBD",$D222/(Eqtn!$D$237*($C222+Eqtn!$D$238))))</f>
        <v>na</v>
      </c>
      <c r="F222" s="273" t="str">
        <f>'SD-Det'!P222</f>
        <v>na</v>
      </c>
      <c r="G222" s="728" t="str">
        <f>IF(OR($C222="na",$F222="na"),"na",IF($F222="PQL","TBD",$F222/(Eqtn!$D$237*($C222+Eqtn!$D$238))))</f>
        <v>na</v>
      </c>
      <c r="H222" s="711" t="str">
        <f>'SD-Det'!AR222</f>
        <v>na</v>
      </c>
      <c r="I222" s="711" t="str">
        <f>IF(OR($C222="na",$H222="na"),"na",IF($H222="PQL","TBD",$H222/(Eqtn!$D$237*($C222+Eqtn!$D$238))))</f>
        <v>na</v>
      </c>
      <c r="J222" s="711"/>
      <c r="K222" s="712">
        <f>IF(OR($C222="na",$J222="na"),"na",IF($J222="PQL","TBD",$J222/(Eqtn!$D$237*($C222+Eqtn!$D$238))))</f>
        <v>0</v>
      </c>
      <c r="L222" s="322"/>
      <c r="M222" s="1062"/>
    </row>
    <row r="223" spans="1:13" ht="13.9" customHeight="1" x14ac:dyDescent="0.25">
      <c r="A223" s="846">
        <f>Chem!A223</f>
        <v>221</v>
      </c>
      <c r="B223" s="931" t="str">
        <f>Chem!B223</f>
        <v>1,2,3-Trimethylbenzene</v>
      </c>
      <c r="C223" s="924">
        <f>Param!J223</f>
        <v>11.913</v>
      </c>
      <c r="D223" s="219" t="str">
        <f>'SD-Det'!Z223</f>
        <v>na</v>
      </c>
      <c r="E223" s="2092" t="str">
        <f>IF(OR($C223="na",$D223="na"),"na",IF($D223="PQL","TBD",$D223/(Eqtn!$D$237*($C223+Eqtn!$D$238))))</f>
        <v>na</v>
      </c>
      <c r="F223" s="273" t="str">
        <f>'SD-Det'!P223</f>
        <v>na</v>
      </c>
      <c r="G223" s="728" t="str">
        <f>IF(OR($C223="na",$F223="na"),"na",IF($F223="PQL","TBD",$F223/(Eqtn!$D$237*($C223+Eqtn!$D$238))))</f>
        <v>na</v>
      </c>
      <c r="H223" s="711" t="str">
        <f>'SD-Det'!AR223</f>
        <v>na</v>
      </c>
      <c r="I223" s="711" t="str">
        <f>IF(OR($C223="na",$H223="na"),"na",IF($H223="PQL","TBD",$H223/(Eqtn!$D$237*($C223+Eqtn!$D$238))))</f>
        <v>na</v>
      </c>
      <c r="J223" s="711"/>
      <c r="K223" s="712">
        <f>IF(OR($C223="na",$J223="na"),"na",IF($J223="PQL","TBD",$J223/(Eqtn!$D$237*($C223+Eqtn!$D$238))))</f>
        <v>0</v>
      </c>
      <c r="L223" s="322"/>
      <c r="M223" s="1062"/>
    </row>
    <row r="224" spans="1:13" ht="13.9" customHeight="1" x14ac:dyDescent="0.25">
      <c r="A224" s="846">
        <f>Chem!A224</f>
        <v>222</v>
      </c>
      <c r="B224" s="931" t="str">
        <f>Chem!B224</f>
        <v>1,2,4-Trimethylbenzene</v>
      </c>
      <c r="C224" s="924">
        <f>Param!J224</f>
        <v>11.666</v>
      </c>
      <c r="D224" s="219" t="str">
        <f>'SD-Det'!Z224</f>
        <v>na</v>
      </c>
      <c r="E224" s="2092" t="str">
        <f>IF(OR($C224="na",$D224="na"),"na",IF($D224="PQL","TBD",$D224/(Eqtn!$D$237*($C224+Eqtn!$D$238))))</f>
        <v>na</v>
      </c>
      <c r="F224" s="273" t="str">
        <f>'SD-Det'!P224</f>
        <v>na</v>
      </c>
      <c r="G224" s="728" t="str">
        <f>IF(OR($C224="na",$F224="na"),"na",IF($F224="PQL","TBD",$F224/(Eqtn!$D$237*($C224+Eqtn!$D$238))))</f>
        <v>na</v>
      </c>
      <c r="H224" s="711" t="str">
        <f>'SD-Det'!AR224</f>
        <v>na</v>
      </c>
      <c r="I224" s="711" t="str">
        <f>IF(OR($C224="na",$H224="na"),"na",IF($H224="PQL","TBD",$H224/(Eqtn!$D$237*($C224+Eqtn!$D$238))))</f>
        <v>na</v>
      </c>
      <c r="J224" s="711"/>
      <c r="K224" s="712">
        <f>IF(OR($C224="na",$J224="na"),"na",IF($J224="PQL","TBD",$J224/(Eqtn!$D$237*($C224+Eqtn!$D$238))))</f>
        <v>0</v>
      </c>
      <c r="L224" s="322"/>
      <c r="M224" s="1062"/>
    </row>
    <row r="225" spans="1:13" ht="13.9" customHeight="1" x14ac:dyDescent="0.25">
      <c r="A225" s="846">
        <f>Chem!A225</f>
        <v>223</v>
      </c>
      <c r="B225" s="931" t="str">
        <f>Chem!B225</f>
        <v>1,3,5-Trimethylbenzene</v>
      </c>
      <c r="C225" s="924">
        <f>Param!J225</f>
        <v>11.437999999999999</v>
      </c>
      <c r="D225" s="219" t="str">
        <f>'SD-Det'!Z225</f>
        <v>na</v>
      </c>
      <c r="E225" s="2092" t="str">
        <f>IF(OR($C225="na",$D225="na"),"na",IF($D225="PQL","TBD",$D225/(Eqtn!$D$237*($C225+Eqtn!$D$238))))</f>
        <v>na</v>
      </c>
      <c r="F225" s="273" t="str">
        <f>'SD-Det'!P225</f>
        <v>na</v>
      </c>
      <c r="G225" s="728" t="str">
        <f>IF(OR($C225="na",$F225="na"),"na",IF($F225="PQL","TBD",$F225/(Eqtn!$D$237*($C225+Eqtn!$D$238))))</f>
        <v>na</v>
      </c>
      <c r="H225" s="711" t="str">
        <f>'SD-Det'!AR225</f>
        <v>na</v>
      </c>
      <c r="I225" s="711" t="str">
        <f>IF(OR($C225="na",$H225="na"),"na",IF($H225="PQL","TBD",$H225/(Eqtn!$D$237*($C225+Eqtn!$D$238))))</f>
        <v>na</v>
      </c>
      <c r="J225" s="711"/>
      <c r="K225" s="712">
        <f>IF(OR($C225="na",$J225="na"),"na",IF($J225="PQL","TBD",$J225/(Eqtn!$D$237*($C225+Eqtn!$D$238))))</f>
        <v>0</v>
      </c>
      <c r="L225" s="322"/>
      <c r="M225" s="1062"/>
    </row>
    <row r="226" spans="1:13" ht="13.9" customHeight="1" x14ac:dyDescent="0.25">
      <c r="A226" s="846">
        <f>Chem!A226</f>
        <v>224</v>
      </c>
      <c r="B226" s="931" t="str">
        <f>Chem!B226</f>
        <v>Vinyl acetate</v>
      </c>
      <c r="C226" s="924">
        <f>Param!J226</f>
        <v>0.10602</v>
      </c>
      <c r="D226" s="219" t="str">
        <f>'SD-Det'!Z226</f>
        <v>na</v>
      </c>
      <c r="E226" s="2092" t="str">
        <f>IF(OR($C226="na",$D226="na"),"na",IF($D226="PQL","TBD",$D226/(Eqtn!$D$237*($C226+Eqtn!$D$238))))</f>
        <v>na</v>
      </c>
      <c r="F226" s="273" t="str">
        <f>'SD-Det'!P226</f>
        <v>na</v>
      </c>
      <c r="G226" s="728" t="str">
        <f>IF(OR($C226="na",$F226="na"),"na",IF($F226="PQL","TBD",$F226/(Eqtn!$D$237*($C226+Eqtn!$D$238))))</f>
        <v>na</v>
      </c>
      <c r="H226" s="711" t="str">
        <f>'SD-Det'!AR226</f>
        <v>na</v>
      </c>
      <c r="I226" s="711" t="str">
        <f>IF(OR($C226="na",$H226="na"),"na",IF($H226="PQL","TBD",$H226/(Eqtn!$D$237*($C226+Eqtn!$D$238))))</f>
        <v>na</v>
      </c>
      <c r="J226" s="711"/>
      <c r="K226" s="712">
        <f>IF(OR($C226="na",$J226="na"),"na",IF($J226="PQL","TBD",$J226/(Eqtn!$D$237*($C226+Eqtn!$D$238))))</f>
        <v>0</v>
      </c>
      <c r="L226" s="322"/>
      <c r="M226" s="1062"/>
    </row>
    <row r="227" spans="1:13" ht="13.9" customHeight="1" x14ac:dyDescent="0.25">
      <c r="A227" s="846">
        <f>Chem!A227</f>
        <v>225</v>
      </c>
      <c r="B227" s="931" t="str">
        <f>Chem!B227</f>
        <v>Vinyl chloride</v>
      </c>
      <c r="C227" s="924">
        <f>Param!J227</f>
        <v>0.4123</v>
      </c>
      <c r="D227" s="219" t="str">
        <f>'SD-Det'!Z227</f>
        <v>na</v>
      </c>
      <c r="E227" s="2092" t="str">
        <f>IF(OR($C227="na",$D227="na"),"na",IF($D227="PQL","TBD",$D227/(Eqtn!$D$237*($C227+Eqtn!$D$238))))</f>
        <v>na</v>
      </c>
      <c r="F227" s="273" t="str">
        <f>'SD-Det'!P227</f>
        <v>na</v>
      </c>
      <c r="G227" s="728" t="str">
        <f>IF(OR($C227="na",$F227="na"),"na",IF($F227="PQL","TBD",$F227/(Eqtn!$D$237*($C227+Eqtn!$D$238))))</f>
        <v>na</v>
      </c>
      <c r="H227" s="711" t="str">
        <f>'SD-Det'!AR227</f>
        <v>na</v>
      </c>
      <c r="I227" s="711" t="str">
        <f>IF(OR($C227="na",$H227="na"),"na",IF($H227="PQL","TBD",$H227/(Eqtn!$D$237*($C227+Eqtn!$D$238))))</f>
        <v>na</v>
      </c>
      <c r="J227" s="711"/>
      <c r="K227" s="712">
        <f>IF(OR($C227="na",$J227="na"),"na",IF($J227="PQL","TBD",$J227/(Eqtn!$D$237*($C227+Eqtn!$D$238))))</f>
        <v>0</v>
      </c>
      <c r="L227" s="322"/>
      <c r="M227" s="1062"/>
    </row>
    <row r="228" spans="1:13" ht="13.9" customHeight="1" x14ac:dyDescent="0.25">
      <c r="A228" s="1661">
        <f>Chem!A228</f>
        <v>226</v>
      </c>
      <c r="B228" s="931" t="str">
        <f>Chem!B228</f>
        <v>Total xylenes</v>
      </c>
      <c r="C228" s="925">
        <f>Param!J228</f>
        <v>4.4269999999999996</v>
      </c>
      <c r="D228" s="2003" t="str">
        <f>'SD-Det'!Z228</f>
        <v>na</v>
      </c>
      <c r="E228" s="2093" t="str">
        <f>IF(OR($C228="na",$D228="na"),"na",IF($D228="PQL","TBD",$D228/(Eqtn!$D$237*($C228+Eqtn!$D$238))))</f>
        <v>na</v>
      </c>
      <c r="F228" s="651" t="str">
        <f>'SD-Det'!P228</f>
        <v>na</v>
      </c>
      <c r="G228" s="729" t="str">
        <f>IF(OR($C228="na",$F228="na"),"na",IF($F228="PQL","TBD",$F228/(Eqtn!$D$237*($C228+Eqtn!$D$238))))</f>
        <v>na</v>
      </c>
      <c r="H228" s="713" t="str">
        <f>'SD-Det'!AR228</f>
        <v>na</v>
      </c>
      <c r="I228" s="713" t="str">
        <f>IF(OR($C228="na",$H228="na"),"na",IF($H228="PQL","TBD",$H228/(Eqtn!$D$237*($C228+Eqtn!$D$238))))</f>
        <v>na</v>
      </c>
      <c r="J228" s="713"/>
      <c r="K228" s="714">
        <f>IF(OR($C228="na",$J228="na"),"na",IF($J228="PQL","TBD",$J228/(Eqtn!$D$237*($C228+Eqtn!$D$238))))</f>
        <v>0</v>
      </c>
      <c r="L228" s="322"/>
      <c r="M228" s="1062"/>
    </row>
    <row r="229" spans="1:13" ht="13.9" customHeight="1" x14ac:dyDescent="0.25">
      <c r="A229" s="1197">
        <f>Chem!A229</f>
        <v>227</v>
      </c>
      <c r="B229" s="934" t="str">
        <f>Chem!B229</f>
        <v>PFAS</v>
      </c>
      <c r="C229" s="31"/>
      <c r="D229" s="297"/>
      <c r="E229" s="31"/>
      <c r="F229" s="297"/>
      <c r="G229" s="647"/>
      <c r="H229" s="31"/>
      <c r="I229" s="31"/>
      <c r="J229" s="31"/>
      <c r="K229" s="648"/>
      <c r="L229" s="129"/>
      <c r="M229" s="1063"/>
    </row>
    <row r="230" spans="1:13" s="2273" customFormat="1" ht="13.9" customHeight="1" x14ac:dyDescent="0.25">
      <c r="A230" s="846">
        <f>Chem!A230</f>
        <v>228</v>
      </c>
      <c r="B230" s="1554" t="str">
        <f>Chem!B230</f>
        <v>6:2 Fluorotelomer sulfonic acid (6:2 FTS)</v>
      </c>
      <c r="C230" s="2255">
        <f>Param!J230</f>
        <v>18.145</v>
      </c>
      <c r="D230" s="1804" t="str">
        <f>'SD-Det'!Z230</f>
        <v>na</v>
      </c>
      <c r="E230" s="2279" t="str">
        <f>IF(OR($C230="na",$D230="na"),"na",IF($D230="PQL","TBD",$D230/(Eqtn!$D$237*($C230+Eqtn!$D$238))))</f>
        <v>na</v>
      </c>
      <c r="F230" s="2050" t="str">
        <f>'SD-Det'!P230</f>
        <v>na</v>
      </c>
      <c r="G230" s="2258" t="str">
        <f>IF(OR($C230="na",$F230="na"),"na",IF($F230="PQL","TBD",$F230/(Eqtn!$D$237*($C230+Eqtn!$D$238))))</f>
        <v>na</v>
      </c>
      <c r="H230" s="2258" t="str">
        <f>'SD-Det'!AR230</f>
        <v>na</v>
      </c>
      <c r="I230" s="2258" t="str">
        <f>IF(OR($C230="na",$H230="na"),"na",IF($H230="PQL","TBD",$H230/(Eqtn!$D$237*($C230+Eqtn!$D$238))))</f>
        <v>na</v>
      </c>
      <c r="J230" s="2258"/>
      <c r="K230" s="2278">
        <f>IF(OR($C230="na",$J230="na"),"na",IF($J230="PQL","TBD",$J230/(Eqtn!$D$237*($C230+Eqtn!$D$238))))</f>
        <v>0</v>
      </c>
      <c r="L230" s="295"/>
      <c r="M230" s="1987"/>
    </row>
    <row r="231" spans="1:13" ht="13.9" customHeight="1" x14ac:dyDescent="0.25">
      <c r="A231" s="846">
        <f>Chem!A231</f>
        <v>229</v>
      </c>
      <c r="B231" s="932" t="str">
        <f>Chem!B231</f>
        <v>GenX (HFPO-DA)</v>
      </c>
      <c r="C231" s="1625">
        <f>Param!J231</f>
        <v>7.7329999999999997</v>
      </c>
      <c r="D231" s="218" t="str">
        <f>'SD-Det'!Z231</f>
        <v>na</v>
      </c>
      <c r="E231" s="2103" t="str">
        <f>IF(OR($C231="na",$D231="na"),"na",IF($D231="PQL","TBD",$D231/(Eqtn!$D$237*($C231+Eqtn!$D$238))))</f>
        <v>na</v>
      </c>
      <c r="F231" s="298" t="str">
        <f>'SD-Det'!P231</f>
        <v>na</v>
      </c>
      <c r="G231" s="709" t="str">
        <f>IF(OR($C231="na",$F231="na"),"na",IF($F231="PQL","TBD",$F231/(Eqtn!$D$237*($C231+Eqtn!$D$238))))</f>
        <v>na</v>
      </c>
      <c r="H231" s="709" t="str">
        <f>'SD-Det'!AR231</f>
        <v>na</v>
      </c>
      <c r="I231" s="709" t="str">
        <f>IF(OR($C231="na",$H231="na"),"na",IF($H231="PQL","TBD",$H231/(Eqtn!$D$237*($C231+Eqtn!$D$238))))</f>
        <v>na</v>
      </c>
      <c r="J231" s="709"/>
      <c r="K231" s="710">
        <f>IF(OR($C231="na",$J231="na"),"na",IF($J231="PQL","TBD",$J231/(Eqtn!$D$237*($C231+Eqtn!$D$238))))</f>
        <v>0</v>
      </c>
      <c r="L231" s="322"/>
      <c r="M231" s="1062"/>
    </row>
    <row r="232" spans="1:13" ht="13.9" customHeight="1" x14ac:dyDescent="0.25">
      <c r="A232" s="846">
        <f>Chem!A232</f>
        <v>230</v>
      </c>
      <c r="B232" s="932" t="str">
        <f>Chem!B232</f>
        <v>Perfluorobutanoic acid (PFBA)</v>
      </c>
      <c r="C232" s="1625">
        <f>Param!J232</f>
        <v>1.4421000000000002</v>
      </c>
      <c r="D232" s="218" t="str">
        <f>'SD-Det'!Z232</f>
        <v>na</v>
      </c>
      <c r="E232" s="2103" t="str">
        <f>IF(OR($C232="na",$D232="na"),"na",IF($D232="PQL","TBD",$D232/(Eqtn!$D$237*($C232+Eqtn!$D$238))))</f>
        <v>na</v>
      </c>
      <c r="F232" s="298" t="str">
        <f>'SD-Det'!P232</f>
        <v>na</v>
      </c>
      <c r="G232" s="709" t="str">
        <f>IF(OR($C232="na",$F232="na"),"na",IF($F232="PQL","TBD",$F232/(Eqtn!$D$237*($C232+Eqtn!$D$238))))</f>
        <v>na</v>
      </c>
      <c r="H232" s="709" t="str">
        <f>'SD-Det'!AR232</f>
        <v>na</v>
      </c>
      <c r="I232" s="709" t="str">
        <f>IF(OR($C232="na",$H232="na"),"na",IF($H232="PQL","TBD",$H232/(Eqtn!$D$237*($C232+Eqtn!$D$238))))</f>
        <v>na</v>
      </c>
      <c r="J232" s="709"/>
      <c r="K232" s="710">
        <f>IF(OR($C232="na",$J232="na"),"na",IF($J232="PQL","TBD",$J232/(Eqtn!$D$237*($C232+Eqtn!$D$238))))</f>
        <v>0</v>
      </c>
      <c r="L232" s="322"/>
      <c r="M232" s="1062"/>
    </row>
    <row r="233" spans="1:13" ht="13.9" customHeight="1" x14ac:dyDescent="0.25">
      <c r="A233" s="846">
        <f>Chem!A233</f>
        <v>231</v>
      </c>
      <c r="B233" s="931" t="str">
        <f>Chem!B233</f>
        <v>Perfluorobutanesulfonic acid (PFBS)</v>
      </c>
      <c r="C233" s="1555">
        <f>Param!J233</f>
        <v>1.1723000000000001</v>
      </c>
      <c r="D233" s="219" t="str">
        <f>'SD-Det'!Z233</f>
        <v>na</v>
      </c>
      <c r="E233" s="2104" t="str">
        <f>IF(OR($C233="na",$D233="na"),"na",IF($D233="PQL","TBD",$D233/(Eqtn!$D$237*($C233+Eqtn!$D$238))))</f>
        <v>na</v>
      </c>
      <c r="F233" s="273" t="str">
        <f>'SD-Det'!P233</f>
        <v>na</v>
      </c>
      <c r="G233" s="711" t="str">
        <f>IF(OR($C233="na",$F233="na"),"na",IF($F233="PQL","TBD",$F233/(Eqtn!$D$237*($C233+Eqtn!$D$238))))</f>
        <v>na</v>
      </c>
      <c r="H233" s="711" t="str">
        <f>'SD-Det'!AR233</f>
        <v>na</v>
      </c>
      <c r="I233" s="711" t="str">
        <f>IF(OR($C233="na",$H233="na"),"na",IF($H233="PQL","TBD",$H233/(Eqtn!$D$237*($C233+Eqtn!$D$238))))</f>
        <v>na</v>
      </c>
      <c r="J233" s="711"/>
      <c r="K233" s="712">
        <f>IF(OR($C233="na",$J233="na"),"na",IF($J233="PQL","TBD",$J233/(Eqtn!$D$237*($C233+Eqtn!$D$238))))</f>
        <v>0</v>
      </c>
      <c r="L233" s="322"/>
      <c r="M233" s="1062"/>
    </row>
    <row r="234" spans="1:13" ht="13.9" customHeight="1" x14ac:dyDescent="0.25">
      <c r="A234" s="846">
        <f>Chem!A234</f>
        <v>232</v>
      </c>
      <c r="B234" s="931" t="str">
        <f>Chem!B234</f>
        <v>Perfluorodecanoic acid (PFDA)</v>
      </c>
      <c r="C234" s="1555">
        <f>Param!J234</f>
        <v>7.5619999999999994</v>
      </c>
      <c r="D234" s="219" t="str">
        <f>'SD-Det'!Z234</f>
        <v>na</v>
      </c>
      <c r="E234" s="2104" t="str">
        <f>IF(OR($C234="na",$D234="na"),"na",IF($D234="PQL","TBD",$D234/(Eqtn!$D$237*($C234+Eqtn!$D$238))))</f>
        <v>na</v>
      </c>
      <c r="F234" s="273" t="str">
        <f>'SD-Det'!P234</f>
        <v>na</v>
      </c>
      <c r="G234" s="711" t="str">
        <f>IF(OR($C234="na",$F234="na"),"na",IF($F234="PQL","TBD",$F234/(Eqtn!$D$237*($C234+Eqtn!$D$238))))</f>
        <v>na</v>
      </c>
      <c r="H234" s="711" t="str">
        <f>'SD-Det'!AR234</f>
        <v>na</v>
      </c>
      <c r="I234" s="711" t="str">
        <f>IF(OR($C234="na",$H234="na"),"na",IF($H234="PQL","TBD",$H234/(Eqtn!$D$237*($C234+Eqtn!$D$238))))</f>
        <v>na</v>
      </c>
      <c r="J234" s="711"/>
      <c r="K234" s="712">
        <f>IF(OR($C234="na",$J234="na"),"na",IF($J234="PQL","TBD",$J234/(Eqtn!$D$237*($C234+Eqtn!$D$238))))</f>
        <v>0</v>
      </c>
      <c r="L234" s="322"/>
      <c r="M234" s="1062"/>
    </row>
    <row r="235" spans="1:13" ht="13.9" customHeight="1" x14ac:dyDescent="0.25">
      <c r="A235" s="846">
        <f>Chem!A235</f>
        <v>233</v>
      </c>
      <c r="B235" s="931" t="str">
        <f>Chem!B235</f>
        <v>Perfluorohexanoic acid (PFHxA)</v>
      </c>
      <c r="C235" s="1555">
        <f>Param!J235</f>
        <v>0.38798000000000005</v>
      </c>
      <c r="D235" s="219" t="str">
        <f>'SD-Det'!Z235</f>
        <v>na</v>
      </c>
      <c r="E235" s="2104" t="str">
        <f>IF(OR($C235="na",$D235="na"),"na",IF($D235="PQL","TBD",$D235/(Eqtn!$D$237*($C235+Eqtn!$D$238))))</f>
        <v>na</v>
      </c>
      <c r="F235" s="273" t="str">
        <f>'SD-Det'!P235</f>
        <v>na</v>
      </c>
      <c r="G235" s="711" t="str">
        <f>IF(OR($C235="na",$F235="na"),"na",IF($F235="PQL","TBD",$F235/(Eqtn!$D$237*($C235+Eqtn!$D$238))))</f>
        <v>na</v>
      </c>
      <c r="H235" s="711" t="str">
        <f>'SD-Det'!AR235</f>
        <v>na</v>
      </c>
      <c r="I235" s="711" t="str">
        <f>IF(OR($C235="na",$H235="na"),"na",IF($H235="PQL","TBD",$H235/(Eqtn!$D$237*($C235+Eqtn!$D$238))))</f>
        <v>na</v>
      </c>
      <c r="J235" s="711"/>
      <c r="K235" s="712">
        <f>IF(OR($C235="na",$J235="na"),"na",IF($J235="PQL","TBD",$J235/(Eqtn!$D$237*($C235+Eqtn!$D$238))))</f>
        <v>0</v>
      </c>
      <c r="L235" s="322"/>
      <c r="M235" s="1062"/>
    </row>
    <row r="236" spans="1:13" ht="13.9" customHeight="1" x14ac:dyDescent="0.25">
      <c r="A236" s="846">
        <f>Chem!A236</f>
        <v>234</v>
      </c>
      <c r="B236" s="931" t="str">
        <f>Chem!B236</f>
        <v>Perfluorohexanesulfonic acid (PFHxS)</v>
      </c>
      <c r="C236" s="1555">
        <f>Param!J236</f>
        <v>2.1280000000000001</v>
      </c>
      <c r="D236" s="219" t="str">
        <f>'SD-Det'!Z236</f>
        <v>na</v>
      </c>
      <c r="E236" s="2104" t="str">
        <f>IF(OR($C236="na",$D236="na"),"na",IF($D236="PQL","TBD",$D236/(Eqtn!$D$237*($C236+Eqtn!$D$238))))</f>
        <v>na</v>
      </c>
      <c r="F236" s="273" t="str">
        <f>'SD-Det'!P236</f>
        <v>na</v>
      </c>
      <c r="G236" s="711" t="str">
        <f>IF(OR($C236="na",$F236="na"),"na",IF($F236="PQL","TBD",$F236/(Eqtn!$D$237*($C236+Eqtn!$D$238))))</f>
        <v>na</v>
      </c>
      <c r="H236" s="711" t="str">
        <f>'SD-Det'!AR236</f>
        <v>na</v>
      </c>
      <c r="I236" s="711" t="str">
        <f>IF(OR($C236="na",$H236="na"),"na",IF($H236="PQL","TBD",$H236/(Eqtn!$D$237*($C236+Eqtn!$D$238))))</f>
        <v>na</v>
      </c>
      <c r="J236" s="711"/>
      <c r="K236" s="712">
        <f>IF(OR($C236="na",$J236="na"),"na",IF($J236="PQL","TBD",$J236/(Eqtn!$D$237*($C236+Eqtn!$D$238))))</f>
        <v>0</v>
      </c>
      <c r="L236" s="322"/>
      <c r="M236" s="1062"/>
    </row>
    <row r="237" spans="1:13" ht="13.9" customHeight="1" x14ac:dyDescent="0.25">
      <c r="A237" s="846">
        <f>Chem!A237</f>
        <v>235</v>
      </c>
      <c r="B237" s="931" t="str">
        <f>Chem!B237</f>
        <v>Perfluorononanoic acid (PFNA)</v>
      </c>
      <c r="C237" s="1555">
        <f>Param!J237</f>
        <v>4.6739999999999995</v>
      </c>
      <c r="D237" s="219" t="str">
        <f>'SD-Det'!Z237</f>
        <v>na</v>
      </c>
      <c r="E237" s="2104" t="str">
        <f>IF(OR($C237="na",$D237="na"),"na",IF($D237="PQL","TBD",$D237/(Eqtn!$D$237*($C237+Eqtn!$D$238))))</f>
        <v>na</v>
      </c>
      <c r="F237" s="273" t="str">
        <f>'SD-Det'!P237</f>
        <v>na</v>
      </c>
      <c r="G237" s="711" t="str">
        <f>IF(OR($C237="na",$F237="na"),"na",IF($F237="PQL","TBD",$F237/(Eqtn!$D$237*($C237+Eqtn!$D$238))))</f>
        <v>na</v>
      </c>
      <c r="H237" s="711" t="str">
        <f>'SD-Det'!AR237</f>
        <v>na</v>
      </c>
      <c r="I237" s="711" t="str">
        <f>IF(OR($C237="na",$H237="na"),"na",IF($H237="PQL","TBD",$H237/(Eqtn!$D$237*($C237+Eqtn!$D$238))))</f>
        <v>na</v>
      </c>
      <c r="J237" s="711"/>
      <c r="K237" s="712">
        <f>IF(OR($C237="na",$J237="na"),"na",IF($J237="PQL","TBD",$J237/(Eqtn!$D$237*($C237+Eqtn!$D$238))))</f>
        <v>0</v>
      </c>
      <c r="L237" s="322"/>
      <c r="M237" s="1062"/>
    </row>
    <row r="238" spans="1:13" ht="13.9" customHeight="1" x14ac:dyDescent="0.25">
      <c r="A238" s="846">
        <f>Chem!A238</f>
        <v>236</v>
      </c>
      <c r="B238" s="931" t="str">
        <f>Chem!B238</f>
        <v>Perfluorooctanesulfonic acid (PFOS)</v>
      </c>
      <c r="C238" s="1555">
        <f>Param!J238</f>
        <v>7.0679999999999996</v>
      </c>
      <c r="D238" s="219" t="str">
        <f>'SD-Det'!Z238</f>
        <v>na</v>
      </c>
      <c r="E238" s="2104" t="str">
        <f>IF(OR($C238="na",$D238="na"),"na",IF($D238="PQL","TBD",$D238/(Eqtn!$D$237*($C238+Eqtn!$D$238))))</f>
        <v>na</v>
      </c>
      <c r="F238" s="273" t="str">
        <f>'SD-Det'!P238</f>
        <v>na</v>
      </c>
      <c r="G238" s="711" t="str">
        <f>IF(OR($C238="na",$F238="na"),"na",IF($F238="PQL","TBD",$F238/(Eqtn!$D$237*($C238+Eqtn!$D$238))))</f>
        <v>na</v>
      </c>
      <c r="H238" s="711" t="str">
        <f>'SD-Det'!AR238</f>
        <v>na</v>
      </c>
      <c r="I238" s="711" t="str">
        <f>IF(OR($C238="na",$H238="na"),"na",IF($H238="PQL","TBD",$H238/(Eqtn!$D$237*($C238+Eqtn!$D$238))))</f>
        <v>na</v>
      </c>
      <c r="J238" s="711"/>
      <c r="K238" s="712">
        <f>IF(OR($C238="na",$J238="na"),"na",IF($J238="PQL","TBD",$J238/(Eqtn!$D$237*($C238+Eqtn!$D$238))))</f>
        <v>0</v>
      </c>
      <c r="L238" s="322"/>
      <c r="M238" s="1062"/>
    </row>
    <row r="239" spans="1:13" ht="13.9" customHeight="1" x14ac:dyDescent="0.25">
      <c r="A239" s="1661">
        <f>Chem!A239</f>
        <v>237</v>
      </c>
      <c r="B239" s="1177" t="str">
        <f>Chem!B239</f>
        <v>Perfluorooctanoic acid (PFOA)</v>
      </c>
      <c r="C239" s="1556">
        <f>Param!J239</f>
        <v>2.1850000000000001</v>
      </c>
      <c r="D239" s="290" t="str">
        <f>'SD-Det'!Z239</f>
        <v>na</v>
      </c>
      <c r="E239" s="2105" t="str">
        <f>IF(OR($C239="na",$D239="na"),"na",IF($D239="PQL","TBD",$D239/(Eqtn!$D$237*($C239+Eqtn!$D$238))))</f>
        <v>na</v>
      </c>
      <c r="F239" s="732" t="str">
        <f>'SD-Det'!P239</f>
        <v>na</v>
      </c>
      <c r="G239" s="1179" t="str">
        <f>IF(OR($C239="na",$F239="na"),"na",IF($F239="PQL","TBD",$F239/(Eqtn!$D$237*($C239+Eqtn!$D$238))))</f>
        <v>na</v>
      </c>
      <c r="H239" s="1179" t="str">
        <f>'SD-Det'!AR239</f>
        <v>na</v>
      </c>
      <c r="I239" s="1179" t="str">
        <f>IF(OR($C239="na",$H239="na"),"na",IF($H239="PQL","TBD",$H239/(Eqtn!$D$237*($C239+Eqtn!$D$238))))</f>
        <v>na</v>
      </c>
      <c r="J239" s="1179"/>
      <c r="K239" s="1180">
        <f>IF(OR($C239="na",$J239="na"),"na",IF($J239="PQL","TBD",$J239/(Eqtn!$D$237*($C239+Eqtn!$D$238))))</f>
        <v>0</v>
      </c>
      <c r="L239" s="322"/>
      <c r="M239" s="1062"/>
    </row>
    <row r="240" spans="1:13" ht="13.9" customHeight="1" x14ac:dyDescent="0.25">
      <c r="A240" s="1197">
        <f>Chem!A240</f>
        <v>238</v>
      </c>
      <c r="B240" s="934" t="str">
        <f>Chem!B240</f>
        <v>Petroleum Hydrocarbons</v>
      </c>
      <c r="C240" s="31"/>
      <c r="D240" s="297"/>
      <c r="E240" s="31"/>
      <c r="F240" s="297"/>
      <c r="G240" s="647"/>
      <c r="H240" s="31"/>
      <c r="I240" s="31"/>
      <c r="J240" s="31"/>
      <c r="K240" s="648"/>
      <c r="L240" s="129"/>
      <c r="M240" s="1063"/>
    </row>
    <row r="241" spans="1:13" ht="13.9" customHeight="1" x14ac:dyDescent="0.25">
      <c r="A241" s="846">
        <f>Chem!A241</f>
        <v>239</v>
      </c>
      <c r="B241" s="931" t="str">
        <f>Chem!B241</f>
        <v>Gasoline range hydrocarbons, fresh</v>
      </c>
      <c r="C241" s="929" t="str">
        <f>Param!J241</f>
        <v>na</v>
      </c>
      <c r="D241" s="218" t="str">
        <f>'SD-Det'!Z241</f>
        <v>na</v>
      </c>
      <c r="E241" s="2101" t="str">
        <f>IF(OR($C241="na",$D241="na"),"na",IF($D241="PQL","TBD",$D241/(Eqtn!$D$237*($C241+Eqtn!$D$238))))</f>
        <v>na</v>
      </c>
      <c r="F241" s="298" t="str">
        <f>'SD-Det'!P241</f>
        <v>na</v>
      </c>
      <c r="G241" s="727" t="str">
        <f>IF(OR($C241="na",$F241="na"),"na",IF($F241="PQL","TBD",$F241/(Eqtn!$D$237*($C241+Eqtn!$D$238))))</f>
        <v>na</v>
      </c>
      <c r="H241" s="709" t="str">
        <f>'SD-Det'!AR241</f>
        <v>na</v>
      </c>
      <c r="I241" s="709" t="str">
        <f>IF(OR($C241="na",$H241="na"),"na",IF($H241="PQL","TBD",$H241/(Eqtn!$D$237*($C241+Eqtn!$D$238))))</f>
        <v>na</v>
      </c>
      <c r="J241" s="709"/>
      <c r="K241" s="710" t="str">
        <f>IF(OR($C241="na",$J241="na"),"na",IF($J241="PQL","TBD",$J241/(Eqtn!$D$237*($C241+Eqtn!$D$238))))</f>
        <v>na</v>
      </c>
      <c r="L241" s="322"/>
      <c r="M241" s="1062"/>
    </row>
    <row r="242" spans="1:13" ht="13.9" customHeight="1" x14ac:dyDescent="0.25">
      <c r="A242" s="846">
        <f>Chem!A242</f>
        <v>240</v>
      </c>
      <c r="B242" s="931" t="str">
        <f>Chem!B242</f>
        <v>Gasoline range hydrocarbons, weathered</v>
      </c>
      <c r="C242" s="929" t="str">
        <f>Param!J242</f>
        <v>na</v>
      </c>
      <c r="D242" s="218" t="str">
        <f>'SD-Det'!Z242</f>
        <v>na</v>
      </c>
      <c r="E242" s="2101" t="str">
        <f>IF(OR($C242="na",$D242="na"),"na",IF($D242="PQL","TBD",$D242/(Eqtn!$D$237*($C242+Eqtn!$D$238))))</f>
        <v>na</v>
      </c>
      <c r="F242" s="298" t="str">
        <f>'SD-Det'!P242</f>
        <v>na</v>
      </c>
      <c r="G242" s="727" t="str">
        <f>IF(OR($C242="na",$F242="na"),"na",IF($F242="PQL","TBD",$F242/(Eqtn!$D$237*($C242+Eqtn!$D$238))))</f>
        <v>na</v>
      </c>
      <c r="H242" s="709" t="str">
        <f>'SD-Det'!AR242</f>
        <v>na</v>
      </c>
      <c r="I242" s="709" t="str">
        <f>IF(OR($C242="na",$H242="na"),"na",IF($H242="PQL","TBD",$H242/(Eqtn!$D$237*($C242+Eqtn!$D$238))))</f>
        <v>na</v>
      </c>
      <c r="J242" s="709"/>
      <c r="K242" s="710" t="str">
        <f>IF(OR($C242="na",$J242="na"),"na",IF($J242="PQL","TBD",$J242/(Eqtn!$D$237*($C242+Eqtn!$D$238))))</f>
        <v>na</v>
      </c>
      <c r="L242" s="322"/>
      <c r="M242" s="1062"/>
    </row>
    <row r="243" spans="1:13" ht="13.9" customHeight="1" x14ac:dyDescent="0.25">
      <c r="A243" s="846">
        <f>Chem!A243</f>
        <v>241</v>
      </c>
      <c r="B243" s="931" t="str">
        <f>Chem!B243</f>
        <v>Diesel range hydrocarbons, fresh</v>
      </c>
      <c r="C243" s="924" t="str">
        <f>Param!J243</f>
        <v>na</v>
      </c>
      <c r="D243" s="219" t="str">
        <f>'SD-Det'!Z243</f>
        <v>na</v>
      </c>
      <c r="E243" s="2092" t="str">
        <f>IF(OR($C243="na",$D243="na"),"na",IF($D243="PQL","TBD",$D243/(Eqtn!$D$237*($C243+Eqtn!$D$238))))</f>
        <v>na</v>
      </c>
      <c r="F243" s="273" t="str">
        <f>'SD-Det'!P243</f>
        <v>na</v>
      </c>
      <c r="G243" s="728" t="str">
        <f>IF(OR($C243="na",$F243="na"),"na",IF($F243="PQL","TBD",$F243/(Eqtn!$D$237*($C243+Eqtn!$D$238))))</f>
        <v>na</v>
      </c>
      <c r="H243" s="711" t="str">
        <f>'SD-Det'!AR243</f>
        <v>na</v>
      </c>
      <c r="I243" s="711" t="str">
        <f>IF(OR($C243="na",$H243="na"),"na",IF($H243="PQL","TBD",$H243/(Eqtn!$D$237*($C243+Eqtn!$D$238))))</f>
        <v>na</v>
      </c>
      <c r="J243" s="711"/>
      <c r="K243" s="712" t="str">
        <f>IF(OR($C243="na",$J243="na"),"na",IF($J243="PQL","TBD",$J243/(Eqtn!$D$237*($C243+Eqtn!$D$238))))</f>
        <v>na</v>
      </c>
      <c r="L243" s="322"/>
      <c r="M243" s="1062"/>
    </row>
    <row r="244" spans="1:13" ht="13.9" customHeight="1" x14ac:dyDescent="0.25">
      <c r="A244" s="846">
        <f>Chem!A244</f>
        <v>242</v>
      </c>
      <c r="B244" s="931" t="str">
        <f>Chem!B244</f>
        <v>Diesel range hydrocarbons, weathered</v>
      </c>
      <c r="C244" s="924" t="str">
        <f>Param!J244</f>
        <v>na</v>
      </c>
      <c r="D244" s="219" t="str">
        <f>'SD-Det'!Z244</f>
        <v>na</v>
      </c>
      <c r="E244" s="2092" t="str">
        <f>IF(OR($C244="na",$D244="na"),"na",IF($D244="PQL","TBD",$D244/(Eqtn!$D$237*($C244+Eqtn!$D$238))))</f>
        <v>na</v>
      </c>
      <c r="F244" s="273" t="str">
        <f>'SD-Det'!P244</f>
        <v>na</v>
      </c>
      <c r="G244" s="728" t="str">
        <f>IF(OR($C244="na",$F244="na"),"na",IF($F244="PQL","TBD",$F244/(Eqtn!$D$237*($C244+Eqtn!$D$238))))</f>
        <v>na</v>
      </c>
      <c r="H244" s="711" t="str">
        <f>'SD-Det'!AR244</f>
        <v>na</v>
      </c>
      <c r="I244" s="711" t="str">
        <f>IF(OR($C244="na",$H244="na"),"na",IF($H244="PQL","TBD",$H244/(Eqtn!$D$237*($C244+Eqtn!$D$238))))</f>
        <v>na</v>
      </c>
      <c r="J244" s="711"/>
      <c r="K244" s="712" t="str">
        <f>IF(OR($C244="na",$J244="na"),"na",IF($J244="PQL","TBD",$J244/(Eqtn!$D$237*($C244+Eqtn!$D$238))))</f>
        <v>na</v>
      </c>
      <c r="L244" s="322"/>
      <c r="M244" s="1062"/>
    </row>
    <row r="245" spans="1:13" ht="13.9" customHeight="1" x14ac:dyDescent="0.25">
      <c r="A245" s="846">
        <f>Chem!A245</f>
        <v>243</v>
      </c>
      <c r="B245" s="933" t="str">
        <f>Chem!B245</f>
        <v>Oil range hydrocarbons</v>
      </c>
      <c r="C245" s="924" t="str">
        <f>Param!J245</f>
        <v>na</v>
      </c>
      <c r="D245" s="219" t="str">
        <f>'SD-Det'!Z245</f>
        <v>na</v>
      </c>
      <c r="E245" s="2092" t="str">
        <f>IF(OR($C245="na",$D245="na"),"na",IF($D245="PQL","TBD",$D245/(Eqtn!$D$237*($C245+Eqtn!$D$238))))</f>
        <v>na</v>
      </c>
      <c r="F245" s="273" t="str">
        <f>'SD-Det'!P245</f>
        <v>na</v>
      </c>
      <c r="G245" s="729" t="str">
        <f>IF(OR($C245="na",$F245="na"),"na",IF($F245="PQL","TBD",$F245/(Eqtn!$D$237*($C245+Eqtn!$D$238))))</f>
        <v>na</v>
      </c>
      <c r="H245" s="713" t="str">
        <f>'SD-Det'!AR245</f>
        <v>na</v>
      </c>
      <c r="I245" s="713" t="str">
        <f>IF(OR($C245="na",$H245="na"),"na",IF($H245="PQL","TBD",$H245/(Eqtn!$D$237*($C245+Eqtn!$D$238))))</f>
        <v>na</v>
      </c>
      <c r="J245" s="713"/>
      <c r="K245" s="714" t="str">
        <f>IF(OR($C245="na",$J245="na"),"na",IF($J245="PQL","TBD",$J245/(Eqtn!$D$237*($C245+Eqtn!$D$238))))</f>
        <v>na</v>
      </c>
      <c r="L245" s="322"/>
      <c r="M245" s="1062"/>
    </row>
    <row r="246" spans="1:13" ht="13.9" customHeight="1" x14ac:dyDescent="0.25">
      <c r="A246" s="1661">
        <f>Chem!A246</f>
        <v>244</v>
      </c>
      <c r="B246" s="933" t="str">
        <f>Chem!B246</f>
        <v>Total diesel &amp; oil range hydrocarbons</v>
      </c>
      <c r="C246" s="924" t="str">
        <f>Param!J246</f>
        <v>na</v>
      </c>
      <c r="D246" s="219" t="str">
        <f>'SD-Det'!Z246</f>
        <v>na</v>
      </c>
      <c r="E246" s="2092" t="str">
        <f>IF(OR($C246="na",$D246="na"),"na",IF($D246="PQL","TBD",$D246/(Eqtn!$D$237*($C246+Eqtn!$D$238))))</f>
        <v>na</v>
      </c>
      <c r="F246" s="273" t="str">
        <f>'SD-Det'!P246</f>
        <v>na</v>
      </c>
      <c r="G246" s="729" t="str">
        <f>IF(OR($C246="na",$F246="na"),"na",IF($F246="PQL","TBD",$F246/(Eqtn!$D$237*($C246+Eqtn!$D$238))))</f>
        <v>na</v>
      </c>
      <c r="H246" s="713" t="str">
        <f>'SD-Det'!AR246</f>
        <v>na</v>
      </c>
      <c r="I246" s="713" t="str">
        <f>IF(OR($C246="na",$H246="na"),"na",IF($H246="PQL","TBD",$H246/(Eqtn!$D$237*($C246+Eqtn!$D$238))))</f>
        <v>na</v>
      </c>
      <c r="J246" s="713"/>
      <c r="K246" s="714" t="str">
        <f>IF(OR($C246="na",$J246="na"),"na",IF($J246="PQL","TBD",$J246/(Eqtn!$D$237*($C246+Eqtn!$D$238))))</f>
        <v>na</v>
      </c>
      <c r="L246" s="322"/>
      <c r="M246" s="1062"/>
    </row>
    <row r="247" spans="1:13" ht="13.9" customHeight="1" x14ac:dyDescent="0.25">
      <c r="A247" s="1197">
        <f>Chem!A247</f>
        <v>245</v>
      </c>
      <c r="B247" s="934" t="str">
        <f>Chem!B247</f>
        <v>Pesticides</v>
      </c>
      <c r="C247" s="31"/>
      <c r="D247" s="297"/>
      <c r="E247" s="31"/>
      <c r="F247" s="297"/>
      <c r="G247" s="647"/>
      <c r="H247" s="31"/>
      <c r="I247" s="31"/>
      <c r="J247" s="31"/>
      <c r="K247" s="648"/>
      <c r="L247" s="129"/>
      <c r="M247" s="1063"/>
    </row>
    <row r="248" spans="1:13" ht="13.9" customHeight="1" x14ac:dyDescent="0.25">
      <c r="A248" s="846">
        <f>Chem!A248</f>
        <v>246</v>
      </c>
      <c r="B248" s="932" t="str">
        <f>Chem!B248</f>
        <v>Aldrin</v>
      </c>
      <c r="C248" s="924">
        <f>Param!J248</f>
        <v>925.3</v>
      </c>
      <c r="D248" s="219">
        <f>'SD-Det'!Z248</f>
        <v>1E-4</v>
      </c>
      <c r="E248" s="2092">
        <f>IF(OR($C248="na",$D248="na"),"na",IF($D248="PQL","TBD",$D248/(Eqtn!$D$237*($C248+Eqtn!$D$238))))</f>
        <v>1.0800268100772856E-4</v>
      </c>
      <c r="F248" s="273">
        <f>'SD-Det'!P248</f>
        <v>1E-4</v>
      </c>
      <c r="G248" s="727">
        <f>IF(OR($C248="na",$F248="na"),"na",IF($F248="PQL","TBD",$F248/(Eqtn!$D$237*($C248+Eqtn!$D$238))))</f>
        <v>1.0800268100772856E-4</v>
      </c>
      <c r="H248" s="709" t="str">
        <f>'SD-Det'!AR248</f>
        <v>na</v>
      </c>
      <c r="I248" s="709" t="str">
        <f>IF(OR($C248="na",$H248="na"),"na",IF($H248="PQL","TBD",$H248/(Eqtn!$D$237*($C248+Eqtn!$D$238))))</f>
        <v>na</v>
      </c>
      <c r="J248" s="709"/>
      <c r="K248" s="710">
        <f>IF(OR($C248="na",$J248="na"),"na",IF($J248="PQL","TBD",$J248/(Eqtn!$D$237*($C248+Eqtn!$D$238))))</f>
        <v>0</v>
      </c>
      <c r="L248" s="322"/>
      <c r="M248" s="1062"/>
    </row>
    <row r="249" spans="1:13" ht="13.9" customHeight="1" x14ac:dyDescent="0.25">
      <c r="A249" s="846">
        <f>Chem!A249</f>
        <v>247</v>
      </c>
      <c r="B249" s="931" t="str">
        <f>Chem!B249</f>
        <v>alpha-BHC (alpha-HCH)</v>
      </c>
      <c r="C249" s="924">
        <f>Param!J249</f>
        <v>33.44</v>
      </c>
      <c r="D249" s="219" t="str">
        <f>'SD-Det'!Z249</f>
        <v>na</v>
      </c>
      <c r="E249" s="2092" t="str">
        <f>IF(OR($C249="na",$D249="na"),"na",IF($D249="PQL","TBD",$D249/(Eqtn!$D$237*($C249+Eqtn!$D$238))))</f>
        <v>na</v>
      </c>
      <c r="F249" s="273" t="str">
        <f>'SD-Det'!P249</f>
        <v>na</v>
      </c>
      <c r="G249" s="728" t="str">
        <f>IF(OR($C249="na",$F249="na"),"na",IF($F249="PQL","TBD",$F249/(Eqtn!$D$237*($C249+Eqtn!$D$238))))</f>
        <v>na</v>
      </c>
      <c r="H249" s="711" t="str">
        <f>'SD-Det'!AR249</f>
        <v>na</v>
      </c>
      <c r="I249" s="711" t="str">
        <f>IF(OR($C249="na",$H249="na"),"na",IF($H249="PQL","TBD",$H249/(Eqtn!$D$237*($C249+Eqtn!$D$238))))</f>
        <v>na</v>
      </c>
      <c r="J249" s="711"/>
      <c r="K249" s="712">
        <f>IF(OR($C249="na",$J249="na"),"na",IF($J249="PQL","TBD",$J249/(Eqtn!$D$237*($C249+Eqtn!$D$238))))</f>
        <v>0</v>
      </c>
      <c r="L249" s="322"/>
      <c r="M249" s="1062"/>
    </row>
    <row r="250" spans="1:13" ht="13.9" customHeight="1" x14ac:dyDescent="0.25">
      <c r="A250" s="846">
        <f>Chem!A250</f>
        <v>248</v>
      </c>
      <c r="B250" s="931" t="str">
        <f>Chem!B250</f>
        <v>beta-BHC (beta-HCH)</v>
      </c>
      <c r="C250" s="924">
        <f>Param!J250</f>
        <v>40.659999999999997</v>
      </c>
      <c r="D250" s="219" t="str">
        <f>'SD-Det'!Z250</f>
        <v>na</v>
      </c>
      <c r="E250" s="2092" t="str">
        <f>IF(OR($C250="na",$D250="na"),"na",IF($D250="PQL","TBD",$D250/(Eqtn!$D$237*($C250+Eqtn!$D$238))))</f>
        <v>na</v>
      </c>
      <c r="F250" s="273" t="str">
        <f>'SD-Det'!P250</f>
        <v>na</v>
      </c>
      <c r="G250" s="728" t="str">
        <f>IF(OR($C250="na",$F250="na"),"na",IF($F250="PQL","TBD",$F250/(Eqtn!$D$237*($C250+Eqtn!$D$238))))</f>
        <v>na</v>
      </c>
      <c r="H250" s="711" t="str">
        <f>'SD-Det'!AR250</f>
        <v>na</v>
      </c>
      <c r="I250" s="711" t="str">
        <f>IF(OR($C250="na",$H250="na"),"na",IF($H250="PQL","TBD",$H250/(Eqtn!$D$237*($C250+Eqtn!$D$238))))</f>
        <v>na</v>
      </c>
      <c r="J250" s="711"/>
      <c r="K250" s="712">
        <f>IF(OR($C250="na",$J250="na"),"na",IF($J250="PQL","TBD",$J250/(Eqtn!$D$237*($C250+Eqtn!$D$238))))</f>
        <v>0</v>
      </c>
      <c r="L250" s="322"/>
      <c r="M250" s="1062"/>
    </row>
    <row r="251" spans="1:13" ht="13.9" customHeight="1" x14ac:dyDescent="0.25">
      <c r="A251" s="846">
        <f>Chem!A251</f>
        <v>249</v>
      </c>
      <c r="B251" s="931" t="str">
        <f>Chem!B251</f>
        <v>delta-BHC (delta-HCH)</v>
      </c>
      <c r="C251" s="924">
        <f>Param!J251</f>
        <v>53.39</v>
      </c>
      <c r="D251" s="219" t="str">
        <f>'SD-Det'!Z251</f>
        <v>na</v>
      </c>
      <c r="E251" s="2092" t="str">
        <f>IF(OR($C251="na",$D251="na"),"na",IF($D251="PQL","TBD",$D251/(Eqtn!$D$237*($C251+Eqtn!$D$238))))</f>
        <v>na</v>
      </c>
      <c r="F251" s="273" t="str">
        <f>'SD-Det'!P251</f>
        <v>na</v>
      </c>
      <c r="G251" s="728" t="str">
        <f>IF(OR($C251="na",$F251="na"),"na",IF($F251="PQL","TBD",$F251/(Eqtn!$D$237*($C251+Eqtn!$D$238))))</f>
        <v>na</v>
      </c>
      <c r="H251" s="711" t="str">
        <f>'SD-Det'!AR251</f>
        <v>na</v>
      </c>
      <c r="I251" s="711" t="str">
        <f>IF(OR($C251="na",$H251="na"),"na",IF($H251="PQL","TBD",$H251/(Eqtn!$D$237*($C251+Eqtn!$D$238))))</f>
        <v>na</v>
      </c>
      <c r="J251" s="711"/>
      <c r="K251" s="712">
        <f>IF(OR($C251="na",$J251="na"),"na",IF($J251="PQL","TBD",$J251/(Eqtn!$D$237*($C251+Eqtn!$D$238))))</f>
        <v>0</v>
      </c>
      <c r="L251" s="322"/>
      <c r="M251" s="1062"/>
    </row>
    <row r="252" spans="1:13" ht="13.9" customHeight="1" x14ac:dyDescent="0.25">
      <c r="A252" s="846">
        <f>Chem!A252</f>
        <v>250</v>
      </c>
      <c r="B252" s="931" t="str">
        <f>Chem!B252</f>
        <v>Carbaryl</v>
      </c>
      <c r="C252" s="924">
        <f>Param!J252</f>
        <v>6.7412000000000001</v>
      </c>
      <c r="D252" s="219" t="str">
        <f>'SD-Det'!Z252</f>
        <v>na</v>
      </c>
      <c r="E252" s="2092" t="str">
        <f>IF(OR($C252="na",$D252="na"),"na",IF($D252="PQL","TBD",$D252/(Eqtn!$D$237*($C252+Eqtn!$D$238))))</f>
        <v>na</v>
      </c>
      <c r="F252" s="273" t="str">
        <f>'SD-Det'!P252</f>
        <v>na</v>
      </c>
      <c r="G252" s="728" t="str">
        <f>IF(OR($C252="na",$F252="na"),"na",IF($F252="PQL","TBD",$F252/(Eqtn!$D$237*($C252+Eqtn!$D$238))))</f>
        <v>na</v>
      </c>
      <c r="H252" s="711" t="str">
        <f>'SD-Det'!AR252</f>
        <v>na</v>
      </c>
      <c r="I252" s="711" t="str">
        <f>IF(OR($C252="na",$H252="na"),"na",IF($H252="PQL","TBD",$H252/(Eqtn!$D$237*($C252+Eqtn!$D$238))))</f>
        <v>na</v>
      </c>
      <c r="J252" s="711"/>
      <c r="K252" s="712">
        <f>IF(OR($C252="na",$J252="na"),"na",IF($J252="PQL","TBD",$J252/(Eqtn!$D$237*($C252+Eqtn!$D$238))))</f>
        <v>0</v>
      </c>
      <c r="L252" s="322"/>
      <c r="M252" s="1062"/>
    </row>
    <row r="253" spans="1:13" ht="13.9" customHeight="1" x14ac:dyDescent="0.25">
      <c r="A253" s="846">
        <f>Chem!A253</f>
        <v>251</v>
      </c>
      <c r="B253" s="931" t="str">
        <f>Chem!B253</f>
        <v>cis-Chlordane (alpha)</v>
      </c>
      <c r="C253" s="924">
        <f>Param!J253</f>
        <v>1282.5</v>
      </c>
      <c r="D253" s="219">
        <f>'SD-Det'!Z253</f>
        <v>1E-4</v>
      </c>
      <c r="E253" s="2092">
        <f>IF(OR($C253="na",$D253="na"),"na",IF($D253="PQL","TBD",$D253/(Eqtn!$D$237*($C253+Eqtn!$D$238))))</f>
        <v>7.7936069500636102E-5</v>
      </c>
      <c r="F253" s="273">
        <f>'SD-Det'!P253</f>
        <v>1E-4</v>
      </c>
      <c r="G253" s="728">
        <f>IF(OR($C253="na",$F253="na"),"na",IF($F253="PQL","TBD",$F253/(Eqtn!$D$237*($C253+Eqtn!$D$238))))</f>
        <v>7.7936069500636102E-5</v>
      </c>
      <c r="H253" s="711" t="str">
        <f>'SD-Det'!AR253</f>
        <v>na</v>
      </c>
      <c r="I253" s="711" t="str">
        <f>IF(OR($C253="na",$H253="na"),"na",IF($H253="PQL","TBD",$H253/(Eqtn!$D$237*($C253+Eqtn!$D$238))))</f>
        <v>na</v>
      </c>
      <c r="J253" s="711"/>
      <c r="K253" s="712">
        <f>IF(OR($C253="na",$J253="na"),"na",IF($J253="PQL","TBD",$J253/(Eqtn!$D$237*($C253+Eqtn!$D$238))))</f>
        <v>0</v>
      </c>
      <c r="L253" s="322"/>
      <c r="M253" s="1062"/>
    </row>
    <row r="254" spans="1:13" ht="13.9" customHeight="1" x14ac:dyDescent="0.25">
      <c r="A254" s="846">
        <f>Chem!A254</f>
        <v>252</v>
      </c>
      <c r="B254" s="931" t="str">
        <f>Chem!B254</f>
        <v>trans-Chlordane (gamma)</v>
      </c>
      <c r="C254" s="924">
        <f>Param!J254</f>
        <v>1282.5</v>
      </c>
      <c r="D254" s="219">
        <f>'SD-Det'!Z254</f>
        <v>1E-4</v>
      </c>
      <c r="E254" s="2092">
        <f>IF(OR($C254="na",$D254="na"),"na",IF($D254="PQL","TBD",$D254/(Eqtn!$D$237*($C254+Eqtn!$D$238))))</f>
        <v>7.7936069500636102E-5</v>
      </c>
      <c r="F254" s="273">
        <f>'SD-Det'!P254</f>
        <v>1E-4</v>
      </c>
      <c r="G254" s="728">
        <f>IF(OR($C254="na",$F254="na"),"na",IF($F254="PQL","TBD",$F254/(Eqtn!$D$237*($C254+Eqtn!$D$238))))</f>
        <v>7.7936069500636102E-5</v>
      </c>
      <c r="H254" s="711" t="str">
        <f>'SD-Det'!AR254</f>
        <v>na</v>
      </c>
      <c r="I254" s="711" t="str">
        <f>IF(OR($C254="na",$H254="na"),"na",IF($H254="PQL","TBD",$H254/(Eqtn!$D$237*($C254+Eqtn!$D$238))))</f>
        <v>na</v>
      </c>
      <c r="J254" s="711"/>
      <c r="K254" s="712">
        <f>IF(OR($C254="na",$J254="na"),"na",IF($J254="PQL","TBD",$J254/(Eqtn!$D$237*($C254+Eqtn!$D$238))))</f>
        <v>0</v>
      </c>
      <c r="L254" s="322"/>
      <c r="M254" s="1062"/>
    </row>
    <row r="255" spans="1:13" ht="13.9" customHeight="1" x14ac:dyDescent="0.25">
      <c r="A255" s="846">
        <f>Chem!A255</f>
        <v>253</v>
      </c>
      <c r="B255" s="931" t="str">
        <f>Chem!B255</f>
        <v>Chlordane</v>
      </c>
      <c r="C255" s="924">
        <f>Param!J255</f>
        <v>974.69999999999993</v>
      </c>
      <c r="D255" s="219">
        <f>'SD-Det'!Z255</f>
        <v>5.6166640781514872</v>
      </c>
      <c r="E255" s="2092">
        <f>IF(OR($C255="na",$D255="na"),"na",IF($D255="PQL","TBD",$D255/(Eqtn!$D$237*($C255+Eqtn!$D$238))))</f>
        <v>5.7588917668763724</v>
      </c>
      <c r="F255" s="273">
        <f>'SD-Det'!P255</f>
        <v>56.166640781514879</v>
      </c>
      <c r="G255" s="728">
        <f>IF(OR($C255="na",$F255="na"),"na",IF($F255="PQL","TBD",$F255/(Eqtn!$D$237*($C255+Eqtn!$D$238))))</f>
        <v>57.588917668763735</v>
      </c>
      <c r="H255" s="711" t="str">
        <f>'SD-Det'!AR255</f>
        <v>na</v>
      </c>
      <c r="I255" s="711" t="str">
        <f>IF(OR($C255="na",$H255="na"),"na",IF($H255="PQL","TBD",$H255/(Eqtn!$D$237*($C255+Eqtn!$D$238))))</f>
        <v>na</v>
      </c>
      <c r="J255" s="711"/>
      <c r="K255" s="712">
        <f>IF(OR($C255="na",$J255="na"),"na",IF($J255="PQL","TBD",$J255/(Eqtn!$D$237*($C255+Eqtn!$D$238))))</f>
        <v>0</v>
      </c>
      <c r="L255" s="322"/>
      <c r="M255" s="1062"/>
    </row>
    <row r="256" spans="1:13" ht="13.9" customHeight="1" x14ac:dyDescent="0.25">
      <c r="A256" s="846">
        <f>Chem!A256</f>
        <v>254</v>
      </c>
      <c r="B256" s="931" t="str">
        <f>Chem!B256</f>
        <v>Chlorpyrifos</v>
      </c>
      <c r="C256" s="924">
        <f>Param!J256</f>
        <v>138.32</v>
      </c>
      <c r="D256" s="221" t="str">
        <f>'SD-Det'!Z256</f>
        <v>na</v>
      </c>
      <c r="E256" s="2092" t="str">
        <f>IF(OR($C256="na",$D256="na"),"na",IF($D256="PQL","TBD",$D256/(Eqtn!$D$237*($C256+Eqtn!$D$238))))</f>
        <v>na</v>
      </c>
      <c r="F256" s="273" t="str">
        <f>'SD-Det'!P256</f>
        <v>na</v>
      </c>
      <c r="G256" s="728" t="str">
        <f>IF(OR($C256="na",$F256="na"),"na",IF($F256="PQL","TBD",$F256/(Eqtn!$D$237*($C256+Eqtn!$D$238))))</f>
        <v>na</v>
      </c>
      <c r="H256" s="711" t="str">
        <f>'SD-Det'!AR256</f>
        <v>na</v>
      </c>
      <c r="I256" s="711" t="str">
        <f>IF(OR($C256="na",$H256="na"),"na",IF($H256="PQL","TBD",$H256/(Eqtn!$D$237*($C256+Eqtn!$D$238))))</f>
        <v>na</v>
      </c>
      <c r="J256" s="711"/>
      <c r="K256" s="712">
        <f>IF(OR($C256="na",$J256="na"),"na",IF($J256="PQL","TBD",$J256/(Eqtn!$D$237*($C256+Eqtn!$D$238))))</f>
        <v>0</v>
      </c>
      <c r="L256" s="322"/>
      <c r="M256" s="1062"/>
    </row>
    <row r="257" spans="1:13" ht="13.9" customHeight="1" x14ac:dyDescent="0.25">
      <c r="A257" s="846">
        <f>Chem!A257</f>
        <v>255</v>
      </c>
      <c r="B257" s="931" t="str">
        <f>Chem!B257</f>
        <v>4,4'-DDD</v>
      </c>
      <c r="C257" s="924">
        <f>Param!J257</f>
        <v>870.19999999999993</v>
      </c>
      <c r="D257" s="219" t="str">
        <f>'SD-Det'!Z257</f>
        <v>na</v>
      </c>
      <c r="E257" s="2092" t="str">
        <f>IF(OR($C257="na",$D257="na"),"na",IF($D257="PQL","TBD",$D257/(Eqtn!$D$237*($C257+Eqtn!$D$238))))</f>
        <v>na</v>
      </c>
      <c r="F257" s="273" t="str">
        <f>'SD-Det'!P257</f>
        <v>na</v>
      </c>
      <c r="G257" s="728" t="str">
        <f>IF(OR($C257="na",$F257="na"),"na",IF($F257="PQL","TBD",$F257/(Eqtn!$D$237*($C257+Eqtn!$D$238))))</f>
        <v>na</v>
      </c>
      <c r="H257" s="711" t="str">
        <f>'SD-Det'!AR257</f>
        <v>na</v>
      </c>
      <c r="I257" s="711" t="str">
        <f>IF(OR($C257="na",$H257="na"),"na",IF($H257="PQL","TBD",$H257/(Eqtn!$D$237*($C257+Eqtn!$D$238))))</f>
        <v>na</v>
      </c>
      <c r="J257" s="711"/>
      <c r="K257" s="712">
        <f>IF(OR($C257="na",$J257="na"),"na",IF($J257="PQL","TBD",$J257/(Eqtn!$D$237*($C257+Eqtn!$D$238))))</f>
        <v>0</v>
      </c>
      <c r="L257" s="322"/>
      <c r="M257" s="1062"/>
    </row>
    <row r="258" spans="1:13" ht="13.9" customHeight="1" x14ac:dyDescent="0.25">
      <c r="A258" s="846">
        <f>Chem!A258</f>
        <v>256</v>
      </c>
      <c r="B258" s="931" t="str">
        <f>Chem!B258</f>
        <v>4,4'-DDE</v>
      </c>
      <c r="C258" s="924">
        <f>Param!J258</f>
        <v>1641.6</v>
      </c>
      <c r="D258" s="219" t="str">
        <f>'SD-Det'!Z258</f>
        <v>na</v>
      </c>
      <c r="E258" s="2092" t="str">
        <f>IF(OR($C258="na",$D258="na"),"na",IF($D258="PQL","TBD",$D258/(Eqtn!$D$237*($C258+Eqtn!$D$238))))</f>
        <v>na</v>
      </c>
      <c r="F258" s="273" t="str">
        <f>'SD-Det'!P258</f>
        <v>na</v>
      </c>
      <c r="G258" s="728" t="str">
        <f>IF(OR($C258="na",$F258="na"),"na",IF($F258="PQL","TBD",$F258/(Eqtn!$D$237*($C258+Eqtn!$D$238))))</f>
        <v>na</v>
      </c>
      <c r="H258" s="711" t="str">
        <f>'SD-Det'!AR258</f>
        <v>na</v>
      </c>
      <c r="I258" s="711" t="str">
        <f>IF(OR($C258="na",$H258="na"),"na",IF($H258="PQL","TBD",$H258/(Eqtn!$D$237*($C258+Eqtn!$D$238))))</f>
        <v>na</v>
      </c>
      <c r="J258" s="711"/>
      <c r="K258" s="712">
        <f>IF(OR($C258="na",$J258="na"),"na",IF($J258="PQL","TBD",$J258/(Eqtn!$D$237*($C258+Eqtn!$D$238))))</f>
        <v>0</v>
      </c>
      <c r="L258" s="322"/>
      <c r="M258" s="1062"/>
    </row>
    <row r="259" spans="1:13" ht="13.9" customHeight="1" x14ac:dyDescent="0.25">
      <c r="A259" s="846">
        <f>Chem!A259</f>
        <v>257</v>
      </c>
      <c r="B259" s="931" t="str">
        <f>Chem!B259</f>
        <v>4,4'-DDT</v>
      </c>
      <c r="C259" s="924">
        <f>Param!J259</f>
        <v>12882</v>
      </c>
      <c r="D259" s="219">
        <f>'SD-Det'!Z259</f>
        <v>1E-4</v>
      </c>
      <c r="E259" s="2092">
        <f>IF(OR($C259="na",$D259="na"),"na",IF($D259="PQL","TBD",$D259/(Eqtn!$D$237*($C259+Eqtn!$D$238))))</f>
        <v>7.7624064373179981E-6</v>
      </c>
      <c r="F259" s="273">
        <f>'SD-Det'!P259</f>
        <v>1E-4</v>
      </c>
      <c r="G259" s="728">
        <f>IF(OR($C259="na",$F259="na"),"na",IF($F259="PQL","TBD",$F259/(Eqtn!$D$237*($C259+Eqtn!$D$238))))</f>
        <v>7.7624064373179981E-6</v>
      </c>
      <c r="H259" s="711" t="str">
        <f>'SD-Det'!AR259</f>
        <v>na</v>
      </c>
      <c r="I259" s="711" t="str">
        <f>IF(OR($C259="na",$H259="na"),"na",IF($H259="PQL","TBD",$H259/(Eqtn!$D$237*($C259+Eqtn!$D$238))))</f>
        <v>na</v>
      </c>
      <c r="J259" s="711"/>
      <c r="K259" s="712">
        <f>IF(OR($C259="na",$J259="na"),"na",IF($J259="PQL","TBD",$J259/(Eqtn!$D$237*($C259+Eqtn!$D$238))))</f>
        <v>0</v>
      </c>
      <c r="L259" s="322"/>
      <c r="M259" s="1062"/>
    </row>
    <row r="260" spans="1:13" ht="13.9" customHeight="1" x14ac:dyDescent="0.25">
      <c r="A260" s="846">
        <f>Chem!A260</f>
        <v>258</v>
      </c>
      <c r="B260" s="931" t="str">
        <f>Chem!B260</f>
        <v xml:space="preserve">Total DDD </v>
      </c>
      <c r="C260" s="924">
        <f>Param!J260</f>
        <v>870.19999999999993</v>
      </c>
      <c r="D260" s="219" t="str">
        <f>'SD-Det'!Z260</f>
        <v>na</v>
      </c>
      <c r="E260" s="2092" t="str">
        <f>IF(OR($C260="na",$D260="na"),"na",IF($D260="PQL","TBD",$D260/(Eqtn!$D$237*($C260+Eqtn!$D$238))))</f>
        <v>na</v>
      </c>
      <c r="F260" s="273" t="str">
        <f>'SD-Det'!P260</f>
        <v>na</v>
      </c>
      <c r="G260" s="728" t="str">
        <f>IF(OR($C260="na",$F260="na"),"na",IF($F260="PQL","TBD",$F260/(Eqtn!$D$237*($C260+Eqtn!$D$238))))</f>
        <v>na</v>
      </c>
      <c r="H260" s="711" t="str">
        <f>'SD-Det'!AR260</f>
        <v>na</v>
      </c>
      <c r="I260" s="711" t="str">
        <f>IF(OR($C260="na",$H260="na"),"na",IF($H260="PQL","TBD",$H260/(Eqtn!$D$237*($C260+Eqtn!$D$238))))</f>
        <v>na</v>
      </c>
      <c r="J260" s="711"/>
      <c r="K260" s="712">
        <f>IF(OR($C260="na",$J260="na"),"na",IF($J260="PQL","TBD",$J260/(Eqtn!$D$237*($C260+Eqtn!$D$238))))</f>
        <v>0</v>
      </c>
      <c r="L260" s="322"/>
      <c r="M260" s="1062"/>
    </row>
    <row r="261" spans="1:13" ht="13.9" customHeight="1" x14ac:dyDescent="0.25">
      <c r="A261" s="846">
        <f>Chem!A261</f>
        <v>259</v>
      </c>
      <c r="B261" s="931" t="str">
        <f>Chem!B261</f>
        <v>Total DDE</v>
      </c>
      <c r="C261" s="924">
        <f>Param!J261</f>
        <v>1641.6</v>
      </c>
      <c r="D261" s="219" t="str">
        <f>'SD-Det'!Z261</f>
        <v>na</v>
      </c>
      <c r="E261" s="2092" t="str">
        <f>IF(OR($C261="na",$D261="na"),"na",IF($D261="PQL","TBD",$D261/(Eqtn!$D$237*($C261+Eqtn!$D$238))))</f>
        <v>na</v>
      </c>
      <c r="F261" s="273" t="str">
        <f>'SD-Det'!P261</f>
        <v>na</v>
      </c>
      <c r="G261" s="728" t="str">
        <f>IF(OR($C261="na",$F261="na"),"na",IF($F261="PQL","TBD",$F261/(Eqtn!$D$237*($C261+Eqtn!$D$238))))</f>
        <v>na</v>
      </c>
      <c r="H261" s="711" t="str">
        <f>'SD-Det'!AR261</f>
        <v>na</v>
      </c>
      <c r="I261" s="711" t="str">
        <f>IF(OR($C261="na",$H261="na"),"na",IF($H261="PQL","TBD",$H261/(Eqtn!$D$237*($C261+Eqtn!$D$238))))</f>
        <v>na</v>
      </c>
      <c r="J261" s="711"/>
      <c r="K261" s="712">
        <f>IF(OR($C261="na",$J261="na"),"na",IF($J261="PQL","TBD",$J261/(Eqtn!$D$237*($C261+Eqtn!$D$238))))</f>
        <v>0</v>
      </c>
      <c r="L261" s="322"/>
      <c r="M261" s="1062"/>
    </row>
    <row r="262" spans="1:13" ht="13.9" customHeight="1" x14ac:dyDescent="0.25">
      <c r="A262" s="846">
        <f>Chem!A262</f>
        <v>260</v>
      </c>
      <c r="B262" s="931" t="str">
        <f>Chem!B262</f>
        <v>Total DDT</v>
      </c>
      <c r="C262" s="924">
        <f>Param!J262</f>
        <v>12882</v>
      </c>
      <c r="D262" s="219">
        <f>'SD-Det'!Z262</f>
        <v>6.2945206043185031</v>
      </c>
      <c r="E262" s="2092">
        <f>IF(OR($C262="na",$D262="na"),"na",IF($D262="PQL","TBD",$D262/(Eqtn!$D$237*($C262+Eqtn!$D$238))))</f>
        <v>0.48860627258792722</v>
      </c>
      <c r="F262" s="273">
        <f>'SD-Det'!P262</f>
        <v>62.945206043185038</v>
      </c>
      <c r="G262" s="728">
        <f>IF(OR($C262="na",$F262="na"),"na",IF($F262="PQL","TBD",$F262/(Eqtn!$D$237*($C262+Eqtn!$D$238))))</f>
        <v>4.8860627258792722</v>
      </c>
      <c r="H262" s="711" t="str">
        <f>'SD-Det'!AR262</f>
        <v>na</v>
      </c>
      <c r="I262" s="711" t="str">
        <f>IF(OR($C262="na",$H262="na"),"na",IF($H262="PQL","TBD",$H262/(Eqtn!$D$237*($C262+Eqtn!$D$238))))</f>
        <v>na</v>
      </c>
      <c r="J262" s="711"/>
      <c r="K262" s="712">
        <f>IF(OR($C262="na",$J262="na"),"na",IF($J262="PQL","TBD",$J262/(Eqtn!$D$237*($C262+Eqtn!$D$238))))</f>
        <v>0</v>
      </c>
      <c r="L262" s="322"/>
      <c r="M262" s="1062"/>
    </row>
    <row r="263" spans="1:13" ht="13.9" customHeight="1" x14ac:dyDescent="0.25">
      <c r="A263" s="846">
        <f>Chem!A263</f>
        <v>261</v>
      </c>
      <c r="B263" s="931" t="str">
        <f>Chem!B263</f>
        <v>Diazinon</v>
      </c>
      <c r="C263" s="924">
        <f>Param!J263</f>
        <v>57.57</v>
      </c>
      <c r="D263" s="221" t="str">
        <f>'SD-Det'!Z263</f>
        <v>na</v>
      </c>
      <c r="E263" s="2092" t="str">
        <f>IF(OR($C263="na",$D263="na"),"na",IF($D263="PQL","TBD",$D263/(Eqtn!$D$237*($C263+Eqtn!$D$238))))</f>
        <v>na</v>
      </c>
      <c r="F263" s="273" t="str">
        <f>'SD-Det'!P263</f>
        <v>na</v>
      </c>
      <c r="G263" s="728" t="str">
        <f>IF(OR($C263="na",$F263="na"),"na",IF($F263="PQL","TBD",$F263/(Eqtn!$D$237*($C263+Eqtn!$D$238))))</f>
        <v>na</v>
      </c>
      <c r="H263" s="711" t="str">
        <f>'SD-Det'!AR263</f>
        <v>na</v>
      </c>
      <c r="I263" s="711" t="str">
        <f>IF(OR($C263="na",$H263="na"),"na",IF($H263="PQL","TBD",$H263/(Eqtn!$D$237*($C263+Eqtn!$D$238))))</f>
        <v>na</v>
      </c>
      <c r="J263" s="711"/>
      <c r="K263" s="712">
        <f>IF(OR($C263="na",$J263="na"),"na",IF($J263="PQL","TBD",$J263/(Eqtn!$D$237*($C263+Eqtn!$D$238))))</f>
        <v>0</v>
      </c>
      <c r="L263" s="322"/>
      <c r="M263" s="1062"/>
    </row>
    <row r="264" spans="1:13" ht="13.9" customHeight="1" x14ac:dyDescent="0.25">
      <c r="A264" s="846">
        <f>Chem!A264</f>
        <v>262</v>
      </c>
      <c r="B264" s="931" t="str">
        <f>Chem!B264</f>
        <v>Dieldrin</v>
      </c>
      <c r="C264" s="924">
        <f>Param!J264</f>
        <v>484.5</v>
      </c>
      <c r="D264" s="219">
        <f>'SD-Det'!Z264</f>
        <v>1E-4</v>
      </c>
      <c r="E264" s="2092">
        <f>IF(OR($C264="na",$D264="na"),"na",IF($D264="PQL","TBD",$D264/(Eqtn!$D$237*($C264+Eqtn!$D$238))))</f>
        <v>2.0614181344165883E-4</v>
      </c>
      <c r="F264" s="273">
        <f>'SD-Det'!P264</f>
        <v>1E-4</v>
      </c>
      <c r="G264" s="728">
        <f>IF(OR($C264="na",$F264="na"),"na",IF($F264="PQL","TBD",$F264/(Eqtn!$D$237*($C264+Eqtn!$D$238))))</f>
        <v>2.0614181344165883E-4</v>
      </c>
      <c r="H264" s="711" t="str">
        <f>'SD-Det'!AR264</f>
        <v>na</v>
      </c>
      <c r="I264" s="711" t="str">
        <f>IF(OR($C264="na",$H264="na"),"na",IF($H264="PQL","TBD",$H264/(Eqtn!$D$237*($C264+Eqtn!$D$238))))</f>
        <v>na</v>
      </c>
      <c r="J264" s="711"/>
      <c r="K264" s="712">
        <f>IF(OR($C264="na",$J264="na"),"na",IF($J264="PQL","TBD",$J264/(Eqtn!$D$237*($C264+Eqtn!$D$238))))</f>
        <v>0</v>
      </c>
      <c r="L264" s="322"/>
      <c r="M264" s="1062"/>
    </row>
    <row r="265" spans="1:13" ht="13.9" customHeight="1" x14ac:dyDescent="0.25">
      <c r="A265" s="846">
        <f>Chem!A265</f>
        <v>263</v>
      </c>
      <c r="B265" s="931" t="str">
        <f>Chem!B265</f>
        <v>alpha-Endosulfan</v>
      </c>
      <c r="C265" s="924" t="str">
        <f>Param!J265</f>
        <v>na</v>
      </c>
      <c r="D265" s="219" t="str">
        <f>'SD-Det'!Z265</f>
        <v>na</v>
      </c>
      <c r="E265" s="2092" t="str">
        <f>IF(OR($C265="na",$D265="na"),"na",IF($D265="PQL","TBD",$D265/(Eqtn!$D$237*($C265+Eqtn!$D$238))))</f>
        <v>na</v>
      </c>
      <c r="F265" s="273" t="str">
        <f>'SD-Det'!P265</f>
        <v>na</v>
      </c>
      <c r="G265" s="728" t="str">
        <f>IF(OR($C265="na",$F265="na"),"na",IF($F265="PQL","TBD",$F265/(Eqtn!$D$237*($C265+Eqtn!$D$238))))</f>
        <v>na</v>
      </c>
      <c r="H265" s="711" t="str">
        <f>'SD-Det'!AR265</f>
        <v>na</v>
      </c>
      <c r="I265" s="711" t="str">
        <f>IF(OR($C265="na",$H265="na"),"na",IF($H265="PQL","TBD",$H265/(Eqtn!$D$237*($C265+Eqtn!$D$238))))</f>
        <v>na</v>
      </c>
      <c r="J265" s="711"/>
      <c r="K265" s="712" t="str">
        <f>IF(OR($C265="na",$J265="na"),"na",IF($J265="PQL","TBD",$J265/(Eqtn!$D$237*($C265+Eqtn!$D$238))))</f>
        <v>na</v>
      </c>
      <c r="L265" s="322"/>
      <c r="M265" s="1062"/>
    </row>
    <row r="266" spans="1:13" ht="13.9" customHeight="1" x14ac:dyDescent="0.25">
      <c r="A266" s="846">
        <f>Chem!A266</f>
        <v>264</v>
      </c>
      <c r="B266" s="931" t="str">
        <f>Chem!B266</f>
        <v>beta-Endosulfan</v>
      </c>
      <c r="C266" s="924" t="str">
        <f>Param!J266</f>
        <v>na</v>
      </c>
      <c r="D266" s="219" t="str">
        <f>'SD-Det'!Z266</f>
        <v>na</v>
      </c>
      <c r="E266" s="2092" t="str">
        <f>IF(OR($C266="na",$D266="na"),"na",IF($D266="PQL","TBD",$D266/(Eqtn!$D$237*($C266+Eqtn!$D$238))))</f>
        <v>na</v>
      </c>
      <c r="F266" s="273" t="str">
        <f>'SD-Det'!P266</f>
        <v>na</v>
      </c>
      <c r="G266" s="728" t="str">
        <f>IF(OR($C266="na",$F266="na"),"na",IF($F266="PQL","TBD",$F266/(Eqtn!$D$237*($C266+Eqtn!$D$238))))</f>
        <v>na</v>
      </c>
      <c r="H266" s="711" t="str">
        <f>'SD-Det'!AR266</f>
        <v>na</v>
      </c>
      <c r="I266" s="711" t="str">
        <f>IF(OR($C266="na",$H266="na"),"na",IF($H266="PQL","TBD",$H266/(Eqtn!$D$237*($C266+Eqtn!$D$238))))</f>
        <v>na</v>
      </c>
      <c r="J266" s="711"/>
      <c r="K266" s="712" t="str">
        <f>IF(OR($C266="na",$J266="na"),"na",IF($J266="PQL","TBD",$J266/(Eqtn!$D$237*($C266+Eqtn!$D$238))))</f>
        <v>na</v>
      </c>
      <c r="L266" s="322"/>
      <c r="M266" s="1062"/>
    </row>
    <row r="267" spans="1:13" ht="13.9" customHeight="1" x14ac:dyDescent="0.25">
      <c r="A267" s="846">
        <f>Chem!A267</f>
        <v>265</v>
      </c>
      <c r="B267" s="931" t="str">
        <f>Chem!B267</f>
        <v>Sum of alpha and beta endosuflan</v>
      </c>
      <c r="C267" s="924">
        <f>Param!J267</f>
        <v>38.76</v>
      </c>
      <c r="D267" s="219" t="str">
        <f>'SD-Det'!Z267</f>
        <v>na</v>
      </c>
      <c r="E267" s="2092" t="str">
        <f>IF(OR($C267="na",$D267="na"),"na",IF($D267="PQL","TBD",$D267/(Eqtn!$D$237*($C267+Eqtn!$D$238))))</f>
        <v>na</v>
      </c>
      <c r="F267" s="273" t="str">
        <f>'SD-Det'!P267</f>
        <v>na</v>
      </c>
      <c r="G267" s="728" t="str">
        <f>IF(OR($C267="na",$F267="na"),"na",IF($F267="PQL","TBD",$F267/(Eqtn!$D$237*($C267+Eqtn!$D$238))))</f>
        <v>na</v>
      </c>
      <c r="H267" s="711" t="str">
        <f>'SD-Det'!AR267</f>
        <v>na</v>
      </c>
      <c r="I267" s="711" t="str">
        <f>IF(OR($C267="na",$H267="na"),"na",IF($H267="PQL","TBD",$H267/(Eqtn!$D$237*($C267+Eqtn!$D$238))))</f>
        <v>na</v>
      </c>
      <c r="J267" s="711"/>
      <c r="K267" s="712">
        <f>IF(OR($C267="na",$J267="na"),"na",IF($J267="PQL","TBD",$J267/(Eqtn!$D$237*($C267+Eqtn!$D$238))))</f>
        <v>0</v>
      </c>
      <c r="L267" s="322"/>
      <c r="M267" s="1062"/>
    </row>
    <row r="268" spans="1:13" ht="13.9" customHeight="1" x14ac:dyDescent="0.25">
      <c r="A268" s="846">
        <f>Chem!A268</f>
        <v>266</v>
      </c>
      <c r="B268" s="931" t="str">
        <f>Chem!B268</f>
        <v>Endosulfan sulfate</v>
      </c>
      <c r="C268" s="924">
        <f>Param!J268</f>
        <v>187.09299999999999</v>
      </c>
      <c r="D268" s="219" t="str">
        <f>'SD-Det'!Z268</f>
        <v>na</v>
      </c>
      <c r="E268" s="2092" t="str">
        <f>IF(OR($C268="na",$D268="na"),"na",IF($D268="PQL","TBD",$D268/(Eqtn!$D$237*($C268+Eqtn!$D$238))))</f>
        <v>na</v>
      </c>
      <c r="F268" s="273" t="str">
        <f>'SD-Det'!P268</f>
        <v>na</v>
      </c>
      <c r="G268" s="728" t="str">
        <f>IF(OR($C268="na",$F268="na"),"na",IF($F268="PQL","TBD",$F268/(Eqtn!$D$237*($C268+Eqtn!$D$238))))</f>
        <v>na</v>
      </c>
      <c r="H268" s="711" t="str">
        <f>'SD-Det'!AR268</f>
        <v>na</v>
      </c>
      <c r="I268" s="711" t="str">
        <f>IF(OR($C268="na",$H268="na"),"na",IF($H268="PQL","TBD",$H268/(Eqtn!$D$237*($C268+Eqtn!$D$238))))</f>
        <v>na</v>
      </c>
      <c r="J268" s="711"/>
      <c r="K268" s="712">
        <f>IF(OR($C268="na",$J268="na"),"na",IF($J268="PQL","TBD",$J268/(Eqtn!$D$237*($C268+Eqtn!$D$238))))</f>
        <v>0</v>
      </c>
      <c r="L268" s="322"/>
      <c r="M268" s="1062"/>
    </row>
    <row r="269" spans="1:13" ht="13.9" customHeight="1" x14ac:dyDescent="0.25">
      <c r="A269" s="846">
        <f>Chem!A269</f>
        <v>267</v>
      </c>
      <c r="B269" s="931" t="str">
        <f>Chem!B269</f>
        <v>Sum of alpha, beta, and endosulfan sulfate</v>
      </c>
      <c r="C269" s="924" t="str">
        <f>Param!J269</f>
        <v>na</v>
      </c>
      <c r="D269" s="219" t="str">
        <f>'SD-Det'!Z269</f>
        <v>na</v>
      </c>
      <c r="E269" s="2092" t="str">
        <f>IF(OR($C269="na",$D269="na"),"na",IF($D269="PQL","TBD",$D269/(Eqtn!$D$237*($C269+Eqtn!$D$238))))</f>
        <v>na</v>
      </c>
      <c r="F269" s="273" t="str">
        <f>'SD-Det'!P269</f>
        <v>na</v>
      </c>
      <c r="G269" s="728" t="str">
        <f>IF(OR($C269="na",$F269="na"),"na",IF($F269="PQL","TBD",$F269/(Eqtn!$D$237*($C269+Eqtn!$D$238))))</f>
        <v>na</v>
      </c>
      <c r="H269" s="711" t="str">
        <f>'SD-Det'!AR269</f>
        <v>na</v>
      </c>
      <c r="I269" s="711" t="str">
        <f>IF(OR($C269="na",$H269="na"),"na",IF($H269="PQL","TBD",$H269/(Eqtn!$D$237*($C269+Eqtn!$D$238))))</f>
        <v>na</v>
      </c>
      <c r="J269" s="711"/>
      <c r="K269" s="712" t="str">
        <f>IF(OR($C269="na",$J269="na"),"na",IF($J269="PQL","TBD",$J269/(Eqtn!$D$237*($C269+Eqtn!$D$238))))</f>
        <v>na</v>
      </c>
      <c r="L269" s="322"/>
      <c r="M269" s="1062"/>
    </row>
    <row r="270" spans="1:13" ht="13.9" customHeight="1" x14ac:dyDescent="0.25">
      <c r="A270" s="846">
        <f>Chem!A270</f>
        <v>268</v>
      </c>
      <c r="B270" s="931" t="str">
        <f>Chem!B270</f>
        <v>Endrin</v>
      </c>
      <c r="C270" s="924">
        <f>Param!J270</f>
        <v>205.2</v>
      </c>
      <c r="D270" s="219" t="str">
        <f>'SD-Det'!Z270</f>
        <v>na</v>
      </c>
      <c r="E270" s="2092" t="str">
        <f>IF(OR($C270="na",$D270="na"),"na",IF($D270="PQL","TBD",$D270/(Eqtn!$D$237*($C270+Eqtn!$D$238))))</f>
        <v>na</v>
      </c>
      <c r="F270" s="273" t="str">
        <f>'SD-Det'!P270</f>
        <v>na</v>
      </c>
      <c r="G270" s="728" t="str">
        <f>IF(OR($C270="na",$F270="na"),"na",IF($F270="PQL","TBD",$F270/(Eqtn!$D$237*($C270+Eqtn!$D$238))))</f>
        <v>na</v>
      </c>
      <c r="H270" s="711" t="str">
        <f>'SD-Det'!AR270</f>
        <v>na</v>
      </c>
      <c r="I270" s="711" t="str">
        <f>IF(OR($C270="na",$H270="na"),"na",IF($H270="PQL","TBD",$H270/(Eqtn!$D$237*($C270+Eqtn!$D$238))))</f>
        <v>na</v>
      </c>
      <c r="J270" s="711"/>
      <c r="K270" s="712">
        <f>IF(OR($C270="na",$J270="na"),"na",IF($J270="PQL","TBD",$J270/(Eqtn!$D$237*($C270+Eqtn!$D$238))))</f>
        <v>0</v>
      </c>
      <c r="L270" s="322"/>
      <c r="M270" s="1062"/>
    </row>
    <row r="271" spans="1:13" ht="13.9" customHeight="1" x14ac:dyDescent="0.25">
      <c r="A271" s="846">
        <f>Chem!A271</f>
        <v>269</v>
      </c>
      <c r="B271" s="931" t="str">
        <f>Chem!B271</f>
        <v>Endrin aldehyde</v>
      </c>
      <c r="C271" s="924">
        <f>Param!J271</f>
        <v>62.129999999999995</v>
      </c>
      <c r="D271" s="219" t="str">
        <f>'SD-Det'!Z271</f>
        <v>na</v>
      </c>
      <c r="E271" s="2092" t="str">
        <f>IF(OR($C271="na",$D271="na"),"na",IF($D271="PQL","TBD",$D271/(Eqtn!$D$237*($C271+Eqtn!$D$238))))</f>
        <v>na</v>
      </c>
      <c r="F271" s="273" t="str">
        <f>'SD-Det'!P271</f>
        <v>na</v>
      </c>
      <c r="G271" s="728" t="str">
        <f>IF(OR($C271="na",$F271="na"),"na",IF($F271="PQL","TBD",$F271/(Eqtn!$D$237*($C271+Eqtn!$D$238))))</f>
        <v>na</v>
      </c>
      <c r="H271" s="711" t="str">
        <f>'SD-Det'!AR271</f>
        <v>na</v>
      </c>
      <c r="I271" s="711" t="str">
        <f>IF(OR($C271="na",$H271="na"),"na",IF($H271="PQL","TBD",$H271/(Eqtn!$D$237*($C271+Eqtn!$D$238))))</f>
        <v>na</v>
      </c>
      <c r="J271" s="711"/>
      <c r="K271" s="712">
        <f>IF(OR($C271="na",$J271="na"),"na",IF($J271="PQL","TBD",$J271/(Eqtn!$D$237*($C271+Eqtn!$D$238))))</f>
        <v>0</v>
      </c>
      <c r="L271" s="322"/>
      <c r="M271" s="1062"/>
    </row>
    <row r="272" spans="1:13" ht="13.9" customHeight="1" x14ac:dyDescent="0.25">
      <c r="A272" s="846">
        <f>Chem!A272</f>
        <v>270</v>
      </c>
      <c r="B272" s="931" t="str">
        <f>Chem!B272</f>
        <v>Endrin ketone</v>
      </c>
      <c r="C272" s="924" t="str">
        <f>Param!J272</f>
        <v>na</v>
      </c>
      <c r="D272" s="219" t="str">
        <f>'SD-Det'!Z272</f>
        <v>na</v>
      </c>
      <c r="E272" s="2092" t="str">
        <f>IF(OR($C272="na",$D272="na"),"na",IF($D272="PQL","TBD",$D272/(Eqtn!$D$237*($C272+Eqtn!$D$238))))</f>
        <v>na</v>
      </c>
      <c r="F272" s="273" t="str">
        <f>'SD-Det'!P272</f>
        <v>na</v>
      </c>
      <c r="G272" s="728" t="str">
        <f>IF(OR($C272="na",$F272="na"),"na",IF($F272="PQL","TBD",$F272/(Eqtn!$D$237*($C272+Eqtn!$D$238))))</f>
        <v>na</v>
      </c>
      <c r="H272" s="711" t="str">
        <f>'SD-Det'!AR272</f>
        <v>na</v>
      </c>
      <c r="I272" s="711" t="str">
        <f>IF(OR($C272="na",$H272="na"),"na",IF($H272="PQL","TBD",$H272/(Eqtn!$D$237*($C272+Eqtn!$D$238))))</f>
        <v>na</v>
      </c>
      <c r="J272" s="711"/>
      <c r="K272" s="712" t="str">
        <f>IF(OR($C272="na",$J272="na"),"na",IF($J272="PQL","TBD",$J272/(Eqtn!$D$237*($C272+Eqtn!$D$238))))</f>
        <v>na</v>
      </c>
      <c r="L272" s="322"/>
      <c r="M272" s="1062"/>
    </row>
    <row r="273" spans="1:13" ht="13.9" customHeight="1" x14ac:dyDescent="0.25">
      <c r="A273" s="846">
        <f>Chem!A273</f>
        <v>271</v>
      </c>
      <c r="B273" s="931" t="str">
        <f>Chem!B273</f>
        <v>Heptachlor</v>
      </c>
      <c r="C273" s="924">
        <f>Param!J273</f>
        <v>181.07</v>
      </c>
      <c r="D273" s="219">
        <f>'SD-Det'!Z273</f>
        <v>1E-4</v>
      </c>
      <c r="E273" s="2092">
        <f>IF(OR($C273="na",$D273="na"),"na",IF($D273="PQL","TBD",$D273/(Eqtn!$D$237*($C273+Eqtn!$D$238))))</f>
        <v>5.5043970418722731E-4</v>
      </c>
      <c r="F273" s="273">
        <f>'SD-Det'!P273</f>
        <v>1E-4</v>
      </c>
      <c r="G273" s="728">
        <f>IF(OR($C273="na",$F273="na"),"na",IF($F273="PQL","TBD",$F273/(Eqtn!$D$237*($C273+Eqtn!$D$238))))</f>
        <v>5.5043970418722731E-4</v>
      </c>
      <c r="H273" s="711" t="str">
        <f>'SD-Det'!AR273</f>
        <v>na</v>
      </c>
      <c r="I273" s="711" t="str">
        <f>IF(OR($C273="na",$H273="na"),"na",IF($H273="PQL","TBD",$H273/(Eqtn!$D$237*($C273+Eqtn!$D$238))))</f>
        <v>na</v>
      </c>
      <c r="J273" s="711"/>
      <c r="K273" s="712">
        <f>IF(OR($C273="na",$J273="na"),"na",IF($J273="PQL","TBD",$J273/(Eqtn!$D$237*($C273+Eqtn!$D$238))))</f>
        <v>0</v>
      </c>
      <c r="L273" s="322"/>
      <c r="M273" s="1062"/>
    </row>
    <row r="274" spans="1:13" ht="13.9" customHeight="1" x14ac:dyDescent="0.25">
      <c r="A274" s="846">
        <f>Chem!A274</f>
        <v>272</v>
      </c>
      <c r="B274" s="931" t="str">
        <f>Chem!B274</f>
        <v>Heptachlor epoxide</v>
      </c>
      <c r="C274" s="924">
        <f>Param!J274</f>
        <v>191.9</v>
      </c>
      <c r="D274" s="219">
        <f>'SD-Det'!Z274</f>
        <v>0.32040908310439559</v>
      </c>
      <c r="E274" s="2092">
        <f>IF(OR($C274="na",$D274="na"),"na",IF($D274="PQL","TBD",$D274/(Eqtn!$D$237*($C274+Eqtn!$D$238))))</f>
        <v>1.664437338703679</v>
      </c>
      <c r="F274" s="273">
        <f>'SD-Det'!P274</f>
        <v>3.1633333333333331</v>
      </c>
      <c r="G274" s="728">
        <f>IF(OR($C274="na",$F274="na"),"na",IF($F274="PQL","TBD",$F274/(Eqtn!$D$237*($C274+Eqtn!$D$238))))</f>
        <v>16.432649361099649</v>
      </c>
      <c r="H274" s="711" t="str">
        <f>'SD-Det'!AR274</f>
        <v>na</v>
      </c>
      <c r="I274" s="711" t="str">
        <f>IF(OR($C274="na",$H274="na"),"na",IF($H274="PQL","TBD",$H274/(Eqtn!$D$237*($C274+Eqtn!$D$238))))</f>
        <v>na</v>
      </c>
      <c r="J274" s="711"/>
      <c r="K274" s="712">
        <f>IF(OR($C274="na",$J274="na"),"na",IF($J274="PQL","TBD",$J274/(Eqtn!$D$237*($C274+Eqtn!$D$238))))</f>
        <v>0</v>
      </c>
      <c r="L274" s="322"/>
      <c r="M274" s="1062"/>
    </row>
    <row r="275" spans="1:13" ht="13.9" customHeight="1" x14ac:dyDescent="0.25">
      <c r="A275" s="846">
        <f>Chem!A275</f>
        <v>273</v>
      </c>
      <c r="B275" s="931" t="str">
        <f>Chem!B275</f>
        <v>Lindane (gamma-BHC)</v>
      </c>
      <c r="C275" s="924">
        <f>Param!J275</f>
        <v>25.65</v>
      </c>
      <c r="D275" s="219" t="str">
        <f>'SD-Det'!Z276</f>
        <v>na</v>
      </c>
      <c r="E275" s="2092" t="str">
        <f>IF(OR($C275="na",$D275="na"),"na",IF($D275="PQL","TBD",$D275/(Eqtn!$D$237*($C275+Eqtn!$D$238))))</f>
        <v>na</v>
      </c>
      <c r="F275" s="273" t="str">
        <f>'SD-Det'!P276</f>
        <v>na</v>
      </c>
      <c r="G275" s="728" t="str">
        <f>IF(OR($C275="na",$F275="na"),"na",IF($F275="PQL","TBD",$F275/(Eqtn!$D$237*($C275+Eqtn!$D$238))))</f>
        <v>na</v>
      </c>
      <c r="H275" s="711" t="str">
        <f>'SD-Det'!AR276</f>
        <v>na</v>
      </c>
      <c r="I275" s="711" t="str">
        <f>IF(OR($C275="na",$H275="na"),"na",IF($H275="PQL","TBD",$H275/(Eqtn!$D$237*($C275+Eqtn!$D$238))))</f>
        <v>na</v>
      </c>
      <c r="J275" s="711"/>
      <c r="K275" s="712">
        <f>IF(OR($C275="na",$J275="na"),"na",IF($J275="PQL","TBD",$J275/(Eqtn!$D$237*($C275+Eqtn!$D$238))))</f>
        <v>0</v>
      </c>
      <c r="L275" s="322"/>
      <c r="M275" s="1062"/>
    </row>
    <row r="276" spans="1:13" ht="13.9" customHeight="1" x14ac:dyDescent="0.25">
      <c r="A276" s="846">
        <f>Chem!A276</f>
        <v>274</v>
      </c>
      <c r="B276" s="931" t="str">
        <f>Chem!B276</f>
        <v>Malathion</v>
      </c>
      <c r="C276" s="924">
        <f>Param!J276</f>
        <v>0.59470000000000001</v>
      </c>
      <c r="D276" s="221" t="str">
        <f>'SD-Det'!Z276</f>
        <v>na</v>
      </c>
      <c r="E276" s="2092" t="str">
        <f>IF(OR($C276="na",$D276="na"),"na",IF($D276="PQL","TBD",$D276/(Eqtn!$D$237*($C276+Eqtn!$D$238))))</f>
        <v>na</v>
      </c>
      <c r="F276" s="273" t="str">
        <f>'SD-Det'!P276</f>
        <v>na</v>
      </c>
      <c r="G276" s="728" t="str">
        <f>IF(OR($C276="na",$F276="na"),"na",IF($F276="PQL","TBD",$F276/(Eqtn!$D$237*($C276+Eqtn!$D$238))))</f>
        <v>na</v>
      </c>
      <c r="H276" s="711" t="str">
        <f>'SD-Det'!AR276</f>
        <v>na</v>
      </c>
      <c r="I276" s="711" t="str">
        <f>IF(OR($C276="na",$H276="na"),"na",IF($H276="PQL","TBD",$H276/(Eqtn!$D$237*($C276+Eqtn!$D$238))))</f>
        <v>na</v>
      </c>
      <c r="J276" s="711"/>
      <c r="K276" s="712">
        <f>IF(OR($C276="na",$J276="na"),"na",IF($J276="PQL","TBD",$J276/(Eqtn!$D$237*($C276+Eqtn!$D$238))))</f>
        <v>0</v>
      </c>
      <c r="L276" s="322"/>
      <c r="M276" s="1062"/>
    </row>
    <row r="277" spans="1:13" ht="13.9" customHeight="1" x14ac:dyDescent="0.25">
      <c r="A277" s="846">
        <f>Chem!A277</f>
        <v>275</v>
      </c>
      <c r="B277" s="931" t="str">
        <f>Chem!B277</f>
        <v>Methoxychlor</v>
      </c>
      <c r="C277" s="924">
        <f>Param!J277</f>
        <v>1520</v>
      </c>
      <c r="D277" s="219" t="str">
        <f>'SD-Det'!Z277</f>
        <v>na</v>
      </c>
      <c r="E277" s="2092" t="str">
        <f>IF(OR($C277="na",$D277="na"),"na",IF($D277="PQL","TBD",$D277/(Eqtn!$D$237*($C277+Eqtn!$D$238))))</f>
        <v>na</v>
      </c>
      <c r="F277" s="273" t="str">
        <f>'SD-Det'!P277</f>
        <v>na</v>
      </c>
      <c r="G277" s="728" t="str">
        <f>IF(OR($C277="na",$F277="na"),"na",IF($F277="PQL","TBD",$F277/(Eqtn!$D$237*($C277+Eqtn!$D$238))))</f>
        <v>na</v>
      </c>
      <c r="H277" s="711" t="str">
        <f>'SD-Det'!AR277</f>
        <v>na</v>
      </c>
      <c r="I277" s="711" t="str">
        <f>IF(OR($C277="na",$H277="na"),"na",IF($H277="PQL","TBD",$H277/(Eqtn!$D$237*($C277+Eqtn!$D$238))))</f>
        <v>na</v>
      </c>
      <c r="J277" s="711"/>
      <c r="K277" s="712">
        <f>IF(OR($C277="na",$J277="na"),"na",IF($J277="PQL","TBD",$J277/(Eqtn!$D$237*($C277+Eqtn!$D$238))))</f>
        <v>0</v>
      </c>
      <c r="L277" s="322"/>
      <c r="M277" s="1062"/>
    </row>
    <row r="278" spans="1:13" ht="13.9" customHeight="1" x14ac:dyDescent="0.25">
      <c r="A278" s="846">
        <f>Chem!A278</f>
        <v>276</v>
      </c>
      <c r="B278" s="931" t="str">
        <f>Chem!B278</f>
        <v>Mirex</v>
      </c>
      <c r="C278" s="924">
        <f>Param!J278</f>
        <v>6783</v>
      </c>
      <c r="D278" s="221" t="str">
        <f>'SD-Det'!Z278</f>
        <v>na</v>
      </c>
      <c r="E278" s="2092" t="str">
        <f>IF(OR($C278="na",$D278="na"),"na",IF($D278="PQL","TBD",$D278/(Eqtn!$D$237*($C278+Eqtn!$D$238))))</f>
        <v>na</v>
      </c>
      <c r="F278" s="273" t="str">
        <f>'SD-Det'!P278</f>
        <v>na</v>
      </c>
      <c r="G278" s="728" t="str">
        <f>IF(OR($C278="na",$F278="na"),"na",IF($F278="PQL","TBD",$F278/(Eqtn!$D$237*($C278+Eqtn!$D$238))))</f>
        <v>na</v>
      </c>
      <c r="H278" s="711" t="str">
        <f>'SD-Det'!AR278</f>
        <v>na</v>
      </c>
      <c r="I278" s="711" t="str">
        <f>IF(OR($C278="na",$H278="na"),"na",IF($H278="PQL","TBD",$H278/(Eqtn!$D$237*($C278+Eqtn!$D$238))))</f>
        <v>na</v>
      </c>
      <c r="J278" s="711"/>
      <c r="K278" s="712">
        <f>IF(OR($C278="na",$J278="na"),"na",IF($J278="PQL","TBD",$J278/(Eqtn!$D$237*($C278+Eqtn!$D$238))))</f>
        <v>0</v>
      </c>
      <c r="L278" s="322"/>
      <c r="M278" s="1062"/>
    </row>
    <row r="279" spans="1:13" ht="13.9" customHeight="1" x14ac:dyDescent="0.25">
      <c r="A279" s="846">
        <f>Chem!A279</f>
        <v>277</v>
      </c>
      <c r="B279" s="931" t="str">
        <f>Chem!B279</f>
        <v>Nonachlor</v>
      </c>
      <c r="C279" s="924" t="str">
        <f>Param!J279</f>
        <v>na</v>
      </c>
      <c r="D279" s="221" t="str">
        <f>'SD-Det'!Z279</f>
        <v>na</v>
      </c>
      <c r="E279" s="2092" t="str">
        <f>IF(OR($C279="na",$D279="na"),"na",IF($D279="PQL","TBD",$D279/(Eqtn!$D$237*($C279+Eqtn!$D$238))))</f>
        <v>na</v>
      </c>
      <c r="F279" s="273" t="str">
        <f>'SD-Det'!P279</f>
        <v>na</v>
      </c>
      <c r="G279" s="728" t="str">
        <f>IF(OR($C279="na",$F279="na"),"na",IF($F279="PQL","TBD",$F279/(Eqtn!$D$237*($C279+Eqtn!$D$238))))</f>
        <v>na</v>
      </c>
      <c r="H279" s="711" t="str">
        <f>'SD-Det'!AR279</f>
        <v>na</v>
      </c>
      <c r="I279" s="711" t="str">
        <f>IF(OR($C279="na",$H279="na"),"na",IF($H279="PQL","TBD",$H279/(Eqtn!$D$237*($C279+Eqtn!$D$238))))</f>
        <v>na</v>
      </c>
      <c r="J279" s="711"/>
      <c r="K279" s="712" t="str">
        <f>IF(OR($C279="na",$J279="na"),"na",IF($J279="PQL","TBD",$J279/(Eqtn!$D$237*($C279+Eqtn!$D$238))))</f>
        <v>na</v>
      </c>
      <c r="L279" s="322"/>
      <c r="M279" s="1062"/>
    </row>
    <row r="280" spans="1:13" ht="13.9" customHeight="1" x14ac:dyDescent="0.25">
      <c r="A280" s="1661">
        <f>Chem!A280</f>
        <v>278</v>
      </c>
      <c r="B280" s="1177" t="str">
        <f>Chem!B280</f>
        <v>Toxaphene</v>
      </c>
      <c r="C280" s="928">
        <f>Param!J280</f>
        <v>1820.2</v>
      </c>
      <c r="D280" s="290" t="str">
        <f>'SD-Det'!Z280</f>
        <v>na</v>
      </c>
      <c r="E280" s="2100" t="str">
        <f>IF(OR($C280="na",$D280="na"),"na",IF($D280="PQL","TBD",$D280/(Eqtn!$D$237*($C280+Eqtn!$D$238))))</f>
        <v>na</v>
      </c>
      <c r="F280" s="732" t="str">
        <f>'SD-Det'!P280</f>
        <v>na</v>
      </c>
      <c r="G280" s="1178" t="str">
        <f>IF(OR($C280="na",$F280="na"),"na",IF($F280="PQL","TBD",$F280/(Eqtn!$D$237*($C280+Eqtn!$D$238))))</f>
        <v>na</v>
      </c>
      <c r="H280" s="1179" t="str">
        <f>'SD-Det'!AR280</f>
        <v>na</v>
      </c>
      <c r="I280" s="1179" t="str">
        <f>IF(OR($C280="na",$H280="na"),"na",IF($H280="PQL","TBD",$H280/(Eqtn!$D$237*($C280+Eqtn!$D$238))))</f>
        <v>na</v>
      </c>
      <c r="J280" s="1179"/>
      <c r="K280" s="1180">
        <f>IF(OR($C280="na",$J280="na"),"na",IF($J280="PQL","TBD",$J280/(Eqtn!$D$237*($C280+Eqtn!$D$238))))</f>
        <v>0</v>
      </c>
      <c r="L280" s="322"/>
      <c r="M280" s="1137"/>
    </row>
    <row r="281" spans="1:13" ht="13.9" customHeight="1" x14ac:dyDescent="0.25">
      <c r="A281" s="1198">
        <f>Chem!A281</f>
        <v>279</v>
      </c>
      <c r="B281" s="1181" t="str">
        <f>Chem!B281</f>
        <v>Herbicides</v>
      </c>
      <c r="C281" s="44"/>
      <c r="D281" s="2370"/>
      <c r="E281" s="44"/>
      <c r="F281" s="2370"/>
      <c r="G281" s="44"/>
      <c r="H281" s="44"/>
      <c r="I281" s="44"/>
      <c r="J281" s="44"/>
      <c r="K281" s="55"/>
      <c r="L281" s="322"/>
      <c r="M281" s="1063"/>
    </row>
    <row r="282" spans="1:13" ht="13.9" customHeight="1" x14ac:dyDescent="0.25">
      <c r="A282" s="846">
        <f>Chem!A282</f>
        <v>280</v>
      </c>
      <c r="B282" s="1700" t="str">
        <f>Chem!B282</f>
        <v>2,4-Dichlorophenoxyacetic acid (2,4-D)</v>
      </c>
      <c r="C282" s="924">
        <f>Param!J282</f>
        <v>0.56240000000000001</v>
      </c>
      <c r="D282" s="221" t="str">
        <f>'SD-Det'!Z282</f>
        <v>na</v>
      </c>
      <c r="E282" s="2092" t="str">
        <f>IF(OR($C282="na",$D282="na"),"na",IF($D282="PQL","TBD",$D282/(Eqtn!$D$237*($C282+Eqtn!$D$238))))</f>
        <v>na</v>
      </c>
      <c r="F282" s="273" t="str">
        <f>'SD-Det'!P282</f>
        <v>na</v>
      </c>
      <c r="G282" s="728" t="str">
        <f>IF(OR($C282="na",$F282="na"),"na",IF($F282="PQL","TBD",$F282/(Eqtn!$D$237*($C282+Eqtn!$D$238))))</f>
        <v>na</v>
      </c>
      <c r="H282" s="711" t="str">
        <f>'SD-Det'!AR282</f>
        <v>na</v>
      </c>
      <c r="I282" s="711" t="str">
        <f>IF(OR($C282="na",$H282="na"),"na",IF($H282="PQL","TBD",$H282/(Eqtn!$D$237*($C282+Eqtn!$D$238))))</f>
        <v>na</v>
      </c>
      <c r="J282" s="1237"/>
      <c r="K282" s="1235">
        <f>IF(OR($C282="na",$J282="na"),"na",IF($J282="PQL","TBD",$J282/(Eqtn!$D$237*($C282+Eqtn!$D$238))))</f>
        <v>0</v>
      </c>
      <c r="L282" s="322"/>
      <c r="M282" s="1062"/>
    </row>
    <row r="283" spans="1:13" ht="13.9" customHeight="1" x14ac:dyDescent="0.25">
      <c r="A283" s="846">
        <f>Chem!A283</f>
        <v>281</v>
      </c>
      <c r="B283" s="1591" t="str">
        <f>Chem!B283</f>
        <v>4-(2,4-Dichlorophenoxy)butanoic acid 2,4-DB</v>
      </c>
      <c r="C283" s="924" t="str">
        <f>Param!J283</f>
        <v>na</v>
      </c>
      <c r="D283" s="221" t="str">
        <f>'SD-Det'!Z283</f>
        <v>na</v>
      </c>
      <c r="E283" s="2092" t="str">
        <f>IF(OR($C283="na",$D283="na"),"na",IF($D283="PQL","TBD",$D283/(Eqtn!$D$237*($C283+Eqtn!$D$238))))</f>
        <v>na</v>
      </c>
      <c r="F283" s="273" t="str">
        <f>'SD-Det'!P283</f>
        <v>na</v>
      </c>
      <c r="G283" s="728" t="str">
        <f>IF(OR($C283="na",$F283="na"),"na",IF($F283="PQL","TBD",$F283/(Eqtn!$D$237*($C283+Eqtn!$D$238))))</f>
        <v>na</v>
      </c>
      <c r="H283" s="711" t="str">
        <f>'SD-Det'!AR283</f>
        <v>na</v>
      </c>
      <c r="I283" s="711" t="str">
        <f>IF(OR($C283="na",$H283="na"),"na",IF($H283="PQL","TBD",$H283/(Eqtn!$D$237*($C283+Eqtn!$D$238))))</f>
        <v>na</v>
      </c>
      <c r="J283" s="712"/>
      <c r="K283" s="1235" t="str">
        <f>IF(OR($C283="na",$J283="na"),"na",IF($J283="PQL","TBD",$J283/(Eqtn!$D$237*($C283+Eqtn!$D$238))))</f>
        <v>na</v>
      </c>
      <c r="L283" s="322"/>
      <c r="M283" s="1062"/>
    </row>
    <row r="284" spans="1:13" ht="13.9" customHeight="1" x14ac:dyDescent="0.25">
      <c r="A284" s="846">
        <f>Chem!A284</f>
        <v>282</v>
      </c>
      <c r="B284" s="1591" t="str">
        <f>Chem!B284</f>
        <v>2-(2,4,5-Trichlorophenoxy)propionic acid (2,4,5-TP)</v>
      </c>
      <c r="C284" s="924">
        <f>Param!J284</f>
        <v>3.3249999999999997</v>
      </c>
      <c r="D284" s="221" t="str">
        <f>'SD-Det'!Z284</f>
        <v>na</v>
      </c>
      <c r="E284" s="2092" t="str">
        <f>IF(OR($C284="na",$D284="na"),"na",IF($D284="PQL","TBD",$D284/(Eqtn!$D$237*($C284+Eqtn!$D$238))))</f>
        <v>na</v>
      </c>
      <c r="F284" s="273" t="str">
        <f>'SD-Det'!P284</f>
        <v>na</v>
      </c>
      <c r="G284" s="728" t="str">
        <f>IF(OR($C284="na",$F284="na"),"na",IF($F284="PQL","TBD",$F284/(Eqtn!$D$237*($C284+Eqtn!$D$238))))</f>
        <v>na</v>
      </c>
      <c r="H284" s="711" t="str">
        <f>'SD-Det'!AR284</f>
        <v>na</v>
      </c>
      <c r="I284" s="711" t="str">
        <f>IF(OR($C284="na",$H284="na"),"na",IF($H284="PQL","TBD",$H284/(Eqtn!$D$237*($C284+Eqtn!$D$238))))</f>
        <v>na</v>
      </c>
      <c r="J284" s="712"/>
      <c r="K284" s="1235">
        <f>IF(OR($C284="na",$J284="na"),"na",IF($J284="PQL","TBD",$J284/(Eqtn!$D$237*($C284+Eqtn!$D$238))))</f>
        <v>0</v>
      </c>
      <c r="L284" s="322"/>
      <c r="M284" s="1062"/>
    </row>
    <row r="285" spans="1:13" ht="13.9" customHeight="1" x14ac:dyDescent="0.25">
      <c r="A285" s="846">
        <f>Chem!A285</f>
        <v>283</v>
      </c>
      <c r="B285" s="1591" t="str">
        <f>Chem!B285</f>
        <v>2,4,5-Trichlorophenoxyacetic acid (2,4,5-T)</v>
      </c>
      <c r="C285" s="924">
        <f>Param!J285</f>
        <v>2.0329999999999999</v>
      </c>
      <c r="D285" s="221" t="str">
        <f>'SD-Det'!Z285</f>
        <v>na</v>
      </c>
      <c r="E285" s="2092" t="str">
        <f>IF(OR($C285="na",$D285="na"),"na",IF($D285="PQL","TBD",$D285/(Eqtn!$D$237*($C285+Eqtn!$D$238))))</f>
        <v>na</v>
      </c>
      <c r="F285" s="273" t="str">
        <f>'SD-Det'!P285</f>
        <v>na</v>
      </c>
      <c r="G285" s="728" t="str">
        <f>IF(OR($C285="na",$F285="na"),"na",IF($F285="PQL","TBD",$F285/(Eqtn!$D$237*($C285+Eqtn!$D$238))))</f>
        <v>na</v>
      </c>
      <c r="H285" s="711" t="str">
        <f>'SD-Det'!AR285</f>
        <v>na</v>
      </c>
      <c r="I285" s="711" t="str">
        <f>IF(OR($C285="na",$H285="na"),"na",IF($H285="PQL","TBD",$H285/(Eqtn!$D$237*($C285+Eqtn!$D$238))))</f>
        <v>na</v>
      </c>
      <c r="J285" s="712"/>
      <c r="K285" s="1235">
        <f>IF(OR($C285="na",$J285="na"),"na",IF($J285="PQL","TBD",$J285/(Eqtn!$D$237*($C285+Eqtn!$D$238))))</f>
        <v>0</v>
      </c>
      <c r="L285" s="322"/>
      <c r="M285" s="1062"/>
    </row>
    <row r="286" spans="1:13" ht="13.9" customHeight="1" x14ac:dyDescent="0.25">
      <c r="A286" s="846">
        <f>Chem!A286</f>
        <v>284</v>
      </c>
      <c r="B286" s="1591" t="str">
        <f>Chem!B286</f>
        <v>Dalapon</v>
      </c>
      <c r="C286" s="924">
        <f>Param!J286</f>
        <v>6.1370000000000001E-2</v>
      </c>
      <c r="D286" s="221" t="str">
        <f>'SD-Det'!Z286</f>
        <v>na</v>
      </c>
      <c r="E286" s="2092" t="str">
        <f>IF(OR($C286="na",$D286="na"),"na",IF($D286="PQL","TBD",$D286/(Eqtn!$D$237*($C286+Eqtn!$D$238))))</f>
        <v>na</v>
      </c>
      <c r="F286" s="273" t="str">
        <f>'SD-Det'!P286</f>
        <v>na</v>
      </c>
      <c r="G286" s="728" t="str">
        <f>IF(OR($C286="na",$F286="na"),"na",IF($F286="PQL","TBD",$F286/(Eqtn!$D$237*($C286+Eqtn!$D$238))))</f>
        <v>na</v>
      </c>
      <c r="H286" s="711" t="str">
        <f>'SD-Det'!AR286</f>
        <v>na</v>
      </c>
      <c r="I286" s="711" t="str">
        <f>IF(OR($C286="na",$H286="na"),"na",IF($H286="PQL","TBD",$H286/(Eqtn!$D$237*($C286+Eqtn!$D$238))))</f>
        <v>na</v>
      </c>
      <c r="J286" s="712"/>
      <c r="K286" s="1235">
        <f>IF(OR($C286="na",$J286="na"),"na",IF($J286="PQL","TBD",$J286/(Eqtn!$D$237*($C286+Eqtn!$D$238))))</f>
        <v>0</v>
      </c>
      <c r="L286" s="322"/>
      <c r="M286" s="1062"/>
    </row>
    <row r="287" spans="1:13" ht="13.9" customHeight="1" x14ac:dyDescent="0.25">
      <c r="A287" s="846">
        <f>Chem!A287</f>
        <v>285</v>
      </c>
      <c r="B287" s="1591" t="str">
        <f>Chem!B287</f>
        <v>Dicamba</v>
      </c>
      <c r="C287" s="924">
        <f>Param!J287</f>
        <v>0.55099999999999993</v>
      </c>
      <c r="D287" s="221" t="str">
        <f>'SD-Det'!Z287</f>
        <v>na</v>
      </c>
      <c r="E287" s="2092" t="str">
        <f>IF(OR($C287="na",$D287="na"),"na",IF($D287="PQL","TBD",$D287/(Eqtn!$D$237*($C287+Eqtn!$D$238))))</f>
        <v>na</v>
      </c>
      <c r="F287" s="273" t="str">
        <f>'SD-Det'!P287</f>
        <v>na</v>
      </c>
      <c r="G287" s="728" t="str">
        <f>IF(OR($C287="na",$F287="na"),"na",IF($F287="PQL","TBD",$F287/(Eqtn!$D$237*($C287+Eqtn!$D$238))))</f>
        <v>na</v>
      </c>
      <c r="H287" s="711" t="str">
        <f>'SD-Det'!AR287</f>
        <v>na</v>
      </c>
      <c r="I287" s="711" t="str">
        <f>IF(OR($C287="na",$H287="na"),"na",IF($H287="PQL","TBD",$H287/(Eqtn!$D$237*($C287+Eqtn!$D$238))))</f>
        <v>na</v>
      </c>
      <c r="J287" s="712"/>
      <c r="K287" s="1235">
        <f>IF(OR($C287="na",$J287="na"),"na",IF($J287="PQL","TBD",$J287/(Eqtn!$D$237*($C287+Eqtn!$D$238))))</f>
        <v>0</v>
      </c>
      <c r="L287" s="322"/>
      <c r="M287" s="1062"/>
    </row>
    <row r="288" spans="1:13" ht="13.9" customHeight="1" x14ac:dyDescent="0.25">
      <c r="A288" s="846">
        <f>Chem!A288</f>
        <v>286</v>
      </c>
      <c r="B288" s="1591" t="str">
        <f>Chem!B288</f>
        <v>Dichloroprop</v>
      </c>
      <c r="C288" s="924" t="str">
        <f>Param!J288</f>
        <v>na</v>
      </c>
      <c r="D288" s="221" t="str">
        <f>'SD-Det'!Z288</f>
        <v>na</v>
      </c>
      <c r="E288" s="2092" t="str">
        <f>IF(OR($C288="na",$D288="na"),"na",IF($D288="PQL","TBD",$D288/(Eqtn!$D$237*($C288+Eqtn!$D$238))))</f>
        <v>na</v>
      </c>
      <c r="F288" s="273" t="str">
        <f>'SD-Det'!P288</f>
        <v>na</v>
      </c>
      <c r="G288" s="728" t="str">
        <f>IF(OR($C288="na",$F288="na"),"na",IF($F288="PQL","TBD",$F288/(Eqtn!$D$237*($C288+Eqtn!$D$238))))</f>
        <v>na</v>
      </c>
      <c r="H288" s="711" t="str">
        <f>'SD-Det'!AR288</f>
        <v>na</v>
      </c>
      <c r="I288" s="711" t="str">
        <f>IF(OR($C288="na",$H288="na"),"na",IF($H288="PQL","TBD",$H288/(Eqtn!$D$237*($C288+Eqtn!$D$238))))</f>
        <v>na</v>
      </c>
      <c r="J288" s="712"/>
      <c r="K288" s="1235" t="str">
        <f>IF(OR($C288="na",$J288="na"),"na",IF($J288="PQL","TBD",$J288/(Eqtn!$D$237*($C288+Eqtn!$D$238))))</f>
        <v>na</v>
      </c>
      <c r="L288" s="322"/>
      <c r="M288" s="1062"/>
    </row>
    <row r="289" spans="1:13" ht="13.9" customHeight="1" x14ac:dyDescent="0.25">
      <c r="A289" s="846">
        <f>Chem!A289</f>
        <v>287</v>
      </c>
      <c r="B289" s="1591" t="str">
        <f>Chem!B289</f>
        <v>Dinoseb</v>
      </c>
      <c r="C289" s="924">
        <f>Param!J289</f>
        <v>81.509999999999991</v>
      </c>
      <c r="D289" s="221" t="str">
        <f>'SD-Det'!Z289</f>
        <v>na</v>
      </c>
      <c r="E289" s="2092" t="str">
        <f>IF(OR($C289="na",$D289="na"),"na",IF($D289="PQL","TBD",$D289/(Eqtn!$D$237*($C289+Eqtn!$D$238))))</f>
        <v>na</v>
      </c>
      <c r="F289" s="273" t="str">
        <f>'SD-Det'!P289</f>
        <v>na</v>
      </c>
      <c r="G289" s="728" t="str">
        <f>IF(OR($C289="na",$F289="na"),"na",IF($F289="PQL","TBD",$F289/(Eqtn!$D$237*($C289+Eqtn!$D$238))))</f>
        <v>na</v>
      </c>
      <c r="H289" s="711" t="str">
        <f>'SD-Det'!AR289</f>
        <v>na</v>
      </c>
      <c r="I289" s="711" t="str">
        <f>IF(OR($C289="na",$H289="na"),"na",IF($H289="PQL","TBD",$H289/(Eqtn!$D$237*($C289+Eqtn!$D$238))))</f>
        <v>na</v>
      </c>
      <c r="J289" s="712"/>
      <c r="K289" s="1235">
        <f>IF(OR($C289="na",$J289="na"),"na",IF($J289="PQL","TBD",$J289/(Eqtn!$D$237*($C289+Eqtn!$D$238))))</f>
        <v>0</v>
      </c>
      <c r="L289" s="322"/>
      <c r="M289" s="1062"/>
    </row>
    <row r="290" spans="1:13" ht="13.9" customHeight="1" x14ac:dyDescent="0.25">
      <c r="A290" s="846">
        <f>Chem!A290</f>
        <v>288</v>
      </c>
      <c r="B290" s="1591" t="str">
        <f>Chem!B290</f>
        <v>2-Methyl-4-chlorophenoxy acetic acid (MCPA)</v>
      </c>
      <c r="C290" s="924">
        <f>Param!J290</f>
        <v>0.56240000000000001</v>
      </c>
      <c r="D290" s="221" t="str">
        <f>'SD-Det'!Z290</f>
        <v>na</v>
      </c>
      <c r="E290" s="2092" t="str">
        <f>IF(OR($C290="na",$D290="na"),"na",IF($D290="PQL","TBD",$D290/(Eqtn!$D$237*($C290+Eqtn!$D$238))))</f>
        <v>na</v>
      </c>
      <c r="F290" s="273" t="str">
        <f>'SD-Det'!P290</f>
        <v>na</v>
      </c>
      <c r="G290" s="728" t="str">
        <f>IF(OR($C290="na",$F290="na"),"na",IF($F290="PQL","TBD",$F290/(Eqtn!$D$237*($C290+Eqtn!$D$238))))</f>
        <v>na</v>
      </c>
      <c r="H290" s="711" t="str">
        <f>'SD-Det'!AR290</f>
        <v>na</v>
      </c>
      <c r="I290" s="711" t="str">
        <f>IF(OR($C290="na",$H290="na"),"na",IF($H290="PQL","TBD",$H290/(Eqtn!$D$237*($C290+Eqtn!$D$238))))</f>
        <v>na</v>
      </c>
      <c r="J290" s="712"/>
      <c r="K290" s="1235">
        <f>IF(OR($C290="na",$J290="na"),"na",IF($J290="PQL","TBD",$J290/(Eqtn!$D$237*($C290+Eqtn!$D$238))))</f>
        <v>0</v>
      </c>
      <c r="L290" s="322"/>
      <c r="M290" s="1062"/>
    </row>
    <row r="291" spans="1:13" ht="13.9" customHeight="1" thickBot="1" x14ac:dyDescent="0.3">
      <c r="A291" s="1662">
        <f>Chem!A291</f>
        <v>289</v>
      </c>
      <c r="B291" s="1592" t="str">
        <f>Chem!B291</f>
        <v>(2-Methyl-4-chlorophenol)2-propionic acid (MCPP)</v>
      </c>
      <c r="C291" s="930">
        <f>Param!J291</f>
        <v>0.92149999999999999</v>
      </c>
      <c r="D291" s="265" t="str">
        <f>'SD-Det'!Z291</f>
        <v>na</v>
      </c>
      <c r="E291" s="2106" t="str">
        <f>IF(OR($C291="na",$D291="na"),"na",IF($D291="PQL","TBD",$D291/(Eqtn!$D$237*($C291+Eqtn!$D$238))))</f>
        <v>na</v>
      </c>
      <c r="F291" s="301" t="str">
        <f>'SD-Det'!P291</f>
        <v>na</v>
      </c>
      <c r="G291" s="733" t="str">
        <f>IF(OR($C291="na",$F291="na"),"na",IF($F291="PQL","TBD",$F291/(Eqtn!$D$237*($C291+Eqtn!$D$238))))</f>
        <v>na</v>
      </c>
      <c r="H291" s="719" t="str">
        <f>'SD-Det'!AR291</f>
        <v>na</v>
      </c>
      <c r="I291" s="719" t="str">
        <f>IF(OR($C291="na",$H291="na"),"na",IF($H291="PQL","TBD",$H291/(Eqtn!$D$237*($C291+Eqtn!$D$238))))</f>
        <v>na</v>
      </c>
      <c r="J291" s="720"/>
      <c r="K291" s="1236">
        <f>IF(OR($C291="na",$J291="na"),"na",IF($J291="PQL","TBD",$J291/(Eqtn!$D$237*($C291+Eqtn!$D$238))))</f>
        <v>0</v>
      </c>
      <c r="L291" s="322"/>
      <c r="M291" s="1065"/>
    </row>
    <row r="292" spans="1:13" ht="15.75" thickTop="1" x14ac:dyDescent="0.25">
      <c r="M292" s="968">
        <f>COUNTA(M4:M291)</f>
        <v>0</v>
      </c>
    </row>
  </sheetData>
  <autoFilter ref="A2:M291" xr:uid="{00000000-0009-0000-0000-00000F000000}"/>
  <printOptions horizontalCentered="1"/>
  <pageMargins left="0.7" right="0.7" top="0.75" bottom="0.75" header="0.3" footer="0.3"/>
  <pageSetup orientation="portrait" horizontalDpi="1200" verticalDpi="1200" r:id="rId1"/>
  <headerFooter scaleWithDoc="0">
    <oddHeader xml:space="preserve">&amp;R
</oddHeader>
    <oddFooter>&amp;R&amp;"Arial,Regular"&amp;9Page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M317"/>
  <sheetViews>
    <sheetView zoomScaleNormal="100" workbookViewId="0">
      <pane xSplit="2" ySplit="2" topLeftCell="C262" activePane="bottomRight" state="frozen"/>
      <selection pane="topRight" activeCell="B1" sqref="B1"/>
      <selection pane="bottomLeft" activeCell="A3" sqref="A3"/>
      <selection pane="bottomRight" activeCell="D267" sqref="D267"/>
    </sheetView>
  </sheetViews>
  <sheetFormatPr defaultColWidth="8.7109375" defaultRowHeight="13.9" customHeight="1" x14ac:dyDescent="0.25"/>
  <cols>
    <col min="1" max="1" width="6.140625" style="361" customWidth="1"/>
    <col min="2" max="2" width="34.140625" style="247" customWidth="1"/>
    <col min="3" max="3" width="9.5703125" style="247" customWidth="1"/>
    <col min="4" max="4" width="10.42578125" style="32" customWidth="1"/>
    <col min="5" max="5" width="12.5703125" style="32" customWidth="1"/>
    <col min="6" max="6" width="16.7109375" style="32" customWidth="1"/>
    <col min="7" max="7" width="11.7109375" style="32" customWidth="1"/>
    <col min="8" max="10" width="17.28515625" style="320" customWidth="1"/>
    <col min="11" max="11" width="24.140625" style="320" customWidth="1"/>
    <col min="12" max="12" width="4.7109375" style="32" customWidth="1"/>
    <col min="13" max="13" width="10.42578125" style="30" customWidth="1"/>
    <col min="14" max="16384" width="8.7109375" style="32"/>
  </cols>
  <sheetData>
    <row r="1" spans="1:13" ht="13.9" customHeight="1" thickBot="1" x14ac:dyDescent="0.3">
      <c r="B1" s="359" t="s">
        <v>1699</v>
      </c>
      <c r="C1" s="359"/>
      <c r="M1" s="1068"/>
    </row>
    <row r="2" spans="1:13" ht="75" thickTop="1" thickBot="1" x14ac:dyDescent="0.3">
      <c r="A2" s="1709" t="s">
        <v>445</v>
      </c>
      <c r="B2" s="1735" t="s">
        <v>0</v>
      </c>
      <c r="C2" s="1740" t="s">
        <v>1724</v>
      </c>
      <c r="D2" s="1738" t="s">
        <v>670</v>
      </c>
      <c r="E2" s="1738" t="s">
        <v>519</v>
      </c>
      <c r="F2" s="1738" t="s">
        <v>521</v>
      </c>
      <c r="G2" s="1738" t="s">
        <v>520</v>
      </c>
      <c r="H2" s="1727" t="s">
        <v>611</v>
      </c>
      <c r="I2" s="1738" t="s">
        <v>610</v>
      </c>
      <c r="J2" s="1727" t="s">
        <v>612</v>
      </c>
      <c r="K2" s="1743" t="s">
        <v>620</v>
      </c>
      <c r="M2" s="1724" t="s">
        <v>465</v>
      </c>
    </row>
    <row r="3" spans="1:13" ht="13.9" customHeight="1" thickTop="1" x14ac:dyDescent="0.25">
      <c r="A3" s="907">
        <f>Chem!A3</f>
        <v>1</v>
      </c>
      <c r="B3" s="943" t="str">
        <f>Chem!B3</f>
        <v>PCBs</v>
      </c>
      <c r="C3" s="966"/>
      <c r="D3" s="207"/>
      <c r="E3" s="207"/>
      <c r="F3" s="324"/>
      <c r="G3" s="125"/>
      <c r="H3" s="324"/>
      <c r="I3" s="1518"/>
      <c r="J3" s="1518"/>
      <c r="K3" s="1519"/>
      <c r="M3" s="1061"/>
    </row>
    <row r="4" spans="1:13" ht="13.9" customHeight="1" x14ac:dyDescent="0.25">
      <c r="A4" s="842">
        <f>Chem!A4</f>
        <v>2</v>
      </c>
      <c r="B4" s="941" t="str">
        <f>Chem!B4</f>
        <v>Total PCB Aroclors</v>
      </c>
      <c r="C4" s="1281" t="str">
        <f>Param!AF4</f>
        <v>no</v>
      </c>
      <c r="D4" s="393">
        <f>Param!M4</f>
        <v>1.6966475878986101E-2</v>
      </c>
      <c r="E4" s="627">
        <f>'AR-Det'!F4</f>
        <v>4.3859649122807015E-3</v>
      </c>
      <c r="F4" s="628" t="str">
        <f>IF(OR($C4="no",$D4="na",E4="na",$D4=0),"na",E4/($D4*Eqtn!$D$377))</f>
        <v>na</v>
      </c>
      <c r="G4" s="306">
        <f>'AR-Det'!J4</f>
        <v>4.3859649122807022E-2</v>
      </c>
      <c r="H4" s="1508" t="str">
        <f>IF(OR($C4="No",$D4="na",G4="na",$D4=0),"na",G4/($D4*Eqtn!$D$377))</f>
        <v>na</v>
      </c>
      <c r="I4" s="1516">
        <f>'AR-Det'!N4</f>
        <v>2.0491228070175432E-2</v>
      </c>
      <c r="J4" s="1534" t="str">
        <f>IF(OR($C4="No",$D4="na",I4="na",$D4=0),"na",I4/($D4*Eqtn!$D$377))</f>
        <v>na</v>
      </c>
      <c r="K4" s="1473" t="s">
        <v>232</v>
      </c>
      <c r="M4" s="1062"/>
    </row>
    <row r="5" spans="1:13" ht="13.9" customHeight="1" x14ac:dyDescent="0.25">
      <c r="A5" s="842">
        <f>Chem!A5</f>
        <v>3</v>
      </c>
      <c r="B5" s="941" t="str">
        <f>Chem!B5</f>
        <v>Total PCB congeners</v>
      </c>
      <c r="C5" s="1282" t="str">
        <f>Param!AF5</f>
        <v>no</v>
      </c>
      <c r="D5" s="343">
        <f>Param!M5</f>
        <v>1.6966475878986101E-2</v>
      </c>
      <c r="E5" s="627">
        <f>'AR-Det'!F5</f>
        <v>4.3859649122807015E-3</v>
      </c>
      <c r="F5" s="628" t="str">
        <f>IF(OR($C5="no",$D5="na",E5="na",$D5=0),"na",E5/($D5*Eqtn!$D$377))</f>
        <v>na</v>
      </c>
      <c r="G5" s="306">
        <f>'AR-Det'!J5</f>
        <v>4.3859649122807022E-2</v>
      </c>
      <c r="H5" s="1509" t="str">
        <f>IF(OR($C5="No",$D5="na",G5="na",$D5=0),"na",G5/($D5*Eqtn!$D$377))</f>
        <v>na</v>
      </c>
      <c r="I5" s="1513">
        <f>'AR-Det'!N5</f>
        <v>2.0491228070175432E-2</v>
      </c>
      <c r="J5" s="1509" t="str">
        <f>IF(OR($C5="No",$D5="na",I5="na",$D5=0),"na",I5/($D5*Eqtn!$D$377))</f>
        <v>na</v>
      </c>
      <c r="K5" s="734" t="s">
        <v>232</v>
      </c>
      <c r="M5" s="1062"/>
    </row>
    <row r="6" spans="1:13" ht="13.9" customHeight="1" x14ac:dyDescent="0.25">
      <c r="A6" s="842">
        <f>Chem!A6</f>
        <v>4</v>
      </c>
      <c r="B6" s="941" t="str">
        <f>Chem!B6</f>
        <v>Total PCB TEQ</v>
      </c>
      <c r="C6" s="1283" t="str">
        <f>Param!AF6</f>
        <v>no</v>
      </c>
      <c r="D6" s="533">
        <f>Param!M6</f>
        <v>1.6966475878986101E-2</v>
      </c>
      <c r="E6" s="627">
        <f>'AR-Det'!F6</f>
        <v>6.578947368421052E-8</v>
      </c>
      <c r="F6" s="628" t="str">
        <f>IF(OR($C6="no",$D6="na",E6="na",$D6=0),"na",E6/($D6*Eqtn!$D$377))</f>
        <v>na</v>
      </c>
      <c r="G6" s="306">
        <f>'AR-Det'!J6</f>
        <v>6.5789473684210528E-7</v>
      </c>
      <c r="H6" s="1509" t="str">
        <f>IF(OR($C6="No",$D6="na",G6="na",$D6=0),"na",G6/($D6*Eqtn!$D$377))</f>
        <v>na</v>
      </c>
      <c r="I6" s="1515">
        <f>'AR-Det'!N6</f>
        <v>3.0736842105263147E-7</v>
      </c>
      <c r="J6" s="1510" t="str">
        <f>IF(OR($C6="No",$D6="na",I6="na",$D6=0),"na",I6/($D6*Eqtn!$D$377))</f>
        <v>na</v>
      </c>
      <c r="K6" s="736" t="s">
        <v>232</v>
      </c>
      <c r="M6" s="1062"/>
    </row>
    <row r="7" spans="1:13" ht="13.9" customHeight="1" x14ac:dyDescent="0.25">
      <c r="A7" s="906">
        <f>Chem!A7</f>
        <v>5</v>
      </c>
      <c r="B7" s="943" t="str">
        <f>Chem!B7</f>
        <v xml:space="preserve">Dioxins/Furans </v>
      </c>
      <c r="C7" s="2345"/>
      <c r="D7" s="259"/>
      <c r="E7" s="127"/>
      <c r="F7" s="44"/>
      <c r="G7" s="127"/>
      <c r="H7" s="44"/>
      <c r="I7" s="44"/>
      <c r="J7" s="44"/>
      <c r="K7" s="55"/>
      <c r="M7" s="1063"/>
    </row>
    <row r="8" spans="1:13" ht="13.9" customHeight="1" x14ac:dyDescent="0.25">
      <c r="A8" s="844">
        <f>Chem!A8</f>
        <v>6</v>
      </c>
      <c r="B8" s="941" t="str">
        <f>Chem!B8</f>
        <v>Total dioxin/furan TEQ</v>
      </c>
      <c r="C8" s="1283" t="str">
        <f>Param!AF8</f>
        <v>no</v>
      </c>
      <c r="D8" s="546">
        <f>Param!M8</f>
        <v>2.04415372035977E-3</v>
      </c>
      <c r="E8" s="629">
        <f>'AR-Det'!F8</f>
        <v>6.578947368421052E-8</v>
      </c>
      <c r="F8" s="630" t="str">
        <f>IF(OR($C8="no",$D8="na",E8="na",$D8=0),"na",E8/($D8*Eqtn!$D$377))</f>
        <v>na</v>
      </c>
      <c r="G8" s="735">
        <f>'AR-Det'!J8</f>
        <v>6.5789473684210528E-7</v>
      </c>
      <c r="H8" s="1510" t="str">
        <f>IF(OR($C8="No",$D8="na",G8="na",$D8=0),"na",G8/($D8*Eqtn!$D$377))</f>
        <v>na</v>
      </c>
      <c r="I8" s="1516">
        <f>'AR-Det'!N8</f>
        <v>3.0736842105263147E-7</v>
      </c>
      <c r="J8" s="1534" t="str">
        <f>IF(OR($C8="No",$D8="na",I8="na",$D8=0),"na",I8/($D8*Eqtn!$D$377))</f>
        <v>na</v>
      </c>
      <c r="K8" s="1517" t="s">
        <v>232</v>
      </c>
      <c r="M8" s="1062"/>
    </row>
    <row r="9" spans="1:13" ht="13.9" customHeight="1" x14ac:dyDescent="0.25">
      <c r="A9" s="845">
        <f>Chem!A9</f>
        <v>7</v>
      </c>
      <c r="B9" s="941" t="str">
        <f>Chem!B9</f>
        <v>2,3,7,8-TCDD</v>
      </c>
      <c r="C9" s="1283" t="str">
        <f>Param!AF9</f>
        <v>no</v>
      </c>
      <c r="D9" s="546">
        <f>Param!M9</f>
        <v>2.04415372035977E-3</v>
      </c>
      <c r="E9" s="629">
        <f>'AR-Det'!F9</f>
        <v>6.578947368421052E-8</v>
      </c>
      <c r="F9" s="630" t="str">
        <f>IF(OR($C9="no",$D9="na",E9="na",$D9=0),"na",E9/($D9*Eqtn!$D$377))</f>
        <v>na</v>
      </c>
      <c r="G9" s="735">
        <f>'AR-Det'!J9</f>
        <v>6.5789473684210528E-7</v>
      </c>
      <c r="H9" s="1510" t="str">
        <f>IF(OR($C9="No",$D9="na",G9="na",$D9=0),"na",G9/($D9*Eqtn!$D$377))</f>
        <v>na</v>
      </c>
      <c r="I9" s="1513">
        <f>'AR-Det'!N9</f>
        <v>3.0736842105263147E-7</v>
      </c>
      <c r="J9" s="1509" t="str">
        <f>IF(OR($C9="No",$D9="na",I9="na",$D9=0),"na",I9/($D9*Eqtn!$D$377))</f>
        <v>na</v>
      </c>
      <c r="K9" s="734" t="s">
        <v>232</v>
      </c>
      <c r="M9" s="1062"/>
    </row>
    <row r="10" spans="1:13" s="361" customFormat="1" ht="13.9" customHeight="1" x14ac:dyDescent="0.2">
      <c r="A10" s="845">
        <f>Chem!A10</f>
        <v>8</v>
      </c>
      <c r="B10" s="941" t="str">
        <f>Chem!B10</f>
        <v>Total chlorinated dioxins</v>
      </c>
      <c r="C10" s="1282" t="str">
        <f>Param!AF10</f>
        <v>no</v>
      </c>
      <c r="D10" s="339">
        <f>Param!M10</f>
        <v>2.04415372035977E-3</v>
      </c>
      <c r="E10" s="582" t="str">
        <f>'AR-Det'!F10</f>
        <v>na</v>
      </c>
      <c r="F10" s="461" t="str">
        <f>IF(OR($C10="no",$D10="na",E10="na",$D10=0),"na",E10/($D10*Eqtn!$D$377))</f>
        <v>na</v>
      </c>
      <c r="G10" s="348" t="str">
        <f>'AR-Det'!J10</f>
        <v>na</v>
      </c>
      <c r="H10" s="1399" t="str">
        <f>IF(OR($C10="No",$D10="na",G10="na",$D10=0),"na",G10/($D10*Eqtn!$D$377))</f>
        <v>na</v>
      </c>
      <c r="I10" s="715" t="str">
        <f>'AR-Det'!N10</f>
        <v>na</v>
      </c>
      <c r="J10" s="1399" t="str">
        <f>IF(OR($C10="No",$D10="na",I10="na",$D10=0),"na",I10/($D10*Eqtn!$D$377))</f>
        <v>na</v>
      </c>
      <c r="K10" s="716" t="s">
        <v>232</v>
      </c>
      <c r="M10" s="1064"/>
    </row>
    <row r="11" spans="1:13" s="361" customFormat="1" ht="13.9" customHeight="1" x14ac:dyDescent="0.2">
      <c r="A11" s="845">
        <f>Chem!A11</f>
        <v>9</v>
      </c>
      <c r="B11" s="941" t="str">
        <f>Chem!B11</f>
        <v>Total chlorinated furans</v>
      </c>
      <c r="C11" s="1283" t="str">
        <f>Param!AF11</f>
        <v>no</v>
      </c>
      <c r="D11" s="391">
        <f>Param!M11</f>
        <v>2.04415372035977E-3</v>
      </c>
      <c r="E11" s="583" t="str">
        <f>'AR-Det'!F11</f>
        <v>na</v>
      </c>
      <c r="F11" s="579" t="str">
        <f>IF(OR($C11="no",$D11="na",E11="na",$D11=0),"na",E11/($D11*Eqtn!$D$377))</f>
        <v>na</v>
      </c>
      <c r="G11" s="737" t="str">
        <f>'AR-Det'!J11</f>
        <v>na</v>
      </c>
      <c r="H11" s="1400" t="str">
        <f>IF(OR($C11="No",$D11="na",G11="na",$D11=0),"na",G11/($D11*Eqtn!$D$377))</f>
        <v>na</v>
      </c>
      <c r="I11" s="717" t="str">
        <f>'AR-Det'!N11</f>
        <v>na</v>
      </c>
      <c r="J11" s="730" t="str">
        <f>IF(OR($C11="No",$D11="na",I11="na",$D11=0),"na",I11/($D11*Eqtn!$D$377))</f>
        <v>na</v>
      </c>
      <c r="K11" s="718" t="s">
        <v>232</v>
      </c>
      <c r="M11" s="1064"/>
    </row>
    <row r="12" spans="1:13" s="361" customFormat="1" ht="13.9" customHeight="1" x14ac:dyDescent="0.25">
      <c r="A12" s="906">
        <f>Chem!A12</f>
        <v>10</v>
      </c>
      <c r="B12" s="943" t="str">
        <f>Chem!B12</f>
        <v>Inorganics</v>
      </c>
      <c r="C12" s="2345"/>
      <c r="D12" s="259"/>
      <c r="E12" s="127"/>
      <c r="F12" s="44"/>
      <c r="G12" s="127"/>
      <c r="H12" s="44"/>
      <c r="I12" s="44"/>
      <c r="J12" s="44"/>
      <c r="K12" s="55"/>
      <c r="L12" s="32"/>
      <c r="M12" s="1063"/>
    </row>
    <row r="13" spans="1:13" s="361" customFormat="1" ht="13.9" customHeight="1" x14ac:dyDescent="0.25">
      <c r="A13" s="1986">
        <f>Chem!A13</f>
        <v>11</v>
      </c>
      <c r="B13" s="1548" t="str">
        <f>Chem!B13</f>
        <v>Ammonia</v>
      </c>
      <c r="C13" s="1291" t="str">
        <f>Param!AF13</f>
        <v>no</v>
      </c>
      <c r="D13" s="1801">
        <f>Param!M13</f>
        <v>4.8070209917321235E-4</v>
      </c>
      <c r="E13" s="691">
        <f>'AR-Det'!F13</f>
        <v>228.57142857142856</v>
      </c>
      <c r="F13" s="1564" t="str">
        <f>IF(OR($C13="no",$D13="na",E13="na",$D13=0),"na",E13/($D13*Eqtn!$D$377))</f>
        <v>na</v>
      </c>
      <c r="G13" s="822">
        <f>'AR-Det'!J13</f>
        <v>500</v>
      </c>
      <c r="H13" s="1440" t="str">
        <f>IF(OR($C13="No",$D13="na",G13="na",$D13=0),"na",G13/($D13*Eqtn!$D$377))</f>
        <v>na</v>
      </c>
      <c r="I13" s="1440">
        <f>'AR-Det'!N13</f>
        <v>1946.6666666666663</v>
      </c>
      <c r="J13" s="1440" t="str">
        <f>IF(OR($C13="No",$D13="na",I13="na",$D13=0),"na",I13/($D13*Eqtn!$D$377))</f>
        <v>na</v>
      </c>
      <c r="K13" s="1398" t="s">
        <v>232</v>
      </c>
      <c r="L13" s="32"/>
      <c r="M13" s="1062"/>
    </row>
    <row r="14" spans="1:13" s="361" customFormat="1" ht="13.9" customHeight="1" x14ac:dyDescent="0.25">
      <c r="A14" s="1321">
        <f>Chem!A14</f>
        <v>12</v>
      </c>
      <c r="B14" s="941" t="str">
        <f>Chem!B14</f>
        <v>Chloride</v>
      </c>
      <c r="C14" s="1292" t="str">
        <f>Param!AF14</f>
        <v>no</v>
      </c>
      <c r="D14" s="339">
        <f>Param!M14</f>
        <v>0</v>
      </c>
      <c r="E14" s="582" t="str">
        <f>'AR-Det'!F14</f>
        <v>na</v>
      </c>
      <c r="F14" s="461" t="str">
        <f>IF(OR($C14="no",$D14="na",E14="na",$D14=0),"na",E14/($D14*Eqtn!$D$377))</f>
        <v>na</v>
      </c>
      <c r="G14" s="348" t="str">
        <f>'AR-Det'!J14</f>
        <v>na</v>
      </c>
      <c r="H14" s="715" t="str">
        <f>IF(OR($C14="No",$D14="na",G14="na",$D14=0),"na",G14/($D14*Eqtn!$D$377))</f>
        <v>na</v>
      </c>
      <c r="I14" s="715" t="str">
        <f>'AR-Det'!N14</f>
        <v>na</v>
      </c>
      <c r="J14" s="715" t="str">
        <f>IF(OR($C14="No",$D14="na",I14="na",$D14=0),"na",I14/($D14*Eqtn!$D$377))</f>
        <v>na</v>
      </c>
      <c r="K14" s="716" t="s">
        <v>232</v>
      </c>
      <c r="L14" s="32"/>
      <c r="M14" s="1062"/>
    </row>
    <row r="15" spans="1:13" s="361" customFormat="1" ht="13.9" customHeight="1" x14ac:dyDescent="0.2">
      <c r="A15" s="843">
        <f>Chem!A15</f>
        <v>13</v>
      </c>
      <c r="B15" s="940" t="str">
        <f>Chem!B15</f>
        <v>Cyanide (multiple forms, see notes)</v>
      </c>
      <c r="C15" s="2084" t="str">
        <f>Param!AF15</f>
        <v>no</v>
      </c>
      <c r="D15" s="2085">
        <f>Param!M15</f>
        <v>4.15E-3</v>
      </c>
      <c r="E15" s="2086">
        <f>'AR-Det'!F15</f>
        <v>0.36571428571428571</v>
      </c>
      <c r="F15" s="2087" t="str">
        <f>IF(OR($C15="no",$D15="na",E15="na",$D15=0),"na",E15/($D15*Eqtn!$D$377))</f>
        <v>na</v>
      </c>
      <c r="G15" s="2088">
        <f>'AR-Det'!J15</f>
        <v>0.79999999999999993</v>
      </c>
      <c r="H15" s="2089" t="str">
        <f>IF(OR($C15="No",$D15="na",G15="na",$D15=0),"na",G15/($D15*Eqtn!$D$377))</f>
        <v>na</v>
      </c>
      <c r="I15" s="1516">
        <f>'AR-Det'!N15</f>
        <v>3.114666666666666</v>
      </c>
      <c r="J15" s="1534" t="str">
        <f>IF(OR($C15="No",$D15="na",I15="na",$D15=0),"na",I15/($D15*Eqtn!$D$377))</f>
        <v>na</v>
      </c>
      <c r="K15" s="1517" t="s">
        <v>232</v>
      </c>
      <c r="M15" s="1064"/>
    </row>
    <row r="16" spans="1:13" s="361" customFormat="1" ht="13.9" customHeight="1" x14ac:dyDescent="0.2">
      <c r="A16" s="843">
        <f>Chem!A16</f>
        <v>14</v>
      </c>
      <c r="B16" s="941" t="str">
        <f>Chem!B16</f>
        <v>Fluoride</v>
      </c>
      <c r="C16" s="1283" t="str">
        <f>Param!AF16</f>
        <v>no</v>
      </c>
      <c r="D16" s="546">
        <f>Param!M16</f>
        <v>0</v>
      </c>
      <c r="E16" s="629">
        <f>'AR-Det'!F16</f>
        <v>5.9428571428571431</v>
      </c>
      <c r="F16" s="630" t="str">
        <f>IF(OR($C16="no",$D16="na",E16="na",$D16=0),"na",E16/($D16*Eqtn!$D$377))</f>
        <v>na</v>
      </c>
      <c r="G16" s="735">
        <f>'AR-Det'!J16</f>
        <v>13</v>
      </c>
      <c r="H16" s="1510" t="str">
        <f>IF(OR($C16="No",$D16="na",G16="na",$D16=0),"na",G16/($D16*Eqtn!$D$377))</f>
        <v>na</v>
      </c>
      <c r="I16" s="1516">
        <f>'AR-Det'!N16</f>
        <v>50.613333333333323</v>
      </c>
      <c r="J16" s="1534" t="str">
        <f>IF(OR($C16="No",$D16="na",I16="na",$D16=0),"na",I16/($D16*Eqtn!$D$377))</f>
        <v>na</v>
      </c>
      <c r="K16" s="1473" t="s">
        <v>232</v>
      </c>
      <c r="M16" s="1064"/>
    </row>
    <row r="17" spans="1:13" s="361" customFormat="1" ht="13.9" customHeight="1" x14ac:dyDescent="0.2">
      <c r="A17" s="1069">
        <f>Chem!A17</f>
        <v>15</v>
      </c>
      <c r="B17" s="941" t="str">
        <f>Chem!B17</f>
        <v>Nitrate</v>
      </c>
      <c r="C17" s="1283" t="str">
        <f>Param!AF17</f>
        <v>no</v>
      </c>
      <c r="D17" s="546">
        <f>Param!M17</f>
        <v>0</v>
      </c>
      <c r="E17" s="629" t="str">
        <f>'AR-Det'!F17</f>
        <v>na</v>
      </c>
      <c r="F17" s="630" t="str">
        <f>IF(OR($C17="no",$D17="na",E17="na",$D17=0),"na",E17/($D17*Eqtn!$D$377))</f>
        <v>na</v>
      </c>
      <c r="G17" s="735" t="str">
        <f>'AR-Det'!J17</f>
        <v>na</v>
      </c>
      <c r="H17" s="1510" t="str">
        <f>IF(OR($C17="No",$D17="na",G17="na",$D17=0),"na",G17/($D17*Eqtn!$D$377))</f>
        <v>na</v>
      </c>
      <c r="I17" s="1513" t="str">
        <f>'AR-Det'!N17</f>
        <v>na</v>
      </c>
      <c r="J17" s="1509" t="str">
        <f>IF(OR($C17="No",$D17="na",I17="na",$D17=0),"na",I17/($D17*Eqtn!$D$377))</f>
        <v>na</v>
      </c>
      <c r="K17" s="734" t="s">
        <v>232</v>
      </c>
      <c r="M17" s="1064"/>
    </row>
    <row r="18" spans="1:13" s="361" customFormat="1" ht="13.9" customHeight="1" x14ac:dyDescent="0.2">
      <c r="A18" s="844">
        <f>Chem!A18</f>
        <v>16</v>
      </c>
      <c r="B18" s="941" t="str">
        <f>Chem!B18</f>
        <v>Nitrite</v>
      </c>
      <c r="C18" s="1283" t="str">
        <f>Param!AF18</f>
        <v>no</v>
      </c>
      <c r="D18" s="546">
        <f>Param!M18</f>
        <v>0</v>
      </c>
      <c r="E18" s="629" t="str">
        <f>'AR-Det'!F18</f>
        <v>na</v>
      </c>
      <c r="F18" s="630" t="str">
        <f>IF(OR($C18="no",$D18="na",E18="na",$D18=0),"na",E18/($D18*Eqtn!$D$377))</f>
        <v>na</v>
      </c>
      <c r="G18" s="735" t="str">
        <f>'AR-Det'!J18</f>
        <v>na</v>
      </c>
      <c r="H18" s="1510" t="str">
        <f>IF(OR($C18="No",$D18="na",G18="na",$D18=0),"na",G18/($D18*Eqtn!$D$377))</f>
        <v>na</v>
      </c>
      <c r="I18" s="1513" t="str">
        <f>'AR-Det'!N18</f>
        <v>na</v>
      </c>
      <c r="J18" s="1509" t="str">
        <f>IF(OR($C18="No",$D18="na",I18="na",$D18=0),"na",I18/($D18*Eqtn!$D$377))</f>
        <v>na</v>
      </c>
      <c r="K18" s="734" t="s">
        <v>232</v>
      </c>
      <c r="M18" s="1064"/>
    </row>
    <row r="19" spans="1:13" s="361" customFormat="1" ht="13.9" customHeight="1" x14ac:dyDescent="0.2">
      <c r="A19" s="1321">
        <f>Chem!A19</f>
        <v>17</v>
      </c>
      <c r="B19" s="941" t="str">
        <f>Chem!B19</f>
        <v>Sulfate</v>
      </c>
      <c r="C19" s="1292" t="str">
        <f>Param!AF19</f>
        <v>no</v>
      </c>
      <c r="D19" s="339">
        <f>Param!M19</f>
        <v>0</v>
      </c>
      <c r="E19" s="627" t="str">
        <f>'AR-Det'!F19</f>
        <v>na</v>
      </c>
      <c r="F19" s="1344" t="str">
        <f>IF(OR($C19="no",$D19="na",E19="na",$D19=0),"na",E19/($D19*Eqtn!$D$377))</f>
        <v>na</v>
      </c>
      <c r="G19" s="306" t="str">
        <f>'AR-Det'!J19</f>
        <v>na</v>
      </c>
      <c r="H19" s="1509" t="str">
        <f>IF(OR($C19="No",$D19="na",G19="na",$D19=0),"na",G19/($D19*Eqtn!$D$377))</f>
        <v>na</v>
      </c>
      <c r="I19" s="1513" t="str">
        <f>'AR-Det'!N19</f>
        <v>na</v>
      </c>
      <c r="J19" s="1509" t="str">
        <f>IF(OR($C19="No",$D19="na",I19="na",$D19=0),"na",I19/($D19*Eqtn!$D$377))</f>
        <v>na</v>
      </c>
      <c r="K19" s="734" t="s">
        <v>232</v>
      </c>
      <c r="M19" s="1064"/>
    </row>
    <row r="20" spans="1:13" s="361" customFormat="1" ht="13.9" customHeight="1" x14ac:dyDescent="0.2">
      <c r="A20" s="1322">
        <f>Chem!A20</f>
        <v>18</v>
      </c>
      <c r="B20" s="1148" t="str">
        <f>Chem!B20</f>
        <v>Sulfide</v>
      </c>
      <c r="C20" s="1296" t="str">
        <f>Param!AF20</f>
        <v>no</v>
      </c>
      <c r="D20" s="391">
        <f>Param!M20</f>
        <v>0</v>
      </c>
      <c r="E20" s="1345" t="str">
        <f>'AR-Det'!F20</f>
        <v>na</v>
      </c>
      <c r="F20" s="1346" t="str">
        <f>IF(OR($C20="no",$D20="na",E20="na",$D20=0),"na",E20/($D20*Eqtn!$D$377))</f>
        <v>na</v>
      </c>
      <c r="G20" s="1347" t="str">
        <f>'AR-Det'!J20</f>
        <v>na</v>
      </c>
      <c r="H20" s="1511" t="str">
        <f>IF(OR($C20="No",$D20="na",G20="na",$D20=0),"na",G20/($D20*Eqtn!$D$377))</f>
        <v>na</v>
      </c>
      <c r="I20" s="1515" t="str">
        <f>'AR-Det'!N20</f>
        <v>na</v>
      </c>
      <c r="J20" s="1510" t="str">
        <f>IF(OR($C20="No",$D20="na",I20="na",$D20=0),"na",I20/($D20*Eqtn!$D$377))</f>
        <v>na</v>
      </c>
      <c r="K20" s="736" t="s">
        <v>232</v>
      </c>
      <c r="M20" s="1064"/>
    </row>
    <row r="21" spans="1:13" ht="13.9" customHeight="1" x14ac:dyDescent="0.25">
      <c r="A21" s="906">
        <f>Chem!A21</f>
        <v>19</v>
      </c>
      <c r="B21" s="943" t="str">
        <f>Chem!B21</f>
        <v>Metals</v>
      </c>
      <c r="C21" s="2345"/>
      <c r="D21" s="259"/>
      <c r="E21" s="127"/>
      <c r="F21" s="44"/>
      <c r="G21" s="127"/>
      <c r="H21" s="44"/>
      <c r="I21" s="44"/>
      <c r="J21" s="44"/>
      <c r="K21" s="55"/>
      <c r="M21" s="1063"/>
    </row>
    <row r="22" spans="1:13" ht="13.9" customHeight="1" x14ac:dyDescent="0.25">
      <c r="A22" s="846">
        <f>Chem!A22</f>
        <v>20</v>
      </c>
      <c r="B22" s="941" t="str">
        <f>Chem!B22</f>
        <v>Aluminum</v>
      </c>
      <c r="C22" s="1284" t="str">
        <f>Param!AF22</f>
        <v>no</v>
      </c>
      <c r="D22" s="393">
        <f>Param!M22</f>
        <v>0</v>
      </c>
      <c r="E22" s="627">
        <f>'AR-Det'!F22</f>
        <v>2.2857142857142856</v>
      </c>
      <c r="F22" s="628" t="str">
        <f>IF(OR($C22="no",$D22="na",E22="na",$D22=0),"na",E22/($D22*Eqtn!$D$377))</f>
        <v>na</v>
      </c>
      <c r="G22" s="306">
        <f>'AR-Det'!J22</f>
        <v>5</v>
      </c>
      <c r="H22" s="1509" t="str">
        <f>IF(OR($C22="No",$D22="na",G22="na",$D22=0),"na",G22/($D22*Eqtn!$D$377))</f>
        <v>na</v>
      </c>
      <c r="I22" s="1516">
        <f>'AR-Det'!N22</f>
        <v>19.466666666666661</v>
      </c>
      <c r="J22" s="1534" t="str">
        <f>IF(OR($C22="No",$D22="na",I22="na",$D22=0),"na",I22/($D22*Eqtn!$D$377))</f>
        <v>na</v>
      </c>
      <c r="K22" s="1517" t="s">
        <v>232</v>
      </c>
      <c r="M22" s="1062"/>
    </row>
    <row r="23" spans="1:13" ht="13.9" customHeight="1" x14ac:dyDescent="0.25">
      <c r="A23" s="847">
        <f>Chem!A23</f>
        <v>21</v>
      </c>
      <c r="B23" s="941" t="str">
        <f>Chem!B23</f>
        <v>Antimony</v>
      </c>
      <c r="C23" s="1282" t="str">
        <f>Param!AF23</f>
        <v>no</v>
      </c>
      <c r="D23" s="343">
        <f>Param!M23</f>
        <v>0</v>
      </c>
      <c r="E23" s="627">
        <f>'AR-Det'!F23</f>
        <v>0.13714285714285712</v>
      </c>
      <c r="F23" s="628" t="str">
        <f>IF(OR($C23="no",$D23="na",E23="na",$D23=0),"na",E23/($D23*Eqtn!$D$377))</f>
        <v>na</v>
      </c>
      <c r="G23" s="306">
        <f>'AR-Det'!J23</f>
        <v>0.29999999999999993</v>
      </c>
      <c r="H23" s="1509" t="str">
        <f>IF(OR($C23="No",$D23="na",G23="na",$D23=0),"na",G23/($D23*Eqtn!$D$377))</f>
        <v>na</v>
      </c>
      <c r="I23" s="1513">
        <f>'AR-Det'!N23</f>
        <v>1.1679999999999995</v>
      </c>
      <c r="J23" s="1509" t="str">
        <f>IF(OR($C23="No",$D23="na",I23="na",$D23=0),"na",I23/($D23*Eqtn!$D$377))</f>
        <v>na</v>
      </c>
      <c r="K23" s="734" t="s">
        <v>232</v>
      </c>
      <c r="M23" s="1062"/>
    </row>
    <row r="24" spans="1:13" ht="13.9" customHeight="1" x14ac:dyDescent="0.25">
      <c r="A24" s="847">
        <f>Chem!A24</f>
        <v>22</v>
      </c>
      <c r="B24" s="941" t="str">
        <f>Chem!B24</f>
        <v>Arsenic</v>
      </c>
      <c r="C24" s="1282" t="str">
        <f>Param!AF24</f>
        <v>no</v>
      </c>
      <c r="D24" s="343">
        <f>Param!M24</f>
        <v>0</v>
      </c>
      <c r="E24" s="602">
        <f>'AR-Det'!F24</f>
        <v>5.8139534883720919E-4</v>
      </c>
      <c r="F24" s="628" t="str">
        <f>IF(OR($C24="no",$D24="na",E24="na",$D24=0),"na",E24/($D24*Eqtn!$D$377))</f>
        <v>na</v>
      </c>
      <c r="G24" s="17">
        <f>'AR-Det'!J24</f>
        <v>5.8139534883720929E-3</v>
      </c>
      <c r="H24" s="1509" t="str">
        <f>IF(OR($C24="No",$D24="na",G24="na",$D24=0),"na",G24/($D24*Eqtn!$D$377))</f>
        <v>na</v>
      </c>
      <c r="I24" s="1513">
        <f>'AR-Det'!N24</f>
        <v>2.7162790697674404E-3</v>
      </c>
      <c r="J24" s="1509" t="str">
        <f>IF(OR($C24="No",$D24="na",I24="na",$D24=0),"na",I24/($D24*Eqtn!$D$377))</f>
        <v>na</v>
      </c>
      <c r="K24" s="734" t="s">
        <v>232</v>
      </c>
      <c r="M24" s="1062"/>
    </row>
    <row r="25" spans="1:13" ht="13.9" customHeight="1" x14ac:dyDescent="0.25">
      <c r="A25" s="847">
        <f>Chem!A25</f>
        <v>23</v>
      </c>
      <c r="B25" s="941" t="str">
        <f>Chem!B25</f>
        <v>Barium</v>
      </c>
      <c r="C25" s="1282" t="str">
        <f>Param!AF25</f>
        <v>no</v>
      </c>
      <c r="D25" s="343">
        <f>Param!M25</f>
        <v>0</v>
      </c>
      <c r="E25" s="627">
        <f>'AR-Det'!F25</f>
        <v>0.22857142857142859</v>
      </c>
      <c r="F25" s="628" t="str">
        <f>IF(OR($C25="no",$D25="na",E25="na",$D25=0),"na",E25/($D25*Eqtn!$D$377))</f>
        <v>na</v>
      </c>
      <c r="G25" s="306">
        <f>'AR-Det'!J25</f>
        <v>0.5</v>
      </c>
      <c r="H25" s="1509" t="str">
        <f>IF(OR($C25="No",$D25="na",G25="na",$D25=0),"na",G25/($D25*Eqtn!$D$377))</f>
        <v>na</v>
      </c>
      <c r="I25" s="1513">
        <f>'AR-Det'!N25</f>
        <v>1.9466666666666665</v>
      </c>
      <c r="J25" s="1509" t="str">
        <f>IF(OR($C25="No",$D25="na",I25="na",$D25=0),"na",I25/($D25*Eqtn!$D$377))</f>
        <v>na</v>
      </c>
      <c r="K25" s="734" t="s">
        <v>232</v>
      </c>
      <c r="M25" s="1062"/>
    </row>
    <row r="26" spans="1:13" ht="13.9" customHeight="1" x14ac:dyDescent="0.25">
      <c r="A26" s="847">
        <f>Chem!A26</f>
        <v>24</v>
      </c>
      <c r="B26" s="941" t="str">
        <f>Chem!B26</f>
        <v>Beryllium</v>
      </c>
      <c r="C26" s="1282" t="str">
        <f>Param!AF26</f>
        <v>no</v>
      </c>
      <c r="D26" s="343">
        <f>Param!M26</f>
        <v>0</v>
      </c>
      <c r="E26" s="602">
        <f>'AR-Det'!F26</f>
        <v>1.0416666666666667E-3</v>
      </c>
      <c r="F26" s="628" t="str">
        <f>IF(OR($C26="no",$D26="na",E26="na",$D26=0),"na",E26/($D26*Eqtn!$D$377))</f>
        <v>na</v>
      </c>
      <c r="G26" s="17">
        <f>'AR-Det'!J26</f>
        <v>1.041666666666667E-2</v>
      </c>
      <c r="H26" s="1509" t="str">
        <f>IF(OR($C26="No",$D26="na",G26="na",$D26=0),"na",G26/($D26*Eqtn!$D$377))</f>
        <v>na</v>
      </c>
      <c r="I26" s="1513">
        <f>'AR-Det'!N26</f>
        <v>4.8666666666666658E-3</v>
      </c>
      <c r="J26" s="1509" t="str">
        <f>IF(OR($C26="No",$D26="na",I26="na",$D26=0),"na",I26/($D26*Eqtn!$D$377))</f>
        <v>na</v>
      </c>
      <c r="K26" s="734" t="s">
        <v>232</v>
      </c>
      <c r="M26" s="1062"/>
    </row>
    <row r="27" spans="1:13" ht="13.9" customHeight="1" x14ac:dyDescent="0.25">
      <c r="A27" s="847">
        <f>Chem!A27</f>
        <v>25</v>
      </c>
      <c r="B27" s="941" t="str">
        <f>Chem!B27</f>
        <v>Cadmium</v>
      </c>
      <c r="C27" s="1282" t="str">
        <f>Param!AF27</f>
        <v>no</v>
      </c>
      <c r="D27" s="343">
        <f>Param!M27</f>
        <v>0</v>
      </c>
      <c r="E27" s="602">
        <f>'AR-Det'!F27</f>
        <v>1.3888888888888887E-3</v>
      </c>
      <c r="F27" s="628" t="str">
        <f>IF(OR($C27="no",$D27="na",E27="na",$D27=0),"na",E27/($D27*Eqtn!$D$377))</f>
        <v>na</v>
      </c>
      <c r="G27" s="17">
        <f>'AR-Det'!J27</f>
        <v>0.01</v>
      </c>
      <c r="H27" s="1509" t="str">
        <f>IF(OR($C27="No",$D27="na",G27="na",$D27=0),"na",G27/($D27*Eqtn!$D$377))</f>
        <v>na</v>
      </c>
      <c r="I27" s="1513">
        <f>'AR-Det'!N27</f>
        <v>6.4888888888888869E-3</v>
      </c>
      <c r="J27" s="1509" t="str">
        <f>IF(OR($C27="No",$D27="na",I27="na",$D27=0),"na",I27/($D27*Eqtn!$D$377))</f>
        <v>na</v>
      </c>
      <c r="K27" s="734" t="s">
        <v>232</v>
      </c>
      <c r="M27" s="1062"/>
    </row>
    <row r="28" spans="1:13" ht="13.9" customHeight="1" x14ac:dyDescent="0.25">
      <c r="A28" s="847">
        <f>Chem!A28</f>
        <v>26</v>
      </c>
      <c r="B28" s="941" t="str">
        <f>Chem!B28</f>
        <v>Chromium, total</v>
      </c>
      <c r="C28" s="1282" t="str">
        <f>Param!AF28</f>
        <v>no</v>
      </c>
      <c r="D28" s="343">
        <f>Param!M28</f>
        <v>0</v>
      </c>
      <c r="E28" s="602" t="str">
        <f>'AR-Det'!F28</f>
        <v>na</v>
      </c>
      <c r="F28" s="628" t="str">
        <f>IF(OR($C28="no",$D28="na",E28="na",$D28=0),"na",E28/($D28*Eqtn!$D$377))</f>
        <v>na</v>
      </c>
      <c r="G28" s="17" t="str">
        <f>'AR-Det'!J28</f>
        <v>na</v>
      </c>
      <c r="H28" s="1509" t="str">
        <f>IF(OR($C28="No",$D28="na",G28="na",$D28=0),"na",G28/($D28*Eqtn!$D$377))</f>
        <v>na</v>
      </c>
      <c r="I28" s="1513" t="str">
        <f>'AR-Det'!N28</f>
        <v>na</v>
      </c>
      <c r="J28" s="1509" t="str">
        <f>IF(OR($C28="No",$D28="na",I28="na",$D28=0),"na",I28/($D28*Eqtn!$D$377))</f>
        <v>na</v>
      </c>
      <c r="K28" s="734" t="s">
        <v>232</v>
      </c>
      <c r="M28" s="1062"/>
    </row>
    <row r="29" spans="1:13" ht="13.9" customHeight="1" x14ac:dyDescent="0.25">
      <c r="A29" s="847">
        <f>Chem!A29</f>
        <v>27</v>
      </c>
      <c r="B29" s="941" t="str">
        <f>Chem!B29</f>
        <v>Chromium, trivalent</v>
      </c>
      <c r="C29" s="1282" t="str">
        <f>Param!AF29</f>
        <v>no</v>
      </c>
      <c r="D29" s="343">
        <f>Param!M29</f>
        <v>0</v>
      </c>
      <c r="E29" s="627" t="str">
        <f>'AR-Det'!F29</f>
        <v>na</v>
      </c>
      <c r="F29" s="628" t="str">
        <f>IF(OR($C29="no",$D29="na",E29="na",$D29=0),"na",E29/($D29*Eqtn!$D$377))</f>
        <v>na</v>
      </c>
      <c r="G29" s="306" t="str">
        <f>'AR-Det'!J29</f>
        <v>na</v>
      </c>
      <c r="H29" s="1509" t="str">
        <f>IF(OR($C29="No",$D29="na",G29="na",$D29=0),"na",G29/($D29*Eqtn!$D$377))</f>
        <v>na</v>
      </c>
      <c r="I29" s="1513" t="str">
        <f>'AR-Det'!N29</f>
        <v>na</v>
      </c>
      <c r="J29" s="1509" t="str">
        <f>IF(OR($C29="No",$D29="na",I29="na",$D29=0),"na",I29/($D29*Eqtn!$D$377))</f>
        <v>na</v>
      </c>
      <c r="K29" s="734" t="s">
        <v>232</v>
      </c>
      <c r="M29" s="1062"/>
    </row>
    <row r="30" spans="1:13" ht="13.9" customHeight="1" x14ac:dyDescent="0.25">
      <c r="A30" s="847">
        <f>Chem!A30</f>
        <v>28</v>
      </c>
      <c r="B30" s="941" t="str">
        <f>Chem!B30</f>
        <v>Chromium, hexavalent</v>
      </c>
      <c r="C30" s="1282" t="str">
        <f>Param!AF30</f>
        <v>no</v>
      </c>
      <c r="D30" s="343">
        <f>Param!M30</f>
        <v>0</v>
      </c>
      <c r="E30" s="602">
        <f>'AR-Det'!F30</f>
        <v>6.0000000000000002E-5</v>
      </c>
      <c r="F30" s="628" t="str">
        <f>IF(OR($C30="no",$D30="na",E30="na",$D30=0),"na",E30/($D30*Eqtn!$D$377))</f>
        <v>na</v>
      </c>
      <c r="G30" s="17">
        <f>'AR-Det'!J30</f>
        <v>2.2727272727272735E-3</v>
      </c>
      <c r="H30" s="1509" t="str">
        <f>IF(OR($C30="No",$D30="na",G30="na",$D30=0),"na",G30/($D30*Eqtn!$D$377))</f>
        <v>na</v>
      </c>
      <c r="I30" s="1513">
        <f>'AR-Det'!N30</f>
        <v>1.0618181818181816E-3</v>
      </c>
      <c r="J30" s="1509" t="str">
        <f>IF(OR($C30="No",$D30="na",I30="na",$D30=0),"na",I30/($D30*Eqtn!$D$377))</f>
        <v>na</v>
      </c>
      <c r="K30" s="734" t="s">
        <v>232</v>
      </c>
      <c r="M30" s="1062"/>
    </row>
    <row r="31" spans="1:13" ht="13.9" customHeight="1" x14ac:dyDescent="0.25">
      <c r="A31" s="847">
        <f>Chem!A31</f>
        <v>29</v>
      </c>
      <c r="B31" s="941" t="str">
        <f>Chem!B31</f>
        <v>Cobalt</v>
      </c>
      <c r="C31" s="1282" t="str">
        <f>Param!AF31</f>
        <v>no</v>
      </c>
      <c r="D31" s="343">
        <f>Param!M31</f>
        <v>0</v>
      </c>
      <c r="E31" s="627">
        <f>'AR-Det'!F31</f>
        <v>2.7777777777777772E-4</v>
      </c>
      <c r="F31" s="628" t="str">
        <f>IF(OR($C31="no",$D31="na",E31="na",$D31=0),"na",E31/($D31*Eqtn!$D$377))</f>
        <v>na</v>
      </c>
      <c r="G31" s="306">
        <f>'AR-Det'!J31</f>
        <v>2.7777777777777779E-3</v>
      </c>
      <c r="H31" s="1509" t="str">
        <f>IF(OR($C31="No",$D31="na",G31="na",$D31=0),"na",G31/($D31*Eqtn!$D$377))</f>
        <v>na</v>
      </c>
      <c r="I31" s="1513">
        <f>'AR-Det'!N31</f>
        <v>1.2977777777777773E-3</v>
      </c>
      <c r="J31" s="1509" t="str">
        <f>IF(OR($C31="No",$D31="na",I31="na",$D31=0),"na",I31/($D31*Eqtn!$D$377))</f>
        <v>na</v>
      </c>
      <c r="K31" s="734" t="s">
        <v>232</v>
      </c>
      <c r="M31" s="1062"/>
    </row>
    <row r="32" spans="1:13" ht="13.9" customHeight="1" x14ac:dyDescent="0.25">
      <c r="A32" s="847">
        <f>Chem!A32</f>
        <v>30</v>
      </c>
      <c r="B32" s="941" t="str">
        <f>Chem!B32</f>
        <v>Copper</v>
      </c>
      <c r="C32" s="1282" t="str">
        <f>Param!AF32</f>
        <v>no</v>
      </c>
      <c r="D32" s="343">
        <f>Param!M32</f>
        <v>0</v>
      </c>
      <c r="E32" s="627" t="str">
        <f>'AR-Det'!F32</f>
        <v>na</v>
      </c>
      <c r="F32" s="628" t="str">
        <f>IF(OR($C32="no",$D32="na",E32="na",$D32=0),"na",E32/($D32*Eqtn!$D$377))</f>
        <v>na</v>
      </c>
      <c r="G32" s="306" t="str">
        <f>'AR-Det'!J32</f>
        <v>na</v>
      </c>
      <c r="H32" s="1509" t="str">
        <f>IF(OR($C32="No",$D32="na",G32="na",$D32=0),"na",G32/($D32*Eqtn!$D$377))</f>
        <v>na</v>
      </c>
      <c r="I32" s="1513" t="str">
        <f>'AR-Det'!N32</f>
        <v>na</v>
      </c>
      <c r="J32" s="1509" t="str">
        <f>IF(OR($C32="No",$D32="na",I32="na",$D32=0),"na",I32/($D32*Eqtn!$D$377))</f>
        <v>na</v>
      </c>
      <c r="K32" s="734" t="s">
        <v>232</v>
      </c>
      <c r="M32" s="1062"/>
    </row>
    <row r="33" spans="1:13" ht="13.9" customHeight="1" x14ac:dyDescent="0.25">
      <c r="A33" s="847">
        <f>Chem!A33</f>
        <v>31</v>
      </c>
      <c r="B33" s="941" t="str">
        <f>Chem!B33</f>
        <v>Iron</v>
      </c>
      <c r="C33" s="1282" t="str">
        <f>Param!AF33</f>
        <v>no</v>
      </c>
      <c r="D33" s="343">
        <f>Param!M33</f>
        <v>0</v>
      </c>
      <c r="E33" s="627" t="str">
        <f>'AR-Det'!F33</f>
        <v>na</v>
      </c>
      <c r="F33" s="628" t="str">
        <f>IF(OR($C33="no",$D33="na",E33="na",$D33=0),"na",E33/($D33*Eqtn!$D$377))</f>
        <v>na</v>
      </c>
      <c r="G33" s="306" t="str">
        <f>'AR-Det'!J33</f>
        <v>na</v>
      </c>
      <c r="H33" s="1509" t="str">
        <f>IF(OR($C33="No",$D33="na",G33="na",$D33=0),"na",G33/($D33*Eqtn!$D$377))</f>
        <v>na</v>
      </c>
      <c r="I33" s="1513" t="str">
        <f>'AR-Det'!N33</f>
        <v>na</v>
      </c>
      <c r="J33" s="1509" t="str">
        <f>IF(OR($C33="No",$D33="na",I33="na",$D33=0),"na",I33/($D33*Eqtn!$D$377))</f>
        <v>na</v>
      </c>
      <c r="K33" s="734" t="s">
        <v>232</v>
      </c>
      <c r="M33" s="1062"/>
    </row>
    <row r="34" spans="1:13" ht="13.9" customHeight="1" x14ac:dyDescent="0.25">
      <c r="A34" s="847">
        <f>Chem!A34</f>
        <v>32</v>
      </c>
      <c r="B34" s="941" t="str">
        <f>Chem!B34</f>
        <v>Lead</v>
      </c>
      <c r="C34" s="1282" t="str">
        <f>Param!AF34</f>
        <v>no</v>
      </c>
      <c r="D34" s="343">
        <f>Param!M34</f>
        <v>0</v>
      </c>
      <c r="E34" s="627" t="str">
        <f>'AR-Det'!F34</f>
        <v>na</v>
      </c>
      <c r="F34" s="628" t="str">
        <f>IF(OR($C34="no",$D34="na",E34="na",$D34=0),"na",E34/($D34*Eqtn!$D$377))</f>
        <v>na</v>
      </c>
      <c r="G34" s="306" t="str">
        <f>'AR-Det'!J34</f>
        <v>na</v>
      </c>
      <c r="H34" s="1509" t="str">
        <f>IF(OR($C34="No",$D34="na",G34="na",$D34=0),"na",G34/($D34*Eqtn!$D$377))</f>
        <v>na</v>
      </c>
      <c r="I34" s="1513" t="str">
        <f>'AR-Det'!N34</f>
        <v>na</v>
      </c>
      <c r="J34" s="1509" t="str">
        <f>IF(OR($C34="No",$D34="na",I34="na",$D34=0),"na",I34/($D34*Eqtn!$D$377))</f>
        <v>na</v>
      </c>
      <c r="K34" s="734" t="s">
        <v>232</v>
      </c>
      <c r="M34" s="1062"/>
    </row>
    <row r="35" spans="1:13" ht="13.9" customHeight="1" x14ac:dyDescent="0.25">
      <c r="A35" s="847">
        <f>Chem!A35</f>
        <v>33</v>
      </c>
      <c r="B35" s="941" t="str">
        <f>Chem!B35</f>
        <v>Manganese</v>
      </c>
      <c r="C35" s="1282" t="str">
        <f>Param!AF35</f>
        <v>no</v>
      </c>
      <c r="D35" s="343">
        <f>Param!M35</f>
        <v>0</v>
      </c>
      <c r="E35" s="627">
        <f>'AR-Det'!F35</f>
        <v>2.2857142857142857E-2</v>
      </c>
      <c r="F35" s="628" t="str">
        <f>IF(OR($C35="no",$D35="na",E35="na",$D35=0),"na",E35/($D35*Eqtn!$D$377))</f>
        <v>na</v>
      </c>
      <c r="G35" s="306">
        <f>'AR-Det'!J35</f>
        <v>4.9999999999999996E-2</v>
      </c>
      <c r="H35" s="1509" t="str">
        <f>IF(OR($C35="No",$D35="na",G35="na",$D35=0),"na",G35/($D35*Eqtn!$D$377))</f>
        <v>na</v>
      </c>
      <c r="I35" s="1513">
        <f>'AR-Det'!N35</f>
        <v>0.19466666666666663</v>
      </c>
      <c r="J35" s="1509" t="str">
        <f>IF(OR($C35="No",$D35="na",I35="na",$D35=0),"na",I35/($D35*Eqtn!$D$377))</f>
        <v>na</v>
      </c>
      <c r="K35" s="734" t="s">
        <v>232</v>
      </c>
      <c r="M35" s="1062"/>
    </row>
    <row r="36" spans="1:13" ht="13.9" customHeight="1" x14ac:dyDescent="0.25">
      <c r="A36" s="847">
        <f>Chem!A36</f>
        <v>34</v>
      </c>
      <c r="B36" s="941" t="str">
        <f>Chem!B36</f>
        <v>Mercury, inorganic</v>
      </c>
      <c r="C36" s="1282" t="str">
        <f>Param!AF36</f>
        <v>YES</v>
      </c>
      <c r="D36" s="343">
        <f>Param!M36</f>
        <v>0.16573713573395538</v>
      </c>
      <c r="E36" s="627">
        <f>'AR-Det'!F36</f>
        <v>0.13714285714285709</v>
      </c>
      <c r="F36" s="628">
        <f>IF(OR($C36="no",$D36="na",E36="na",$D36=0),"na",E36/($D36*Eqtn!$D$377))</f>
        <v>0.82747210838132013</v>
      </c>
      <c r="G36" s="306">
        <f>'AR-Det'!J36</f>
        <v>0.29999999999999988</v>
      </c>
      <c r="H36" s="1509">
        <f>IF(OR($C36="No",$D36="na",G36="na",$D36=0),"na",G36/($D36*Eqtn!$D$377))</f>
        <v>1.8100952370841377</v>
      </c>
      <c r="I36" s="1513">
        <f>'AR-Det'!N36</f>
        <v>1.1679999999999995</v>
      </c>
      <c r="J36" s="1509">
        <f>IF(OR($C36="No",$D36="na",I36="na",$D36=0),"na",I36/($D36*Eqtn!$D$377))</f>
        <v>7.0473041230475761</v>
      </c>
      <c r="K36" s="734" t="s">
        <v>232</v>
      </c>
      <c r="M36" s="1062"/>
    </row>
    <row r="37" spans="1:13" ht="13.9" customHeight="1" x14ac:dyDescent="0.25">
      <c r="A37" s="847">
        <f>Chem!A37</f>
        <v>35</v>
      </c>
      <c r="B37" s="941" t="str">
        <f>Chem!B37</f>
        <v>Methylmercury</v>
      </c>
      <c r="C37" s="1282" t="str">
        <f>Param!AF37</f>
        <v>no</v>
      </c>
      <c r="D37" s="343">
        <f>Param!M37</f>
        <v>0</v>
      </c>
      <c r="E37" s="627" t="str">
        <f>'AR-Det'!F37</f>
        <v>na</v>
      </c>
      <c r="F37" s="628" t="str">
        <f>IF(OR($C37="no",$D37="na",E37="na",$D37=0),"na",E37/($D37*Eqtn!$D$377))</f>
        <v>na</v>
      </c>
      <c r="G37" s="306" t="str">
        <f>'AR-Det'!J37</f>
        <v>na</v>
      </c>
      <c r="H37" s="1509" t="str">
        <f>IF(OR($C37="No",$D37="na",G37="na",$D37=0),"na",G37/($D37*Eqtn!$D$377))</f>
        <v>na</v>
      </c>
      <c r="I37" s="1513" t="str">
        <f>'AR-Det'!N37</f>
        <v>na</v>
      </c>
      <c r="J37" s="1509" t="str">
        <f>IF(OR($C37="No",$D37="na",I37="na",$D37=0),"na",I37/($D37*Eqtn!$D$377))</f>
        <v>na</v>
      </c>
      <c r="K37" s="734" t="s">
        <v>232</v>
      </c>
      <c r="M37" s="1062"/>
    </row>
    <row r="38" spans="1:13" ht="13.9" customHeight="1" x14ac:dyDescent="0.25">
      <c r="A38" s="847">
        <f>Chem!A38</f>
        <v>36</v>
      </c>
      <c r="B38" s="941" t="str">
        <f>Chem!B38</f>
        <v>Molybdenum</v>
      </c>
      <c r="C38" s="1282" t="str">
        <f>Param!AF38</f>
        <v>no</v>
      </c>
      <c r="D38" s="343">
        <f>Param!M38</f>
        <v>0</v>
      </c>
      <c r="E38" s="627">
        <f>'AR-Det'!F38</f>
        <v>0.91428571428571437</v>
      </c>
      <c r="F38" s="628" t="str">
        <f>IF(OR($C38="no",$D38="na",E38="na",$D38=0),"na",E38/($D38*Eqtn!$D$377))</f>
        <v>na</v>
      </c>
      <c r="G38" s="306">
        <f>'AR-Det'!J38</f>
        <v>2</v>
      </c>
      <c r="H38" s="1509" t="str">
        <f>IF(OR($C38="No",$D38="na",G38="na",$D38=0),"na",G38/($D38*Eqtn!$D$377))</f>
        <v>na</v>
      </c>
      <c r="I38" s="1513">
        <f>'AR-Det'!N38</f>
        <v>7.7866666666666662</v>
      </c>
      <c r="J38" s="1509" t="str">
        <f>IF(OR($C38="No",$D38="na",I38="na",$D38=0),"na",I38/($D38*Eqtn!$D$377))</f>
        <v>na</v>
      </c>
      <c r="K38" s="734" t="s">
        <v>232</v>
      </c>
      <c r="M38" s="1062"/>
    </row>
    <row r="39" spans="1:13" ht="13.9" customHeight="1" x14ac:dyDescent="0.25">
      <c r="A39" s="847">
        <f>Chem!A39</f>
        <v>37</v>
      </c>
      <c r="B39" s="941" t="str">
        <f>Chem!B39</f>
        <v>Nickel</v>
      </c>
      <c r="C39" s="1282" t="str">
        <f>Param!AF39</f>
        <v>no</v>
      </c>
      <c r="D39" s="343">
        <f>Param!M39</f>
        <v>0</v>
      </c>
      <c r="E39" s="602">
        <f>'AR-Det'!F39</f>
        <v>6.3999999999999994E-3</v>
      </c>
      <c r="F39" s="628" t="str">
        <f>IF(OR($C39="no",$D39="na",E39="na",$D39=0),"na",E39/($D39*Eqtn!$D$377))</f>
        <v>na</v>
      </c>
      <c r="G39" s="17">
        <f>'AR-Det'!J39</f>
        <v>1.3999999999999999E-2</v>
      </c>
      <c r="H39" s="1509" t="str">
        <f>IF(OR($C39="No",$D39="na",G39="na",$D39=0),"na",G39/($D39*Eqtn!$D$377))</f>
        <v>na</v>
      </c>
      <c r="I39" s="1513">
        <f>'AR-Det'!N39</f>
        <v>4.492307692307692E-2</v>
      </c>
      <c r="J39" s="1509" t="str">
        <f>IF(OR($C39="No",$D39="na",I39="na",$D39=0),"na",I39/($D39*Eqtn!$D$377))</f>
        <v>na</v>
      </c>
      <c r="K39" s="734" t="s">
        <v>232</v>
      </c>
      <c r="M39" s="1062"/>
    </row>
    <row r="40" spans="1:13" ht="13.9" customHeight="1" x14ac:dyDescent="0.25">
      <c r="A40" s="847">
        <f>Chem!A40</f>
        <v>38</v>
      </c>
      <c r="B40" s="941" t="str">
        <f>Chem!B40</f>
        <v>Selenium</v>
      </c>
      <c r="C40" s="1282" t="str">
        <f>Param!AF40</f>
        <v>no</v>
      </c>
      <c r="D40" s="343">
        <f>Param!M40</f>
        <v>0</v>
      </c>
      <c r="E40" s="627">
        <f>'AR-Det'!F40</f>
        <v>9.1428571428571423</v>
      </c>
      <c r="F40" s="628" t="str">
        <f>IF(OR($C40="no",$D40="na",E40="na",$D40=0),"na",E40/($D40*Eqtn!$D$377))</f>
        <v>na</v>
      </c>
      <c r="G40" s="306">
        <f>'AR-Det'!J40</f>
        <v>20</v>
      </c>
      <c r="H40" s="1509" t="str">
        <f>IF(OR($C40="No",$D40="na",G40="na",$D40=0),"na",G40/($D40*Eqtn!$D$377))</f>
        <v>na</v>
      </c>
      <c r="I40" s="1513">
        <f>'AR-Det'!N40</f>
        <v>77.866666666666646</v>
      </c>
      <c r="J40" s="1509" t="str">
        <f>IF(OR($C40="No",$D40="na",I40="na",$D40=0),"na",I40/($D40*Eqtn!$D$377))</f>
        <v>na</v>
      </c>
      <c r="K40" s="734" t="s">
        <v>232</v>
      </c>
      <c r="M40" s="1062"/>
    </row>
    <row r="41" spans="1:13" ht="13.9" customHeight="1" x14ac:dyDescent="0.25">
      <c r="A41" s="847">
        <f>Chem!A41</f>
        <v>39</v>
      </c>
      <c r="B41" s="941" t="str">
        <f>Chem!B41</f>
        <v>Silver</v>
      </c>
      <c r="C41" s="1282" t="str">
        <f>Param!AF41</f>
        <v>no</v>
      </c>
      <c r="D41" s="343">
        <f>Param!M41</f>
        <v>0</v>
      </c>
      <c r="E41" s="627" t="str">
        <f>'AR-Det'!F41</f>
        <v>na</v>
      </c>
      <c r="F41" s="628" t="str">
        <f>IF(OR($C41="no",$D41="na",E41="na",$D41=0),"na",E41/($D41*Eqtn!$D$377))</f>
        <v>na</v>
      </c>
      <c r="G41" s="306" t="str">
        <f>'AR-Det'!J41</f>
        <v>na</v>
      </c>
      <c r="H41" s="1509" t="str">
        <f>IF(OR($C41="No",$D41="na",G41="na",$D41=0),"na",G41/($D41*Eqtn!$D$377))</f>
        <v>na</v>
      </c>
      <c r="I41" s="1513" t="str">
        <f>'AR-Det'!N41</f>
        <v>na</v>
      </c>
      <c r="J41" s="1509" t="str">
        <f>IF(OR($C41="No",$D41="na",I41="na",$D41=0),"na",I41/($D41*Eqtn!$D$377))</f>
        <v>na</v>
      </c>
      <c r="K41" s="734" t="s">
        <v>232</v>
      </c>
      <c r="M41" s="1062"/>
    </row>
    <row r="42" spans="1:13" ht="13.9" customHeight="1" x14ac:dyDescent="0.25">
      <c r="A42" s="847">
        <f>Chem!A42</f>
        <v>40</v>
      </c>
      <c r="B42" s="941" t="str">
        <f>Chem!B42</f>
        <v>Thallium</v>
      </c>
      <c r="C42" s="1282" t="str">
        <f>Param!AF42</f>
        <v>no</v>
      </c>
      <c r="D42" s="343">
        <f>Param!M42</f>
        <v>0</v>
      </c>
      <c r="E42" s="627" t="str">
        <f>'AR-Det'!F42</f>
        <v>na</v>
      </c>
      <c r="F42" s="628" t="str">
        <f>IF(OR($C42="no",$D42="na",E42="na",$D42=0),"na",E42/($D42*Eqtn!$D$377))</f>
        <v>na</v>
      </c>
      <c r="G42" s="306" t="str">
        <f>'AR-Det'!J42</f>
        <v>na</v>
      </c>
      <c r="H42" s="1509" t="str">
        <f>IF(OR($C42="No",$D42="na",G42="na",$D42=0),"na",G42/($D42*Eqtn!$D$377))</f>
        <v>na</v>
      </c>
      <c r="I42" s="1513" t="str">
        <f>'AR-Det'!N42</f>
        <v>na</v>
      </c>
      <c r="J42" s="1509" t="str">
        <f>IF(OR($C42="No",$D42="na",I42="na",$D42=0),"na",I42/($D42*Eqtn!$D$377))</f>
        <v>na</v>
      </c>
      <c r="K42" s="734" t="s">
        <v>232</v>
      </c>
      <c r="M42" s="1062"/>
    </row>
    <row r="43" spans="1:13" ht="13.9" customHeight="1" x14ac:dyDescent="0.25">
      <c r="A43" s="847">
        <f>Chem!A43</f>
        <v>41</v>
      </c>
      <c r="B43" s="941" t="str">
        <f>Chem!B43</f>
        <v>Tin</v>
      </c>
      <c r="C43" s="1282" t="str">
        <f>Param!AF43</f>
        <v>no</v>
      </c>
      <c r="D43" s="343">
        <f>Param!M43</f>
        <v>0</v>
      </c>
      <c r="E43" s="627" t="str">
        <f>'AR-Det'!F43</f>
        <v>na</v>
      </c>
      <c r="F43" s="628" t="str">
        <f>IF(OR($C43="no",$D43="na",E43="na",$D43=0),"na",E43/($D43*Eqtn!$D$377))</f>
        <v>na</v>
      </c>
      <c r="G43" s="306" t="str">
        <f>'AR-Det'!J43</f>
        <v>na</v>
      </c>
      <c r="H43" s="1509" t="str">
        <f>IF(OR($C43="No",$D43="na",G43="na",$D43=0),"na",G43/($D43*Eqtn!$D$377))</f>
        <v>na</v>
      </c>
      <c r="I43" s="1513" t="str">
        <f>'AR-Det'!N43</f>
        <v>na</v>
      </c>
      <c r="J43" s="1509" t="str">
        <f>IF(OR($C43="No",$D43="na",I43="na",$D43=0),"na",I43/($D43*Eqtn!$D$377))</f>
        <v>na</v>
      </c>
      <c r="K43" s="734" t="s">
        <v>232</v>
      </c>
      <c r="M43" s="1062"/>
    </row>
    <row r="44" spans="1:13" ht="13.9" customHeight="1" x14ac:dyDescent="0.25">
      <c r="A44" s="847">
        <f>Chem!A44</f>
        <v>42</v>
      </c>
      <c r="B44" s="941" t="str">
        <f>Chem!B44</f>
        <v>Vanadium</v>
      </c>
      <c r="C44" s="1282" t="str">
        <f>Param!AF44</f>
        <v>no</v>
      </c>
      <c r="D44" s="343">
        <f>Param!M44</f>
        <v>0</v>
      </c>
      <c r="E44" s="627">
        <f>'AR-Det'!F44</f>
        <v>4.5714285714285714E-2</v>
      </c>
      <c r="F44" s="628" t="str">
        <f>IF(OR($C44="no",$D44="na",E44="na",$D44=0),"na",E44/($D44*Eqtn!$D$377))</f>
        <v>na</v>
      </c>
      <c r="G44" s="306">
        <f>'AR-Det'!J44</f>
        <v>9.9999999999999992E-2</v>
      </c>
      <c r="H44" s="1509" t="str">
        <f>IF(OR($C44="No",$D44="na",G44="na",$D44=0),"na",G44/($D44*Eqtn!$D$377))</f>
        <v>na</v>
      </c>
      <c r="I44" s="1513">
        <f>'AR-Det'!N44</f>
        <v>0.38933333333333325</v>
      </c>
      <c r="J44" s="1509" t="str">
        <f>IF(OR($C44="No",$D44="na",I44="na",$D44=0),"na",I44/($D44*Eqtn!$D$377))</f>
        <v>na</v>
      </c>
      <c r="K44" s="734" t="s">
        <v>232</v>
      </c>
      <c r="M44" s="1062"/>
    </row>
    <row r="45" spans="1:13" ht="13.9" customHeight="1" x14ac:dyDescent="0.25">
      <c r="A45" s="844">
        <f>Chem!A45</f>
        <v>43</v>
      </c>
      <c r="B45" s="941" t="str">
        <f>Chem!B45</f>
        <v>Zinc</v>
      </c>
      <c r="C45" s="1283" t="str">
        <f>Param!AF45</f>
        <v>no</v>
      </c>
      <c r="D45" s="532">
        <f>Param!M45</f>
        <v>0</v>
      </c>
      <c r="E45" s="627" t="str">
        <f>'AR-Det'!F45</f>
        <v>na</v>
      </c>
      <c r="F45" s="628" t="str">
        <f>IF(OR($C45="no",$D45="na",E45="na",$D45=0),"na",E45/($D45*Eqtn!$D$377))</f>
        <v>na</v>
      </c>
      <c r="G45" s="306" t="str">
        <f>'AR-Det'!J45</f>
        <v>na</v>
      </c>
      <c r="H45" s="1509" t="str">
        <f>IF(OR($C45="No",$D45="na",G45="na",$D45=0),"na",G45/($D45*Eqtn!$D$377))</f>
        <v>na</v>
      </c>
      <c r="I45" s="1515" t="str">
        <f>'AR-Det'!N45</f>
        <v>na</v>
      </c>
      <c r="J45" s="1510" t="str">
        <f>IF(OR($C45="No",$D45="na",I45="na",$D45=0),"na",I45/($D45*Eqtn!$D$377))</f>
        <v>na</v>
      </c>
      <c r="K45" s="736" t="s">
        <v>232</v>
      </c>
      <c r="M45" s="1062"/>
    </row>
    <row r="46" spans="1:13" ht="13.9" customHeight="1" x14ac:dyDescent="0.25">
      <c r="A46" s="906">
        <f>Chem!A46</f>
        <v>44</v>
      </c>
      <c r="B46" s="943" t="str">
        <f>Chem!B46</f>
        <v>Metals - Butyltins</v>
      </c>
      <c r="C46" s="2345"/>
      <c r="D46" s="259"/>
      <c r="E46" s="127"/>
      <c r="F46" s="44"/>
      <c r="G46" s="127"/>
      <c r="H46" s="44"/>
      <c r="I46" s="44"/>
      <c r="J46" s="44"/>
      <c r="K46" s="55"/>
      <c r="M46" s="1063"/>
    </row>
    <row r="47" spans="1:13" ht="13.9" customHeight="1" x14ac:dyDescent="0.25">
      <c r="A47" s="847">
        <f>Chem!A47</f>
        <v>45</v>
      </c>
      <c r="B47" s="941" t="str">
        <f>Chem!B47</f>
        <v>Monobutyltin</v>
      </c>
      <c r="C47" s="1282" t="str">
        <f>Param!AF47</f>
        <v>no</v>
      </c>
      <c r="D47" s="393">
        <f>Param!M47</f>
        <v>0</v>
      </c>
      <c r="E47" s="627" t="str">
        <f>'AR-Det'!F47</f>
        <v>na</v>
      </c>
      <c r="F47" s="628" t="str">
        <f>IF(OR($C47="no",$D47="na",E47="na",$D47=0),"na",E47/($D47*Eqtn!$D$377))</f>
        <v>na</v>
      </c>
      <c r="G47" s="306" t="str">
        <f>'AR-Det'!J47</f>
        <v>na</v>
      </c>
      <c r="H47" s="1509" t="str">
        <f>IF(OR($C47="No",$D47="na",G47="na",$D47=0),"na",G47/($D47*Eqtn!$D$377))</f>
        <v>na</v>
      </c>
      <c r="I47" s="1516" t="str">
        <f>'AR-Det'!N47</f>
        <v>na</v>
      </c>
      <c r="J47" s="1534" t="str">
        <f>IF(OR($C47="No",$D47="na",I47="na",$D47=0),"na",I47/($D47*Eqtn!$D$377))</f>
        <v>na</v>
      </c>
      <c r="K47" s="1517" t="s">
        <v>232</v>
      </c>
      <c r="M47" s="1062"/>
    </row>
    <row r="48" spans="1:13" ht="13.9" customHeight="1" x14ac:dyDescent="0.25">
      <c r="A48" s="847">
        <f>Chem!A48</f>
        <v>46</v>
      </c>
      <c r="B48" s="941" t="str">
        <f>Chem!B48</f>
        <v>Dibutyltin</v>
      </c>
      <c r="C48" s="1282" t="str">
        <f>Param!AF48</f>
        <v>no</v>
      </c>
      <c r="D48" s="343">
        <f>Param!M48</f>
        <v>0</v>
      </c>
      <c r="E48" s="627" t="str">
        <f>'AR-Det'!F48</f>
        <v>na</v>
      </c>
      <c r="F48" s="628" t="str">
        <f>IF(OR($C48="no",$D48="na",E48="na",$D48=0),"na",E48/($D48*Eqtn!$D$377))</f>
        <v>na</v>
      </c>
      <c r="G48" s="306" t="str">
        <f>'AR-Det'!J48</f>
        <v>na</v>
      </c>
      <c r="H48" s="1509" t="str">
        <f>IF(OR($C48="No",$D48="na",G48="na",$D48=0),"na",G48/($D48*Eqtn!$D$377))</f>
        <v>na</v>
      </c>
      <c r="I48" s="1513" t="str">
        <f>'AR-Det'!N48</f>
        <v>na</v>
      </c>
      <c r="J48" s="1509" t="str">
        <f>IF(OR($C48="No",$D48="na",I48="na",$D48=0),"na",I48/($D48*Eqtn!$D$377))</f>
        <v>na</v>
      </c>
      <c r="K48" s="734" t="s">
        <v>232</v>
      </c>
      <c r="M48" s="1062"/>
    </row>
    <row r="49" spans="1:13" ht="13.9" customHeight="1" x14ac:dyDescent="0.25">
      <c r="A49" s="847">
        <f>Chem!A49</f>
        <v>47</v>
      </c>
      <c r="B49" s="941" t="str">
        <f>Chem!B49</f>
        <v>Tributyl tin</v>
      </c>
      <c r="C49" s="1282" t="str">
        <f>Param!AF49</f>
        <v>no</v>
      </c>
      <c r="D49" s="343">
        <f>Param!M49</f>
        <v>36.5</v>
      </c>
      <c r="E49" s="627" t="str">
        <f>'AR-Det'!F49</f>
        <v>na</v>
      </c>
      <c r="F49" s="628" t="str">
        <f>IF(OR($C49="no",$D49="na",E49="na",$D49=0),"na",E49/($D49*Eqtn!$D$377))</f>
        <v>na</v>
      </c>
      <c r="G49" s="306" t="str">
        <f>'AR-Det'!J49</f>
        <v>na</v>
      </c>
      <c r="H49" s="1509" t="str">
        <f>IF(OR($C49="No",$D49="na",G49="na",$D49=0),"na",G49/($D49*Eqtn!$D$377))</f>
        <v>na</v>
      </c>
      <c r="I49" s="1513" t="str">
        <f>'AR-Det'!N49</f>
        <v>na</v>
      </c>
      <c r="J49" s="1509" t="str">
        <f>IF(OR($C49="No",$D49="na",I49="na",$D49=0),"na",I49/($D49*Eqtn!$D$377))</f>
        <v>na</v>
      </c>
      <c r="K49" s="734" t="s">
        <v>232</v>
      </c>
      <c r="M49" s="1062"/>
    </row>
    <row r="50" spans="1:13" ht="13.9" customHeight="1" x14ac:dyDescent="0.25">
      <c r="A50" s="847">
        <f>Chem!A50</f>
        <v>48</v>
      </c>
      <c r="B50" s="941" t="str">
        <f>Chem!B50</f>
        <v>Tributyltin oxide</v>
      </c>
      <c r="C50" s="1282" t="str">
        <f>Param!AF50</f>
        <v>no</v>
      </c>
      <c r="D50" s="343">
        <f>Param!M50</f>
        <v>1.2346688470972999E-5</v>
      </c>
      <c r="E50" s="627" t="str">
        <f>'AR-Det'!F50</f>
        <v>na</v>
      </c>
      <c r="F50" s="628" t="str">
        <f>IF(OR($C50="no",$D50="na",E50="na",$D50=0),"na",E50/($D50*Eqtn!$D$377))</f>
        <v>na</v>
      </c>
      <c r="G50" s="306" t="str">
        <f>'AR-Det'!J50</f>
        <v>na</v>
      </c>
      <c r="H50" s="1509" t="str">
        <f>IF(OR($C50="No",$D50="na",G50="na",$D50=0),"na",G50/($D50*Eqtn!$D$377))</f>
        <v>na</v>
      </c>
      <c r="I50" s="1513" t="str">
        <f>'AR-Det'!N50</f>
        <v>na</v>
      </c>
      <c r="J50" s="1509" t="str">
        <f>IF(OR($C50="No",$D50="na",I50="na",$D50=0),"na",I50/($D50*Eqtn!$D$377))</f>
        <v>na</v>
      </c>
      <c r="K50" s="734" t="s">
        <v>232</v>
      </c>
      <c r="M50" s="1062"/>
    </row>
    <row r="51" spans="1:13" ht="13.9" customHeight="1" x14ac:dyDescent="0.25">
      <c r="A51" s="847">
        <f>Chem!A51</f>
        <v>49</v>
      </c>
      <c r="B51" s="941" t="str">
        <f>Chem!B51</f>
        <v>Tetrabutyltin</v>
      </c>
      <c r="C51" s="1282" t="str">
        <f>Param!AF51</f>
        <v>no</v>
      </c>
      <c r="D51" s="343">
        <f>Param!M51</f>
        <v>0</v>
      </c>
      <c r="E51" s="627" t="str">
        <f>'AR-Det'!F51</f>
        <v>na</v>
      </c>
      <c r="F51" s="628" t="str">
        <f>IF(OR($C51="no",$D51="na",E51="na",$D51=0),"na",E51/($D51*Eqtn!$D$377))</f>
        <v>na</v>
      </c>
      <c r="G51" s="306" t="str">
        <f>'AR-Det'!J51</f>
        <v>na</v>
      </c>
      <c r="H51" s="1509" t="str">
        <f>IF(OR($C51="No",$D51="na",G51="na",$D51=0),"na",G51/($D51*Eqtn!$D$377))</f>
        <v>na</v>
      </c>
      <c r="I51" s="1515" t="str">
        <f>'AR-Det'!N51</f>
        <v>na</v>
      </c>
      <c r="J51" s="1510" t="str">
        <f>IF(OR($C51="No",$D51="na",I51="na",$D51=0),"na",I51/($D51*Eqtn!$D$377))</f>
        <v>na</v>
      </c>
      <c r="K51" s="736" t="s">
        <v>232</v>
      </c>
      <c r="M51" s="1062"/>
    </row>
    <row r="52" spans="1:13" ht="13.9" customHeight="1" x14ac:dyDescent="0.25">
      <c r="A52" s="906">
        <f>Chem!A52</f>
        <v>50</v>
      </c>
      <c r="B52" s="943" t="str">
        <f>Chem!B52</f>
        <v>SVOCs - PAHs</v>
      </c>
      <c r="C52" s="2345"/>
      <c r="D52" s="259"/>
      <c r="E52" s="127"/>
      <c r="F52" s="44"/>
      <c r="G52" s="127"/>
      <c r="H52" s="44"/>
      <c r="I52" s="44"/>
      <c r="J52" s="44"/>
      <c r="K52" s="55"/>
      <c r="M52" s="1063"/>
    </row>
    <row r="53" spans="1:13" ht="13.9" customHeight="1" x14ac:dyDescent="0.25">
      <c r="A53" s="846">
        <f>Chem!A53</f>
        <v>51</v>
      </c>
      <c r="B53" s="941" t="str">
        <f>Chem!B53</f>
        <v>Acenaphthene</v>
      </c>
      <c r="C53" s="1284" t="str">
        <f>Param!AF53</f>
        <v>no</v>
      </c>
      <c r="D53" s="393">
        <f>Param!M53</f>
        <v>2.4976001562642815E-3</v>
      </c>
      <c r="E53" s="627" t="str">
        <f>'AR-Det'!F53</f>
        <v>na</v>
      </c>
      <c r="F53" s="628" t="str">
        <f>IF(OR($C53="no",$D53="na",E53="na",$D53=0),"na",E53/($D53*Eqtn!$D$377))</f>
        <v>na</v>
      </c>
      <c r="G53" s="306" t="str">
        <f>'AR-Det'!J53</f>
        <v>na</v>
      </c>
      <c r="H53" s="1509" t="str">
        <f>IF(OR($C53="No",$D53="na",G53="na",$D53=0),"na",G53/($D53*Eqtn!$D$377))</f>
        <v>na</v>
      </c>
      <c r="I53" s="1516" t="str">
        <f>'AR-Det'!N53</f>
        <v>na</v>
      </c>
      <c r="J53" s="1534" t="str">
        <f>IF(OR($C53="No",$D53="na",I53="na",$D53=0),"na",I53/($D53*Eqtn!$D$377))</f>
        <v>na</v>
      </c>
      <c r="K53" s="1517" t="s">
        <v>232</v>
      </c>
      <c r="M53" s="1062"/>
    </row>
    <row r="54" spans="1:13" ht="13.9" customHeight="1" x14ac:dyDescent="0.25">
      <c r="A54" s="847">
        <f>Chem!A54</f>
        <v>52</v>
      </c>
      <c r="B54" s="941" t="str">
        <f>Chem!B54</f>
        <v>Acenaphthylene</v>
      </c>
      <c r="C54" s="1282" t="str">
        <f>Param!AF54</f>
        <v>no</v>
      </c>
      <c r="D54" s="343">
        <f>Param!M54</f>
        <v>0</v>
      </c>
      <c r="E54" s="627" t="str">
        <f>'AR-Det'!F54</f>
        <v>na</v>
      </c>
      <c r="F54" s="628" t="str">
        <f>IF(OR($C54="no",$D54="na",E54="na",$D54=0),"na",E54/($D54*Eqtn!$D$377))</f>
        <v>na</v>
      </c>
      <c r="G54" s="306" t="str">
        <f>'AR-Det'!J54</f>
        <v>na</v>
      </c>
      <c r="H54" s="1509" t="str">
        <f>IF(OR($C54="No",$D54="na",G54="na",$D54=0),"na",G54/($D54*Eqtn!$D$377))</f>
        <v>na</v>
      </c>
      <c r="I54" s="1513" t="str">
        <f>'AR-Det'!N54</f>
        <v>na</v>
      </c>
      <c r="J54" s="1509" t="str">
        <f>IF(OR($C54="No",$D54="na",I54="na",$D54=0),"na",I54/($D54*Eqtn!$D$377))</f>
        <v>na</v>
      </c>
      <c r="K54" s="734" t="s">
        <v>232</v>
      </c>
      <c r="M54" s="1062"/>
    </row>
    <row r="55" spans="1:13" ht="13.9" customHeight="1" x14ac:dyDescent="0.25">
      <c r="A55" s="847">
        <f>Chem!A55</f>
        <v>53</v>
      </c>
      <c r="B55" s="941" t="str">
        <f>Chem!B55</f>
        <v>Anthracene</v>
      </c>
      <c r="C55" s="1282" t="str">
        <f>Param!AF55</f>
        <v>no</v>
      </c>
      <c r="D55" s="343">
        <f>Param!M55</f>
        <v>6.5113963722621029E-4</v>
      </c>
      <c r="E55" s="627" t="str">
        <f>'AR-Det'!F55</f>
        <v>na</v>
      </c>
      <c r="F55" s="628" t="str">
        <f>IF(OR($C55="no",$D55="na",E55="na",$D55=0),"na",E55/($D55*Eqtn!$D$377))</f>
        <v>na</v>
      </c>
      <c r="G55" s="306" t="str">
        <f>'AR-Det'!J55</f>
        <v>na</v>
      </c>
      <c r="H55" s="1509" t="str">
        <f>IF(OR($C55="No",$D55="na",G55="na",$D55=0),"na",G55/($D55*Eqtn!$D$377))</f>
        <v>na</v>
      </c>
      <c r="I55" s="1513" t="str">
        <f>'AR-Det'!N55</f>
        <v>na</v>
      </c>
      <c r="J55" s="1509" t="str">
        <f>IF(OR($C55="No",$D55="na",I55="na",$D55=0),"na",I55/($D55*Eqtn!$D$377))</f>
        <v>na</v>
      </c>
      <c r="K55" s="734" t="s">
        <v>232</v>
      </c>
      <c r="M55" s="1062"/>
    </row>
    <row r="56" spans="1:13" ht="13.9" customHeight="1" x14ac:dyDescent="0.25">
      <c r="A56" s="847">
        <f>Chem!A56</f>
        <v>54</v>
      </c>
      <c r="B56" s="941" t="str">
        <f>Chem!B56</f>
        <v>Benzo(a)anthracene</v>
      </c>
      <c r="C56" s="1282" t="str">
        <f>Param!AF56</f>
        <v>no</v>
      </c>
      <c r="D56" s="343">
        <f>Param!M56</f>
        <v>9.5974778022468905E-5</v>
      </c>
      <c r="E56" s="627" t="str">
        <f>'AR-Det'!F56</f>
        <v>na</v>
      </c>
      <c r="F56" s="628" t="str">
        <f>IF(OR($C56="no",$D56="na",E56="na",$D56=0),"na",E56/($D56*Eqtn!$D$377))</f>
        <v>na</v>
      </c>
      <c r="G56" s="306" t="str">
        <f>'AR-Det'!J56</f>
        <v>na</v>
      </c>
      <c r="H56" s="1509" t="str">
        <f>IF(OR($C56="No",$D56="na",G56="na",$D56=0),"na",G56/($D56*Eqtn!$D$377))</f>
        <v>na</v>
      </c>
      <c r="I56" s="1513" t="str">
        <f>'AR-Det'!N56</f>
        <v>na</v>
      </c>
      <c r="J56" s="1509" t="str">
        <f>IF(OR($C56="No",$D56="na",I56="na",$D56=0),"na",I56/($D56*Eqtn!$D$377))</f>
        <v>na</v>
      </c>
      <c r="K56" s="734" t="s">
        <v>232</v>
      </c>
      <c r="M56" s="1062"/>
    </row>
    <row r="57" spans="1:13" ht="13.9" customHeight="1" x14ac:dyDescent="0.25">
      <c r="A57" s="847">
        <f>Chem!A57</f>
        <v>55</v>
      </c>
      <c r="B57" s="941" t="str">
        <f>Chem!B57</f>
        <v>Benzo(b)fluoranthene</v>
      </c>
      <c r="C57" s="1282" t="str">
        <f>Param!AF57</f>
        <v>no</v>
      </c>
      <c r="D57" s="343">
        <f>Param!M57</f>
        <v>6.0395683826469744E-6</v>
      </c>
      <c r="E57" s="627" t="str">
        <f>'AR-Det'!F57</f>
        <v>na</v>
      </c>
      <c r="F57" s="628" t="str">
        <f>IF(OR($C57="no",$D57="na",E57="na",$D57=0),"na",E57/($D57*Eqtn!$D$377))</f>
        <v>na</v>
      </c>
      <c r="G57" s="306" t="str">
        <f>'AR-Det'!J57</f>
        <v>na</v>
      </c>
      <c r="H57" s="1509" t="str">
        <f>IF(OR($C57="No",$D57="na",G57="na",$D57=0),"na",G57/($D57*Eqtn!$D$377))</f>
        <v>na</v>
      </c>
      <c r="I57" s="1513" t="str">
        <f>'AR-Det'!N57</f>
        <v>na</v>
      </c>
      <c r="J57" s="1509" t="str">
        <f>IF(OR($C57="No",$D57="na",I57="na",$D57=0),"na",I57/($D57*Eqtn!$D$377))</f>
        <v>na</v>
      </c>
      <c r="K57" s="734" t="s">
        <v>232</v>
      </c>
      <c r="M57" s="1062"/>
    </row>
    <row r="58" spans="1:13" ht="13.9" customHeight="1" x14ac:dyDescent="0.25">
      <c r="A58" s="847">
        <f>Chem!A58</f>
        <v>56</v>
      </c>
      <c r="B58" s="941" t="str">
        <f>Chem!B58</f>
        <v>Benzo(k)fluoranthene</v>
      </c>
      <c r="C58" s="1282" t="str">
        <f>Param!AF58</f>
        <v>no</v>
      </c>
      <c r="D58" s="343">
        <f>Param!M58</f>
        <v>4.2760559257760598E-6</v>
      </c>
      <c r="E58" s="627" t="str">
        <f>'AR-Det'!F58</f>
        <v>na</v>
      </c>
      <c r="F58" s="628" t="str">
        <f>IF(OR($C58="no",$D58="na",E58="na",$D58=0),"na",E58/($D58*Eqtn!$D$377))</f>
        <v>na</v>
      </c>
      <c r="G58" s="306" t="str">
        <f>'AR-Det'!J58</f>
        <v>na</v>
      </c>
      <c r="H58" s="1509" t="str">
        <f>IF(OR($C58="No",$D58="na",G58="na",$D58=0),"na",G58/($D58*Eqtn!$D$377))</f>
        <v>na</v>
      </c>
      <c r="I58" s="1513" t="str">
        <f>'AR-Det'!N58</f>
        <v>na</v>
      </c>
      <c r="J58" s="1509" t="str">
        <f>IF(OR($C58="No",$D58="na",I58="na",$D58=0),"na",I58/($D58*Eqtn!$D$377))</f>
        <v>na</v>
      </c>
      <c r="K58" s="734" t="s">
        <v>232</v>
      </c>
      <c r="M58" s="1062"/>
    </row>
    <row r="59" spans="1:13" ht="13.9" customHeight="1" x14ac:dyDescent="0.25">
      <c r="A59" s="847">
        <f>Chem!A59</f>
        <v>57</v>
      </c>
      <c r="B59" s="941" t="str">
        <f>Chem!B59</f>
        <v>Total benzofluoranthenes</v>
      </c>
      <c r="C59" s="1282" t="str">
        <f>Param!AF59</f>
        <v>no</v>
      </c>
      <c r="D59" s="343">
        <f>Param!M59</f>
        <v>0</v>
      </c>
      <c r="E59" s="627" t="str">
        <f>'AR-Det'!F59</f>
        <v>na</v>
      </c>
      <c r="F59" s="628" t="str">
        <f>IF(OR($C59="no",$D59="na",E59="na",$D59=0),"na",E59/($D59*Eqtn!$D$377))</f>
        <v>na</v>
      </c>
      <c r="G59" s="306" t="str">
        <f>'AR-Det'!J59</f>
        <v>na</v>
      </c>
      <c r="H59" s="1509" t="str">
        <f>IF(OR($C59="No",$D59="na",G59="na",$D59=0),"na",G59/($D59*Eqtn!$D$377))</f>
        <v>na</v>
      </c>
      <c r="I59" s="1513" t="str">
        <f>'AR-Det'!N59</f>
        <v>na</v>
      </c>
      <c r="J59" s="1509" t="str">
        <f>IF(OR($C59="No",$D59="na",I59="na",$D59=0),"na",I59/($D59*Eqtn!$D$377))</f>
        <v>na</v>
      </c>
      <c r="K59" s="734" t="s">
        <v>232</v>
      </c>
      <c r="M59" s="1062"/>
    </row>
    <row r="60" spans="1:13" ht="13.9" customHeight="1" x14ac:dyDescent="0.25">
      <c r="A60" s="847">
        <f>Chem!A60</f>
        <v>58</v>
      </c>
      <c r="B60" s="941" t="str">
        <f>Chem!B60</f>
        <v>Benzo(g,h,i)perylene</v>
      </c>
      <c r="C60" s="1282" t="str">
        <f>Param!AF60</f>
        <v>no</v>
      </c>
      <c r="D60" s="343">
        <f>Param!M60</f>
        <v>0</v>
      </c>
      <c r="E60" s="627" t="str">
        <f>'AR-Det'!F60</f>
        <v>na</v>
      </c>
      <c r="F60" s="628" t="str">
        <f>IF(OR($C60="no",$D60="na",E60="na",$D60=0),"na",E60/($D60*Eqtn!$D$377))</f>
        <v>na</v>
      </c>
      <c r="G60" s="306" t="str">
        <f>'AR-Det'!J60</f>
        <v>na</v>
      </c>
      <c r="H60" s="1509" t="str">
        <f>IF(OR($C60="No",$D60="na",G60="na",$D60=0),"na",G60/($D60*Eqtn!$D$377))</f>
        <v>na</v>
      </c>
      <c r="I60" s="1513" t="str">
        <f>'AR-Det'!N60</f>
        <v>na</v>
      </c>
      <c r="J60" s="1509" t="str">
        <f>IF(OR($C60="No",$D60="na",I60="na",$D60=0),"na",I60/($D60*Eqtn!$D$377))</f>
        <v>na</v>
      </c>
      <c r="K60" s="734" t="s">
        <v>232</v>
      </c>
      <c r="M60" s="1062"/>
    </row>
    <row r="61" spans="1:13" ht="13.9" customHeight="1" x14ac:dyDescent="0.25">
      <c r="A61" s="847">
        <f>Chem!A61</f>
        <v>59</v>
      </c>
      <c r="B61" s="941" t="str">
        <f>Chem!B61</f>
        <v>Benzo(a)pyrene</v>
      </c>
      <c r="C61" s="1282" t="str">
        <f>Param!AF61</f>
        <v>no</v>
      </c>
      <c r="D61" s="343">
        <f>Param!M61</f>
        <v>3.6074792186225586E-6</v>
      </c>
      <c r="E61" s="627" t="str">
        <f>'AR-Det'!F61</f>
        <v>na</v>
      </c>
      <c r="F61" s="628" t="str">
        <f>IF(OR($C61="no",$D61="na",E61="na",$D61=0),"na",E61/($D61*Eqtn!$D$377))</f>
        <v>na</v>
      </c>
      <c r="G61" s="306" t="str">
        <f>'AR-Det'!J61</f>
        <v>na</v>
      </c>
      <c r="H61" s="1509" t="str">
        <f>IF(OR($C61="No",$D61="na",G61="na",$D61=0),"na",G61/($D61*Eqtn!$D$377))</f>
        <v>na</v>
      </c>
      <c r="I61" s="1513" t="str">
        <f>'AR-Det'!N61</f>
        <v>na</v>
      </c>
      <c r="J61" s="1509" t="str">
        <f>IF(OR($C61="No",$D61="na",I61="na",$D61=0),"na",I61/($D61*Eqtn!$D$377))</f>
        <v>na</v>
      </c>
      <c r="K61" s="734" t="s">
        <v>232</v>
      </c>
      <c r="M61" s="1062"/>
    </row>
    <row r="62" spans="1:13" ht="13.9" customHeight="1" x14ac:dyDescent="0.25">
      <c r="A62" s="847">
        <f>Chem!A62</f>
        <v>60</v>
      </c>
      <c r="B62" s="941" t="str">
        <f>Chem!B62</f>
        <v>Chrysene</v>
      </c>
      <c r="C62" s="1282" t="str">
        <f>Param!AF62</f>
        <v>no</v>
      </c>
      <c r="D62" s="343">
        <f>Param!M62</f>
        <v>3.8728215206098689E-5</v>
      </c>
      <c r="E62" s="627" t="str">
        <f>'AR-Det'!F62</f>
        <v>na</v>
      </c>
      <c r="F62" s="628" t="str">
        <f>IF(OR($C62="no",$D62="na",E62="na",$D62=0),"na",E62/($D62*Eqtn!$D$377))</f>
        <v>na</v>
      </c>
      <c r="G62" s="306" t="str">
        <f>'AR-Det'!J62</f>
        <v>na</v>
      </c>
      <c r="H62" s="1509" t="str">
        <f>IF(OR($C62="No",$D62="na",G62="na",$D62=0),"na",G62/($D62*Eqtn!$D$377))</f>
        <v>na</v>
      </c>
      <c r="I62" s="1513" t="str">
        <f>'AR-Det'!N62</f>
        <v>na</v>
      </c>
      <c r="J62" s="1509" t="str">
        <f>IF(OR($C62="No",$D62="na",I62="na",$D62=0),"na",I62/($D62*Eqtn!$D$377))</f>
        <v>na</v>
      </c>
      <c r="K62" s="734" t="s">
        <v>232</v>
      </c>
      <c r="M62" s="1062"/>
    </row>
    <row r="63" spans="1:13" ht="13.9" customHeight="1" x14ac:dyDescent="0.25">
      <c r="A63" s="847">
        <f>Chem!A63</f>
        <v>61</v>
      </c>
      <c r="B63" s="941" t="str">
        <f>Chem!B63</f>
        <v>Dibenz(a,h)anthracene</v>
      </c>
      <c r="C63" s="1282" t="str">
        <f>Param!AF63</f>
        <v>no</v>
      </c>
      <c r="D63" s="343">
        <f>Param!M63</f>
        <v>7.4461727660409132E-7</v>
      </c>
      <c r="E63" s="627" t="str">
        <f>'AR-Det'!F63</f>
        <v>na</v>
      </c>
      <c r="F63" s="628" t="str">
        <f>IF(OR($C63="no",$D63="na",E63="na",$D63=0),"na",E63/($D63*Eqtn!$D$377))</f>
        <v>na</v>
      </c>
      <c r="G63" s="306" t="str">
        <f>'AR-Det'!J63</f>
        <v>na</v>
      </c>
      <c r="H63" s="1509" t="str">
        <f>IF(OR($C63="No",$D63="na",G63="na",$D63=0),"na",G63/($D63*Eqtn!$D$377))</f>
        <v>na</v>
      </c>
      <c r="I63" s="1513" t="str">
        <f>'AR-Det'!N63</f>
        <v>na</v>
      </c>
      <c r="J63" s="1509" t="str">
        <f>IF(OR($C63="No",$D63="na",I63="na",$D63=0),"na",I63/($D63*Eqtn!$D$377))</f>
        <v>na</v>
      </c>
      <c r="K63" s="734" t="s">
        <v>232</v>
      </c>
      <c r="M63" s="1062"/>
    </row>
    <row r="64" spans="1:13" ht="13.9" customHeight="1" x14ac:dyDescent="0.25">
      <c r="A64" s="847">
        <f>Chem!A64</f>
        <v>62</v>
      </c>
      <c r="B64" s="941" t="str">
        <f>Chem!B64</f>
        <v>Dibenzofuran</v>
      </c>
      <c r="C64" s="1282" t="str">
        <f>Param!AF64</f>
        <v>no</v>
      </c>
      <c r="D64" s="343">
        <f>Param!M64</f>
        <v>1.8446636375594245E-5</v>
      </c>
      <c r="E64" s="627" t="str">
        <f>'AR-Det'!F64</f>
        <v>na</v>
      </c>
      <c r="F64" s="628" t="str">
        <f>IF(OR($C64="no",$D64="na",E64="na",$D64=0),"na",E64/($D64*Eqtn!$D$377))</f>
        <v>na</v>
      </c>
      <c r="G64" s="306" t="str">
        <f>'AR-Det'!J64</f>
        <v>na</v>
      </c>
      <c r="H64" s="1509" t="str">
        <f>IF(OR($C64="No",$D64="na",G64="na",$D64=0),"na",G64/($D64*Eqtn!$D$377))</f>
        <v>na</v>
      </c>
      <c r="I64" s="1513" t="str">
        <f>'AR-Det'!N64</f>
        <v>na</v>
      </c>
      <c r="J64" s="1509" t="str">
        <f>IF(OR($C64="No",$D64="na",I64="na",$D64=0),"na",I64/($D64*Eqtn!$D$377))</f>
        <v>na</v>
      </c>
      <c r="K64" s="734" t="s">
        <v>232</v>
      </c>
      <c r="M64" s="1062"/>
    </row>
    <row r="65" spans="1:13" ht="13.9" customHeight="1" x14ac:dyDescent="0.25">
      <c r="A65" s="847">
        <f>Chem!A65</f>
        <v>63</v>
      </c>
      <c r="B65" s="941" t="str">
        <f>Chem!B65</f>
        <v>Fluoranthene</v>
      </c>
      <c r="C65" s="1282" t="str">
        <f>Param!AF65</f>
        <v>no</v>
      </c>
      <c r="D65" s="343">
        <f>Param!M65</f>
        <v>9.1381595381835005E-5</v>
      </c>
      <c r="E65" s="627" t="str">
        <f>'AR-Det'!F65</f>
        <v>na</v>
      </c>
      <c r="F65" s="628" t="str">
        <f>IF(OR($C65="no",$D65="na",E65="na",$D65=0),"na",E65/($D65*Eqtn!$D$377))</f>
        <v>na</v>
      </c>
      <c r="G65" s="306" t="str">
        <f>'AR-Det'!J65</f>
        <v>na</v>
      </c>
      <c r="H65" s="1509" t="str">
        <f>IF(OR($C65="No",$D65="na",G65="na",$D65=0),"na",G65/($D65*Eqtn!$D$377))</f>
        <v>na</v>
      </c>
      <c r="I65" s="1513" t="str">
        <f>'AR-Det'!N65</f>
        <v>na</v>
      </c>
      <c r="J65" s="1509" t="str">
        <f>IF(OR($C65="No",$D65="na",I65="na",$D65=0),"na",I65/($D65*Eqtn!$D$377))</f>
        <v>na</v>
      </c>
      <c r="K65" s="734" t="s">
        <v>232</v>
      </c>
      <c r="M65" s="1062"/>
    </row>
    <row r="66" spans="1:13" ht="13.9" customHeight="1" x14ac:dyDescent="0.25">
      <c r="A66" s="847">
        <f>Chem!A66</f>
        <v>64</v>
      </c>
      <c r="B66" s="941" t="str">
        <f>Chem!B66</f>
        <v>Fluorene</v>
      </c>
      <c r="C66" s="1282" t="str">
        <f>Param!AF66</f>
        <v>no</v>
      </c>
      <c r="D66" s="343">
        <f>Param!M66</f>
        <v>1.2347144718559023E-3</v>
      </c>
      <c r="E66" s="627" t="str">
        <f>'AR-Det'!F66</f>
        <v>na</v>
      </c>
      <c r="F66" s="628" t="str">
        <f>IF(OR($C66="no",$D66="na",E66="na",$D66=0),"na",E66/($D66*Eqtn!$D$377))</f>
        <v>na</v>
      </c>
      <c r="G66" s="306" t="str">
        <f>'AR-Det'!J66</f>
        <v>na</v>
      </c>
      <c r="H66" s="1509" t="str">
        <f>IF(OR($C66="No",$D66="na",G66="na",$D66=0),"na",G66/($D66*Eqtn!$D$377))</f>
        <v>na</v>
      </c>
      <c r="I66" s="1513" t="str">
        <f>'AR-Det'!N66</f>
        <v>na</v>
      </c>
      <c r="J66" s="1509" t="str">
        <f>IF(OR($C66="No",$D66="na",I66="na",$D66=0),"na",I66/($D66*Eqtn!$D$377))</f>
        <v>na</v>
      </c>
      <c r="K66" s="734" t="s">
        <v>232</v>
      </c>
      <c r="M66" s="1062"/>
    </row>
    <row r="67" spans="1:13" ht="13.9" customHeight="1" x14ac:dyDescent="0.25">
      <c r="A67" s="847">
        <f>Chem!A67</f>
        <v>65</v>
      </c>
      <c r="B67" s="941" t="str">
        <f>Chem!B67</f>
        <v>Indeno(1,2,3-cd)pyrene</v>
      </c>
      <c r="C67" s="1282" t="str">
        <f>Param!AF67</f>
        <v>no</v>
      </c>
      <c r="D67" s="343">
        <f>Param!M67</f>
        <v>2.0933003177472789E-6</v>
      </c>
      <c r="E67" s="627" t="str">
        <f>'AR-Det'!F67</f>
        <v>na</v>
      </c>
      <c r="F67" s="628" t="str">
        <f>IF(OR($C67="no",$D67="na",E67="na",$D67=0),"na",E67/($D67*Eqtn!$D$377))</f>
        <v>na</v>
      </c>
      <c r="G67" s="306" t="str">
        <f>'AR-Det'!J67</f>
        <v>na</v>
      </c>
      <c r="H67" s="1509" t="str">
        <f>IF(OR($C67="No",$D67="na",G67="na",$D67=0),"na",G67/($D67*Eqtn!$D$377))</f>
        <v>na</v>
      </c>
      <c r="I67" s="1513" t="str">
        <f>'AR-Det'!N67</f>
        <v>na</v>
      </c>
      <c r="J67" s="1509" t="str">
        <f>IF(OR($C67="No",$D67="na",I67="na",$D67=0),"na",I67/($D67*Eqtn!$D$377))</f>
        <v>na</v>
      </c>
      <c r="K67" s="734" t="s">
        <v>232</v>
      </c>
      <c r="M67" s="1062"/>
    </row>
    <row r="68" spans="1:13" ht="15" x14ac:dyDescent="0.25">
      <c r="A68" s="847">
        <f>Chem!A68</f>
        <v>66</v>
      </c>
      <c r="B68" s="941" t="str">
        <f>Chem!B68</f>
        <v>Methyl isopropyl phenanthrene (retene)</v>
      </c>
      <c r="C68" s="1282" t="str">
        <f>Param!AF68</f>
        <v>no</v>
      </c>
      <c r="D68" s="343">
        <f>Param!M68</f>
        <v>0</v>
      </c>
      <c r="E68" s="627" t="str">
        <f>'AR-Det'!F68</f>
        <v>na</v>
      </c>
      <c r="F68" s="628" t="str">
        <f>IF(OR($C68="no",$D68="na",E68="na",$D68=0),"na",E68/($D68*Eqtn!$D$377))</f>
        <v>na</v>
      </c>
      <c r="G68" s="306" t="str">
        <f>'AR-Det'!J68</f>
        <v>na</v>
      </c>
      <c r="H68" s="1509" t="str">
        <f>IF(OR($C68="No",$D68="na",G68="na",$D68=0),"na",G68/($D68*Eqtn!$D$377))</f>
        <v>na</v>
      </c>
      <c r="I68" s="1513" t="str">
        <f>'AR-Det'!N68</f>
        <v>na</v>
      </c>
      <c r="J68" s="1509" t="str">
        <f>IF(OR($C68="No",$D68="na",I68="na",$D68=0),"na",I68/($D68*Eqtn!$D$377))</f>
        <v>na</v>
      </c>
      <c r="K68" s="734" t="s">
        <v>232</v>
      </c>
      <c r="M68" s="1062"/>
    </row>
    <row r="69" spans="1:13" ht="13.9" customHeight="1" x14ac:dyDescent="0.25">
      <c r="A69" s="847">
        <f>Chem!A69</f>
        <v>67</v>
      </c>
      <c r="B69" s="941" t="str">
        <f>Chem!B69</f>
        <v>1-Methylnaphthalene</v>
      </c>
      <c r="C69" s="1282" t="str">
        <f>Param!AF69</f>
        <v>YES</v>
      </c>
      <c r="D69" s="343">
        <f>Param!M69</f>
        <v>8.1617787988793912E-3</v>
      </c>
      <c r="E69" s="627">
        <f>'AR-Det'!F69</f>
        <v>1.3714285714285714E-3</v>
      </c>
      <c r="F69" s="628">
        <f>IF(OR($C69="no",$D69="na",E69="na",$D69=0),"na",E69/($D69*Eqtn!$D$377))</f>
        <v>0.16803059789085045</v>
      </c>
      <c r="G69" s="306">
        <f>'AR-Det'!J69</f>
        <v>3.0000000000000001E-3</v>
      </c>
      <c r="H69" s="1509">
        <f>IF(OR($C69="No",$D69="na",G69="na",$D69=0),"na",G69/($D69*Eqtn!$D$377))</f>
        <v>0.36756693288623538</v>
      </c>
      <c r="I69" s="1513">
        <f>'AR-Det'!N69</f>
        <v>1.1679999999999998E-2</v>
      </c>
      <c r="J69" s="1509">
        <f>IF(OR($C69="No",$D69="na",I69="na",$D69=0),"na",I69/($D69*Eqtn!$D$377))</f>
        <v>1.431060592037076</v>
      </c>
      <c r="K69" s="734" t="s">
        <v>232</v>
      </c>
      <c r="M69" s="1062"/>
    </row>
    <row r="70" spans="1:13" ht="13.9" customHeight="1" x14ac:dyDescent="0.25">
      <c r="A70" s="847">
        <f>Chem!A70</f>
        <v>68</v>
      </c>
      <c r="B70" s="941" t="str">
        <f>Chem!B70</f>
        <v>2-Methylnaphthalene</v>
      </c>
      <c r="C70" s="1282" t="str">
        <f>Param!AF70</f>
        <v>no</v>
      </c>
      <c r="D70" s="343">
        <f>Param!M70</f>
        <v>7.0024121452667443E-3</v>
      </c>
      <c r="E70" s="627" t="str">
        <f>'AR-Det'!F70</f>
        <v>na</v>
      </c>
      <c r="F70" s="628" t="str">
        <f>IF(OR($C70="no",$D70="na",E70="na",$D70=0),"na",E70/($D70*Eqtn!$D$377))</f>
        <v>na</v>
      </c>
      <c r="G70" s="306" t="str">
        <f>'AR-Det'!J70</f>
        <v>na</v>
      </c>
      <c r="H70" s="1509" t="str">
        <f>IF(OR($C70="No",$D70="na",G70="na",$D70=0),"na",G70/($D70*Eqtn!$D$377))</f>
        <v>na</v>
      </c>
      <c r="I70" s="1513" t="str">
        <f>'AR-Det'!N70</f>
        <v>na</v>
      </c>
      <c r="J70" s="1509" t="str">
        <f>IF(OR($C70="No",$D70="na",I70="na",$D70=0),"na",I70/($D70*Eqtn!$D$377))</f>
        <v>na</v>
      </c>
      <c r="K70" s="734" t="s">
        <v>232</v>
      </c>
      <c r="M70" s="1062"/>
    </row>
    <row r="71" spans="1:13" ht="13.9" customHeight="1" x14ac:dyDescent="0.25">
      <c r="A71" s="847">
        <f>Chem!A71</f>
        <v>69</v>
      </c>
      <c r="B71" s="941" t="str">
        <f>Chem!B71</f>
        <v>Naphthalene</v>
      </c>
      <c r="C71" s="1282" t="str">
        <f>Param!AF71</f>
        <v>YES</v>
      </c>
      <c r="D71" s="343">
        <f>Param!M71</f>
        <v>8.318994175196404E-3</v>
      </c>
      <c r="E71" s="602">
        <f>'AR-Det'!F71</f>
        <v>7.3529411764705857E-2</v>
      </c>
      <c r="F71" s="628">
        <f>IF(OR($C71="no",$D71="na",E71="na",$D71=0),"na",E71/($D71*Eqtn!$D$377))</f>
        <v>8.8387382195720665</v>
      </c>
      <c r="G71" s="17">
        <f>'AR-Det'!J71</f>
        <v>0.73529411764705876</v>
      </c>
      <c r="H71" s="1509">
        <f>IF(OR($C71="No",$D71="na",G71="na",$D71=0),"na",G71/($D71*Eqtn!$D$377))</f>
        <v>88.38738219572069</v>
      </c>
      <c r="I71" s="1513">
        <f>'AR-Det'!N71</f>
        <v>0.34352941176470569</v>
      </c>
      <c r="J71" s="1509">
        <f>IF(OR($C71="No",$D71="na",I71="na",$D71=0),"na",I71/($D71*Eqtn!$D$377))</f>
        <v>41.294584961840684</v>
      </c>
      <c r="K71" s="734" t="s">
        <v>232</v>
      </c>
      <c r="M71" s="1062"/>
    </row>
    <row r="72" spans="1:13" ht="13.9" customHeight="1" x14ac:dyDescent="0.25">
      <c r="A72" s="847">
        <f>Chem!A72</f>
        <v>70</v>
      </c>
      <c r="B72" s="941" t="str">
        <f>Chem!B72</f>
        <v>Phenanthrene</v>
      </c>
      <c r="C72" s="1282" t="str">
        <f>Param!AF72</f>
        <v>no</v>
      </c>
      <c r="D72" s="343">
        <f>Param!M72</f>
        <v>0</v>
      </c>
      <c r="E72" s="627" t="str">
        <f>'AR-Det'!F72</f>
        <v>na</v>
      </c>
      <c r="F72" s="628" t="str">
        <f>IF(OR($C72="no",$D72="na",E72="na",$D72=0),"na",E72/($D72*Eqtn!$D$377))</f>
        <v>na</v>
      </c>
      <c r="G72" s="306" t="str">
        <f>'AR-Det'!J72</f>
        <v>na</v>
      </c>
      <c r="H72" s="1509" t="str">
        <f>IF(OR($C72="No",$D72="na",G72="na",$D72=0),"na",G72/($D72*Eqtn!$D$377))</f>
        <v>na</v>
      </c>
      <c r="I72" s="1513" t="str">
        <f>'AR-Det'!N72</f>
        <v>na</v>
      </c>
      <c r="J72" s="1509" t="str">
        <f>IF(OR($C72="No",$D72="na",I72="na",$D72=0),"na",I72/($D72*Eqtn!$D$377))</f>
        <v>na</v>
      </c>
      <c r="K72" s="734" t="s">
        <v>232</v>
      </c>
      <c r="M72" s="1062"/>
    </row>
    <row r="73" spans="1:13" ht="13.9" customHeight="1" x14ac:dyDescent="0.25">
      <c r="A73" s="847">
        <f>Chem!A73</f>
        <v>71</v>
      </c>
      <c r="B73" s="941" t="str">
        <f>Chem!B73</f>
        <v>Pyrene</v>
      </c>
      <c r="C73" s="1282" t="str">
        <f>Param!AF73</f>
        <v>no</v>
      </c>
      <c r="D73" s="343">
        <f>Param!M73</f>
        <v>1.1483911961661917E-4</v>
      </c>
      <c r="E73" s="627" t="str">
        <f>'AR-Det'!F73</f>
        <v>na</v>
      </c>
      <c r="F73" s="628" t="str">
        <f>IF(OR($C73="no",$D73="na",E73="na",$D73=0),"na",E73/($D73*Eqtn!$D$377))</f>
        <v>na</v>
      </c>
      <c r="G73" s="306" t="str">
        <f>'AR-Det'!J73</f>
        <v>na</v>
      </c>
      <c r="H73" s="1509" t="str">
        <f>IF(OR($C73="No",$D73="na",G73="na",$D73=0),"na",G73/($D73*Eqtn!$D$377))</f>
        <v>na</v>
      </c>
      <c r="I73" s="1513" t="str">
        <f>'AR-Det'!N73</f>
        <v>na</v>
      </c>
      <c r="J73" s="1509" t="str">
        <f>IF(OR($C73="No",$D73="na",I73="na",$D73=0),"na",I73/($D73*Eqtn!$D$377))</f>
        <v>na</v>
      </c>
      <c r="K73" s="734" t="s">
        <v>232</v>
      </c>
      <c r="M73" s="1062"/>
    </row>
    <row r="74" spans="1:13" ht="13.9" customHeight="1" x14ac:dyDescent="0.25">
      <c r="A74" s="847">
        <f>Chem!A74</f>
        <v>72</v>
      </c>
      <c r="B74" s="941" t="str">
        <f>Chem!B74</f>
        <v>Total LPAHs</v>
      </c>
      <c r="C74" s="1282" t="str">
        <f>Param!AF74</f>
        <v>no</v>
      </c>
      <c r="D74" s="343">
        <f>Param!M74</f>
        <v>0</v>
      </c>
      <c r="E74" s="627" t="str">
        <f>'AR-Det'!F74</f>
        <v>na</v>
      </c>
      <c r="F74" s="628" t="str">
        <f>IF(OR($C74="no",$D74="na",E74="na",$D74=0),"na",E74/($D74*Eqtn!$D$377))</f>
        <v>na</v>
      </c>
      <c r="G74" s="306" t="str">
        <f>'AR-Det'!J74</f>
        <v>na</v>
      </c>
      <c r="H74" s="1509" t="str">
        <f>IF(OR($C74="No",$D74="na",G74="na",$D74=0),"na",G74/($D74*Eqtn!$D$377))</f>
        <v>na</v>
      </c>
      <c r="I74" s="1513" t="str">
        <f>'AR-Det'!N74</f>
        <v>na</v>
      </c>
      <c r="J74" s="1509" t="str">
        <f>IF(OR($C74="No",$D74="na",I74="na",$D74=0),"na",I74/($D74*Eqtn!$D$377))</f>
        <v>na</v>
      </c>
      <c r="K74" s="734" t="s">
        <v>232</v>
      </c>
      <c r="M74" s="1062"/>
    </row>
    <row r="75" spans="1:13" ht="13.9" customHeight="1" x14ac:dyDescent="0.25">
      <c r="A75" s="847">
        <f>Chem!A75</f>
        <v>73</v>
      </c>
      <c r="B75" s="941" t="str">
        <f>Chem!B75</f>
        <v>Total HPAHs</v>
      </c>
      <c r="C75" s="1282" t="str">
        <f>Param!AF75</f>
        <v>no</v>
      </c>
      <c r="D75" s="343">
        <f>Param!M75</f>
        <v>0</v>
      </c>
      <c r="E75" s="627" t="str">
        <f>'AR-Det'!F75</f>
        <v>na</v>
      </c>
      <c r="F75" s="628" t="str">
        <f>IF(OR($C75="no",$D75="na",E75="na",$D75=0),"na",E75/($D75*Eqtn!$D$377))</f>
        <v>na</v>
      </c>
      <c r="G75" s="306" t="str">
        <f>'AR-Det'!J75</f>
        <v>na</v>
      </c>
      <c r="H75" s="1509" t="str">
        <f>IF(OR($C75="No",$D75="na",G75="na",$D75=0),"na",G75/($D75*Eqtn!$D$377))</f>
        <v>na</v>
      </c>
      <c r="I75" s="1513" t="str">
        <f>'AR-Det'!N75</f>
        <v>na</v>
      </c>
      <c r="J75" s="1509" t="str">
        <f>IF(OR($C75="No",$D75="na",I75="na",$D75=0),"na",I75/($D75*Eqtn!$D$377))</f>
        <v>na</v>
      </c>
      <c r="K75" s="734" t="s">
        <v>232</v>
      </c>
      <c r="M75" s="1062"/>
    </row>
    <row r="76" spans="1:13" ht="13.9" customHeight="1" x14ac:dyDescent="0.25">
      <c r="A76" s="842">
        <f>Chem!A76</f>
        <v>74</v>
      </c>
      <c r="B76" s="941" t="str">
        <f>Chem!B76</f>
        <v>Total PAHs</v>
      </c>
      <c r="C76" s="1282" t="str">
        <f>Param!AF76</f>
        <v>no</v>
      </c>
      <c r="D76" s="343">
        <f>Param!M76</f>
        <v>0</v>
      </c>
      <c r="E76" s="627" t="str">
        <f>'AR-Det'!F76</f>
        <v>na</v>
      </c>
      <c r="F76" s="628" t="str">
        <f>IF(OR($C76="no",$D76="na",E76="na",$D76=0),"na",E76/($D76*Eqtn!$D$377))</f>
        <v>na</v>
      </c>
      <c r="G76" s="306" t="str">
        <f>'AR-Det'!J76</f>
        <v>na</v>
      </c>
      <c r="H76" s="1509" t="str">
        <f>IF(OR($C76="No",$D76="na",G76="na",$D76=0),"na",G76/($D76*Eqtn!$D$377))</f>
        <v>na</v>
      </c>
      <c r="I76" s="1513" t="str">
        <f>'AR-Det'!N76</f>
        <v>na</v>
      </c>
      <c r="J76" s="1509" t="str">
        <f>IF(OR($C76="No",$D76="na",I76="na",$D76=0),"na",I76/($D76*Eqtn!$D$377))</f>
        <v>na</v>
      </c>
      <c r="K76" s="734" t="s">
        <v>232</v>
      </c>
      <c r="M76" s="1062"/>
    </row>
    <row r="77" spans="1:13" ht="13.9" customHeight="1" x14ac:dyDescent="0.25">
      <c r="A77" s="844">
        <f>Chem!A77</f>
        <v>75</v>
      </c>
      <c r="B77" s="941" t="str">
        <f>Chem!B77</f>
        <v>Total cPAH TEQ</v>
      </c>
      <c r="C77" s="1283" t="str">
        <f>Param!AF77</f>
        <v>no</v>
      </c>
      <c r="D77" s="532">
        <f>Param!M77</f>
        <v>3.6074792186225586E-6</v>
      </c>
      <c r="E77" s="627">
        <f>'AR-Det'!F77</f>
        <v>1.0970000000000001E-3</v>
      </c>
      <c r="F77" s="628" t="str">
        <f>IF(OR($C77="no",$D77="na",E77="na",$D77=0),"na",E77/($D77*Eqtn!$D$377))</f>
        <v>na</v>
      </c>
      <c r="G77" s="306">
        <f>'AR-Det'!J77</f>
        <v>4.1666666666666671E-2</v>
      </c>
      <c r="H77" s="1509" t="str">
        <f>IF(OR($C77="No",$D77="na",G77="na",$D77=0),"na",G77/($D77*Eqtn!$D$377))</f>
        <v>na</v>
      </c>
      <c r="I77" s="1515">
        <f>'AR-Det'!N77</f>
        <v>1.946666666666666E-2</v>
      </c>
      <c r="J77" s="1510" t="str">
        <f>IF(OR($C77="No",$D77="na",I77="na",$D77=0),"na",I77/($D77*Eqtn!$D$377))</f>
        <v>na</v>
      </c>
      <c r="K77" s="736" t="s">
        <v>232</v>
      </c>
      <c r="M77" s="1062"/>
    </row>
    <row r="78" spans="1:13" ht="13.9" customHeight="1" x14ac:dyDescent="0.25">
      <c r="A78" s="906">
        <f>Chem!A78</f>
        <v>76</v>
      </c>
      <c r="B78" s="943" t="str">
        <f>Chem!B78</f>
        <v>Other SVOCs</v>
      </c>
      <c r="C78" s="2345"/>
      <c r="D78" s="259"/>
      <c r="E78" s="127"/>
      <c r="F78" s="44"/>
      <c r="G78" s="127"/>
      <c r="H78" s="44"/>
      <c r="I78" s="44"/>
      <c r="J78" s="44"/>
      <c r="K78" s="55"/>
      <c r="M78" s="1063"/>
    </row>
    <row r="79" spans="1:13" ht="13.9" customHeight="1" x14ac:dyDescent="0.25">
      <c r="A79" s="846">
        <f>Chem!A79</f>
        <v>77</v>
      </c>
      <c r="B79" s="941" t="str">
        <f>Chem!B79</f>
        <v>Aniline</v>
      </c>
      <c r="C79" s="1284" t="str">
        <f>Param!AF79</f>
        <v>no</v>
      </c>
      <c r="D79" s="393">
        <f>Param!M79</f>
        <v>3.6020560358502435E-5</v>
      </c>
      <c r="E79" s="602">
        <f>'AR-Det'!F79</f>
        <v>0.45714285714285718</v>
      </c>
      <c r="F79" s="628" t="str">
        <f>IF(OR($C79="no",$D79="na",E79="na",$D79=0),"na",E79/($D79*Eqtn!$D$377))</f>
        <v>na</v>
      </c>
      <c r="G79" s="17">
        <f>'AR-Det'!J79</f>
        <v>1</v>
      </c>
      <c r="H79" s="1509" t="str">
        <f>IF(OR($C79="No",$D79="na",G79="na",$D79=0),"na",G79/($D79*Eqtn!$D$377))</f>
        <v>na</v>
      </c>
      <c r="I79" s="1516">
        <f>'AR-Det'!N79</f>
        <v>3.8933333333333331</v>
      </c>
      <c r="J79" s="1534" t="str">
        <f>IF(OR($C79="No",$D79="na",I79="na",$D79=0),"na",I79/($D79*Eqtn!$D$377))</f>
        <v>na</v>
      </c>
      <c r="K79" s="1517" t="s">
        <v>232</v>
      </c>
      <c r="M79" s="1062"/>
    </row>
    <row r="80" spans="1:13" ht="13.9" customHeight="1" x14ac:dyDescent="0.25">
      <c r="A80" s="847">
        <f>Chem!A80</f>
        <v>78</v>
      </c>
      <c r="B80" s="941" t="str">
        <f>Chem!B80</f>
        <v>Azobenzene</v>
      </c>
      <c r="C80" s="1282" t="str">
        <f>Param!AF80</f>
        <v>no</v>
      </c>
      <c r="D80" s="343">
        <f>Param!M80</f>
        <v>1.907213710501841E-4</v>
      </c>
      <c r="E80" s="627">
        <f>'AR-Det'!F80</f>
        <v>8.0645161290322578E-2</v>
      </c>
      <c r="F80" s="628" t="str">
        <f>IF(OR($C80="no",$D80="na",E80="na",$D80=0),"na",E80/($D80*Eqtn!$D$377))</f>
        <v>na</v>
      </c>
      <c r="G80" s="306">
        <f>'AR-Det'!J80</f>
        <v>0.80645161290322587</v>
      </c>
      <c r="H80" s="1509" t="str">
        <f>IF(OR($C80="No",$D80="na",G80="na",$D80=0),"na",G80/($D80*Eqtn!$D$377))</f>
        <v>na</v>
      </c>
      <c r="I80" s="1513">
        <f>'AR-Det'!N80</f>
        <v>0.37677419354838698</v>
      </c>
      <c r="J80" s="1509" t="str">
        <f>IF(OR($C80="No",$D80="na",I80="na",$D80=0),"na",I80/($D80*Eqtn!$D$377))</f>
        <v>na</v>
      </c>
      <c r="K80" s="734" t="s">
        <v>232</v>
      </c>
      <c r="M80" s="1062"/>
    </row>
    <row r="81" spans="1:13" ht="13.9" customHeight="1" x14ac:dyDescent="0.25">
      <c r="A81" s="847">
        <f>Chem!A81</f>
        <v>79</v>
      </c>
      <c r="B81" s="941" t="str">
        <f>Chem!B81</f>
        <v>Benzidine</v>
      </c>
      <c r="C81" s="1282" t="str">
        <f>Param!AF81</f>
        <v>no</v>
      </c>
      <c r="D81" s="343">
        <f>Param!M81</f>
        <v>4.886965518098135E-10</v>
      </c>
      <c r="E81" s="602">
        <f>'AR-Det'!F81</f>
        <v>9.7999999999999993E-6</v>
      </c>
      <c r="F81" s="628" t="str">
        <f>IF(OR($C81="no",$D81="na",E81="na",$D81=0),"na",E81/($D81*Eqtn!$D$377))</f>
        <v>na</v>
      </c>
      <c r="G81" s="17">
        <f>'AR-Det'!J81</f>
        <v>3.7313432835820901E-4</v>
      </c>
      <c r="H81" s="1509" t="str">
        <f>IF(OR($C81="No",$D81="na",G81="na",$D81=0),"na",G81/($D81*Eqtn!$D$377))</f>
        <v>na</v>
      </c>
      <c r="I81" s="1513">
        <f>'AR-Det'!N81</f>
        <v>1.7432835820895516E-4</v>
      </c>
      <c r="J81" s="1509" t="str">
        <f>IF(OR($C81="No",$D81="na",I81="na",$D81=0),"na",I81/($D81*Eqtn!$D$377))</f>
        <v>na</v>
      </c>
      <c r="K81" s="734" t="s">
        <v>232</v>
      </c>
      <c r="M81" s="1062"/>
    </row>
    <row r="82" spans="1:13" ht="13.9" customHeight="1" x14ac:dyDescent="0.25">
      <c r="A82" s="847">
        <f>Chem!A82</f>
        <v>80</v>
      </c>
      <c r="B82" s="941" t="str">
        <f>Chem!B82</f>
        <v>Benzoic acid</v>
      </c>
      <c r="C82" s="1282" t="str">
        <f>Param!AF82</f>
        <v>no</v>
      </c>
      <c r="D82" s="343">
        <f>Param!M82</f>
        <v>5.2039108103926725E-7</v>
      </c>
      <c r="E82" s="602" t="str">
        <f>'AR-Det'!F82</f>
        <v>na</v>
      </c>
      <c r="F82" s="628" t="str">
        <f>IF(OR($C82="no",$D82="na",E82="na",$D82=0),"na",E82/($D82*Eqtn!$D$377))</f>
        <v>na</v>
      </c>
      <c r="G82" s="17" t="str">
        <f>'AR-Det'!J82</f>
        <v>na</v>
      </c>
      <c r="H82" s="1509" t="str">
        <f>IF(OR($C82="No",$D82="na",G82="na",$D82=0),"na",G82/($D82*Eqtn!$D$377))</f>
        <v>na</v>
      </c>
      <c r="I82" s="1513" t="str">
        <f>'AR-Det'!N82</f>
        <v>na</v>
      </c>
      <c r="J82" s="1509" t="str">
        <f>IF(OR($C82="No",$D82="na",I82="na",$D82=0),"na",I82/($D82*Eqtn!$D$377))</f>
        <v>na</v>
      </c>
      <c r="K82" s="734" t="s">
        <v>232</v>
      </c>
      <c r="M82" s="1062"/>
    </row>
    <row r="83" spans="1:13" ht="13.9" customHeight="1" x14ac:dyDescent="0.25">
      <c r="A83" s="847">
        <f>Chem!A83</f>
        <v>81</v>
      </c>
      <c r="B83" s="941" t="str">
        <f>Chem!B83</f>
        <v>Benzyl alcohol</v>
      </c>
      <c r="C83" s="1282" t="str">
        <f>Param!AF83</f>
        <v>no</v>
      </c>
      <c r="D83" s="343">
        <f>Param!M83</f>
        <v>4.919075438828267E-6</v>
      </c>
      <c r="E83" s="602" t="str">
        <f>'AR-Det'!F83</f>
        <v>na</v>
      </c>
      <c r="F83" s="628" t="str">
        <f>IF(OR($C83="no",$D83="na",E83="na",$D83=0),"na",E83/($D83*Eqtn!$D$377))</f>
        <v>na</v>
      </c>
      <c r="G83" s="17" t="str">
        <f>'AR-Det'!J83</f>
        <v>na</v>
      </c>
      <c r="H83" s="1509" t="str">
        <f>IF(OR($C83="No",$D83="na",G83="na",$D83=0),"na",G83/($D83*Eqtn!$D$377))</f>
        <v>na</v>
      </c>
      <c r="I83" s="1513" t="str">
        <f>'AR-Det'!N83</f>
        <v>na</v>
      </c>
      <c r="J83" s="1509" t="str">
        <f>IF(OR($C83="No",$D83="na",I83="na",$D83=0),"na",I83/($D83*Eqtn!$D$377))</f>
        <v>na</v>
      </c>
      <c r="K83" s="734" t="s">
        <v>232</v>
      </c>
      <c r="M83" s="1062"/>
    </row>
    <row r="84" spans="1:13" ht="13.9" customHeight="1" x14ac:dyDescent="0.25">
      <c r="A84" s="847">
        <f>Chem!A84</f>
        <v>82</v>
      </c>
      <c r="B84" s="941" t="str">
        <f>Chem!B84</f>
        <v>Bis(2-chloroethoxy)methane</v>
      </c>
      <c r="C84" s="1282" t="str">
        <f>Param!AF84</f>
        <v>no</v>
      </c>
      <c r="D84" s="343">
        <f>Param!M84</f>
        <v>6.5646037131180564E-5</v>
      </c>
      <c r="E84" s="631" t="str">
        <f>'AR-Det'!F84</f>
        <v>na</v>
      </c>
      <c r="F84" s="628" t="str">
        <f>IF(OR($C84="no",$D84="na",E84="na",$D84=0),"na",E84/($D84*Eqtn!$D$377))</f>
        <v>na</v>
      </c>
      <c r="G84" s="307" t="str">
        <f>'AR-Det'!J84</f>
        <v>na</v>
      </c>
      <c r="H84" s="1509" t="str">
        <f>IF(OR($C84="No",$D84="na",G84="na",$D84=0),"na",G84/($D84*Eqtn!$D$377))</f>
        <v>na</v>
      </c>
      <c r="I84" s="1513" t="str">
        <f>'AR-Det'!N84</f>
        <v>na</v>
      </c>
      <c r="J84" s="1509" t="str">
        <f>IF(OR($C84="No",$D84="na",I84="na",$D84=0),"na",I84/($D84*Eqtn!$D$377))</f>
        <v>na</v>
      </c>
      <c r="K84" s="734" t="s">
        <v>232</v>
      </c>
      <c r="M84" s="1062"/>
    </row>
    <row r="85" spans="1:13" ht="13.9" customHeight="1" x14ac:dyDescent="0.25">
      <c r="A85" s="847">
        <f>Chem!A85</f>
        <v>83</v>
      </c>
      <c r="B85" s="941" t="str">
        <f>Chem!B85</f>
        <v>Bis(2-chloroethyl)ether</v>
      </c>
      <c r="C85" s="1282" t="str">
        <f>Param!AF85</f>
        <v>no</v>
      </c>
      <c r="D85" s="343">
        <f>Param!M85</f>
        <v>2.7884751232172631E-4</v>
      </c>
      <c r="E85" s="632">
        <f>'AR-Det'!F85</f>
        <v>7.5757575757575751E-3</v>
      </c>
      <c r="F85" s="628" t="str">
        <f>IF(OR($C85="no",$D85="na",E85="na",$D85=0),"na",E85/($D85*Eqtn!$D$377))</f>
        <v>na</v>
      </c>
      <c r="G85" s="308">
        <f>'AR-Det'!J85</f>
        <v>7.575757575757576E-2</v>
      </c>
      <c r="H85" s="1509" t="str">
        <f>IF(OR($C85="No",$D85="na",G85="na",$D85=0),"na",G85/($D85*Eqtn!$D$377))</f>
        <v>na</v>
      </c>
      <c r="I85" s="1513">
        <f>'AR-Det'!N85</f>
        <v>3.539393939393938E-2</v>
      </c>
      <c r="J85" s="1509" t="str">
        <f>IF(OR($C85="No",$D85="na",I85="na",$D85=0),"na",I85/($D85*Eqtn!$D$377))</f>
        <v>na</v>
      </c>
      <c r="K85" s="734" t="s">
        <v>232</v>
      </c>
      <c r="M85" s="1062"/>
    </row>
    <row r="86" spans="1:13" ht="13.9" customHeight="1" x14ac:dyDescent="0.25">
      <c r="A86" s="847">
        <f>Chem!A86</f>
        <v>84</v>
      </c>
      <c r="B86" s="941" t="str">
        <f>Chem!B86</f>
        <v>Bis(chloromethyl)ether</v>
      </c>
      <c r="C86" s="1282" t="str">
        <f>Param!AF86</f>
        <v>no</v>
      </c>
      <c r="D86" s="343">
        <f>Param!M86</f>
        <v>9.4140346558596294E-2</v>
      </c>
      <c r="E86" s="632">
        <f>'AR-Det'!F86</f>
        <v>4.0322580645161277E-5</v>
      </c>
      <c r="F86" s="628" t="str">
        <f>IF(OR($C86="no",$D86="na",E86="na",$D86=0),"na",E86/($D86*Eqtn!$D$377))</f>
        <v>na</v>
      </c>
      <c r="G86" s="308">
        <f>'AR-Det'!J86</f>
        <v>4.0322580645161285E-4</v>
      </c>
      <c r="H86" s="1509" t="str">
        <f>IF(OR($C86="No",$D86="na",G86="na",$D86=0),"na",G86/($D86*Eqtn!$D$377))</f>
        <v>na</v>
      </c>
      <c r="I86" s="1513">
        <f>'AR-Det'!N86</f>
        <v>1.8838709677419343E-4</v>
      </c>
      <c r="J86" s="1509" t="str">
        <f>IF(OR($C86="No",$D86="na",I86="na",$D86=0),"na",I86/($D86*Eqtn!$D$377))</f>
        <v>na</v>
      </c>
      <c r="K86" s="734" t="s">
        <v>232</v>
      </c>
      <c r="M86" s="1062"/>
    </row>
    <row r="87" spans="1:13" ht="13.9" customHeight="1" x14ac:dyDescent="0.25">
      <c r="A87" s="847">
        <f>Chem!A87</f>
        <v>85</v>
      </c>
      <c r="B87" s="941" t="str">
        <f>Chem!B87</f>
        <v xml:space="preserve">Bis(2-chloro-1-methylethyl)ether </v>
      </c>
      <c r="C87" s="1282" t="str">
        <f>Param!AF87</f>
        <v>no</v>
      </c>
      <c r="D87" s="343">
        <f>Param!M87</f>
        <v>1.3515082062352801E-3</v>
      </c>
      <c r="E87" s="602">
        <f>'AR-Det'!F87</f>
        <v>0.24999999999999989</v>
      </c>
      <c r="F87" s="628" t="str">
        <f>IF(OR($C87="no",$D87="na",E87="na",$D87=0),"na",E87/($D87*Eqtn!$D$377))</f>
        <v>na</v>
      </c>
      <c r="G87" s="17">
        <f>'AR-Det'!J87</f>
        <v>2.4999999999999996</v>
      </c>
      <c r="H87" s="1509" t="str">
        <f>IF(OR($C87="No",$D87="na",G87="na",$D87=0),"na",G87/($D87*Eqtn!$D$377))</f>
        <v>na</v>
      </c>
      <c r="I87" s="1513">
        <f>'AR-Det'!N87</f>
        <v>1.1679999999999993</v>
      </c>
      <c r="J87" s="1509" t="str">
        <f>IF(OR($C87="No",$D87="na",I87="na",$D87=0),"na",I87/($D87*Eqtn!$D$377))</f>
        <v>na</v>
      </c>
      <c r="K87" s="734" t="s">
        <v>232</v>
      </c>
      <c r="M87" s="1062"/>
    </row>
    <row r="88" spans="1:13" ht="13.9" customHeight="1" x14ac:dyDescent="0.25">
      <c r="A88" s="847">
        <f>Chem!A88</f>
        <v>86</v>
      </c>
      <c r="B88" s="941" t="str">
        <f>Chem!B88</f>
        <v>2,6-Bis(1,1-dimethylethyl) phenol</v>
      </c>
      <c r="C88" s="1282" t="str">
        <f>Param!AF88</f>
        <v>no</v>
      </c>
      <c r="D88" s="343">
        <f>Param!M88</f>
        <v>0</v>
      </c>
      <c r="E88" s="631" t="str">
        <f>'AR-Det'!F88</f>
        <v>na</v>
      </c>
      <c r="F88" s="628" t="str">
        <f>IF(OR($C88="no",$D88="na",E88="na",$D88=0),"na",E88/($D88*Eqtn!$D$377))</f>
        <v>na</v>
      </c>
      <c r="G88" s="307" t="str">
        <f>'AR-Det'!J88</f>
        <v>na</v>
      </c>
      <c r="H88" s="1509" t="str">
        <f>IF(OR($C88="No",$D88="na",G88="na",$D88=0),"na",G88/($D88*Eqtn!$D$377))</f>
        <v>na</v>
      </c>
      <c r="I88" s="1513" t="str">
        <f>'AR-Det'!N88</f>
        <v>na</v>
      </c>
      <c r="J88" s="1509" t="str">
        <f>IF(OR($C88="No",$D88="na",I88="na",$D88=0),"na",I88/($D88*Eqtn!$D$377))</f>
        <v>na</v>
      </c>
      <c r="K88" s="734" t="s">
        <v>232</v>
      </c>
      <c r="M88" s="1062"/>
    </row>
    <row r="89" spans="1:13" ht="13.9" customHeight="1" x14ac:dyDescent="0.25">
      <c r="A89" s="847">
        <f>Chem!A89</f>
        <v>87</v>
      </c>
      <c r="B89" s="941" t="str">
        <f>Chem!B89</f>
        <v>Bis(2-ethylhexyl) phthalate</v>
      </c>
      <c r="C89" s="1282" t="str">
        <f>Param!AF89</f>
        <v>no</v>
      </c>
      <c r="D89" s="343">
        <f>Param!M89</f>
        <v>2.3446563586162589E-6</v>
      </c>
      <c r="E89" s="602">
        <f>'AR-Det'!F89</f>
        <v>1.0416666666666665</v>
      </c>
      <c r="F89" s="628" t="str">
        <f>IF(OR($C89="no",$D89="na",E89="na",$D89=0),"na",E89/($D89*Eqtn!$D$377))</f>
        <v>na</v>
      </c>
      <c r="G89" s="17">
        <f>'AR-Det'!J89</f>
        <v>10.416666666666668</v>
      </c>
      <c r="H89" s="1509" t="str">
        <f>IF(OR($C89="No",$D89="na",G89="na",$D89=0),"na",G89/($D89*Eqtn!$D$377))</f>
        <v>na</v>
      </c>
      <c r="I89" s="1513">
        <f>'AR-Det'!N89</f>
        <v>4.8666666666666654</v>
      </c>
      <c r="J89" s="1509" t="str">
        <f>IF(OR($C89="No",$D89="na",I89="na",$D89=0),"na",I89/($D89*Eqtn!$D$377))</f>
        <v>na</v>
      </c>
      <c r="K89" s="734" t="s">
        <v>232</v>
      </c>
      <c r="M89" s="1062"/>
    </row>
    <row r="90" spans="1:13" ht="13.9" customHeight="1" x14ac:dyDescent="0.25">
      <c r="A90" s="847">
        <f>Chem!A90</f>
        <v>88</v>
      </c>
      <c r="B90" s="941" t="str">
        <f>Chem!B90</f>
        <v>4-Bromophenyl phenyl ether</v>
      </c>
      <c r="C90" s="1282" t="str">
        <f>Param!AF90</f>
        <v>no</v>
      </c>
      <c r="D90" s="343">
        <f>Param!M90</f>
        <v>0</v>
      </c>
      <c r="E90" s="631" t="str">
        <f>'AR-Det'!F90</f>
        <v>na</v>
      </c>
      <c r="F90" s="628" t="str">
        <f>IF(OR($C90="no",$D90="na",E90="na",$D90=0),"na",E90/($D90*Eqtn!$D$377))</f>
        <v>na</v>
      </c>
      <c r="G90" s="307" t="str">
        <f>'AR-Det'!J90</f>
        <v>na</v>
      </c>
      <c r="H90" s="1509" t="str">
        <f>IF(OR($C90="No",$D90="na",G90="na",$D90=0),"na",G90/($D90*Eqtn!$D$377))</f>
        <v>na</v>
      </c>
      <c r="I90" s="1513" t="str">
        <f>'AR-Det'!N90</f>
        <v>na</v>
      </c>
      <c r="J90" s="1509" t="str">
        <f>IF(OR($C90="No",$D90="na",I90="na",$D90=0),"na",I90/($D90*Eqtn!$D$377))</f>
        <v>na</v>
      </c>
      <c r="K90" s="734" t="s">
        <v>232</v>
      </c>
      <c r="M90" s="1062"/>
    </row>
    <row r="91" spans="1:13" ht="13.9" customHeight="1" x14ac:dyDescent="0.25">
      <c r="A91" s="847">
        <f>Chem!A91</f>
        <v>89</v>
      </c>
      <c r="B91" s="941" t="str">
        <f>Chem!B91</f>
        <v>Butyl benzyl phthalate</v>
      </c>
      <c r="C91" s="1282" t="str">
        <f>Param!AF91</f>
        <v>no</v>
      </c>
      <c r="D91" s="343">
        <f>Param!M91</f>
        <v>1.4670792367413567E-5</v>
      </c>
      <c r="E91" s="602" t="str">
        <f>'AR-Det'!F91</f>
        <v>na</v>
      </c>
      <c r="F91" s="628" t="str">
        <f>IF(OR($C91="no",$D91="na",E91="na",$D91=0),"na",E91/($D91*Eqtn!$D$377))</f>
        <v>na</v>
      </c>
      <c r="G91" s="17" t="str">
        <f>'AR-Det'!J91</f>
        <v>na</v>
      </c>
      <c r="H91" s="1509" t="str">
        <f>IF(OR($C91="No",$D91="na",G91="na",$D91=0),"na",G91/($D91*Eqtn!$D$377))</f>
        <v>na</v>
      </c>
      <c r="I91" s="1513" t="str">
        <f>'AR-Det'!N91</f>
        <v>na</v>
      </c>
      <c r="J91" s="1509" t="str">
        <f>IF(OR($C91="No",$D91="na",I91="na",$D91=0),"na",I91/($D91*Eqtn!$D$377))</f>
        <v>na</v>
      </c>
      <c r="K91" s="734" t="s">
        <v>232</v>
      </c>
      <c r="M91" s="1062"/>
    </row>
    <row r="92" spans="1:13" ht="13.9" customHeight="1" x14ac:dyDescent="0.25">
      <c r="A92" s="847">
        <f>Chem!A92</f>
        <v>90</v>
      </c>
      <c r="B92" s="941" t="str">
        <f>Chem!B92</f>
        <v>Butyl diphenyl phosphate</v>
      </c>
      <c r="C92" s="1282" t="str">
        <f>Param!AF92</f>
        <v>no</v>
      </c>
      <c r="D92" s="343">
        <f>Param!M92</f>
        <v>0</v>
      </c>
      <c r="E92" s="631" t="str">
        <f>'AR-Det'!F92</f>
        <v>na</v>
      </c>
      <c r="F92" s="628" t="str">
        <f>IF(OR($C92="no",$D92="na",E92="na",$D92=0),"na",E92/($D92*Eqtn!$D$377))</f>
        <v>na</v>
      </c>
      <c r="G92" s="307" t="str">
        <f>'AR-Det'!J92</f>
        <v>na</v>
      </c>
      <c r="H92" s="1509" t="str">
        <f>IF(OR($C92="No",$D92="na",G92="na",$D92=0),"na",G92/($D92*Eqtn!$D$377))</f>
        <v>na</v>
      </c>
      <c r="I92" s="1513" t="str">
        <f>'AR-Det'!N92</f>
        <v>na</v>
      </c>
      <c r="J92" s="1509" t="str">
        <f>IF(OR($C92="No",$D92="na",I92="na",$D92=0),"na",I92/($D92*Eqtn!$D$377))</f>
        <v>na</v>
      </c>
      <c r="K92" s="734" t="s">
        <v>232</v>
      </c>
      <c r="M92" s="1062"/>
    </row>
    <row r="93" spans="1:13" ht="13.9" customHeight="1" x14ac:dyDescent="0.25">
      <c r="A93" s="847">
        <f>Chem!A93</f>
        <v>91</v>
      </c>
      <c r="B93" s="941" t="str">
        <f>Chem!B93</f>
        <v>Carbazole</v>
      </c>
      <c r="C93" s="1282" t="str">
        <f>Param!AF93</f>
        <v>no</v>
      </c>
      <c r="D93" s="343">
        <f>Param!M93</f>
        <v>0</v>
      </c>
      <c r="E93" s="632" t="str">
        <f>'AR-Det'!F93</f>
        <v>na</v>
      </c>
      <c r="F93" s="628" t="str">
        <f>IF(OR($C93="no",$D93="na",E93="na",$D93=0),"na",E93/($D93*Eqtn!$D$377))</f>
        <v>na</v>
      </c>
      <c r="G93" s="308" t="str">
        <f>'AR-Det'!J93</f>
        <v>na</v>
      </c>
      <c r="H93" s="1509" t="str">
        <f>IF(OR($C93="No",$D93="na",G93="na",$D93=0),"na",G93/($D93*Eqtn!$D$377))</f>
        <v>na</v>
      </c>
      <c r="I93" s="1513" t="str">
        <f>'AR-Det'!N93</f>
        <v>na</v>
      </c>
      <c r="J93" s="1509" t="str">
        <f>IF(OR($C93="No",$D93="na",I93="na",$D93=0),"na",I93/($D93*Eqtn!$D$377))</f>
        <v>na</v>
      </c>
      <c r="K93" s="734" t="s">
        <v>232</v>
      </c>
      <c r="M93" s="1062"/>
    </row>
    <row r="94" spans="1:13" ht="13.9" customHeight="1" x14ac:dyDescent="0.25">
      <c r="A94" s="847">
        <f>Chem!A94</f>
        <v>92</v>
      </c>
      <c r="B94" s="941" t="str">
        <f>Chem!B94</f>
        <v>4-Chloroaniline</v>
      </c>
      <c r="C94" s="1282" t="str">
        <f>Param!AF94</f>
        <v>no</v>
      </c>
      <c r="D94" s="343">
        <f>Param!M94</f>
        <v>1.7324746352589265E-5</v>
      </c>
      <c r="E94" s="602" t="str">
        <f>'AR-Det'!F94</f>
        <v>na</v>
      </c>
      <c r="F94" s="628" t="str">
        <f>IF(OR($C94="no",$D94="na",E94="na",$D94=0),"na",E94/($D94*Eqtn!$D$377))</f>
        <v>na</v>
      </c>
      <c r="G94" s="17" t="str">
        <f>'AR-Det'!J94</f>
        <v>na</v>
      </c>
      <c r="H94" s="1509" t="str">
        <f>IF(OR($C94="No",$D94="na",G94="na",$D94=0),"na",G94/($D94*Eqtn!$D$377))</f>
        <v>na</v>
      </c>
      <c r="I94" s="1513" t="str">
        <f>'AR-Det'!N94</f>
        <v>na</v>
      </c>
      <c r="J94" s="1509" t="str">
        <f>IF(OR($C94="No",$D94="na",I94="na",$D94=0),"na",I94/($D94*Eqtn!$D$377))</f>
        <v>na</v>
      </c>
      <c r="K94" s="734" t="s">
        <v>232</v>
      </c>
      <c r="M94" s="1062"/>
    </row>
    <row r="95" spans="1:13" ht="13.9" customHeight="1" x14ac:dyDescent="0.25">
      <c r="A95" s="847">
        <f>Chem!A95</f>
        <v>93</v>
      </c>
      <c r="B95" s="941" t="str">
        <f>Chem!B95</f>
        <v>4-Chloro-3-methylphenol (chlorocresol)</v>
      </c>
      <c r="C95" s="1282" t="str">
        <f>Param!AF95</f>
        <v>no</v>
      </c>
      <c r="D95" s="343">
        <f>Param!M95</f>
        <v>4.0021445292526819E-5</v>
      </c>
      <c r="E95" s="631" t="str">
        <f>'AR-Det'!F95</f>
        <v>na</v>
      </c>
      <c r="F95" s="628" t="str">
        <f>IF(OR($C95="no",$D95="na",E95="na",$D95=0),"na",E95/($D95*Eqtn!$D$377))</f>
        <v>na</v>
      </c>
      <c r="G95" s="307" t="str">
        <f>'AR-Det'!J95</f>
        <v>na</v>
      </c>
      <c r="H95" s="1509" t="str">
        <f>IF(OR($C95="No",$D95="na",G95="na",$D95=0),"na",G95/($D95*Eqtn!$D$377))</f>
        <v>na</v>
      </c>
      <c r="I95" s="1513" t="str">
        <f>'AR-Det'!N95</f>
        <v>na</v>
      </c>
      <c r="J95" s="1509" t="str">
        <f>IF(OR($C95="No",$D95="na",I95="na",$D95=0),"na",I95/($D95*Eqtn!$D$377))</f>
        <v>na</v>
      </c>
      <c r="K95" s="734" t="s">
        <v>232</v>
      </c>
      <c r="M95" s="1062"/>
    </row>
    <row r="96" spans="1:13" ht="13.9" customHeight="1" x14ac:dyDescent="0.25">
      <c r="A96" s="847">
        <f>Chem!A96</f>
        <v>94</v>
      </c>
      <c r="B96" s="941" t="str">
        <f>Chem!B96</f>
        <v>2-Chloronaphthalene (beta-)</v>
      </c>
      <c r="C96" s="1282" t="str">
        <f>Param!AF96</f>
        <v>no</v>
      </c>
      <c r="D96" s="343">
        <f>Param!M96</f>
        <v>4.8434873288390676E-3</v>
      </c>
      <c r="E96" s="602" t="str">
        <f>'AR-Det'!F96</f>
        <v>na</v>
      </c>
      <c r="F96" s="628" t="str">
        <f>IF(OR($C96="no",$D96="na",E96="na",$D96=0),"na",E96/($D96*Eqtn!$D$377))</f>
        <v>na</v>
      </c>
      <c r="G96" s="17" t="str">
        <f>'AR-Det'!J96</f>
        <v>na</v>
      </c>
      <c r="H96" s="1509" t="str">
        <f>IF(OR($C96="No",$D96="na",G96="na",$D96=0),"na",G96/($D96*Eqtn!$D$377))</f>
        <v>na</v>
      </c>
      <c r="I96" s="1513" t="str">
        <f>'AR-Det'!N96</f>
        <v>na</v>
      </c>
      <c r="J96" s="1509" t="str">
        <f>IF(OR($C96="No",$D96="na",I96="na",$D96=0),"na",I96/($D96*Eqtn!$D$377))</f>
        <v>na</v>
      </c>
      <c r="K96" s="734" t="s">
        <v>232</v>
      </c>
      <c r="M96" s="1062"/>
    </row>
    <row r="97" spans="1:13" ht="13.9" customHeight="1" x14ac:dyDescent="0.25">
      <c r="A97" s="847">
        <f>Chem!A97</f>
        <v>95</v>
      </c>
      <c r="B97" s="941" t="str">
        <f>Chem!B97</f>
        <v>2-Chlorophenol</v>
      </c>
      <c r="C97" s="1282" t="str">
        <f>Param!AF97</f>
        <v>no</v>
      </c>
      <c r="D97" s="343">
        <f>Param!M97</f>
        <v>2.0806611950115379E-4</v>
      </c>
      <c r="E97" s="602" t="str">
        <f>'AR-Det'!F97</f>
        <v>na</v>
      </c>
      <c r="F97" s="628" t="str">
        <f>IF(OR($C97="no",$D97="na",E97="na",$D97=0),"na",E97/($D97*Eqtn!$D$377))</f>
        <v>na</v>
      </c>
      <c r="G97" s="17" t="str">
        <f>'AR-Det'!J97</f>
        <v>na</v>
      </c>
      <c r="H97" s="1509" t="str">
        <f>IF(OR($C97="No",$D97="na",G97="na",$D97=0),"na",G97/($D97*Eqtn!$D$377))</f>
        <v>na</v>
      </c>
      <c r="I97" s="1513" t="str">
        <f>'AR-Det'!N97</f>
        <v>na</v>
      </c>
      <c r="J97" s="1509" t="str">
        <f>IF(OR($C97="No",$D97="na",I97="na",$D97=0),"na",I97/($D97*Eqtn!$D$377))</f>
        <v>na</v>
      </c>
      <c r="K97" s="734" t="s">
        <v>232</v>
      </c>
      <c r="M97" s="1062"/>
    </row>
    <row r="98" spans="1:13" ht="13.9" customHeight="1" x14ac:dyDescent="0.25">
      <c r="A98" s="847">
        <f>Chem!A98</f>
        <v>96</v>
      </c>
      <c r="B98" s="941" t="str">
        <f>Chem!B98</f>
        <v>4-Chlorophenyl phenyl ether</v>
      </c>
      <c r="C98" s="1282" t="str">
        <f>Param!AF98</f>
        <v>no</v>
      </c>
      <c r="D98" s="343">
        <f>Param!M98</f>
        <v>0</v>
      </c>
      <c r="E98" s="631" t="str">
        <f>'AR-Det'!F98</f>
        <v>na</v>
      </c>
      <c r="F98" s="628" t="str">
        <f>IF(OR($C98="no",$D98="na",E98="na",$D98=0),"na",E98/($D98*Eqtn!$D$377))</f>
        <v>na</v>
      </c>
      <c r="G98" s="307" t="str">
        <f>'AR-Det'!J98</f>
        <v>na</v>
      </c>
      <c r="H98" s="1509" t="str">
        <f>IF(OR($C98="No",$D98="na",G98="na",$D98=0),"na",G98/($D98*Eqtn!$D$377))</f>
        <v>na</v>
      </c>
      <c r="I98" s="1513" t="str">
        <f>'AR-Det'!N98</f>
        <v>na</v>
      </c>
      <c r="J98" s="1509" t="str">
        <f>IF(OR($C98="No",$D98="na",I98="na",$D98=0),"na",I98/($D98*Eqtn!$D$377))</f>
        <v>na</v>
      </c>
      <c r="K98" s="734" t="s">
        <v>232</v>
      </c>
      <c r="M98" s="1062"/>
    </row>
    <row r="99" spans="1:13" ht="13.9" customHeight="1" x14ac:dyDescent="0.25">
      <c r="A99" s="847">
        <f>Chem!A99</f>
        <v>97</v>
      </c>
      <c r="B99" s="941" t="str">
        <f>Chem!B99</f>
        <v>Dibutyl phthalate</v>
      </c>
      <c r="C99" s="1282" t="str">
        <f>Param!AF99</f>
        <v>no</v>
      </c>
      <c r="D99" s="343">
        <f>Param!M99</f>
        <v>1.0034007668623438E-5</v>
      </c>
      <c r="E99" s="602" t="str">
        <f>'AR-Det'!F99</f>
        <v>na</v>
      </c>
      <c r="F99" s="628" t="str">
        <f>IF(OR($C99="no",$D99="na",E99="na",$D99=0),"na",E99/($D99*Eqtn!$D$377))</f>
        <v>na</v>
      </c>
      <c r="G99" s="17" t="str">
        <f>'AR-Det'!J99</f>
        <v>na</v>
      </c>
      <c r="H99" s="1509" t="str">
        <f>IF(OR($C99="No",$D99="na",G99="na",$D99=0),"na",G99/($D99*Eqtn!$D$377))</f>
        <v>na</v>
      </c>
      <c r="I99" s="1513" t="str">
        <f>'AR-Det'!N99</f>
        <v>na</v>
      </c>
      <c r="J99" s="1509" t="str">
        <f>IF(OR($C99="No",$D99="na",I99="na",$D99=0),"na",I99/($D99*Eqtn!$D$377))</f>
        <v>na</v>
      </c>
      <c r="K99" s="734" t="s">
        <v>232</v>
      </c>
      <c r="M99" s="1062"/>
    </row>
    <row r="100" spans="1:13" ht="13.9" customHeight="1" x14ac:dyDescent="0.25">
      <c r="A100" s="847">
        <f>Chem!A100</f>
        <v>98</v>
      </c>
      <c r="B100" s="941" t="str">
        <f>Chem!B100</f>
        <v>Dibutyl phenyl phosphate</v>
      </c>
      <c r="C100" s="1282" t="str">
        <f>Param!AF100</f>
        <v>no</v>
      </c>
      <c r="D100" s="343">
        <f>Param!M100</f>
        <v>0</v>
      </c>
      <c r="E100" s="631" t="str">
        <f>'AR-Det'!F100</f>
        <v>na</v>
      </c>
      <c r="F100" s="628" t="str">
        <f>IF(OR($C100="no",$D100="na",E100="na",$D100=0),"na",E100/($D100*Eqtn!$D$377))</f>
        <v>na</v>
      </c>
      <c r="G100" s="307" t="str">
        <f>'AR-Det'!J100</f>
        <v>na</v>
      </c>
      <c r="H100" s="1509" t="str">
        <f>IF(OR($C100="No",$D100="na",G100="na",$D100=0),"na",G100/($D100*Eqtn!$D$377))</f>
        <v>na</v>
      </c>
      <c r="I100" s="1513" t="str">
        <f>'AR-Det'!N100</f>
        <v>na</v>
      </c>
      <c r="J100" s="1509" t="str">
        <f>IF(OR($C100="No",$D100="na",I100="na",$D100=0),"na",I100/($D100*Eqtn!$D$377))</f>
        <v>na</v>
      </c>
      <c r="K100" s="734" t="s">
        <v>232</v>
      </c>
      <c r="M100" s="1062"/>
    </row>
    <row r="101" spans="1:13" ht="13.9" customHeight="1" x14ac:dyDescent="0.25">
      <c r="A101" s="847">
        <f>Chem!A101</f>
        <v>99</v>
      </c>
      <c r="B101" s="941" t="str">
        <f>Chem!B101</f>
        <v>1,2-Dichlorobenzene</v>
      </c>
      <c r="C101" s="1282" t="str">
        <f>Param!AF101</f>
        <v>YES</v>
      </c>
      <c r="D101" s="343">
        <f>Param!M101</f>
        <v>3.6521062257743146E-2</v>
      </c>
      <c r="E101" s="627">
        <f>'AR-Det'!F101</f>
        <v>91.428571428571416</v>
      </c>
      <c r="F101" s="628">
        <f>IF(OR($C101="no",$D101="na",E101="na",$D101=0),"na",E101/($D101*Eqtn!$D$377))</f>
        <v>2503.4477579903046</v>
      </c>
      <c r="G101" s="306">
        <f>'AR-Det'!J101</f>
        <v>199.99999999999997</v>
      </c>
      <c r="H101" s="1509">
        <f>IF(OR($C101="No",$D101="na",G101="na",$D101=0),"na",G101/($D101*Eqtn!$D$377))</f>
        <v>5476.2919706037919</v>
      </c>
      <c r="I101" s="1513">
        <f>'AR-Det'!N101</f>
        <v>778.6666666666664</v>
      </c>
      <c r="J101" s="1509">
        <f>IF(OR($C101="No",$D101="na",I101="na",$D101=0),"na",I101/($D101*Eqtn!$D$377))</f>
        <v>21321.030072217425</v>
      </c>
      <c r="K101" s="734" t="s">
        <v>232</v>
      </c>
      <c r="M101" s="1062"/>
    </row>
    <row r="102" spans="1:13" ht="13.9" customHeight="1" x14ac:dyDescent="0.25">
      <c r="A102" s="847">
        <f>Chem!A102</f>
        <v>100</v>
      </c>
      <c r="B102" s="941" t="str">
        <f>Chem!B102</f>
        <v>1,3-Dichlorobenzene</v>
      </c>
      <c r="C102" s="1282" t="str">
        <f>Param!AF102</f>
        <v>no</v>
      </c>
      <c r="D102" s="343">
        <f>Param!M102</f>
        <v>5.0933576999831615E-2</v>
      </c>
      <c r="E102" s="627" t="str">
        <f>'AR-Det'!F102</f>
        <v>na</v>
      </c>
      <c r="F102" s="628" t="str">
        <f>IF(OR($C102="no",$D102="na",E102="na",$D102=0),"na",E102/($D102*Eqtn!$D$377))</f>
        <v>na</v>
      </c>
      <c r="G102" s="306" t="str">
        <f>'AR-Det'!J102</f>
        <v>na</v>
      </c>
      <c r="H102" s="1509" t="str">
        <f>IF(OR($C102="No",$D102="na",G102="na",$D102=0),"na",G102/($D102*Eqtn!$D$377))</f>
        <v>na</v>
      </c>
      <c r="I102" s="1513" t="str">
        <f>'AR-Det'!N102</f>
        <v>na</v>
      </c>
      <c r="J102" s="1509" t="str">
        <f>IF(OR($C102="No",$D102="na",I102="na",$D102=0),"na",I102/($D102*Eqtn!$D$377))</f>
        <v>na</v>
      </c>
      <c r="K102" s="734" t="s">
        <v>232</v>
      </c>
      <c r="M102" s="1062"/>
    </row>
    <row r="103" spans="1:13" ht="13.9" customHeight="1" x14ac:dyDescent="0.25">
      <c r="A103" s="847">
        <f>Chem!A103</f>
        <v>101</v>
      </c>
      <c r="B103" s="941" t="str">
        <f>Chem!B103</f>
        <v>1,4-Dichlorobenzene</v>
      </c>
      <c r="C103" s="1282" t="str">
        <f>Param!AF103</f>
        <v>YES</v>
      </c>
      <c r="D103" s="343">
        <f>Param!M103</f>
        <v>4.5786926067774833E-2</v>
      </c>
      <c r="E103" s="602">
        <f>'AR-Det'!F103</f>
        <v>0.22727272727272727</v>
      </c>
      <c r="F103" s="628">
        <f>IF(OR($C103="no",$D103="na",E103="na",$D103=0),"na",E103/($D103*Eqtn!$D$377))</f>
        <v>4.9637035457744663</v>
      </c>
      <c r="G103" s="17">
        <f>'AR-Det'!J103</f>
        <v>2.2727272727272729</v>
      </c>
      <c r="H103" s="1509">
        <f>IF(OR($C103="No",$D103="na",G103="na",$D103=0),"na",G103/($D103*Eqtn!$D$377))</f>
        <v>49.637035457744666</v>
      </c>
      <c r="I103" s="1513">
        <f>'AR-Det'!N103</f>
        <v>1.0618181818181816</v>
      </c>
      <c r="J103" s="1509">
        <f>IF(OR($C103="No",$D103="na",I103="na",$D103=0),"na",I103/($D103*Eqtn!$D$377))</f>
        <v>23.1904229658583</v>
      </c>
      <c r="K103" s="734" t="s">
        <v>232</v>
      </c>
      <c r="M103" s="1062"/>
    </row>
    <row r="104" spans="1:13" ht="13.9" customHeight="1" x14ac:dyDescent="0.25">
      <c r="A104" s="847">
        <f>Chem!A104</f>
        <v>102</v>
      </c>
      <c r="B104" s="941" t="str">
        <f>Chem!B104</f>
        <v>3,3'-Dichlorobenzidine</v>
      </c>
      <c r="C104" s="1282" t="str">
        <f>Param!AF104</f>
        <v>no</v>
      </c>
      <c r="D104" s="343">
        <f>Param!M104</f>
        <v>1.16107931316435E-9</v>
      </c>
      <c r="E104" s="627">
        <f>'AR-Det'!F104</f>
        <v>7.3529411764705864E-3</v>
      </c>
      <c r="F104" s="628" t="str">
        <f>IF(OR($C104="no",$D104="na",E104="na",$D104=0),"na",E104/($D104*Eqtn!$D$377))</f>
        <v>na</v>
      </c>
      <c r="G104" s="306">
        <f>'AR-Det'!J104</f>
        <v>7.3529411764705885E-2</v>
      </c>
      <c r="H104" s="1509" t="str">
        <f>IF(OR($C104="No",$D104="na",G104="na",$D104=0),"na",G104/($D104*Eqtn!$D$377))</f>
        <v>na</v>
      </c>
      <c r="I104" s="1513">
        <f>'AR-Det'!N104</f>
        <v>3.4352941176470572E-2</v>
      </c>
      <c r="J104" s="1509" t="str">
        <f>IF(OR($C104="No",$D104="na",I104="na",$D104=0),"na",I104/($D104*Eqtn!$D$377))</f>
        <v>na</v>
      </c>
      <c r="K104" s="734" t="s">
        <v>232</v>
      </c>
      <c r="M104" s="1062"/>
    </row>
    <row r="105" spans="1:13" ht="13.9" customHeight="1" x14ac:dyDescent="0.25">
      <c r="A105" s="847">
        <f>Chem!A105</f>
        <v>103</v>
      </c>
      <c r="B105" s="941" t="str">
        <f>Chem!B105</f>
        <v>2,4-Dichlorophenol</v>
      </c>
      <c r="C105" s="1282" t="str">
        <f>Param!AF105</f>
        <v>no</v>
      </c>
      <c r="D105" s="343">
        <f>Param!M105</f>
        <v>7.4579966955433521E-5</v>
      </c>
      <c r="E105" s="627" t="str">
        <f>'AR-Det'!F105</f>
        <v>na</v>
      </c>
      <c r="F105" s="628" t="str">
        <f>IF(OR($C105="no",$D105="na",E105="na",$D105=0),"na",E105/($D105*Eqtn!$D$377))</f>
        <v>na</v>
      </c>
      <c r="G105" s="306" t="str">
        <f>'AR-Det'!J105</f>
        <v>na</v>
      </c>
      <c r="H105" s="1509" t="str">
        <f>IF(OR($C105="No",$D105="na",G105="na",$D105=0),"na",G105/($D105*Eqtn!$D$377))</f>
        <v>na</v>
      </c>
      <c r="I105" s="1513" t="str">
        <f>'AR-Det'!N105</f>
        <v>na</v>
      </c>
      <c r="J105" s="1509" t="str">
        <f>IF(OR($C105="No",$D105="na",I105="na",$D105=0),"na",I105/($D105*Eqtn!$D$377))</f>
        <v>na</v>
      </c>
      <c r="K105" s="734" t="s">
        <v>232</v>
      </c>
      <c r="M105" s="1062"/>
    </row>
    <row r="106" spans="1:13" ht="13.9" customHeight="1" x14ac:dyDescent="0.25">
      <c r="A106" s="846">
        <f>Chem!A106</f>
        <v>104</v>
      </c>
      <c r="B106" s="941" t="str">
        <f>Chem!B106</f>
        <v>Di(2-ethylhexyl)adipate</v>
      </c>
      <c r="C106" s="1282" t="str">
        <f>Param!AF106</f>
        <v>no</v>
      </c>
      <c r="D106" s="343">
        <f>Param!M106</f>
        <v>3.6287582225625749E-6</v>
      </c>
      <c r="E106" s="627" t="str">
        <f>'AR-Det'!F106</f>
        <v>na</v>
      </c>
      <c r="F106" s="628" t="str">
        <f>IF(OR($C106="no",$D106="na",E106="na",$D106=0),"na",E106/($D106*Eqtn!$D$377))</f>
        <v>na</v>
      </c>
      <c r="G106" s="306" t="str">
        <f>'AR-Det'!J106</f>
        <v>na</v>
      </c>
      <c r="H106" s="1509" t="str">
        <f>IF(OR($C106="No",$D106="na",G106="na",$D106=0),"na",G106/($D106*Eqtn!$D$377))</f>
        <v>na</v>
      </c>
      <c r="I106" s="1513" t="str">
        <f>'AR-Det'!N106</f>
        <v>na</v>
      </c>
      <c r="J106" s="1509" t="str">
        <f>IF(OR($C106="No",$D106="na",I106="na",$D106=0),"na",I106/($D106*Eqtn!$D$377))</f>
        <v>na</v>
      </c>
      <c r="K106" s="734" t="s">
        <v>232</v>
      </c>
      <c r="M106" s="1062"/>
    </row>
    <row r="107" spans="1:13" ht="13.9" customHeight="1" x14ac:dyDescent="0.25">
      <c r="A107" s="846">
        <f>Chem!A107</f>
        <v>105</v>
      </c>
      <c r="B107" s="941" t="str">
        <f>Chem!B107</f>
        <v>Diethyl phthalate</v>
      </c>
      <c r="C107" s="1282" t="str">
        <f>Param!AF107</f>
        <v>no</v>
      </c>
      <c r="D107" s="343">
        <f>Param!M107</f>
        <v>6.5248141196191936E-6</v>
      </c>
      <c r="E107" s="627" t="str">
        <f>'AR-Det'!F107</f>
        <v>na</v>
      </c>
      <c r="F107" s="628" t="str">
        <f>IF(OR($C107="no",$D107="na",E107="na",$D107=0),"na",E107/($D107*Eqtn!$D$377))</f>
        <v>na</v>
      </c>
      <c r="G107" s="306" t="str">
        <f>'AR-Det'!J107</f>
        <v>na</v>
      </c>
      <c r="H107" s="1509" t="str">
        <f>IF(OR($C107="No",$D107="na",G107="na",$D107=0),"na",G107/($D107*Eqtn!$D$377))</f>
        <v>na</v>
      </c>
      <c r="I107" s="1513" t="str">
        <f>'AR-Det'!N107</f>
        <v>na</v>
      </c>
      <c r="J107" s="1509" t="str">
        <f>IF(OR($C107="No",$D107="na",I107="na",$D107=0),"na",I107/($D107*Eqtn!$D$377))</f>
        <v>na</v>
      </c>
      <c r="K107" s="734" t="s">
        <v>232</v>
      </c>
      <c r="M107" s="1062"/>
    </row>
    <row r="108" spans="1:13" ht="13.9" customHeight="1" x14ac:dyDescent="0.25">
      <c r="A108" s="847">
        <f>Chem!A108</f>
        <v>106</v>
      </c>
      <c r="B108" s="941" t="str">
        <f>Chem!B108</f>
        <v>Dimethyl phthalate</v>
      </c>
      <c r="C108" s="1284" t="str">
        <f>Param!AF108</f>
        <v>no</v>
      </c>
      <c r="D108" s="531">
        <f>Param!M108</f>
        <v>2.2859456222679018E-6</v>
      </c>
      <c r="E108" s="627" t="str">
        <f>'AR-Det'!F108</f>
        <v>na</v>
      </c>
      <c r="F108" s="628" t="str">
        <f>IF(OR($C108="no",$D108="na",E108="na",$D108=0),"na",E108/($D108*Eqtn!$D$377))</f>
        <v>na</v>
      </c>
      <c r="G108" s="306" t="str">
        <f>'AR-Det'!J108</f>
        <v>na</v>
      </c>
      <c r="H108" s="1509" t="str">
        <f>IF(OR($C108="No",$D108="na",G108="na",$D108=0),"na",G108/($D108*Eqtn!$D$377))</f>
        <v>na</v>
      </c>
      <c r="I108" s="1513" t="str">
        <f>'AR-Det'!N108</f>
        <v>na</v>
      </c>
      <c r="J108" s="1509" t="str">
        <f>IF(OR($C108="No",$D108="na",I108="na",$D108=0),"na",I108/($D108*Eqtn!$D$377))</f>
        <v>na</v>
      </c>
      <c r="K108" s="734" t="s">
        <v>232</v>
      </c>
      <c r="M108" s="1062"/>
    </row>
    <row r="109" spans="1:13" ht="13.9" customHeight="1" x14ac:dyDescent="0.25">
      <c r="A109" s="847">
        <f>Chem!A109</f>
        <v>107</v>
      </c>
      <c r="B109" s="941" t="str">
        <f>Chem!B109</f>
        <v>2,4-Dimethylphenol</v>
      </c>
      <c r="C109" s="1282" t="str">
        <f>Param!AF109</f>
        <v>no</v>
      </c>
      <c r="D109" s="343">
        <f>Param!M109</f>
        <v>1.4076840573291404E-5</v>
      </c>
      <c r="E109" s="627" t="str">
        <f>'AR-Det'!F109</f>
        <v>na</v>
      </c>
      <c r="F109" s="628" t="str">
        <f>IF(OR($C109="no",$D109="na",E109="na",$D109=0),"na",E109/($D109*Eqtn!$D$377))</f>
        <v>na</v>
      </c>
      <c r="G109" s="306" t="str">
        <f>'AR-Det'!J109</f>
        <v>na</v>
      </c>
      <c r="H109" s="1509" t="str">
        <f>IF(OR($C109="No",$D109="na",G109="na",$D109=0),"na",G109/($D109*Eqtn!$D$377))</f>
        <v>na</v>
      </c>
      <c r="I109" s="1513" t="str">
        <f>'AR-Det'!N109</f>
        <v>na</v>
      </c>
      <c r="J109" s="1509" t="str">
        <f>IF(OR($C109="No",$D109="na",I109="na",$D109=0),"na",I109/($D109*Eqtn!$D$377))</f>
        <v>na</v>
      </c>
      <c r="K109" s="734" t="s">
        <v>232</v>
      </c>
      <c r="M109" s="1062"/>
    </row>
    <row r="110" spans="1:13" ht="13.9" customHeight="1" x14ac:dyDescent="0.25">
      <c r="A110" s="847">
        <f>Chem!A110</f>
        <v>108</v>
      </c>
      <c r="B110" s="941" t="str">
        <f>Chem!B110</f>
        <v>1,2-Dinitrobenzene</v>
      </c>
      <c r="C110" s="1282" t="str">
        <f>Param!AF110</f>
        <v>no</v>
      </c>
      <c r="D110" s="343">
        <f>Param!M110</f>
        <v>5.0029317929481896E-7</v>
      </c>
      <c r="E110" s="627" t="str">
        <f>'AR-Det'!F110</f>
        <v>na</v>
      </c>
      <c r="F110" s="628" t="str">
        <f>IF(OR($C110="no",$D110="na",E110="na",$D110=0),"na",E110/($D110*Eqtn!$D$377))</f>
        <v>na</v>
      </c>
      <c r="G110" s="306" t="str">
        <f>'AR-Det'!J110</f>
        <v>na</v>
      </c>
      <c r="H110" s="1509" t="str">
        <f>IF(OR($C110="No",$D110="na",G110="na",$D110=0),"na",G110/($D110*Eqtn!$D$377))</f>
        <v>na</v>
      </c>
      <c r="I110" s="1513" t="str">
        <f>'AR-Det'!N110</f>
        <v>na</v>
      </c>
      <c r="J110" s="1509" t="str">
        <f>IF(OR($C110="No",$D110="na",I110="na",$D110=0),"na",I110/($D110*Eqtn!$D$377))</f>
        <v>na</v>
      </c>
      <c r="K110" s="734" t="s">
        <v>232</v>
      </c>
      <c r="M110" s="1062"/>
    </row>
    <row r="111" spans="1:13" ht="13.9" customHeight="1" x14ac:dyDescent="0.25">
      <c r="A111" s="847">
        <f>Chem!A111</f>
        <v>109</v>
      </c>
      <c r="B111" s="941" t="str">
        <f>Chem!B111</f>
        <v>1,3-Dinitrobenzene</v>
      </c>
      <c r="C111" s="1282" t="str">
        <f>Param!AF111</f>
        <v>no</v>
      </c>
      <c r="D111" s="343">
        <f>Param!M111</f>
        <v>5.0630855024459349E-7</v>
      </c>
      <c r="E111" s="627" t="str">
        <f>'AR-Det'!F111</f>
        <v>na</v>
      </c>
      <c r="F111" s="628" t="str">
        <f>IF(OR($C111="no",$D111="na",E111="na",$D111=0),"na",E111/($D111*Eqtn!$D$377))</f>
        <v>na</v>
      </c>
      <c r="G111" s="306" t="str">
        <f>'AR-Det'!J111</f>
        <v>na</v>
      </c>
      <c r="H111" s="1509" t="str">
        <f>IF(OR($C111="No",$D111="na",G111="na",$D111=0),"na",G111/($D111*Eqtn!$D$377))</f>
        <v>na</v>
      </c>
      <c r="I111" s="1513" t="str">
        <f>'AR-Det'!N111</f>
        <v>na</v>
      </c>
      <c r="J111" s="1509" t="str">
        <f>IF(OR($C111="No",$D111="na",I111="na",$D111=0),"na",I111/($D111*Eqtn!$D$377))</f>
        <v>na</v>
      </c>
      <c r="K111" s="734" t="s">
        <v>232</v>
      </c>
      <c r="M111" s="1062"/>
    </row>
    <row r="112" spans="1:13" ht="13.9" customHeight="1" x14ac:dyDescent="0.25">
      <c r="A112" s="847">
        <f>Chem!A112</f>
        <v>110</v>
      </c>
      <c r="B112" s="941" t="str">
        <f>Chem!B112</f>
        <v>1,4-Dinitrobenzene</v>
      </c>
      <c r="C112" s="1282" t="str">
        <f>Param!AF112</f>
        <v>no</v>
      </c>
      <c r="D112" s="343">
        <f>Param!M112</f>
        <v>8.4222522539131311E-7</v>
      </c>
      <c r="E112" s="627" t="str">
        <f>'AR-Det'!F112</f>
        <v>na</v>
      </c>
      <c r="F112" s="628" t="str">
        <f>IF(OR($C112="no",$D112="na",E112="na",$D112=0),"na",E112/($D112*Eqtn!$D$377))</f>
        <v>na</v>
      </c>
      <c r="G112" s="306" t="str">
        <f>'AR-Det'!J112</f>
        <v>na</v>
      </c>
      <c r="H112" s="1509" t="str">
        <f>IF(OR($C112="No",$D112="na",G112="na",$D112=0),"na",G112/($D112*Eqtn!$D$377))</f>
        <v>na</v>
      </c>
      <c r="I112" s="1513" t="str">
        <f>'AR-Det'!N112</f>
        <v>na</v>
      </c>
      <c r="J112" s="1509" t="str">
        <f>IF(OR($C112="No",$D112="na",I112="na",$D112=0),"na",I112/($D112*Eqtn!$D$377))</f>
        <v>na</v>
      </c>
      <c r="K112" s="734" t="s">
        <v>232</v>
      </c>
      <c r="M112" s="1062"/>
    </row>
    <row r="113" spans="1:13" ht="13.9" customHeight="1" x14ac:dyDescent="0.25">
      <c r="A113" s="847">
        <f>Chem!A113</f>
        <v>111</v>
      </c>
      <c r="B113" s="941" t="str">
        <f>Chem!B113</f>
        <v>4,6-Dinitro-o-cresol (DNOC)</v>
      </c>
      <c r="C113" s="1282" t="str">
        <f>Param!AF113</f>
        <v>no</v>
      </c>
      <c r="D113" s="343">
        <f>Param!M113</f>
        <v>5.7236304170073601E-5</v>
      </c>
      <c r="E113" s="627" t="str">
        <f>'AR-Det'!F113</f>
        <v>na</v>
      </c>
      <c r="F113" s="628" t="str">
        <f>IF(OR($C113="no",$D113="na",E113="na",$D113=0),"na",E113/($D113*Eqtn!$D$377))</f>
        <v>na</v>
      </c>
      <c r="G113" s="306" t="str">
        <f>'AR-Det'!J113</f>
        <v>na</v>
      </c>
      <c r="H113" s="1509" t="str">
        <f>IF(OR($C113="No",$D113="na",G113="na",$D113=0),"na",G113/($D113*Eqtn!$D$377))</f>
        <v>na</v>
      </c>
      <c r="I113" s="1513" t="str">
        <f>'AR-Det'!N113</f>
        <v>na</v>
      </c>
      <c r="J113" s="1509" t="str">
        <f>IF(OR($C113="No",$D113="na",I113="na",$D113=0),"na",I113/($D113*Eqtn!$D$377))</f>
        <v>na</v>
      </c>
      <c r="K113" s="734" t="s">
        <v>232</v>
      </c>
      <c r="M113" s="1062"/>
    </row>
    <row r="114" spans="1:13" ht="13.9" customHeight="1" x14ac:dyDescent="0.25">
      <c r="A114" s="847">
        <f>Chem!A114</f>
        <v>112</v>
      </c>
      <c r="B114" s="941" t="str">
        <f>Chem!B114</f>
        <v>2,4-Dinitrophenol</v>
      </c>
      <c r="C114" s="1282" t="str">
        <f>Param!AF114</f>
        <v>no</v>
      </c>
      <c r="D114" s="343">
        <f>Param!M114</f>
        <v>3.5159443990188099E-6</v>
      </c>
      <c r="E114" s="627" t="str">
        <f>'AR-Det'!F114</f>
        <v>na</v>
      </c>
      <c r="F114" s="628" t="str">
        <f>IF(OR($C114="no",$D114="na",E114="na",$D114=0),"na",E114/($D114*Eqtn!$D$377))</f>
        <v>na</v>
      </c>
      <c r="G114" s="306" t="str">
        <f>'AR-Det'!J114</f>
        <v>na</v>
      </c>
      <c r="H114" s="1509" t="str">
        <f>IF(OR($C114="No",$D114="na",G114="na",$D114=0),"na",G114/($D114*Eqtn!$D$377))</f>
        <v>na</v>
      </c>
      <c r="I114" s="1513" t="str">
        <f>'AR-Det'!N114</f>
        <v>na</v>
      </c>
      <c r="J114" s="1509" t="str">
        <f>IF(OR($C114="No",$D114="na",I114="na",$D114=0),"na",I114/($D114*Eqtn!$D$377))</f>
        <v>na</v>
      </c>
      <c r="K114" s="734" t="s">
        <v>232</v>
      </c>
      <c r="M114" s="1062"/>
    </row>
    <row r="115" spans="1:13" ht="13.9" customHeight="1" x14ac:dyDescent="0.25">
      <c r="A115" s="847">
        <f>Chem!A115</f>
        <v>113</v>
      </c>
      <c r="B115" s="941" t="str">
        <f>Chem!B115</f>
        <v>2,4-Dinitrotoluene</v>
      </c>
      <c r="C115" s="1282" t="str">
        <f>Param!AF115</f>
        <v>no</v>
      </c>
      <c r="D115" s="343">
        <f>Param!M115</f>
        <v>4.8258826502931966E-7</v>
      </c>
      <c r="E115" s="627">
        <f>'AR-Det'!F115</f>
        <v>2.8089887640449434E-2</v>
      </c>
      <c r="F115" s="628" t="str">
        <f>IF(OR($C115="no",$D115="na",E115="na",$D115=0),"na",E115/($D115*Eqtn!$D$377))</f>
        <v>na</v>
      </c>
      <c r="G115" s="306">
        <f>'AR-Det'!J115</f>
        <v>0.2808988764044944</v>
      </c>
      <c r="H115" s="1509" t="str">
        <f>IF(OR($C115="No",$D115="na",G115="na",$D115=0),"na",G115/($D115*Eqtn!$D$377))</f>
        <v>na</v>
      </c>
      <c r="I115" s="1513">
        <f>'AR-Det'!N115</f>
        <v>0.13123595505617974</v>
      </c>
      <c r="J115" s="1509" t="str">
        <f>IF(OR($C115="No",$D115="na",I115="na",$D115=0),"na",I115/($D115*Eqtn!$D$377))</f>
        <v>na</v>
      </c>
      <c r="K115" s="734" t="s">
        <v>232</v>
      </c>
      <c r="M115" s="1062"/>
    </row>
    <row r="116" spans="1:13" ht="13.9" customHeight="1" x14ac:dyDescent="0.25">
      <c r="A116" s="842">
        <f>Chem!A116</f>
        <v>114</v>
      </c>
      <c r="B116" s="941" t="str">
        <f>Chem!B116</f>
        <v>2,6-Dinitrotoluene</v>
      </c>
      <c r="C116" s="1282" t="str">
        <f>Param!AF116</f>
        <v>no</v>
      </c>
      <c r="D116" s="343">
        <f>Param!M116</f>
        <v>7.2603608447526589E-6</v>
      </c>
      <c r="E116" s="627" t="str">
        <f>'AR-Det'!F116</f>
        <v>na</v>
      </c>
      <c r="F116" s="628" t="str">
        <f>IF(OR($C116="no",$D116="na",E116="na",$D116=0),"na",E116/($D116*Eqtn!$D$377))</f>
        <v>na</v>
      </c>
      <c r="G116" s="306" t="str">
        <f>'AR-Det'!J116</f>
        <v>na</v>
      </c>
      <c r="H116" s="1509" t="str">
        <f>IF(OR($C116="No",$D116="na",G116="na",$D116=0),"na",G116/($D116*Eqtn!$D$377))</f>
        <v>na</v>
      </c>
      <c r="I116" s="1513" t="str">
        <f>'AR-Det'!N116</f>
        <v>na</v>
      </c>
      <c r="J116" s="1509" t="str">
        <f>IF(OR($C116="No",$D116="na",I116="na",$D116=0),"na",I116/($D116*Eqtn!$D$377))</f>
        <v>na</v>
      </c>
      <c r="K116" s="734" t="s">
        <v>232</v>
      </c>
      <c r="M116" s="1062"/>
    </row>
    <row r="117" spans="1:13" ht="13.9" customHeight="1" x14ac:dyDescent="0.25">
      <c r="A117" s="847">
        <f>Chem!A117</f>
        <v>115</v>
      </c>
      <c r="B117" s="941" t="str">
        <f>Chem!B117</f>
        <v>Di-n-octyl phthalate</v>
      </c>
      <c r="C117" s="1283" t="str">
        <f>Param!AF117</f>
        <v>no</v>
      </c>
      <c r="D117" s="532">
        <f>Param!M117</f>
        <v>1.4933990270240736E-5</v>
      </c>
      <c r="E117" s="627" t="str">
        <f>'AR-Det'!F117</f>
        <v>na</v>
      </c>
      <c r="F117" s="628" t="str">
        <f>IF(OR($C117="no",$D117="na",E117="na",$D117=0),"na",E117/($D117*Eqtn!$D$377))</f>
        <v>na</v>
      </c>
      <c r="G117" s="306" t="str">
        <f>'AR-Det'!J117</f>
        <v>na</v>
      </c>
      <c r="H117" s="1509" t="str">
        <f>IF(OR($C117="No",$D117="na",G117="na",$D117=0),"na",G117/($D117*Eqtn!$D$377))</f>
        <v>na</v>
      </c>
      <c r="I117" s="1513" t="str">
        <f>'AR-Det'!N117</f>
        <v>na</v>
      </c>
      <c r="J117" s="1509" t="str">
        <f>IF(OR($C117="No",$D117="na",I117="na",$D117=0),"na",I117/($D117*Eqtn!$D$377))</f>
        <v>na</v>
      </c>
      <c r="K117" s="734" t="s">
        <v>232</v>
      </c>
      <c r="M117" s="1062"/>
    </row>
    <row r="118" spans="1:13" ht="13.9" customHeight="1" x14ac:dyDescent="0.25">
      <c r="A118" s="848">
        <f>Chem!A118</f>
        <v>116</v>
      </c>
      <c r="B118" s="941" t="str">
        <f>Chem!B118</f>
        <v>1,4-Dioxane</v>
      </c>
      <c r="C118" s="1282" t="str">
        <f>Param!AF118</f>
        <v>YES</v>
      </c>
      <c r="D118" s="338">
        <f>Param!M118</f>
        <v>1.0625393533353386E-4</v>
      </c>
      <c r="E118" s="602">
        <f>'AR-Det'!F118</f>
        <v>0.49999999999999978</v>
      </c>
      <c r="F118" s="628">
        <f>IF(OR($C118="no",$D118="na",E118="na",$D118=0),"na",E118/($D118*Eqtn!$D$377))</f>
        <v>4705.7080608872202</v>
      </c>
      <c r="G118" s="17">
        <f>'AR-Det'!J118</f>
        <v>4.9999999999999991</v>
      </c>
      <c r="H118" s="1509">
        <f>IF(OR($C118="No",$D118="na",G118="na",$D118=0),"na",G118/($D118*Eqtn!$D$377))</f>
        <v>47057.080608872217</v>
      </c>
      <c r="I118" s="1513">
        <f>'AR-Det'!N118</f>
        <v>2.3359999999999985</v>
      </c>
      <c r="J118" s="1509">
        <f>IF(OR($C118="No",$D118="na",I118="na",$D118=0),"na",I118/($D118*Eqtn!$D$377))</f>
        <v>21985.068060465092</v>
      </c>
      <c r="K118" s="734" t="s">
        <v>232</v>
      </c>
      <c r="M118" s="1062"/>
    </row>
    <row r="119" spans="1:13" ht="13.9" customHeight="1" x14ac:dyDescent="0.25">
      <c r="A119" s="848">
        <f>Chem!A119</f>
        <v>117</v>
      </c>
      <c r="B119" s="941" t="str">
        <f>Chem!B119</f>
        <v>1,2-Diphenylhydrazine</v>
      </c>
      <c r="C119" s="1284" t="str">
        <f>Param!AF119</f>
        <v>no</v>
      </c>
      <c r="D119" s="337">
        <f>Param!M119</f>
        <v>5.8982463628769713E-6</v>
      </c>
      <c r="E119" s="627">
        <f>'AR-Det'!F119</f>
        <v>1.136363636363636E-2</v>
      </c>
      <c r="F119" s="628" t="str">
        <f>IF(OR($C119="no",$D119="na",E119="na",$D119=0),"na",E119/($D119*Eqtn!$D$377))</f>
        <v>na</v>
      </c>
      <c r="G119" s="306">
        <f>'AR-Det'!J119</f>
        <v>0.11363636363636363</v>
      </c>
      <c r="H119" s="1509" t="str">
        <f>IF(OR($C119="No",$D119="na",G119="na",$D119=0),"na",G119/($D119*Eqtn!$D$377))</f>
        <v>na</v>
      </c>
      <c r="I119" s="1513">
        <f>'AR-Det'!N119</f>
        <v>5.3090909090909064E-2</v>
      </c>
      <c r="J119" s="1509" t="str">
        <f>IF(OR($C119="No",$D119="na",I119="na",$D119=0),"na",I119/($D119*Eqtn!$D$377))</f>
        <v>na</v>
      </c>
      <c r="K119" s="734" t="s">
        <v>232</v>
      </c>
      <c r="M119" s="1062"/>
    </row>
    <row r="120" spans="1:13" ht="13.9" customHeight="1" x14ac:dyDescent="0.25">
      <c r="A120" s="847">
        <f>Chem!A120</f>
        <v>118</v>
      </c>
      <c r="B120" s="941" t="str">
        <f>Chem!B120</f>
        <v>Hexachlorobenzene</v>
      </c>
      <c r="C120" s="1284" t="str">
        <f>Param!AF120</f>
        <v>YES</v>
      </c>
      <c r="D120" s="531">
        <f>Param!M120</f>
        <v>2.2205009396001001E-2</v>
      </c>
      <c r="E120" s="627">
        <f>'AR-Det'!F120</f>
        <v>5.4347826086956512E-3</v>
      </c>
      <c r="F120" s="628">
        <f>IF(OR($C120="no",$D120="na",E120="na",$D120=0),"na",E120/($D120*Eqtn!$D$377))</f>
        <v>0.24475479887319596</v>
      </c>
      <c r="G120" s="306">
        <f>'AR-Det'!J120</f>
        <v>5.434782608695652E-2</v>
      </c>
      <c r="H120" s="1509">
        <f>IF(OR($C120="No",$D120="na",G120="na",$D120=0),"na",G120/($D120*Eqtn!$D$377))</f>
        <v>2.44754798873196</v>
      </c>
      <c r="I120" s="1513">
        <f>'AR-Det'!N120</f>
        <v>2.5391304347826077E-2</v>
      </c>
      <c r="J120" s="1509">
        <f>IF(OR($C120="No",$D120="na",I120="na",$D120=0),"na",I120/($D120*Eqtn!$D$377))</f>
        <v>1.1434944203355712</v>
      </c>
      <c r="K120" s="734" t="s">
        <v>232</v>
      </c>
      <c r="M120" s="1062"/>
    </row>
    <row r="121" spans="1:13" ht="13.9" customHeight="1" x14ac:dyDescent="0.25">
      <c r="A121" s="847">
        <f>Chem!A121</f>
        <v>119</v>
      </c>
      <c r="B121" s="941" t="str">
        <f>Chem!B121</f>
        <v>Hexachlorobutadiene</v>
      </c>
      <c r="C121" s="1282" t="str">
        <f>Param!AF121</f>
        <v>YES</v>
      </c>
      <c r="D121" s="343">
        <f>Param!M121</f>
        <v>0.17802346040212969</v>
      </c>
      <c r="E121" s="627">
        <f>'AR-Det'!F121</f>
        <v>0.11363636363636363</v>
      </c>
      <c r="F121" s="628">
        <f>IF(OR($C121="no",$D121="na",E121="na",$D121=0),"na",E121/($D121*Eqtn!$D$377))</f>
        <v>0.63832240638214333</v>
      </c>
      <c r="G121" s="306">
        <f>'AR-Det'!J121</f>
        <v>1.1363636363636365</v>
      </c>
      <c r="H121" s="1509">
        <f>IF(OR($C121="No",$D121="na",G121="na",$D121=0),"na",G121/($D121*Eqtn!$D$377))</f>
        <v>6.3832240638214346</v>
      </c>
      <c r="I121" s="1513">
        <f>'AR-Det'!N121</f>
        <v>0.53090909090909078</v>
      </c>
      <c r="J121" s="1509">
        <f>IF(OR($C121="No",$D121="na",I121="na",$D121=0),"na",I121/($D121*Eqtn!$D$377))</f>
        <v>2.9822422826173733</v>
      </c>
      <c r="K121" s="734" t="s">
        <v>232</v>
      </c>
      <c r="M121" s="1062"/>
    </row>
    <row r="122" spans="1:13" ht="13.9" customHeight="1" x14ac:dyDescent="0.25">
      <c r="A122" s="847">
        <f>Chem!A122</f>
        <v>120</v>
      </c>
      <c r="B122" s="941" t="str">
        <f>Chem!B122</f>
        <v>Hexachlorocyclopentadiene</v>
      </c>
      <c r="C122" s="1282" t="str">
        <f>Param!AF122</f>
        <v>YES</v>
      </c>
      <c r="D122" s="343">
        <f>Param!M122</f>
        <v>2.168508612790597E-2</v>
      </c>
      <c r="E122" s="627">
        <f>'AR-Det'!F122</f>
        <v>9.1428571428571428E-2</v>
      </c>
      <c r="F122" s="628">
        <f>IF(OR($C122="no",$D122="na",E122="na",$D122=0),"na",E122/($D122*Eqtn!$D$377))</f>
        <v>4.2161959094510761</v>
      </c>
      <c r="G122" s="306">
        <f>'AR-Det'!J122</f>
        <v>0.19999999999999998</v>
      </c>
      <c r="H122" s="1509">
        <f>IF(OR($C122="No",$D122="na",G122="na",$D122=0),"na",G122/($D122*Eqtn!$D$377))</f>
        <v>9.2229285519242286</v>
      </c>
      <c r="I122" s="1513">
        <f>'AR-Det'!N122</f>
        <v>0.77866666666666651</v>
      </c>
      <c r="J122" s="1509">
        <f>IF(OR($C122="No",$D122="na",I122="na",$D122=0),"na",I122/($D122*Eqtn!$D$377))</f>
        <v>35.907935162158324</v>
      </c>
      <c r="K122" s="734" t="s">
        <v>232</v>
      </c>
      <c r="M122" s="1062"/>
    </row>
    <row r="123" spans="1:13" ht="13.9" customHeight="1" x14ac:dyDescent="0.25">
      <c r="A123" s="847">
        <f>Chem!A123</f>
        <v>121</v>
      </c>
      <c r="B123" s="941" t="str">
        <f>Chem!B123</f>
        <v>Hexachloroethane</v>
      </c>
      <c r="C123" s="1282" t="str">
        <f>Param!AF123</f>
        <v>YES</v>
      </c>
      <c r="D123" s="343">
        <f>Param!M123</f>
        <v>5.91E-2</v>
      </c>
      <c r="E123" s="602">
        <f>'AR-Det'!F123</f>
        <v>0.22727272727272727</v>
      </c>
      <c r="F123" s="628">
        <f>IF(OR($C123="no",$D123="na",E123="na",$D123=0),"na",E123/($D123*Eqtn!$D$377))</f>
        <v>3.8455622211967389</v>
      </c>
      <c r="G123" s="17">
        <f>'AR-Det'!J123</f>
        <v>2.2727272727272729</v>
      </c>
      <c r="H123" s="1509">
        <f>IF(OR($C123="No",$D123="na",G123="na",$D123=0),"na",G123/($D123*Eqtn!$D$377))</f>
        <v>38.455622211967395</v>
      </c>
      <c r="I123" s="1513">
        <f>'AR-Det'!N123</f>
        <v>1.0618181818181816</v>
      </c>
      <c r="J123" s="1509">
        <f>IF(OR($C123="No",$D123="na",I123="na",$D123=0),"na",I123/($D123*Eqtn!$D$377))</f>
        <v>17.966466697431159</v>
      </c>
      <c r="K123" s="734" t="s">
        <v>232</v>
      </c>
      <c r="M123" s="1062"/>
    </row>
    <row r="124" spans="1:13" ht="13.9" customHeight="1" x14ac:dyDescent="0.25">
      <c r="A124" s="847">
        <f>Chem!A124</f>
        <v>122</v>
      </c>
      <c r="B124" s="941" t="str">
        <f>Chem!B124</f>
        <v>Isophorone</v>
      </c>
      <c r="C124" s="1282" t="str">
        <f>Param!AF124</f>
        <v>no</v>
      </c>
      <c r="D124" s="343">
        <f>Param!M124</f>
        <v>1.1276765765128316E-4</v>
      </c>
      <c r="E124" s="627">
        <f>'AR-Det'!F124</f>
        <v>914.28571428571422</v>
      </c>
      <c r="F124" s="628" t="str">
        <f>IF(OR($C124="no",$D124="na",E124="na",$D124=0),"na",E124/($D124*Eqtn!$D$377))</f>
        <v>na</v>
      </c>
      <c r="G124" s="306">
        <f>'AR-Det'!J124</f>
        <v>2000</v>
      </c>
      <c r="H124" s="1509" t="str">
        <f>IF(OR($C124="No",$D124="na",G124="na",$D124=0),"na",G124/($D124*Eqtn!$D$377))</f>
        <v>na</v>
      </c>
      <c r="I124" s="1513">
        <f>'AR-Det'!N124</f>
        <v>7786.6666666666652</v>
      </c>
      <c r="J124" s="1509" t="str">
        <f>IF(OR($C124="No",$D124="na",I124="na",$D124=0),"na",I124/($D124*Eqtn!$D$377))</f>
        <v>na</v>
      </c>
      <c r="K124" s="734" t="s">
        <v>232</v>
      </c>
      <c r="M124" s="1062"/>
    </row>
    <row r="125" spans="1:13" ht="13.9" customHeight="1" x14ac:dyDescent="0.25">
      <c r="A125" s="847">
        <f>Chem!A125</f>
        <v>123</v>
      </c>
      <c r="B125" s="941" t="str">
        <f>Chem!B125</f>
        <v>2-Methoxynaphthalene</v>
      </c>
      <c r="C125" s="1282" t="str">
        <f>Param!AF125</f>
        <v>no</v>
      </c>
      <c r="D125" s="343">
        <f>Param!M125</f>
        <v>0</v>
      </c>
      <c r="E125" s="627" t="str">
        <f>'AR-Det'!F125</f>
        <v>na</v>
      </c>
      <c r="F125" s="628" t="str">
        <f>IF(OR($C125="no",$D125="na",E125="na",$D125=0),"na",E125/($D125*Eqtn!$D$377))</f>
        <v>na</v>
      </c>
      <c r="G125" s="306" t="str">
        <f>'AR-Det'!J125</f>
        <v>na</v>
      </c>
      <c r="H125" s="1509" t="str">
        <f>IF(OR($C125="No",$D125="na",G125="na",$D125=0),"na",G125/($D125*Eqtn!$D$377))</f>
        <v>na</v>
      </c>
      <c r="I125" s="1513" t="str">
        <f>'AR-Det'!N125</f>
        <v>na</v>
      </c>
      <c r="J125" s="1509" t="str">
        <f>IF(OR($C125="No",$D125="na",I125="na",$D125=0),"na",I125/($D125*Eqtn!$D$377))</f>
        <v>na</v>
      </c>
      <c r="K125" s="734" t="s">
        <v>232</v>
      </c>
      <c r="M125" s="1062"/>
    </row>
    <row r="126" spans="1:13" ht="13.9" customHeight="1" x14ac:dyDescent="0.25">
      <c r="A126" s="847">
        <f>Chem!A126</f>
        <v>124</v>
      </c>
      <c r="B126" s="941" t="str">
        <f>Chem!B126</f>
        <v>2-Methylphenol (o-cresol)</v>
      </c>
      <c r="C126" s="1282" t="str">
        <f>Param!AF126</f>
        <v>no</v>
      </c>
      <c r="D126" s="343">
        <f>Param!M126</f>
        <v>1.9828130714014083E-5</v>
      </c>
      <c r="E126" s="627">
        <f>'AR-Det'!F126</f>
        <v>274.28571428571428</v>
      </c>
      <c r="F126" s="628" t="str">
        <f>IF(OR($C126="no",$D126="na",E126="na",$D126=0),"na",E126/($D126*Eqtn!$D$377))</f>
        <v>na</v>
      </c>
      <c r="G126" s="306">
        <f>'AR-Det'!J126</f>
        <v>600</v>
      </c>
      <c r="H126" s="1509" t="str">
        <f>IF(OR($C126="No",$D126="na",G126="na",$D126=0),"na",G126/($D126*Eqtn!$D$377))</f>
        <v>na</v>
      </c>
      <c r="I126" s="1513">
        <f>'AR-Det'!N126</f>
        <v>2335.9999999999995</v>
      </c>
      <c r="J126" s="1509" t="str">
        <f>IF(OR($C126="No",$D126="na",I126="na",$D126=0),"na",I126/($D126*Eqtn!$D$377))</f>
        <v>na</v>
      </c>
      <c r="K126" s="734" t="s">
        <v>232</v>
      </c>
      <c r="M126" s="1062"/>
    </row>
    <row r="127" spans="1:13" ht="13.9" customHeight="1" x14ac:dyDescent="0.25">
      <c r="A127" s="847">
        <f>Chem!A127</f>
        <v>125</v>
      </c>
      <c r="B127" s="941" t="str">
        <f>Chem!B127</f>
        <v>3-Methylphenol (m-cresol)</v>
      </c>
      <c r="C127" s="1282" t="str">
        <f>Param!AF127</f>
        <v>no</v>
      </c>
      <c r="D127" s="343">
        <f>Param!M127</f>
        <v>1.3290337160199131E-5</v>
      </c>
      <c r="E127" s="627">
        <f>'AR-Det'!F127</f>
        <v>274.28571428571428</v>
      </c>
      <c r="F127" s="628" t="str">
        <f>IF(OR($C127="no",$D127="na",E127="na",$D127=0),"na",E127/($D127*Eqtn!$D$377))</f>
        <v>na</v>
      </c>
      <c r="G127" s="306">
        <f>'AR-Det'!J127</f>
        <v>600</v>
      </c>
      <c r="H127" s="1509" t="str">
        <f>IF(OR($C127="No",$D127="na",G127="na",$D127=0),"na",G127/($D127*Eqtn!$D$377))</f>
        <v>na</v>
      </c>
      <c r="I127" s="1513">
        <f>'AR-Det'!N127</f>
        <v>2335.9999999999995</v>
      </c>
      <c r="J127" s="1509" t="str">
        <f>IF(OR($C127="No",$D127="na",I127="na",$D127=0),"na",I127/($D127*Eqtn!$D$377))</f>
        <v>na</v>
      </c>
      <c r="K127" s="734" t="s">
        <v>232</v>
      </c>
      <c r="M127" s="1062"/>
    </row>
    <row r="128" spans="1:13" ht="13.9" customHeight="1" x14ac:dyDescent="0.25">
      <c r="A128" s="847">
        <f>Chem!A128</f>
        <v>126</v>
      </c>
      <c r="B128" s="941" t="str">
        <f>Chem!B128</f>
        <v>4-Methylphenol (p-cresol)</v>
      </c>
      <c r="C128" s="1282" t="str">
        <f>Param!AF128</f>
        <v>no</v>
      </c>
      <c r="D128" s="343">
        <f>Param!M128</f>
        <v>1.5498246638563197E-5</v>
      </c>
      <c r="E128" s="627">
        <f>'AR-Det'!F128</f>
        <v>274.28571428571428</v>
      </c>
      <c r="F128" s="628" t="str">
        <f>IF(OR($C128="no",$D128="na",E128="na",$D128=0),"na",E128/($D128*Eqtn!$D$377))</f>
        <v>na</v>
      </c>
      <c r="G128" s="306">
        <f>'AR-Det'!J128</f>
        <v>600</v>
      </c>
      <c r="H128" s="1509" t="str">
        <f>IF(OR($C128="No",$D128="na",G128="na",$D128=0),"na",G128/($D128*Eqtn!$D$377))</f>
        <v>na</v>
      </c>
      <c r="I128" s="1513">
        <f>'AR-Det'!N128</f>
        <v>2335.9999999999995</v>
      </c>
      <c r="J128" s="1509" t="str">
        <f>IF(OR($C128="No",$D128="na",I128="na",$D128=0),"na",I128/($D128*Eqtn!$D$377))</f>
        <v>na</v>
      </c>
      <c r="K128" s="734" t="s">
        <v>232</v>
      </c>
      <c r="M128" s="1062"/>
    </row>
    <row r="129" spans="1:13" ht="13.9" customHeight="1" x14ac:dyDescent="0.25">
      <c r="A129" s="847">
        <f>Chem!A129</f>
        <v>127</v>
      </c>
      <c r="B129" s="941" t="str">
        <f>Chem!B129</f>
        <v>2-Nitroaniline</v>
      </c>
      <c r="C129" s="1282" t="str">
        <f>Param!AF129</f>
        <v>no</v>
      </c>
      <c r="D129" s="343">
        <f>Param!M129</f>
        <v>6.1024042964766576E-7</v>
      </c>
      <c r="E129" s="627">
        <f>'AR-Det'!F129</f>
        <v>2.2857142857142857E-2</v>
      </c>
      <c r="F129" s="628" t="str">
        <f>IF(OR($C129="no",$D129="na",E129="na",$D129=0),"na",E129/($D129*Eqtn!$D$377))</f>
        <v>na</v>
      </c>
      <c r="G129" s="306">
        <f>'AR-Det'!J129</f>
        <v>4.9999999999999996E-2</v>
      </c>
      <c r="H129" s="1509" t="str">
        <f>IF(OR($C129="No",$D129="na",G129="na",$D129=0),"na",G129/($D129*Eqtn!$D$377))</f>
        <v>na</v>
      </c>
      <c r="I129" s="1513">
        <f>'AR-Det'!N129</f>
        <v>0.19466666666666663</v>
      </c>
      <c r="J129" s="1509" t="str">
        <f>IF(OR($C129="No",$D129="na",I129="na",$D129=0),"na",I129/($D129*Eqtn!$D$377))</f>
        <v>na</v>
      </c>
      <c r="K129" s="734" t="s">
        <v>232</v>
      </c>
      <c r="M129" s="1062"/>
    </row>
    <row r="130" spans="1:13" ht="13.9" customHeight="1" x14ac:dyDescent="0.25">
      <c r="A130" s="847">
        <f>Chem!A130</f>
        <v>128</v>
      </c>
      <c r="B130" s="941" t="str">
        <f>Chem!B130</f>
        <v>3-Nitroaniline</v>
      </c>
      <c r="C130" s="1282" t="str">
        <f>Param!AF130</f>
        <v>no</v>
      </c>
      <c r="D130" s="343">
        <f>Param!M130</f>
        <v>0</v>
      </c>
      <c r="E130" s="627" t="str">
        <f>'AR-Det'!F130</f>
        <v>na</v>
      </c>
      <c r="F130" s="628" t="str">
        <f>IF(OR($C130="no",$D130="na",E130="na",$D130=0),"na",E130/($D130*Eqtn!$D$377))</f>
        <v>na</v>
      </c>
      <c r="G130" s="306" t="str">
        <f>'AR-Det'!J130</f>
        <v>na</v>
      </c>
      <c r="H130" s="1509" t="str">
        <f>IF(OR($C130="No",$D130="na",G130="na",$D130=0),"na",G130/($D130*Eqtn!$D$377))</f>
        <v>na</v>
      </c>
      <c r="I130" s="1513" t="str">
        <f>'AR-Det'!N130</f>
        <v>na</v>
      </c>
      <c r="J130" s="1509" t="str">
        <f>IF(OR($C130="No",$D130="na",I130="na",$D130=0),"na",I130/($D130*Eqtn!$D$377))</f>
        <v>na</v>
      </c>
      <c r="K130" s="734" t="s">
        <v>232</v>
      </c>
      <c r="M130" s="1062"/>
    </row>
    <row r="131" spans="1:13" ht="13.9" customHeight="1" x14ac:dyDescent="0.25">
      <c r="A131" s="847">
        <f>Chem!A131</f>
        <v>129</v>
      </c>
      <c r="B131" s="941" t="str">
        <f>Chem!B131</f>
        <v>4-Nitroaniline</v>
      </c>
      <c r="C131" s="1282" t="str">
        <f>Param!AF131</f>
        <v>no</v>
      </c>
      <c r="D131" s="343">
        <f>Param!M131</f>
        <v>1.0788231855297398E-8</v>
      </c>
      <c r="E131" s="627">
        <f>'AR-Det'!F131</f>
        <v>2.7428571428571429</v>
      </c>
      <c r="F131" s="628" t="str">
        <f>IF(OR($C131="no",$D131="na",E131="na",$D131=0),"na",E131/($D131*Eqtn!$D$377))</f>
        <v>na</v>
      </c>
      <c r="G131" s="306">
        <f>'AR-Det'!J131</f>
        <v>6</v>
      </c>
      <c r="H131" s="1509" t="str">
        <f>IF(OR($C131="No",$D131="na",G131="na",$D131=0),"na",G131/($D131*Eqtn!$D$377))</f>
        <v>na</v>
      </c>
      <c r="I131" s="1513">
        <f>'AR-Det'!N131</f>
        <v>23.359999999999996</v>
      </c>
      <c r="J131" s="1509" t="str">
        <f>IF(OR($C131="No",$D131="na",I131="na",$D131=0),"na",I131/($D131*Eqtn!$D$377))</f>
        <v>na</v>
      </c>
      <c r="K131" s="734" t="s">
        <v>232</v>
      </c>
      <c r="M131" s="1062"/>
    </row>
    <row r="132" spans="1:13" ht="13.9" customHeight="1" x14ac:dyDescent="0.25">
      <c r="A132" s="847">
        <f>Chem!A132</f>
        <v>130</v>
      </c>
      <c r="B132" s="941" t="str">
        <f>Chem!B132</f>
        <v>Nitrobenzene</v>
      </c>
      <c r="C132" s="1282" t="str">
        <f>Param!AF132</f>
        <v>no</v>
      </c>
      <c r="D132" s="343">
        <f>Param!M132</f>
        <v>3.9730054605151852E-4</v>
      </c>
      <c r="E132" s="602">
        <f>'AR-Det'!F132</f>
        <v>6.2499999999999972E-2</v>
      </c>
      <c r="F132" s="628" t="str">
        <f>IF(OR($C132="no",$D132="na",E132="na",$D132=0),"na",E132/($D132*Eqtn!$D$377))</f>
        <v>na</v>
      </c>
      <c r="G132" s="17">
        <f>'AR-Det'!J132</f>
        <v>0.62499999999999989</v>
      </c>
      <c r="H132" s="1509" t="str">
        <f>IF(OR($C132="No",$D132="na",G132="na",$D132=0),"na",G132/($D132*Eqtn!$D$377))</f>
        <v>na</v>
      </c>
      <c r="I132" s="1513">
        <f>'AR-Det'!N132</f>
        <v>0.29199999999999982</v>
      </c>
      <c r="J132" s="1509" t="str">
        <f>IF(OR($C132="No",$D132="na",I132="na",$D132=0),"na",I132/($D132*Eqtn!$D$377))</f>
        <v>na</v>
      </c>
      <c r="K132" s="734" t="s">
        <v>232</v>
      </c>
      <c r="M132" s="1062"/>
    </row>
    <row r="133" spans="1:13" ht="13.9" customHeight="1" x14ac:dyDescent="0.25">
      <c r="A133" s="847">
        <f>Chem!A133</f>
        <v>131</v>
      </c>
      <c r="B133" s="941" t="str">
        <f>Chem!B133</f>
        <v>2-Nitrophenol</v>
      </c>
      <c r="C133" s="1282" t="str">
        <f>Param!AF133</f>
        <v>no</v>
      </c>
      <c r="D133" s="343">
        <f>Param!M133</f>
        <v>0</v>
      </c>
      <c r="E133" s="627" t="str">
        <f>'AR-Det'!F133</f>
        <v>na</v>
      </c>
      <c r="F133" s="628" t="str">
        <f>IF(OR($C133="no",$D133="na",E133="na",$D133=0),"na",E133/($D133*Eqtn!$D$377))</f>
        <v>na</v>
      </c>
      <c r="G133" s="306" t="str">
        <f>'AR-Det'!J133</f>
        <v>na</v>
      </c>
      <c r="H133" s="1509" t="str">
        <f>IF(OR($C133="No",$D133="na",G133="na",$D133=0),"na",G133/($D133*Eqtn!$D$377))</f>
        <v>na</v>
      </c>
      <c r="I133" s="1513" t="str">
        <f>'AR-Det'!N133</f>
        <v>na</v>
      </c>
      <c r="J133" s="1509" t="str">
        <f>IF(OR($C133="No",$D133="na",I133="na",$D133=0),"na",I133/($D133*Eqtn!$D$377))</f>
        <v>na</v>
      </c>
      <c r="K133" s="734" t="s">
        <v>232</v>
      </c>
      <c r="M133" s="1062"/>
    </row>
    <row r="134" spans="1:13" ht="13.9" customHeight="1" x14ac:dyDescent="0.25">
      <c r="A134" s="847">
        <f>Chem!A134</f>
        <v>132</v>
      </c>
      <c r="B134" s="941" t="str">
        <f>Chem!B134</f>
        <v>4-Nitrophenol</v>
      </c>
      <c r="C134" s="1282" t="str">
        <f>Param!AF134</f>
        <v>no</v>
      </c>
      <c r="D134" s="343">
        <f>Param!M134</f>
        <v>0</v>
      </c>
      <c r="E134" s="627" t="str">
        <f>'AR-Det'!F134</f>
        <v>na</v>
      </c>
      <c r="F134" s="628" t="str">
        <f>IF(OR($C134="no",$D134="na",E134="na",$D134=0),"na",E134/($D134*Eqtn!$D$377))</f>
        <v>na</v>
      </c>
      <c r="G134" s="306" t="str">
        <f>'AR-Det'!J134</f>
        <v>na</v>
      </c>
      <c r="H134" s="1509" t="str">
        <f>IF(OR($C134="No",$D134="na",G134="na",$D134=0),"na",G134/($D134*Eqtn!$D$377))</f>
        <v>na</v>
      </c>
      <c r="I134" s="1513" t="str">
        <f>'AR-Det'!N134</f>
        <v>na</v>
      </c>
      <c r="J134" s="1509" t="str">
        <f>IF(OR($C134="No",$D134="na",I134="na",$D134=0),"na",I134/($D134*Eqtn!$D$377))</f>
        <v>na</v>
      </c>
      <c r="K134" s="734" t="s">
        <v>232</v>
      </c>
      <c r="M134" s="1062"/>
    </row>
    <row r="135" spans="1:13" ht="13.9" customHeight="1" x14ac:dyDescent="0.25">
      <c r="A135" s="847">
        <f>Chem!A135</f>
        <v>133</v>
      </c>
      <c r="B135" s="941" t="str">
        <f>Chem!B135</f>
        <v>n-Nitrosodimethylamine</v>
      </c>
      <c r="C135" s="1282" t="str">
        <f>Param!AF135</f>
        <v>no</v>
      </c>
      <c r="D135" s="343">
        <f>Param!M135</f>
        <v>3.65062517009509E-5</v>
      </c>
      <c r="E135" s="602">
        <f>'AR-Det'!F135</f>
        <v>4.6999999999999997E-5</v>
      </c>
      <c r="F135" s="628" t="str">
        <f>IF(OR($C135="no",$D135="na",E135="na",$D135=0),"na",E135/($D135*Eqtn!$D$377))</f>
        <v>na</v>
      </c>
      <c r="G135" s="17">
        <f>'AR-Det'!J135</f>
        <v>1.7857142857142859E-3</v>
      </c>
      <c r="H135" s="1509" t="str">
        <f>IF(OR($C135="No",$D135="na",G135="na",$D135=0),"na",G135/($D135*Eqtn!$D$377))</f>
        <v>na</v>
      </c>
      <c r="I135" s="1513">
        <f>'AR-Det'!N135</f>
        <v>8.3428571428571395E-4</v>
      </c>
      <c r="J135" s="1509" t="str">
        <f>IF(OR($C135="No",$D135="na",I135="na",$D135=0),"na",I135/($D135*Eqtn!$D$377))</f>
        <v>na</v>
      </c>
      <c r="K135" s="734" t="s">
        <v>232</v>
      </c>
      <c r="M135" s="1062"/>
    </row>
    <row r="136" spans="1:13" ht="13.9" customHeight="1" x14ac:dyDescent="0.25">
      <c r="A136" s="847">
        <f>Chem!A136</f>
        <v>134</v>
      </c>
      <c r="B136" s="941" t="str">
        <f>Chem!B136</f>
        <v>n-Nitrosodiphenylamine</v>
      </c>
      <c r="C136" s="1282" t="str">
        <f>Param!AF136</f>
        <v>no</v>
      </c>
      <c r="D136" s="343">
        <f>Param!M136</f>
        <v>4.9468520032706501E-5</v>
      </c>
      <c r="E136" s="627">
        <f>'AR-Det'!F136</f>
        <v>0.96153846153846134</v>
      </c>
      <c r="F136" s="628" t="str">
        <f>IF(OR($C136="no",$D136="na",E136="na",$D136=0),"na",E136/($D136*Eqtn!$D$377))</f>
        <v>na</v>
      </c>
      <c r="G136" s="306">
        <f>'AR-Det'!J136</f>
        <v>9.615384615384615</v>
      </c>
      <c r="H136" s="1509" t="str">
        <f>IF(OR($C136="No",$D136="na",G136="na",$D136=0),"na",G136/($D136*Eqtn!$D$377))</f>
        <v>na</v>
      </c>
      <c r="I136" s="1513">
        <f>'AR-Det'!N136</f>
        <v>4.4923076923076906</v>
      </c>
      <c r="J136" s="1509" t="str">
        <f>IF(OR($C136="No",$D136="na",I136="na",$D136=0),"na",I136/($D136*Eqtn!$D$377))</f>
        <v>na</v>
      </c>
      <c r="K136" s="734" t="s">
        <v>232</v>
      </c>
      <c r="M136" s="1062"/>
    </row>
    <row r="137" spans="1:13" ht="13.9" customHeight="1" x14ac:dyDescent="0.25">
      <c r="A137" s="847">
        <f>Chem!A137</f>
        <v>135</v>
      </c>
      <c r="B137" s="941" t="str">
        <f>Chem!B137</f>
        <v>n-Nitrosodi-n-propylamine</v>
      </c>
      <c r="C137" s="1282" t="str">
        <f>Param!AF137</f>
        <v>no</v>
      </c>
      <c r="D137" s="343">
        <f>Param!M137</f>
        <v>2.19950940310711E-4</v>
      </c>
      <c r="E137" s="627">
        <f>'AR-Det'!F137</f>
        <v>1.2499999999999998E-3</v>
      </c>
      <c r="F137" s="628" t="str">
        <f>IF(OR($C137="no",$D137="na",E137="na",$D137=0),"na",E137/($D137*Eqtn!$D$377))</f>
        <v>na</v>
      </c>
      <c r="G137" s="306">
        <f>'AR-Det'!J137</f>
        <v>1.2500000000000001E-2</v>
      </c>
      <c r="H137" s="1509" t="str">
        <f>IF(OR($C137="No",$D137="na",G137="na",$D137=0),"na",G137/($D137*Eqtn!$D$377))</f>
        <v>na</v>
      </c>
      <c r="I137" s="1513">
        <f>'AR-Det'!N137</f>
        <v>5.839999999999998E-3</v>
      </c>
      <c r="J137" s="1509" t="str">
        <f>IF(OR($C137="No",$D137="na",I137="na",$D137=0),"na",I137/($D137*Eqtn!$D$377))</f>
        <v>na</v>
      </c>
      <c r="K137" s="734" t="s">
        <v>232</v>
      </c>
      <c r="M137" s="1062"/>
    </row>
    <row r="138" spans="1:13" ht="13.9" customHeight="1" x14ac:dyDescent="0.25">
      <c r="A138" s="847">
        <f>Chem!A138</f>
        <v>136</v>
      </c>
      <c r="B138" s="941" t="str">
        <f>Chem!B138</f>
        <v>Pentachlorophenol</v>
      </c>
      <c r="C138" s="1282" t="str">
        <f>Param!AF138</f>
        <v>no</v>
      </c>
      <c r="D138" s="343">
        <f>Param!M138</f>
        <v>1.0016353229762901E-6</v>
      </c>
      <c r="E138" s="627">
        <f>'AR-Det'!F138</f>
        <v>0.49019607843137247</v>
      </c>
      <c r="F138" s="628" t="str">
        <f>IF(OR($C138="no",$D138="na",E138="na",$D138=0),"na",E138/($D138*Eqtn!$D$377))</f>
        <v>na</v>
      </c>
      <c r="G138" s="306">
        <f>'AR-Det'!J138</f>
        <v>4.9019607843137258</v>
      </c>
      <c r="H138" s="1509" t="str">
        <f>IF(OR($C138="No",$D138="na",G138="na",$D138=0),"na",G138/($D138*Eqtn!$D$377))</f>
        <v>na</v>
      </c>
      <c r="I138" s="1513">
        <f>'AR-Det'!N138</f>
        <v>2.2901960784313715</v>
      </c>
      <c r="J138" s="1509" t="str">
        <f>IF(OR($C138="No",$D138="na",I138="na",$D138=0),"na",I138/($D138*Eqtn!$D$377))</f>
        <v>na</v>
      </c>
      <c r="K138" s="734" t="s">
        <v>232</v>
      </c>
      <c r="M138" s="1062"/>
    </row>
    <row r="139" spans="1:13" ht="13.9" customHeight="1" x14ac:dyDescent="0.25">
      <c r="A139" s="847">
        <f>Chem!A139</f>
        <v>137</v>
      </c>
      <c r="B139" s="941" t="str">
        <f>Chem!B139</f>
        <v>Phenol</v>
      </c>
      <c r="C139" s="1282" t="str">
        <f>Param!AF139</f>
        <v>no</v>
      </c>
      <c r="D139" s="343">
        <f>Param!M139</f>
        <v>5.5304841955272155E-6</v>
      </c>
      <c r="E139" s="627">
        <f>'AR-Det'!F139</f>
        <v>91.428571428571416</v>
      </c>
      <c r="F139" s="628" t="str">
        <f>IF(OR($C139="no",$D139="na",E139="na",$D139=0),"na",E139/($D139*Eqtn!$D$377))</f>
        <v>na</v>
      </c>
      <c r="G139" s="306">
        <f>'AR-Det'!J139</f>
        <v>199.99999999999997</v>
      </c>
      <c r="H139" s="1509" t="str">
        <f>IF(OR($C139="No",$D139="na",G139="na",$D139=0),"na",G139/($D139*Eqtn!$D$377))</f>
        <v>na</v>
      </c>
      <c r="I139" s="1513">
        <f>'AR-Det'!N139</f>
        <v>778.6666666666664</v>
      </c>
      <c r="J139" s="1509" t="str">
        <f>IF(OR($C139="No",$D139="na",I139="na",$D139=0),"na",I139/($D139*Eqtn!$D$377))</f>
        <v>na</v>
      </c>
      <c r="K139" s="734" t="s">
        <v>232</v>
      </c>
      <c r="M139" s="1062"/>
    </row>
    <row r="140" spans="1:13" ht="13.9" customHeight="1" x14ac:dyDescent="0.25">
      <c r="A140" s="847">
        <f>Chem!A140</f>
        <v>138</v>
      </c>
      <c r="B140" s="941" t="str">
        <f>Chem!B140</f>
        <v>Pyridine</v>
      </c>
      <c r="C140" s="1282" t="str">
        <f>Param!AF140</f>
        <v>no</v>
      </c>
      <c r="D140" s="343">
        <f>Param!M140</f>
        <v>2.3857993230191337E-4</v>
      </c>
      <c r="E140" s="627" t="str">
        <f>'AR-Det'!F140</f>
        <v>na</v>
      </c>
      <c r="F140" s="628" t="str">
        <f>IF(OR($C140="no",$D140="na",E140="na",$D140=0),"na",E140/($D140*Eqtn!$D$377))</f>
        <v>na</v>
      </c>
      <c r="G140" s="306" t="str">
        <f>'AR-Det'!J140</f>
        <v>na</v>
      </c>
      <c r="H140" s="1509" t="str">
        <f>IF(OR($C140="No",$D140="na",G140="na",$D140=0),"na",G140/($D140*Eqtn!$D$377))</f>
        <v>na</v>
      </c>
      <c r="I140" s="1513" t="str">
        <f>'AR-Det'!N140</f>
        <v>na</v>
      </c>
      <c r="J140" s="1509" t="str">
        <f>IF(OR($C140="No",$D140="na",I140="na",$D140=0),"na",I140/($D140*Eqtn!$D$377))</f>
        <v>na</v>
      </c>
      <c r="K140" s="734" t="s">
        <v>232</v>
      </c>
      <c r="M140" s="1062"/>
    </row>
    <row r="141" spans="1:13" ht="13.9" customHeight="1" x14ac:dyDescent="0.25">
      <c r="A141" s="847">
        <f>Chem!A141</f>
        <v>139</v>
      </c>
      <c r="B141" s="941" t="str">
        <f>Chem!B141</f>
        <v>2,3,4,5-Tetrachlorophenol</v>
      </c>
      <c r="C141" s="1282" t="str">
        <f>Param!AF141</f>
        <v>no</v>
      </c>
      <c r="D141" s="343">
        <f>Param!M141</f>
        <v>0</v>
      </c>
      <c r="E141" s="627" t="str">
        <f>'AR-Det'!F141</f>
        <v>na</v>
      </c>
      <c r="F141" s="628" t="str">
        <f>IF(OR($C141="no",$D141="na",E141="na",$D141=0),"na",E141/($D141*Eqtn!$D$377))</f>
        <v>na</v>
      </c>
      <c r="G141" s="306" t="str">
        <f>'AR-Det'!J141</f>
        <v>na</v>
      </c>
      <c r="H141" s="1509" t="str">
        <f>IF(OR($C141="No",$D141="na",G141="na",$D141=0),"na",G141/($D141*Eqtn!$D$377))</f>
        <v>na</v>
      </c>
      <c r="I141" s="1513" t="str">
        <f>'AR-Det'!N141</f>
        <v>na</v>
      </c>
      <c r="J141" s="1509" t="str">
        <f>IF(OR($C141="No",$D141="na",I141="na",$D141=0),"na",I141/($D141*Eqtn!$D$377))</f>
        <v>na</v>
      </c>
      <c r="K141" s="734" t="s">
        <v>232</v>
      </c>
      <c r="M141" s="1062"/>
    </row>
    <row r="142" spans="1:13" ht="13.9" customHeight="1" x14ac:dyDescent="0.25">
      <c r="A142" s="847">
        <f>Chem!A142</f>
        <v>140</v>
      </c>
      <c r="B142" s="941" t="str">
        <f>Chem!B142</f>
        <v>2,3,4,6-Tetrachlorophenol</v>
      </c>
      <c r="C142" s="1282" t="str">
        <f>Param!AF142</f>
        <v>no</v>
      </c>
      <c r="D142" s="343">
        <f>Param!M142</f>
        <v>3.6140637775960798E-4</v>
      </c>
      <c r="E142" s="627" t="str">
        <f>'AR-Det'!F142</f>
        <v>na</v>
      </c>
      <c r="F142" s="628" t="str">
        <f>IF(OR($C142="no",$D142="na",E142="na",$D142=0),"na",E142/($D142*Eqtn!$D$377))</f>
        <v>na</v>
      </c>
      <c r="G142" s="306" t="str">
        <f>'AR-Det'!J142</f>
        <v>na</v>
      </c>
      <c r="H142" s="1509" t="str">
        <f>IF(OR($C142="No",$D142="na",G142="na",$D142=0),"na",G142/($D142*Eqtn!$D$377))</f>
        <v>na</v>
      </c>
      <c r="I142" s="1513" t="str">
        <f>'AR-Det'!N142</f>
        <v>na</v>
      </c>
      <c r="J142" s="1509" t="str">
        <f>IF(OR($C142="No",$D142="na",I142="na",$D142=0),"na",I142/($D142*Eqtn!$D$377))</f>
        <v>na</v>
      </c>
      <c r="K142" s="734" t="s">
        <v>232</v>
      </c>
      <c r="M142" s="1062"/>
    </row>
    <row r="143" spans="1:13" ht="13.9" customHeight="1" x14ac:dyDescent="0.25">
      <c r="A143" s="847">
        <f>Chem!A143</f>
        <v>141</v>
      </c>
      <c r="B143" s="941" t="str">
        <f>Chem!B143</f>
        <v>1,2,4-Trichlorobenzene</v>
      </c>
      <c r="C143" s="1282" t="str">
        <f>Param!AF143</f>
        <v>YES</v>
      </c>
      <c r="D143" s="343">
        <f>Param!M143</f>
        <v>2.3727692638739032E-2</v>
      </c>
      <c r="E143" s="627">
        <f>'AR-Det'!F143</f>
        <v>0.91428571428571437</v>
      </c>
      <c r="F143" s="628">
        <f>IF(OR($C143="no",$D143="na",E143="na",$D143=0),"na",E143/($D143*Eqtn!$D$377))</f>
        <v>38.532432470614744</v>
      </c>
      <c r="G143" s="306">
        <f>'AR-Det'!J143</f>
        <v>2</v>
      </c>
      <c r="H143" s="1509">
        <f>IF(OR($C143="No",$D143="na",G143="na",$D143=0),"na",G143/($D143*Eqtn!$D$377))</f>
        <v>84.289696029469752</v>
      </c>
      <c r="I143" s="1513">
        <f>'AR-Det'!N143</f>
        <v>7.7866666666666662</v>
      </c>
      <c r="J143" s="1509">
        <f>IF(OR($C143="No",$D143="na",I143="na",$D143=0),"na",I143/($D143*Eqtn!$D$377))</f>
        <v>328.16788320806887</v>
      </c>
      <c r="K143" s="734" t="s">
        <v>232</v>
      </c>
      <c r="M143" s="1062"/>
    </row>
    <row r="144" spans="1:13" ht="13.9" customHeight="1" x14ac:dyDescent="0.25">
      <c r="A144" s="847">
        <f>Chem!A144</f>
        <v>142</v>
      </c>
      <c r="B144" s="941" t="str">
        <f>Chem!B144</f>
        <v>2,4,5-Trichlorophenol</v>
      </c>
      <c r="C144" s="1282" t="str">
        <f>Param!AF144</f>
        <v>no</v>
      </c>
      <c r="D144" s="343">
        <f>Param!M144</f>
        <v>2.568277245914184E-5</v>
      </c>
      <c r="E144" s="627" t="str">
        <f>'AR-Det'!F144</f>
        <v>na</v>
      </c>
      <c r="F144" s="628" t="str">
        <f>IF(OR($C144="no",$D144="na",E144="na",$D144=0),"na",E144/($D144*Eqtn!$D$377))</f>
        <v>na</v>
      </c>
      <c r="G144" s="306" t="str">
        <f>'AR-Det'!J144</f>
        <v>na</v>
      </c>
      <c r="H144" s="1509" t="str">
        <f>IF(OR($C144="No",$D144="na",G144="na",$D144=0),"na",G144/($D144*Eqtn!$D$377))</f>
        <v>na</v>
      </c>
      <c r="I144" s="1513" t="str">
        <f>'AR-Det'!N144</f>
        <v>na</v>
      </c>
      <c r="J144" s="1509" t="str">
        <f>IF(OR($C144="No",$D144="na",I144="na",$D144=0),"na",I144/($D144*Eqtn!$D$377))</f>
        <v>na</v>
      </c>
      <c r="K144" s="734" t="s">
        <v>232</v>
      </c>
      <c r="M144" s="1062"/>
    </row>
    <row r="145" spans="1:13" ht="13.9" customHeight="1" x14ac:dyDescent="0.25">
      <c r="A145" s="842">
        <f>Chem!A145</f>
        <v>143</v>
      </c>
      <c r="B145" s="941" t="str">
        <f>Chem!B145</f>
        <v>2,4,6-Trichlorophenol</v>
      </c>
      <c r="C145" s="1283" t="str">
        <f>Param!AF145</f>
        <v>no</v>
      </c>
      <c r="D145" s="532">
        <f>Param!M145</f>
        <v>4.1322772775944718E-5</v>
      </c>
      <c r="E145" s="627">
        <f>'AR-Det'!F145</f>
        <v>0.80645161290322553</v>
      </c>
      <c r="F145" s="628" t="str">
        <f>IF(OR($C145="no",$D145="na",E145="na",$D145=0),"na",E145/($D145*Eqtn!$D$377))</f>
        <v>na</v>
      </c>
      <c r="G145" s="306">
        <f>'AR-Det'!J145</f>
        <v>8.064516129032258</v>
      </c>
      <c r="H145" s="1509" t="str">
        <f>IF(OR($C145="No",$D145="na",G145="na",$D145=0),"na",G145/($D145*Eqtn!$D$377))</f>
        <v>na</v>
      </c>
      <c r="I145" s="1515">
        <f>'AR-Det'!N145</f>
        <v>3.767741935483869</v>
      </c>
      <c r="J145" s="1510" t="str">
        <f>IF(OR($C145="No",$D145="na",I145="na",$D145=0),"na",I145/($D145*Eqtn!$D$377))</f>
        <v>na</v>
      </c>
      <c r="K145" s="736" t="s">
        <v>232</v>
      </c>
      <c r="M145" s="1062"/>
    </row>
    <row r="146" spans="1:13" ht="13.9" customHeight="1" x14ac:dyDescent="0.25">
      <c r="A146" s="1197">
        <f>Chem!A146</f>
        <v>144</v>
      </c>
      <c r="B146" s="943" t="str">
        <f>Chem!B146</f>
        <v>Volatile Organic Compounds</v>
      </c>
      <c r="C146" s="2345"/>
      <c r="D146" s="259"/>
      <c r="E146" s="127"/>
      <c r="F146" s="44"/>
      <c r="G146" s="127"/>
      <c r="H146" s="44"/>
      <c r="I146" s="44"/>
      <c r="J146" s="44"/>
      <c r="K146" s="55"/>
      <c r="M146" s="1063"/>
    </row>
    <row r="147" spans="1:13" ht="13.9" customHeight="1" x14ac:dyDescent="0.25">
      <c r="A147" s="846">
        <f>Chem!A147</f>
        <v>145</v>
      </c>
      <c r="B147" s="941" t="str">
        <f>Chem!B147</f>
        <v>Acetone</v>
      </c>
      <c r="C147" s="1284" t="str">
        <f>Param!AF147</f>
        <v>no</v>
      </c>
      <c r="D147" s="393">
        <f>Param!M147</f>
        <v>8.7517628842301732E-4</v>
      </c>
      <c r="E147" s="627" t="str">
        <f>'AR-Det'!F147</f>
        <v>na</v>
      </c>
      <c r="F147" s="628" t="str">
        <f>IF(OR($C147="no",$D147="na",E147="na",$D147=0),"na",E147/($D147*Eqtn!$D$377))</f>
        <v>na</v>
      </c>
      <c r="G147" s="306" t="str">
        <f>'AR-Det'!J147</f>
        <v>na</v>
      </c>
      <c r="H147" s="1509" t="str">
        <f>IF(OR($C147="No",$D147="na",G147="na",$D147=0),"na",G147/($D147*Eqtn!$D$377))</f>
        <v>na</v>
      </c>
      <c r="I147" s="1516" t="str">
        <f>'AR-Det'!N147</f>
        <v>na</v>
      </c>
      <c r="J147" s="1534" t="str">
        <f>IF(OR($C147="No",$D147="na",I147="na",$D147=0),"na",I147/($D147*Eqtn!$D$377))</f>
        <v>na</v>
      </c>
      <c r="K147" s="1517" t="s">
        <v>232</v>
      </c>
      <c r="M147" s="1062"/>
    </row>
    <row r="148" spans="1:13" ht="13.9" customHeight="1" x14ac:dyDescent="0.25">
      <c r="A148" s="846">
        <f>Chem!A148</f>
        <v>146</v>
      </c>
      <c r="B148" s="941" t="str">
        <f>Chem!B148</f>
        <v>Acetaldehyde</v>
      </c>
      <c r="C148" s="1284" t="str">
        <f>Param!AF148</f>
        <v>YES</v>
      </c>
      <c r="D148" s="531">
        <f>Param!M148</f>
        <v>1.8253818054003727E-3</v>
      </c>
      <c r="E148" s="627">
        <f>'AR-Det'!F148</f>
        <v>1.1363636363636362</v>
      </c>
      <c r="F148" s="628">
        <f>IF(OR($C148="no",$D148="na",E148="na",$D148=0),"na",E148/($D148*Eqtn!$D$377))</f>
        <v>622.53476670015914</v>
      </c>
      <c r="G148" s="306">
        <f>'AR-Det'!J148</f>
        <v>9</v>
      </c>
      <c r="H148" s="1509">
        <f>IF(OR($C148="No",$D148="na",G148="na",$D148=0),"na",G148/($D148*Eqtn!$D$377))</f>
        <v>4930.4753522652609</v>
      </c>
      <c r="I148" s="1516">
        <f>'AR-Det'!N148</f>
        <v>5.3090909090909069</v>
      </c>
      <c r="J148" s="1534">
        <f>IF(OR($C148="No",$D148="na",I148="na",$D148=0),"na",I148/($D148*Eqtn!$D$377))</f>
        <v>2908.4824300231421</v>
      </c>
      <c r="K148" s="1473" t="s">
        <v>232</v>
      </c>
      <c r="M148" s="1062"/>
    </row>
    <row r="149" spans="1:13" ht="13.9" customHeight="1" x14ac:dyDescent="0.25">
      <c r="A149" s="846">
        <f>Chem!A149</f>
        <v>147</v>
      </c>
      <c r="B149" s="941" t="str">
        <f>Chem!B149</f>
        <v>Acrolein</v>
      </c>
      <c r="C149" s="1284" t="str">
        <f>Param!AF149</f>
        <v>YES</v>
      </c>
      <c r="D149" s="531">
        <f>Param!M149</f>
        <v>3.1063433625780931E-3</v>
      </c>
      <c r="E149" s="627">
        <f>'AR-Det'!F149</f>
        <v>9.1428571428571435E-3</v>
      </c>
      <c r="F149" s="628">
        <f>IF(OR($C149="no",$D149="na",E149="na",$D149=0),"na",E149/($D149*Eqtn!$D$377))</f>
        <v>2.9432860684367737</v>
      </c>
      <c r="G149" s="306">
        <f>'AR-Det'!J149</f>
        <v>0.02</v>
      </c>
      <c r="H149" s="1509">
        <f>IF(OR($C149="No",$D149="na",G149="na",$D149=0),"na",G149/($D149*Eqtn!$D$377))</f>
        <v>6.4384382747054421</v>
      </c>
      <c r="I149" s="1513">
        <f>'AR-Det'!N149</f>
        <v>7.7866666666666653E-2</v>
      </c>
      <c r="J149" s="1509">
        <f>IF(OR($C149="No",$D149="na",I149="na",$D149=0),"na",I149/($D149*Eqtn!$D$377))</f>
        <v>25.066986349519851</v>
      </c>
      <c r="K149" s="734" t="s">
        <v>232</v>
      </c>
      <c r="M149" s="1062"/>
    </row>
    <row r="150" spans="1:13" ht="13.9" customHeight="1" x14ac:dyDescent="0.25">
      <c r="A150" s="846">
        <f>Chem!A150</f>
        <v>148</v>
      </c>
      <c r="B150" s="941" t="str">
        <f>Chem!B150</f>
        <v>Acrylonitrile</v>
      </c>
      <c r="C150" s="1282" t="str">
        <f>Param!AF150</f>
        <v>YES</v>
      </c>
      <c r="D150" s="343">
        <f>Param!M150</f>
        <v>3.1817822247492489E-3</v>
      </c>
      <c r="E150" s="602">
        <f>'AR-Det'!F150</f>
        <v>3.6764705882352929E-2</v>
      </c>
      <c r="F150" s="628">
        <f>IF(OR($C150="no",$D150="na",E150="na",$D150=0),"na",E150/($D150*Eqtn!$D$377))</f>
        <v>11.554752426605909</v>
      </c>
      <c r="G150" s="17">
        <f>'AR-Det'!J150</f>
        <v>0.36764705882352938</v>
      </c>
      <c r="H150" s="1509">
        <f>IF(OR($C150="No",$D150="na",G150="na",$D150=0),"na",G150/($D150*Eqtn!$D$377))</f>
        <v>115.54752426605911</v>
      </c>
      <c r="I150" s="1513">
        <f>'AR-Det'!N150</f>
        <v>0.17176470588235285</v>
      </c>
      <c r="J150" s="1509">
        <f>IF(OR($C150="No",$D150="na",I150="na",$D150=0),"na",I150/($D150*Eqtn!$D$377))</f>
        <v>53.983803337102792</v>
      </c>
      <c r="K150" s="734" t="s">
        <v>232</v>
      </c>
      <c r="M150" s="1062"/>
    </row>
    <row r="151" spans="1:13" ht="13.9" customHeight="1" x14ac:dyDescent="0.25">
      <c r="A151" s="846">
        <f>Chem!A151</f>
        <v>149</v>
      </c>
      <c r="B151" s="941" t="str">
        <f>Chem!B151</f>
        <v>Benzaldehyde</v>
      </c>
      <c r="C151" s="1282" t="str">
        <f>Param!AF151</f>
        <v>no</v>
      </c>
      <c r="D151" s="343">
        <f>Param!M151</f>
        <v>4.7629715272312124E-4</v>
      </c>
      <c r="E151" s="627" t="str">
        <f>'AR-Det'!F151</f>
        <v>na</v>
      </c>
      <c r="F151" s="628" t="str">
        <f>IF(OR($C151="no",$D151="na",E151="na",$D151=0),"na",E151/($D151*Eqtn!$D$377))</f>
        <v>na</v>
      </c>
      <c r="G151" s="306" t="str">
        <f>'AR-Det'!J151</f>
        <v>na</v>
      </c>
      <c r="H151" s="1509" t="str">
        <f>IF(OR($C151="No",$D151="na",G151="na",$D151=0),"na",G151/($D151*Eqtn!$D$377))</f>
        <v>na</v>
      </c>
      <c r="I151" s="1513" t="str">
        <f>'AR-Det'!N151</f>
        <v>na</v>
      </c>
      <c r="J151" s="1509" t="str">
        <f>IF(OR($C151="No",$D151="na",I151="na",$D151=0),"na",I151/($D151*Eqtn!$D$377))</f>
        <v>na</v>
      </c>
      <c r="K151" s="734" t="s">
        <v>232</v>
      </c>
      <c r="M151" s="1062"/>
    </row>
    <row r="152" spans="1:13" ht="13.9" customHeight="1" x14ac:dyDescent="0.25">
      <c r="A152" s="846">
        <f>Chem!A152</f>
        <v>150</v>
      </c>
      <c r="B152" s="941" t="str">
        <f>Chem!B152</f>
        <v>Benzene</v>
      </c>
      <c r="C152" s="1282" t="str">
        <f>Param!AF152</f>
        <v>YES</v>
      </c>
      <c r="D152" s="343">
        <f>Param!M152</f>
        <v>0.13393499964479427</v>
      </c>
      <c r="E152" s="602">
        <f>'AR-Det'!F152</f>
        <v>0.32051282051282048</v>
      </c>
      <c r="F152" s="628">
        <f>IF(OR($C152="no",$D152="na",E152="na",$D152=0),"na",E152/($D152*Eqtn!$D$377))</f>
        <v>2.3930475332276453</v>
      </c>
      <c r="G152" s="17">
        <f>'AR-Det'!J152</f>
        <v>3.2051282051282053</v>
      </c>
      <c r="H152" s="1509">
        <f>IF(OR($C152="No",$D152="na",G152="na",$D152=0),"na",G152/($D152*Eqtn!$D$377))</f>
        <v>23.930475332276455</v>
      </c>
      <c r="I152" s="1513">
        <f>'AR-Det'!N152</f>
        <v>1.4974358974358968</v>
      </c>
      <c r="J152" s="1509">
        <f>IF(OR($C152="No",$D152="na",I152="na",$D152=0),"na",I152/($D152*Eqtn!$D$377))</f>
        <v>11.180318075239555</v>
      </c>
      <c r="K152" s="734" t="s">
        <v>232</v>
      </c>
      <c r="M152" s="1062"/>
    </row>
    <row r="153" spans="1:13" ht="13.9" customHeight="1" x14ac:dyDescent="0.25">
      <c r="A153" s="846">
        <f>Chem!A153</f>
        <v>151</v>
      </c>
      <c r="B153" s="941" t="str">
        <f>Chem!B153</f>
        <v>Bromobenzene</v>
      </c>
      <c r="C153" s="1282" t="str">
        <f>Param!AF153</f>
        <v>YES</v>
      </c>
      <c r="D153" s="343">
        <f>Param!M153</f>
        <v>4.3228805615861343E-2</v>
      </c>
      <c r="E153" s="627">
        <f>'AR-Det'!F153</f>
        <v>27.428571428571431</v>
      </c>
      <c r="F153" s="628">
        <f>IF(OR($C153="no",$D153="na",E153="na",$D153=0),"na",E153/($D153*Eqtn!$D$377))</f>
        <v>634.49755406861038</v>
      </c>
      <c r="G153" s="306">
        <f>'AR-Det'!J153</f>
        <v>60</v>
      </c>
      <c r="H153" s="1509">
        <f>IF(OR($C153="No",$D153="na",G153="na",$D153=0),"na",G153/($D153*Eqtn!$D$377))</f>
        <v>1387.9633995250852</v>
      </c>
      <c r="I153" s="1513">
        <f>'AR-Det'!N153</f>
        <v>233.59999999999997</v>
      </c>
      <c r="J153" s="1509">
        <f>IF(OR($C153="No",$D153="na",I153="na",$D153=0),"na",I153/($D153*Eqtn!$D$377))</f>
        <v>5403.8041688176636</v>
      </c>
      <c r="K153" s="734" t="s">
        <v>232</v>
      </c>
      <c r="M153" s="1062"/>
    </row>
    <row r="154" spans="1:13" ht="13.9" customHeight="1" x14ac:dyDescent="0.25">
      <c r="A154" s="846">
        <f>Chem!A154</f>
        <v>152</v>
      </c>
      <c r="B154" s="941" t="str">
        <f>Chem!B154</f>
        <v>Bromochloromethane</v>
      </c>
      <c r="C154" s="1282" t="str">
        <f>Param!AF154</f>
        <v>no</v>
      </c>
      <c r="D154" s="343">
        <f>Param!M154</f>
        <v>3.5945256023649182E-2</v>
      </c>
      <c r="E154" s="627">
        <f>'AR-Det'!F154</f>
        <v>18.285714285714285</v>
      </c>
      <c r="F154" s="628" t="str">
        <f>IF(OR($C154="no",$D154="na",E154="na",$D154=0),"na",E154/($D154*Eqtn!$D$377))</f>
        <v>na</v>
      </c>
      <c r="G154" s="306">
        <f>'AR-Det'!J154</f>
        <v>40</v>
      </c>
      <c r="H154" s="1509" t="str">
        <f>IF(OR($C154="No",$D154="na",G154="na",$D154=0),"na",G154/($D154*Eqtn!$D$377))</f>
        <v>na</v>
      </c>
      <c r="I154" s="1513">
        <f>'AR-Det'!N154</f>
        <v>155.73333333333329</v>
      </c>
      <c r="J154" s="1509" t="str">
        <f>IF(OR($C154="No",$D154="na",I154="na",$D154=0),"na",I154/($D154*Eqtn!$D$377))</f>
        <v>na</v>
      </c>
      <c r="K154" s="734" t="s">
        <v>232</v>
      </c>
      <c r="M154" s="1062"/>
    </row>
    <row r="155" spans="1:13" ht="13.9" customHeight="1" x14ac:dyDescent="0.25">
      <c r="A155" s="846">
        <f>Chem!A155</f>
        <v>153</v>
      </c>
      <c r="B155" s="941" t="str">
        <f>Chem!B155</f>
        <v>Bromoethane</v>
      </c>
      <c r="C155" s="1282" t="str">
        <f>Param!AF155</f>
        <v>no</v>
      </c>
      <c r="D155" s="343">
        <f>Param!M155</f>
        <v>0</v>
      </c>
      <c r="E155" s="627" t="str">
        <f>'AR-Det'!F155</f>
        <v>na</v>
      </c>
      <c r="F155" s="628" t="str">
        <f>IF(OR($C155="no",$D155="na",E155="na",$D155=0),"na",E155/($D155*Eqtn!$D$377))</f>
        <v>na</v>
      </c>
      <c r="G155" s="306" t="str">
        <f>'AR-Det'!J155</f>
        <v>na</v>
      </c>
      <c r="H155" s="1509" t="str">
        <f>IF(OR($C155="No",$D155="na",G155="na",$D155=0),"na",G155/($D155*Eqtn!$D$377))</f>
        <v>na</v>
      </c>
      <c r="I155" s="1513" t="str">
        <f>'AR-Det'!N155</f>
        <v>na</v>
      </c>
      <c r="J155" s="1509" t="str">
        <f>IF(OR($C155="No",$D155="na",I155="na",$D155=0),"na",I155/($D155*Eqtn!$D$377))</f>
        <v>na</v>
      </c>
      <c r="K155" s="734" t="s">
        <v>232</v>
      </c>
      <c r="M155" s="1062"/>
    </row>
    <row r="156" spans="1:13" ht="13.9" customHeight="1" x14ac:dyDescent="0.25">
      <c r="A156" s="846">
        <f>Chem!A156</f>
        <v>154</v>
      </c>
      <c r="B156" s="941" t="str">
        <f>Chem!B156</f>
        <v>Bromoform</v>
      </c>
      <c r="C156" s="1282" t="str">
        <f>Param!AF156</f>
        <v>YES</v>
      </c>
      <c r="D156" s="343">
        <f>Param!M156</f>
        <v>1.0493536989602176E-2</v>
      </c>
      <c r="E156" s="627">
        <f>'AR-Det'!F156</f>
        <v>2.2727272727272725</v>
      </c>
      <c r="F156" s="628">
        <f>IF(OR($C156="no",$D156="na",E156="na",$D156=0),"na",E156/($D156*Eqtn!$D$377))</f>
        <v>216.58352898353243</v>
      </c>
      <c r="G156" s="306">
        <f>'AR-Det'!J156</f>
        <v>22.72727272727273</v>
      </c>
      <c r="H156" s="1509">
        <f>IF(OR($C156="No",$D156="na",G156="na",$D156=0),"na",G156/($D156*Eqtn!$D$377))</f>
        <v>2165.8352898353246</v>
      </c>
      <c r="I156" s="1513">
        <f>'AR-Det'!N156</f>
        <v>10.618181818181814</v>
      </c>
      <c r="J156" s="1509">
        <f>IF(OR($C156="No",$D156="na",I156="na",$D156=0),"na",I156/($D156*Eqtn!$D$377))</f>
        <v>1011.8782474110632</v>
      </c>
      <c r="K156" s="734" t="s">
        <v>232</v>
      </c>
      <c r="M156" s="1062"/>
    </row>
    <row r="157" spans="1:13" ht="13.9" customHeight="1" x14ac:dyDescent="0.25">
      <c r="A157" s="846">
        <f>Chem!A157</f>
        <v>155</v>
      </c>
      <c r="B157" s="941" t="str">
        <f>Chem!B157</f>
        <v>Bromomethane</v>
      </c>
      <c r="C157" s="1282" t="str">
        <f>Param!AF157</f>
        <v>YES</v>
      </c>
      <c r="D157" s="343">
        <f>Param!M157</f>
        <v>0.20999151248674033</v>
      </c>
      <c r="E157" s="627">
        <f>'AR-Det'!F157</f>
        <v>2.2857142857142856</v>
      </c>
      <c r="F157" s="628">
        <f>IF(OR($C157="no",$D157="na",E157="na",$D157=0),"na",E157/($D157*Eqtn!$D$377))</f>
        <v>10.884793669261343</v>
      </c>
      <c r="G157" s="306">
        <f>'AR-Det'!J157</f>
        <v>5</v>
      </c>
      <c r="H157" s="1509">
        <f>IF(OR($C157="No",$D157="na",G157="na",$D157=0),"na",G157/($D157*Eqtn!$D$377))</f>
        <v>23.810486151509192</v>
      </c>
      <c r="I157" s="1513">
        <f>'AR-Det'!N157</f>
        <v>19.466666666666661</v>
      </c>
      <c r="J157" s="1509">
        <f>IF(OR($C157="No",$D157="na",I157="na",$D157=0),"na",I157/($D157*Eqtn!$D$377))</f>
        <v>92.702159416542429</v>
      </c>
      <c r="K157" s="734" t="s">
        <v>232</v>
      </c>
      <c r="M157" s="1062"/>
    </row>
    <row r="158" spans="1:13" ht="13.9" customHeight="1" x14ac:dyDescent="0.25">
      <c r="A158" s="846">
        <f>Chem!A158</f>
        <v>156</v>
      </c>
      <c r="B158" s="941" t="str">
        <f>Chem!B158</f>
        <v>2-Butoxyethanol (EGBE)</v>
      </c>
      <c r="C158" s="1282" t="str">
        <f>Param!AF158</f>
        <v>no</v>
      </c>
      <c r="D158" s="343">
        <f>Param!M158</f>
        <v>2.5325207268919119E-5</v>
      </c>
      <c r="E158" s="627">
        <f>'AR-Det'!F158</f>
        <v>731.42857142857133</v>
      </c>
      <c r="F158" s="628" t="str">
        <f>IF(OR($C158="no",$D158="na",E158="na",$D158=0),"na",E158/($D158*Eqtn!$D$377))</f>
        <v>na</v>
      </c>
      <c r="G158" s="306">
        <f>'AR-Det'!J158</f>
        <v>1599.9999999999998</v>
      </c>
      <c r="H158" s="1509" t="str">
        <f>IF(OR($C158="No",$D158="na",G158="na",$D158=0),"na",G158/($D158*Eqtn!$D$377))</f>
        <v>na</v>
      </c>
      <c r="I158" s="1513">
        <f>'AR-Det'!N158</f>
        <v>6229.3333333333312</v>
      </c>
      <c r="J158" s="1509" t="str">
        <f>IF(OR($C158="No",$D158="na",I158="na",$D158=0),"na",I158/($D158*Eqtn!$D$377))</f>
        <v>na</v>
      </c>
      <c r="K158" s="734" t="s">
        <v>232</v>
      </c>
      <c r="M158" s="1062"/>
    </row>
    <row r="159" spans="1:13" ht="13.9" customHeight="1" x14ac:dyDescent="0.25">
      <c r="A159" s="846">
        <f>Chem!A159</f>
        <v>157</v>
      </c>
      <c r="B159" s="941" t="str">
        <f>Chem!B159</f>
        <v>n-Butylbenzene</v>
      </c>
      <c r="C159" s="1282" t="str">
        <f>Param!AF159</f>
        <v>no</v>
      </c>
      <c r="D159" s="343">
        <f>Param!M159</f>
        <v>0.29340915429612474</v>
      </c>
      <c r="E159" s="627" t="str">
        <f>'AR-Det'!F159</f>
        <v>na</v>
      </c>
      <c r="F159" s="628" t="str">
        <f>IF(OR($C159="no",$D159="na",E159="na",$D159=0),"na",E159/($D159*Eqtn!$D$377))</f>
        <v>na</v>
      </c>
      <c r="G159" s="306" t="str">
        <f>'AR-Det'!J159</f>
        <v>na</v>
      </c>
      <c r="H159" s="1509" t="str">
        <f>IF(OR($C159="No",$D159="na",G159="na",$D159=0),"na",G159/($D159*Eqtn!$D$377))</f>
        <v>na</v>
      </c>
      <c r="I159" s="1513" t="str">
        <f>'AR-Det'!N159</f>
        <v>na</v>
      </c>
      <c r="J159" s="1509" t="str">
        <f>IF(OR($C159="No",$D159="na",I159="na",$D159=0),"na",I159/($D159*Eqtn!$D$377))</f>
        <v>na</v>
      </c>
      <c r="K159" s="734" t="s">
        <v>232</v>
      </c>
      <c r="M159" s="1062"/>
    </row>
    <row r="160" spans="1:13" ht="13.9" customHeight="1" x14ac:dyDescent="0.25">
      <c r="A160" s="846">
        <f>Chem!A160</f>
        <v>158</v>
      </c>
      <c r="B160" s="941" t="str">
        <f>Chem!B160</f>
        <v>sec-Butylbenzene</v>
      </c>
      <c r="C160" s="1282" t="str">
        <f>Param!AF160</f>
        <v>no</v>
      </c>
      <c r="D160" s="343">
        <f>Param!M160</f>
        <v>0.27506032751473342</v>
      </c>
      <c r="E160" s="627" t="str">
        <f>'AR-Det'!F160</f>
        <v>na</v>
      </c>
      <c r="F160" s="628" t="str">
        <f>IF(OR($C160="no",$D160="na",E160="na",$D160=0),"na",E160/($D160*Eqtn!$D$377))</f>
        <v>na</v>
      </c>
      <c r="G160" s="306" t="str">
        <f>'AR-Det'!J160</f>
        <v>na</v>
      </c>
      <c r="H160" s="1509" t="str">
        <f>IF(OR($C160="No",$D160="na",G160="na",$D160=0),"na",G160/($D160*Eqtn!$D$377))</f>
        <v>na</v>
      </c>
      <c r="I160" s="1513" t="str">
        <f>'AR-Det'!N160</f>
        <v>na</v>
      </c>
      <c r="J160" s="1509" t="str">
        <f>IF(OR($C160="No",$D160="na",I160="na",$D160=0),"na",I160/($D160*Eqtn!$D$377))</f>
        <v>na</v>
      </c>
      <c r="K160" s="734" t="s">
        <v>232</v>
      </c>
      <c r="M160" s="1062"/>
    </row>
    <row r="161" spans="1:13" ht="13.9" customHeight="1" x14ac:dyDescent="0.25">
      <c r="A161" s="846">
        <f>Chem!A161</f>
        <v>159</v>
      </c>
      <c r="B161" s="941" t="str">
        <f>Chem!B161</f>
        <v>tert-Butylbenzene</v>
      </c>
      <c r="C161" s="1282" t="str">
        <f>Param!AF161</f>
        <v>no</v>
      </c>
      <c r="D161" s="343">
        <f>Param!M161</f>
        <v>0.20552470229922171</v>
      </c>
      <c r="E161" s="627" t="str">
        <f>'AR-Det'!F161</f>
        <v>na</v>
      </c>
      <c r="F161" s="628" t="str">
        <f>IF(OR($C161="no",$D161="na",E161="na",$D161=0),"na",E161/($D161*Eqtn!$D$377))</f>
        <v>na</v>
      </c>
      <c r="G161" s="306" t="str">
        <f>'AR-Det'!J161</f>
        <v>na</v>
      </c>
      <c r="H161" s="1509" t="str">
        <f>IF(OR($C161="No",$D161="na",G161="na",$D161=0),"na",G161/($D161*Eqtn!$D$377))</f>
        <v>na</v>
      </c>
      <c r="I161" s="1513" t="str">
        <f>'AR-Det'!N161</f>
        <v>na</v>
      </c>
      <c r="J161" s="1509" t="str">
        <f>IF(OR($C161="No",$D161="na",I161="na",$D161=0),"na",I161/($D161*Eqtn!$D$377))</f>
        <v>na</v>
      </c>
      <c r="K161" s="734" t="s">
        <v>232</v>
      </c>
      <c r="M161" s="1062"/>
    </row>
    <row r="162" spans="1:13" ht="13.9" customHeight="1" x14ac:dyDescent="0.25">
      <c r="A162" s="846">
        <f>Chem!A162</f>
        <v>160</v>
      </c>
      <c r="B162" s="941" t="str">
        <f>Chem!B162</f>
        <v>Carbon disulfide</v>
      </c>
      <c r="C162" s="1282" t="str">
        <f>Param!AF162</f>
        <v>YES</v>
      </c>
      <c r="D162" s="343">
        <f>Param!M162</f>
        <v>0.38272639037996992</v>
      </c>
      <c r="E162" s="627">
        <f>'AR-Det'!F162</f>
        <v>320.00000000000006</v>
      </c>
      <c r="F162" s="628">
        <f>IF(OR($C162="no",$D162="na",E162="na",$D162=0),"na",E162/($D162*Eqtn!$D$377))</f>
        <v>836.1064406410668</v>
      </c>
      <c r="G162" s="306">
        <f>'AR-Det'!J162</f>
        <v>700.00000000000011</v>
      </c>
      <c r="H162" s="1509">
        <f>IF(OR($C162="No",$D162="na",G162="na",$D162=0),"na",G162/($D162*Eqtn!$D$377))</f>
        <v>1828.9828389023335</v>
      </c>
      <c r="I162" s="1513">
        <f>'AR-Det'!N162</f>
        <v>2725.3333333333335</v>
      </c>
      <c r="J162" s="1509">
        <f>IF(OR($C162="No",$D162="na",I162="na",$D162=0),"na",I162/($D162*Eqtn!$D$377))</f>
        <v>7120.839852793084</v>
      </c>
      <c r="K162" s="734" t="s">
        <v>232</v>
      </c>
      <c r="M162" s="1062"/>
    </row>
    <row r="163" spans="1:13" ht="13.9" customHeight="1" x14ac:dyDescent="0.25">
      <c r="A163" s="846">
        <f>Chem!A163</f>
        <v>161</v>
      </c>
      <c r="B163" s="941" t="str">
        <f>Chem!B163</f>
        <v>Carbon tetrachloride</v>
      </c>
      <c r="C163" s="1282" t="str">
        <f>Param!AF163</f>
        <v>YES</v>
      </c>
      <c r="D163" s="343">
        <f>Param!M163</f>
        <v>0.67522387061358224</v>
      </c>
      <c r="E163" s="602">
        <f>'AR-Det'!F163</f>
        <v>0.41666666666666652</v>
      </c>
      <c r="F163" s="628">
        <f>IF(OR($C163="no",$D163="na",E163="na",$D163=0),"na",E163/($D163*Eqtn!$D$377))</f>
        <v>0.61707928999612771</v>
      </c>
      <c r="G163" s="17">
        <f>'AR-Det'!J163</f>
        <v>4.1666666666666661</v>
      </c>
      <c r="H163" s="1509">
        <f>IF(OR($C163="No",$D163="na",G163="na",$D163=0),"na",G163/($D163*Eqtn!$D$377))</f>
        <v>6.1707928999612784</v>
      </c>
      <c r="I163" s="1513">
        <f>'AR-Det'!N163</f>
        <v>1.9466666666666657</v>
      </c>
      <c r="J163" s="1509">
        <f>IF(OR($C163="No",$D163="na",I163="na",$D163=0),"na",I163/($D163*Eqtn!$D$377))</f>
        <v>2.8829944428619081</v>
      </c>
      <c r="K163" s="734" t="s">
        <v>232</v>
      </c>
      <c r="M163" s="1062"/>
    </row>
    <row r="164" spans="1:13" ht="13.9" customHeight="1" x14ac:dyDescent="0.25">
      <c r="A164" s="846">
        <f>Chem!A164</f>
        <v>162</v>
      </c>
      <c r="B164" s="941" t="str">
        <f>Chem!B164</f>
        <v>Chlorobenzene</v>
      </c>
      <c r="C164" s="1282" t="str">
        <f>Param!AF164</f>
        <v>YES</v>
      </c>
      <c r="D164" s="343">
        <f>Param!M164</f>
        <v>6.6296995619270757E-2</v>
      </c>
      <c r="E164" s="627">
        <f>'AR-Det'!F164</f>
        <v>22.857142857142854</v>
      </c>
      <c r="F164" s="628">
        <f>IF(OR($C164="no",$D164="na",E164="na",$D164=0),"na",E164/($D164*Eqtn!$D$377))</f>
        <v>344.7689091132645</v>
      </c>
      <c r="G164" s="306">
        <f>'AR-Det'!J164</f>
        <v>49.999999999999993</v>
      </c>
      <c r="H164" s="1509">
        <f>IF(OR($C164="No",$D164="na",G164="na",$D164=0),"na",G164/($D164*Eqtn!$D$377))</f>
        <v>754.18198868526611</v>
      </c>
      <c r="I164" s="1513">
        <f>'AR-Det'!N164</f>
        <v>194.6666666666666</v>
      </c>
      <c r="J164" s="1509">
        <f>IF(OR($C164="No",$D164="na",I164="na",$D164=0),"na",I164/($D164*Eqtn!$D$377))</f>
        <v>2936.2818759479687</v>
      </c>
      <c r="K164" s="734" t="s">
        <v>232</v>
      </c>
      <c r="M164" s="1062"/>
    </row>
    <row r="165" spans="1:13" ht="13.9" customHeight="1" x14ac:dyDescent="0.25">
      <c r="A165" s="846">
        <f>Chem!A165</f>
        <v>163</v>
      </c>
      <c r="B165" s="941" t="str">
        <f>Chem!B165</f>
        <v>Chloroethane</v>
      </c>
      <c r="C165" s="1282" t="str">
        <f>Param!AF165</f>
        <v>YES</v>
      </c>
      <c r="D165" s="343">
        <f>Param!M165</f>
        <v>0.31170943014866348</v>
      </c>
      <c r="E165" s="627">
        <f>'AR-Det'!F165</f>
        <v>4571.4285714285716</v>
      </c>
      <c r="F165" s="628">
        <f>IF(OR($C165="no",$D165="na",E165="na",$D165=0),"na",E165/($D165*Eqtn!$D$377))</f>
        <v>14665.672993108747</v>
      </c>
      <c r="G165" s="306">
        <f>'AR-Det'!J165</f>
        <v>10000</v>
      </c>
      <c r="H165" s="1509">
        <f>IF(OR($C165="No",$D165="na",G165="na",$D165=0),"na",G165/($D165*Eqtn!$D$377))</f>
        <v>32081.159672425383</v>
      </c>
      <c r="I165" s="1513">
        <f>'AR-Det'!N165</f>
        <v>38933.333333333328</v>
      </c>
      <c r="J165" s="1509">
        <f>IF(OR($C165="No",$D165="na",I165="na",$D165=0),"na",I165/($D165*Eqtn!$D$377))</f>
        <v>124902.64832464281</v>
      </c>
      <c r="K165" s="734" t="s">
        <v>232</v>
      </c>
      <c r="M165" s="1062"/>
    </row>
    <row r="166" spans="1:13" ht="13.9" customHeight="1" x14ac:dyDescent="0.25">
      <c r="A166" s="846">
        <f>Chem!A166</f>
        <v>164</v>
      </c>
      <c r="B166" s="941" t="str">
        <f>Chem!B166</f>
        <v>2-Chloroethyl vinyl ether</v>
      </c>
      <c r="C166" s="1282" t="str">
        <f>Param!AF166</f>
        <v>no</v>
      </c>
      <c r="D166" s="343">
        <f>Param!M166</f>
        <v>0</v>
      </c>
      <c r="E166" s="627" t="str">
        <f>'AR-Det'!F166</f>
        <v>na</v>
      </c>
      <c r="F166" s="628" t="str">
        <f>IF(OR($C166="no",$D166="na",E166="na",$D166=0),"na",E166/($D166*Eqtn!$D$377))</f>
        <v>na</v>
      </c>
      <c r="G166" s="306" t="str">
        <f>'AR-Det'!J166</f>
        <v>na</v>
      </c>
      <c r="H166" s="1509" t="str">
        <f>IF(OR($C166="No",$D166="na",G166="na",$D166=0),"na",G166/($D166*Eqtn!$D$377))</f>
        <v>na</v>
      </c>
      <c r="I166" s="1513" t="str">
        <f>'AR-Det'!N166</f>
        <v>na</v>
      </c>
      <c r="J166" s="1509" t="str">
        <f>IF(OR($C166="No",$D166="na",I166="na",$D166=0),"na",I166/($D166*Eqtn!$D$377))</f>
        <v>na</v>
      </c>
      <c r="K166" s="734" t="s">
        <v>232</v>
      </c>
      <c r="M166" s="1062"/>
    </row>
    <row r="167" spans="1:13" ht="13.9" customHeight="1" x14ac:dyDescent="0.25">
      <c r="A167" s="846">
        <f>Chem!A167</f>
        <v>165</v>
      </c>
      <c r="B167" s="941" t="str">
        <f>Chem!B167</f>
        <v>Chloroform</v>
      </c>
      <c r="C167" s="1282" t="str">
        <f>Param!AF167</f>
        <v>YES</v>
      </c>
      <c r="D167" s="343">
        <f>Param!M167</f>
        <v>9.1749846572671157E-2</v>
      </c>
      <c r="E167" s="602">
        <f>'AR-Det'!F167</f>
        <v>0.10869565217391301</v>
      </c>
      <c r="F167" s="628">
        <f>IF(OR($C167="no",$D167="na",E167="na",$D167=0),"na",E167/($D167*Eqtn!$D$377))</f>
        <v>1.1846957377505782</v>
      </c>
      <c r="G167" s="17">
        <f>'AR-Det'!J167</f>
        <v>1.0869565217391304</v>
      </c>
      <c r="H167" s="1509">
        <f>IF(OR($C167="No",$D167="na",G167="na",$D167=0),"na",G167/($D167*Eqtn!$D$377))</f>
        <v>11.846957377505785</v>
      </c>
      <c r="I167" s="1513">
        <f>'AR-Det'!N167</f>
        <v>0.50782608695652143</v>
      </c>
      <c r="J167" s="1509">
        <f>IF(OR($C167="No",$D167="na",I167="na",$D167=0),"na",I167/($D167*Eqtn!$D$377))</f>
        <v>5.5348984867706994</v>
      </c>
      <c r="K167" s="734" t="s">
        <v>232</v>
      </c>
      <c r="M167" s="1062"/>
    </row>
    <row r="168" spans="1:13" ht="13.9" customHeight="1" x14ac:dyDescent="0.25">
      <c r="A168" s="846">
        <f>Chem!A168</f>
        <v>166</v>
      </c>
      <c r="B168" s="941" t="str">
        <f>Chem!B168</f>
        <v>Chloromethane</v>
      </c>
      <c r="C168" s="1282" t="str">
        <f>Param!AF168</f>
        <v>YES</v>
      </c>
      <c r="D168" s="343">
        <f>Param!M168</f>
        <v>0.26910016390634151</v>
      </c>
      <c r="E168" s="627">
        <f>'AR-Det'!F168</f>
        <v>41.142857142857132</v>
      </c>
      <c r="F168" s="628">
        <f>IF(OR($C168="no",$D168="na",E168="na",$D168=0),"na",E168/($D168*Eqtn!$D$377))</f>
        <v>152.89049454899859</v>
      </c>
      <c r="G168" s="306">
        <f>'AR-Det'!J168</f>
        <v>89.999999999999972</v>
      </c>
      <c r="H168" s="1509">
        <f>IF(OR($C168="No",$D168="na",G168="na",$D168=0),"na",G168/($D168*Eqtn!$D$377))</f>
        <v>334.4479568259344</v>
      </c>
      <c r="I168" s="1513">
        <f>'AR-Det'!N168</f>
        <v>350.39999999999986</v>
      </c>
      <c r="J168" s="1509">
        <f>IF(OR($C168="No",$D168="na",I168="na",$D168=0),"na",I168/($D168*Eqtn!$D$377))</f>
        <v>1302.1173785756378</v>
      </c>
      <c r="K168" s="734" t="s">
        <v>232</v>
      </c>
      <c r="M168" s="1062"/>
    </row>
    <row r="169" spans="1:13" ht="13.9" customHeight="1" x14ac:dyDescent="0.25">
      <c r="A169" s="846">
        <f>Chem!A169</f>
        <v>167</v>
      </c>
      <c r="B169" s="941" t="str">
        <f>Chem!B169</f>
        <v>3-Chloro-1-propene (allyl chloride)</v>
      </c>
      <c r="C169" s="1282" t="str">
        <f>Param!AF169</f>
        <v>YES</v>
      </c>
      <c r="D169" s="343">
        <f>Param!M169</f>
        <v>0.27939553309613074</v>
      </c>
      <c r="E169" s="631">
        <f>'AR-Det'!F169</f>
        <v>0.41666666666666652</v>
      </c>
      <c r="F169" s="628">
        <f>IF(OR($C169="no",$D169="na",E169="na",$D169=0),"na",E169/($D169*Eqtn!$D$377))</f>
        <v>1.4913147037440477</v>
      </c>
      <c r="G169" s="307">
        <f>'AR-Det'!J169</f>
        <v>1</v>
      </c>
      <c r="H169" s="1509">
        <f>IF(OR($C169="No",$D169="na",G169="na",$D169=0),"na",G169/($D169*Eqtn!$D$377))</f>
        <v>3.5791552889857159</v>
      </c>
      <c r="I169" s="1513">
        <f>'AR-Det'!N169</f>
        <v>1.9466666666666657</v>
      </c>
      <c r="J169" s="1509">
        <f>IF(OR($C169="No",$D169="na",I169="na",$D169=0),"na",I169/($D169*Eqtn!$D$377))</f>
        <v>6.9674222958921899</v>
      </c>
      <c r="K169" s="734" t="s">
        <v>232</v>
      </c>
      <c r="M169" s="1062"/>
    </row>
    <row r="170" spans="1:13" ht="13.9" customHeight="1" x14ac:dyDescent="0.25">
      <c r="A170" s="846">
        <f>Chem!A170</f>
        <v>168</v>
      </c>
      <c r="B170" s="941" t="str">
        <f>Chem!B170</f>
        <v>2-Chlorotoluene</v>
      </c>
      <c r="C170" s="1282" t="str">
        <f>Param!AF170</f>
        <v>no</v>
      </c>
      <c r="D170" s="343">
        <f>Param!M170</f>
        <v>7.076039778255426E-2</v>
      </c>
      <c r="E170" s="627" t="str">
        <f>'AR-Det'!F170</f>
        <v>na</v>
      </c>
      <c r="F170" s="628" t="str">
        <f>IF(OR($C170="no",$D170="na",E170="na",$D170=0),"na",E170/($D170*Eqtn!$D$377))</f>
        <v>na</v>
      </c>
      <c r="G170" s="306" t="str">
        <f>'AR-Det'!J170</f>
        <v>na</v>
      </c>
      <c r="H170" s="1509" t="str">
        <f>IF(OR($C170="No",$D170="na",G170="na",$D170=0),"na",G170/($D170*Eqtn!$D$377))</f>
        <v>na</v>
      </c>
      <c r="I170" s="1513" t="str">
        <f>'AR-Det'!N170</f>
        <v>na</v>
      </c>
      <c r="J170" s="1509" t="str">
        <f>IF(OR($C170="No",$D170="na",I170="na",$D170=0),"na",I170/($D170*Eqtn!$D$377))</f>
        <v>na</v>
      </c>
      <c r="K170" s="734" t="s">
        <v>232</v>
      </c>
      <c r="M170" s="1062"/>
    </row>
    <row r="171" spans="1:13" ht="13.9" customHeight="1" x14ac:dyDescent="0.25">
      <c r="A171" s="846">
        <f>Chem!A171</f>
        <v>169</v>
      </c>
      <c r="B171" s="941" t="str">
        <f>Chem!B171</f>
        <v>4-Chlorotoluene</v>
      </c>
      <c r="C171" s="1282" t="str">
        <f>Param!AF171</f>
        <v>no</v>
      </c>
      <c r="D171" s="343">
        <f>Param!M171</f>
        <v>8.0724687642473356E-2</v>
      </c>
      <c r="E171" s="627" t="str">
        <f>'AR-Det'!F171</f>
        <v>na</v>
      </c>
      <c r="F171" s="628" t="str">
        <f>IF(OR($C171="no",$D171="na",E171="na",$D171=0),"na",E171/($D171*Eqtn!$D$377))</f>
        <v>na</v>
      </c>
      <c r="G171" s="306" t="str">
        <f>'AR-Det'!J171</f>
        <v>na</v>
      </c>
      <c r="H171" s="1509" t="str">
        <f>IF(OR($C171="No",$D171="na",G171="na",$D171=0),"na",G171/($D171*Eqtn!$D$377))</f>
        <v>na</v>
      </c>
      <c r="I171" s="1513" t="str">
        <f>'AR-Det'!N171</f>
        <v>na</v>
      </c>
      <c r="J171" s="1509" t="str">
        <f>IF(OR($C171="No",$D171="na",I171="na",$D171=0),"na",I171/($D171*Eqtn!$D$377))</f>
        <v>na</v>
      </c>
      <c r="K171" s="734" t="s">
        <v>232</v>
      </c>
      <c r="M171" s="1062"/>
    </row>
    <row r="172" spans="1:13" ht="13.9" customHeight="1" x14ac:dyDescent="0.25">
      <c r="A172" s="846">
        <f>Chem!A172</f>
        <v>170</v>
      </c>
      <c r="B172" s="941" t="str">
        <f>Chem!B172</f>
        <v>Dibromochloromethane</v>
      </c>
      <c r="C172" s="1282" t="str">
        <f>Param!AF172</f>
        <v>no</v>
      </c>
      <c r="D172" s="343">
        <f>Param!M172</f>
        <v>2.1021467943253914E-2</v>
      </c>
      <c r="E172" s="627" t="str">
        <f>'AR-Det'!F172</f>
        <v>na</v>
      </c>
      <c r="F172" s="628" t="str">
        <f>IF(OR($C172="no",$D172="na",E172="na",$D172=0),"na",E172/($D172*Eqtn!$D$377))</f>
        <v>na</v>
      </c>
      <c r="G172" s="306" t="str">
        <f>'AR-Det'!J172</f>
        <v>na</v>
      </c>
      <c r="H172" s="1509" t="str">
        <f>IF(OR($C172="No",$D172="na",G172="na",$D172=0),"na",G172/($D172*Eqtn!$D$377))</f>
        <v>na</v>
      </c>
      <c r="I172" s="1513" t="str">
        <f>'AR-Det'!N172</f>
        <v>na</v>
      </c>
      <c r="J172" s="1509" t="str">
        <f>IF(OR($C172="No",$D172="na",I172="na",$D172=0),"na",I172/($D172*Eqtn!$D$377))</f>
        <v>na</v>
      </c>
      <c r="K172" s="734" t="s">
        <v>232</v>
      </c>
      <c r="M172" s="1062"/>
    </row>
    <row r="173" spans="1:13" ht="13.9" customHeight="1" x14ac:dyDescent="0.25">
      <c r="A173" s="846">
        <f>Chem!A173</f>
        <v>171</v>
      </c>
      <c r="B173" s="941" t="str">
        <f>Chem!B173</f>
        <v>1,2-Dibromo-3-chloropropane</v>
      </c>
      <c r="C173" s="1282" t="str">
        <f>Param!AF173</f>
        <v>YES</v>
      </c>
      <c r="D173" s="343">
        <f>Param!M173</f>
        <v>2.60438041827246E-3</v>
      </c>
      <c r="E173" s="602">
        <f>'AR-Det'!F173</f>
        <v>1.1E-4</v>
      </c>
      <c r="F173" s="628">
        <f>IF(OR($C173="no",$D173="na",E173="na",$D173=0),"na",E173/($D173*Eqtn!$D$377))</f>
        <v>4.2236533199310915E-2</v>
      </c>
      <c r="G173" s="17">
        <f>'AR-Det'!J173</f>
        <v>4.1666666666666675E-3</v>
      </c>
      <c r="H173" s="1509">
        <f>IF(OR($C173="No",$D173="na",G173="na",$D173=0),"na",G173/($D173*Eqtn!$D$377))</f>
        <v>1.5998686817920804</v>
      </c>
      <c r="I173" s="1513">
        <f>'AR-Det'!N173</f>
        <v>1.946666666666666E-3</v>
      </c>
      <c r="J173" s="1509">
        <f>IF(OR($C173="No",$D173="na",I173="na",$D173=0),"na",I173/($D173*Eqtn!$D$377))</f>
        <v>0.74745864813325957</v>
      </c>
      <c r="K173" s="734" t="s">
        <v>232</v>
      </c>
      <c r="M173" s="1062"/>
    </row>
    <row r="174" spans="1:13" ht="13.9" customHeight="1" x14ac:dyDescent="0.25">
      <c r="A174" s="846">
        <f>Chem!A174</f>
        <v>172</v>
      </c>
      <c r="B174" s="941" t="str">
        <f>Chem!B174</f>
        <v>Dibromomethane</v>
      </c>
      <c r="C174" s="1282" t="str">
        <f>Param!AF174</f>
        <v>YES</v>
      </c>
      <c r="D174" s="343">
        <f>Param!M174</f>
        <v>1.8920517409290297E-2</v>
      </c>
      <c r="E174" s="627">
        <f>'AR-Det'!F174</f>
        <v>1.8285714285714287</v>
      </c>
      <c r="F174" s="628">
        <f>IF(OR($C174="no",$D174="na",E174="na",$D174=0),"na",E174/($D174*Eqtn!$D$377))</f>
        <v>96.644895539356071</v>
      </c>
      <c r="G174" s="306">
        <f>'AR-Det'!J174</f>
        <v>4</v>
      </c>
      <c r="H174" s="1509">
        <f>IF(OR($C174="No",$D174="na",G174="na",$D174=0),"na",G174/($D174*Eqtn!$D$377))</f>
        <v>211.4107089923414</v>
      </c>
      <c r="I174" s="1513">
        <f>'AR-Det'!N174</f>
        <v>15.573333333333332</v>
      </c>
      <c r="J174" s="1509">
        <f>IF(OR($C174="No",$D174="na",I174="na",$D174=0),"na",I174/($D174*Eqtn!$D$377))</f>
        <v>823.09236034351579</v>
      </c>
      <c r="K174" s="734" t="s">
        <v>232</v>
      </c>
      <c r="M174" s="1062"/>
    </row>
    <row r="175" spans="1:13" ht="13.9" customHeight="1" x14ac:dyDescent="0.25">
      <c r="A175" s="846">
        <f>Chem!A175</f>
        <v>173</v>
      </c>
      <c r="B175" s="941" t="str">
        <f>Chem!B175</f>
        <v>Dichlorobromomethane</v>
      </c>
      <c r="C175" s="1282" t="str">
        <f>Param!AF175</f>
        <v>YES</v>
      </c>
      <c r="D175" s="343">
        <f>Param!M175</f>
        <v>4.8987240901005022E-2</v>
      </c>
      <c r="E175" s="627">
        <f>'AR-Det'!F175</f>
        <v>6.7567567567567557E-2</v>
      </c>
      <c r="F175" s="628">
        <f>IF(OR($C175="no",$D175="na",E175="na",$D175=0),"na",E175/($D175*Eqtn!$D$377))</f>
        <v>1.3792891031383101</v>
      </c>
      <c r="G175" s="306">
        <f>'AR-Det'!J175</f>
        <v>0.67567567567567577</v>
      </c>
      <c r="H175" s="1509">
        <f>IF(OR($C175="No",$D175="na",G175="na",$D175=0),"na",G175/($D175*Eqtn!$D$377))</f>
        <v>13.792891031383105</v>
      </c>
      <c r="I175" s="1513">
        <f>'AR-Det'!N175</f>
        <v>0.31567567567567556</v>
      </c>
      <c r="J175" s="1509">
        <f>IF(OR($C175="No",$D175="na",I175="na",$D175=0),"na",I175/($D175*Eqtn!$D$377))</f>
        <v>6.4440386898621833</v>
      </c>
      <c r="K175" s="734" t="s">
        <v>232</v>
      </c>
      <c r="M175" s="1062"/>
    </row>
    <row r="176" spans="1:13" ht="13.9" customHeight="1" x14ac:dyDescent="0.25">
      <c r="A176" s="846">
        <f>Chem!A176</f>
        <v>174</v>
      </c>
      <c r="B176" s="941" t="str">
        <f>Chem!B176</f>
        <v>trans-1,4-Dichloro-2-butene</v>
      </c>
      <c r="C176" s="1282" t="str">
        <f>Param!AF176</f>
        <v>no</v>
      </c>
      <c r="D176" s="343">
        <f>Param!M176</f>
        <v>1.2956406270293997E-2</v>
      </c>
      <c r="E176" s="627">
        <f>'AR-Det'!F176</f>
        <v>5.9523809523809518E-4</v>
      </c>
      <c r="F176" s="628" t="str">
        <f>IF(OR($C176="no",$D176="na",E176="na",$D176=0),"na",E176/($D176*Eqtn!$D$377))</f>
        <v>na</v>
      </c>
      <c r="G176" s="306">
        <f>'AR-Det'!J176</f>
        <v>5.9523809523809529E-3</v>
      </c>
      <c r="H176" s="1509" t="str">
        <f>IF(OR($C176="No",$D176="na",G176="na",$D176=0),"na",G176/($D176*Eqtn!$D$377))</f>
        <v>na</v>
      </c>
      <c r="I176" s="1513">
        <f>'AR-Det'!N176</f>
        <v>2.78095238095238E-3</v>
      </c>
      <c r="J176" s="1509" t="str">
        <f>IF(OR($C176="No",$D176="na",I176="na",$D176=0),"na",I176/($D176*Eqtn!$D$377))</f>
        <v>na</v>
      </c>
      <c r="K176" s="734" t="s">
        <v>232</v>
      </c>
      <c r="M176" s="1062"/>
    </row>
    <row r="177" spans="1:13" ht="13.9" customHeight="1" x14ac:dyDescent="0.25">
      <c r="A177" s="846">
        <f>Chem!A177</f>
        <v>175</v>
      </c>
      <c r="B177" s="941" t="str">
        <f>Chem!B177</f>
        <v>Dichlorodifluoromethane</v>
      </c>
      <c r="C177" s="1282" t="str">
        <f>Param!AF177</f>
        <v>YES</v>
      </c>
      <c r="D177" s="338">
        <f>Param!M177</f>
        <v>10.827014872186989</v>
      </c>
      <c r="E177" s="627">
        <f>'AR-Det'!F177</f>
        <v>45.714285714285708</v>
      </c>
      <c r="F177" s="628">
        <f>IF(OR($C177="no",$D177="na",E177="na",$D177=0),"na",E177/($D177*Eqtn!$D$377))</f>
        <v>4.2222428115176038</v>
      </c>
      <c r="G177" s="306">
        <f>'AR-Det'!J177</f>
        <v>99.999999999999986</v>
      </c>
      <c r="H177" s="1509">
        <f>IF(OR($C177="No",$D177="na",G177="na",$D177=0),"na",G177/($D177*Eqtn!$D$377))</f>
        <v>9.2361561501947591</v>
      </c>
      <c r="I177" s="1513">
        <f>'AR-Det'!N177</f>
        <v>389.3333333333332</v>
      </c>
      <c r="J177" s="1509">
        <f>IF(OR($C177="No",$D177="na",I177="na",$D177=0),"na",I177/($D177*Eqtn!$D$377))</f>
        <v>35.959434611424925</v>
      </c>
      <c r="K177" s="734" t="s">
        <v>232</v>
      </c>
      <c r="M177" s="1062"/>
    </row>
    <row r="178" spans="1:13" ht="13.9" customHeight="1" x14ac:dyDescent="0.25">
      <c r="A178" s="846">
        <f>Chem!A178</f>
        <v>176</v>
      </c>
      <c r="B178" s="941" t="str">
        <f>Chem!B178</f>
        <v>1,1-Dichloroethane</v>
      </c>
      <c r="C178" s="1282" t="str">
        <f>Param!AF178</f>
        <v>YES</v>
      </c>
      <c r="D178" s="343">
        <f>Param!M178</f>
        <v>0.14158130826026752</v>
      </c>
      <c r="E178" s="627">
        <f>'AR-Det'!F178</f>
        <v>1.5624999999999996</v>
      </c>
      <c r="F178" s="628">
        <f>IF(OR($C178="no",$D178="na",E178="na",$D178=0),"na",E178/($D178*Eqtn!$D$377))</f>
        <v>11.036061321934328</v>
      </c>
      <c r="G178" s="306">
        <f>'AR-Det'!J178</f>
        <v>15.625</v>
      </c>
      <c r="H178" s="1509">
        <f>IF(OR($C178="No",$D178="na",G178="na",$D178=0),"na",G178/($D178*Eqtn!$D$377))</f>
        <v>110.36061321934331</v>
      </c>
      <c r="I178" s="1513">
        <f>'AR-Det'!N178</f>
        <v>7.2999999999999963</v>
      </c>
      <c r="J178" s="1509">
        <f>IF(OR($C178="No",$D178="na",I178="na",$D178=0),"na",I178/($D178*Eqtn!$D$377))</f>
        <v>51.560478496077167</v>
      </c>
      <c r="K178" s="734" t="s">
        <v>232</v>
      </c>
      <c r="M178" s="1062"/>
    </row>
    <row r="179" spans="1:13" ht="13.9" customHeight="1" x14ac:dyDescent="0.25">
      <c r="A179" s="846">
        <f>Chem!A179</f>
        <v>177</v>
      </c>
      <c r="B179" s="941" t="str">
        <f>Chem!B179</f>
        <v>1,2-Dichloroethane (EDC)</v>
      </c>
      <c r="C179" s="1282" t="str">
        <f>Param!AF179</f>
        <v>YES</v>
      </c>
      <c r="D179" s="343">
        <f>Param!M179</f>
        <v>2.7554473348855319E-2</v>
      </c>
      <c r="E179" s="602">
        <f>'AR-Det'!F179</f>
        <v>9.6153846153846131E-2</v>
      </c>
      <c r="F179" s="628">
        <f>IF(OR($C179="no",$D179="na",E179="na",$D179=0),"na",E179/($D179*Eqtn!$D$377))</f>
        <v>3.4895911432050868</v>
      </c>
      <c r="G179" s="17">
        <f>'AR-Det'!J179</f>
        <v>0.96153846153846156</v>
      </c>
      <c r="H179" s="1509">
        <f>IF(OR($C179="No",$D179="na",G179="na",$D179=0),"na",G179/($D179*Eqtn!$D$377))</f>
        <v>34.89591143205088</v>
      </c>
      <c r="I179" s="1513">
        <f>'AR-Det'!N179</f>
        <v>0.44923076923076904</v>
      </c>
      <c r="J179" s="1509">
        <f>IF(OR($C179="No",$D179="na",I179="na",$D179=0),"na",I179/($D179*Eqtn!$D$377))</f>
        <v>16.303369821054162</v>
      </c>
      <c r="K179" s="734" t="s">
        <v>232</v>
      </c>
      <c r="M179" s="1062"/>
    </row>
    <row r="180" spans="1:13" ht="13.9" customHeight="1" x14ac:dyDescent="0.25">
      <c r="A180" s="846">
        <f>Chem!A180</f>
        <v>178</v>
      </c>
      <c r="B180" s="941" t="str">
        <f>Chem!B180</f>
        <v>1,1-Dichloroethylene</v>
      </c>
      <c r="C180" s="1282" t="str">
        <f>Param!AF180</f>
        <v>YES</v>
      </c>
      <c r="D180" s="343">
        <f>Param!M180</f>
        <v>0.70298676288314521</v>
      </c>
      <c r="E180" s="627">
        <f>'AR-Det'!F180</f>
        <v>91.428571428571416</v>
      </c>
      <c r="F180" s="628">
        <f>IF(OR($C180="no",$D180="na",E180="na",$D180=0),"na",E180/($D180*Eqtn!$D$377))</f>
        <v>130.05731580719569</v>
      </c>
      <c r="G180" s="306">
        <f>'AR-Det'!J180</f>
        <v>199.99999999999997</v>
      </c>
      <c r="H180" s="1509">
        <f>IF(OR($C180="No",$D180="na",G180="na",$D180=0),"na",G180/($D180*Eqtn!$D$377))</f>
        <v>284.50037832824057</v>
      </c>
      <c r="I180" s="1513">
        <f>'AR-Det'!N180</f>
        <v>778.6666666666664</v>
      </c>
      <c r="J180" s="1509">
        <f>IF(OR($C180="No",$D180="na",I180="na",$D180=0),"na",I180/($D180*Eqtn!$D$377))</f>
        <v>1107.6548062912832</v>
      </c>
      <c r="K180" s="734" t="s">
        <v>232</v>
      </c>
      <c r="M180" s="1062"/>
    </row>
    <row r="181" spans="1:13" ht="13.9" customHeight="1" x14ac:dyDescent="0.25">
      <c r="A181" s="846">
        <f>Chem!A181</f>
        <v>179</v>
      </c>
      <c r="B181" s="941" t="str">
        <f>Chem!B181</f>
        <v>cis-1,2-Dichloroethylene</v>
      </c>
      <c r="C181" s="1282" t="str">
        <f>Param!AF181</f>
        <v>YES</v>
      </c>
      <c r="D181" s="343">
        <f>Param!M181</f>
        <v>0.10033434691359064</v>
      </c>
      <c r="E181" s="627">
        <f>'AR-Det'!F181</f>
        <v>18.285714285714285</v>
      </c>
      <c r="F181" s="628">
        <f>IF(OR($C181="no",$D181="na",E181="na",$D181=0),"na",E181/($D181*Eqtn!$D$377))</f>
        <v>182.24780295288312</v>
      </c>
      <c r="G181" s="306">
        <f>'AR-Det'!J181</f>
        <v>40</v>
      </c>
      <c r="H181" s="1509">
        <f>IF(OR($C181="No",$D181="na",G181="na",$D181=0),"na",G181/($D181*Eqtn!$D$377))</f>
        <v>398.6670689594319</v>
      </c>
      <c r="I181" s="1513">
        <f>'AR-Det'!N181</f>
        <v>155.73333333333329</v>
      </c>
      <c r="J181" s="1509">
        <f>IF(OR($C181="No",$D181="na",I181="na",$D181=0),"na",I181/($D181*Eqtn!$D$377))</f>
        <v>1552.1437884820543</v>
      </c>
      <c r="K181" s="734" t="s">
        <v>232</v>
      </c>
      <c r="M181" s="1062"/>
    </row>
    <row r="182" spans="1:13" ht="13.9" customHeight="1" x14ac:dyDescent="0.25">
      <c r="A182" s="846">
        <f>Chem!A182</f>
        <v>180</v>
      </c>
      <c r="B182" s="941" t="str">
        <f>Chem!B182</f>
        <v>trans-1,2-Dichloroethylene</v>
      </c>
      <c r="C182" s="1282" t="str">
        <f>Param!AF182</f>
        <v>YES</v>
      </c>
      <c r="D182" s="343">
        <f>Param!M182</f>
        <v>0.23785479588758709</v>
      </c>
      <c r="E182" s="627">
        <f>'AR-Det'!F182</f>
        <v>18.285714285714285</v>
      </c>
      <c r="F182" s="628">
        <f>IF(OR($C182="no",$D182="na",E182="na",$D182=0),"na",E182/($D182*Eqtn!$D$377))</f>
        <v>76.877635439212767</v>
      </c>
      <c r="G182" s="306">
        <f>'AR-Det'!J182</f>
        <v>40</v>
      </c>
      <c r="H182" s="1509">
        <f>IF(OR($C182="No",$D182="na",G182="na",$D182=0),"na",G182/($D182*Eqtn!$D$377))</f>
        <v>168.16982752327795</v>
      </c>
      <c r="I182" s="1513">
        <f>'AR-Det'!N182</f>
        <v>155.73333333333329</v>
      </c>
      <c r="J182" s="1509">
        <f>IF(OR($C182="No",$D182="na",I182="na",$D182=0),"na",I182/($D182*Eqtn!$D$377))</f>
        <v>654.74119515729524</v>
      </c>
      <c r="K182" s="734" t="s">
        <v>232</v>
      </c>
      <c r="M182" s="1062"/>
    </row>
    <row r="183" spans="1:13" ht="13.9" customHeight="1" x14ac:dyDescent="0.25">
      <c r="A183" s="846">
        <f>Chem!A183</f>
        <v>181</v>
      </c>
      <c r="B183" s="941" t="str">
        <f>Chem!B183</f>
        <v>1,2-Dichloroethylene (mixed isomers)</v>
      </c>
      <c r="C183" s="1282" t="str">
        <f>Param!AF183</f>
        <v>YES</v>
      </c>
      <c r="D183" s="343">
        <f>Param!M183</f>
        <v>0</v>
      </c>
      <c r="E183" s="627" t="str">
        <f>'AR-Det'!F183</f>
        <v>na</v>
      </c>
      <c r="F183" s="628" t="str">
        <f>IF(OR($C183="no",$D183="na",E183="na",$D183=0),"na",E183/($D183*Eqtn!$D$377))</f>
        <v>na</v>
      </c>
      <c r="G183" s="306" t="str">
        <f>'AR-Det'!J183</f>
        <v>na</v>
      </c>
      <c r="H183" s="1509" t="str">
        <f>IF(OR($C183="No",$D183="na",G183="na",$D183=0),"na",G183/($D183*Eqtn!$D$377))</f>
        <v>na</v>
      </c>
      <c r="I183" s="1513" t="str">
        <f>'AR-Det'!N183</f>
        <v>na</v>
      </c>
      <c r="J183" s="1509" t="str">
        <f>IF(OR($C183="No",$D183="na",I183="na",$D183=0),"na",I183/($D183*Eqtn!$D$377))</f>
        <v>na</v>
      </c>
      <c r="K183" s="734" t="s">
        <v>232</v>
      </c>
      <c r="M183" s="1062"/>
    </row>
    <row r="184" spans="1:13" ht="13.9" customHeight="1" x14ac:dyDescent="0.25">
      <c r="A184" s="846">
        <f>Chem!A184</f>
        <v>182</v>
      </c>
      <c r="B184" s="941" t="str">
        <f>Chem!B184</f>
        <v>1,2-Dichloropropane</v>
      </c>
      <c r="C184" s="1282" t="str">
        <f>Param!AF184</f>
        <v>YES</v>
      </c>
      <c r="D184" s="343">
        <f>Param!M184</f>
        <v>6.5406554713475965E-2</v>
      </c>
      <c r="E184" s="627">
        <f>'AR-Det'!F184</f>
        <v>0.67567567567567566</v>
      </c>
      <c r="F184" s="628">
        <f>IF(OR($C184="no",$D184="na",E184="na",$D184=0),"na",E184/($D184*Eqtn!$D$377))</f>
        <v>10.330396985983786</v>
      </c>
      <c r="G184" s="306">
        <f>'AR-Det'!J184</f>
        <v>4</v>
      </c>
      <c r="H184" s="1509">
        <f>IF(OR($C184="No",$D184="na",G184="na",$D184=0),"na",G184/($D184*Eqtn!$D$377))</f>
        <v>61.155950157024009</v>
      </c>
      <c r="I184" s="1513">
        <f>'AR-Det'!N184</f>
        <v>3.1567567567567556</v>
      </c>
      <c r="J184" s="1509">
        <f>IF(OR($C184="No",$D184="na",I184="na",$D184=0),"na",I184/($D184*Eqtn!$D$377))</f>
        <v>48.26361471851623</v>
      </c>
      <c r="K184" s="734" t="s">
        <v>232</v>
      </c>
      <c r="M184" s="1062"/>
    </row>
    <row r="185" spans="1:13" ht="13.9" customHeight="1" x14ac:dyDescent="0.25">
      <c r="A185" s="846">
        <f>Chem!A185</f>
        <v>183</v>
      </c>
      <c r="B185" s="941" t="str">
        <f>Chem!B185</f>
        <v>1,3-Dichloropropane</v>
      </c>
      <c r="C185" s="1282" t="str">
        <f>Param!AF185</f>
        <v>no</v>
      </c>
      <c r="D185" s="343">
        <f>Param!M185</f>
        <v>2.0921292672303159E-2</v>
      </c>
      <c r="E185" s="627" t="str">
        <f>'AR-Det'!F185</f>
        <v>na</v>
      </c>
      <c r="F185" s="628" t="str">
        <f>IF(OR($C185="no",$D185="na",E185="na",$D185=0),"na",E185/($D185*Eqtn!$D$377))</f>
        <v>na</v>
      </c>
      <c r="G185" s="306" t="str">
        <f>'AR-Det'!J185</f>
        <v>na</v>
      </c>
      <c r="H185" s="1509" t="str">
        <f>IF(OR($C185="No",$D185="na",G185="na",$D185=0),"na",G185/($D185*Eqtn!$D$377))</f>
        <v>na</v>
      </c>
      <c r="I185" s="1513" t="str">
        <f>'AR-Det'!N185</f>
        <v>na</v>
      </c>
      <c r="J185" s="1509" t="str">
        <f>IF(OR($C185="No",$D185="na",I185="na",$D185=0),"na",I185/($D185*Eqtn!$D$377))</f>
        <v>na</v>
      </c>
      <c r="K185" s="734" t="s">
        <v>232</v>
      </c>
      <c r="M185" s="1062"/>
    </row>
    <row r="186" spans="1:13" ht="13.9" customHeight="1" x14ac:dyDescent="0.25">
      <c r="A186" s="846">
        <f>Chem!A186</f>
        <v>184</v>
      </c>
      <c r="B186" s="941" t="str">
        <f>Chem!B186</f>
        <v>2,2-Dichloropropane</v>
      </c>
      <c r="C186" s="1282" t="str">
        <f>Param!AF186</f>
        <v>no</v>
      </c>
      <c r="D186" s="343">
        <f>Param!M186</f>
        <v>0</v>
      </c>
      <c r="E186" s="627" t="str">
        <f>'AR-Det'!F186</f>
        <v>na</v>
      </c>
      <c r="F186" s="628" t="str">
        <f>IF(OR($C186="no",$D186="na",E186="na",$D186=0),"na",E186/($D186*Eqtn!$D$377))</f>
        <v>na</v>
      </c>
      <c r="G186" s="306" t="str">
        <f>'AR-Det'!J186</f>
        <v>na</v>
      </c>
      <c r="H186" s="1509" t="str">
        <f>IF(OR($C186="No",$D186="na",G186="na",$D186=0),"na",G186/($D186*Eqtn!$D$377))</f>
        <v>na</v>
      </c>
      <c r="I186" s="1513" t="str">
        <f>'AR-Det'!N186</f>
        <v>na</v>
      </c>
      <c r="J186" s="1509" t="str">
        <f>IF(OR($C186="No",$D186="na",I186="na",$D186=0),"na",I186/($D186*Eqtn!$D$377))</f>
        <v>na</v>
      </c>
      <c r="K186" s="734" t="s">
        <v>232</v>
      </c>
      <c r="M186" s="1062"/>
    </row>
    <row r="187" spans="1:13" ht="13.9" customHeight="1" x14ac:dyDescent="0.25">
      <c r="A187" s="846">
        <f>Chem!A187</f>
        <v>185</v>
      </c>
      <c r="B187" s="941" t="str">
        <f>Chem!B187</f>
        <v>1,1-Dichloropropene</v>
      </c>
      <c r="C187" s="1282" t="str">
        <f>Param!AF187</f>
        <v>no</v>
      </c>
      <c r="D187" s="343">
        <f>Param!M187</f>
        <v>0</v>
      </c>
      <c r="E187" s="627" t="str">
        <f>'AR-Det'!F187</f>
        <v>na</v>
      </c>
      <c r="F187" s="628" t="str">
        <f>IF(OR($C187="no",$D187="na",E187="na",$D187=0),"na",E187/($D187*Eqtn!$D$377))</f>
        <v>na</v>
      </c>
      <c r="G187" s="306" t="str">
        <f>'AR-Det'!J187</f>
        <v>na</v>
      </c>
      <c r="H187" s="1509" t="str">
        <f>IF(OR($C187="No",$D187="na",G187="na",$D187=0),"na",G187/($D187*Eqtn!$D$377))</f>
        <v>na</v>
      </c>
      <c r="I187" s="1513" t="str">
        <f>'AR-Det'!N187</f>
        <v>na</v>
      </c>
      <c r="J187" s="1509" t="str">
        <f>IF(OR($C187="No",$D187="na",I187="na",$D187=0),"na",I187/($D187*Eqtn!$D$377))</f>
        <v>na</v>
      </c>
      <c r="K187" s="734" t="s">
        <v>232</v>
      </c>
      <c r="M187" s="1062"/>
    </row>
    <row r="188" spans="1:13" ht="13.9" customHeight="1" x14ac:dyDescent="0.25">
      <c r="A188" s="846">
        <f>Chem!A188</f>
        <v>186</v>
      </c>
      <c r="B188" s="941" t="str">
        <f>Chem!B188</f>
        <v>cis-1,3-Dichloropropene</v>
      </c>
      <c r="C188" s="1282" t="str">
        <f>Param!AF188</f>
        <v>YES</v>
      </c>
      <c r="D188" s="343">
        <f>Param!M188</f>
        <v>7.855987965389484E-2</v>
      </c>
      <c r="E188" s="627">
        <f>'AR-Det'!F188</f>
        <v>0.625</v>
      </c>
      <c r="F188" s="628">
        <f>IF(OR($C188="no",$D188="na",E188="na",$D188=0),"na",E188/($D188*Eqtn!$D$377))</f>
        <v>7.9557148350215652</v>
      </c>
      <c r="G188" s="306">
        <f>'AR-Det'!J188</f>
        <v>6.2500000000000009</v>
      </c>
      <c r="H188" s="1509">
        <f>IF(OR($C188="No",$D188="na",G188="na",$D188=0),"na",G188/($D188*Eqtn!$D$377))</f>
        <v>79.55714835021567</v>
      </c>
      <c r="I188" s="1513">
        <f>'AR-Det'!N188</f>
        <v>2.9199999999999995</v>
      </c>
      <c r="J188" s="1509">
        <f>IF(OR($C188="No",$D188="na",I188="na",$D188=0),"na",I188/($D188*Eqtn!$D$377))</f>
        <v>37.169099709220745</v>
      </c>
      <c r="K188" s="734" t="s">
        <v>232</v>
      </c>
      <c r="M188" s="1062"/>
    </row>
    <row r="189" spans="1:13" ht="13.9" customHeight="1" x14ac:dyDescent="0.25">
      <c r="A189" s="846">
        <f>Chem!A189</f>
        <v>187</v>
      </c>
      <c r="B189" s="941" t="str">
        <f>Chem!B189</f>
        <v>trans-1,3-Dichloropropene</v>
      </c>
      <c r="C189" s="1282" t="str">
        <f>Param!AF189</f>
        <v>YES</v>
      </c>
      <c r="D189" s="343">
        <f>Param!M189</f>
        <v>7.855987965389484E-2</v>
      </c>
      <c r="E189" s="627">
        <f>'AR-Det'!F189</f>
        <v>0.625</v>
      </c>
      <c r="F189" s="628">
        <f>IF(OR($C189="no",$D189="na",E189="na",$D189=0),"na",E189/($D189*Eqtn!$D$377))</f>
        <v>7.9557148350215652</v>
      </c>
      <c r="G189" s="306">
        <f>'AR-Det'!J189</f>
        <v>6.2500000000000009</v>
      </c>
      <c r="H189" s="1509">
        <f>IF(OR($C189="No",$D189="na",G189="na",$D189=0),"na",G189/($D189*Eqtn!$D$377))</f>
        <v>79.55714835021567</v>
      </c>
      <c r="I189" s="1513">
        <f>'AR-Det'!N189</f>
        <v>2.9199999999999995</v>
      </c>
      <c r="J189" s="1509">
        <f>IF(OR($C189="No",$D189="na",I189="na",$D189=0),"na",I189/($D189*Eqtn!$D$377))</f>
        <v>37.169099709220745</v>
      </c>
      <c r="K189" s="734" t="s">
        <v>232</v>
      </c>
      <c r="M189" s="1062"/>
    </row>
    <row r="190" spans="1:13" ht="13.9" customHeight="1" x14ac:dyDescent="0.25">
      <c r="A190" s="846">
        <f>Chem!A190</f>
        <v>188</v>
      </c>
      <c r="B190" s="941" t="str">
        <f>Chem!B190</f>
        <v>Diisopropyl ether</v>
      </c>
      <c r="C190" s="1282" t="str">
        <f>Param!AF190</f>
        <v>no</v>
      </c>
      <c r="D190" s="343">
        <f>Param!M190</f>
        <v>6.2681916180580513E-2</v>
      </c>
      <c r="E190" s="627">
        <f>'AR-Det'!F190</f>
        <v>320</v>
      </c>
      <c r="F190" s="628" t="str">
        <f>IF(OR($C190="no",$D190="na",E190="na",$D190=0),"na",E190/($D190*Eqtn!$D$377))</f>
        <v>na</v>
      </c>
      <c r="G190" s="306">
        <f>'AR-Det'!J190</f>
        <v>700</v>
      </c>
      <c r="H190" s="1509" t="str">
        <f>IF(OR($C190="No",$D190="na",G190="na",$D190=0),"na",G190/($D190*Eqtn!$D$377))</f>
        <v>na</v>
      </c>
      <c r="I190" s="1513">
        <f>'AR-Det'!N190</f>
        <v>2725.333333333333</v>
      </c>
      <c r="J190" s="1509" t="str">
        <f>IF(OR($C190="No",$D190="na",I190="na",$D190=0),"na",I190/($D190*Eqtn!$D$377))</f>
        <v>na</v>
      </c>
      <c r="K190" s="734" t="s">
        <v>232</v>
      </c>
      <c r="M190" s="1062"/>
    </row>
    <row r="191" spans="1:13" ht="13.9" customHeight="1" x14ac:dyDescent="0.25">
      <c r="A191" s="846">
        <f>Chem!A191</f>
        <v>189</v>
      </c>
      <c r="B191" s="941" t="str">
        <f>Chem!B191</f>
        <v>Ethane</v>
      </c>
      <c r="C191" s="1282" t="str">
        <f>Param!AF191</f>
        <v>no</v>
      </c>
      <c r="D191" s="338">
        <f>Param!M191</f>
        <v>0</v>
      </c>
      <c r="E191" s="627" t="str">
        <f>'AR-Det'!F191</f>
        <v>na</v>
      </c>
      <c r="F191" s="628" t="str">
        <f>IF(OR($C191="no",$D191="na",E191="na",$D191=0),"na",E191/($D191*Eqtn!$D$377))</f>
        <v>na</v>
      </c>
      <c r="G191" s="306" t="str">
        <f>'AR-Det'!J191</f>
        <v>na</v>
      </c>
      <c r="H191" s="1509" t="str">
        <f>IF(OR($C191="No",$D191="na",G191="na",$D191=0),"na",G191/($D191*Eqtn!$D$377))</f>
        <v>na</v>
      </c>
      <c r="I191" s="1513" t="str">
        <f>'AR-Det'!N191</f>
        <v>na</v>
      </c>
      <c r="J191" s="1509" t="str">
        <f>IF(OR($C191="No",$D191="na",I191="na",$D191=0),"na",I191/($D191*Eqtn!$D$377))</f>
        <v>na</v>
      </c>
      <c r="K191" s="734" t="s">
        <v>232</v>
      </c>
      <c r="M191" s="1062"/>
    </row>
    <row r="192" spans="1:13" ht="13.9" customHeight="1" x14ac:dyDescent="0.25">
      <c r="A192" s="846">
        <f>Chem!A192</f>
        <v>190</v>
      </c>
      <c r="B192" s="941" t="str">
        <f>Chem!B192</f>
        <v>Ethylbenzene</v>
      </c>
      <c r="C192" s="1282" t="str">
        <f>Param!AF192</f>
        <v>YES</v>
      </c>
      <c r="D192" s="343">
        <f>Param!M192</f>
        <v>0.1643273183318128</v>
      </c>
      <c r="E192" s="627">
        <f>'AR-Det'!F192</f>
        <v>457.14285714285711</v>
      </c>
      <c r="F192" s="628">
        <f>IF(OR($C192="no",$D192="na",E192="na",$D192=0),"na",E192/($D192*Eqtn!$D$377))</f>
        <v>2781.9042006137147</v>
      </c>
      <c r="G192" s="306">
        <f>'AR-Det'!J192</f>
        <v>1000</v>
      </c>
      <c r="H192" s="1509">
        <f>IF(OR($C192="No",$D192="na",G192="na",$D192=0),"na",G192/($D192*Eqtn!$D$377))</f>
        <v>6085.4154388425013</v>
      </c>
      <c r="I192" s="1513">
        <f>'AR-Det'!N192</f>
        <v>3893.3333333333326</v>
      </c>
      <c r="J192" s="1509">
        <f>IF(OR($C192="No",$D192="na",I192="na",$D192=0),"na",I192/($D192*Eqtn!$D$377))</f>
        <v>23692.550775226802</v>
      </c>
      <c r="K192" s="734" t="s">
        <v>232</v>
      </c>
      <c r="M192" s="1062"/>
    </row>
    <row r="193" spans="1:13" ht="13.9" customHeight="1" x14ac:dyDescent="0.25">
      <c r="A193" s="846">
        <f>Chem!A193</f>
        <v>191</v>
      </c>
      <c r="B193" s="941" t="str">
        <f>Chem!B193</f>
        <v>Ethylene oxide</v>
      </c>
      <c r="C193" s="1282" t="str">
        <f>Param!AF193</f>
        <v>YES</v>
      </c>
      <c r="D193" s="338">
        <f>Param!M193</f>
        <v>4.0992774890405781E-3</v>
      </c>
      <c r="E193" s="627">
        <f>'AR-Det'!F193</f>
        <v>2.2000000000000001E-4</v>
      </c>
      <c r="F193" s="628">
        <f>IF(OR($C193="no",$D193="na",E193="na",$D193=0),"na",E193/($D193*Eqtn!$D$377))</f>
        <v>5.3667994076558659E-2</v>
      </c>
      <c r="G193" s="306">
        <f>'AR-Det'!J193</f>
        <v>8.333333333333335E-3</v>
      </c>
      <c r="H193" s="1509">
        <f>IF(OR($C193="No",$D193="na",G193="na",$D193=0),"na",G193/($D193*Eqtn!$D$377))</f>
        <v>2.03287856350601</v>
      </c>
      <c r="I193" s="1513">
        <f>'AR-Det'!N193</f>
        <v>3.893333333333332E-3</v>
      </c>
      <c r="J193" s="1509">
        <f>IF(OR($C193="No",$D193="na",I193="na",$D193=0),"na",I193/($D193*Eqtn!$D$377))</f>
        <v>0.94976086487000744</v>
      </c>
      <c r="K193" s="734" t="s">
        <v>232</v>
      </c>
      <c r="M193" s="1062"/>
    </row>
    <row r="194" spans="1:13" ht="13.9" customHeight="1" x14ac:dyDescent="0.25">
      <c r="A194" s="846">
        <f>Chem!A194</f>
        <v>192</v>
      </c>
      <c r="B194" s="941" t="str">
        <f>Chem!B194</f>
        <v>Ethyl ether</v>
      </c>
      <c r="C194" s="1282" t="str">
        <f>Param!AF194</f>
        <v>no</v>
      </c>
      <c r="D194" s="343">
        <f>Param!M194</f>
        <v>3.2723688327777993E-2</v>
      </c>
      <c r="E194" s="627" t="str">
        <f>'AR-Det'!F194</f>
        <v>na</v>
      </c>
      <c r="F194" s="628" t="str">
        <f>IF(OR($C194="no",$D194="na",E194="na",$D194=0),"na",E194/($D194*Eqtn!$D$377))</f>
        <v>na</v>
      </c>
      <c r="G194" s="306" t="str">
        <f>'AR-Det'!J194</f>
        <v>na</v>
      </c>
      <c r="H194" s="1509" t="str">
        <f>IF(OR($C194="No",$D194="na",G194="na",$D194=0),"na",G194/($D194*Eqtn!$D$377))</f>
        <v>na</v>
      </c>
      <c r="I194" s="1513" t="str">
        <f>'AR-Det'!N194</f>
        <v>na</v>
      </c>
      <c r="J194" s="1509" t="str">
        <f>IF(OR($C194="No",$D194="na",I194="na",$D194=0),"na",I194/($D194*Eqtn!$D$377))</f>
        <v>na</v>
      </c>
      <c r="K194" s="734" t="s">
        <v>232</v>
      </c>
      <c r="M194" s="1062"/>
    </row>
    <row r="195" spans="1:13" ht="13.9" customHeight="1" x14ac:dyDescent="0.25">
      <c r="A195" s="846">
        <f>Chem!A195</f>
        <v>193</v>
      </c>
      <c r="B195" s="941" t="str">
        <f>Chem!B195</f>
        <v>Ethylene dibromide (EDB)</v>
      </c>
      <c r="C195" s="1282" t="str">
        <f>Param!AF195</f>
        <v>YES</v>
      </c>
      <c r="D195" s="343">
        <f>Param!M195</f>
        <v>1.4107599269135657E-2</v>
      </c>
      <c r="E195" s="602">
        <f>'AR-Det'!F195</f>
        <v>4.1666666666666666E-3</v>
      </c>
      <c r="F195" s="628">
        <f>IF(OR($C195="no",$D195="na",E195="na",$D195=0),"na",E195/($D195*Eqtn!$D$377))</f>
        <v>0.29534909428441325</v>
      </c>
      <c r="G195" s="17">
        <f>'AR-Det'!J195</f>
        <v>4.1666666666666678E-2</v>
      </c>
      <c r="H195" s="1509">
        <f>IF(OR($C195="No",$D195="na",G195="na",$D195=0),"na",G195/($D195*Eqtn!$D$377))</f>
        <v>2.9534909428441334</v>
      </c>
      <c r="I195" s="1513">
        <f>'AR-Det'!N195</f>
        <v>1.9466666666666663E-2</v>
      </c>
      <c r="J195" s="1509">
        <f>IF(OR($C195="No",$D195="na",I195="na",$D195=0),"na",I195/($D195*Eqtn!$D$377))</f>
        <v>1.3798709684967785</v>
      </c>
      <c r="K195" s="734" t="s">
        <v>232</v>
      </c>
      <c r="M195" s="1062"/>
    </row>
    <row r="196" spans="1:13" ht="13.9" customHeight="1" x14ac:dyDescent="0.25">
      <c r="A196" s="846">
        <f>Chem!A196</f>
        <v>194</v>
      </c>
      <c r="B196" s="941" t="str">
        <f>Chem!B196</f>
        <v>Formaldehyde</v>
      </c>
      <c r="C196" s="1282" t="str">
        <f>Param!AF196</f>
        <v>no</v>
      </c>
      <c r="D196" s="343">
        <f>Param!M196</f>
        <v>9.7531985897176139E-6</v>
      </c>
      <c r="E196" s="602">
        <f>'AR-Det'!F196</f>
        <v>8.8999999999999996E-2</v>
      </c>
      <c r="F196" s="628" t="str">
        <f>IF(OR($C196="no",$D196="na",E196="na",$D196=0),"na",E196/($D196*Eqtn!$D$377))</f>
        <v>na</v>
      </c>
      <c r="G196" s="17">
        <f>'AR-Det'!J196</f>
        <v>3.378378378378379</v>
      </c>
      <c r="H196" s="1509" t="str">
        <f>IF(OR($C196="No",$D196="na",G196="na",$D196=0),"na",G196/($D196*Eqtn!$D$377))</f>
        <v>na</v>
      </c>
      <c r="I196" s="1513">
        <f>'AR-Det'!N196</f>
        <v>1.5783783783783778</v>
      </c>
      <c r="J196" s="1509" t="str">
        <f>IF(OR($C196="No",$D196="na",I196="na",$D196=0),"na",I196/($D196*Eqtn!$D$377))</f>
        <v>na</v>
      </c>
      <c r="K196" s="734" t="s">
        <v>232</v>
      </c>
      <c r="M196" s="1062"/>
    </row>
    <row r="197" spans="1:13" ht="13.9" customHeight="1" x14ac:dyDescent="0.25">
      <c r="A197" s="846">
        <f>Chem!A197</f>
        <v>195</v>
      </c>
      <c r="B197" s="941" t="str">
        <f>Chem!B197</f>
        <v>n-Hexane</v>
      </c>
      <c r="C197" s="1282" t="str">
        <f>Param!AF197</f>
        <v>YES</v>
      </c>
      <c r="D197" s="343">
        <f>Param!M197</f>
        <v>44.677962047233926</v>
      </c>
      <c r="E197" s="602">
        <f>'AR-Det'!F197</f>
        <v>320.00000000000006</v>
      </c>
      <c r="F197" s="628">
        <f>IF(OR($C197="no",$D197="na",E197="na",$D197=0),"na",E197/($D197*Eqtn!$D$377))</f>
        <v>7.1623678730398064</v>
      </c>
      <c r="G197" s="17">
        <f>'AR-Det'!J197</f>
        <v>700.00000000000011</v>
      </c>
      <c r="H197" s="1509">
        <f>IF(OR($C197="No",$D197="na",G197="na",$D197=0),"na",G197/($D197*Eqtn!$D$377))</f>
        <v>15.667679722274576</v>
      </c>
      <c r="I197" s="1513">
        <f>'AR-Det'!N197</f>
        <v>2725.3333333333335</v>
      </c>
      <c r="J197" s="1509">
        <f>IF(OR($C197="No",$D197="na",I197="na",$D197=0),"na",I197/($D197*Eqtn!$D$377))</f>
        <v>60.999499718722348</v>
      </c>
      <c r="K197" s="734" t="s">
        <v>232</v>
      </c>
      <c r="M197" s="1062"/>
    </row>
    <row r="198" spans="1:13" ht="13.9" customHeight="1" x14ac:dyDescent="0.25">
      <c r="A198" s="846">
        <f>Chem!A198</f>
        <v>196</v>
      </c>
      <c r="B198" s="941" t="str">
        <f>Chem!B198</f>
        <v>2-Hexanone</v>
      </c>
      <c r="C198" s="1282" t="str">
        <f>Param!AF198</f>
        <v>YES</v>
      </c>
      <c r="D198" s="343">
        <f>Param!M198</f>
        <v>1.8904614171262846E-3</v>
      </c>
      <c r="E198" s="627">
        <f>'AR-Det'!F198</f>
        <v>13.714285714285715</v>
      </c>
      <c r="F198" s="628">
        <f>IF(OR($C198="no",$D198="na",E198="na",$D198=0),"na",E198/($D198*Eqtn!$D$377))</f>
        <v>7254.46475132668</v>
      </c>
      <c r="G198" s="306">
        <f>'AR-Det'!J198</f>
        <v>30</v>
      </c>
      <c r="H198" s="1509">
        <f>IF(OR($C198="No",$D198="na",G198="na",$D198=0),"na",G198/($D198*Eqtn!$D$377))</f>
        <v>15869.141643527111</v>
      </c>
      <c r="I198" s="1513">
        <f>'AR-Det'!N198</f>
        <v>116.79999999999998</v>
      </c>
      <c r="J198" s="1509">
        <f>IF(OR($C198="No",$D198="na",I198="na",$D198=0),"na",I198/($D198*Eqtn!$D$377))</f>
        <v>61783.858132132213</v>
      </c>
      <c r="K198" s="734" t="s">
        <v>232</v>
      </c>
      <c r="M198" s="1062"/>
    </row>
    <row r="199" spans="1:13" ht="13.9" customHeight="1" x14ac:dyDescent="0.25">
      <c r="A199" s="846">
        <f>Chem!A199</f>
        <v>197</v>
      </c>
      <c r="B199" s="941" t="str">
        <f>Chem!B199</f>
        <v>Isopropylbenzene (cumene)</v>
      </c>
      <c r="C199" s="1282" t="str">
        <f>Param!AF199</f>
        <v>YES</v>
      </c>
      <c r="D199" s="343">
        <f>Param!M199</f>
        <v>0.20060275263649496</v>
      </c>
      <c r="E199" s="627">
        <f>'AR-Det'!F199</f>
        <v>182.85714285714283</v>
      </c>
      <c r="F199" s="628">
        <f>IF(OR($C199="no",$D199="na",E199="na",$D199=0),"na",E199/($D199*Eqtn!$D$377))</f>
        <v>911.53855295541075</v>
      </c>
      <c r="G199" s="306">
        <f>'AR-Det'!J199</f>
        <v>399.99999999999994</v>
      </c>
      <c r="H199" s="1509">
        <f>IF(OR($C199="No",$D199="na",G199="na",$D199=0),"na",G199/($D199*Eqtn!$D$377))</f>
        <v>1993.9905845899611</v>
      </c>
      <c r="I199" s="1513">
        <f>'AR-Det'!N199</f>
        <v>1557.3333333333328</v>
      </c>
      <c r="J199" s="1509">
        <f>IF(OR($C199="No",$D199="na",I199="na",$D199=0),"na",I199/($D199*Eqtn!$D$377))</f>
        <v>7763.2700093369131</v>
      </c>
      <c r="K199" s="734" t="s">
        <v>232</v>
      </c>
      <c r="M199" s="1062"/>
    </row>
    <row r="200" spans="1:13" ht="13.9" customHeight="1" x14ac:dyDescent="0.25">
      <c r="A200" s="846">
        <f>Chem!A200</f>
        <v>198</v>
      </c>
      <c r="B200" s="941" t="str">
        <f>Chem!B200</f>
        <v>4-Isopropyltoluene (p-isopropyltoluene)</v>
      </c>
      <c r="C200" s="1282" t="str">
        <f>Param!AF200</f>
        <v>YES</v>
      </c>
      <c r="D200" s="343">
        <f>Param!M200</f>
        <v>0.20699999999999999</v>
      </c>
      <c r="E200" s="627">
        <f>'AR-Det'!F200</f>
        <v>18.285714285714285</v>
      </c>
      <c r="F200" s="628">
        <f>IF(OR($C200="no",$D200="na",E200="na",$D200=0),"na",E200/($D200*Eqtn!$D$377))</f>
        <v>88.336783988957905</v>
      </c>
      <c r="G200" s="306">
        <f>'AR-Det'!J200</f>
        <v>40</v>
      </c>
      <c r="H200" s="1509">
        <f>IF(OR($C200="No",$D200="na",G200="na",$D200=0),"na",G200/($D200*Eqtn!$D$377))</f>
        <v>193.23671497584542</v>
      </c>
      <c r="I200" s="1513">
        <f>'AR-Det'!N200</f>
        <v>155.73333333333329</v>
      </c>
      <c r="J200" s="1509">
        <f>IF(OR($C200="No",$D200="na",I200="na",$D200=0),"na",I200/($D200*Eqtn!$D$377))</f>
        <v>752.33494363929128</v>
      </c>
      <c r="K200" s="734" t="s">
        <v>232</v>
      </c>
      <c r="M200" s="1062"/>
    </row>
    <row r="201" spans="1:13" ht="13.9" customHeight="1" x14ac:dyDescent="0.25">
      <c r="A201" s="846">
        <f>Chem!A201</f>
        <v>199</v>
      </c>
      <c r="B201" s="941" t="str">
        <f>Chem!B201</f>
        <v>Methane</v>
      </c>
      <c r="C201" s="1282" t="str">
        <f>Param!AF201</f>
        <v>no</v>
      </c>
      <c r="D201" s="338">
        <f>Param!M201</f>
        <v>0</v>
      </c>
      <c r="E201" s="627">
        <f>'AR-Det'!F201</f>
        <v>65603</v>
      </c>
      <c r="F201" s="628" t="str">
        <f>IF(OR($C201="no",$D201="na",E201="na",$D201=0),"na",E201/($D201*Eqtn!$D$377))</f>
        <v>na</v>
      </c>
      <c r="G201" s="306">
        <f>'AR-Det'!J201</f>
        <v>65603</v>
      </c>
      <c r="H201" s="1509" t="str">
        <f>IF(OR($C201="No",$D201="na",G201="na",$D201=0),"na",G201/($D201*Eqtn!$D$377))</f>
        <v>na</v>
      </c>
      <c r="I201" s="1513" t="str">
        <f>'AR-Det'!N201</f>
        <v>na</v>
      </c>
      <c r="J201" s="1509" t="str">
        <f>IF(OR($C201="No",$D201="na",I201="na",$D201=0),"na",I201/($D201*Eqtn!$D$377))</f>
        <v>na</v>
      </c>
      <c r="K201" s="734" t="s">
        <v>232</v>
      </c>
      <c r="M201" s="1062"/>
    </row>
    <row r="202" spans="1:13" ht="13.9" customHeight="1" x14ac:dyDescent="0.25">
      <c r="A202" s="846">
        <f>Chem!A202</f>
        <v>200</v>
      </c>
      <c r="B202" s="941" t="str">
        <f>Chem!B202</f>
        <v>Methyl ethyl ketone (2-butanone)</v>
      </c>
      <c r="C202" s="1282" t="str">
        <f>Param!AF202</f>
        <v>YES</v>
      </c>
      <c r="D202" s="343">
        <f>Param!M202</f>
        <v>1.3384265085753068E-3</v>
      </c>
      <c r="E202" s="627">
        <f>'AR-Det'!F202</f>
        <v>2285.7142857142858</v>
      </c>
      <c r="F202" s="628">
        <f>IF(OR($C202="no",$D202="na",E202="na",$D202=0),"na",E202/($D202*Eqtn!$D$377))</f>
        <v>1707762.2649205618</v>
      </c>
      <c r="G202" s="306">
        <f>'AR-Det'!J202</f>
        <v>5000</v>
      </c>
      <c r="H202" s="1509">
        <f>IF(OR($C202="No",$D202="na",G202="na",$D202=0),"na",G202/($D202*Eqtn!$D$377))</f>
        <v>3735729.9545137291</v>
      </c>
      <c r="I202" s="1513">
        <f>'AR-Det'!N202</f>
        <v>19466.666666666664</v>
      </c>
      <c r="J202" s="1509">
        <f>IF(OR($C202="No",$D202="na",I202="na",$D202=0),"na",I202/($D202*Eqtn!$D$377))</f>
        <v>14544441.956240116</v>
      </c>
      <c r="K202" s="734" t="s">
        <v>232</v>
      </c>
      <c r="M202" s="1062"/>
    </row>
    <row r="203" spans="1:13" ht="13.9" customHeight="1" x14ac:dyDescent="0.25">
      <c r="A203" s="846">
        <f>Chem!A203</f>
        <v>201</v>
      </c>
      <c r="B203" s="941" t="str">
        <f>Chem!B203</f>
        <v>Methyl iodide</v>
      </c>
      <c r="C203" s="1282" t="str">
        <f>Param!AF203</f>
        <v>no</v>
      </c>
      <c r="D203" s="343">
        <f>Param!M203</f>
        <v>0</v>
      </c>
      <c r="E203" s="627" t="str">
        <f>'AR-Det'!F203</f>
        <v>na</v>
      </c>
      <c r="F203" s="628" t="str">
        <f>IF(OR($C203="no",$D203="na",E203="na",$D203=0),"na",E203/($D203*Eqtn!$D$377))</f>
        <v>na</v>
      </c>
      <c r="G203" s="306" t="str">
        <f>'AR-Det'!J203</f>
        <v>na</v>
      </c>
      <c r="H203" s="1509" t="str">
        <f>IF(OR($C203="No",$D203="na",G203="na",$D203=0),"na",G203/($D203*Eqtn!$D$377))</f>
        <v>na</v>
      </c>
      <c r="I203" s="1513" t="str">
        <f>'AR-Det'!N203</f>
        <v>na</v>
      </c>
      <c r="J203" s="1509" t="str">
        <f>IF(OR($C203="No",$D203="na",I203="na",$D203=0),"na",I203/($D203*Eqtn!$D$377))</f>
        <v>na</v>
      </c>
      <c r="K203" s="734" t="s">
        <v>232</v>
      </c>
      <c r="M203" s="1062"/>
    </row>
    <row r="204" spans="1:13" ht="13.9" customHeight="1" x14ac:dyDescent="0.25">
      <c r="A204" s="846">
        <f>Chem!A204</f>
        <v>202</v>
      </c>
      <c r="B204" s="941" t="str">
        <f>Chem!B204</f>
        <v>Methyl isobutyl ketone</v>
      </c>
      <c r="C204" s="1282" t="str">
        <f>Param!AF204</f>
        <v>YES</v>
      </c>
      <c r="D204" s="343">
        <f>Param!M204</f>
        <v>2.9410992418944779E-3</v>
      </c>
      <c r="E204" s="627">
        <f>'AR-Det'!F204</f>
        <v>1371.4285714285713</v>
      </c>
      <c r="F204" s="628">
        <f>IF(OR($C204="no",$D204="na",E204="na",$D204=0),"na",E204/($D204*Eqtn!$D$377))</f>
        <v>466297.95822366746</v>
      </c>
      <c r="G204" s="306">
        <f>'AR-Det'!J204</f>
        <v>3000</v>
      </c>
      <c r="H204" s="1509">
        <f>IF(OR($C204="No",$D204="na",G204="na",$D204=0),"na",G204/($D204*Eqtn!$D$377))</f>
        <v>1020026.7836142726</v>
      </c>
      <c r="I204" s="1513">
        <f>'AR-Det'!N204</f>
        <v>11679.999999999998</v>
      </c>
      <c r="J204" s="1509">
        <f>IF(OR($C204="No",$D204="na",I204="na",$D204=0),"na",I204/($D204*Eqtn!$D$377))</f>
        <v>3971304.2775382344</v>
      </c>
      <c r="K204" s="734" t="s">
        <v>232</v>
      </c>
      <c r="M204" s="1062"/>
    </row>
    <row r="205" spans="1:13" ht="13.9" customHeight="1" x14ac:dyDescent="0.25">
      <c r="A205" s="846">
        <f>Chem!A205</f>
        <v>203</v>
      </c>
      <c r="B205" s="941" t="str">
        <f>Chem!B205</f>
        <v>Methyl tert-butyl ether (MTBE)</v>
      </c>
      <c r="C205" s="1282" t="str">
        <f>Param!AF205</f>
        <v>YES</v>
      </c>
      <c r="D205" s="343">
        <f>Param!M205</f>
        <v>1.1219516036506364E-2</v>
      </c>
      <c r="E205" s="631">
        <f>'AR-Det'!F205</f>
        <v>9.615384615384615</v>
      </c>
      <c r="F205" s="628">
        <f>IF(OR($C205="no",$D205="na",E205="na",$D205=0),"na",E205/($D205*Eqtn!$D$377))</f>
        <v>857.02311794000889</v>
      </c>
      <c r="G205" s="307">
        <f>'AR-Det'!J205</f>
        <v>96.153846153846175</v>
      </c>
      <c r="H205" s="1509">
        <f>IF(OR($C205="No",$D205="na",G205="na",$D205=0),"na",G205/($D205*Eqtn!$D$377))</f>
        <v>8570.2311794000907</v>
      </c>
      <c r="I205" s="1513">
        <f>'AR-Det'!N205</f>
        <v>44.923076923076913</v>
      </c>
      <c r="J205" s="1509">
        <f>IF(OR($C205="No",$D205="na",I205="na",$D205=0),"na",I205/($D205*Eqtn!$D$377))</f>
        <v>4004.0120070157209</v>
      </c>
      <c r="K205" s="734" t="s">
        <v>232</v>
      </c>
      <c r="M205" s="1062"/>
    </row>
    <row r="206" spans="1:13" ht="13.9" customHeight="1" x14ac:dyDescent="0.25">
      <c r="A206" s="846">
        <f>Chem!A206</f>
        <v>204</v>
      </c>
      <c r="B206" s="941" t="str">
        <f>Chem!B206</f>
        <v>Methylene chloride</v>
      </c>
      <c r="C206" s="1282" t="str">
        <f>Param!AF206</f>
        <v>YES</v>
      </c>
      <c r="D206" s="343">
        <f>Param!M206</f>
        <v>8.4269915506328272E-2</v>
      </c>
      <c r="E206" s="602">
        <f>'AR-Det'!F206</f>
        <v>66</v>
      </c>
      <c r="F206" s="628">
        <f>IF(OR($C206="no",$D206="na",E206="na",$D206=0),"na",E206/($D206*Eqtn!$D$377))</f>
        <v>783.19765248896817</v>
      </c>
      <c r="G206" s="17">
        <f>'AR-Det'!J206</f>
        <v>600</v>
      </c>
      <c r="H206" s="1509">
        <f>IF(OR($C206="No",$D206="na",G206="na",$D206=0),"na",G206/($D206*Eqtn!$D$377))</f>
        <v>7119.9786589906198</v>
      </c>
      <c r="I206" s="1513">
        <f>'AR-Det'!N206</f>
        <v>1167.9999999999993</v>
      </c>
      <c r="J206" s="1509">
        <f>IF(OR($C206="No",$D206="na",I206="na",$D206=0),"na",I206/($D206*Eqtn!$D$377))</f>
        <v>13860.225122835065</v>
      </c>
      <c r="K206" s="734" t="s">
        <v>232</v>
      </c>
      <c r="M206" s="1062"/>
    </row>
    <row r="207" spans="1:13" ht="13.9" customHeight="1" x14ac:dyDescent="0.25">
      <c r="A207" s="846">
        <f>Chem!A207</f>
        <v>205</v>
      </c>
      <c r="B207" s="941" t="str">
        <f>Chem!B207</f>
        <v>2-Pentanone</v>
      </c>
      <c r="C207" s="1282" t="str">
        <f>Param!AF207</f>
        <v>no</v>
      </c>
      <c r="D207" s="343">
        <f>Param!M207</f>
        <v>0</v>
      </c>
      <c r="E207" s="627" t="str">
        <f>'AR-Det'!F207</f>
        <v>na</v>
      </c>
      <c r="F207" s="628" t="str">
        <f>IF(OR($C207="no",$D207="na",E207="na",$D207=0),"na",E207/($D207*Eqtn!$D$377))</f>
        <v>na</v>
      </c>
      <c r="G207" s="306" t="str">
        <f>'AR-Det'!J207</f>
        <v>na</v>
      </c>
      <c r="H207" s="1509" t="str">
        <f>IF(OR($C207="No",$D207="na",G207="na",$D207=0),"na",G207/($D207*Eqtn!$D$377))</f>
        <v>na</v>
      </c>
      <c r="I207" s="1513" t="str">
        <f>'AR-Det'!N207</f>
        <v>na</v>
      </c>
      <c r="J207" s="1509" t="str">
        <f>IF(OR($C207="No",$D207="na",I207="na",$D207=0),"na",I207/($D207*Eqtn!$D$377))</f>
        <v>na</v>
      </c>
      <c r="K207" s="734" t="s">
        <v>232</v>
      </c>
      <c r="M207" s="1062"/>
    </row>
    <row r="208" spans="1:13" ht="13.9" customHeight="1" x14ac:dyDescent="0.25">
      <c r="A208" s="846">
        <f>Chem!A208</f>
        <v>206</v>
      </c>
      <c r="B208" s="941" t="str">
        <f>Chem!B208</f>
        <v>n-Propylbenzene</v>
      </c>
      <c r="C208" s="1282" t="str">
        <f>Param!AF208</f>
        <v>YES</v>
      </c>
      <c r="D208" s="343">
        <f>Param!M208</f>
        <v>0.2020628221582316</v>
      </c>
      <c r="E208" s="627">
        <f>'AR-Det'!F208</f>
        <v>457.14285714285711</v>
      </c>
      <c r="F208" s="628">
        <f>IF(OR($C208="no",$D208="na",E208="na",$D208=0),"na",E208/($D208*Eqtn!$D$377))</f>
        <v>2262.3798492969536</v>
      </c>
      <c r="G208" s="306">
        <f>'AR-Det'!J208</f>
        <v>1000</v>
      </c>
      <c r="H208" s="1509">
        <f>IF(OR($C208="No",$D208="na",G208="na",$D208=0),"na",G208/($D208*Eqtn!$D$377))</f>
        <v>4948.9559203370864</v>
      </c>
      <c r="I208" s="1513">
        <f>'AR-Det'!N208</f>
        <v>3893.3333333333326</v>
      </c>
      <c r="J208" s="1509">
        <f>IF(OR($C208="No",$D208="na",I208="na",$D208=0),"na",I208/($D208*Eqtn!$D$377))</f>
        <v>19267.935049845717</v>
      </c>
      <c r="K208" s="734" t="s">
        <v>232</v>
      </c>
      <c r="M208" s="1062"/>
    </row>
    <row r="209" spans="1:13" ht="13.9" customHeight="1" x14ac:dyDescent="0.25">
      <c r="A209" s="846">
        <f>Chem!A209</f>
        <v>207</v>
      </c>
      <c r="B209" s="941" t="str">
        <f>Chem!B209</f>
        <v>Styrene</v>
      </c>
      <c r="C209" s="1282" t="str">
        <f>Param!AF209</f>
        <v>YES</v>
      </c>
      <c r="D209" s="343">
        <f>Param!M209</f>
        <v>5.3608046534770776E-2</v>
      </c>
      <c r="E209" s="627">
        <f>'AR-Det'!F209</f>
        <v>457.14285714285711</v>
      </c>
      <c r="F209" s="628">
        <f>IF(OR($C209="no",$D209="na",E209="na",$D209=0),"na",E209/($D209*Eqtn!$D$377))</f>
        <v>8527.504482864324</v>
      </c>
      <c r="G209" s="306">
        <f>'AR-Det'!J209</f>
        <v>1000</v>
      </c>
      <c r="H209" s="1509">
        <f>IF(OR($C209="No",$D209="na",G209="na",$D209=0),"na",G209/($D209*Eqtn!$D$377))</f>
        <v>18653.916056265713</v>
      </c>
      <c r="I209" s="1513">
        <f>'AR-Det'!N209</f>
        <v>3893.3333333333326</v>
      </c>
      <c r="J209" s="1509">
        <f>IF(OR($C209="No",$D209="na",I209="na",$D209=0),"na",I209/($D209*Eqtn!$D$377))</f>
        <v>72625.913179061157</v>
      </c>
      <c r="K209" s="734" t="s">
        <v>232</v>
      </c>
      <c r="M209" s="1062"/>
    </row>
    <row r="210" spans="1:13" ht="13.9" customHeight="1" x14ac:dyDescent="0.25">
      <c r="A210" s="846">
        <f>Chem!A210</f>
        <v>208</v>
      </c>
      <c r="B210" s="941" t="str">
        <f>Chem!B210</f>
        <v>1,1,1,2-Tetrachloroethane</v>
      </c>
      <c r="C210" s="1282" t="str">
        <f>Param!AF210</f>
        <v>YES</v>
      </c>
      <c r="D210" s="343">
        <f>Param!M210</f>
        <v>4.7495367757914637E-2</v>
      </c>
      <c r="E210" s="627">
        <f>'AR-Det'!F210</f>
        <v>0.33783783783783783</v>
      </c>
      <c r="F210" s="628">
        <f>IF(OR($C210="no",$D210="na",E210="na",$D210=0),"na",E210/($D210*Eqtn!$D$377))</f>
        <v>7.1130692062393912</v>
      </c>
      <c r="G210" s="306">
        <f>'AR-Det'!J210</f>
        <v>3.378378378378379</v>
      </c>
      <c r="H210" s="1509">
        <f>IF(OR($C210="No",$D210="na",G210="na",$D210=0),"na",G210/($D210*Eqtn!$D$377))</f>
        <v>71.130692062393919</v>
      </c>
      <c r="I210" s="1513">
        <f>'AR-Det'!N210</f>
        <v>1.5783783783783778</v>
      </c>
      <c r="J210" s="1509">
        <f>IF(OR($C210="No",$D210="na",I210="na",$D210=0),"na",I210/($D210*Eqtn!$D$377))</f>
        <v>33.232259331550424</v>
      </c>
      <c r="K210" s="734" t="s">
        <v>232</v>
      </c>
      <c r="M210" s="1062"/>
    </row>
    <row r="211" spans="1:13" ht="13.9" customHeight="1" x14ac:dyDescent="0.25">
      <c r="A211" s="846">
        <f>Chem!A211</f>
        <v>209</v>
      </c>
      <c r="B211" s="941" t="str">
        <f>Chem!B211</f>
        <v>1,1,2,2-Tetrachloroethane</v>
      </c>
      <c r="C211" s="1282" t="str">
        <f>Param!AF211</f>
        <v>YES</v>
      </c>
      <c r="D211" s="343">
        <f>Param!M211</f>
        <v>7.34525414777996E-3</v>
      </c>
      <c r="E211" s="627">
        <f>'AR-Det'!F211</f>
        <v>4.3103448275862065E-2</v>
      </c>
      <c r="F211" s="628">
        <f>IF(OR($C211="no",$D211="na",E211="na",$D211=0),"na",E211/($D211*Eqtn!$D$377))</f>
        <v>5.8682037964458607</v>
      </c>
      <c r="G211" s="306">
        <f>'AR-Det'!J211</f>
        <v>0.43103448275862072</v>
      </c>
      <c r="H211" s="1509">
        <f>IF(OR($C211="No",$D211="na",G211="na",$D211=0),"na",G211/($D211*Eqtn!$D$377))</f>
        <v>58.682037964458615</v>
      </c>
      <c r="I211" s="1513">
        <f>'AR-Det'!N211</f>
        <v>0.20137931034482751</v>
      </c>
      <c r="J211" s="1509">
        <f>IF(OR($C211="No",$D211="na",I211="na",$D211=0),"na",I211/($D211*Eqtn!$D$377))</f>
        <v>27.416248136995051</v>
      </c>
      <c r="K211" s="734" t="s">
        <v>232</v>
      </c>
      <c r="M211" s="1062"/>
    </row>
    <row r="212" spans="1:13" ht="13.9" customHeight="1" x14ac:dyDescent="0.25">
      <c r="A212" s="846">
        <f>Chem!A212</f>
        <v>210</v>
      </c>
      <c r="B212" s="941" t="str">
        <f>Chem!B212</f>
        <v>Tetrachloroethylene (PCE)</v>
      </c>
      <c r="C212" s="1282" t="str">
        <f>Param!AF212</f>
        <v>YES</v>
      </c>
      <c r="D212" s="343">
        <f>Param!M212</f>
        <v>0.38398943995760693</v>
      </c>
      <c r="E212" s="602">
        <f>'AR-Det'!F212</f>
        <v>9.615384615384615</v>
      </c>
      <c r="F212" s="628">
        <f>IF(OR($C212="no",$D212="na",E212="na",$D212=0),"na",E212/($D212*Eqtn!$D$377))</f>
        <v>25.040752726028533</v>
      </c>
      <c r="G212" s="17">
        <f>'AR-Det'!J212</f>
        <v>40</v>
      </c>
      <c r="H212" s="1509">
        <f>IF(OR($C212="No",$D212="na",G212="na",$D212=0),"na",G212/($D212*Eqtn!$D$377))</f>
        <v>104.1695313402787</v>
      </c>
      <c r="I212" s="1513">
        <f>'AR-Det'!N212</f>
        <v>44.923076923076913</v>
      </c>
      <c r="J212" s="1509">
        <f>IF(OR($C212="No",$D212="na",I212="na",$D212=0),"na",I212/($D212*Eqtn!$D$377))</f>
        <v>116.99039673600528</v>
      </c>
      <c r="K212" s="734" t="s">
        <v>232</v>
      </c>
      <c r="M212" s="1062"/>
    </row>
    <row r="213" spans="1:13" ht="13.9" customHeight="1" x14ac:dyDescent="0.25">
      <c r="A213" s="846">
        <f>Chem!A213</f>
        <v>211</v>
      </c>
      <c r="B213" s="941" t="str">
        <f>Chem!B213</f>
        <v>Tetrahydrofuran</v>
      </c>
      <c r="C213" s="1282" t="str">
        <f>Param!AF213</f>
        <v>YES</v>
      </c>
      <c r="D213" s="343">
        <f>Param!M213</f>
        <v>1.7388069383760961E-3</v>
      </c>
      <c r="E213" s="602">
        <f>'AR-Det'!F213</f>
        <v>914.28571428571422</v>
      </c>
      <c r="F213" s="628">
        <f>IF(OR($C213="no",$D213="na",E213="na",$D213=0),"na",E213/($D213*Eqtn!$D$377))</f>
        <v>525812.09224963328</v>
      </c>
      <c r="G213" s="17">
        <f>'AR-Det'!J213</f>
        <v>2000</v>
      </c>
      <c r="H213" s="1509">
        <f>IF(OR($C213="No",$D213="na",G213="na",$D213=0),"na",G213/($D213*Eqtn!$D$377))</f>
        <v>1150213.9517960728</v>
      </c>
      <c r="I213" s="1513">
        <f>'AR-Det'!N213</f>
        <v>7786.6666666666652</v>
      </c>
      <c r="J213" s="1509">
        <f>IF(OR($C213="No",$D213="na",I213="na",$D213=0),"na",I213/($D213*Eqtn!$D$377))</f>
        <v>4478166.3189927097</v>
      </c>
      <c r="K213" s="734" t="s">
        <v>232</v>
      </c>
      <c r="M213" s="1062"/>
    </row>
    <row r="214" spans="1:13" ht="13.9" customHeight="1" x14ac:dyDescent="0.25">
      <c r="A214" s="846">
        <f>Chem!A214</f>
        <v>212</v>
      </c>
      <c r="B214" s="941" t="str">
        <f>Chem!B214</f>
        <v>Toluene</v>
      </c>
      <c r="C214" s="1282" t="str">
        <f>Param!AF214</f>
        <v>YES</v>
      </c>
      <c r="D214" s="343">
        <f>Param!M214</f>
        <v>0.14853850277256189</v>
      </c>
      <c r="E214" s="627">
        <f>'AR-Det'!F214</f>
        <v>2285.7142857142858</v>
      </c>
      <c r="F214" s="628">
        <f>IF(OR($C214="no",$D214="na",E214="na",$D214=0),"na",E214/($D214*Eqtn!$D$377))</f>
        <v>15388.025616591203</v>
      </c>
      <c r="G214" s="306">
        <f>'AR-Det'!J214</f>
        <v>5000</v>
      </c>
      <c r="H214" s="1509">
        <f>IF(OR($C214="No",$D214="na",G214="na",$D214=0),"na",G214/($D214*Eqtn!$D$377))</f>
        <v>33661.306036293252</v>
      </c>
      <c r="I214" s="1513">
        <f>'AR-Det'!N214</f>
        <v>19466.666666666664</v>
      </c>
      <c r="J214" s="1509">
        <f>IF(OR($C214="No",$D214="na",I214="na",$D214=0),"na",I214/($D214*Eqtn!$D$377))</f>
        <v>131054.68483463506</v>
      </c>
      <c r="K214" s="734" t="s">
        <v>232</v>
      </c>
      <c r="M214" s="1062"/>
    </row>
    <row r="215" spans="1:13" ht="13.9" customHeight="1" x14ac:dyDescent="0.25">
      <c r="A215" s="846">
        <f>Chem!A215</f>
        <v>213</v>
      </c>
      <c r="B215" s="941" t="str">
        <f>Chem!B215</f>
        <v>1,2,3-Trichlorobenzene</v>
      </c>
      <c r="C215" s="1282" t="str">
        <f>Param!AF215</f>
        <v>no</v>
      </c>
      <c r="D215" s="343">
        <f>Param!M215</f>
        <v>1.7234676783375241E-2</v>
      </c>
      <c r="E215" s="627" t="str">
        <f>'AR-Det'!F215</f>
        <v>na</v>
      </c>
      <c r="F215" s="628" t="str">
        <f>IF(OR($C215="no",$D215="na",E215="na",$D215=0),"na",E215/($D215*Eqtn!$D$377))</f>
        <v>na</v>
      </c>
      <c r="G215" s="306" t="str">
        <f>'AR-Det'!J215</f>
        <v>na</v>
      </c>
      <c r="H215" s="1509" t="str">
        <f>IF(OR($C215="No",$D215="na",G215="na",$D215=0),"na",G215/($D215*Eqtn!$D$377))</f>
        <v>na</v>
      </c>
      <c r="I215" s="1513" t="str">
        <f>'AR-Det'!N215</f>
        <v>na</v>
      </c>
      <c r="J215" s="1509" t="str">
        <f>IF(OR($C215="No",$D215="na",I215="na",$D215=0),"na",I215/($D215*Eqtn!$D$377))</f>
        <v>na</v>
      </c>
      <c r="K215" s="734" t="s">
        <v>232</v>
      </c>
      <c r="M215" s="1062"/>
    </row>
    <row r="216" spans="1:13" ht="13.9" customHeight="1" x14ac:dyDescent="0.25">
      <c r="A216" s="846">
        <f>Chem!A216</f>
        <v>214</v>
      </c>
      <c r="B216" s="941" t="str">
        <f>Chem!B216</f>
        <v>1,1,1-Trichloroethane</v>
      </c>
      <c r="C216" s="1282" t="str">
        <f>Param!AF216</f>
        <v>YES</v>
      </c>
      <c r="D216" s="343">
        <f>Param!M216</f>
        <v>0.42013340443137548</v>
      </c>
      <c r="E216" s="627">
        <f>'AR-Det'!F216</f>
        <v>2285.7142857142858</v>
      </c>
      <c r="F216" s="628">
        <f>IF(OR($C216="no",$D216="na",E216="na",$D216=0),"na",E216/($D216*Eqtn!$D$377))</f>
        <v>5440.4488231728646</v>
      </c>
      <c r="G216" s="306">
        <f>'AR-Det'!J216</f>
        <v>5000</v>
      </c>
      <c r="H216" s="1509">
        <f>IF(OR($C216="No",$D216="na",G216="na",$D216=0),"na",G216/($D216*Eqtn!$D$377))</f>
        <v>11900.981800690641</v>
      </c>
      <c r="I216" s="1513">
        <f>'AR-Det'!N216</f>
        <v>19466.666666666664</v>
      </c>
      <c r="J216" s="1509">
        <f>IF(OR($C216="No",$D216="na",I216="na",$D216=0),"na",I216/($D216*Eqtn!$D$377))</f>
        <v>46334.48914402222</v>
      </c>
      <c r="K216" s="734" t="s">
        <v>232</v>
      </c>
      <c r="M216" s="1062"/>
    </row>
    <row r="217" spans="1:13" ht="13.9" customHeight="1" x14ac:dyDescent="0.25">
      <c r="A217" s="846">
        <f>Chem!A217</f>
        <v>215</v>
      </c>
      <c r="B217" s="941" t="str">
        <f>Chem!B217</f>
        <v>1,1,2-Trichloroethane</v>
      </c>
      <c r="C217" s="1282" t="str">
        <f>Param!AF217</f>
        <v>YES</v>
      </c>
      <c r="D217" s="343">
        <f>Param!M217</f>
        <v>1.7838006198880089E-2</v>
      </c>
      <c r="E217" s="602">
        <f>'AR-Det'!F217</f>
        <v>9.1428571428571428E-2</v>
      </c>
      <c r="F217" s="628">
        <f>IF(OR($C217="no",$D217="na",E217="na",$D217=0),"na",E217/($D217*Eqtn!$D$377))</f>
        <v>5.1254927489772664</v>
      </c>
      <c r="G217" s="17">
        <f>'AR-Det'!J217</f>
        <v>0.19999999999999998</v>
      </c>
      <c r="H217" s="1509">
        <f>IF(OR($C217="No",$D217="na",G217="na",$D217=0),"na",G217/($D217*Eqtn!$D$377))</f>
        <v>11.212015388387769</v>
      </c>
      <c r="I217" s="1513">
        <f>'AR-Det'!N217</f>
        <v>0.72999999999999987</v>
      </c>
      <c r="J217" s="1509">
        <f>IF(OR($C217="No",$D217="na",I217="na",$D217=0),"na",I217/($D217*Eqtn!$D$377))</f>
        <v>40.923856167615355</v>
      </c>
      <c r="K217" s="734" t="s">
        <v>232</v>
      </c>
      <c r="M217" s="1062"/>
    </row>
    <row r="218" spans="1:13" ht="13.9" customHeight="1" x14ac:dyDescent="0.25">
      <c r="A218" s="846">
        <f>Chem!A218</f>
        <v>216</v>
      </c>
      <c r="B218" s="941" t="str">
        <f>Chem!B218</f>
        <v>Trichloroethylene (TCE)</v>
      </c>
      <c r="C218" s="1282" t="str">
        <f>Param!AF218</f>
        <v>YES</v>
      </c>
      <c r="D218" s="343">
        <f>Param!M218</f>
        <v>0.23236725204694339</v>
      </c>
      <c r="E218" s="602">
        <f>'AR-Det'!F218</f>
        <v>0.33</v>
      </c>
      <c r="F218" s="628">
        <f>IF(OR($C218="no",$D218="na",E218="na",$D218=0),"na",E218/($D218*Eqtn!$D$377))</f>
        <v>1.4201656950065091</v>
      </c>
      <c r="G218" s="17">
        <f>'AR-Det'!J218</f>
        <v>2</v>
      </c>
      <c r="H218" s="1509">
        <f>IF(OR($C218="No",$D218="na",G218="na",$D218=0),"na",G218/($D218*Eqtn!$D$377))</f>
        <v>8.6070648182212661</v>
      </c>
      <c r="I218" s="1513">
        <f>'AR-Det'!N218</f>
        <v>2.8487804878048775</v>
      </c>
      <c r="J218" s="1509">
        <f>IF(OR($C218="No",$D218="na",I218="na",$D218=0),"na",I218/($D218*Eqtn!$D$377))</f>
        <v>12.259819155710289</v>
      </c>
      <c r="K218" s="734">
        <v>31</v>
      </c>
      <c r="M218" s="1062"/>
    </row>
    <row r="219" spans="1:13" ht="13.9" customHeight="1" x14ac:dyDescent="0.25">
      <c r="A219" s="846">
        <f>Chem!A219</f>
        <v>217</v>
      </c>
      <c r="B219" s="941" t="str">
        <f>Chem!B219</f>
        <v>Trichlorofluoroethane</v>
      </c>
      <c r="C219" s="1282" t="str">
        <f>Param!AF219</f>
        <v>no</v>
      </c>
      <c r="D219" s="343">
        <f>Param!M219</f>
        <v>0</v>
      </c>
      <c r="E219" s="627" t="str">
        <f>'AR-Det'!F219</f>
        <v>na</v>
      </c>
      <c r="F219" s="628" t="str">
        <f>IF(OR($C219="no",$D219="na",E219="na",$D219=0),"na",E219/($D219*Eqtn!$D$377))</f>
        <v>na</v>
      </c>
      <c r="G219" s="306" t="str">
        <f>'AR-Det'!J219</f>
        <v>na</v>
      </c>
      <c r="H219" s="1509" t="str">
        <f>IF(OR($C219="No",$D219="na",G219="na",$D219=0),"na",G219/($D219*Eqtn!$D$377))</f>
        <v>na</v>
      </c>
      <c r="I219" s="1513" t="str">
        <f>'AR-Det'!N219</f>
        <v>na</v>
      </c>
      <c r="J219" s="1509" t="str">
        <f>IF(OR($C219="No",$D219="na",I219="na",$D219=0),"na",I219/($D219*Eqtn!$D$377))</f>
        <v>na</v>
      </c>
      <c r="K219" s="734" t="s">
        <v>232</v>
      </c>
      <c r="M219" s="1062"/>
    </row>
    <row r="220" spans="1:13" ht="13.9" customHeight="1" x14ac:dyDescent="0.25">
      <c r="A220" s="846">
        <f>Chem!A220</f>
        <v>218</v>
      </c>
      <c r="B220" s="941" t="str">
        <f>Chem!B220</f>
        <v>Trichlorofluoromethane</v>
      </c>
      <c r="C220" s="1282" t="str">
        <f>Param!AF220</f>
        <v>YES</v>
      </c>
      <c r="D220" s="343">
        <f>Param!M220</f>
        <v>2.6776012500450501</v>
      </c>
      <c r="E220" s="602">
        <f>'AR-Det'!F220</f>
        <v>320.00000000000006</v>
      </c>
      <c r="F220" s="628">
        <f>IF(OR($C220="no",$D220="na",E220="na",$D220=0),"na",E220/($D220*Eqtn!$D$377))</f>
        <v>119.50995316969475</v>
      </c>
      <c r="G220" s="17">
        <f>'AR-Det'!J220</f>
        <v>700.00000000000011</v>
      </c>
      <c r="H220" s="1509">
        <f>IF(OR($C220="No",$D220="na",G220="na",$D220=0),"na",G220/($D220*Eqtn!$D$377))</f>
        <v>261.42802255870726</v>
      </c>
      <c r="I220" s="1513">
        <f>'AR-Det'!N220</f>
        <v>2725.3333333333335</v>
      </c>
      <c r="J220" s="1509">
        <f>IF(OR($C220="No",$D220="na",I220="na",$D220=0),"na",I220/($D220*Eqtn!$D$377))</f>
        <v>1017.8264344952335</v>
      </c>
      <c r="K220" s="734" t="s">
        <v>232</v>
      </c>
      <c r="M220" s="1062"/>
    </row>
    <row r="221" spans="1:13" ht="13.9" customHeight="1" x14ac:dyDescent="0.25">
      <c r="A221" s="846">
        <f>Chem!A221</f>
        <v>219</v>
      </c>
      <c r="B221" s="941" t="str">
        <f>Chem!B221</f>
        <v>1,2,3-Trichloropropane</v>
      </c>
      <c r="C221" s="1282" t="str">
        <f>Param!AF221</f>
        <v>YES</v>
      </c>
      <c r="D221" s="343">
        <f>Param!M221</f>
        <v>6.8560589456161019E-3</v>
      </c>
      <c r="E221" s="602">
        <f>'AR-Det'!F221</f>
        <v>0.13714285714285709</v>
      </c>
      <c r="F221" s="628">
        <f>IF(OR($C221="no",$D221="na",E221="na",$D221=0),"na",E221/($D221*Eqtn!$D$377))</f>
        <v>20.003161908423923</v>
      </c>
      <c r="G221" s="17">
        <f>'AR-Det'!J221</f>
        <v>0.29999999999999988</v>
      </c>
      <c r="H221" s="1509">
        <f>IF(OR($C221="No",$D221="na",G221="na",$D221=0),"na",G221/($D221*Eqtn!$D$377))</f>
        <v>43.756916674677328</v>
      </c>
      <c r="I221" s="1513">
        <f>'AR-Det'!N221</f>
        <v>1.1679999999999995</v>
      </c>
      <c r="J221" s="1509">
        <f>IF(OR($C221="No",$D221="na",I221="na",$D221=0),"na",I221/($D221*Eqtn!$D$377))</f>
        <v>170.36026225341038</v>
      </c>
      <c r="K221" s="734" t="s">
        <v>232</v>
      </c>
      <c r="M221" s="1062"/>
    </row>
    <row r="222" spans="1:13" ht="13.9" customHeight="1" x14ac:dyDescent="0.25">
      <c r="A222" s="846">
        <f>Chem!A222</f>
        <v>220</v>
      </c>
      <c r="B222" s="941" t="str">
        <f>Chem!B222</f>
        <v>Trichlorotrifluoroethane</v>
      </c>
      <c r="C222" s="1282" t="str">
        <f>Param!AF222</f>
        <v>YES</v>
      </c>
      <c r="D222" s="343">
        <f>Param!M222</f>
        <v>13.712315554214785</v>
      </c>
      <c r="E222" s="602">
        <f>'AR-Det'!F222</f>
        <v>2285.7142857142858</v>
      </c>
      <c r="F222" s="628">
        <f>IF(OR($C222="no",$D222="na",E222="na",$D222=0),"na",E222/($D222*Eqtn!$D$377))</f>
        <v>166.69061302426931</v>
      </c>
      <c r="G222" s="17">
        <f>'AR-Det'!J222</f>
        <v>5000</v>
      </c>
      <c r="H222" s="1509">
        <f>IF(OR($C222="No",$D222="na",G222="na",$D222=0),"na",G222/($D222*Eqtn!$D$377))</f>
        <v>364.63571599058912</v>
      </c>
      <c r="I222" s="1513">
        <f>'AR-Det'!N222</f>
        <v>19466.666666666664</v>
      </c>
      <c r="J222" s="1509">
        <f>IF(OR($C222="No",$D222="na",I222="na",$D222=0),"na",I222/($D222*Eqtn!$D$377))</f>
        <v>1419.6483875900269</v>
      </c>
      <c r="K222" s="734" t="s">
        <v>232</v>
      </c>
      <c r="M222" s="1062"/>
    </row>
    <row r="223" spans="1:13" ht="13.9" customHeight="1" x14ac:dyDescent="0.25">
      <c r="A223" s="846">
        <f>Chem!A223</f>
        <v>221</v>
      </c>
      <c r="B223" s="941" t="str">
        <f>Chem!B223</f>
        <v>1,2,3-Trimethylbenzene</v>
      </c>
      <c r="C223" s="1282" t="str">
        <f>Param!AF223</f>
        <v>YES</v>
      </c>
      <c r="D223" s="338">
        <f>Param!M223</f>
        <v>6.6242614501504857E-2</v>
      </c>
      <c r="E223" s="627">
        <f>'AR-Det'!F223</f>
        <v>27.428571428571431</v>
      </c>
      <c r="F223" s="628">
        <f>IF(OR($C223="no",$D223="na",E223="na",$D223=0),"na",E223/($D223*Eqtn!$D$377))</f>
        <v>414.06233185358838</v>
      </c>
      <c r="G223" s="306">
        <f>'AR-Det'!J223</f>
        <v>60</v>
      </c>
      <c r="H223" s="1509">
        <f>IF(OR($C223="No",$D223="na",G223="na",$D223=0),"na",G223/($D223*Eqtn!$D$377))</f>
        <v>905.76135092972459</v>
      </c>
      <c r="I223" s="1513">
        <f>'AR-Det'!N223</f>
        <v>233.59999999999997</v>
      </c>
      <c r="J223" s="1509">
        <f>IF(OR($C223="No",$D223="na",I223="na",$D223=0),"na",I223/($D223*Eqtn!$D$377))</f>
        <v>3526.430859619727</v>
      </c>
      <c r="K223" s="734" t="s">
        <v>232</v>
      </c>
      <c r="M223" s="1062"/>
    </row>
    <row r="224" spans="1:13" ht="13.9" customHeight="1" x14ac:dyDescent="0.25">
      <c r="A224" s="846">
        <f>Chem!A224</f>
        <v>222</v>
      </c>
      <c r="B224" s="941" t="str">
        <f>Chem!B224</f>
        <v>1,2,4-Trimethylbenzene</v>
      </c>
      <c r="C224" s="1282" t="str">
        <f>Param!AF224</f>
        <v>YES</v>
      </c>
      <c r="D224" s="343">
        <f>Param!M224</f>
        <v>0.11488295111364141</v>
      </c>
      <c r="E224" s="631">
        <f>'AR-Det'!F224</f>
        <v>27.428571428571431</v>
      </c>
      <c r="F224" s="628">
        <f>IF(OR($C224="no",$D224="na",E224="na",$D224=0),"na",E224/($D224*Eqtn!$D$377))</f>
        <v>238.75232280061539</v>
      </c>
      <c r="G224" s="307">
        <f>'AR-Det'!J224</f>
        <v>60</v>
      </c>
      <c r="H224" s="1509">
        <f>IF(OR($C224="No",$D224="na",G224="na",$D224=0),"na",G224/($D224*Eqtn!$D$377))</f>
        <v>522.27070612634611</v>
      </c>
      <c r="I224" s="1513">
        <f>'AR-Det'!N224</f>
        <v>233.59999999999997</v>
      </c>
      <c r="J224" s="1509">
        <f>IF(OR($C224="No",$D224="na",I224="na",$D224=0),"na",I224/($D224*Eqtn!$D$377))</f>
        <v>2033.3739491852405</v>
      </c>
      <c r="K224" s="734" t="s">
        <v>232</v>
      </c>
      <c r="M224" s="1062"/>
    </row>
    <row r="225" spans="1:13" ht="13.9" customHeight="1" x14ac:dyDescent="0.25">
      <c r="A225" s="846">
        <f>Chem!A225</f>
        <v>223</v>
      </c>
      <c r="B225" s="941" t="str">
        <f>Chem!B225</f>
        <v>1,3,5-Trimethylbenzene</v>
      </c>
      <c r="C225" s="1282" t="str">
        <f>Param!AF225</f>
        <v>YES</v>
      </c>
      <c r="D225" s="343">
        <f>Param!M225</f>
        <v>0.1638188233796069</v>
      </c>
      <c r="E225" s="627">
        <f>'AR-Det'!F225</f>
        <v>27.428571428571431</v>
      </c>
      <c r="F225" s="628">
        <f>IF(OR($C225="no",$D225="na",E225="na",$D225=0),"na",E225/($D225*Eqtn!$D$377))</f>
        <v>167.4323552246066</v>
      </c>
      <c r="G225" s="306">
        <f>'AR-Det'!J225</f>
        <v>60</v>
      </c>
      <c r="H225" s="1509">
        <f>IF(OR($C225="No",$D225="na",G225="na",$D225=0),"na",G225/($D225*Eqtn!$D$377))</f>
        <v>366.25827705382687</v>
      </c>
      <c r="I225" s="1513">
        <f>'AR-Det'!N225</f>
        <v>233.59999999999997</v>
      </c>
      <c r="J225" s="1509">
        <f>IF(OR($C225="No",$D225="na",I225="na",$D225=0),"na",I225/($D225*Eqtn!$D$377))</f>
        <v>1425.9655586628992</v>
      </c>
      <c r="K225" s="734" t="s">
        <v>232</v>
      </c>
      <c r="M225" s="1062"/>
    </row>
    <row r="226" spans="1:13" ht="13.9" customHeight="1" x14ac:dyDescent="0.25">
      <c r="A226" s="846">
        <f>Chem!A226</f>
        <v>224</v>
      </c>
      <c r="B226" s="941" t="str">
        <f>Chem!B226</f>
        <v>Vinyl acetate</v>
      </c>
      <c r="C226" s="1282" t="str">
        <f>Param!AF226</f>
        <v>YES</v>
      </c>
      <c r="D226" s="343">
        <f>Param!M226</f>
        <v>1.1305860184252203E-2</v>
      </c>
      <c r="E226" s="627">
        <f>'AR-Det'!F226</f>
        <v>91.428571428571416</v>
      </c>
      <c r="F226" s="628">
        <f>IF(OR($C226="no",$D226="na",E226="na",$D226=0),"na",E226/($D226*Eqtn!$D$377))</f>
        <v>8086.8301870494715</v>
      </c>
      <c r="G226" s="306">
        <f>'AR-Det'!J226</f>
        <v>199.99999999999997</v>
      </c>
      <c r="H226" s="1509">
        <f>IF(OR($C226="No",$D226="na",G226="na",$D226=0),"na",G226/($D226*Eqtn!$D$377))</f>
        <v>17689.941034170719</v>
      </c>
      <c r="I226" s="1513">
        <f>'AR-Det'!N226</f>
        <v>778.6666666666664</v>
      </c>
      <c r="J226" s="1509">
        <f>IF(OR($C226="No",$D226="na",I226="na",$D226=0),"na",I226/($D226*Eqtn!$D$377))</f>
        <v>68872.83709303799</v>
      </c>
      <c r="K226" s="734" t="s">
        <v>232</v>
      </c>
      <c r="M226" s="1062"/>
    </row>
    <row r="227" spans="1:13" ht="13.9" customHeight="1" x14ac:dyDescent="0.25">
      <c r="A227" s="846">
        <f>Chem!A227</f>
        <v>225</v>
      </c>
      <c r="B227" s="941" t="str">
        <f>Chem!B227</f>
        <v>Vinyl chloride</v>
      </c>
      <c r="C227" s="1282" t="str">
        <f>Param!AF227</f>
        <v>YES</v>
      </c>
      <c r="D227" s="343">
        <f>Param!M227</f>
        <v>0.84959143591779562</v>
      </c>
      <c r="E227" s="627">
        <f>'AR-Det'!F227</f>
        <v>0.28409090909090906</v>
      </c>
      <c r="F227" s="628">
        <f>IF(OR($C227="no",$D227="na",E227="na",$D227=0),"na",E227/($D227*Eqtn!$D$377))</f>
        <v>0.33438532579369951</v>
      </c>
      <c r="G227" s="306">
        <f>'AR-Det'!J227</f>
        <v>2.8409090909090913</v>
      </c>
      <c r="H227" s="1509">
        <f>IF(OR($C227="No",$D227="na",G227="na",$D227=0),"na",G227/($D227*Eqtn!$D$377))</f>
        <v>3.3438532579369959</v>
      </c>
      <c r="I227" s="1513">
        <f>'AR-Det'!N227</f>
        <v>1.3272727272727267</v>
      </c>
      <c r="J227" s="1509">
        <f>IF(OR($C227="No",$D227="na",I227="na",$D227=0),"na",I227/($D227*Eqtn!$D$377))</f>
        <v>1.5622482421081636</v>
      </c>
      <c r="K227" s="734" t="s">
        <v>232</v>
      </c>
      <c r="M227" s="1062"/>
    </row>
    <row r="228" spans="1:13" ht="13.9" customHeight="1" x14ac:dyDescent="0.25">
      <c r="A228" s="1661">
        <f>Chem!A228</f>
        <v>226</v>
      </c>
      <c r="B228" s="941" t="str">
        <f>Chem!B228</f>
        <v>Total xylenes</v>
      </c>
      <c r="C228" s="1283" t="str">
        <f>Param!AF228</f>
        <v>YES</v>
      </c>
      <c r="D228" s="532">
        <f>Param!M228</f>
        <v>0.14143801387071567</v>
      </c>
      <c r="E228" s="627">
        <f>'AR-Det'!F228</f>
        <v>45.714285714285708</v>
      </c>
      <c r="F228" s="628">
        <f>IF(OR($C228="no",$D228="na",E228="na",$D228=0),"na",E228/($D228*Eqtn!$D$377))</f>
        <v>323.2107441502381</v>
      </c>
      <c r="G228" s="306">
        <f>'AR-Det'!J228</f>
        <v>99.999999999999986</v>
      </c>
      <c r="H228" s="1509">
        <f>IF(OR($C228="No",$D228="na",G228="na",$D228=0),"na",G228/($D228*Eqtn!$D$377))</f>
        <v>707.02350282864586</v>
      </c>
      <c r="I228" s="1515">
        <f>'AR-Det'!N228</f>
        <v>389.3333333333332</v>
      </c>
      <c r="J228" s="1510">
        <f>IF(OR($C228="No",$D228="na",I228="na",$D228=0),"na",I228/($D228*Eqtn!$D$377))</f>
        <v>2752.6781710128607</v>
      </c>
      <c r="K228" s="736" t="s">
        <v>232</v>
      </c>
      <c r="M228" s="1062"/>
    </row>
    <row r="229" spans="1:13" ht="13.9" customHeight="1" x14ac:dyDescent="0.25">
      <c r="A229" s="1197">
        <f>Chem!A229</f>
        <v>227</v>
      </c>
      <c r="B229" s="943" t="str">
        <f>Chem!B229</f>
        <v>PFAS</v>
      </c>
      <c r="C229" s="2345"/>
      <c r="D229" s="259"/>
      <c r="E229" s="127"/>
      <c r="F229" s="44"/>
      <c r="G229" s="127"/>
      <c r="H229" s="44"/>
      <c r="I229" s="44"/>
      <c r="J229" s="44"/>
      <c r="K229" s="55"/>
      <c r="M229" s="1063"/>
    </row>
    <row r="230" spans="1:13" s="2273" customFormat="1" ht="13.9" customHeight="1" x14ac:dyDescent="0.25">
      <c r="A230" s="2277">
        <f>Chem!A230</f>
        <v>228</v>
      </c>
      <c r="B230" s="2274" t="str">
        <f>Chem!B230</f>
        <v>6:2 Fluorotelomer sulfonic acid (6:2 FTS)</v>
      </c>
      <c r="C230" s="2275" t="str">
        <f>Param!AF230</f>
        <v>no</v>
      </c>
      <c r="D230" s="1801">
        <f>Param!M230</f>
        <v>7.44E-9</v>
      </c>
      <c r="E230" s="2257" t="str">
        <f>'AR-Det'!F230</f>
        <v>na</v>
      </c>
      <c r="F230" s="2276" t="str">
        <f>IF(OR($C230="no",$D230="na",E230="na",$D230=0),"na",E230/($D230*Eqtn!$D$377))</f>
        <v>na</v>
      </c>
      <c r="G230" s="2258" t="str">
        <f>'AR-Det'!J230</f>
        <v>na</v>
      </c>
      <c r="H230" s="2261" t="str">
        <f>IF(OR($C230="No",$D230="na",G230="na",$D230=0),"na",G230/($D230*Eqtn!$D$377))</f>
        <v>na</v>
      </c>
      <c r="I230" s="2261" t="str">
        <f>'AR-Det'!N230</f>
        <v>na</v>
      </c>
      <c r="J230" s="2261" t="str">
        <f>IF(OR($C230="No",$D230="na",I230="na",$D230=0),"na",I230/($D230*Eqtn!$D$377))</f>
        <v>na</v>
      </c>
      <c r="K230" s="2262" t="s">
        <v>232</v>
      </c>
      <c r="M230" s="1987"/>
    </row>
    <row r="231" spans="1:13" ht="13.9" customHeight="1" x14ac:dyDescent="0.25">
      <c r="A231" s="846">
        <f>Chem!A231</f>
        <v>229</v>
      </c>
      <c r="B231" s="940" t="str">
        <f>Chem!B231</f>
        <v>GenX (HFPO-DA)</v>
      </c>
      <c r="C231" s="1295" t="str">
        <f>Param!AF231</f>
        <v>no</v>
      </c>
      <c r="D231" s="531">
        <f>Param!M231</f>
        <v>1.022E-2</v>
      </c>
      <c r="E231" s="1623" t="str">
        <f>'AR-Det'!F231</f>
        <v>na</v>
      </c>
      <c r="F231" s="1624" t="str">
        <f>IF(OR($C231="no",$D231="na",E231="na",$D231=0),"na",E231/($D231*Eqtn!$D$377))</f>
        <v>na</v>
      </c>
      <c r="G231" s="1622" t="str">
        <f>'AR-Det'!J231</f>
        <v>na</v>
      </c>
      <c r="H231" s="1516" t="str">
        <f>IF(OR($C231="No",$D231="na",G231="na",$D231=0),"na",G231/($D231*Eqtn!$D$377))</f>
        <v>na</v>
      </c>
      <c r="I231" s="1516" t="str">
        <f>'AR-Det'!N231</f>
        <v>na</v>
      </c>
      <c r="J231" s="1516" t="str">
        <f>IF(OR($C231="No",$D231="na",I231="na",$D231=0),"na",I231/($D231*Eqtn!$D$377))</f>
        <v>na</v>
      </c>
      <c r="K231" s="1517" t="s">
        <v>232</v>
      </c>
      <c r="M231" s="1062"/>
    </row>
    <row r="232" spans="1:13" ht="13.9" customHeight="1" x14ac:dyDescent="0.25">
      <c r="A232" s="846">
        <f>Chem!A232</f>
        <v>230</v>
      </c>
      <c r="B232" s="940" t="str">
        <f>Chem!B232</f>
        <v>Perfluorobutanoic acid (PFBA)</v>
      </c>
      <c r="C232" s="1295" t="str">
        <f>Param!AF232</f>
        <v>no</v>
      </c>
      <c r="D232" s="531">
        <f>Param!M232</f>
        <v>2.0500000000000002E-3</v>
      </c>
      <c r="E232" s="1623" t="str">
        <f>'AR-Det'!F232</f>
        <v>na</v>
      </c>
      <c r="F232" s="1624" t="str">
        <f>IF(OR($C232="no",$D232="na",E232="na",$D232=0),"na",E232/($D232*Eqtn!$D$377))</f>
        <v>na</v>
      </c>
      <c r="G232" s="1622" t="str">
        <f>'AR-Det'!J232</f>
        <v>na</v>
      </c>
      <c r="H232" s="1516" t="str">
        <f>IF(OR($C232="No",$D232="na",G232="na",$D232=0),"na",G232/($D232*Eqtn!$D$377))</f>
        <v>na</v>
      </c>
      <c r="I232" s="1516" t="str">
        <f>'AR-Det'!N232</f>
        <v>na</v>
      </c>
      <c r="J232" s="1516" t="str">
        <f>IF(OR($C232="No",$D232="na",I232="na",$D232=0),"na",I232/($D232*Eqtn!$D$377))</f>
        <v>na</v>
      </c>
      <c r="K232" s="1517" t="s">
        <v>232</v>
      </c>
      <c r="M232" s="1062"/>
    </row>
    <row r="233" spans="1:13" ht="13.9" customHeight="1" x14ac:dyDescent="0.25">
      <c r="A233" s="846">
        <f>Chem!A233</f>
        <v>231</v>
      </c>
      <c r="B233" s="941" t="str">
        <f>Chem!B233</f>
        <v>Perfluorobutanesulfonic acid (PFBS)</v>
      </c>
      <c r="C233" s="1292" t="str">
        <f>Param!AF233</f>
        <v>no</v>
      </c>
      <c r="D233" s="343">
        <f>Param!M233</f>
        <v>1.2100000000000001E-8</v>
      </c>
      <c r="E233" s="627" t="str">
        <f>'AR-Det'!F233</f>
        <v>na</v>
      </c>
      <c r="F233" s="1344" t="str">
        <f>IF(OR($C233="no",$D233="na",E233="na",$D233=0),"na",E233/($D233*Eqtn!$D$377))</f>
        <v>na</v>
      </c>
      <c r="G233" s="306" t="str">
        <f>'AR-Det'!J233</f>
        <v>na</v>
      </c>
      <c r="H233" s="1513" t="str">
        <f>IF(OR($C233="No",$D233="na",G233="na",$D233=0),"na",G233/($D233*Eqtn!$D$377))</f>
        <v>na</v>
      </c>
      <c r="I233" s="1513" t="str">
        <f>'AR-Det'!N233</f>
        <v>na</v>
      </c>
      <c r="J233" s="1513" t="str">
        <f>IF(OR($C233="No",$D233="na",I233="na",$D233=0),"na",I233/($D233*Eqtn!$D$377))</f>
        <v>na</v>
      </c>
      <c r="K233" s="734" t="s">
        <v>232</v>
      </c>
      <c r="M233" s="1062"/>
    </row>
    <row r="234" spans="1:13" ht="13.9" customHeight="1" x14ac:dyDescent="0.25">
      <c r="A234" s="846">
        <f>Chem!A234</f>
        <v>232</v>
      </c>
      <c r="B234" s="941" t="str">
        <f>Chem!B234</f>
        <v>Perfluorodecanoic acid (PFDA)</v>
      </c>
      <c r="C234" s="1292" t="str">
        <f>Param!AF234</f>
        <v>no</v>
      </c>
      <c r="D234" s="343">
        <f>Param!M234</f>
        <v>2.16E-9</v>
      </c>
      <c r="E234" s="627" t="str">
        <f>'AR-Det'!F234</f>
        <v>na</v>
      </c>
      <c r="F234" s="1344" t="str">
        <f>IF(OR($C234="no",$D234="na",E234="na",$D234=0),"na",E234/($D234*Eqtn!$D$377))</f>
        <v>na</v>
      </c>
      <c r="G234" s="306" t="str">
        <f>'AR-Det'!J234</f>
        <v>na</v>
      </c>
      <c r="H234" s="1513" t="str">
        <f>IF(OR($C234="No",$D234="na",G234="na",$D234=0),"na",G234/($D234*Eqtn!$D$377))</f>
        <v>na</v>
      </c>
      <c r="I234" s="1513" t="str">
        <f>'AR-Det'!N234</f>
        <v>na</v>
      </c>
      <c r="J234" s="1513" t="str">
        <f>IF(OR($C234="No",$D234="na",I234="na",$D234=0),"na",I234/($D234*Eqtn!$D$377))</f>
        <v>na</v>
      </c>
      <c r="K234" s="734" t="s">
        <v>232</v>
      </c>
      <c r="M234" s="1062"/>
    </row>
    <row r="235" spans="1:13" ht="13.9" customHeight="1" x14ac:dyDescent="0.25">
      <c r="A235" s="846">
        <f>Chem!A235</f>
        <v>233</v>
      </c>
      <c r="B235" s="941" t="str">
        <f>Chem!B235</f>
        <v>Perfluorohexanoic acid (PFHxA)</v>
      </c>
      <c r="C235" s="1292" t="str">
        <f>Param!AF235</f>
        <v>no</v>
      </c>
      <c r="D235" s="343">
        <f>Param!M235</f>
        <v>9.6099999999999997E-9</v>
      </c>
      <c r="E235" s="627" t="str">
        <f>'AR-Det'!F235</f>
        <v>na</v>
      </c>
      <c r="F235" s="1344" t="str">
        <f>IF(OR($C235="no",$D235="na",E235="na",$D235=0),"na",E235/($D235*Eqtn!$D$377))</f>
        <v>na</v>
      </c>
      <c r="G235" s="306" t="str">
        <f>'AR-Det'!J235</f>
        <v>na</v>
      </c>
      <c r="H235" s="1513" t="str">
        <f>IF(OR($C235="No",$D235="na",G235="na",$D235=0),"na",G235/($D235*Eqtn!$D$377))</f>
        <v>na</v>
      </c>
      <c r="I235" s="1513" t="str">
        <f>'AR-Det'!N235</f>
        <v>na</v>
      </c>
      <c r="J235" s="1513" t="str">
        <f>IF(OR($C235="No",$D235="na",I235="na",$D235=0),"na",I235/($D235*Eqtn!$D$377))</f>
        <v>na</v>
      </c>
      <c r="K235" s="734" t="s">
        <v>232</v>
      </c>
      <c r="M235" s="1062"/>
    </row>
    <row r="236" spans="1:13" ht="13.9" customHeight="1" x14ac:dyDescent="0.25">
      <c r="A236" s="846">
        <f>Chem!A236</f>
        <v>234</v>
      </c>
      <c r="B236" s="941" t="str">
        <f>Chem!B236</f>
        <v>Perfluorohexanesulfonic acid (PFHxS)</v>
      </c>
      <c r="C236" s="1292" t="str">
        <f>Param!AF236</f>
        <v>no</v>
      </c>
      <c r="D236" s="343">
        <f>Param!M236</f>
        <v>0</v>
      </c>
      <c r="E236" s="627" t="str">
        <f>'AR-Det'!F236</f>
        <v>na</v>
      </c>
      <c r="F236" s="1344" t="str">
        <f>IF(OR($C236="no",$D236="na",E236="na",$D236=0),"na",E236/($D236*Eqtn!$D$377))</f>
        <v>na</v>
      </c>
      <c r="G236" s="306" t="str">
        <f>'AR-Det'!J236</f>
        <v>na</v>
      </c>
      <c r="H236" s="1513" t="str">
        <f>IF(OR($C236="No",$D236="na",G236="na",$D236=0),"na",G236/($D236*Eqtn!$D$377))</f>
        <v>na</v>
      </c>
      <c r="I236" s="1513" t="str">
        <f>'AR-Det'!N236</f>
        <v>na</v>
      </c>
      <c r="J236" s="1513" t="str">
        <f>IF(OR($C236="No",$D236="na",I236="na",$D236=0),"na",I236/($D236*Eqtn!$D$377))</f>
        <v>na</v>
      </c>
      <c r="K236" s="734" t="s">
        <v>232</v>
      </c>
      <c r="M236" s="1062"/>
    </row>
    <row r="237" spans="1:13" ht="13.9" customHeight="1" x14ac:dyDescent="0.25">
      <c r="A237" s="846">
        <f>Chem!A237</f>
        <v>235</v>
      </c>
      <c r="B237" s="941" t="str">
        <f>Chem!B237</f>
        <v>Perfluorononanoic acid (PFNA)</v>
      </c>
      <c r="C237" s="1292" t="str">
        <f>Param!AF237</f>
        <v>no</v>
      </c>
      <c r="D237" s="343">
        <f>Param!M237</f>
        <v>0</v>
      </c>
      <c r="E237" s="627" t="str">
        <f>'AR-Det'!F237</f>
        <v>na</v>
      </c>
      <c r="F237" s="1344" t="str">
        <f>IF(OR($C237="no",$D237="na",E237="na",$D237=0),"na",E237/($D237*Eqtn!$D$377))</f>
        <v>na</v>
      </c>
      <c r="G237" s="306" t="str">
        <f>'AR-Det'!J237</f>
        <v>na</v>
      </c>
      <c r="H237" s="1513" t="str">
        <f>IF(OR($C237="No",$D237="na",G237="na",$D237=0),"na",G237/($D237*Eqtn!$D$377))</f>
        <v>na</v>
      </c>
      <c r="I237" s="1513" t="str">
        <f>'AR-Det'!N237</f>
        <v>na</v>
      </c>
      <c r="J237" s="1513" t="str">
        <f>IF(OR($C237="No",$D237="na",I237="na",$D237=0),"na",I237/($D237*Eqtn!$D$377))</f>
        <v>na</v>
      </c>
      <c r="K237" s="734" t="s">
        <v>232</v>
      </c>
      <c r="M237" s="1062"/>
    </row>
    <row r="238" spans="1:13" ht="13.9" customHeight="1" x14ac:dyDescent="0.25">
      <c r="A238" s="846">
        <f>Chem!A238</f>
        <v>236</v>
      </c>
      <c r="B238" s="941" t="str">
        <f>Chem!B238</f>
        <v>Perfluorooctanesulfonic acid (PFOS)</v>
      </c>
      <c r="C238" s="1292" t="str">
        <f>Param!AF238</f>
        <v>no</v>
      </c>
      <c r="D238" s="343">
        <f>Param!M238</f>
        <v>1.77432542927228E-5</v>
      </c>
      <c r="E238" s="627" t="str">
        <f>'AR-Det'!F238</f>
        <v>na</v>
      </c>
      <c r="F238" s="1344" t="str">
        <f>IF(OR($C238="no",$D238="na",E238="na",$D238=0),"na",E238/($D238*Eqtn!$D$377))</f>
        <v>na</v>
      </c>
      <c r="G238" s="306" t="str">
        <f>'AR-Det'!J238</f>
        <v>na</v>
      </c>
      <c r="H238" s="1513" t="str">
        <f>IF(OR($C238="No",$D238="na",G238="na",$D238=0),"na",G238/($D238*Eqtn!$D$377))</f>
        <v>na</v>
      </c>
      <c r="I238" s="1513" t="str">
        <f>'AR-Det'!N238</f>
        <v>na</v>
      </c>
      <c r="J238" s="1513" t="str">
        <f>IF(OR($C238="No",$D238="na",I238="na",$D238=0),"na",I238/($D238*Eqtn!$D$377))</f>
        <v>na</v>
      </c>
      <c r="K238" s="734" t="s">
        <v>232</v>
      </c>
      <c r="M238" s="1062"/>
    </row>
    <row r="239" spans="1:13" ht="13.9" customHeight="1" x14ac:dyDescent="0.25">
      <c r="A239" s="1661">
        <f>Chem!A239</f>
        <v>237</v>
      </c>
      <c r="B239" s="1148" t="str">
        <f>Chem!B239</f>
        <v>Perfluorooctanoic acid (PFOA)</v>
      </c>
      <c r="C239" s="1296" t="str">
        <f>Param!AF239</f>
        <v>no</v>
      </c>
      <c r="D239" s="533">
        <f>Param!M239</f>
        <v>1.4603399999999999E-4</v>
      </c>
      <c r="E239" s="1345" t="str">
        <f>'AR-Det'!F239</f>
        <v>na</v>
      </c>
      <c r="F239" s="1346" t="str">
        <f>IF(OR($C239="no",$D239="na",E239="na",$D239=0),"na",E239/($D239*Eqtn!$D$377))</f>
        <v>na</v>
      </c>
      <c r="G239" s="1347" t="str">
        <f>'AR-Det'!J239</f>
        <v>na</v>
      </c>
      <c r="H239" s="1552" t="str">
        <f>IF(OR($C239="No",$D239="na",G239="na",$D239=0),"na",G239/($D239*Eqtn!$D$377))</f>
        <v>na</v>
      </c>
      <c r="I239" s="1552" t="str">
        <f>'AR-Det'!N239</f>
        <v>na</v>
      </c>
      <c r="J239" s="1552" t="str">
        <f>IF(OR($C239="No",$D239="na",I239="na",$D239=0),"na",I239/($D239*Eqtn!$D$377))</f>
        <v>na</v>
      </c>
      <c r="K239" s="1553" t="s">
        <v>232</v>
      </c>
      <c r="M239" s="1062"/>
    </row>
    <row r="240" spans="1:13" ht="13.9" customHeight="1" x14ac:dyDescent="0.25">
      <c r="A240" s="1197">
        <f>Chem!A240</f>
        <v>238</v>
      </c>
      <c r="B240" s="943" t="str">
        <f>Chem!B240</f>
        <v>Petroleum Hydrocarbons</v>
      </c>
      <c r="C240" s="2345"/>
      <c r="D240" s="259"/>
      <c r="E240" s="127"/>
      <c r="F240" s="44"/>
      <c r="G240" s="127"/>
      <c r="H240" s="44"/>
      <c r="I240" s="44"/>
      <c r="J240" s="44"/>
      <c r="K240" s="55"/>
      <c r="M240" s="1063"/>
    </row>
    <row r="241" spans="1:13" ht="13.9" customHeight="1" x14ac:dyDescent="0.25">
      <c r="A241" s="846">
        <f>Chem!A241</f>
        <v>239</v>
      </c>
      <c r="B241" s="941" t="str">
        <f>Chem!B241</f>
        <v>Gasoline range hydrocarbons, fresh</v>
      </c>
      <c r="C241" s="1284" t="str">
        <f>Param!AF241</f>
        <v>YES</v>
      </c>
      <c r="D241" s="396">
        <f>Param!M241</f>
        <v>0</v>
      </c>
      <c r="E241" s="627">
        <f>'AR-Det'!F241</f>
        <v>46</v>
      </c>
      <c r="F241" s="628" t="str">
        <f>IF(OR($C241="no",$D241="na",E241="na",$D241=0),"na",E241/($D241*Eqtn!$D$377))</f>
        <v>na</v>
      </c>
      <c r="G241" s="306">
        <f>'AR-Det'!J241</f>
        <v>46</v>
      </c>
      <c r="H241" s="1509" t="str">
        <f>IF(OR($C241="No",$D241="na",G241="na",$D241=0),"na",G241/($D241*Eqtn!$D$377))</f>
        <v>na</v>
      </c>
      <c r="I241" s="1516">
        <f>'AR-Det'!N241</f>
        <v>390</v>
      </c>
      <c r="J241" s="1534" t="str">
        <f>IF(OR($C241="No",$D241="na",I241="na",$D241=0),"na",I241/($D241*Eqtn!$D$377))</f>
        <v>na</v>
      </c>
      <c r="K241" s="1517" t="s">
        <v>232</v>
      </c>
      <c r="M241" s="1062"/>
    </row>
    <row r="242" spans="1:13" ht="13.9" customHeight="1" x14ac:dyDescent="0.25">
      <c r="A242" s="846">
        <f>Chem!A242</f>
        <v>240</v>
      </c>
      <c r="B242" s="941" t="str">
        <f>Chem!B242</f>
        <v>Gasoline range hydrocarbons, weathered</v>
      </c>
      <c r="C242" s="1284" t="str">
        <f>Param!AF242</f>
        <v>YES</v>
      </c>
      <c r="D242" s="1320">
        <f>Param!M242</f>
        <v>0</v>
      </c>
      <c r="E242" s="627">
        <f>'AR-Det'!F242</f>
        <v>46</v>
      </c>
      <c r="F242" s="628" t="str">
        <f>IF(OR($C242="no",$D242="na",E242="na",$D242=0),"na",E242/($D242*Eqtn!$D$377))</f>
        <v>na</v>
      </c>
      <c r="G242" s="306">
        <f>'AR-Det'!J242</f>
        <v>46</v>
      </c>
      <c r="H242" s="1509" t="str">
        <f>IF(OR($C242="No",$D242="na",G242="na",$D242=0),"na",G242/($D242*Eqtn!$D$377))</f>
        <v>na</v>
      </c>
      <c r="I242" s="1513">
        <f>'AR-Det'!N242</f>
        <v>390</v>
      </c>
      <c r="J242" s="1509" t="str">
        <f>IF(OR($C242="No",$D242="na",I242="na",$D242=0),"na",I242/($D242*Eqtn!$D$377))</f>
        <v>na</v>
      </c>
      <c r="K242" s="734" t="s">
        <v>232</v>
      </c>
      <c r="M242" s="1062"/>
    </row>
    <row r="243" spans="1:13" ht="13.9" customHeight="1" x14ac:dyDescent="0.25">
      <c r="A243" s="846">
        <f>Chem!A243</f>
        <v>241</v>
      </c>
      <c r="B243" s="941" t="str">
        <f>Chem!B243</f>
        <v>Diesel range hydrocarbons, fresh</v>
      </c>
      <c r="C243" s="1282" t="str">
        <f>Param!AF243</f>
        <v>no</v>
      </c>
      <c r="D243" s="397">
        <f>Param!M243</f>
        <v>0</v>
      </c>
      <c r="E243" s="627">
        <f>'AR-Det'!F243</f>
        <v>46</v>
      </c>
      <c r="F243" s="628" t="str">
        <f>IF(OR($C243="no",$D243="na",E243="na",$D243=0),"na",E243/($D243*Eqtn!$D$377))</f>
        <v>na</v>
      </c>
      <c r="G243" s="306">
        <f>'AR-Det'!J243</f>
        <v>46</v>
      </c>
      <c r="H243" s="1509" t="str">
        <f>IF(OR($C243="No",$D243="na",G243="na",$D243=0),"na",G243/($D243*Eqtn!$D$377))</f>
        <v>na</v>
      </c>
      <c r="I243" s="1513">
        <f>'AR-Det'!N243</f>
        <v>390</v>
      </c>
      <c r="J243" s="1509" t="str">
        <f>IF(OR($C243="No",$D243="na",I243="na",$D243=0),"na",I243/($D243*Eqtn!$D$377))</f>
        <v>na</v>
      </c>
      <c r="K243" s="734" t="s">
        <v>232</v>
      </c>
      <c r="M243" s="1062"/>
    </row>
    <row r="244" spans="1:13" ht="13.9" customHeight="1" x14ac:dyDescent="0.25">
      <c r="A244" s="846">
        <f>Chem!A244</f>
        <v>242</v>
      </c>
      <c r="B244" s="941" t="str">
        <f>Chem!B244</f>
        <v>Diesel range hydrocarbons, weathered</v>
      </c>
      <c r="C244" s="1282" t="str">
        <f>Param!AF244</f>
        <v>no</v>
      </c>
      <c r="D244" s="397">
        <f>Param!M244</f>
        <v>0</v>
      </c>
      <c r="E244" s="627">
        <f>'AR-Det'!F244</f>
        <v>46</v>
      </c>
      <c r="F244" s="628" t="str">
        <f>IF(OR($C244="no",$D244="na",E244="na",$D244=0),"na",E244/($D244*Eqtn!$D$377))</f>
        <v>na</v>
      </c>
      <c r="G244" s="306">
        <f>'AR-Det'!J244</f>
        <v>46</v>
      </c>
      <c r="H244" s="1509" t="str">
        <f>IF(OR($C244="No",$D244="na",G244="na",$D244=0),"na",G244/($D244*Eqtn!$D$377))</f>
        <v>na</v>
      </c>
      <c r="I244" s="1513">
        <f>'AR-Det'!N244</f>
        <v>390</v>
      </c>
      <c r="J244" s="1509" t="str">
        <f>IF(OR($C244="No",$D244="na",I244="na",$D244=0),"na",I244/($D244*Eqtn!$D$377))</f>
        <v>na</v>
      </c>
      <c r="K244" s="734" t="s">
        <v>232</v>
      </c>
      <c r="M244" s="1062"/>
    </row>
    <row r="245" spans="1:13" ht="13.9" customHeight="1" x14ac:dyDescent="0.25">
      <c r="A245" s="846">
        <f>Chem!A245</f>
        <v>243</v>
      </c>
      <c r="B245" s="942" t="str">
        <f>Chem!B245</f>
        <v>Oil range hydrocarbons</v>
      </c>
      <c r="C245" s="1283" t="str">
        <f>Param!AF245</f>
        <v>no</v>
      </c>
      <c r="D245" s="397">
        <f>Param!M245</f>
        <v>0</v>
      </c>
      <c r="E245" s="627" t="str">
        <f>'AR-Det'!F245</f>
        <v>na</v>
      </c>
      <c r="F245" s="628" t="str">
        <f>IF(OR($C245="no",$D245="na",E245="na",$D245=0),"na",E245/($D245*Eqtn!$D$377))</f>
        <v>na</v>
      </c>
      <c r="G245" s="306" t="str">
        <f>'AR-Det'!J245</f>
        <v>na</v>
      </c>
      <c r="H245" s="1509" t="str">
        <f>IF(OR($C245="No",$D245="na",G245="na",$D245=0),"na",G245/($D245*Eqtn!$D$377))</f>
        <v>na</v>
      </c>
      <c r="I245" s="1513" t="str">
        <f>'AR-Det'!N245</f>
        <v>na</v>
      </c>
      <c r="J245" s="1509" t="str">
        <f>IF(OR($C245="No",$D245="na",I245="na",$D245=0),"na",I245/($D245*Eqtn!$D$377))</f>
        <v>na</v>
      </c>
      <c r="K245" s="734" t="s">
        <v>232</v>
      </c>
      <c r="M245" s="1062"/>
    </row>
    <row r="246" spans="1:13" ht="13.9" customHeight="1" x14ac:dyDescent="0.25">
      <c r="A246" s="1661">
        <f>Chem!A246</f>
        <v>244</v>
      </c>
      <c r="B246" s="942" t="str">
        <f>Chem!B246</f>
        <v>Total diesel &amp; oil range hydrocarbons</v>
      </c>
      <c r="C246" s="1283" t="str">
        <f>Param!AF246</f>
        <v>no</v>
      </c>
      <c r="D246" s="397">
        <f>Param!M246</f>
        <v>0</v>
      </c>
      <c r="E246" s="627" t="str">
        <f>'AR-Det'!F246</f>
        <v>na</v>
      </c>
      <c r="F246" s="628" t="str">
        <f>IF(OR($C246="no",$D246="na",E246="na",$D246=0),"na",E246/($D246*Eqtn!$D$377))</f>
        <v>na</v>
      </c>
      <c r="G246" s="306" t="str">
        <f>'AR-Det'!J246</f>
        <v>na</v>
      </c>
      <c r="H246" s="1509" t="str">
        <f>IF(OR($C246="No",$D246="na",G246="na",$D246=0),"na",G246/($D246*Eqtn!$D$377))</f>
        <v>na</v>
      </c>
      <c r="I246" s="1515" t="str">
        <f>'AR-Det'!N246</f>
        <v>na</v>
      </c>
      <c r="J246" s="1510" t="str">
        <f>IF(OR($C246="No",$D246="na",I246="na",$D246=0),"na",I246/($D246*Eqtn!$D$377))</f>
        <v>na</v>
      </c>
      <c r="K246" s="736" t="s">
        <v>232</v>
      </c>
      <c r="M246" s="1062"/>
    </row>
    <row r="247" spans="1:13" ht="13.9" customHeight="1" x14ac:dyDescent="0.25">
      <c r="A247" s="1197">
        <f>Chem!A247</f>
        <v>245</v>
      </c>
      <c r="B247" s="943" t="str">
        <f>Chem!B247</f>
        <v>Pesticides</v>
      </c>
      <c r="C247" s="2345"/>
      <c r="D247" s="259"/>
      <c r="E247" s="127"/>
      <c r="F247" s="44"/>
      <c r="G247" s="127"/>
      <c r="H247" s="44"/>
      <c r="I247" s="44"/>
      <c r="J247" s="44"/>
      <c r="K247" s="55"/>
      <c r="M247" s="1063"/>
    </row>
    <row r="248" spans="1:13" ht="13.9" customHeight="1" x14ac:dyDescent="0.25">
      <c r="A248" s="846">
        <f>Chem!A248</f>
        <v>246</v>
      </c>
      <c r="B248" s="940" t="str">
        <f>Chem!B248</f>
        <v>Aldrin</v>
      </c>
      <c r="C248" s="1284" t="str">
        <f>Param!AF248</f>
        <v>no</v>
      </c>
      <c r="D248" s="396">
        <f>Param!M248</f>
        <v>8.0803289362288205E-5</v>
      </c>
      <c r="E248" s="627">
        <f>'AR-Det'!F248</f>
        <v>5.10204081632653E-4</v>
      </c>
      <c r="F248" s="628" t="str">
        <f>IF(OR($C248="no",$D248="na",E248="na",$D248=0),"na",E248/($D248*Eqtn!$D$377))</f>
        <v>na</v>
      </c>
      <c r="G248" s="306">
        <f>'AR-Det'!J248</f>
        <v>5.1020408163265319E-3</v>
      </c>
      <c r="H248" s="1509" t="str">
        <f>IF(OR($C248="No",$D248="na",G248="na",$D248=0),"na",G248/($D248*Eqtn!$D$377))</f>
        <v>na</v>
      </c>
      <c r="I248" s="1516">
        <f>'AR-Det'!N248</f>
        <v>2.3836734693877546E-3</v>
      </c>
      <c r="J248" s="1534" t="str">
        <f>IF(OR($C248="No",$D248="na",I248="na",$D248=0),"na",I248/($D248*Eqtn!$D$377))</f>
        <v>na</v>
      </c>
      <c r="K248" s="1517" t="s">
        <v>232</v>
      </c>
      <c r="M248" s="1062"/>
    </row>
    <row r="249" spans="1:13" ht="13.9" customHeight="1" x14ac:dyDescent="0.25">
      <c r="A249" s="846">
        <f>Chem!A249</f>
        <v>247</v>
      </c>
      <c r="B249" s="941" t="str">
        <f>Chem!B249</f>
        <v>alpha-BHC (alpha-HCH)</v>
      </c>
      <c r="C249" s="1284" t="str">
        <f>Param!AF249</f>
        <v>no</v>
      </c>
      <c r="D249" s="531">
        <f>Param!M249</f>
        <v>2.7391659852820901E-4</v>
      </c>
      <c r="E249" s="627">
        <f>'AR-Det'!F249</f>
        <v>1.3888888888888887E-3</v>
      </c>
      <c r="F249" s="628" t="str">
        <f>IF(OR($C249="no",$D249="na",E249="na",$D249=0),"na",E249/($D249*Eqtn!$D$377))</f>
        <v>na</v>
      </c>
      <c r="G249" s="306">
        <f>'AR-Det'!J249</f>
        <v>1.388888888888889E-2</v>
      </c>
      <c r="H249" s="1509" t="str">
        <f>IF(OR($C249="No",$D249="na",G249="na",$D249=0),"na",G249/($D249*Eqtn!$D$377))</f>
        <v>na</v>
      </c>
      <c r="I249" s="1513">
        <f>'AR-Det'!N249</f>
        <v>6.4888888888888869E-3</v>
      </c>
      <c r="J249" s="1509" t="str">
        <f>IF(OR($C249="No",$D249="na",I249="na",$D249=0),"na",I249/($D249*Eqtn!$D$377))</f>
        <v>na</v>
      </c>
      <c r="K249" s="734" t="s">
        <v>232</v>
      </c>
      <c r="M249" s="1062"/>
    </row>
    <row r="250" spans="1:13" ht="13.9" customHeight="1" x14ac:dyDescent="0.25">
      <c r="A250" s="846">
        <f>Chem!A250</f>
        <v>248</v>
      </c>
      <c r="B250" s="941" t="str">
        <f>Chem!B250</f>
        <v>beta-BHC (beta-HCH)</v>
      </c>
      <c r="C250" s="1282" t="str">
        <f>Param!AF250</f>
        <v>no</v>
      </c>
      <c r="D250" s="343">
        <f>Param!M250</f>
        <v>1.7988552739166E-5</v>
      </c>
      <c r="E250" s="627">
        <f>'AR-Det'!F250</f>
        <v>4.7169811320754715E-3</v>
      </c>
      <c r="F250" s="628" t="str">
        <f>IF(OR($C250="no",$D250="na",E250="na",$D250=0),"na",E250/($D250*Eqtn!$D$377))</f>
        <v>na</v>
      </c>
      <c r="G250" s="306">
        <f>'AR-Det'!J250</f>
        <v>4.716981132075472E-2</v>
      </c>
      <c r="H250" s="1509" t="str">
        <f>IF(OR($C250="No",$D250="na",G250="na",$D250=0),"na",G250/($D250*Eqtn!$D$377))</f>
        <v>na</v>
      </c>
      <c r="I250" s="1513">
        <f>'AR-Det'!N250</f>
        <v>2.2037735849056595E-2</v>
      </c>
      <c r="J250" s="1509" t="str">
        <f>IF(OR($C250="No",$D250="na",I250="na",$D250=0),"na",I250/($D250*Eqtn!$D$377))</f>
        <v>na</v>
      </c>
      <c r="K250" s="734" t="s">
        <v>232</v>
      </c>
      <c r="M250" s="1062"/>
    </row>
    <row r="251" spans="1:13" ht="13.9" customHeight="1" x14ac:dyDescent="0.25">
      <c r="A251" s="846">
        <f>Chem!A251</f>
        <v>249</v>
      </c>
      <c r="B251" s="941" t="str">
        <f>Chem!B251</f>
        <v>delta-BHC (delta-HCH)</v>
      </c>
      <c r="C251" s="1282" t="str">
        <f>Param!AF251</f>
        <v>no</v>
      </c>
      <c r="D251" s="343">
        <f>Param!M251</f>
        <v>2.1000000000000001E-4</v>
      </c>
      <c r="E251" s="627" t="str">
        <f>'AR-Det'!F251</f>
        <v>na</v>
      </c>
      <c r="F251" s="628" t="str">
        <f>IF(OR($C251="no",$D251="na",E251="na",$D251=0),"na",E251/($D251*Eqtn!$D$377))</f>
        <v>na</v>
      </c>
      <c r="G251" s="306" t="str">
        <f>'AR-Det'!J251</f>
        <v>na</v>
      </c>
      <c r="H251" s="1509" t="str">
        <f>IF(OR($C251="No",$D251="na",G251="na",$D251=0),"na",G251/($D251*Eqtn!$D$377))</f>
        <v>na</v>
      </c>
      <c r="I251" s="1513" t="str">
        <f>'AR-Det'!N251</f>
        <v>na</v>
      </c>
      <c r="J251" s="1509" t="str">
        <f>IF(OR($C251="No",$D251="na",I251="na",$D251=0),"na",I251/($D251*Eqtn!$D$377))</f>
        <v>na</v>
      </c>
      <c r="K251" s="734" t="s">
        <v>232</v>
      </c>
      <c r="M251" s="1062"/>
    </row>
    <row r="252" spans="1:13" ht="13.9" customHeight="1" x14ac:dyDescent="0.25">
      <c r="A252" s="846">
        <f>Chem!A252</f>
        <v>250</v>
      </c>
      <c r="B252" s="941" t="str">
        <f>Chem!B252</f>
        <v>Carbaryl</v>
      </c>
      <c r="C252" s="1282" t="str">
        <f>Param!AF252</f>
        <v>no</v>
      </c>
      <c r="D252" s="343">
        <f>Param!M252</f>
        <v>1.3368765331152899E-7</v>
      </c>
      <c r="E252" s="627" t="str">
        <f>'AR-Det'!F252</f>
        <v>na</v>
      </c>
      <c r="F252" s="628" t="str">
        <f>IF(OR($C252="no",$D252="na",E252="na",$D252=0),"na",E252/($D252*Eqtn!$D$377))</f>
        <v>na</v>
      </c>
      <c r="G252" s="306" t="str">
        <f>'AR-Det'!J252</f>
        <v>na</v>
      </c>
      <c r="H252" s="1509" t="str">
        <f>IF(OR($C252="No",$D252="na",G252="na",$D252=0),"na",G252/($D252*Eqtn!$D$377))</f>
        <v>na</v>
      </c>
      <c r="I252" s="1513" t="str">
        <f>'AR-Det'!N252</f>
        <v>na</v>
      </c>
      <c r="J252" s="1509" t="str">
        <f>IF(OR($C252="No",$D252="na",I252="na",$D252=0),"na",I252/($D252*Eqtn!$D$377))</f>
        <v>na</v>
      </c>
      <c r="K252" s="716" t="s">
        <v>232</v>
      </c>
      <c r="M252" s="1062"/>
    </row>
    <row r="253" spans="1:13" ht="13.9" customHeight="1" x14ac:dyDescent="0.25">
      <c r="A253" s="846">
        <f>Chem!A253</f>
        <v>251</v>
      </c>
      <c r="B253" s="941" t="str">
        <f>Chem!B253</f>
        <v>cis-Chlordane (alpha)</v>
      </c>
      <c r="C253" s="1282" t="str">
        <f>Param!AF253</f>
        <v>no</v>
      </c>
      <c r="D253" s="343">
        <f>Param!M253</f>
        <v>1.9869174161896998E-3</v>
      </c>
      <c r="E253" s="627" t="str">
        <f>'AR-Det'!F253</f>
        <v>na</v>
      </c>
      <c r="F253" s="628" t="str">
        <f>IF(OR($C253="no",$D253="na",E253="na",$D253=0),"na",E253/($D253*Eqtn!$D$377))</f>
        <v>na</v>
      </c>
      <c r="G253" s="306" t="str">
        <f>'AR-Det'!J253</f>
        <v>na</v>
      </c>
      <c r="H253" s="1509" t="str">
        <f>IF(OR($C253="No",$D253="na",G253="na",$D253=0),"na",G253/($D253*Eqtn!$D$377))</f>
        <v>na</v>
      </c>
      <c r="I253" s="1513" t="str">
        <f>'AR-Det'!N253</f>
        <v>na</v>
      </c>
      <c r="J253" s="1509" t="str">
        <f>IF(OR($C253="No",$D253="na",I253="na",$D253=0),"na",I253/($D253*Eqtn!$D$377))</f>
        <v>na</v>
      </c>
      <c r="K253" s="734" t="s">
        <v>232</v>
      </c>
      <c r="M253" s="1062"/>
    </row>
    <row r="254" spans="1:13" ht="13.9" customHeight="1" x14ac:dyDescent="0.25">
      <c r="A254" s="846">
        <f>Chem!A254</f>
        <v>252</v>
      </c>
      <c r="B254" s="941" t="str">
        <f>Chem!B254</f>
        <v>trans-Chlordane (gamma)</v>
      </c>
      <c r="C254" s="1282" t="str">
        <f>Param!AF254</f>
        <v>no</v>
      </c>
      <c r="D254" s="343">
        <f>Param!M254</f>
        <v>1.9869174161896998E-3</v>
      </c>
      <c r="E254" s="627" t="str">
        <f>'AR-Det'!F254</f>
        <v>na</v>
      </c>
      <c r="F254" s="628" t="str">
        <f>IF(OR($C254="no",$D254="na",E254="na",$D254=0),"na",E254/($D254*Eqtn!$D$377))</f>
        <v>na</v>
      </c>
      <c r="G254" s="306" t="str">
        <f>'AR-Det'!J254</f>
        <v>na</v>
      </c>
      <c r="H254" s="1509" t="str">
        <f>IF(OR($C254="No",$D254="na",G254="na",$D254=0),"na",G254/($D254*Eqtn!$D$377))</f>
        <v>na</v>
      </c>
      <c r="I254" s="1513" t="str">
        <f>'AR-Det'!N254</f>
        <v>na</v>
      </c>
      <c r="J254" s="1509" t="str">
        <f>IF(OR($C254="No",$D254="na",I254="na",$D254=0),"na",I254/($D254*Eqtn!$D$377))</f>
        <v>na</v>
      </c>
      <c r="K254" s="734" t="s">
        <v>232</v>
      </c>
      <c r="M254" s="1062"/>
    </row>
    <row r="255" spans="1:13" ht="13.9" customHeight="1" x14ac:dyDescent="0.25">
      <c r="A255" s="846">
        <f>Chem!A255</f>
        <v>253</v>
      </c>
      <c r="B255" s="941" t="str">
        <f>Chem!B255</f>
        <v>Chlordane</v>
      </c>
      <c r="C255" s="1282" t="str">
        <f>Param!AF255</f>
        <v>no</v>
      </c>
      <c r="D255" s="343">
        <f>Param!M255</f>
        <v>2.0096832107777726E-4</v>
      </c>
      <c r="E255" s="602">
        <f>'AR-Det'!F255</f>
        <v>2.4999999999999994E-2</v>
      </c>
      <c r="F255" s="628" t="str">
        <f>IF(OR($C255="no",$D255="na",E255="na",$D255=0),"na",E255/($D255*Eqtn!$D$377))</f>
        <v>na</v>
      </c>
      <c r="G255" s="17">
        <f>'AR-Det'!J255</f>
        <v>0.25</v>
      </c>
      <c r="H255" s="1509" t="str">
        <f>IF(OR($C255="No",$D255="na",G255="na",$D255=0),"na",G255/($D255*Eqtn!$D$377))</f>
        <v>na</v>
      </c>
      <c r="I255" s="1513">
        <f>'AR-Det'!N255</f>
        <v>0.11679999999999995</v>
      </c>
      <c r="J255" s="1509" t="str">
        <f>IF(OR($C255="No",$D255="na",I255="na",$D255=0),"na",I255/($D255*Eqtn!$D$377))</f>
        <v>na</v>
      </c>
      <c r="K255" s="734" t="s">
        <v>232</v>
      </c>
      <c r="M255" s="1062"/>
    </row>
    <row r="256" spans="1:13" ht="13.9" customHeight="1" x14ac:dyDescent="0.25">
      <c r="A256" s="846">
        <f>Chem!A256</f>
        <v>254</v>
      </c>
      <c r="B256" s="941" t="str">
        <f>Chem!B256</f>
        <v>Chlorpyrifos</v>
      </c>
      <c r="C256" s="1282" t="str">
        <f>Param!AF256</f>
        <v>no</v>
      </c>
      <c r="D256" s="343">
        <f>Param!M256</f>
        <v>1.1978740801308301E-4</v>
      </c>
      <c r="E256" s="627" t="str">
        <f>'AR-Det'!F256</f>
        <v>na</v>
      </c>
      <c r="F256" s="628" t="str">
        <f>IF(OR($C256="no",$D256="na",E256="na",$D256=0),"na",E256/($D256*Eqtn!$D$377))</f>
        <v>na</v>
      </c>
      <c r="G256" s="306" t="str">
        <f>'AR-Det'!J256</f>
        <v>na</v>
      </c>
      <c r="H256" s="1509" t="str">
        <f>IF(OR($C256="No",$D256="na",G256="na",$D256=0),"na",G256/($D256*Eqtn!$D$377))</f>
        <v>na</v>
      </c>
      <c r="I256" s="1513" t="str">
        <f>'AR-Det'!N256</f>
        <v>na</v>
      </c>
      <c r="J256" s="1509" t="str">
        <f>IF(OR($C256="No",$D256="na",I256="na",$D256=0),"na",I256/($D256*Eqtn!$D$377))</f>
        <v>na</v>
      </c>
      <c r="K256" s="734" t="s">
        <v>232</v>
      </c>
      <c r="M256" s="1062"/>
    </row>
    <row r="257" spans="1:13" ht="13.9" customHeight="1" x14ac:dyDescent="0.25">
      <c r="A257" s="846">
        <f>Chem!A257</f>
        <v>255</v>
      </c>
      <c r="B257" s="941" t="str">
        <f>Chem!B257</f>
        <v>4,4'-DDD</v>
      </c>
      <c r="C257" s="1282" t="str">
        <f>Param!AF257</f>
        <v>no</v>
      </c>
      <c r="D257" s="343">
        <f>Param!M257</f>
        <v>2.6982829108749E-4</v>
      </c>
      <c r="E257" s="627">
        <f>'AR-Det'!F257</f>
        <v>3.6231884057971009E-2</v>
      </c>
      <c r="F257" s="628" t="str">
        <f>IF(OR($C257="no",$D257="na",E257="na",$D257=0),"na",E257/($D257*Eqtn!$D$377))</f>
        <v>na</v>
      </c>
      <c r="G257" s="306">
        <f>'AR-Det'!J257</f>
        <v>0.3623188405797102</v>
      </c>
      <c r="H257" s="1509" t="str">
        <f>IF(OR($C257="No",$D257="na",G257="na",$D257=0),"na",G257/($D257*Eqtn!$D$377))</f>
        <v>na</v>
      </c>
      <c r="I257" s="1513">
        <f>'AR-Det'!N257</f>
        <v>0.16927536231884052</v>
      </c>
      <c r="J257" s="1509" t="str">
        <f>IF(OR($C257="No",$D257="na",I257="na",$D257=0),"na",I257/($D257*Eqtn!$D$377))</f>
        <v>na</v>
      </c>
      <c r="K257" s="734" t="s">
        <v>232</v>
      </c>
      <c r="M257" s="1062"/>
    </row>
    <row r="258" spans="1:13" ht="13.9" customHeight="1" x14ac:dyDescent="0.25">
      <c r="A258" s="846">
        <f>Chem!A258</f>
        <v>256</v>
      </c>
      <c r="B258" s="941" t="str">
        <f>Chem!B258</f>
        <v>4,4'-DDE</v>
      </c>
      <c r="C258" s="1282" t="str">
        <f>Param!AF258</f>
        <v>no</v>
      </c>
      <c r="D258" s="343">
        <f>Param!M258</f>
        <v>4.3876594647787034E-4</v>
      </c>
      <c r="E258" s="627">
        <f>'AR-Det'!F258</f>
        <v>2.5773195876288655E-2</v>
      </c>
      <c r="F258" s="628" t="str">
        <f>IF(OR($C258="no",$D258="na",E258="na",$D258=0),"na",E258/($D258*Eqtn!$D$377))</f>
        <v>na</v>
      </c>
      <c r="G258" s="306">
        <f>'AR-Det'!J258</f>
        <v>0.25773195876288663</v>
      </c>
      <c r="H258" s="1509" t="str">
        <f>IF(OR($C258="No",$D258="na",G258="na",$D258=0),"na",G258/($D258*Eqtn!$D$377))</f>
        <v>na</v>
      </c>
      <c r="I258" s="1513">
        <f>'AR-Det'!N258</f>
        <v>0.12041237113402056</v>
      </c>
      <c r="J258" s="1509" t="str">
        <f>IF(OR($C258="No",$D258="na",I258="na",$D258=0),"na",I258/($D258*Eqtn!$D$377))</f>
        <v>na</v>
      </c>
      <c r="K258" s="734" t="s">
        <v>232</v>
      </c>
      <c r="M258" s="1062"/>
    </row>
    <row r="259" spans="1:13" ht="13.9" customHeight="1" x14ac:dyDescent="0.25">
      <c r="A259" s="846">
        <f>Chem!A259</f>
        <v>257</v>
      </c>
      <c r="B259" s="941" t="str">
        <f>Chem!B259</f>
        <v>4,4'-DDT</v>
      </c>
      <c r="C259" s="1282" t="str">
        <f>Param!AF259</f>
        <v>no</v>
      </c>
      <c r="D259" s="343">
        <f>Param!M259</f>
        <v>1.2769125405958403E-4</v>
      </c>
      <c r="E259" s="627">
        <f>'AR-Det'!F259</f>
        <v>2.5773195876288655E-2</v>
      </c>
      <c r="F259" s="628" t="str">
        <f>IF(OR($C259="no",$D259="na",E259="na",$D259=0),"na",E259/($D259*Eqtn!$D$377))</f>
        <v>na</v>
      </c>
      <c r="G259" s="306">
        <f>'AR-Det'!J259</f>
        <v>0.25773195876288663</v>
      </c>
      <c r="H259" s="1509" t="str">
        <f>IF(OR($C259="No",$D259="na",G259="na",$D259=0),"na",G259/($D259*Eqtn!$D$377))</f>
        <v>na</v>
      </c>
      <c r="I259" s="1513">
        <f>'AR-Det'!N259</f>
        <v>0.12041237113402056</v>
      </c>
      <c r="J259" s="1509" t="str">
        <f>IF(OR($C259="No",$D259="na",I259="na",$D259=0),"na",I259/($D259*Eqtn!$D$377))</f>
        <v>na</v>
      </c>
      <c r="K259" s="734" t="s">
        <v>232</v>
      </c>
      <c r="M259" s="1062"/>
    </row>
    <row r="260" spans="1:13" ht="13.9" customHeight="1" x14ac:dyDescent="0.25">
      <c r="A260" s="846">
        <f>Chem!A260</f>
        <v>258</v>
      </c>
      <c r="B260" s="941" t="str">
        <f>Chem!B260</f>
        <v xml:space="preserve">Total DDD </v>
      </c>
      <c r="C260" s="1282" t="str">
        <f>Param!AF260</f>
        <v>no</v>
      </c>
      <c r="D260" s="343">
        <f>Param!M260</f>
        <v>2.6982829108749E-4</v>
      </c>
      <c r="E260" s="627">
        <f>'AR-Det'!F260</f>
        <v>3.6231884057971009E-2</v>
      </c>
      <c r="F260" s="628" t="str">
        <f>IF(OR($C260="no",$D260="na",E260="na",$D260=0),"na",E260/($D260*Eqtn!$D$377))</f>
        <v>na</v>
      </c>
      <c r="G260" s="306">
        <f>'AR-Det'!J260</f>
        <v>0.3623188405797102</v>
      </c>
      <c r="H260" s="1509" t="str">
        <f>IF(OR($C260="No",$D260="na",G260="na",$D260=0),"na",G260/($D260*Eqtn!$D$377))</f>
        <v>na</v>
      </c>
      <c r="I260" s="1513">
        <f>'AR-Det'!N260</f>
        <v>0.16927536231884052</v>
      </c>
      <c r="J260" s="1509" t="str">
        <f>IF(OR($C260="No",$D260="na",I260="na",$D260=0),"na",I260/($D260*Eqtn!$D$377))</f>
        <v>na</v>
      </c>
      <c r="K260" s="734" t="s">
        <v>232</v>
      </c>
      <c r="M260" s="1062"/>
    </row>
    <row r="261" spans="1:13" ht="13.9" customHeight="1" x14ac:dyDescent="0.25">
      <c r="A261" s="846">
        <f>Chem!A261</f>
        <v>259</v>
      </c>
      <c r="B261" s="941" t="str">
        <f>Chem!B261</f>
        <v>Total DDE</v>
      </c>
      <c r="C261" s="1282" t="str">
        <f>Param!AF261</f>
        <v>no</v>
      </c>
      <c r="D261" s="343">
        <f>Param!M261</f>
        <v>4.3876594647787034E-4</v>
      </c>
      <c r="E261" s="631">
        <f>'AR-Det'!F261</f>
        <v>2.5773195876288655E-2</v>
      </c>
      <c r="F261" s="628" t="str">
        <f>IF(OR($C261="no",$D261="na",E261="na",$D261=0),"na",E261/($D261*Eqtn!$D$377))</f>
        <v>na</v>
      </c>
      <c r="G261" s="307">
        <f>'AR-Det'!J261</f>
        <v>0.25773195876288663</v>
      </c>
      <c r="H261" s="1509" t="str">
        <f>IF(OR($C261="No",$D261="na",G261="na",$D261=0),"na",G261/($D261*Eqtn!$D$377))</f>
        <v>na</v>
      </c>
      <c r="I261" s="1513">
        <f>'AR-Det'!N261</f>
        <v>0.12041237113402056</v>
      </c>
      <c r="J261" s="1509" t="str">
        <f>IF(OR($C261="No",$D261="na",I261="na",$D261=0),"na",I261/($D261*Eqtn!$D$377))</f>
        <v>na</v>
      </c>
      <c r="K261" s="734" t="s">
        <v>232</v>
      </c>
      <c r="M261" s="1062"/>
    </row>
    <row r="262" spans="1:13" ht="13.9" customHeight="1" x14ac:dyDescent="0.25">
      <c r="A262" s="846">
        <f>Chem!A262</f>
        <v>260</v>
      </c>
      <c r="B262" s="941" t="str">
        <f>Chem!B262</f>
        <v>Total DDT</v>
      </c>
      <c r="C262" s="1282" t="str">
        <f>Param!AF262</f>
        <v>no</v>
      </c>
      <c r="D262" s="343">
        <f>Param!M262</f>
        <v>1.2769125405958403E-4</v>
      </c>
      <c r="E262" s="602">
        <f>'AR-Det'!F262</f>
        <v>2.5773195876288655E-2</v>
      </c>
      <c r="F262" s="628" t="str">
        <f>IF(OR($C262="no",$D262="na",E262="na",$D262=0),"na",E262/($D262*Eqtn!$D$377))</f>
        <v>na</v>
      </c>
      <c r="G262" s="17">
        <f>'AR-Det'!J262</f>
        <v>0.25773195876288663</v>
      </c>
      <c r="H262" s="1509" t="str">
        <f>IF(OR($C262="No",$D262="na",G262="na",$D262=0),"na",G262/($D262*Eqtn!$D$377))</f>
        <v>na</v>
      </c>
      <c r="I262" s="1513">
        <f>'AR-Det'!N262</f>
        <v>0.12041237113402056</v>
      </c>
      <c r="J262" s="1509" t="str">
        <f>IF(OR($C262="No",$D262="na",I262="na",$D262=0),"na",I262/($D262*Eqtn!$D$377))</f>
        <v>na</v>
      </c>
      <c r="K262" s="734" t="s">
        <v>232</v>
      </c>
      <c r="M262" s="1062"/>
    </row>
    <row r="263" spans="1:13" ht="13.9" customHeight="1" x14ac:dyDescent="0.25">
      <c r="A263" s="846">
        <f>Chem!A263</f>
        <v>261</v>
      </c>
      <c r="B263" s="941" t="str">
        <f>Chem!B263</f>
        <v>Diazinon</v>
      </c>
      <c r="C263" s="1282" t="str">
        <f>Param!AF263</f>
        <v>no</v>
      </c>
      <c r="D263" s="343">
        <f>Param!M263</f>
        <v>4.6197874080130802E-6</v>
      </c>
      <c r="E263" s="602" t="str">
        <f>'AR-Det'!F263</f>
        <v>na</v>
      </c>
      <c r="F263" s="628" t="str">
        <f>IF(OR($C263="no",$D263="na",E263="na",$D263=0),"na",E263/($D263*Eqtn!$D$377))</f>
        <v>na</v>
      </c>
      <c r="G263" s="17" t="str">
        <f>'AR-Det'!J263</f>
        <v>na</v>
      </c>
      <c r="H263" s="1509" t="str">
        <f>IF(OR($C263="No",$D263="na",G263="na",$D263=0),"na",G263/($D263*Eqtn!$D$377))</f>
        <v>na</v>
      </c>
      <c r="I263" s="1513" t="str">
        <f>'AR-Det'!N263</f>
        <v>na</v>
      </c>
      <c r="J263" s="1509" t="str">
        <f>IF(OR($C263="No",$D263="na",I263="na",$D263=0),"na",I263/($D263*Eqtn!$D$377))</f>
        <v>na</v>
      </c>
      <c r="K263" s="734" t="s">
        <v>232</v>
      </c>
      <c r="M263" s="1062"/>
    </row>
    <row r="264" spans="1:13" ht="13.9" customHeight="1" x14ac:dyDescent="0.25">
      <c r="A264" s="846">
        <f>Chem!A264</f>
        <v>262</v>
      </c>
      <c r="B264" s="941" t="str">
        <f>Chem!B264</f>
        <v>Dieldrin</v>
      </c>
      <c r="C264" s="1282" t="str">
        <f>Param!AF264</f>
        <v>no</v>
      </c>
      <c r="D264" s="343">
        <f>Param!M264</f>
        <v>8.7794244798464316E-5</v>
      </c>
      <c r="E264" s="602">
        <f>'AR-Det'!F264</f>
        <v>5.4347826086956512E-4</v>
      </c>
      <c r="F264" s="628" t="str">
        <f>IF(OR($C264="no",$D264="na",E264="na",$D264=0),"na",E264/($D264*Eqtn!$D$377))</f>
        <v>na</v>
      </c>
      <c r="G264" s="17">
        <f>'AR-Det'!J264</f>
        <v>5.434782608695652E-3</v>
      </c>
      <c r="H264" s="1509" t="str">
        <f>IF(OR($C264="No",$D264="na",G264="na",$D264=0),"na",G264/($D264*Eqtn!$D$377))</f>
        <v>na</v>
      </c>
      <c r="I264" s="1513">
        <f>'AR-Det'!N264</f>
        <v>2.5391304347826076E-3</v>
      </c>
      <c r="J264" s="1509" t="str">
        <f>IF(OR($C264="No",$D264="na",I264="na",$D264=0),"na",I264/($D264*Eqtn!$D$377))</f>
        <v>na</v>
      </c>
      <c r="K264" s="734" t="s">
        <v>232</v>
      </c>
      <c r="M264" s="1062"/>
    </row>
    <row r="265" spans="1:13" ht="13.9" customHeight="1" x14ac:dyDescent="0.25">
      <c r="A265" s="846">
        <f>Chem!A265</f>
        <v>263</v>
      </c>
      <c r="B265" s="941" t="str">
        <f>Chem!B265</f>
        <v>alpha-Endosulfan</v>
      </c>
      <c r="C265" s="1282" t="str">
        <f>Param!AF265</f>
        <v>no</v>
      </c>
      <c r="D265" s="343">
        <f>Param!M265</f>
        <v>7.0899999999999999E-6</v>
      </c>
      <c r="E265" s="602" t="str">
        <f>'AR-Det'!F265</f>
        <v>na</v>
      </c>
      <c r="F265" s="628" t="str">
        <f>IF(OR($C265="no",$D265="na",E265="na",$D265=0),"na",E265/($D265*Eqtn!$D$377))</f>
        <v>na</v>
      </c>
      <c r="G265" s="17" t="str">
        <f>'AR-Det'!J265</f>
        <v>na</v>
      </c>
      <c r="H265" s="1509" t="str">
        <f>IF(OR($C265="No",$D265="na",G265="na",$D265=0),"na",G265/($D265*Eqtn!$D$377))</f>
        <v>na</v>
      </c>
      <c r="I265" s="1513" t="str">
        <f>'AR-Det'!N265</f>
        <v>na</v>
      </c>
      <c r="J265" s="1509" t="str">
        <f>IF(OR($C265="No",$D265="na",I265="na",$D265=0),"na",I265/($D265*Eqtn!$D$377))</f>
        <v>na</v>
      </c>
      <c r="K265" s="734" t="s">
        <v>232</v>
      </c>
      <c r="M265" s="1062"/>
    </row>
    <row r="266" spans="1:13" ht="13.9" customHeight="1" x14ac:dyDescent="0.25">
      <c r="A266" s="846">
        <f>Chem!A266</f>
        <v>264</v>
      </c>
      <c r="B266" s="941" t="str">
        <f>Chem!B266</f>
        <v>beta-Endosulfan</v>
      </c>
      <c r="C266" s="1282" t="str">
        <f>Param!AF266</f>
        <v>no</v>
      </c>
      <c r="D266" s="343">
        <f>Param!M266</f>
        <v>3.9099999999999999E-7</v>
      </c>
      <c r="E266" s="602" t="str">
        <f>'AR-Det'!F266</f>
        <v>na</v>
      </c>
      <c r="F266" s="628" t="str">
        <f>IF(OR($C266="no",$D266="na",E266="na",$D266=0),"na",E266/($D266*Eqtn!$D$377))</f>
        <v>na</v>
      </c>
      <c r="G266" s="17" t="str">
        <f>'AR-Det'!J266</f>
        <v>na</v>
      </c>
      <c r="H266" s="1509" t="str">
        <f>IF(OR($C266="No",$D266="na",G266="na",$D266=0),"na",G266/($D266*Eqtn!$D$377))</f>
        <v>na</v>
      </c>
      <c r="I266" s="1513" t="str">
        <f>'AR-Det'!N266</f>
        <v>na</v>
      </c>
      <c r="J266" s="1509" t="str">
        <f>IF(OR($C266="No",$D266="na",I266="na",$D266=0),"na",I266/($D266*Eqtn!$D$377))</f>
        <v>na</v>
      </c>
      <c r="K266" s="734" t="s">
        <v>232</v>
      </c>
      <c r="M266" s="1062"/>
    </row>
    <row r="267" spans="1:13" ht="13.9" customHeight="1" x14ac:dyDescent="0.25">
      <c r="A267" s="846">
        <f>Chem!A267</f>
        <v>265</v>
      </c>
      <c r="B267" s="941" t="str">
        <f>Chem!B267</f>
        <v>Sum of alpha and beta endosuflan</v>
      </c>
      <c r="C267" s="1282" t="str">
        <f>Param!AF267</f>
        <v>no</v>
      </c>
      <c r="D267" s="343">
        <f>Param!M267</f>
        <v>7.0899999999999999E-6</v>
      </c>
      <c r="E267" s="602" t="str">
        <f>'AR-Det'!F267</f>
        <v>na</v>
      </c>
      <c r="F267" s="628" t="str">
        <f>IF(OR($C267="no",$D267="na",E267="na",$D267=0),"na",E267/($D267*Eqtn!$D$377))</f>
        <v>na</v>
      </c>
      <c r="G267" s="17" t="str">
        <f>'AR-Det'!J267</f>
        <v>na</v>
      </c>
      <c r="H267" s="1509" t="str">
        <f>IF(OR($C267="No",$D267="na",G267="na",$D267=0),"na",G267/($D267*Eqtn!$D$377))</f>
        <v>na</v>
      </c>
      <c r="I267" s="1513" t="str">
        <f>'AR-Det'!N267</f>
        <v>na</v>
      </c>
      <c r="J267" s="1509" t="str">
        <f>IF(OR($C267="No",$D267="na",I267="na",$D267=0),"na",I267/($D267*Eqtn!$D$377))</f>
        <v>na</v>
      </c>
      <c r="K267" s="734" t="s">
        <v>232</v>
      </c>
      <c r="M267" s="1062"/>
    </row>
    <row r="268" spans="1:13" ht="13.9" customHeight="1" x14ac:dyDescent="0.25">
      <c r="A268" s="846">
        <f>Chem!A268</f>
        <v>266</v>
      </c>
      <c r="B268" s="941" t="str">
        <f>Chem!B268</f>
        <v>Endosulfan sulfate</v>
      </c>
      <c r="C268" s="1282" t="str">
        <f>Param!AF268</f>
        <v>no</v>
      </c>
      <c r="D268" s="343">
        <f>Param!M268</f>
        <v>0</v>
      </c>
      <c r="E268" s="602" t="str">
        <f>'AR-Det'!F268</f>
        <v>na</v>
      </c>
      <c r="F268" s="628" t="str">
        <f>IF(OR($C268="no",$D268="na",E268="na",$D268=0),"na",E268/($D268*Eqtn!$D$377))</f>
        <v>na</v>
      </c>
      <c r="G268" s="17" t="str">
        <f>'AR-Det'!J268</f>
        <v>na</v>
      </c>
      <c r="H268" s="1509" t="str">
        <f>IF(OR($C268="No",$D268="na",G268="na",$D268=0),"na",G268/($D268*Eqtn!$D$377))</f>
        <v>na</v>
      </c>
      <c r="I268" s="1513" t="str">
        <f>'AR-Det'!N268</f>
        <v>na</v>
      </c>
      <c r="J268" s="1509" t="str">
        <f>IF(OR($C268="No",$D268="na",I268="na",$D268=0),"na",I268/($D268*Eqtn!$D$377))</f>
        <v>na</v>
      </c>
      <c r="K268" s="734" t="s">
        <v>232</v>
      </c>
      <c r="M268" s="1062"/>
    </row>
    <row r="269" spans="1:13" ht="13.9" customHeight="1" x14ac:dyDescent="0.25">
      <c r="A269" s="846">
        <f>Chem!A269</f>
        <v>267</v>
      </c>
      <c r="B269" s="941" t="str">
        <f>Chem!B269</f>
        <v>Sum of alpha, beta, and endosulfan sulfate</v>
      </c>
      <c r="C269" s="1282" t="str">
        <f>Param!AF269</f>
        <v>no</v>
      </c>
      <c r="D269" s="343">
        <f>Param!M269</f>
        <v>0</v>
      </c>
      <c r="E269" s="602" t="str">
        <f>'AR-Det'!F269</f>
        <v>na</v>
      </c>
      <c r="F269" s="628" t="str">
        <f>IF(OR($C269="no",$D269="na",E269="na",$D269=0),"na",E269/($D269*Eqtn!$D$377))</f>
        <v>na</v>
      </c>
      <c r="G269" s="17" t="str">
        <f>'AR-Det'!J269</f>
        <v>na</v>
      </c>
      <c r="H269" s="1509" t="str">
        <f>IF(OR($C269="No",$D269="na",G269="na",$D269=0),"na",G269/($D269*Eqtn!$D$377))</f>
        <v>na</v>
      </c>
      <c r="I269" s="1513" t="str">
        <f>'AR-Det'!N269</f>
        <v>na</v>
      </c>
      <c r="J269" s="1509" t="str">
        <f>IF(OR($C269="No",$D269="na",I269="na",$D269=0),"na",I269/($D269*Eqtn!$D$377))</f>
        <v>na</v>
      </c>
      <c r="K269" s="734" t="s">
        <v>232</v>
      </c>
      <c r="M269" s="1062"/>
    </row>
    <row r="270" spans="1:13" ht="13.9" customHeight="1" x14ac:dyDescent="0.25">
      <c r="A270" s="846">
        <f>Chem!A270</f>
        <v>268</v>
      </c>
      <c r="B270" s="941" t="str">
        <f>Chem!B270</f>
        <v>Endrin</v>
      </c>
      <c r="C270" s="1282" t="str">
        <f>Param!AF270</f>
        <v>no</v>
      </c>
      <c r="D270" s="343">
        <f>Param!M270</f>
        <v>2.60016353229763E-4</v>
      </c>
      <c r="E270" s="602" t="str">
        <f>'AR-Det'!F270</f>
        <v>na</v>
      </c>
      <c r="F270" s="628" t="str">
        <f>IF(OR($C270="no",$D270="na",E270="na",$D270=0),"na",E270/($D270*Eqtn!$D$377))</f>
        <v>na</v>
      </c>
      <c r="G270" s="17" t="str">
        <f>'AR-Det'!J270</f>
        <v>na</v>
      </c>
      <c r="H270" s="1509" t="str">
        <f>IF(OR($C270="No",$D270="na",G270="na",$D270=0),"na",G270/($D270*Eqtn!$D$377))</f>
        <v>na</v>
      </c>
      <c r="I270" s="1513" t="str">
        <f>'AR-Det'!N270</f>
        <v>na</v>
      </c>
      <c r="J270" s="1509" t="str">
        <f>IF(OR($C270="No",$D270="na",I270="na",$D270=0),"na",I270/($D270*Eqtn!$D$377))</f>
        <v>na</v>
      </c>
      <c r="K270" s="734" t="s">
        <v>232</v>
      </c>
      <c r="M270" s="1062"/>
    </row>
    <row r="271" spans="1:13" ht="13.9" customHeight="1" x14ac:dyDescent="0.25">
      <c r="A271" s="846">
        <f>Chem!A271</f>
        <v>269</v>
      </c>
      <c r="B271" s="941" t="str">
        <f>Chem!B271</f>
        <v>Endrin aldehyde</v>
      </c>
      <c r="C271" s="1282" t="str">
        <f>Param!AF271</f>
        <v>no</v>
      </c>
      <c r="D271" s="343">
        <f>Param!M271</f>
        <v>1.7089125102207701E-4</v>
      </c>
      <c r="E271" s="631" t="str">
        <f>'AR-Det'!F271</f>
        <v>na</v>
      </c>
      <c r="F271" s="628" t="str">
        <f>IF(OR($C271="no",$D271="na",E271="na",$D271=0),"na",E271/($D271*Eqtn!$D$377))</f>
        <v>na</v>
      </c>
      <c r="G271" s="307" t="str">
        <f>'AR-Det'!J271</f>
        <v>na</v>
      </c>
      <c r="H271" s="1509" t="str">
        <f>IF(OR($C271="No",$D271="na",G271="na",$D271=0),"na",G271/($D271*Eqtn!$D$377))</f>
        <v>na</v>
      </c>
      <c r="I271" s="1513" t="str">
        <f>'AR-Det'!N271</f>
        <v>na</v>
      </c>
      <c r="J271" s="1509" t="str">
        <f>IF(OR($C271="No",$D271="na",I271="na",$D271=0),"na",I271/($D271*Eqtn!$D$377))</f>
        <v>na</v>
      </c>
      <c r="K271" s="734" t="s">
        <v>232</v>
      </c>
      <c r="M271" s="1062"/>
    </row>
    <row r="272" spans="1:13" ht="13.9" customHeight="1" x14ac:dyDescent="0.25">
      <c r="A272" s="846">
        <f>Chem!A272</f>
        <v>270</v>
      </c>
      <c r="B272" s="941" t="str">
        <f>Chem!B272</f>
        <v>Endrin ketone</v>
      </c>
      <c r="C272" s="1282" t="str">
        <f>Param!AF272</f>
        <v>no</v>
      </c>
      <c r="D272" s="343">
        <f>Param!M272</f>
        <v>0</v>
      </c>
      <c r="E272" s="631" t="str">
        <f>'AR-Det'!F272</f>
        <v>na</v>
      </c>
      <c r="F272" s="628" t="str">
        <f>IF(OR($C272="no",$D272="na",E272="na",$D272=0),"na",E272/($D272*Eqtn!$D$377))</f>
        <v>na</v>
      </c>
      <c r="G272" s="307" t="str">
        <f>'AR-Det'!J272</f>
        <v>na</v>
      </c>
      <c r="H272" s="1509" t="str">
        <f>IF(OR($C272="No",$D272="na",G272="na",$D272=0),"na",G272/($D272*Eqtn!$D$377))</f>
        <v>na</v>
      </c>
      <c r="I272" s="1513" t="str">
        <f>'AR-Det'!N272</f>
        <v>na</v>
      </c>
      <c r="J272" s="1509" t="str">
        <f>IF(OR($C272="No",$D272="na",I272="na",$D272=0),"na",I272/($D272*Eqtn!$D$377))</f>
        <v>na</v>
      </c>
      <c r="K272" s="734" t="s">
        <v>232</v>
      </c>
      <c r="M272" s="1062"/>
    </row>
    <row r="273" spans="1:13" ht="13.9" customHeight="1" x14ac:dyDescent="0.25">
      <c r="A273" s="846">
        <f>Chem!A273</f>
        <v>271</v>
      </c>
      <c r="B273" s="941" t="str">
        <f>Chem!B273</f>
        <v>Heptachlor</v>
      </c>
      <c r="C273" s="1282" t="str">
        <f>Param!AF273</f>
        <v>YES</v>
      </c>
      <c r="D273" s="343">
        <f>Param!M273</f>
        <v>3.7704342488785905E-3</v>
      </c>
      <c r="E273" s="602">
        <f>'AR-Det'!F273</f>
        <v>1.923076923076923E-3</v>
      </c>
      <c r="F273" s="628">
        <f>IF(OR($C273="no",$D273="na",E273="na",$D273=0),"na",E273/($D273*Eqtn!$D$377))</f>
        <v>0.51004123030361503</v>
      </c>
      <c r="G273" s="17">
        <f>'AR-Det'!J273</f>
        <v>1.9230769230769232E-2</v>
      </c>
      <c r="H273" s="1509">
        <f>IF(OR($C273="No",$D273="na",G273="na",$D273=0),"na",G273/($D273*Eqtn!$D$377))</f>
        <v>5.1004123030361512</v>
      </c>
      <c r="I273" s="1513">
        <f>'AR-Det'!N273</f>
        <v>8.9846153846153826E-3</v>
      </c>
      <c r="J273" s="1509">
        <f>IF(OR($C273="No",$D273="na",I273="na",$D273=0),"na",I273/($D273*Eqtn!$D$377))</f>
        <v>2.3829126279784889</v>
      </c>
      <c r="K273" s="734" t="s">
        <v>232</v>
      </c>
      <c r="M273" s="1062"/>
    </row>
    <row r="274" spans="1:13" ht="13.9" customHeight="1" x14ac:dyDescent="0.25">
      <c r="A274" s="846">
        <f>Chem!A274</f>
        <v>272</v>
      </c>
      <c r="B274" s="941" t="str">
        <f>Chem!B274</f>
        <v>Heptachlor epoxide</v>
      </c>
      <c r="C274" s="1282" t="str">
        <f>Param!AF274</f>
        <v>no</v>
      </c>
      <c r="D274" s="343">
        <f>Param!M274</f>
        <v>2.0140183867130092E-4</v>
      </c>
      <c r="E274" s="602">
        <f>'AR-Det'!F274</f>
        <v>9.6153846153846148E-4</v>
      </c>
      <c r="F274" s="628" t="str">
        <f>IF(OR($C274="no",$D274="na",E274="na",$D274=0),"na",E274/($D274*Eqtn!$D$377))</f>
        <v>na</v>
      </c>
      <c r="G274" s="17">
        <f>'AR-Det'!J274</f>
        <v>9.6153846153846159E-3</v>
      </c>
      <c r="H274" s="1509" t="str">
        <f>IF(OR($C274="No",$D274="na",G274="na",$D274=0),"na",G274/($D274*Eqtn!$D$377))</f>
        <v>na</v>
      </c>
      <c r="I274" s="1513">
        <f>'AR-Det'!N274</f>
        <v>4.4923076923076913E-3</v>
      </c>
      <c r="J274" s="1509" t="str">
        <f>IF(OR($C274="No",$D274="na",I274="na",$D274=0),"na",I274/($D274*Eqtn!$D$377))</f>
        <v>na</v>
      </c>
      <c r="K274" s="734" t="s">
        <v>232</v>
      </c>
      <c r="M274" s="1062"/>
    </row>
    <row r="275" spans="1:13" ht="13.9" customHeight="1" x14ac:dyDescent="0.25">
      <c r="A275" s="846">
        <f>Chem!A275</f>
        <v>273</v>
      </c>
      <c r="B275" s="941" t="str">
        <f>Chem!B275</f>
        <v>Lindane (gamma-BHC)</v>
      </c>
      <c r="C275" s="1282" t="str">
        <f>Param!AF275</f>
        <v>no</v>
      </c>
      <c r="D275" s="343">
        <f>Param!M275</f>
        <v>2.10139002452984E-4</v>
      </c>
      <c r="E275" s="602">
        <f>'AR-Det'!F275</f>
        <v>8.0645161290322578E-3</v>
      </c>
      <c r="F275" s="628" t="str">
        <f>IF(OR($C275="no",$D275="na",E275="na",$D275=0),"na",E275/($D275*Eqtn!$D$377))</f>
        <v>na</v>
      </c>
      <c r="G275" s="17">
        <f>'AR-Det'!J275</f>
        <v>8.0645161290322592E-2</v>
      </c>
      <c r="H275" s="1509" t="str">
        <f>IF(OR($C275="No",$D275="na",G275="na",$D275=0),"na",G275/($D275*Eqtn!$D$377))</f>
        <v>na</v>
      </c>
      <c r="I275" s="1513">
        <f>'AR-Det'!N275</f>
        <v>3.7677419354838697E-2</v>
      </c>
      <c r="J275" s="1509" t="str">
        <f>IF(OR($C275="No",$D275="na",I275="na",$D275=0),"na",I275/($D275*Eqtn!$D$377))</f>
        <v>na</v>
      </c>
      <c r="K275" s="734" t="s">
        <v>232</v>
      </c>
      <c r="M275" s="1062"/>
    </row>
    <row r="276" spans="1:13" ht="13.9" customHeight="1" x14ac:dyDescent="0.25">
      <c r="A276" s="846">
        <f>Chem!A276</f>
        <v>274</v>
      </c>
      <c r="B276" s="941" t="str">
        <f>Chem!B276</f>
        <v>Malathion</v>
      </c>
      <c r="C276" s="1282" t="str">
        <f>Param!AF276</f>
        <v>no</v>
      </c>
      <c r="D276" s="343">
        <f>Param!M276</f>
        <v>1.99918233851186E-7</v>
      </c>
      <c r="E276" s="602" t="str">
        <f>'AR-Det'!F276</f>
        <v>na</v>
      </c>
      <c r="F276" s="628" t="str">
        <f>IF(OR($C276="no",$D276="na",E276="na",$D276=0),"na",E276/($D276*Eqtn!$D$377))</f>
        <v>na</v>
      </c>
      <c r="G276" s="17" t="str">
        <f>'AR-Det'!J276</f>
        <v>na</v>
      </c>
      <c r="H276" s="1509" t="str">
        <f>IF(OR($C276="No",$D276="na",G276="na",$D276=0),"na",G276/($D276*Eqtn!$D$377))</f>
        <v>na</v>
      </c>
      <c r="I276" s="1513" t="str">
        <f>'AR-Det'!N276</f>
        <v>na</v>
      </c>
      <c r="J276" s="1509" t="str">
        <f>IF(OR($C276="No",$D276="na",I276="na",$D276=0),"na",I276/($D276*Eqtn!$D$377))</f>
        <v>na</v>
      </c>
      <c r="K276" s="734" t="s">
        <v>232</v>
      </c>
      <c r="M276" s="1062"/>
    </row>
    <row r="277" spans="1:13" ht="13.9" customHeight="1" x14ac:dyDescent="0.25">
      <c r="A277" s="846">
        <f>Chem!A277</f>
        <v>275</v>
      </c>
      <c r="B277" s="941" t="str">
        <f>Chem!B277</f>
        <v>Methoxychlor</v>
      </c>
      <c r="C277" s="1282" t="str">
        <f>Param!AF277</f>
        <v>no</v>
      </c>
      <c r="D277" s="343">
        <f>Param!M277</f>
        <v>8.2992641046606701E-6</v>
      </c>
      <c r="E277" s="602" t="str">
        <f>'AR-Det'!F277</f>
        <v>na</v>
      </c>
      <c r="F277" s="628" t="str">
        <f>IF(OR($C277="no",$D277="na",E277="na",$D277=0),"na",E277/($D277*Eqtn!$D$377))</f>
        <v>na</v>
      </c>
      <c r="G277" s="17" t="str">
        <f>'AR-Det'!J277</f>
        <v>na</v>
      </c>
      <c r="H277" s="1509" t="str">
        <f>IF(OR($C277="No",$D277="na",G277="na",$D277=0),"na",G277/($D277*Eqtn!$D$377))</f>
        <v>na</v>
      </c>
      <c r="I277" s="1513" t="str">
        <f>'AR-Det'!N277</f>
        <v>na</v>
      </c>
      <c r="J277" s="1509" t="str">
        <f>IF(OR($C277="No",$D277="na",I277="na",$D277=0),"na",I277/($D277*Eqtn!$D$377))</f>
        <v>na</v>
      </c>
      <c r="K277" s="734" t="s">
        <v>232</v>
      </c>
      <c r="M277" s="1062"/>
    </row>
    <row r="278" spans="1:13" ht="13.9" customHeight="1" x14ac:dyDescent="0.25">
      <c r="A278" s="846">
        <f>Chem!A278</f>
        <v>276</v>
      </c>
      <c r="B278" s="941" t="str">
        <f>Chem!B278</f>
        <v>Mirex</v>
      </c>
      <c r="C278" s="1282" t="str">
        <f>Param!AF278</f>
        <v>YES</v>
      </c>
      <c r="D278" s="343">
        <f>Param!M278</f>
        <v>3.3156173344235498E-2</v>
      </c>
      <c r="E278" s="602">
        <f>'AR-Det'!F278</f>
        <v>4.9019607843137243E-4</v>
      </c>
      <c r="F278" s="628">
        <f>IF(OR($C278="no",$D278="na",E278="na",$D278=0),"na",E278/($D278*Eqtn!$D$377))</f>
        <v>1.4784458789681092E-2</v>
      </c>
      <c r="G278" s="17">
        <f>'AR-Det'!J278</f>
        <v>4.9019607843137254E-3</v>
      </c>
      <c r="H278" s="1509">
        <f>IF(OR($C278="No",$D278="na",G278="na",$D278=0),"na",G278/($D278*Eqtn!$D$377))</f>
        <v>0.14784458789681096</v>
      </c>
      <c r="I278" s="1513">
        <f>'AR-Det'!N278</f>
        <v>2.2901960784313716E-3</v>
      </c>
      <c r="J278" s="1509">
        <f>IF(OR($C278="No",$D278="na",I278="na",$D278=0),"na",I278/($D278*Eqtn!$D$377))</f>
        <v>6.9072991465390046E-2</v>
      </c>
      <c r="K278" s="734" t="s">
        <v>232</v>
      </c>
      <c r="M278" s="1062"/>
    </row>
    <row r="279" spans="1:13" ht="13.9" customHeight="1" x14ac:dyDescent="0.25">
      <c r="A279" s="846">
        <f>Chem!A279</f>
        <v>277</v>
      </c>
      <c r="B279" s="941" t="str">
        <f>Chem!B279</f>
        <v>Nonachlor</v>
      </c>
      <c r="C279" s="1283" t="str">
        <f>Param!AF279</f>
        <v>no</v>
      </c>
      <c r="D279" s="532">
        <f>Param!M279</f>
        <v>0</v>
      </c>
      <c r="E279" s="631" t="str">
        <f>'AR-Det'!F279</f>
        <v>na</v>
      </c>
      <c r="F279" s="628" t="str">
        <f>IF(OR($C279="no",$D279="na",E279="na",$D279=0),"na",E279/($D279*Eqtn!$D$377))</f>
        <v>na</v>
      </c>
      <c r="G279" s="307" t="str">
        <f>'AR-Det'!J279</f>
        <v>na</v>
      </c>
      <c r="H279" s="1509" t="str">
        <f>IF(OR($C279="No",$D279="na",G279="na",$D279=0),"na",G279/($D279*Eqtn!$D$377))</f>
        <v>na</v>
      </c>
      <c r="I279" s="1513" t="str">
        <f>'AR-Det'!N279</f>
        <v>na</v>
      </c>
      <c r="J279" s="1509" t="str">
        <f>IF(OR($C279="No",$D279="na",I279="na",$D279=0),"na",I279/($D279*Eqtn!$D$377))</f>
        <v>na</v>
      </c>
      <c r="K279" s="734" t="s">
        <v>232</v>
      </c>
      <c r="M279" s="1062"/>
    </row>
    <row r="280" spans="1:13" ht="13.9" customHeight="1" x14ac:dyDescent="0.25">
      <c r="A280" s="1661">
        <f>Chem!A280</f>
        <v>278</v>
      </c>
      <c r="B280" s="1148" t="str">
        <f>Chem!B280</f>
        <v>Toxaphene</v>
      </c>
      <c r="C280" s="1285" t="str">
        <f>Param!AF280</f>
        <v>no</v>
      </c>
      <c r="D280" s="533">
        <f>Param!M280</f>
        <v>2.4529844644317298E-4</v>
      </c>
      <c r="E280" s="1175">
        <f>'AR-Det'!F280</f>
        <v>7.8124999999999965E-3</v>
      </c>
      <c r="F280" s="1176" t="str">
        <f>IF(OR($C280="no",$D280="na",E280="na",$D280=0),"na",E280/($D280*Eqtn!$D$377))</f>
        <v>na</v>
      </c>
      <c r="G280" s="1161">
        <f>'AR-Det'!J280</f>
        <v>7.8124999999999986E-2</v>
      </c>
      <c r="H280" s="1511" t="str">
        <f>IF(OR($C280="No",$D280="na",G280="na",$D280=0),"na",G280/($D280*Eqtn!$D$377))</f>
        <v>na</v>
      </c>
      <c r="I280" s="1515">
        <f>'AR-Det'!N280</f>
        <v>3.6499999999999977E-2</v>
      </c>
      <c r="J280" s="1510" t="str">
        <f>IF(OR($C280="No",$D280="na",I280="na",$D280=0),"na",I280/($D280*Eqtn!$D$377))</f>
        <v>na</v>
      </c>
      <c r="K280" s="736" t="s">
        <v>232</v>
      </c>
      <c r="M280" s="1137"/>
    </row>
    <row r="281" spans="1:13" ht="13.9" customHeight="1" x14ac:dyDescent="0.25">
      <c r="A281" s="1197">
        <f>Chem!A281</f>
        <v>279</v>
      </c>
      <c r="B281" s="1149" t="str">
        <f>Chem!B281</f>
        <v>Herbicides</v>
      </c>
      <c r="C281" s="2345"/>
      <c r="D281" s="2348"/>
      <c r="E281" s="127"/>
      <c r="F281" s="44"/>
      <c r="G281" s="127"/>
      <c r="H281" s="44"/>
      <c r="I281" s="44"/>
      <c r="J281" s="44"/>
      <c r="K281" s="55"/>
      <c r="M281" s="1063"/>
    </row>
    <row r="282" spans="1:13" ht="13.9" customHeight="1" x14ac:dyDescent="0.25">
      <c r="A282" s="846">
        <f>Chem!A282</f>
        <v>280</v>
      </c>
      <c r="B282" s="1701" t="str">
        <f>Chem!B282</f>
        <v>2,4-Dichlorophenoxyacetic acid (2,4-D)</v>
      </c>
      <c r="C282" s="1282" t="str">
        <f>Param!AF282</f>
        <v>no</v>
      </c>
      <c r="D282" s="343">
        <f>Param!M282</f>
        <v>1.4472608340147201E-6</v>
      </c>
      <c r="E282" s="602" t="str">
        <f>'AR-Det'!F282</f>
        <v>na</v>
      </c>
      <c r="F282" s="628" t="str">
        <f>IF(OR($C282="no",$D282="na",E282="na",$D282=0),"na",E282/($D282*Eqtn!$D$377))</f>
        <v>na</v>
      </c>
      <c r="G282" s="17" t="str">
        <f>'AR-Det'!J282</f>
        <v>na</v>
      </c>
      <c r="H282" s="1509" t="str">
        <f>IF(OR($C282="No",$D282="na",G282="na",$D282=0),"na",G282/($D282*Eqtn!$D$377))</f>
        <v>na</v>
      </c>
      <c r="I282" s="1516" t="str">
        <f>'AR-Det'!N282</f>
        <v>na</v>
      </c>
      <c r="J282" s="1534" t="str">
        <f>IF(OR($C282="No",$D282="na",I282="na",$D282=0),"na",I282/($D282*Eqtn!$D$377))</f>
        <v>na</v>
      </c>
      <c r="K282" s="1517" t="s">
        <v>232</v>
      </c>
      <c r="M282" s="1062"/>
    </row>
    <row r="283" spans="1:13" ht="13.9" customHeight="1" x14ac:dyDescent="0.25">
      <c r="A283" s="846">
        <f>Chem!A283</f>
        <v>281</v>
      </c>
      <c r="B283" s="1593" t="str">
        <f>Chem!B283</f>
        <v>4-(2,4-Dichlorophenoxy)butanoic acid 2,4-DB</v>
      </c>
      <c r="C283" s="1282" t="str">
        <f>Param!AF283</f>
        <v>no</v>
      </c>
      <c r="D283" s="343">
        <f>Param!M283</f>
        <v>0</v>
      </c>
      <c r="E283" s="602" t="str">
        <f>'AR-Det'!F283</f>
        <v>na</v>
      </c>
      <c r="F283" s="628" t="str">
        <f>IF(OR($C283="no",$D283="na",E283="na",$D283=0),"na",E283/($D283*Eqtn!$D$377))</f>
        <v>na</v>
      </c>
      <c r="G283" s="17" t="str">
        <f>'AR-Det'!J283</f>
        <v>na</v>
      </c>
      <c r="H283" s="1509" t="str">
        <f>IF(OR($C283="No",$D283="na",G283="na",$D283=0),"na",G283/($D283*Eqtn!$D$377))</f>
        <v>na</v>
      </c>
      <c r="I283" s="1513" t="str">
        <f>'AR-Det'!N283</f>
        <v>na</v>
      </c>
      <c r="J283" s="1509" t="str">
        <f>IF(OR($C283="No",$D283="na",I283="na",$D283=0),"na",I283/($D283*Eqtn!$D$377))</f>
        <v>na</v>
      </c>
      <c r="K283" s="734" t="s">
        <v>232</v>
      </c>
      <c r="M283" s="1062"/>
    </row>
    <row r="284" spans="1:13" ht="13.9" customHeight="1" x14ac:dyDescent="0.25">
      <c r="A284" s="846">
        <f>Chem!A284</f>
        <v>282</v>
      </c>
      <c r="B284" s="1593" t="str">
        <f>Chem!B284</f>
        <v>2-(2,4,5-Trichlorophenoxy)propionic acid (2,4,5-TP)</v>
      </c>
      <c r="C284" s="1282" t="str">
        <f>Param!AF284</f>
        <v>no</v>
      </c>
      <c r="D284" s="343">
        <f>Param!M284</f>
        <v>3.7040065412919002E-7</v>
      </c>
      <c r="E284" s="602" t="str">
        <f>'AR-Det'!F284</f>
        <v>na</v>
      </c>
      <c r="F284" s="628" t="str">
        <f>IF(OR($C284="no",$D284="na",E284="na",$D284=0),"na",E284/($D284*Eqtn!$D$377))</f>
        <v>na</v>
      </c>
      <c r="G284" s="17" t="str">
        <f>'AR-Det'!J284</f>
        <v>na</v>
      </c>
      <c r="H284" s="1509" t="str">
        <f>IF(OR($C284="No",$D284="na",G284="na",$D284=0),"na",G284/($D284*Eqtn!$D$377))</f>
        <v>na</v>
      </c>
      <c r="I284" s="1513" t="str">
        <f>'AR-Det'!N284</f>
        <v>na</v>
      </c>
      <c r="J284" s="1509" t="str">
        <f>IF(OR($C284="No",$D284="na",I284="na",$D284=0),"na",I284/($D284*Eqtn!$D$377))</f>
        <v>na</v>
      </c>
      <c r="K284" s="734" t="s">
        <v>232</v>
      </c>
      <c r="M284" s="1062"/>
    </row>
    <row r="285" spans="1:13" ht="13.9" customHeight="1" x14ac:dyDescent="0.25">
      <c r="A285" s="846">
        <f>Chem!A285</f>
        <v>283</v>
      </c>
      <c r="B285" s="1593" t="str">
        <f>Chem!B285</f>
        <v>2,4,5-Trichlorophenoxyacetic acid (2,4,5-T)</v>
      </c>
      <c r="C285" s="1282" t="str">
        <f>Param!AF285</f>
        <v>no</v>
      </c>
      <c r="D285" s="343">
        <f>Param!M285</f>
        <v>3.5486508585445599E-7</v>
      </c>
      <c r="E285" s="602" t="str">
        <f>'AR-Det'!F285</f>
        <v>na</v>
      </c>
      <c r="F285" s="628" t="str">
        <f>IF(OR($C285="no",$D285="na",E285="na",$D285=0),"na",E285/($D285*Eqtn!$D$377))</f>
        <v>na</v>
      </c>
      <c r="G285" s="17" t="str">
        <f>'AR-Det'!J285</f>
        <v>na</v>
      </c>
      <c r="H285" s="1509" t="str">
        <f>IF(OR($C285="No",$D285="na",G285="na",$D285=0),"na",G285/($D285*Eqtn!$D$377))</f>
        <v>na</v>
      </c>
      <c r="I285" s="1513" t="str">
        <f>'AR-Det'!N285</f>
        <v>na</v>
      </c>
      <c r="J285" s="1509" t="str">
        <f>IF(OR($C285="No",$D285="na",I285="na",$D285=0),"na",I285/($D285*Eqtn!$D$377))</f>
        <v>na</v>
      </c>
      <c r="K285" s="734" t="s">
        <v>232</v>
      </c>
      <c r="M285" s="1062"/>
    </row>
    <row r="286" spans="1:13" ht="13.9" customHeight="1" x14ac:dyDescent="0.25">
      <c r="A286" s="846">
        <f>Chem!A286</f>
        <v>284</v>
      </c>
      <c r="B286" s="1593" t="str">
        <f>Chem!B286</f>
        <v>Dalapon</v>
      </c>
      <c r="C286" s="1282" t="str">
        <f>Param!AF286</f>
        <v>no</v>
      </c>
      <c r="D286" s="343">
        <f>Param!M286</f>
        <v>1.0405908831630235E-6</v>
      </c>
      <c r="E286" s="602" t="str">
        <f>'AR-Det'!F286</f>
        <v>na</v>
      </c>
      <c r="F286" s="628" t="str">
        <f>IF(OR($C286="no",$D286="na",E286="na",$D286=0),"na",E286/($D286*Eqtn!$D$377))</f>
        <v>na</v>
      </c>
      <c r="G286" s="17" t="str">
        <f>'AR-Det'!J286</f>
        <v>na</v>
      </c>
      <c r="H286" s="1509" t="str">
        <f>IF(OR($C286="No",$D286="na",G286="na",$D286=0),"na",G286/($D286*Eqtn!$D$377))</f>
        <v>na</v>
      </c>
      <c r="I286" s="1513" t="str">
        <f>'AR-Det'!N286</f>
        <v>na</v>
      </c>
      <c r="J286" s="1509" t="str">
        <f>IF(OR($C286="No",$D286="na",I286="na",$D286=0),"na",I286/($D286*Eqtn!$D$377))</f>
        <v>na</v>
      </c>
      <c r="K286" s="734" t="s">
        <v>232</v>
      </c>
      <c r="M286" s="1062"/>
    </row>
    <row r="287" spans="1:13" ht="13.9" customHeight="1" x14ac:dyDescent="0.25">
      <c r="A287" s="846">
        <f>Chem!A287</f>
        <v>285</v>
      </c>
      <c r="B287" s="1593" t="str">
        <f>Chem!B287</f>
        <v>Dicamba</v>
      </c>
      <c r="C287" s="1282" t="str">
        <f>Param!AF287</f>
        <v>no</v>
      </c>
      <c r="D287" s="343">
        <f>Param!M287</f>
        <v>8.9125102207686005E-8</v>
      </c>
      <c r="E287" s="602" t="str">
        <f>'AR-Det'!F287</f>
        <v>na</v>
      </c>
      <c r="F287" s="628" t="str">
        <f>IF(OR($C287="no",$D287="na",E287="na",$D287=0),"na",E287/($D287*Eqtn!$D$377))</f>
        <v>na</v>
      </c>
      <c r="G287" s="17" t="str">
        <f>'AR-Det'!J287</f>
        <v>na</v>
      </c>
      <c r="H287" s="1509" t="str">
        <f>IF(OR($C287="No",$D287="na",G287="na",$D287=0),"na",G287/($D287*Eqtn!$D$377))</f>
        <v>na</v>
      </c>
      <c r="I287" s="1513" t="str">
        <f>'AR-Det'!N287</f>
        <v>na</v>
      </c>
      <c r="J287" s="1509" t="str">
        <f>IF(OR($C287="No",$D287="na",I287="na",$D287=0),"na",I287/($D287*Eqtn!$D$377))</f>
        <v>na</v>
      </c>
      <c r="K287" s="734" t="s">
        <v>232</v>
      </c>
      <c r="M287" s="1062"/>
    </row>
    <row r="288" spans="1:13" ht="13.9" customHeight="1" x14ac:dyDescent="0.25">
      <c r="A288" s="846">
        <f>Chem!A288</f>
        <v>286</v>
      </c>
      <c r="B288" s="1593" t="str">
        <f>Chem!B288</f>
        <v>Dichloroprop</v>
      </c>
      <c r="C288" s="1282" t="str">
        <f>Param!AF288</f>
        <v>no</v>
      </c>
      <c r="D288" s="343">
        <f>Param!M288</f>
        <v>0</v>
      </c>
      <c r="E288" s="602" t="str">
        <f>'AR-Det'!F288</f>
        <v>na</v>
      </c>
      <c r="F288" s="628" t="str">
        <f>IF(OR($C288="no",$D288="na",E288="na",$D288=0),"na",E288/($D288*Eqtn!$D$377))</f>
        <v>na</v>
      </c>
      <c r="G288" s="17" t="str">
        <f>'AR-Det'!J288</f>
        <v>na</v>
      </c>
      <c r="H288" s="1509" t="str">
        <f>IF(OR($C288="No",$D288="na",G288="na",$D288=0),"na",G288/($D288*Eqtn!$D$377))</f>
        <v>na</v>
      </c>
      <c r="I288" s="1513" t="str">
        <f>'AR-Det'!N288</f>
        <v>na</v>
      </c>
      <c r="J288" s="1509" t="str">
        <f>IF(OR($C288="No",$D288="na",I288="na",$D288=0),"na",I288/($D288*Eqtn!$D$377))</f>
        <v>na</v>
      </c>
      <c r="K288" s="734" t="s">
        <v>232</v>
      </c>
      <c r="M288" s="1062"/>
    </row>
    <row r="289" spans="1:13" ht="13.9" customHeight="1" x14ac:dyDescent="0.25">
      <c r="A289" s="846">
        <f>Chem!A289</f>
        <v>287</v>
      </c>
      <c r="B289" s="1593" t="str">
        <f>Chem!B289</f>
        <v>Dinoseb</v>
      </c>
      <c r="C289" s="1282" t="str">
        <f>Param!AF289</f>
        <v>no</v>
      </c>
      <c r="D289" s="343">
        <f>Param!M289</f>
        <v>1.8642681929681101E-5</v>
      </c>
      <c r="E289" s="602" t="str">
        <f>'AR-Det'!F289</f>
        <v>na</v>
      </c>
      <c r="F289" s="628" t="str">
        <f>IF(OR($C289="no",$D289="na",E289="na",$D289=0),"na",E289/($D289*Eqtn!$D$377))</f>
        <v>na</v>
      </c>
      <c r="G289" s="17" t="str">
        <f>'AR-Det'!J289</f>
        <v>na</v>
      </c>
      <c r="H289" s="1509" t="str">
        <f>IF(OR($C289="No",$D289="na",G289="na",$D289=0),"na",G289/($D289*Eqtn!$D$377))</f>
        <v>na</v>
      </c>
      <c r="I289" s="1513" t="str">
        <f>'AR-Det'!N289</f>
        <v>na</v>
      </c>
      <c r="J289" s="1509" t="str">
        <f>IF(OR($C289="No",$D289="na",I289="na",$D289=0),"na",I289/($D289*Eqtn!$D$377))</f>
        <v>na</v>
      </c>
      <c r="K289" s="734" t="s">
        <v>232</v>
      </c>
      <c r="M289" s="1062"/>
    </row>
    <row r="290" spans="1:13" ht="13.9" customHeight="1" x14ac:dyDescent="0.25">
      <c r="A290" s="846">
        <f>Chem!A290</f>
        <v>288</v>
      </c>
      <c r="B290" s="1593" t="str">
        <f>Chem!B290</f>
        <v>2-Methyl-4-chlorophenoxy acetic acid (MCPA)</v>
      </c>
      <c r="C290" s="1282" t="str">
        <f>Param!AF290</f>
        <v>no</v>
      </c>
      <c r="D290" s="343">
        <f>Param!M290</f>
        <v>5.4374488961569898E-8</v>
      </c>
      <c r="E290" s="602" t="str">
        <f>'AR-Det'!F290</f>
        <v>na</v>
      </c>
      <c r="F290" s="628" t="str">
        <f>IF(OR($C290="no",$D290="na",E290="na",$D290=0),"na",E290/($D290*Eqtn!$D$377))</f>
        <v>na</v>
      </c>
      <c r="G290" s="17" t="str">
        <f>'AR-Det'!J290</f>
        <v>na</v>
      </c>
      <c r="H290" s="1509" t="str">
        <f>IF(OR($C290="No",$D290="na",G290="na",$D290=0),"na",G290/($D290*Eqtn!$D$377))</f>
        <v>na</v>
      </c>
      <c r="I290" s="1513" t="str">
        <f>'AR-Det'!N290</f>
        <v>na</v>
      </c>
      <c r="J290" s="1509" t="str">
        <f>IF(OR($C290="No",$D290="na",I290="na",$D290=0),"na",I290/($D290*Eqtn!$D$377))</f>
        <v>na</v>
      </c>
      <c r="K290" s="734" t="s">
        <v>232</v>
      </c>
      <c r="M290" s="1062"/>
    </row>
    <row r="291" spans="1:13" ht="13.9" customHeight="1" thickBot="1" x14ac:dyDescent="0.3">
      <c r="A291" s="1662">
        <f>Chem!A291</f>
        <v>289</v>
      </c>
      <c r="B291" s="1594" t="str">
        <f>Chem!B291</f>
        <v>(2-Methyl-4-chlorophenol)2-propionic acid (MCPP)</v>
      </c>
      <c r="C291" s="1286" t="str">
        <f>Param!AF291</f>
        <v>no</v>
      </c>
      <c r="D291" s="540">
        <f>Param!M291</f>
        <v>7.4407195421095696E-7</v>
      </c>
      <c r="E291" s="610" t="str">
        <f>'AR-Det'!F291</f>
        <v>na</v>
      </c>
      <c r="F291" s="633" t="str">
        <f>IF(OR($C291="no",$D291="na",E291="na",$D291=0),"na",E291/($D291*Eqtn!$D$377))</f>
        <v>na</v>
      </c>
      <c r="G291" s="824" t="str">
        <f>'AR-Det'!J291</f>
        <v>na</v>
      </c>
      <c r="H291" s="1512" t="str">
        <f>IF(OR($C291="No",$D291="na",G291="na",$D291=0),"na",G291/($D291*Eqtn!$D$377))</f>
        <v>na</v>
      </c>
      <c r="I291" s="1514" t="str">
        <f>'AR-Det'!N291</f>
        <v>na</v>
      </c>
      <c r="J291" s="1512" t="str">
        <f>IF(OR($C291="No",$D291="na",I291="na",$D291=0),"na",I291/($D291*Eqtn!$D$377))</f>
        <v>na</v>
      </c>
      <c r="K291" s="739" t="s">
        <v>232</v>
      </c>
      <c r="M291" s="1065"/>
    </row>
    <row r="292" spans="1:13" ht="13.9" customHeight="1" thickTop="1" x14ac:dyDescent="0.25">
      <c r="B292" s="280"/>
      <c r="C292" s="280"/>
      <c r="M292" s="968">
        <f>COUNTA(M4:M291)</f>
        <v>0</v>
      </c>
    </row>
    <row r="293" spans="1:13" ht="13.9" customHeight="1" x14ac:dyDescent="0.25">
      <c r="C293" s="280"/>
    </row>
    <row r="294" spans="1:13" ht="13.9" customHeight="1" x14ac:dyDescent="0.25">
      <c r="C294" s="280"/>
    </row>
    <row r="295" spans="1:13" ht="13.9" customHeight="1" x14ac:dyDescent="0.25">
      <c r="C295" s="280"/>
    </row>
    <row r="296" spans="1:13" ht="13.9" customHeight="1" x14ac:dyDescent="0.25">
      <c r="C296" s="280"/>
    </row>
    <row r="297" spans="1:13" ht="13.9" customHeight="1" x14ac:dyDescent="0.25">
      <c r="C297" s="280"/>
    </row>
    <row r="298" spans="1:13" ht="13.9" customHeight="1" x14ac:dyDescent="0.25">
      <c r="C298" s="944"/>
    </row>
    <row r="299" spans="1:13" ht="13.9" customHeight="1" x14ac:dyDescent="0.25">
      <c r="C299" s="280"/>
    </row>
    <row r="300" spans="1:13" ht="13.9" customHeight="1" x14ac:dyDescent="0.25">
      <c r="C300" s="280"/>
    </row>
    <row r="301" spans="1:13" ht="13.9" customHeight="1" x14ac:dyDescent="0.25">
      <c r="C301" s="280"/>
    </row>
    <row r="302" spans="1:13" ht="13.9" customHeight="1" x14ac:dyDescent="0.25">
      <c r="C302" s="280"/>
    </row>
    <row r="303" spans="1:13" ht="13.9" customHeight="1" x14ac:dyDescent="0.25">
      <c r="C303" s="280"/>
    </row>
    <row r="304" spans="1:13" ht="13.9" customHeight="1" x14ac:dyDescent="0.25">
      <c r="C304" s="280"/>
    </row>
    <row r="305" spans="2:3" ht="13.9" customHeight="1" x14ac:dyDescent="0.25">
      <c r="C305" s="280"/>
    </row>
    <row r="306" spans="2:3" ht="13.9" customHeight="1" x14ac:dyDescent="0.25">
      <c r="B306" s="280"/>
      <c r="C306" s="280"/>
    </row>
    <row r="307" spans="2:3" ht="13.9" customHeight="1" x14ac:dyDescent="0.25">
      <c r="B307" s="280"/>
      <c r="C307" s="280"/>
    </row>
    <row r="308" spans="2:3" ht="13.9" customHeight="1" x14ac:dyDescent="0.25">
      <c r="B308" s="280"/>
      <c r="C308" s="280"/>
    </row>
    <row r="309" spans="2:3" ht="13.9" customHeight="1" x14ac:dyDescent="0.25">
      <c r="B309" s="280"/>
      <c r="C309" s="280"/>
    </row>
    <row r="310" spans="2:3" ht="13.9" customHeight="1" x14ac:dyDescent="0.25">
      <c r="B310" s="280"/>
      <c r="C310" s="280"/>
    </row>
    <row r="311" spans="2:3" ht="13.9" customHeight="1" x14ac:dyDescent="0.25">
      <c r="B311" s="280"/>
      <c r="C311" s="280"/>
    </row>
    <row r="312" spans="2:3" ht="13.9" customHeight="1" x14ac:dyDescent="0.25">
      <c r="B312" s="280"/>
      <c r="C312" s="280"/>
    </row>
    <row r="313" spans="2:3" ht="13.9" customHeight="1" x14ac:dyDescent="0.25">
      <c r="B313" s="280"/>
      <c r="C313" s="280"/>
    </row>
    <row r="314" spans="2:3" ht="13.9" customHeight="1" x14ac:dyDescent="0.25">
      <c r="B314" s="280"/>
      <c r="C314" s="280"/>
    </row>
    <row r="315" spans="2:3" ht="13.9" customHeight="1" x14ac:dyDescent="0.25">
      <c r="B315" s="280"/>
      <c r="C315" s="280"/>
    </row>
    <row r="316" spans="2:3" ht="13.9" customHeight="1" x14ac:dyDescent="0.25">
      <c r="B316" s="280"/>
      <c r="C316" s="280"/>
    </row>
    <row r="317" spans="2:3" ht="13.9" customHeight="1" x14ac:dyDescent="0.25">
      <c r="B317" s="280"/>
      <c r="C317" s="280"/>
    </row>
  </sheetData>
  <autoFilter ref="A2:M280" xr:uid="{00000000-0009-0000-0000-000010000000}"/>
  <pageMargins left="0.7" right="0.7" top="0.75" bottom="0.75" header="0.3" footer="0.3"/>
  <pageSetup orientation="landscape" horizontalDpi="1200" verticalDpi="1200" r:id="rId1"/>
  <headerFooter>
    <oddFooter>&amp;RPage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BL311"/>
  <sheetViews>
    <sheetView zoomScaleNormal="100" zoomScaleSheetLayoutView="100" workbookViewId="0">
      <pane xSplit="2" ySplit="2" topLeftCell="AN258" activePane="bottomRight" state="frozen"/>
      <selection activeCell="B1" sqref="B1"/>
      <selection pane="topRight" activeCell="C1" sqref="C1"/>
      <selection pane="bottomLeft" activeCell="B3" sqref="B3"/>
      <selection pane="bottomRight" activeCell="AN267" sqref="AN267"/>
    </sheetView>
  </sheetViews>
  <sheetFormatPr defaultColWidth="8.85546875" defaultRowHeight="15" x14ac:dyDescent="0.25"/>
  <cols>
    <col min="1" max="1" width="5.42578125" style="1924" customWidth="1"/>
    <col min="2" max="2" width="34.140625" style="130" customWidth="1"/>
    <col min="3" max="3" width="10.28515625" style="11" customWidth="1"/>
    <col min="4" max="4" width="13.42578125" style="11" customWidth="1"/>
    <col min="5" max="5" width="13.28515625" style="11" customWidth="1"/>
    <col min="6" max="6" width="10.7109375" style="11" customWidth="1"/>
    <col min="7" max="10" width="14.140625" style="11" customWidth="1"/>
    <col min="11" max="11" width="13.7109375" style="11" customWidth="1"/>
    <col min="12" max="12" width="13.28515625" style="11" customWidth="1"/>
    <col min="13" max="14" width="16.140625" style="11" customWidth="1"/>
    <col min="15" max="16" width="14" style="11" customWidth="1"/>
    <col min="17" max="17" width="14.42578125" style="11" customWidth="1"/>
    <col min="18" max="21" width="12.7109375" style="11" customWidth="1"/>
    <col min="22" max="23" width="13.140625" style="11" customWidth="1"/>
    <col min="24" max="24" width="11" style="11" customWidth="1"/>
    <col min="25" max="25" width="11.5703125" style="11" customWidth="1"/>
    <col min="26" max="26" width="17.85546875" style="11" customWidth="1"/>
    <col min="27" max="29" width="12.7109375" style="11" customWidth="1"/>
    <col min="30" max="30" width="24.140625" style="11" customWidth="1"/>
    <col min="31" max="45" width="12.7109375" style="11" customWidth="1"/>
    <col min="46" max="46" width="3.7109375" style="130" customWidth="1"/>
    <col min="47" max="48" width="4.140625" style="130" customWidth="1"/>
    <col min="49" max="50" width="4.140625" style="11" customWidth="1"/>
    <col min="51" max="62" width="4.140625" style="130" customWidth="1"/>
    <col min="63" max="63" width="4.7109375" style="130" customWidth="1"/>
    <col min="64" max="64" width="11.7109375" style="11" customWidth="1"/>
    <col min="65" max="16384" width="8.85546875" style="130"/>
  </cols>
  <sheetData>
    <row r="1" spans="1:64" s="283" customFormat="1" ht="13.15" customHeight="1" thickTop="1" thickBot="1" x14ac:dyDescent="0.3">
      <c r="A1" s="1905"/>
      <c r="B1" s="248" t="s">
        <v>1700</v>
      </c>
      <c r="C1" s="296"/>
      <c r="D1" s="296"/>
      <c r="E1" s="296"/>
      <c r="F1" s="296"/>
      <c r="G1" s="239"/>
      <c r="H1" s="239"/>
      <c r="I1" s="239"/>
      <c r="J1" s="239"/>
      <c r="K1" s="239"/>
      <c r="L1" s="239"/>
      <c r="M1" s="239"/>
      <c r="N1" s="239"/>
      <c r="O1" s="239"/>
      <c r="P1" s="239"/>
      <c r="Q1" s="239"/>
      <c r="R1" s="239"/>
      <c r="S1" s="239"/>
      <c r="T1" s="239"/>
      <c r="U1" s="239"/>
      <c r="V1" s="239"/>
      <c r="W1" s="239"/>
      <c r="X1" s="239"/>
      <c r="Y1" s="239"/>
      <c r="Z1" s="239"/>
      <c r="AA1" s="239"/>
      <c r="AB1" s="239"/>
      <c r="AC1" s="239"/>
      <c r="AD1" s="239"/>
      <c r="AE1" s="1878"/>
      <c r="AF1" s="1878"/>
      <c r="AG1" s="239"/>
      <c r="AH1" s="239"/>
      <c r="AI1" s="239"/>
      <c r="AJ1" s="239"/>
      <c r="AK1" s="1878"/>
      <c r="AL1" s="1878"/>
      <c r="AM1" s="239"/>
      <c r="AN1" s="239"/>
      <c r="AO1" s="239"/>
      <c r="AP1" s="239"/>
      <c r="AQ1" s="239"/>
      <c r="AR1" s="239"/>
      <c r="AS1" s="239"/>
      <c r="AU1" s="2675" t="s">
        <v>441</v>
      </c>
      <c r="AV1" s="2675"/>
      <c r="AW1" s="2675"/>
      <c r="AX1" s="2675"/>
      <c r="AY1" s="2675" t="s">
        <v>442</v>
      </c>
      <c r="AZ1" s="2675"/>
      <c r="BA1" s="2675"/>
      <c r="BB1" s="2676"/>
      <c r="BC1" s="2677" t="s">
        <v>660</v>
      </c>
      <c r="BD1" s="2678"/>
      <c r="BE1" s="2678"/>
      <c r="BF1" s="2678"/>
      <c r="BG1" s="2678"/>
      <c r="BH1" s="2678"/>
      <c r="BI1" s="2678"/>
      <c r="BJ1" s="2679"/>
      <c r="BL1" s="296"/>
    </row>
    <row r="2" spans="1:64" s="357" customFormat="1" ht="102" customHeight="1" thickTop="1" thickBot="1" x14ac:dyDescent="0.25">
      <c r="A2" s="1906" t="s">
        <v>445</v>
      </c>
      <c r="B2" s="1756" t="s">
        <v>648</v>
      </c>
      <c r="C2" s="1738" t="s">
        <v>456</v>
      </c>
      <c r="D2" s="1738" t="s">
        <v>1734</v>
      </c>
      <c r="E2" s="1738" t="s">
        <v>1735</v>
      </c>
      <c r="F2" s="1738" t="s">
        <v>485</v>
      </c>
      <c r="G2" s="1738" t="s">
        <v>1726</v>
      </c>
      <c r="H2" s="1738" t="s">
        <v>1727</v>
      </c>
      <c r="I2" s="1738" t="s">
        <v>1728</v>
      </c>
      <c r="J2" s="1738" t="s">
        <v>1729</v>
      </c>
      <c r="K2" s="1738" t="s">
        <v>1736</v>
      </c>
      <c r="L2" s="1738" t="s">
        <v>1737</v>
      </c>
      <c r="M2" s="1738" t="s">
        <v>1730</v>
      </c>
      <c r="N2" s="1738" t="s">
        <v>1731</v>
      </c>
      <c r="O2" s="1738" t="s">
        <v>1732</v>
      </c>
      <c r="P2" s="1738" t="s">
        <v>1733</v>
      </c>
      <c r="Q2" s="1738" t="s">
        <v>292</v>
      </c>
      <c r="R2" s="1738" t="s">
        <v>291</v>
      </c>
      <c r="S2" s="1738" t="s">
        <v>290</v>
      </c>
      <c r="T2" s="1738" t="s">
        <v>289</v>
      </c>
      <c r="U2" s="1738" t="s">
        <v>655</v>
      </c>
      <c r="V2" s="1738" t="s">
        <v>656</v>
      </c>
      <c r="W2" s="1738" t="s">
        <v>1738</v>
      </c>
      <c r="X2" s="1738" t="s">
        <v>261</v>
      </c>
      <c r="Y2" s="1727" t="s">
        <v>657</v>
      </c>
      <c r="Z2" s="1727" t="s">
        <v>666</v>
      </c>
      <c r="AA2" s="1738" t="s">
        <v>526</v>
      </c>
      <c r="AB2" s="1738" t="s">
        <v>527</v>
      </c>
      <c r="AC2" s="1738" t="s">
        <v>528</v>
      </c>
      <c r="AD2" s="1738" t="s">
        <v>529</v>
      </c>
      <c r="AE2" s="1738" t="s">
        <v>530</v>
      </c>
      <c r="AF2" s="1738" t="s">
        <v>531</v>
      </c>
      <c r="AG2" s="1738" t="s">
        <v>532</v>
      </c>
      <c r="AH2" s="1738" t="s">
        <v>533</v>
      </c>
      <c r="AI2" s="1738" t="s">
        <v>534</v>
      </c>
      <c r="AJ2" s="1738" t="s">
        <v>535</v>
      </c>
      <c r="AK2" s="1738" t="s">
        <v>536</v>
      </c>
      <c r="AL2" s="1738" t="s">
        <v>537</v>
      </c>
      <c r="AM2" s="1738" t="s">
        <v>463</v>
      </c>
      <c r="AN2" s="1738" t="s">
        <v>522</v>
      </c>
      <c r="AO2" s="1738" t="s">
        <v>523</v>
      </c>
      <c r="AP2" s="1738" t="s">
        <v>524</v>
      </c>
      <c r="AQ2" s="1738" t="s">
        <v>525</v>
      </c>
      <c r="AR2" s="1727" t="s">
        <v>420</v>
      </c>
      <c r="AS2" s="1743" t="s">
        <v>632</v>
      </c>
      <c r="AU2" s="744" t="s">
        <v>260</v>
      </c>
      <c r="AV2" s="743" t="s">
        <v>121</v>
      </c>
      <c r="AW2" s="745" t="s">
        <v>122</v>
      </c>
      <c r="AX2" s="745" t="s">
        <v>230</v>
      </c>
      <c r="AY2" s="744" t="s">
        <v>462</v>
      </c>
      <c r="AZ2" s="743" t="s">
        <v>121</v>
      </c>
      <c r="BA2" s="745" t="s">
        <v>658</v>
      </c>
      <c r="BB2" s="2202" t="s">
        <v>230</v>
      </c>
      <c r="BC2" s="2203" t="s">
        <v>665</v>
      </c>
      <c r="BD2" s="745" t="s">
        <v>121</v>
      </c>
      <c r="BE2" s="745" t="s">
        <v>646</v>
      </c>
      <c r="BF2" s="745" t="s">
        <v>659</v>
      </c>
      <c r="BG2" s="745" t="s">
        <v>661</v>
      </c>
      <c r="BH2" s="745" t="s">
        <v>662</v>
      </c>
      <c r="BI2" s="745" t="s">
        <v>663</v>
      </c>
      <c r="BJ2" s="746" t="s">
        <v>664</v>
      </c>
      <c r="BL2" s="1879" t="s">
        <v>465</v>
      </c>
    </row>
    <row r="3" spans="1:64" ht="13.9" customHeight="1" thickTop="1" x14ac:dyDescent="0.25">
      <c r="A3" s="1907">
        <f>Chem!A3</f>
        <v>1</v>
      </c>
      <c r="B3" s="1899" t="str">
        <f>Chem!B3</f>
        <v>PCBs</v>
      </c>
      <c r="C3" s="297"/>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1791"/>
      <c r="AU3" s="250" t="str">
        <f>B3</f>
        <v>PCBs</v>
      </c>
      <c r="AV3" s="331"/>
      <c r="AW3" s="742"/>
      <c r="AX3" s="742"/>
      <c r="AY3" s="331"/>
      <c r="AZ3" s="331"/>
      <c r="BA3" s="331"/>
      <c r="BB3" s="331"/>
      <c r="BC3" s="331"/>
      <c r="BD3" s="331"/>
      <c r="BE3" s="331"/>
      <c r="BF3" s="331"/>
      <c r="BG3" s="331"/>
      <c r="BH3" s="331"/>
      <c r="BI3" s="331"/>
      <c r="BJ3" s="332"/>
      <c r="BL3" s="1900"/>
    </row>
    <row r="4" spans="1:64" ht="13.9" customHeight="1" x14ac:dyDescent="0.25">
      <c r="A4" s="1908">
        <f>Chem!A4</f>
        <v>2</v>
      </c>
      <c r="B4" s="1880" t="str">
        <f>Chem!B4</f>
        <v>Total PCB Aroclors</v>
      </c>
      <c r="C4" s="395" t="str">
        <f>Param!AK4</f>
        <v>YES</v>
      </c>
      <c r="D4" s="316">
        <f>IF(ISNUMBER(Param!AN4),Param!AN4,Param!AM4)</f>
        <v>2E-3</v>
      </c>
      <c r="E4" s="298" t="s">
        <v>232</v>
      </c>
      <c r="F4" s="642">
        <v>1.2E-2</v>
      </c>
      <c r="G4" s="567">
        <v>12</v>
      </c>
      <c r="H4" s="567">
        <v>0.13</v>
      </c>
      <c r="I4" s="298">
        <v>65</v>
      </c>
      <c r="J4" s="298">
        <v>1</v>
      </c>
      <c r="K4" s="218">
        <f>IF(C4="YES",'SD-Eq'!V4,"na")</f>
        <v>0.54171422715703033</v>
      </c>
      <c r="L4" s="298">
        <f>IF(C4="YES",'SD-Eq'!Z4,"na")</f>
        <v>5.4171422715703041</v>
      </c>
      <c r="M4" s="436">
        <f>IF($C4="YES",IF(OR(ISNUMBER($D4),ISNUMBER($F4)),MAX($D4,$F4),"PQL"),"na")</f>
        <v>1.2E-2</v>
      </c>
      <c r="N4" s="298">
        <f>IF($C4="YES",IF(OR(ISNUMBER($D4),ISNUMBER($E4),ISNUMBER($F4)),MAX($D4:$F4),"PQL"),"na")</f>
        <v>1.2E-2</v>
      </c>
      <c r="O4" s="1792">
        <f>IF(OR(ISNUMBER(H4),ISNUMBER(K4),ISNUMBER(M4)),MIN(H4,K4,M4),"na")</f>
        <v>1.2E-2</v>
      </c>
      <c r="P4" s="298">
        <f>IF(OR(ISNUMBER(J4),ISNUMBER(L4),ISNUMBER(N4)),MIN(J4,L4,N4),"na")</f>
        <v>1.2E-2</v>
      </c>
      <c r="Q4" s="419">
        <v>2E-3</v>
      </c>
      <c r="R4" s="419">
        <v>1.3</v>
      </c>
      <c r="S4" s="419">
        <v>0.5</v>
      </c>
      <c r="T4" s="419">
        <v>1.7</v>
      </c>
      <c r="U4" s="419" t="s">
        <v>232</v>
      </c>
      <c r="V4" s="419">
        <v>12</v>
      </c>
      <c r="W4" s="419">
        <f>IF(ISNUMBER(V4),H4,"na")</f>
        <v>0.13</v>
      </c>
      <c r="X4" s="419">
        <v>0.128</v>
      </c>
      <c r="Y4" s="1886">
        <f>IF(OR(ISNUMBER(Q4),ISNUMBER(R4),ISNUMBER(S4),ISNUMBER(T4),ISNUMBER(X4)),MIN(Q4:T4,X4),"na")</f>
        <v>2E-3</v>
      </c>
      <c r="Z4" s="1886">
        <f>IF(OR(ISNUMBER(U4),ISNUMBER(W4),ISNUMBER(Y4)),MIN(U4,W4,Y4),O4)</f>
        <v>2E-3</v>
      </c>
      <c r="AA4" s="1887">
        <f>$H4</f>
        <v>0.13</v>
      </c>
      <c r="AB4" s="1887">
        <f t="shared" ref="AB4:AC4" si="0">$H4</f>
        <v>0.13</v>
      </c>
      <c r="AC4" s="1887">
        <f t="shared" si="0"/>
        <v>0.13</v>
      </c>
      <c r="AD4" s="1887">
        <f>3*$H4</f>
        <v>0.39</v>
      </c>
      <c r="AE4" s="1887">
        <f>5.4*$H4</f>
        <v>0.70200000000000007</v>
      </c>
      <c r="AF4" s="1887">
        <f>8*$H4</f>
        <v>1.04</v>
      </c>
      <c r="AG4" s="1887">
        <f>8*$H4</f>
        <v>1.04</v>
      </c>
      <c r="AH4" s="1887">
        <f>$H4</f>
        <v>0.13</v>
      </c>
      <c r="AI4" s="1887">
        <f>$H4</f>
        <v>0.13</v>
      </c>
      <c r="AJ4" s="1887">
        <f>3*$H4</f>
        <v>0.39</v>
      </c>
      <c r="AK4" s="1887">
        <f>16*$H4</f>
        <v>2.08</v>
      </c>
      <c r="AL4" s="1887">
        <f>16*$H4</f>
        <v>2.08</v>
      </c>
      <c r="AM4" s="1887">
        <f>$H4</f>
        <v>0.13</v>
      </c>
      <c r="AN4" s="298">
        <f>IF(MIN(AA4,AB4)=0,"na",MIN(AA4,AB4))</f>
        <v>0.13</v>
      </c>
      <c r="AO4" s="298">
        <f>IF(MIN(AC4:AF4)=0,"na",MIN(AC4:AF4))</f>
        <v>0.13</v>
      </c>
      <c r="AP4" s="298">
        <f>IF(MIN(AG4,AH4)=0,"na",MIN(AG4,AH4))</f>
        <v>0.13</v>
      </c>
      <c r="AQ4" s="298">
        <f>IF(MIN(AI4:AL4)=0,"na",MIN(AI4:AL4))</f>
        <v>0.13</v>
      </c>
      <c r="AR4" s="1887">
        <f>IF(MIN(AA4:AM4)=0,"na",MIN(AA4:AM4))</f>
        <v>0.13</v>
      </c>
      <c r="AS4" s="1793"/>
      <c r="AU4" s="1331" t="str">
        <f>IF($O4="na","",IF($O4=D4,"X",""))</f>
        <v/>
      </c>
      <c r="AV4" s="1111" t="str">
        <f>IF(OR($O4="PQL",AND(ISNUMBER($F4),$O4=F4)),"X","")</f>
        <v>X</v>
      </c>
      <c r="AW4" s="1111" t="str">
        <f>IF($O4="na","",IF($O4=H4,"X",""))</f>
        <v/>
      </c>
      <c r="AX4" s="1111" t="str">
        <f>IF($O4="na","",IF($O4=$K4,"X",""))</f>
        <v/>
      </c>
      <c r="AY4" s="1110" t="str">
        <f>IF($P4="na","",IF($P4=E4,"X",""))</f>
        <v/>
      </c>
      <c r="AZ4" s="1111" t="str">
        <f>IF(OR($P4="PQL",AND(ISNUMBER($F4),$P4=F4)),"X","")</f>
        <v>X</v>
      </c>
      <c r="BA4" s="1111" t="str">
        <f>IF($P4="na","",IF($P4=J4,"X",""))</f>
        <v/>
      </c>
      <c r="BB4" s="1703" t="str">
        <f>IF($P4="na","",IF($P4=$L4,"X",""))</f>
        <v/>
      </c>
      <c r="BC4" s="1468" t="str">
        <f>IF($Z4="na","",IF($Z4=D4,"X",""))</f>
        <v>X</v>
      </c>
      <c r="BD4" s="1469" t="str">
        <f>IF($Z4="na","",IF($Z4=F4,"X",""))</f>
        <v/>
      </c>
      <c r="BE4" s="1469" t="str">
        <f>IF($Z4="na","",IF($Z4=H4,"X",""))</f>
        <v/>
      </c>
      <c r="BF4" s="1469" t="str">
        <f>IF($Z4="na","",IF($Z4=K4,"X",""))</f>
        <v/>
      </c>
      <c r="BG4" s="1469" t="str">
        <f>IF($Z4="na","",IF($Z4=Q4,"X",""))</f>
        <v>X</v>
      </c>
      <c r="BH4" s="1469" t="str">
        <f>IF($Z4="na","",IF(OR($Z4=R4,$Z4=S4,$Z4=T4),"X",""))</f>
        <v/>
      </c>
      <c r="BI4" s="1469" t="str">
        <f>IF($Z4="na","",IF(OR($Z4=U4,$Z4=W4),"X",""))</f>
        <v/>
      </c>
      <c r="BJ4" s="1470" t="str">
        <f>IF($Z4="na","",IF($Z4=X4,"X",""))</f>
        <v/>
      </c>
      <c r="BL4" s="1885"/>
    </row>
    <row r="5" spans="1:64" ht="13.9" customHeight="1" x14ac:dyDescent="0.25">
      <c r="A5" s="1908">
        <f>Chem!A5</f>
        <v>3</v>
      </c>
      <c r="B5" s="1880" t="str">
        <f>Chem!B5</f>
        <v>Total PCB congeners</v>
      </c>
      <c r="C5" s="394" t="str">
        <f>Param!AK5</f>
        <v>YES</v>
      </c>
      <c r="D5" s="317">
        <f>IF(ISNUMBER(Param!AN5),Param!AN5,Param!AM5)</f>
        <v>3.5000000000000001E-3</v>
      </c>
      <c r="E5" s="273" t="s">
        <v>232</v>
      </c>
      <c r="F5" s="643" t="s">
        <v>232</v>
      </c>
      <c r="G5" s="550">
        <v>12</v>
      </c>
      <c r="H5" s="550">
        <v>0.13</v>
      </c>
      <c r="I5" s="273">
        <v>65</v>
      </c>
      <c r="J5" s="273">
        <v>1</v>
      </c>
      <c r="K5" s="219">
        <f>IF(C5="YES",'SD-Eq'!V5,"na")</f>
        <v>0.54171422715703033</v>
      </c>
      <c r="L5" s="273">
        <f>IF(C5="YES",'SD-Eq'!Z5,"na")</f>
        <v>5.4171422715703041</v>
      </c>
      <c r="M5" s="436">
        <f t="shared" ref="M5:M6" si="1">IF($C5="YES",IF(OR(ISNUMBER($D5),ISNUMBER($F5)),MAX($D5,$F5),"PQL"),"na")</f>
        <v>3.5000000000000001E-3</v>
      </c>
      <c r="N5" s="298">
        <f t="shared" ref="N5:N6" si="2">IF($C5="YES",IF(OR(ISNUMBER($D5),ISNUMBER($E5),ISNUMBER($F5)),MAX($D5:$F5),"PQL"),"na")</f>
        <v>3.5000000000000001E-3</v>
      </c>
      <c r="O5" s="1794">
        <f>IF(OR(ISNUMBER(H5),ISNUMBER(K5),ISNUMBER(M5)),MIN(H5,K5,M5),"na")</f>
        <v>3.5000000000000001E-3</v>
      </c>
      <c r="P5" s="1789">
        <f>IF(OR(ISNUMBER(J5),ISNUMBER(L5),ISNUMBER(N5)),MIN(J5,L5,N5),"na")</f>
        <v>3.5000000000000001E-3</v>
      </c>
      <c r="Q5" s="418" t="s">
        <v>232</v>
      </c>
      <c r="R5" s="418" t="s">
        <v>232</v>
      </c>
      <c r="S5" s="418" t="s">
        <v>232</v>
      </c>
      <c r="T5" s="418" t="s">
        <v>232</v>
      </c>
      <c r="U5" s="418" t="s">
        <v>232</v>
      </c>
      <c r="V5" s="418" t="s">
        <v>232</v>
      </c>
      <c r="W5" s="418" t="str">
        <f>IF(ISNUMBER(V5),H5,"na")</f>
        <v>na</v>
      </c>
      <c r="X5" s="418" t="s">
        <v>232</v>
      </c>
      <c r="Y5" s="1884" t="str">
        <f t="shared" ref="Y5:Y6" si="3">IF(OR(ISNUMBER(Q5),ISNUMBER(R5),ISNUMBER(S5),ISNUMBER(T5),ISNUMBER(X5)),MIN(Q5:T5,X5),"na")</f>
        <v>na</v>
      </c>
      <c r="Z5" s="1884">
        <f t="shared" ref="Z5:Z6" si="4">IF(OR(ISNUMBER(U5),ISNUMBER(W5),ISNUMBER(Y5)),MIN(U5,W5,Y5),O5)</f>
        <v>3.5000000000000001E-3</v>
      </c>
      <c r="AA5" s="1887">
        <f>AA4</f>
        <v>0.13</v>
      </c>
      <c r="AB5" s="1887">
        <f t="shared" ref="AB5:AM5" si="5">AB4</f>
        <v>0.13</v>
      </c>
      <c r="AC5" s="1887">
        <f t="shared" si="5"/>
        <v>0.13</v>
      </c>
      <c r="AD5" s="1887">
        <f t="shared" si="5"/>
        <v>0.39</v>
      </c>
      <c r="AE5" s="1887">
        <f t="shared" si="5"/>
        <v>0.70200000000000007</v>
      </c>
      <c r="AF5" s="1887">
        <f t="shared" si="5"/>
        <v>1.04</v>
      </c>
      <c r="AG5" s="1887">
        <f t="shared" si="5"/>
        <v>1.04</v>
      </c>
      <c r="AH5" s="1887">
        <f t="shared" si="5"/>
        <v>0.13</v>
      </c>
      <c r="AI5" s="1887">
        <f t="shared" si="5"/>
        <v>0.13</v>
      </c>
      <c r="AJ5" s="1887">
        <f t="shared" si="5"/>
        <v>0.39</v>
      </c>
      <c r="AK5" s="1887">
        <f t="shared" si="5"/>
        <v>2.08</v>
      </c>
      <c r="AL5" s="1887">
        <f t="shared" si="5"/>
        <v>2.08</v>
      </c>
      <c r="AM5" s="1887">
        <f t="shared" si="5"/>
        <v>0.13</v>
      </c>
      <c r="AN5" s="273">
        <f>IF(MIN(AA5,AB5)=0,"na",MIN(AA5,AB5))</f>
        <v>0.13</v>
      </c>
      <c r="AO5" s="273">
        <f t="shared" ref="AO5:AO6" si="6">IF(MIN(AC5:AF5)=0,"na",MIN(AC5:AF5))</f>
        <v>0.13</v>
      </c>
      <c r="AP5" s="273">
        <f t="shared" ref="AP5:AP6" si="7">IF(MIN(AG5,AH5)=0,"na",MIN(AG5,AH5))</f>
        <v>0.13</v>
      </c>
      <c r="AQ5" s="273">
        <f t="shared" ref="AQ5:AQ6" si="8">IF(MIN(AI5:AL5)=0,"na",MIN(AI5:AL5))</f>
        <v>0.13</v>
      </c>
      <c r="AR5" s="1789">
        <f>IF(MIN(AA5:AM5)=0,"na",MIN(AA5:AM5))</f>
        <v>0.13</v>
      </c>
      <c r="AS5" s="1051"/>
      <c r="AU5" s="1332" t="str">
        <f>IF($O5="na","",IF($O5=D5,"X",""))</f>
        <v>X</v>
      </c>
      <c r="AV5" s="1114" t="str">
        <f>IF(OR($O5="PQL",AND(ISNUMBER($F5),$O5=F5)),"X","")</f>
        <v/>
      </c>
      <c r="AW5" s="1114" t="str">
        <f>IF($O5="na","",IF($O5=H5,"X",""))</f>
        <v/>
      </c>
      <c r="AX5" s="1114" t="str">
        <f>IF($O5="na","",IF($O5=$K5,"X",""))</f>
        <v/>
      </c>
      <c r="AY5" s="1113" t="str">
        <f>IF($P5="na","",IF($P5=E5,"X",""))</f>
        <v/>
      </c>
      <c r="AZ5" s="1114" t="str">
        <f>IF(OR($P5="PQL",AND(ISNUMBER($F5),$P5=F5)),"X","")</f>
        <v/>
      </c>
      <c r="BA5" s="1114" t="str">
        <f>IF($P5="na","",IF($P5=J5,"X",""))</f>
        <v/>
      </c>
      <c r="BB5" s="1704" t="str">
        <f>IF($P5="na","",IF($P5=$L5,"X",""))</f>
        <v/>
      </c>
      <c r="BC5" s="1113" t="str">
        <f>IF($Z5="na","",IF($Z5=D5,"X",""))</f>
        <v>X</v>
      </c>
      <c r="BD5" s="1114" t="str">
        <f>IF($Z5="na","",IF($Z5=F5,"X",""))</f>
        <v/>
      </c>
      <c r="BE5" s="1114" t="str">
        <f>IF($Z5="na","",IF($Z5=H5,"X",""))</f>
        <v/>
      </c>
      <c r="BF5" s="1114" t="str">
        <f>IF($Z5="na","",IF($Z5=K5,"X",""))</f>
        <v/>
      </c>
      <c r="BG5" s="1114" t="str">
        <f t="shared" ref="BG5:BG6" si="9">IF($Z5="na","",IF($Z5=Q5,"X",""))</f>
        <v/>
      </c>
      <c r="BH5" s="1114" t="str">
        <f t="shared" ref="BH5:BH6" si="10">IF($Z5="na","",IF(OR($Z5=R5,$Z5=S5,$Z5=T5),"X",""))</f>
        <v/>
      </c>
      <c r="BI5" s="1114" t="str">
        <f t="shared" ref="BI5:BI6" si="11">IF($Z5="na","",IF(OR($Z5=U5,$Z5=W5),"X",""))</f>
        <v/>
      </c>
      <c r="BJ5" s="1115" t="str">
        <f t="shared" ref="BJ5:BJ6" si="12">IF($Z5="na","",IF($Z5=X5,"X",""))</f>
        <v/>
      </c>
      <c r="BL5" s="1885"/>
    </row>
    <row r="6" spans="1:64" ht="13.9" customHeight="1" x14ac:dyDescent="0.25">
      <c r="A6" s="1908">
        <f>Chem!A6</f>
        <v>4</v>
      </c>
      <c r="B6" s="1880" t="str">
        <f>Chem!B6</f>
        <v>Total PCB TEQ</v>
      </c>
      <c r="C6" s="394" t="str">
        <f>Param!AK6</f>
        <v>YES</v>
      </c>
      <c r="D6" s="317">
        <f>IF(ISNUMBER(Param!AN6),Param!AN6,Param!AM6)</f>
        <v>1.9999999999999999E-7</v>
      </c>
      <c r="E6" s="273" t="s">
        <v>232</v>
      </c>
      <c r="F6" s="643">
        <v>6.9999999999999997E-7</v>
      </c>
      <c r="G6" s="550" t="s">
        <v>232</v>
      </c>
      <c r="H6" s="550" t="s">
        <v>232</v>
      </c>
      <c r="I6" s="273" t="s">
        <v>232</v>
      </c>
      <c r="J6" s="273" t="s">
        <v>232</v>
      </c>
      <c r="K6" s="219">
        <f>IF(C6="YES",'SD-Eq'!V6,"na")</f>
        <v>2.3304900059546648E-5</v>
      </c>
      <c r="L6" s="273">
        <f>IF(C6="YES",'SD-Eq'!Z6,"na")</f>
        <v>2.330490005954665E-4</v>
      </c>
      <c r="M6" s="436">
        <f t="shared" si="1"/>
        <v>6.9999999999999997E-7</v>
      </c>
      <c r="N6" s="298">
        <f t="shared" si="2"/>
        <v>6.9999999999999997E-7</v>
      </c>
      <c r="O6" s="1794">
        <f>IF(OR(ISNUMBER(H6),ISNUMBER(K6),ISNUMBER(M6)),MIN(H6,K6,M6),"na")</f>
        <v>6.9999999999999997E-7</v>
      </c>
      <c r="P6" s="1789">
        <f>IF(OR(ISNUMBER(J6),ISNUMBER(L6),ISNUMBER(N6)),MIN(J6,L6,N6),"na")</f>
        <v>6.9999999999999997E-7</v>
      </c>
      <c r="Q6" s="418" t="s">
        <v>232</v>
      </c>
      <c r="R6" s="418" t="s">
        <v>232</v>
      </c>
      <c r="S6" s="418" t="s">
        <v>232</v>
      </c>
      <c r="T6" s="418" t="s">
        <v>232</v>
      </c>
      <c r="U6" s="418" t="s">
        <v>232</v>
      </c>
      <c r="V6" s="418" t="s">
        <v>232</v>
      </c>
      <c r="W6" s="418" t="str">
        <f>IF(ISNUMBER(V6),H6,"na")</f>
        <v>na</v>
      </c>
      <c r="X6" s="418" t="s">
        <v>232</v>
      </c>
      <c r="Y6" s="1884" t="str">
        <f t="shared" si="3"/>
        <v>na</v>
      </c>
      <c r="Z6" s="1884">
        <f t="shared" si="4"/>
        <v>6.9999999999999997E-7</v>
      </c>
      <c r="AA6" s="1789" t="s">
        <v>232</v>
      </c>
      <c r="AB6" s="1789" t="s">
        <v>232</v>
      </c>
      <c r="AC6" s="273" t="s">
        <v>232</v>
      </c>
      <c r="AD6" s="273" t="s">
        <v>232</v>
      </c>
      <c r="AE6" s="273" t="s">
        <v>232</v>
      </c>
      <c r="AF6" s="273" t="s">
        <v>232</v>
      </c>
      <c r="AG6" s="273" t="s">
        <v>232</v>
      </c>
      <c r="AH6" s="273" t="s">
        <v>232</v>
      </c>
      <c r="AI6" s="273" t="s">
        <v>232</v>
      </c>
      <c r="AJ6" s="273" t="s">
        <v>232</v>
      </c>
      <c r="AK6" s="273" t="s">
        <v>232</v>
      </c>
      <c r="AL6" s="273" t="s">
        <v>232</v>
      </c>
      <c r="AM6" s="273" t="s">
        <v>232</v>
      </c>
      <c r="AN6" s="273" t="str">
        <f>IF(MIN(AA6,AB6)=0,"na",MIN(AA6,AB6))</f>
        <v>na</v>
      </c>
      <c r="AO6" s="273" t="str">
        <f t="shared" si="6"/>
        <v>na</v>
      </c>
      <c r="AP6" s="273" t="str">
        <f t="shared" si="7"/>
        <v>na</v>
      </c>
      <c r="AQ6" s="273" t="str">
        <f t="shared" si="8"/>
        <v>na</v>
      </c>
      <c r="AR6" s="1789" t="str">
        <f>IF(MIN(AA6:AM6)=0,"na",MIN(AA6:AM6))</f>
        <v>na</v>
      </c>
      <c r="AS6" s="1795"/>
      <c r="AU6" s="1333" t="str">
        <f>IF($O6="na","",IF($O6=D6,"X",""))</f>
        <v/>
      </c>
      <c r="AV6" s="1117" t="str">
        <f>IF(OR($O6="PQL",AND(ISNUMBER($F6),$O6=F6)),"X","")</f>
        <v>X</v>
      </c>
      <c r="AW6" s="1117" t="str">
        <f>IF($O6="na","",IF($O6=H6,"X",""))</f>
        <v/>
      </c>
      <c r="AX6" s="1117" t="str">
        <f>IF($O6="na","",IF($O6=$K6,"X",""))</f>
        <v/>
      </c>
      <c r="AY6" s="1116" t="str">
        <f>IF($P6="na","",IF($P6=E6,"X",""))</f>
        <v/>
      </c>
      <c r="AZ6" s="1117" t="str">
        <f>IF(OR($P6="PQL",AND(ISNUMBER($F6),$P6=F6)),"X","")</f>
        <v>X</v>
      </c>
      <c r="BA6" s="1117" t="str">
        <f>IF($P6="na","",IF($P6=J6,"X",""))</f>
        <v/>
      </c>
      <c r="BB6" s="1707" t="str">
        <f>IF($P6="na","",IF($P6=$L6,"X",""))</f>
        <v/>
      </c>
      <c r="BC6" s="1336" t="str">
        <f>IF($Z6="na","",IF($Z6=D6,"X",""))</f>
        <v/>
      </c>
      <c r="BD6" s="1337" t="str">
        <f>IF($Z6="na","",IF($Z6=F6,"X",""))</f>
        <v>X</v>
      </c>
      <c r="BE6" s="1337" t="str">
        <f>IF($Z6="na","",IF($Z6=H6,"X",""))</f>
        <v/>
      </c>
      <c r="BF6" s="1337" t="str">
        <f>IF($Z6="na","",IF($Z6=K6,"X",""))</f>
        <v/>
      </c>
      <c r="BG6" s="1337" t="str">
        <f t="shared" si="9"/>
        <v/>
      </c>
      <c r="BH6" s="1337" t="str">
        <f t="shared" si="10"/>
        <v/>
      </c>
      <c r="BI6" s="1337" t="str">
        <f t="shared" si="11"/>
        <v/>
      </c>
      <c r="BJ6" s="1338" t="str">
        <f t="shared" si="12"/>
        <v/>
      </c>
      <c r="BL6" s="1885"/>
    </row>
    <row r="7" spans="1:64" ht="13.9" customHeight="1" x14ac:dyDescent="0.25">
      <c r="A7" s="1909">
        <f>Chem!A7</f>
        <v>5</v>
      </c>
      <c r="B7" s="1899" t="str">
        <f>Chem!B7</f>
        <v xml:space="preserve">Dioxins/Furans </v>
      </c>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366"/>
      <c r="AU7" s="258" t="str">
        <f>B7</f>
        <v xml:space="preserve">Dioxins/Furans </v>
      </c>
      <c r="AV7" s="2372"/>
      <c r="AW7" s="2372"/>
      <c r="AX7" s="2372"/>
      <c r="AY7" s="2372"/>
      <c r="AZ7" s="2372"/>
      <c r="BA7" s="2372"/>
      <c r="BB7" s="2372"/>
      <c r="BC7" s="2372"/>
      <c r="BD7" s="2372"/>
      <c r="BE7" s="2372"/>
      <c r="BF7" s="2372"/>
      <c r="BG7" s="2372"/>
      <c r="BH7" s="2372"/>
      <c r="BI7" s="2372"/>
      <c r="BJ7" s="2373"/>
      <c r="BL7" s="1901"/>
    </row>
    <row r="8" spans="1:64" ht="13.9" customHeight="1" x14ac:dyDescent="0.25">
      <c r="A8" s="1910">
        <f>Chem!A8</f>
        <v>6</v>
      </c>
      <c r="B8" s="1880" t="str">
        <f>Chem!B8</f>
        <v>Total dioxin/furan TEQ</v>
      </c>
      <c r="C8" s="390" t="str">
        <f>Param!AK8</f>
        <v>YES</v>
      </c>
      <c r="D8" s="570">
        <f>IF(ISNUMBER(Param!AN8),Param!AN8,Param!AM8)</f>
        <v>1.9999999999999999E-6</v>
      </c>
      <c r="E8" s="299" t="s">
        <v>232</v>
      </c>
      <c r="F8" s="644">
        <v>5.0000000000000004E-6</v>
      </c>
      <c r="G8" s="568" t="s">
        <v>232</v>
      </c>
      <c r="H8" s="568" t="s">
        <v>232</v>
      </c>
      <c r="I8" s="299" t="s">
        <v>232</v>
      </c>
      <c r="J8" s="299" t="s">
        <v>232</v>
      </c>
      <c r="K8" s="220">
        <f>IF(C8="YES",'SD-Eq'!V8,"na")</f>
        <v>2.3304900059546648E-5</v>
      </c>
      <c r="L8" s="299">
        <f>IF(C8="YES",'SD-Eq'!Z8,"na")</f>
        <v>2.330490005954665E-4</v>
      </c>
      <c r="M8" s="436">
        <f t="shared" ref="M8:M20" si="13">IF($C8="YES",IF(OR(ISNUMBER($D8),ISNUMBER($F8)),MAX($D8,$F8),"PQL"),"na")</f>
        <v>5.0000000000000004E-6</v>
      </c>
      <c r="N8" s="298">
        <f t="shared" ref="N8:N11" si="14">IF($C8="YES",IF(OR(ISNUMBER($D8),ISNUMBER($E8),ISNUMBER($F8)),MAX($D8:$F8),"PQL"),"na")</f>
        <v>5.0000000000000004E-6</v>
      </c>
      <c r="O8" s="1796">
        <f>IF(OR(ISNUMBER(H8),ISNUMBER(K8),ISNUMBER(M8)),MIN(H8,K8,M8),"na")</f>
        <v>5.0000000000000004E-6</v>
      </c>
      <c r="P8" s="1797">
        <f>IF(OR(ISNUMBER(J8),ISNUMBER(L8),ISNUMBER(N8)),MIN(J8,L8,N8),"na")</f>
        <v>5.0000000000000004E-6</v>
      </c>
      <c r="Q8" s="645">
        <v>1.9999999999999999E-6</v>
      </c>
      <c r="R8" s="645">
        <v>3.6999999999999998E-5</v>
      </c>
      <c r="S8" s="645">
        <v>1.2999999999999999E-5</v>
      </c>
      <c r="T8" s="645">
        <v>2.8E-5</v>
      </c>
      <c r="U8" s="645" t="s">
        <v>232</v>
      </c>
      <c r="V8" s="645" t="s">
        <v>232</v>
      </c>
      <c r="W8" s="645" t="str">
        <f>IF(ISNUMBER(V8),H8,"na")</f>
        <v>na</v>
      </c>
      <c r="X8" s="645" t="s">
        <v>232</v>
      </c>
      <c r="Y8" s="1881">
        <f t="shared" ref="Y8:Y11" si="15">IF(OR(ISNUMBER(Q8),ISNUMBER(R8),ISNUMBER(S8),ISNUMBER(T8),ISNUMBER(X8)),MIN(Q8:T8,X8),"na")</f>
        <v>1.9999999999999999E-6</v>
      </c>
      <c r="Z8" s="1881">
        <f t="shared" ref="Z8:Z11" si="16">IF(OR(ISNUMBER(U8),ISNUMBER(W8),ISNUMBER(Y8)),MIN(U8,W8,Y8),O8)</f>
        <v>1.9999999999999999E-6</v>
      </c>
      <c r="AA8" s="1797">
        <v>2.5000000000000001E-5</v>
      </c>
      <c r="AB8" s="1797">
        <v>2.8E-5</v>
      </c>
      <c r="AC8" s="299">
        <v>2.5000000000000001E-5</v>
      </c>
      <c r="AD8" s="299">
        <v>7.4999999999999993E-5</v>
      </c>
      <c r="AE8" s="299">
        <v>2.8E-5</v>
      </c>
      <c r="AF8" s="299">
        <v>4.1999999999999998E-5</v>
      </c>
      <c r="AG8" s="299">
        <v>2.5000000000000001E-5</v>
      </c>
      <c r="AH8" s="299">
        <v>2.5000000000000001E-5</v>
      </c>
      <c r="AI8" s="299">
        <v>2.5000000000000001E-5</v>
      </c>
      <c r="AJ8" s="299">
        <v>7.4999999999999993E-5</v>
      </c>
      <c r="AK8" s="299" t="s">
        <v>232</v>
      </c>
      <c r="AL8" s="299" t="s">
        <v>232</v>
      </c>
      <c r="AM8" s="299">
        <v>2.5000000000000001E-5</v>
      </c>
      <c r="AN8" s="299">
        <f>IF(MIN(AA8,AB8)=0,"na",MIN(AA8,AB8))</f>
        <v>2.5000000000000001E-5</v>
      </c>
      <c r="AO8" s="299">
        <f t="shared" ref="AO8:AO11" si="17">IF(MIN(AC8:AF8)=0,"na",MIN(AC8:AF8))</f>
        <v>2.5000000000000001E-5</v>
      </c>
      <c r="AP8" s="299">
        <f t="shared" ref="AP8:AP11" si="18">IF(MIN(AG8,AH8)=0,"na",MIN(AG8,AH8))</f>
        <v>2.5000000000000001E-5</v>
      </c>
      <c r="AQ8" s="299">
        <f t="shared" ref="AQ8:AQ11" si="19">IF(MIN(AI8:AL8)=0,"na",MIN(AI8:AL8))</f>
        <v>2.5000000000000001E-5</v>
      </c>
      <c r="AR8" s="1797">
        <f>IF(MIN(AA8:AM8)=0,"na",MIN(AA8:AM8))</f>
        <v>2.5000000000000001E-5</v>
      </c>
      <c r="AS8" s="1798"/>
      <c r="AU8" s="1331" t="str">
        <f>IF($O8="na","",IF($O8=D8,"X",""))</f>
        <v/>
      </c>
      <c r="AV8" s="1111" t="str">
        <f>IF(OR($O8="PQL",AND(ISNUMBER($F8),$O8=F8)),"X","")</f>
        <v>X</v>
      </c>
      <c r="AW8" s="1111" t="str">
        <f>IF($O8="na","",IF($O8=H8,"X",""))</f>
        <v/>
      </c>
      <c r="AX8" s="1111" t="str">
        <f>IF($O8="na","",IF($O8=$K8,"X",""))</f>
        <v/>
      </c>
      <c r="AY8" s="1110" t="str">
        <f>IF($P8="na","",IF($P8=E8,"X",""))</f>
        <v/>
      </c>
      <c r="AZ8" s="1111" t="str">
        <f>IF(OR($P8="PQL",AND(ISNUMBER($F8),$P8=F8)),"X","")</f>
        <v>X</v>
      </c>
      <c r="BA8" s="1111" t="str">
        <f>IF($P8="na","",IF($P8=J8,"X",""))</f>
        <v/>
      </c>
      <c r="BB8" s="1703" t="str">
        <f>IF($P8="na","",IF($P8=$L8,"X",""))</f>
        <v/>
      </c>
      <c r="BC8" s="1468" t="str">
        <f>IF($Z8="na","",IF($Z8=D8,"X",""))</f>
        <v>X</v>
      </c>
      <c r="BD8" s="1469" t="str">
        <f>IF($Z8="na","",IF($Z8=F8,"X",""))</f>
        <v/>
      </c>
      <c r="BE8" s="1469" t="str">
        <f>IF($Z8="na","",IF($Z8=H8,"X",""))</f>
        <v/>
      </c>
      <c r="BF8" s="1469" t="str">
        <f>IF($Z8="na","",IF($Z8=K8,"X",""))</f>
        <v/>
      </c>
      <c r="BG8" s="1469" t="str">
        <f t="shared" ref="BG8:BG11" si="20">IF($Z8="na","",IF($Z8=Q8,"X",""))</f>
        <v>X</v>
      </c>
      <c r="BH8" s="1469" t="str">
        <f t="shared" ref="BH8:BH11" si="21">IF($Z8="na","",IF(OR($Z8=R8,$Z8=S8,$Z8=T8),"X",""))</f>
        <v/>
      </c>
      <c r="BI8" s="1469" t="str">
        <f t="shared" ref="BI8:BI11" si="22">IF($Z8="na","",IF(OR($Z8=U8,$Z8=W8),"X",""))</f>
        <v/>
      </c>
      <c r="BJ8" s="1470" t="str">
        <f t="shared" ref="BJ8:BJ11" si="23">IF($Z8="na","",IF($Z8=X8,"X",""))</f>
        <v/>
      </c>
      <c r="BL8" s="1885"/>
    </row>
    <row r="9" spans="1:64" ht="13.9" customHeight="1" x14ac:dyDescent="0.25">
      <c r="A9" s="1911">
        <f>Chem!A9</f>
        <v>7</v>
      </c>
      <c r="B9" s="1880" t="str">
        <f>Chem!B9</f>
        <v>2,3,7,8-TCDD</v>
      </c>
      <c r="C9" s="390" t="str">
        <f>Param!AK9</f>
        <v>YES</v>
      </c>
      <c r="D9" s="570" t="str">
        <f>IF(ISNUMBER(Param!AN9),Param!AN9,Param!AM9)</f>
        <v>na</v>
      </c>
      <c r="E9" s="299" t="s">
        <v>232</v>
      </c>
      <c r="F9" s="644" t="s">
        <v>232</v>
      </c>
      <c r="G9" s="568" t="s">
        <v>232</v>
      </c>
      <c r="H9" s="568" t="s">
        <v>232</v>
      </c>
      <c r="I9" s="299" t="s">
        <v>232</v>
      </c>
      <c r="J9" s="299" t="s">
        <v>232</v>
      </c>
      <c r="K9" s="220">
        <f>IF(C9="YES",'SD-Eq'!V9,"na")</f>
        <v>2.3304900059546648E-5</v>
      </c>
      <c r="L9" s="299">
        <f>IF(C9="YES",'SD-Eq'!Z9,"na")</f>
        <v>2.330490005954665E-4</v>
      </c>
      <c r="M9" s="436" t="str">
        <f t="shared" si="13"/>
        <v>PQL</v>
      </c>
      <c r="N9" s="298" t="str">
        <f t="shared" si="14"/>
        <v>PQL</v>
      </c>
      <c r="O9" s="1796">
        <f>IF(OR(ISNUMBER(H9),ISNUMBER(K9),ISNUMBER(M9)),MIN(H9,K9,M9),"na")</f>
        <v>2.3304900059546648E-5</v>
      </c>
      <c r="P9" s="1797">
        <f>IF(OR(ISNUMBER(J9),ISNUMBER(L9),ISNUMBER(N9)),MIN(J9,L9,N9),"na")</f>
        <v>2.330490005954665E-4</v>
      </c>
      <c r="Q9" s="645" t="s">
        <v>232</v>
      </c>
      <c r="R9" s="645" t="s">
        <v>232</v>
      </c>
      <c r="S9" s="645" t="s">
        <v>232</v>
      </c>
      <c r="T9" s="645" t="s">
        <v>232</v>
      </c>
      <c r="U9" s="645" t="s">
        <v>232</v>
      </c>
      <c r="V9" s="645" t="s">
        <v>232</v>
      </c>
      <c r="W9" s="645" t="str">
        <f>IF(ISNUMBER(V9),H9,"na")</f>
        <v>na</v>
      </c>
      <c r="X9" s="645" t="s">
        <v>232</v>
      </c>
      <c r="Y9" s="1881" t="str">
        <f t="shared" si="15"/>
        <v>na</v>
      </c>
      <c r="Z9" s="1881">
        <f t="shared" si="16"/>
        <v>2.3304900059546648E-5</v>
      </c>
      <c r="AA9" s="1797" t="s">
        <v>232</v>
      </c>
      <c r="AB9" s="1797" t="s">
        <v>232</v>
      </c>
      <c r="AC9" s="299" t="s">
        <v>232</v>
      </c>
      <c r="AD9" s="299" t="s">
        <v>232</v>
      </c>
      <c r="AE9" s="299" t="s">
        <v>232</v>
      </c>
      <c r="AF9" s="299" t="s">
        <v>232</v>
      </c>
      <c r="AG9" s="299" t="s">
        <v>232</v>
      </c>
      <c r="AH9" s="299" t="s">
        <v>232</v>
      </c>
      <c r="AI9" s="299" t="s">
        <v>232</v>
      </c>
      <c r="AJ9" s="299" t="s">
        <v>232</v>
      </c>
      <c r="AK9" s="299" t="s">
        <v>232</v>
      </c>
      <c r="AL9" s="299" t="s">
        <v>232</v>
      </c>
      <c r="AM9" s="299" t="s">
        <v>232</v>
      </c>
      <c r="AN9" s="299" t="str">
        <f>IF(MIN(AA9,AB9)=0,"na",MIN(AA9,AB9))</f>
        <v>na</v>
      </c>
      <c r="AO9" s="299" t="str">
        <f t="shared" ref="AO9" si="24">IF(MIN(AC9:AF9)=0,"na",MIN(AC9:AF9))</f>
        <v>na</v>
      </c>
      <c r="AP9" s="299" t="str">
        <f t="shared" ref="AP9" si="25">IF(MIN(AG9,AH9)=0,"na",MIN(AG9,AH9))</f>
        <v>na</v>
      </c>
      <c r="AQ9" s="299" t="str">
        <f t="shared" ref="AQ9" si="26">IF(MIN(AI9:AL9)=0,"na",MIN(AI9:AL9))</f>
        <v>na</v>
      </c>
      <c r="AR9" s="1797" t="str">
        <f>IF(MIN(AA9:AM9)=0,"na",MIN(AA9:AM9))</f>
        <v>na</v>
      </c>
      <c r="AS9" s="1902"/>
      <c r="AU9" s="1471" t="str">
        <f>IF($O9="na","",IF($O9=D9,"X",""))</f>
        <v/>
      </c>
      <c r="AV9" s="1469" t="str">
        <f>IF(OR($O9="PQL",AND(ISNUMBER($F9),$O9=F9)),"X","")</f>
        <v/>
      </c>
      <c r="AW9" s="1469" t="str">
        <f>IF($O9="na","",IF($O9=H9,"X",""))</f>
        <v/>
      </c>
      <c r="AX9" s="1469" t="str">
        <f>IF($O9="na","",IF($O9=$K9,"X",""))</f>
        <v>X</v>
      </c>
      <c r="AY9" s="1468" t="str">
        <f>IF($P9="na","",IF($P9=E9,"X",""))</f>
        <v/>
      </c>
      <c r="AZ9" s="1469" t="str">
        <f>IF(OR($P9="PQL",AND(ISNUMBER($F9),$P9=F9)),"X","")</f>
        <v/>
      </c>
      <c r="BA9" s="1469" t="str">
        <f>IF($P9="na","",IF($P9=J9,"X",""))</f>
        <v/>
      </c>
      <c r="BB9" s="1706" t="str">
        <f>IF($P9="na","",IF($P9=$L9,"X",""))</f>
        <v>X</v>
      </c>
      <c r="BC9" s="1113" t="str">
        <f>IF($Z9="na","",IF($Z9=D9,"X",""))</f>
        <v/>
      </c>
      <c r="BD9" s="1114" t="str">
        <f>IF($Z9="na","",IF($Z9=F9,"X",""))</f>
        <v/>
      </c>
      <c r="BE9" s="1114" t="str">
        <f>IF($Z9="na","",IF($Z9=H9,"X",""))</f>
        <v/>
      </c>
      <c r="BF9" s="1114" t="str">
        <f>IF($Z9="na","",IF($Z9=K9,"X",""))</f>
        <v>X</v>
      </c>
      <c r="BG9" s="1114" t="str">
        <f t="shared" si="20"/>
        <v/>
      </c>
      <c r="BH9" s="1114" t="str">
        <f t="shared" si="21"/>
        <v/>
      </c>
      <c r="BI9" s="1114" t="str">
        <f t="shared" si="22"/>
        <v/>
      </c>
      <c r="BJ9" s="1115" t="str">
        <f t="shared" si="23"/>
        <v/>
      </c>
      <c r="BL9" s="1885"/>
    </row>
    <row r="10" spans="1:64" s="247" customFormat="1" ht="13.9" customHeight="1" x14ac:dyDescent="0.2">
      <c r="A10" s="1911">
        <f>Chem!A10</f>
        <v>8</v>
      </c>
      <c r="B10" s="1880" t="str">
        <f>Chem!B10</f>
        <v>Total chlorinated dioxins</v>
      </c>
      <c r="C10" s="390" t="s">
        <v>221</v>
      </c>
      <c r="D10" s="570" t="str">
        <f>IF(ISNUMBER(Param!AN10),Param!AN10,Param!AM10)</f>
        <v>na</v>
      </c>
      <c r="E10" s="299" t="s">
        <v>232</v>
      </c>
      <c r="F10" s="644" t="s">
        <v>232</v>
      </c>
      <c r="G10" s="568" t="s">
        <v>232</v>
      </c>
      <c r="H10" s="568" t="s">
        <v>232</v>
      </c>
      <c r="I10" s="299" t="s">
        <v>232</v>
      </c>
      <c r="J10" s="299" t="s">
        <v>232</v>
      </c>
      <c r="K10" s="220" t="str">
        <f>IF(C10="YES",'SD-Eq'!V10,"na")</f>
        <v>na</v>
      </c>
      <c r="L10" s="299" t="str">
        <f>IF(C10="YES",'SD-Eq'!Z10,"na")</f>
        <v>na</v>
      </c>
      <c r="M10" s="436" t="str">
        <f t="shared" si="13"/>
        <v>na</v>
      </c>
      <c r="N10" s="298" t="str">
        <f t="shared" si="14"/>
        <v>na</v>
      </c>
      <c r="O10" s="1796" t="str">
        <f>IF(OR(ISNUMBER(H10),ISNUMBER(K10),ISNUMBER(M10)),MIN(H10,K10,M10),"na")</f>
        <v>na</v>
      </c>
      <c r="P10" s="1797" t="str">
        <f>IF(OR(ISNUMBER(J10),ISNUMBER(L10),ISNUMBER(N10)),MIN(J10,L10,N10),"na")</f>
        <v>na</v>
      </c>
      <c r="Q10" s="645" t="s">
        <v>232</v>
      </c>
      <c r="R10" s="645" t="s">
        <v>232</v>
      </c>
      <c r="S10" s="645" t="s">
        <v>232</v>
      </c>
      <c r="T10" s="645" t="s">
        <v>232</v>
      </c>
      <c r="U10" s="645" t="s">
        <v>232</v>
      </c>
      <c r="V10" s="645" t="s">
        <v>232</v>
      </c>
      <c r="W10" s="645" t="str">
        <f>IF(ISNUMBER(V10),H10,"na")</f>
        <v>na</v>
      </c>
      <c r="X10" s="645" t="s">
        <v>232</v>
      </c>
      <c r="Y10" s="1881" t="str">
        <f t="shared" si="15"/>
        <v>na</v>
      </c>
      <c r="Z10" s="1881" t="str">
        <f t="shared" si="16"/>
        <v>na</v>
      </c>
      <c r="AA10" s="1797" t="s">
        <v>232</v>
      </c>
      <c r="AB10" s="1797" t="s">
        <v>232</v>
      </c>
      <c r="AC10" s="299" t="s">
        <v>232</v>
      </c>
      <c r="AD10" s="299" t="s">
        <v>232</v>
      </c>
      <c r="AE10" s="299" t="s">
        <v>232</v>
      </c>
      <c r="AF10" s="299" t="s">
        <v>232</v>
      </c>
      <c r="AG10" s="299" t="s">
        <v>232</v>
      </c>
      <c r="AH10" s="299" t="s">
        <v>232</v>
      </c>
      <c r="AI10" s="299" t="s">
        <v>232</v>
      </c>
      <c r="AJ10" s="299" t="s">
        <v>232</v>
      </c>
      <c r="AK10" s="299" t="s">
        <v>232</v>
      </c>
      <c r="AL10" s="299" t="s">
        <v>232</v>
      </c>
      <c r="AM10" s="299" t="s">
        <v>232</v>
      </c>
      <c r="AN10" s="299" t="str">
        <f>IF(MIN(AA10,AB10)=0,"na",MIN(AA10,AB10))</f>
        <v>na</v>
      </c>
      <c r="AO10" s="299" t="str">
        <f t="shared" si="17"/>
        <v>na</v>
      </c>
      <c r="AP10" s="299" t="str">
        <f t="shared" si="18"/>
        <v>na</v>
      </c>
      <c r="AQ10" s="299" t="str">
        <f t="shared" si="19"/>
        <v>na</v>
      </c>
      <c r="AR10" s="1797" t="str">
        <f>IF(MIN(AA10:AM10)=0,"na",MIN(AA10:AM10))</f>
        <v>na</v>
      </c>
      <c r="AS10" s="1799"/>
      <c r="AU10" s="1332" t="str">
        <f>IF($O10="na","",IF($O10=D10,"X",""))</f>
        <v/>
      </c>
      <c r="AV10" s="1114" t="str">
        <f>IF(OR($O10="PQL",AND(ISNUMBER($F10),$O10=F10)),"X","")</f>
        <v/>
      </c>
      <c r="AW10" s="1114" t="str">
        <f>IF($O10="na","",IF($O10=H10,"X",""))</f>
        <v/>
      </c>
      <c r="AX10" s="1114" t="str">
        <f>IF($O10="na","",IF($O10=$K10,"X",""))</f>
        <v/>
      </c>
      <c r="AY10" s="1113" t="str">
        <f>IF($P10="na","",IF($P10=E10,"X",""))</f>
        <v/>
      </c>
      <c r="AZ10" s="1114" t="str">
        <f>IF(OR($P10="PQL",AND(ISNUMBER($F10),$P10=F10)),"X","")</f>
        <v/>
      </c>
      <c r="BA10" s="1114" t="str">
        <f>IF($P10="na","",IF($P10=J10,"X",""))</f>
        <v/>
      </c>
      <c r="BB10" s="1704" t="str">
        <f>IF($P10="na","",IF($P10=$L10,"X",""))</f>
        <v/>
      </c>
      <c r="BC10" s="1113" t="str">
        <f>IF($Z10="na","",IF($Z10=D10,"X",""))</f>
        <v/>
      </c>
      <c r="BD10" s="1114" t="str">
        <f>IF($Z10="na","",IF($Z10=F10,"X",""))</f>
        <v/>
      </c>
      <c r="BE10" s="1114" t="str">
        <f>IF($Z10="na","",IF($Z10=H10,"X",""))</f>
        <v/>
      </c>
      <c r="BF10" s="1114" t="str">
        <f>IF($Z10="na","",IF($Z10=K10,"X",""))</f>
        <v/>
      </c>
      <c r="BG10" s="1114" t="str">
        <f t="shared" si="20"/>
        <v/>
      </c>
      <c r="BH10" s="1114" t="str">
        <f t="shared" si="21"/>
        <v/>
      </c>
      <c r="BI10" s="1114" t="str">
        <f t="shared" si="22"/>
        <v/>
      </c>
      <c r="BJ10" s="1115" t="str">
        <f t="shared" si="23"/>
        <v/>
      </c>
      <c r="BL10" s="1882"/>
    </row>
    <row r="11" spans="1:64" s="247" customFormat="1" ht="13.9" customHeight="1" x14ac:dyDescent="0.2">
      <c r="A11" s="1911">
        <f>Chem!A11</f>
        <v>9</v>
      </c>
      <c r="B11" s="1880" t="str">
        <f>Chem!B11</f>
        <v>Total chlorinated furans</v>
      </c>
      <c r="C11" s="390" t="s">
        <v>221</v>
      </c>
      <c r="D11" s="570" t="str">
        <f>IF(ISNUMBER(Param!AN11),Param!AN11,Param!AM11)</f>
        <v>na</v>
      </c>
      <c r="E11" s="299" t="s">
        <v>232</v>
      </c>
      <c r="F11" s="644" t="s">
        <v>232</v>
      </c>
      <c r="G11" s="568" t="s">
        <v>232</v>
      </c>
      <c r="H11" s="568" t="s">
        <v>232</v>
      </c>
      <c r="I11" s="299" t="s">
        <v>232</v>
      </c>
      <c r="J11" s="299" t="s">
        <v>232</v>
      </c>
      <c r="K11" s="220" t="str">
        <f>IF(C11="YES",'SD-Eq'!V11,"na")</f>
        <v>na</v>
      </c>
      <c r="L11" s="299" t="str">
        <f>IF(C11="YES",'SD-Eq'!Z11,"na")</f>
        <v>na</v>
      </c>
      <c r="M11" s="436" t="str">
        <f t="shared" si="13"/>
        <v>na</v>
      </c>
      <c r="N11" s="298" t="str">
        <f t="shared" si="14"/>
        <v>na</v>
      </c>
      <c r="O11" s="1796" t="str">
        <f>IF(OR(ISNUMBER(H11),ISNUMBER(K11),ISNUMBER(M11)),MIN(H11,K11,M11),"na")</f>
        <v>na</v>
      </c>
      <c r="P11" s="1797" t="str">
        <f>IF(OR(ISNUMBER(J11),ISNUMBER(L11),ISNUMBER(N11)),MIN(J11,L11,N11),"na")</f>
        <v>na</v>
      </c>
      <c r="Q11" s="645" t="s">
        <v>232</v>
      </c>
      <c r="R11" s="645" t="s">
        <v>232</v>
      </c>
      <c r="S11" s="645" t="s">
        <v>232</v>
      </c>
      <c r="T11" s="645" t="s">
        <v>232</v>
      </c>
      <c r="U11" s="645" t="s">
        <v>232</v>
      </c>
      <c r="V11" s="645" t="s">
        <v>232</v>
      </c>
      <c r="W11" s="645" t="str">
        <f>IF(ISNUMBER(V11),H11,"na")</f>
        <v>na</v>
      </c>
      <c r="X11" s="645" t="s">
        <v>232</v>
      </c>
      <c r="Y11" s="1881" t="str">
        <f t="shared" si="15"/>
        <v>na</v>
      </c>
      <c r="Z11" s="1881" t="str">
        <f t="shared" si="16"/>
        <v>na</v>
      </c>
      <c r="AA11" s="1797" t="s">
        <v>232</v>
      </c>
      <c r="AB11" s="1797" t="s">
        <v>232</v>
      </c>
      <c r="AC11" s="299" t="s">
        <v>232</v>
      </c>
      <c r="AD11" s="299" t="s">
        <v>232</v>
      </c>
      <c r="AE11" s="299" t="s">
        <v>232</v>
      </c>
      <c r="AF11" s="299" t="s">
        <v>232</v>
      </c>
      <c r="AG11" s="299" t="s">
        <v>232</v>
      </c>
      <c r="AH11" s="299" t="s">
        <v>232</v>
      </c>
      <c r="AI11" s="299" t="s">
        <v>232</v>
      </c>
      <c r="AJ11" s="299" t="s">
        <v>232</v>
      </c>
      <c r="AK11" s="299" t="s">
        <v>232</v>
      </c>
      <c r="AL11" s="299" t="s">
        <v>232</v>
      </c>
      <c r="AM11" s="299" t="s">
        <v>232</v>
      </c>
      <c r="AN11" s="299" t="str">
        <f>IF(MIN(AA11,AB11)=0,"na",MIN(AA11,AB11))</f>
        <v>na</v>
      </c>
      <c r="AO11" s="299" t="str">
        <f t="shared" si="17"/>
        <v>na</v>
      </c>
      <c r="AP11" s="299" t="str">
        <f t="shared" si="18"/>
        <v>na</v>
      </c>
      <c r="AQ11" s="299" t="str">
        <f t="shared" si="19"/>
        <v>na</v>
      </c>
      <c r="AR11" s="1797" t="str">
        <f>IF(MIN(AA11:AM11)=0,"na",MIN(AA11:AM11))</f>
        <v>na</v>
      </c>
      <c r="AS11" s="1800"/>
      <c r="AU11" s="1333" t="str">
        <f>IF($O11="na","",IF($O11=D11,"X",""))</f>
        <v/>
      </c>
      <c r="AV11" s="1117" t="str">
        <f>IF(OR($O11="PQL",AND(ISNUMBER($F11),$O11=F11)),"X","")</f>
        <v/>
      </c>
      <c r="AW11" s="1117" t="str">
        <f>IF($O11="na","",IF($O11=H11,"X",""))</f>
        <v/>
      </c>
      <c r="AX11" s="1117" t="str">
        <f>IF($O11="na","",IF($O11=$K11,"X",""))</f>
        <v/>
      </c>
      <c r="AY11" s="1116" t="str">
        <f>IF($P11="na","",IF($P11=E11,"X",""))</f>
        <v/>
      </c>
      <c r="AZ11" s="1117" t="str">
        <f>IF(OR($P11="PQL",AND(ISNUMBER($F11),$P11=F11)),"X","")</f>
        <v/>
      </c>
      <c r="BA11" s="1117" t="str">
        <f>IF($P11="na","",IF($P11=J11,"X",""))</f>
        <v/>
      </c>
      <c r="BB11" s="1707" t="str">
        <f>IF($P11="na","",IF($P11=$L11,"X",""))</f>
        <v/>
      </c>
      <c r="BC11" s="1336" t="str">
        <f>IF($Z11="na","",IF($Z11=D11,"X",""))</f>
        <v/>
      </c>
      <c r="BD11" s="1337" t="str">
        <f>IF($Z11="na","",IF($Z11=F11,"X",""))</f>
        <v/>
      </c>
      <c r="BE11" s="1337" t="str">
        <f>IF($Z11="na","",IF($Z11=H11,"X",""))</f>
        <v/>
      </c>
      <c r="BF11" s="1337" t="str">
        <f>IF($Z11="na","",IF($Z11=K11,"X",""))</f>
        <v/>
      </c>
      <c r="BG11" s="1337" t="str">
        <f t="shared" si="20"/>
        <v/>
      </c>
      <c r="BH11" s="1337" t="str">
        <f t="shared" si="21"/>
        <v/>
      </c>
      <c r="BI11" s="1337" t="str">
        <f t="shared" si="22"/>
        <v/>
      </c>
      <c r="BJ11" s="1338" t="str">
        <f t="shared" si="23"/>
        <v/>
      </c>
      <c r="BL11" s="1882"/>
    </row>
    <row r="12" spans="1:64" s="247" customFormat="1" ht="13.9" customHeight="1" x14ac:dyDescent="0.25">
      <c r="A12" s="1909">
        <f>Chem!A12</f>
        <v>10</v>
      </c>
      <c r="B12" s="1899" t="str">
        <f>Chem!B12</f>
        <v>Inorganics</v>
      </c>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366"/>
      <c r="AT12" s="130"/>
      <c r="AU12" s="258" t="str">
        <f>B12</f>
        <v>Inorganics</v>
      </c>
      <c r="AV12" s="2372"/>
      <c r="AW12" s="2372"/>
      <c r="AX12" s="2372"/>
      <c r="AY12" s="2372"/>
      <c r="AZ12" s="2372"/>
      <c r="BA12" s="2372"/>
      <c r="BB12" s="2372"/>
      <c r="BC12" s="2372"/>
      <c r="BD12" s="2372"/>
      <c r="BE12" s="2372"/>
      <c r="BF12" s="2372"/>
      <c r="BG12" s="2372"/>
      <c r="BH12" s="2372"/>
      <c r="BI12" s="2372"/>
      <c r="BJ12" s="2373"/>
      <c r="BK12" s="130"/>
      <c r="BL12" s="1901"/>
    </row>
    <row r="13" spans="1:64" s="247" customFormat="1" ht="13.9" customHeight="1" x14ac:dyDescent="0.25">
      <c r="A13" s="2049">
        <f>Chem!A13</f>
        <v>11</v>
      </c>
      <c r="B13" s="1888" t="str">
        <f>Chem!B13</f>
        <v>Ammonia</v>
      </c>
      <c r="C13" s="2064" t="str">
        <f>Param!AK13</f>
        <v>no</v>
      </c>
      <c r="D13" s="1802" t="str">
        <f>IF(ISNUMBER(Param!AN13),Param!AN13,Param!AM13)</f>
        <v>na</v>
      </c>
      <c r="E13" s="2050" t="s">
        <v>232</v>
      </c>
      <c r="F13" s="1803" t="s">
        <v>232</v>
      </c>
      <c r="G13" s="1106" t="s">
        <v>232</v>
      </c>
      <c r="H13" s="1106" t="s">
        <v>232</v>
      </c>
      <c r="I13" s="2050" t="s">
        <v>232</v>
      </c>
      <c r="J13" s="2050" t="s">
        <v>232</v>
      </c>
      <c r="K13" s="1804" t="str">
        <f>IF(C13="YES",'SD-Eq'!V13,"na")</f>
        <v>na</v>
      </c>
      <c r="L13" s="2050" t="str">
        <f>IF(C13="YES",'SD-Eq'!Z13,"na")</f>
        <v>na</v>
      </c>
      <c r="M13" s="1536" t="str">
        <f t="shared" si="13"/>
        <v>na</v>
      </c>
      <c r="N13" s="2050" t="str">
        <f t="shared" ref="N13:N20" si="27">IF($C13="YES",IF(OR(ISNUMBER($D13),ISNUMBER($E13),ISNUMBER($F13)),MAX($D13:$F13),"PQL"),"na")</f>
        <v>na</v>
      </c>
      <c r="O13" s="2055" t="str">
        <f t="shared" ref="O13:O20" si="28">IF(OR(ISNUMBER(H13),ISNUMBER(K13),ISNUMBER(M13)),MIN(H13,K13,M13),"na")</f>
        <v>na</v>
      </c>
      <c r="P13" s="2051" t="str">
        <f t="shared" ref="P13:P20" si="29">IF(OR(ISNUMBER(J13),ISNUMBER(L13),ISNUMBER(N13)),MIN(J13,L13,N13),"na")</f>
        <v>na</v>
      </c>
      <c r="Q13" s="1450" t="s">
        <v>232</v>
      </c>
      <c r="R13" s="1450" t="s">
        <v>232</v>
      </c>
      <c r="S13" s="1450" t="s">
        <v>232</v>
      </c>
      <c r="T13" s="1450" t="s">
        <v>232</v>
      </c>
      <c r="U13" s="1450" t="s">
        <v>232</v>
      </c>
      <c r="V13" s="1450" t="s">
        <v>232</v>
      </c>
      <c r="W13" s="1450" t="str">
        <f t="shared" ref="W13:W20" si="30">IF(ISNUMBER(V13),H13,"na")</f>
        <v>na</v>
      </c>
      <c r="X13" s="1450" t="s">
        <v>232</v>
      </c>
      <c r="Y13" s="1805" t="str">
        <f t="shared" ref="Y13:Y14" si="31">IF(OR(ISNUMBER(Q13),ISNUMBER(R13),ISNUMBER(S13),ISNUMBER(T13),ISNUMBER(X13)),MIN(Q13:T13,X13),"na")</f>
        <v>na</v>
      </c>
      <c r="Z13" s="1805" t="str">
        <f t="shared" ref="Z13:Z14" si="32">IF(OR(ISNUMBER(U13),ISNUMBER(W13),ISNUMBER(Y13)),MIN(U13,W13,Y13),O13)</f>
        <v>na</v>
      </c>
      <c r="AA13" s="2050" t="s">
        <v>232</v>
      </c>
      <c r="AB13" s="2050" t="s">
        <v>232</v>
      </c>
      <c r="AC13" s="2050" t="s">
        <v>232</v>
      </c>
      <c r="AD13" s="2050" t="s">
        <v>232</v>
      </c>
      <c r="AE13" s="2050" t="s">
        <v>232</v>
      </c>
      <c r="AF13" s="2050" t="s">
        <v>232</v>
      </c>
      <c r="AG13" s="2050" t="s">
        <v>232</v>
      </c>
      <c r="AH13" s="2050" t="s">
        <v>232</v>
      </c>
      <c r="AI13" s="2050" t="s">
        <v>232</v>
      </c>
      <c r="AJ13" s="2050" t="s">
        <v>232</v>
      </c>
      <c r="AK13" s="2050" t="s">
        <v>232</v>
      </c>
      <c r="AL13" s="2050" t="s">
        <v>232</v>
      </c>
      <c r="AM13" s="2050" t="s">
        <v>232</v>
      </c>
      <c r="AN13" s="2050" t="s">
        <v>232</v>
      </c>
      <c r="AO13" s="2050" t="s">
        <v>232</v>
      </c>
      <c r="AP13" s="2050" t="s">
        <v>232</v>
      </c>
      <c r="AQ13" s="2050" t="s">
        <v>232</v>
      </c>
      <c r="AR13" s="2050" t="s">
        <v>232</v>
      </c>
      <c r="AS13" s="2048"/>
      <c r="AT13" s="130"/>
      <c r="AU13" s="2066" t="str">
        <f t="shared" ref="AU13:AU20" si="33">IF($O13="na","",IF($O13=D13,"X",""))</f>
        <v/>
      </c>
      <c r="AV13" s="2067" t="str">
        <f t="shared" ref="AV13:AV20" si="34">IF(OR($O13="PQL",AND(ISNUMBER($F13),$O13=F13)),"X","")</f>
        <v/>
      </c>
      <c r="AW13" s="2067" t="str">
        <f t="shared" ref="AW13:AW20" si="35">IF($O13="na","",IF($O13=H13,"X",""))</f>
        <v/>
      </c>
      <c r="AX13" s="2068" t="str">
        <f t="shared" ref="AX13:AX20" si="36">IF($O13="na","",IF($O13=$K13,"X",""))</f>
        <v/>
      </c>
      <c r="AY13" s="2069" t="str">
        <f t="shared" ref="AY13:AY20" si="37">IF($P13="na","",IF($P13=E13,"X",""))</f>
        <v/>
      </c>
      <c r="AZ13" s="2067" t="str">
        <f t="shared" ref="AZ13:AZ20" si="38">IF(OR($P13="PQL",AND(ISNUMBER($F13),$P13=F13)),"X","")</f>
        <v/>
      </c>
      <c r="BA13" s="2067" t="str">
        <f t="shared" ref="BA13:BA20" si="39">IF($P13="na","",IF($P13=J13,"X",""))</f>
        <v/>
      </c>
      <c r="BB13" s="2068" t="str">
        <f t="shared" ref="BB13:BB20" si="40">IF($P13="na","",IF($P13=$L13,"X",""))</f>
        <v/>
      </c>
      <c r="BC13" s="1468" t="str">
        <f t="shared" ref="BC13:BC20" si="41">IF($Z13="na","",IF($Z13=D13,"X",""))</f>
        <v/>
      </c>
      <c r="BD13" s="1469" t="str">
        <f t="shared" ref="BD13:BD20" si="42">IF($Z13="na","",IF($Z13=F13,"X",""))</f>
        <v/>
      </c>
      <c r="BE13" s="1469" t="str">
        <f t="shared" ref="BE13:BE20" si="43">IF($Z13="na","",IF($Z13=H13,"X",""))</f>
        <v/>
      </c>
      <c r="BF13" s="1469" t="str">
        <f t="shared" ref="BF13:BF20" si="44">IF($Z13="na","",IF($Z13=K13,"X",""))</f>
        <v/>
      </c>
      <c r="BG13" s="1469" t="str">
        <f t="shared" ref="BG13:BG20" si="45">IF($Z13="na","",IF($Z13=Q13,"X",""))</f>
        <v/>
      </c>
      <c r="BH13" s="1469" t="str">
        <f t="shared" ref="BH13:BH20" si="46">IF($Z13="na","",IF(OR($Z13=R13,$Z13=S13,$Z13=T13),"X",""))</f>
        <v/>
      </c>
      <c r="BI13" s="1469" t="str">
        <f t="shared" ref="BI13:BI20" si="47">IF($Z13="na","",IF(OR($Z13=U13,$Z13=W13),"X",""))</f>
        <v/>
      </c>
      <c r="BJ13" s="1470" t="str">
        <f t="shared" ref="BJ13:BJ20" si="48">IF($Z13="na","",IF($Z13=X13,"X",""))</f>
        <v/>
      </c>
      <c r="BK13" s="130"/>
      <c r="BL13" s="1885"/>
    </row>
    <row r="14" spans="1:64" s="247" customFormat="1" ht="13.9" customHeight="1" x14ac:dyDescent="0.25">
      <c r="A14" s="2052">
        <f>Chem!A14</f>
        <v>12</v>
      </c>
      <c r="B14" s="1891" t="str">
        <f>Chem!B14</f>
        <v>Chloride</v>
      </c>
      <c r="C14" s="2065" t="str">
        <f>Param!AK14</f>
        <v>no</v>
      </c>
      <c r="D14" s="2063" t="str">
        <f>IF(ISNUMBER(Param!AN14),Param!AN14,Param!AM14)</f>
        <v>na</v>
      </c>
      <c r="E14" s="2053" t="s">
        <v>232</v>
      </c>
      <c r="F14" s="2062" t="s">
        <v>232</v>
      </c>
      <c r="G14" s="2061" t="s">
        <v>232</v>
      </c>
      <c r="H14" s="2061" t="s">
        <v>232</v>
      </c>
      <c r="I14" s="2053" t="s">
        <v>232</v>
      </c>
      <c r="J14" s="2053" t="s">
        <v>232</v>
      </c>
      <c r="K14" s="2060" t="str">
        <f>IF(C14="YES",'SD-Eq'!V14,"na")</f>
        <v>na</v>
      </c>
      <c r="L14" s="2053" t="str">
        <f>IF(C14="YES",'SD-Eq'!Z14,"na")</f>
        <v>na</v>
      </c>
      <c r="M14" s="2059" t="str">
        <f t="shared" si="13"/>
        <v>na</v>
      </c>
      <c r="N14" s="2053" t="str">
        <f t="shared" si="27"/>
        <v>na</v>
      </c>
      <c r="O14" s="2056" t="str">
        <f t="shared" si="28"/>
        <v>na</v>
      </c>
      <c r="P14" s="2054" t="str">
        <f t="shared" si="29"/>
        <v>na</v>
      </c>
      <c r="Q14" s="2058" t="s">
        <v>232</v>
      </c>
      <c r="R14" s="2058" t="s">
        <v>232</v>
      </c>
      <c r="S14" s="2058" t="s">
        <v>232</v>
      </c>
      <c r="T14" s="2058" t="s">
        <v>232</v>
      </c>
      <c r="U14" s="2058" t="s">
        <v>232</v>
      </c>
      <c r="V14" s="2058" t="s">
        <v>232</v>
      </c>
      <c r="W14" s="2058" t="str">
        <f t="shared" si="30"/>
        <v>na</v>
      </c>
      <c r="X14" s="2058" t="s">
        <v>232</v>
      </c>
      <c r="Y14" s="2057" t="str">
        <f t="shared" si="31"/>
        <v>na</v>
      </c>
      <c r="Z14" s="2057" t="str">
        <f t="shared" si="32"/>
        <v>na</v>
      </c>
      <c r="AA14" s="2053" t="s">
        <v>232</v>
      </c>
      <c r="AB14" s="2053" t="s">
        <v>232</v>
      </c>
      <c r="AC14" s="2053" t="s">
        <v>232</v>
      </c>
      <c r="AD14" s="2053" t="s">
        <v>232</v>
      </c>
      <c r="AE14" s="2053" t="s">
        <v>232</v>
      </c>
      <c r="AF14" s="2053" t="s">
        <v>232</v>
      </c>
      <c r="AG14" s="2053" t="s">
        <v>232</v>
      </c>
      <c r="AH14" s="2053" t="s">
        <v>232</v>
      </c>
      <c r="AI14" s="2053" t="s">
        <v>232</v>
      </c>
      <c r="AJ14" s="2053" t="s">
        <v>232</v>
      </c>
      <c r="AK14" s="2053" t="s">
        <v>232</v>
      </c>
      <c r="AL14" s="2053" t="s">
        <v>232</v>
      </c>
      <c r="AM14" s="2053" t="s">
        <v>232</v>
      </c>
      <c r="AN14" s="2053" t="s">
        <v>232</v>
      </c>
      <c r="AO14" s="2053" t="s">
        <v>232</v>
      </c>
      <c r="AP14" s="2053" t="s">
        <v>232</v>
      </c>
      <c r="AQ14" s="2053" t="s">
        <v>232</v>
      </c>
      <c r="AR14" s="2053" t="s">
        <v>232</v>
      </c>
      <c r="AS14" s="1799"/>
      <c r="AT14" s="130"/>
      <c r="AU14" s="1997" t="str">
        <f t="shared" si="33"/>
        <v/>
      </c>
      <c r="AV14" s="1114" t="str">
        <f t="shared" si="34"/>
        <v/>
      </c>
      <c r="AW14" s="1114" t="str">
        <f t="shared" si="35"/>
        <v/>
      </c>
      <c r="AX14" s="1704" t="str">
        <f t="shared" si="36"/>
        <v/>
      </c>
      <c r="AY14" s="1113" t="str">
        <f t="shared" si="37"/>
        <v/>
      </c>
      <c r="AZ14" s="1114" t="str">
        <f t="shared" si="38"/>
        <v/>
      </c>
      <c r="BA14" s="1114" t="str">
        <f t="shared" si="39"/>
        <v/>
      </c>
      <c r="BB14" s="1704" t="str">
        <f t="shared" si="40"/>
        <v/>
      </c>
      <c r="BC14" s="1113" t="str">
        <f t="shared" si="41"/>
        <v/>
      </c>
      <c r="BD14" s="1114" t="str">
        <f t="shared" si="42"/>
        <v/>
      </c>
      <c r="BE14" s="1114" t="str">
        <f t="shared" si="43"/>
        <v/>
      </c>
      <c r="BF14" s="1114" t="str">
        <f t="shared" si="44"/>
        <v/>
      </c>
      <c r="BG14" s="1114" t="str">
        <f t="shared" si="45"/>
        <v/>
      </c>
      <c r="BH14" s="1114" t="str">
        <f t="shared" si="46"/>
        <v/>
      </c>
      <c r="BI14" s="1114" t="str">
        <f t="shared" si="47"/>
        <v/>
      </c>
      <c r="BJ14" s="1115" t="str">
        <f t="shared" si="48"/>
        <v/>
      </c>
      <c r="BK14" s="130"/>
      <c r="BL14" s="1885"/>
    </row>
    <row r="15" spans="1:64" s="247" customFormat="1" ht="13.9" customHeight="1" x14ac:dyDescent="0.2">
      <c r="A15" s="1912">
        <f>Chem!A15</f>
        <v>13</v>
      </c>
      <c r="B15" s="1880" t="str">
        <f>Chem!B15</f>
        <v>Cyanide (multiple forms, see notes)</v>
      </c>
      <c r="C15" s="390" t="str">
        <f>Param!AK15</f>
        <v>no</v>
      </c>
      <c r="D15" s="570" t="str">
        <f>IF(ISNUMBER(Param!AN15),Param!AN15,Param!AM15)</f>
        <v>na</v>
      </c>
      <c r="E15" s="299" t="s">
        <v>232</v>
      </c>
      <c r="F15" s="644" t="s">
        <v>232</v>
      </c>
      <c r="G15" s="568" t="s">
        <v>232</v>
      </c>
      <c r="H15" s="568" t="s">
        <v>232</v>
      </c>
      <c r="I15" s="299" t="s">
        <v>232</v>
      </c>
      <c r="J15" s="299" t="s">
        <v>232</v>
      </c>
      <c r="K15" s="220" t="str">
        <f>IF(C15="YES",'SD-Eq'!V15,"na")</f>
        <v>na</v>
      </c>
      <c r="L15" s="299" t="str">
        <f>IF(C15="YES",'SD-Eq'!Z15,"na")</f>
        <v>na</v>
      </c>
      <c r="M15" s="436" t="str">
        <f t="shared" si="13"/>
        <v>na</v>
      </c>
      <c r="N15" s="298" t="str">
        <f t="shared" si="27"/>
        <v>na</v>
      </c>
      <c r="O15" s="1796" t="str">
        <f t="shared" si="28"/>
        <v>na</v>
      </c>
      <c r="P15" s="1797" t="str">
        <f t="shared" si="29"/>
        <v>na</v>
      </c>
      <c r="Q15" s="645" t="s">
        <v>232</v>
      </c>
      <c r="R15" s="645" t="s">
        <v>232</v>
      </c>
      <c r="S15" s="645" t="s">
        <v>232</v>
      </c>
      <c r="T15" s="645" t="s">
        <v>232</v>
      </c>
      <c r="U15" s="645" t="s">
        <v>232</v>
      </c>
      <c r="V15" s="645" t="s">
        <v>232</v>
      </c>
      <c r="W15" s="645" t="str">
        <f t="shared" si="30"/>
        <v>na</v>
      </c>
      <c r="X15" s="645" t="s">
        <v>232</v>
      </c>
      <c r="Y15" s="1881" t="str">
        <f t="shared" ref="Y15:Y20" si="49">IF(OR(ISNUMBER(Q15),ISNUMBER(R15),ISNUMBER(S15),ISNUMBER(T15),ISNUMBER(X15)),MIN(Q15:T15,X15),"na")</f>
        <v>na</v>
      </c>
      <c r="Z15" s="1881" t="str">
        <f t="shared" ref="Z15:Z20" si="50">IF(OR(ISNUMBER(U15),ISNUMBER(W15),ISNUMBER(Y15)),MIN(U15,W15,Y15),O15)</f>
        <v>na</v>
      </c>
      <c r="AA15" s="1797" t="s">
        <v>232</v>
      </c>
      <c r="AB15" s="1797" t="s">
        <v>232</v>
      </c>
      <c r="AC15" s="1797" t="s">
        <v>232</v>
      </c>
      <c r="AD15" s="1797" t="s">
        <v>232</v>
      </c>
      <c r="AE15" s="1797" t="s">
        <v>232</v>
      </c>
      <c r="AF15" s="1797" t="s">
        <v>232</v>
      </c>
      <c r="AG15" s="1797" t="s">
        <v>232</v>
      </c>
      <c r="AH15" s="1797" t="s">
        <v>232</v>
      </c>
      <c r="AI15" s="1797" t="s">
        <v>232</v>
      </c>
      <c r="AJ15" s="1797" t="s">
        <v>232</v>
      </c>
      <c r="AK15" s="299" t="s">
        <v>232</v>
      </c>
      <c r="AL15" s="299" t="s">
        <v>232</v>
      </c>
      <c r="AM15" s="299" t="s">
        <v>232</v>
      </c>
      <c r="AN15" s="299" t="str">
        <f t="shared" ref="AN15:AN19" si="51">IF(MIN(AA15,AB15)=0,"na",MIN(AA15,AB15))</f>
        <v>na</v>
      </c>
      <c r="AO15" s="299" t="str">
        <f t="shared" ref="AO15:AO19" si="52">IF(MIN(AC15:AF15)=0,"na",MIN(AC15:AF15))</f>
        <v>na</v>
      </c>
      <c r="AP15" s="299" t="str">
        <f t="shared" ref="AP15:AP19" si="53">IF(MIN(AG15,AH15)=0,"na",MIN(AG15,AH15))</f>
        <v>na</v>
      </c>
      <c r="AQ15" s="299" t="str">
        <f t="shared" ref="AQ15:AQ19" si="54">IF(MIN(AI15:AL15)=0,"na",MIN(AI15:AL15))</f>
        <v>na</v>
      </c>
      <c r="AR15" s="1797" t="str">
        <f t="shared" ref="AR15:AR19" si="55">IF(MIN(AA15:AM15)=0,"na",MIN(AA15:AM15))</f>
        <v>na</v>
      </c>
      <c r="AS15" s="1902"/>
      <c r="AT15" s="130"/>
      <c r="AU15" s="1471" t="str">
        <f t="shared" si="33"/>
        <v/>
      </c>
      <c r="AV15" s="1469" t="str">
        <f t="shared" si="34"/>
        <v/>
      </c>
      <c r="AW15" s="1469" t="str">
        <f t="shared" si="35"/>
        <v/>
      </c>
      <c r="AX15" s="1469" t="str">
        <f t="shared" si="36"/>
        <v/>
      </c>
      <c r="AY15" s="1468" t="str">
        <f t="shared" si="37"/>
        <v/>
      </c>
      <c r="AZ15" s="1469" t="str">
        <f t="shared" si="38"/>
        <v/>
      </c>
      <c r="BA15" s="1469" t="str">
        <f t="shared" si="39"/>
        <v/>
      </c>
      <c r="BB15" s="1706" t="str">
        <f t="shared" si="40"/>
        <v/>
      </c>
      <c r="BC15" s="1113" t="str">
        <f t="shared" si="41"/>
        <v/>
      </c>
      <c r="BD15" s="1114" t="str">
        <f t="shared" si="42"/>
        <v/>
      </c>
      <c r="BE15" s="1114" t="str">
        <f t="shared" si="43"/>
        <v/>
      </c>
      <c r="BF15" s="1114" t="str">
        <f t="shared" si="44"/>
        <v/>
      </c>
      <c r="BG15" s="1114" t="str">
        <f t="shared" si="45"/>
        <v/>
      </c>
      <c r="BH15" s="1114" t="str">
        <f t="shared" si="46"/>
        <v/>
      </c>
      <c r="BI15" s="1114" t="str">
        <f t="shared" si="47"/>
        <v/>
      </c>
      <c r="BJ15" s="1115" t="str">
        <f t="shared" si="48"/>
        <v/>
      </c>
      <c r="BL15" s="1882"/>
    </row>
    <row r="16" spans="1:64" s="247" customFormat="1" ht="13.9" customHeight="1" x14ac:dyDescent="0.2">
      <c r="A16" s="1912">
        <f>Chem!A16</f>
        <v>14</v>
      </c>
      <c r="B16" s="1880" t="str">
        <f>Chem!B16</f>
        <v>Fluoride</v>
      </c>
      <c r="C16" s="390" t="str">
        <f>Param!AK16</f>
        <v>no</v>
      </c>
      <c r="D16" s="570" t="str">
        <f>IF(ISNUMBER(Param!AN16),Param!AN16,Param!AM16)</f>
        <v>na</v>
      </c>
      <c r="E16" s="299" t="s">
        <v>232</v>
      </c>
      <c r="F16" s="644" t="s">
        <v>232</v>
      </c>
      <c r="G16" s="568" t="s">
        <v>232</v>
      </c>
      <c r="H16" s="568" t="s">
        <v>232</v>
      </c>
      <c r="I16" s="299" t="s">
        <v>232</v>
      </c>
      <c r="J16" s="299" t="s">
        <v>232</v>
      </c>
      <c r="K16" s="220" t="str">
        <f>IF(C16="YES",'SD-Eq'!V16,"na")</f>
        <v>na</v>
      </c>
      <c r="L16" s="299" t="str">
        <f>IF(C16="YES",'SD-Eq'!Z16,"na")</f>
        <v>na</v>
      </c>
      <c r="M16" s="436" t="str">
        <f t="shared" si="13"/>
        <v>na</v>
      </c>
      <c r="N16" s="298" t="str">
        <f t="shared" si="27"/>
        <v>na</v>
      </c>
      <c r="O16" s="1796" t="str">
        <f t="shared" si="28"/>
        <v>na</v>
      </c>
      <c r="P16" s="1797" t="str">
        <f t="shared" si="29"/>
        <v>na</v>
      </c>
      <c r="Q16" s="645" t="s">
        <v>232</v>
      </c>
      <c r="R16" s="645" t="s">
        <v>232</v>
      </c>
      <c r="S16" s="645" t="s">
        <v>232</v>
      </c>
      <c r="T16" s="645" t="s">
        <v>232</v>
      </c>
      <c r="U16" s="645" t="s">
        <v>232</v>
      </c>
      <c r="V16" s="645" t="s">
        <v>232</v>
      </c>
      <c r="W16" s="645" t="str">
        <f t="shared" si="30"/>
        <v>na</v>
      </c>
      <c r="X16" s="645" t="s">
        <v>232</v>
      </c>
      <c r="Y16" s="1881" t="str">
        <f t="shared" ref="Y16" si="56">IF(OR(ISNUMBER(Q16),ISNUMBER(R16),ISNUMBER(S16),ISNUMBER(T16),ISNUMBER(X16)),MIN(Q16:T16,X16),"na")</f>
        <v>na</v>
      </c>
      <c r="Z16" s="1881" t="str">
        <f t="shared" ref="Z16" si="57">IF(OR(ISNUMBER(U16),ISNUMBER(W16),ISNUMBER(Y16)),MIN(U16,W16,Y16),O16)</f>
        <v>na</v>
      </c>
      <c r="AA16" s="1797" t="s">
        <v>232</v>
      </c>
      <c r="AB16" s="1797" t="s">
        <v>232</v>
      </c>
      <c r="AC16" s="1797" t="s">
        <v>232</v>
      </c>
      <c r="AD16" s="1797" t="s">
        <v>232</v>
      </c>
      <c r="AE16" s="1797" t="s">
        <v>232</v>
      </c>
      <c r="AF16" s="1797" t="s">
        <v>232</v>
      </c>
      <c r="AG16" s="1797" t="s">
        <v>232</v>
      </c>
      <c r="AH16" s="1797" t="s">
        <v>232</v>
      </c>
      <c r="AI16" s="1797" t="s">
        <v>232</v>
      </c>
      <c r="AJ16" s="1797" t="s">
        <v>232</v>
      </c>
      <c r="AK16" s="299" t="s">
        <v>232</v>
      </c>
      <c r="AL16" s="299" t="s">
        <v>232</v>
      </c>
      <c r="AM16" s="299" t="s">
        <v>232</v>
      </c>
      <c r="AN16" s="299" t="s">
        <v>232</v>
      </c>
      <c r="AO16" s="299" t="s">
        <v>232</v>
      </c>
      <c r="AP16" s="299" t="s">
        <v>232</v>
      </c>
      <c r="AQ16" s="299" t="s">
        <v>232</v>
      </c>
      <c r="AR16" s="1797" t="s">
        <v>232</v>
      </c>
      <c r="AS16" s="1902"/>
      <c r="AT16" s="130"/>
      <c r="AU16" s="1471" t="str">
        <f t="shared" si="33"/>
        <v/>
      </c>
      <c r="AV16" s="1469" t="str">
        <f t="shared" si="34"/>
        <v/>
      </c>
      <c r="AW16" s="1469" t="str">
        <f t="shared" si="35"/>
        <v/>
      </c>
      <c r="AX16" s="1469" t="str">
        <f t="shared" si="36"/>
        <v/>
      </c>
      <c r="AY16" s="1468" t="str">
        <f t="shared" si="37"/>
        <v/>
      </c>
      <c r="AZ16" s="1469" t="str">
        <f t="shared" si="38"/>
        <v/>
      </c>
      <c r="BA16" s="1469" t="str">
        <f t="shared" si="39"/>
        <v/>
      </c>
      <c r="BB16" s="1706" t="str">
        <f t="shared" si="40"/>
        <v/>
      </c>
      <c r="BC16" s="1113" t="str">
        <f t="shared" si="41"/>
        <v/>
      </c>
      <c r="BD16" s="1114" t="str">
        <f t="shared" si="42"/>
        <v/>
      </c>
      <c r="BE16" s="1114" t="str">
        <f t="shared" si="43"/>
        <v/>
      </c>
      <c r="BF16" s="1114" t="str">
        <f t="shared" si="44"/>
        <v/>
      </c>
      <c r="BG16" s="1114" t="str">
        <f t="shared" si="45"/>
        <v/>
      </c>
      <c r="BH16" s="1114" t="str">
        <f t="shared" si="46"/>
        <v/>
      </c>
      <c r="BI16" s="1114" t="str">
        <f t="shared" si="47"/>
        <v/>
      </c>
      <c r="BJ16" s="1115" t="str">
        <f t="shared" si="48"/>
        <v/>
      </c>
      <c r="BL16" s="1882"/>
    </row>
    <row r="17" spans="1:64" s="247" customFormat="1" ht="13.9" customHeight="1" x14ac:dyDescent="0.2">
      <c r="A17" s="1913">
        <f>Chem!A17</f>
        <v>15</v>
      </c>
      <c r="B17" s="1880" t="str">
        <f>Chem!B17</f>
        <v>Nitrate</v>
      </c>
      <c r="C17" s="390" t="str">
        <f>Param!AK17</f>
        <v>no</v>
      </c>
      <c r="D17" s="570" t="str">
        <f>IF(ISNUMBER(Param!AN17),Param!AN17,Param!AM17)</f>
        <v>na</v>
      </c>
      <c r="E17" s="299" t="s">
        <v>232</v>
      </c>
      <c r="F17" s="644" t="s">
        <v>232</v>
      </c>
      <c r="G17" s="568" t="s">
        <v>232</v>
      </c>
      <c r="H17" s="568" t="s">
        <v>232</v>
      </c>
      <c r="I17" s="299" t="s">
        <v>232</v>
      </c>
      <c r="J17" s="299" t="s">
        <v>232</v>
      </c>
      <c r="K17" s="220" t="str">
        <f>IF(C17="YES",'SD-Eq'!V17,"na")</f>
        <v>na</v>
      </c>
      <c r="L17" s="299" t="str">
        <f>IF(C17="YES",'SD-Eq'!Z17,"na")</f>
        <v>na</v>
      </c>
      <c r="M17" s="436" t="str">
        <f t="shared" si="13"/>
        <v>na</v>
      </c>
      <c r="N17" s="298" t="str">
        <f t="shared" si="27"/>
        <v>na</v>
      </c>
      <c r="O17" s="1796" t="str">
        <f t="shared" si="28"/>
        <v>na</v>
      </c>
      <c r="P17" s="1797" t="str">
        <f t="shared" si="29"/>
        <v>na</v>
      </c>
      <c r="Q17" s="645" t="s">
        <v>232</v>
      </c>
      <c r="R17" s="645" t="s">
        <v>232</v>
      </c>
      <c r="S17" s="645" t="s">
        <v>232</v>
      </c>
      <c r="T17" s="645" t="s">
        <v>232</v>
      </c>
      <c r="U17" s="645" t="s">
        <v>232</v>
      </c>
      <c r="V17" s="645" t="s">
        <v>232</v>
      </c>
      <c r="W17" s="645" t="str">
        <f t="shared" si="30"/>
        <v>na</v>
      </c>
      <c r="X17" s="645" t="s">
        <v>232</v>
      </c>
      <c r="Y17" s="1881" t="str">
        <f t="shared" si="49"/>
        <v>na</v>
      </c>
      <c r="Z17" s="1881" t="str">
        <f t="shared" si="50"/>
        <v>na</v>
      </c>
      <c r="AA17" s="1797" t="s">
        <v>232</v>
      </c>
      <c r="AB17" s="1797" t="s">
        <v>232</v>
      </c>
      <c r="AC17" s="1797" t="s">
        <v>232</v>
      </c>
      <c r="AD17" s="1797" t="s">
        <v>232</v>
      </c>
      <c r="AE17" s="1797" t="s">
        <v>232</v>
      </c>
      <c r="AF17" s="1797" t="s">
        <v>232</v>
      </c>
      <c r="AG17" s="1797" t="s">
        <v>232</v>
      </c>
      <c r="AH17" s="1797" t="s">
        <v>232</v>
      </c>
      <c r="AI17" s="1797" t="s">
        <v>232</v>
      </c>
      <c r="AJ17" s="1797" t="s">
        <v>232</v>
      </c>
      <c r="AK17" s="299" t="s">
        <v>232</v>
      </c>
      <c r="AL17" s="299" t="s">
        <v>232</v>
      </c>
      <c r="AM17" s="299" t="s">
        <v>232</v>
      </c>
      <c r="AN17" s="299" t="str">
        <f t="shared" si="51"/>
        <v>na</v>
      </c>
      <c r="AO17" s="299" t="str">
        <f t="shared" si="52"/>
        <v>na</v>
      </c>
      <c r="AP17" s="299" t="str">
        <f t="shared" si="53"/>
        <v>na</v>
      </c>
      <c r="AQ17" s="299" t="str">
        <f t="shared" si="54"/>
        <v>na</v>
      </c>
      <c r="AR17" s="1797" t="str">
        <f t="shared" si="55"/>
        <v>na</v>
      </c>
      <c r="AS17" s="1799"/>
      <c r="AT17" s="130"/>
      <c r="AU17" s="1332" t="str">
        <f t="shared" si="33"/>
        <v/>
      </c>
      <c r="AV17" s="1114" t="str">
        <f t="shared" si="34"/>
        <v/>
      </c>
      <c r="AW17" s="1114" t="str">
        <f t="shared" si="35"/>
        <v/>
      </c>
      <c r="AX17" s="1114" t="str">
        <f t="shared" si="36"/>
        <v/>
      </c>
      <c r="AY17" s="1113" t="str">
        <f t="shared" si="37"/>
        <v/>
      </c>
      <c r="AZ17" s="1114" t="str">
        <f t="shared" si="38"/>
        <v/>
      </c>
      <c r="BA17" s="1114" t="str">
        <f t="shared" si="39"/>
        <v/>
      </c>
      <c r="BB17" s="1704" t="str">
        <f t="shared" si="40"/>
        <v/>
      </c>
      <c r="BC17" s="1113" t="str">
        <f t="shared" si="41"/>
        <v/>
      </c>
      <c r="BD17" s="1114" t="str">
        <f t="shared" si="42"/>
        <v/>
      </c>
      <c r="BE17" s="1114" t="str">
        <f t="shared" si="43"/>
        <v/>
      </c>
      <c r="BF17" s="1114" t="str">
        <f t="shared" si="44"/>
        <v/>
      </c>
      <c r="BG17" s="1114" t="str">
        <f t="shared" si="45"/>
        <v/>
      </c>
      <c r="BH17" s="1114" t="str">
        <f t="shared" si="46"/>
        <v/>
      </c>
      <c r="BI17" s="1114" t="str">
        <f t="shared" si="47"/>
        <v/>
      </c>
      <c r="BJ17" s="1115" t="str">
        <f t="shared" si="48"/>
        <v/>
      </c>
      <c r="BL17" s="1882"/>
    </row>
    <row r="18" spans="1:64" s="247" customFormat="1" ht="13.9" customHeight="1" x14ac:dyDescent="0.2">
      <c r="A18" s="1910">
        <f>Chem!A18</f>
        <v>16</v>
      </c>
      <c r="B18" s="1880" t="str">
        <f>Chem!B18</f>
        <v>Nitrite</v>
      </c>
      <c r="C18" s="390" t="str">
        <f>Param!AK18</f>
        <v>no</v>
      </c>
      <c r="D18" s="570" t="str">
        <f>IF(ISNUMBER(Param!AN18),Param!AN18,Param!AM18)</f>
        <v>na</v>
      </c>
      <c r="E18" s="299" t="s">
        <v>232</v>
      </c>
      <c r="F18" s="644" t="s">
        <v>232</v>
      </c>
      <c r="G18" s="568" t="s">
        <v>232</v>
      </c>
      <c r="H18" s="568" t="s">
        <v>232</v>
      </c>
      <c r="I18" s="299" t="s">
        <v>232</v>
      </c>
      <c r="J18" s="299" t="s">
        <v>232</v>
      </c>
      <c r="K18" s="220" t="str">
        <f>IF(C18="YES",'SD-Eq'!V18,"na")</f>
        <v>na</v>
      </c>
      <c r="L18" s="299" t="str">
        <f>IF(C18="YES",'SD-Eq'!Z18,"na")</f>
        <v>na</v>
      </c>
      <c r="M18" s="436" t="str">
        <f t="shared" si="13"/>
        <v>na</v>
      </c>
      <c r="N18" s="298" t="str">
        <f t="shared" si="27"/>
        <v>na</v>
      </c>
      <c r="O18" s="1796" t="str">
        <f t="shared" si="28"/>
        <v>na</v>
      </c>
      <c r="P18" s="1797" t="str">
        <f t="shared" si="29"/>
        <v>na</v>
      </c>
      <c r="Q18" s="645" t="s">
        <v>232</v>
      </c>
      <c r="R18" s="645" t="s">
        <v>232</v>
      </c>
      <c r="S18" s="645" t="s">
        <v>232</v>
      </c>
      <c r="T18" s="645" t="s">
        <v>232</v>
      </c>
      <c r="U18" s="645" t="s">
        <v>232</v>
      </c>
      <c r="V18" s="645" t="s">
        <v>232</v>
      </c>
      <c r="W18" s="645" t="str">
        <f t="shared" si="30"/>
        <v>na</v>
      </c>
      <c r="X18" s="645" t="s">
        <v>232</v>
      </c>
      <c r="Y18" s="1881" t="str">
        <f t="shared" si="49"/>
        <v>na</v>
      </c>
      <c r="Z18" s="1881" t="str">
        <f t="shared" si="50"/>
        <v>na</v>
      </c>
      <c r="AA18" s="1797" t="s">
        <v>232</v>
      </c>
      <c r="AB18" s="1797" t="s">
        <v>232</v>
      </c>
      <c r="AC18" s="1797" t="s">
        <v>232</v>
      </c>
      <c r="AD18" s="1797" t="s">
        <v>232</v>
      </c>
      <c r="AE18" s="1797" t="s">
        <v>232</v>
      </c>
      <c r="AF18" s="1797" t="s">
        <v>232</v>
      </c>
      <c r="AG18" s="1797" t="s">
        <v>232</v>
      </c>
      <c r="AH18" s="1797" t="s">
        <v>232</v>
      </c>
      <c r="AI18" s="1797" t="s">
        <v>232</v>
      </c>
      <c r="AJ18" s="1797" t="s">
        <v>232</v>
      </c>
      <c r="AK18" s="299" t="s">
        <v>232</v>
      </c>
      <c r="AL18" s="299" t="s">
        <v>232</v>
      </c>
      <c r="AM18" s="299" t="s">
        <v>232</v>
      </c>
      <c r="AN18" s="299" t="str">
        <f t="shared" si="51"/>
        <v>na</v>
      </c>
      <c r="AO18" s="299" t="str">
        <f t="shared" si="52"/>
        <v>na</v>
      </c>
      <c r="AP18" s="299" t="str">
        <f t="shared" si="53"/>
        <v>na</v>
      </c>
      <c r="AQ18" s="299" t="str">
        <f t="shared" si="54"/>
        <v>na</v>
      </c>
      <c r="AR18" s="1797" t="str">
        <f t="shared" si="55"/>
        <v>na</v>
      </c>
      <c r="AS18" s="1799"/>
      <c r="AT18" s="130"/>
      <c r="AU18" s="1332" t="str">
        <f t="shared" si="33"/>
        <v/>
      </c>
      <c r="AV18" s="1114" t="str">
        <f t="shared" si="34"/>
        <v/>
      </c>
      <c r="AW18" s="1114" t="str">
        <f t="shared" si="35"/>
        <v/>
      </c>
      <c r="AX18" s="1114" t="str">
        <f t="shared" si="36"/>
        <v/>
      </c>
      <c r="AY18" s="1113" t="str">
        <f t="shared" si="37"/>
        <v/>
      </c>
      <c r="AZ18" s="1114" t="str">
        <f t="shared" si="38"/>
        <v/>
      </c>
      <c r="BA18" s="1114" t="str">
        <f t="shared" si="39"/>
        <v/>
      </c>
      <c r="BB18" s="1704" t="str">
        <f t="shared" si="40"/>
        <v/>
      </c>
      <c r="BC18" s="1113" t="str">
        <f t="shared" si="41"/>
        <v/>
      </c>
      <c r="BD18" s="1114" t="str">
        <f t="shared" si="42"/>
        <v/>
      </c>
      <c r="BE18" s="1114" t="str">
        <f t="shared" si="43"/>
        <v/>
      </c>
      <c r="BF18" s="1114" t="str">
        <f t="shared" si="44"/>
        <v/>
      </c>
      <c r="BG18" s="1114" t="str">
        <f t="shared" si="45"/>
        <v/>
      </c>
      <c r="BH18" s="1114" t="str">
        <f t="shared" si="46"/>
        <v/>
      </c>
      <c r="BI18" s="1114" t="str">
        <f t="shared" si="47"/>
        <v/>
      </c>
      <c r="BJ18" s="1115" t="str">
        <f t="shared" si="48"/>
        <v/>
      </c>
      <c r="BL18" s="1882"/>
    </row>
    <row r="19" spans="1:64" s="247" customFormat="1" ht="13.9" customHeight="1" x14ac:dyDescent="0.2">
      <c r="A19" s="1914">
        <f>Chem!A19</f>
        <v>17</v>
      </c>
      <c r="B19" s="1880" t="str">
        <f>Chem!B19</f>
        <v>Sulfate</v>
      </c>
      <c r="C19" s="339" t="str">
        <f>Param!AK19</f>
        <v>no</v>
      </c>
      <c r="D19" s="570" t="str">
        <f>IF(ISNUMBER(Param!AN19),Param!AN19,Param!AM19)</f>
        <v>na</v>
      </c>
      <c r="E19" s="299" t="s">
        <v>232</v>
      </c>
      <c r="F19" s="644" t="s">
        <v>232</v>
      </c>
      <c r="G19" s="568" t="s">
        <v>232</v>
      </c>
      <c r="H19" s="568" t="s">
        <v>232</v>
      </c>
      <c r="I19" s="299" t="s">
        <v>232</v>
      </c>
      <c r="J19" s="299" t="s">
        <v>232</v>
      </c>
      <c r="K19" s="220" t="str">
        <f>IF(C19="YES",'SD-Eq'!V19,"na")</f>
        <v>na</v>
      </c>
      <c r="L19" s="299" t="str">
        <f>IF(C19="YES",'SD-Eq'!Z19,"na")</f>
        <v>na</v>
      </c>
      <c r="M19" s="436" t="str">
        <f t="shared" si="13"/>
        <v>na</v>
      </c>
      <c r="N19" s="298" t="str">
        <f t="shared" si="27"/>
        <v>na</v>
      </c>
      <c r="O19" s="1796" t="str">
        <f t="shared" si="28"/>
        <v>na</v>
      </c>
      <c r="P19" s="299" t="str">
        <f t="shared" si="29"/>
        <v>na</v>
      </c>
      <c r="Q19" s="645" t="s">
        <v>232</v>
      </c>
      <c r="R19" s="645" t="s">
        <v>232</v>
      </c>
      <c r="S19" s="645" t="s">
        <v>232</v>
      </c>
      <c r="T19" s="645" t="s">
        <v>232</v>
      </c>
      <c r="U19" s="645" t="s">
        <v>232</v>
      </c>
      <c r="V19" s="645" t="s">
        <v>232</v>
      </c>
      <c r="W19" s="645" t="str">
        <f t="shared" si="30"/>
        <v>na</v>
      </c>
      <c r="X19" s="645" t="s">
        <v>232</v>
      </c>
      <c r="Y19" s="1796" t="str">
        <f t="shared" si="49"/>
        <v>na</v>
      </c>
      <c r="Z19" s="1796" t="str">
        <f t="shared" si="50"/>
        <v>na</v>
      </c>
      <c r="AA19" s="299" t="s">
        <v>232</v>
      </c>
      <c r="AB19" s="299" t="s">
        <v>232</v>
      </c>
      <c r="AC19" s="299" t="s">
        <v>232</v>
      </c>
      <c r="AD19" s="299" t="s">
        <v>232</v>
      </c>
      <c r="AE19" s="299" t="s">
        <v>232</v>
      </c>
      <c r="AF19" s="299" t="s">
        <v>232</v>
      </c>
      <c r="AG19" s="299" t="s">
        <v>232</v>
      </c>
      <c r="AH19" s="299" t="s">
        <v>232</v>
      </c>
      <c r="AI19" s="299" t="s">
        <v>232</v>
      </c>
      <c r="AJ19" s="299" t="s">
        <v>232</v>
      </c>
      <c r="AK19" s="299" t="s">
        <v>232</v>
      </c>
      <c r="AL19" s="299" t="s">
        <v>232</v>
      </c>
      <c r="AM19" s="299" t="s">
        <v>232</v>
      </c>
      <c r="AN19" s="299" t="str">
        <f t="shared" si="51"/>
        <v>na</v>
      </c>
      <c r="AO19" s="299" t="str">
        <f t="shared" si="52"/>
        <v>na</v>
      </c>
      <c r="AP19" s="299" t="str">
        <f t="shared" si="53"/>
        <v>na</v>
      </c>
      <c r="AQ19" s="299" t="str">
        <f t="shared" si="54"/>
        <v>na</v>
      </c>
      <c r="AR19" s="299" t="str">
        <f t="shared" si="55"/>
        <v>na</v>
      </c>
      <c r="AS19" s="1799"/>
      <c r="AT19" s="130"/>
      <c r="AU19" s="1113" t="str">
        <f t="shared" si="33"/>
        <v/>
      </c>
      <c r="AV19" s="1114" t="str">
        <f t="shared" si="34"/>
        <v/>
      </c>
      <c r="AW19" s="1114" t="str">
        <f t="shared" si="35"/>
        <v/>
      </c>
      <c r="AX19" s="1114" t="str">
        <f t="shared" si="36"/>
        <v/>
      </c>
      <c r="AY19" s="1113" t="str">
        <f t="shared" si="37"/>
        <v/>
      </c>
      <c r="AZ19" s="1114" t="str">
        <f t="shared" si="38"/>
        <v/>
      </c>
      <c r="BA19" s="1114" t="str">
        <f t="shared" si="39"/>
        <v/>
      </c>
      <c r="BB19" s="1704" t="str">
        <f t="shared" si="40"/>
        <v/>
      </c>
      <c r="BC19" s="1113" t="str">
        <f t="shared" si="41"/>
        <v/>
      </c>
      <c r="BD19" s="1114" t="str">
        <f t="shared" si="42"/>
        <v/>
      </c>
      <c r="BE19" s="1114" t="str">
        <f t="shared" si="43"/>
        <v/>
      </c>
      <c r="BF19" s="1114" t="str">
        <f t="shared" si="44"/>
        <v/>
      </c>
      <c r="BG19" s="1114" t="str">
        <f t="shared" si="45"/>
        <v/>
      </c>
      <c r="BH19" s="1114" t="str">
        <f t="shared" si="46"/>
        <v/>
      </c>
      <c r="BI19" s="1114" t="str">
        <f t="shared" si="47"/>
        <v/>
      </c>
      <c r="BJ19" s="1115" t="str">
        <f t="shared" si="48"/>
        <v/>
      </c>
      <c r="BL19" s="1882"/>
    </row>
    <row r="20" spans="1:64" s="247" customFormat="1" ht="13.9" customHeight="1" x14ac:dyDescent="0.2">
      <c r="A20" s="1915">
        <f>Chem!A20</f>
        <v>18</v>
      </c>
      <c r="B20" s="1883" t="str">
        <f>Chem!B20</f>
        <v>Sulfide</v>
      </c>
      <c r="C20" s="391" t="str">
        <f>Param!AK20</f>
        <v>no</v>
      </c>
      <c r="D20" s="1107" t="str">
        <f>IF(ISNUMBER(Param!AN20),Param!AN20,Param!AM20)</f>
        <v>na</v>
      </c>
      <c r="E20" s="1108" t="s">
        <v>232</v>
      </c>
      <c r="F20" s="1109" t="s">
        <v>232</v>
      </c>
      <c r="G20" s="1094" t="s">
        <v>232</v>
      </c>
      <c r="H20" s="1094" t="s">
        <v>232</v>
      </c>
      <c r="I20" s="1108" t="s">
        <v>232</v>
      </c>
      <c r="J20" s="1108" t="s">
        <v>232</v>
      </c>
      <c r="K20" s="1095" t="str">
        <f>IF(C20="YES",'SD-Eq'!V20,"na")</f>
        <v>na</v>
      </c>
      <c r="L20" s="1108" t="str">
        <f>IF(C20="YES",'SD-Eq'!Z20,"na")</f>
        <v>na</v>
      </c>
      <c r="M20" s="587" t="str">
        <f t="shared" si="13"/>
        <v>na</v>
      </c>
      <c r="N20" s="732" t="str">
        <f t="shared" si="27"/>
        <v>na</v>
      </c>
      <c r="O20" s="1806" t="str">
        <f t="shared" si="28"/>
        <v>na</v>
      </c>
      <c r="P20" s="1108" t="str">
        <f t="shared" si="29"/>
        <v>na</v>
      </c>
      <c r="Q20" s="1097" t="s">
        <v>232</v>
      </c>
      <c r="R20" s="1097" t="s">
        <v>232</v>
      </c>
      <c r="S20" s="1097" t="s">
        <v>232</v>
      </c>
      <c r="T20" s="1097" t="s">
        <v>232</v>
      </c>
      <c r="U20" s="1097" t="s">
        <v>232</v>
      </c>
      <c r="V20" s="1097" t="s">
        <v>232</v>
      </c>
      <c r="W20" s="1097" t="str">
        <f t="shared" si="30"/>
        <v>na</v>
      </c>
      <c r="X20" s="1097" t="s">
        <v>232</v>
      </c>
      <c r="Y20" s="1806" t="str">
        <f t="shared" si="49"/>
        <v>na</v>
      </c>
      <c r="Z20" s="1806" t="str">
        <f t="shared" si="50"/>
        <v>na</v>
      </c>
      <c r="AA20" s="1108" t="s">
        <v>232</v>
      </c>
      <c r="AB20" s="1108" t="s">
        <v>232</v>
      </c>
      <c r="AC20" s="1108" t="s">
        <v>232</v>
      </c>
      <c r="AD20" s="1108" t="s">
        <v>232</v>
      </c>
      <c r="AE20" s="1108" t="s">
        <v>232</v>
      </c>
      <c r="AF20" s="1108" t="s">
        <v>232</v>
      </c>
      <c r="AG20" s="1108" t="s">
        <v>232</v>
      </c>
      <c r="AH20" s="1108" t="s">
        <v>232</v>
      </c>
      <c r="AI20" s="1108" t="s">
        <v>232</v>
      </c>
      <c r="AJ20" s="1108" t="s">
        <v>232</v>
      </c>
      <c r="AK20" s="1108" t="s">
        <v>232</v>
      </c>
      <c r="AL20" s="1108" t="s">
        <v>232</v>
      </c>
      <c r="AM20" s="1108" t="s">
        <v>232</v>
      </c>
      <c r="AN20" s="1108" t="str">
        <f t="shared" ref="AN20" si="58">IF(MIN(AA20,AB20)=0,"na",MIN(AA20,AB20))</f>
        <v>na</v>
      </c>
      <c r="AO20" s="1108" t="str">
        <f t="shared" ref="AO20" si="59">IF(MIN(AC20:AF20)=0,"na",MIN(AC20:AF20))</f>
        <v>na</v>
      </c>
      <c r="AP20" s="1108" t="str">
        <f t="shared" ref="AP20" si="60">IF(MIN(AG20,AH20)=0,"na",MIN(AG20,AH20))</f>
        <v>na</v>
      </c>
      <c r="AQ20" s="1108" t="str">
        <f t="shared" ref="AQ20" si="61">IF(MIN(AI20:AL20)=0,"na",MIN(AI20:AL20))</f>
        <v>na</v>
      </c>
      <c r="AR20" s="1108" t="str">
        <f t="shared" ref="AR20" si="62">IF(MIN(AA20:AM20)=0,"na",MIN(AA20:AM20))</f>
        <v>na</v>
      </c>
      <c r="AS20" s="1800"/>
      <c r="AT20" s="130"/>
      <c r="AU20" s="1116" t="str">
        <f t="shared" si="33"/>
        <v/>
      </c>
      <c r="AV20" s="1117" t="str">
        <f t="shared" si="34"/>
        <v/>
      </c>
      <c r="AW20" s="1117" t="str">
        <f t="shared" si="35"/>
        <v/>
      </c>
      <c r="AX20" s="1117" t="str">
        <f t="shared" si="36"/>
        <v/>
      </c>
      <c r="AY20" s="1116" t="str">
        <f t="shared" si="37"/>
        <v/>
      </c>
      <c r="AZ20" s="1117" t="str">
        <f t="shared" si="38"/>
        <v/>
      </c>
      <c r="BA20" s="1117" t="str">
        <f t="shared" si="39"/>
        <v/>
      </c>
      <c r="BB20" s="1707" t="str">
        <f t="shared" si="40"/>
        <v/>
      </c>
      <c r="BC20" s="1336" t="str">
        <f t="shared" si="41"/>
        <v/>
      </c>
      <c r="BD20" s="1337" t="str">
        <f t="shared" si="42"/>
        <v/>
      </c>
      <c r="BE20" s="1337" t="str">
        <f t="shared" si="43"/>
        <v/>
      </c>
      <c r="BF20" s="1337" t="str">
        <f t="shared" si="44"/>
        <v/>
      </c>
      <c r="BG20" s="1337" t="str">
        <f t="shared" si="45"/>
        <v/>
      </c>
      <c r="BH20" s="1337" t="str">
        <f t="shared" si="46"/>
        <v/>
      </c>
      <c r="BI20" s="1337" t="str">
        <f t="shared" si="47"/>
        <v/>
      </c>
      <c r="BJ20" s="1338" t="str">
        <f t="shared" si="48"/>
        <v/>
      </c>
      <c r="BL20" s="1882"/>
    </row>
    <row r="21" spans="1:64" ht="13.9" customHeight="1" x14ac:dyDescent="0.25">
      <c r="A21" s="1909">
        <f>Chem!A21</f>
        <v>19</v>
      </c>
      <c r="B21" s="1899" t="str">
        <f>Chem!B21</f>
        <v>Metals</v>
      </c>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366"/>
      <c r="AU21" s="258" t="str">
        <f>B21</f>
        <v>Metals</v>
      </c>
      <c r="AV21" s="2372"/>
      <c r="AW21" s="2372"/>
      <c r="AX21" s="2372"/>
      <c r="AY21" s="2372"/>
      <c r="AZ21" s="2372"/>
      <c r="BA21" s="2372"/>
      <c r="BB21" s="2372"/>
      <c r="BC21" s="2372"/>
      <c r="BD21" s="2372"/>
      <c r="BE21" s="2372"/>
      <c r="BF21" s="2372"/>
      <c r="BG21" s="2372"/>
      <c r="BH21" s="2372"/>
      <c r="BI21" s="2372"/>
      <c r="BJ21" s="2373"/>
      <c r="BL21" s="1901"/>
    </row>
    <row r="22" spans="1:64" ht="13.9" customHeight="1" x14ac:dyDescent="0.25">
      <c r="A22" s="1916">
        <f>Chem!A22</f>
        <v>20</v>
      </c>
      <c r="B22" s="1880" t="str">
        <f>Chem!B22</f>
        <v>Aluminum</v>
      </c>
      <c r="C22" s="935" t="str">
        <f>Param!AK22</f>
        <v>no</v>
      </c>
      <c r="D22" s="317" t="str">
        <f>IF(ISNUMBER(Param!AN22),Param!AN22,Param!AM22)</f>
        <v>na</v>
      </c>
      <c r="E22" s="273" t="s">
        <v>232</v>
      </c>
      <c r="F22" s="643" t="s">
        <v>232</v>
      </c>
      <c r="G22" s="550" t="s">
        <v>232</v>
      </c>
      <c r="H22" s="550" t="s">
        <v>232</v>
      </c>
      <c r="I22" s="273" t="s">
        <v>232</v>
      </c>
      <c r="J22" s="273" t="s">
        <v>232</v>
      </c>
      <c r="K22" s="219" t="str">
        <f>IF(C22="YES",'SD-Eq'!V22,"na")</f>
        <v>na</v>
      </c>
      <c r="L22" s="273" t="str">
        <f>IF(C22="YES",'SD-Eq'!Z22,"na")</f>
        <v>na</v>
      </c>
      <c r="M22" s="436" t="str">
        <f t="shared" ref="M22:M45" si="63">IF($C22="YES",IF(OR(ISNUMBER($D22),ISNUMBER($F22)),MAX($D22,$F22),"PQL"),"na")</f>
        <v>na</v>
      </c>
      <c r="N22" s="298" t="str">
        <f t="shared" ref="N22:N45" si="64">IF($C22="YES",IF(OR(ISNUMBER($D22),ISNUMBER($E22),ISNUMBER($F22)),MAX($D22:$F22),"PQL"),"na")</f>
        <v>na</v>
      </c>
      <c r="O22" s="1794" t="str">
        <f t="shared" ref="O22:O45" si="65">IF(OR(ISNUMBER(H22),ISNUMBER(K22),ISNUMBER(M22)),MIN(H22,K22,M22),"na")</f>
        <v>na</v>
      </c>
      <c r="P22" s="1789" t="str">
        <f t="shared" ref="P22:P45" si="66">IF(OR(ISNUMBER(J22),ISNUMBER(L22),ISNUMBER(N22)),MIN(J22,L22,N22),"na")</f>
        <v>na</v>
      </c>
      <c r="Q22" s="418" t="s">
        <v>232</v>
      </c>
      <c r="R22" s="418" t="s">
        <v>232</v>
      </c>
      <c r="S22" s="418" t="s">
        <v>232</v>
      </c>
      <c r="T22" s="418" t="s">
        <v>232</v>
      </c>
      <c r="U22" s="418" t="s">
        <v>232</v>
      </c>
      <c r="V22" s="418" t="s">
        <v>232</v>
      </c>
      <c r="W22" s="418" t="str">
        <f t="shared" ref="W22:W45" si="67">IF(ISNUMBER(V22),H22,"na")</f>
        <v>na</v>
      </c>
      <c r="X22" s="418" t="s">
        <v>232</v>
      </c>
      <c r="Y22" s="1884" t="str">
        <f t="shared" ref="Y22:Y45" si="68">IF(OR(ISNUMBER(Q22),ISNUMBER(R22),ISNUMBER(S22),ISNUMBER(T22),ISNUMBER(X22)),MIN(Q22:T22,X22),"na")</f>
        <v>na</v>
      </c>
      <c r="Z22" s="1884" t="str">
        <f t="shared" ref="Z22:Z45" si="69">IF(OR(ISNUMBER(U22),ISNUMBER(W22),ISNUMBER(Y22)),MIN(U22,W22,Y22),O22)</f>
        <v>na</v>
      </c>
      <c r="AA22" s="1789" t="s">
        <v>232</v>
      </c>
      <c r="AB22" s="1789" t="s">
        <v>232</v>
      </c>
      <c r="AC22" s="273" t="s">
        <v>232</v>
      </c>
      <c r="AD22" s="273" t="s">
        <v>232</v>
      </c>
      <c r="AE22" s="273" t="s">
        <v>232</v>
      </c>
      <c r="AF22" s="273" t="s">
        <v>232</v>
      </c>
      <c r="AG22" s="273" t="s">
        <v>232</v>
      </c>
      <c r="AH22" s="273" t="s">
        <v>232</v>
      </c>
      <c r="AI22" s="273" t="s">
        <v>232</v>
      </c>
      <c r="AJ22" s="273" t="s">
        <v>232</v>
      </c>
      <c r="AK22" s="273" t="s">
        <v>232</v>
      </c>
      <c r="AL22" s="273" t="s">
        <v>232</v>
      </c>
      <c r="AM22" s="273" t="s">
        <v>232</v>
      </c>
      <c r="AN22" s="273" t="str">
        <f t="shared" ref="AN22:AN45" si="70">IF(MIN(AA22,AB22)=0,"na",MIN(AA22,AB22))</f>
        <v>na</v>
      </c>
      <c r="AO22" s="273" t="str">
        <f t="shared" ref="AO22:AO45" si="71">IF(MIN(AC22:AF22)=0,"na",MIN(AC22:AF22))</f>
        <v>na</v>
      </c>
      <c r="AP22" s="273" t="str">
        <f t="shared" ref="AP22:AP45" si="72">IF(MIN(AG22,AH22)=0,"na",MIN(AG22,AH22))</f>
        <v>na</v>
      </c>
      <c r="AQ22" s="273" t="str">
        <f t="shared" ref="AQ22:AQ45" si="73">IF(MIN(AI22:AL22)=0,"na",MIN(AI22:AL22))</f>
        <v>na</v>
      </c>
      <c r="AR22" s="1789" t="str">
        <f t="shared" ref="AR22:AR45" si="74">IF(MIN(AA22:AM22)=0,"na",MIN(AA22:AM22))</f>
        <v>na</v>
      </c>
      <c r="AS22" s="1793"/>
      <c r="AU22" s="1331" t="str">
        <f t="shared" ref="AU22:AU45" si="75">IF($O22="na","",IF($O22=D22,"X",""))</f>
        <v/>
      </c>
      <c r="AV22" s="1111" t="str">
        <f t="shared" ref="AV22:AV45" si="76">IF(OR($O22="PQL",AND(ISNUMBER($F22),$O22=F22)),"X","")</f>
        <v/>
      </c>
      <c r="AW22" s="1111" t="str">
        <f t="shared" ref="AW22:AW45" si="77">IF($O22="na","",IF($O22=H22,"X",""))</f>
        <v/>
      </c>
      <c r="AX22" s="1111" t="str">
        <f t="shared" ref="AX22:AX45" si="78">IF($O22="na","",IF($O22=$K22,"X",""))</f>
        <v/>
      </c>
      <c r="AY22" s="1110" t="str">
        <f t="shared" ref="AY22:AY45" si="79">IF($P22="na","",IF($P22=E22,"X",""))</f>
        <v/>
      </c>
      <c r="AZ22" s="1111" t="str">
        <f t="shared" ref="AZ22:AZ45" si="80">IF(OR($P22="PQL",AND(ISNUMBER($F22),$P22=F22)),"X","")</f>
        <v/>
      </c>
      <c r="BA22" s="1111" t="str">
        <f t="shared" ref="BA22:BA45" si="81">IF($P22="na","",IF($P22=J22,"X",""))</f>
        <v/>
      </c>
      <c r="BB22" s="1703" t="str">
        <f t="shared" ref="BB22:BB45" si="82">IF($P22="na","",IF($P22=$L22,"X",""))</f>
        <v/>
      </c>
      <c r="BC22" s="1468" t="str">
        <f t="shared" ref="BC22:BC45" si="83">IF($Z22="na","",IF($Z22=D22,"X",""))</f>
        <v/>
      </c>
      <c r="BD22" s="1469" t="str">
        <f t="shared" ref="BD22:BD45" si="84">IF($Z22="na","",IF($Z22=F22,"X",""))</f>
        <v/>
      </c>
      <c r="BE22" s="1469" t="str">
        <f t="shared" ref="BE22:BE45" si="85">IF($Z22="na","",IF($Z22=H22,"X",""))</f>
        <v/>
      </c>
      <c r="BF22" s="1469" t="str">
        <f t="shared" ref="BF22:BF45" si="86">IF($Z22="na","",IF($Z22=K22,"X",""))</f>
        <v/>
      </c>
      <c r="BG22" s="1469" t="str">
        <f t="shared" ref="BG22:BG45" si="87">IF($Z22="na","",IF($Z22=Q22,"X",""))</f>
        <v/>
      </c>
      <c r="BH22" s="1469" t="str">
        <f t="shared" ref="BH22:BH45" si="88">IF($Z22="na","",IF(OR($Z22=R22,$Z22=S22,$Z22=T22),"X",""))</f>
        <v/>
      </c>
      <c r="BI22" s="1469" t="str">
        <f t="shared" ref="BI22:BI45" si="89">IF($Z22="na","",IF(OR($Z22=U22,$Z22=W22),"X",""))</f>
        <v/>
      </c>
      <c r="BJ22" s="1470" t="str">
        <f t="shared" ref="BJ22:BJ45" si="90">IF($Z22="na","",IF($Z22=X22,"X",""))</f>
        <v/>
      </c>
      <c r="BL22" s="1885"/>
    </row>
    <row r="23" spans="1:64" ht="13.9" customHeight="1" x14ac:dyDescent="0.25">
      <c r="A23" s="1917">
        <f>Chem!A23</f>
        <v>21</v>
      </c>
      <c r="B23" s="1880" t="str">
        <f>Chem!B23</f>
        <v>Antimony</v>
      </c>
      <c r="C23" s="394" t="str">
        <f>Param!AK23</f>
        <v>no</v>
      </c>
      <c r="D23" s="317" t="str">
        <f>IF(ISNUMBER(Param!AN23),Param!AN23,Param!AM23)</f>
        <v>na</v>
      </c>
      <c r="E23" s="273" t="s">
        <v>232</v>
      </c>
      <c r="F23" s="643">
        <v>0.5</v>
      </c>
      <c r="G23" s="550" t="s">
        <v>232</v>
      </c>
      <c r="H23" s="550" t="s">
        <v>232</v>
      </c>
      <c r="I23" s="273" t="s">
        <v>232</v>
      </c>
      <c r="J23" s="273" t="s">
        <v>232</v>
      </c>
      <c r="K23" s="219" t="str">
        <f>IF(C23="YES",'SD-Eq'!V23,"na")</f>
        <v>na</v>
      </c>
      <c r="L23" s="273" t="str">
        <f>IF(C23="YES",'SD-Eq'!Z23,"na")</f>
        <v>na</v>
      </c>
      <c r="M23" s="436" t="str">
        <f t="shared" si="63"/>
        <v>na</v>
      </c>
      <c r="N23" s="298" t="str">
        <f t="shared" si="64"/>
        <v>na</v>
      </c>
      <c r="O23" s="1794" t="str">
        <f t="shared" si="65"/>
        <v>na</v>
      </c>
      <c r="P23" s="1789" t="str">
        <f t="shared" si="66"/>
        <v>na</v>
      </c>
      <c r="Q23" s="418" t="s">
        <v>232</v>
      </c>
      <c r="R23" s="418" t="s">
        <v>232</v>
      </c>
      <c r="S23" s="418" t="s">
        <v>232</v>
      </c>
      <c r="T23" s="418" t="s">
        <v>232</v>
      </c>
      <c r="U23" s="418" t="s">
        <v>232</v>
      </c>
      <c r="V23" s="418" t="s">
        <v>232</v>
      </c>
      <c r="W23" s="418" t="str">
        <f t="shared" si="67"/>
        <v>na</v>
      </c>
      <c r="X23" s="418" t="s">
        <v>232</v>
      </c>
      <c r="Y23" s="1884" t="str">
        <f t="shared" si="68"/>
        <v>na</v>
      </c>
      <c r="Z23" s="1884" t="str">
        <f t="shared" si="69"/>
        <v>na</v>
      </c>
      <c r="AA23" s="1789" t="s">
        <v>232</v>
      </c>
      <c r="AB23" s="1789" t="s">
        <v>232</v>
      </c>
      <c r="AC23" s="273" t="s">
        <v>232</v>
      </c>
      <c r="AD23" s="273" t="s">
        <v>232</v>
      </c>
      <c r="AE23" s="273" t="s">
        <v>232</v>
      </c>
      <c r="AF23" s="273" t="s">
        <v>232</v>
      </c>
      <c r="AG23" s="273" t="s">
        <v>232</v>
      </c>
      <c r="AH23" s="273" t="s">
        <v>232</v>
      </c>
      <c r="AI23" s="273" t="s">
        <v>232</v>
      </c>
      <c r="AJ23" s="273" t="s">
        <v>232</v>
      </c>
      <c r="AK23" s="273" t="s">
        <v>232</v>
      </c>
      <c r="AL23" s="273" t="s">
        <v>232</v>
      </c>
      <c r="AM23" s="273" t="s">
        <v>232</v>
      </c>
      <c r="AN23" s="273" t="str">
        <f t="shared" si="70"/>
        <v>na</v>
      </c>
      <c r="AO23" s="273" t="str">
        <f t="shared" si="71"/>
        <v>na</v>
      </c>
      <c r="AP23" s="273" t="str">
        <f t="shared" si="72"/>
        <v>na</v>
      </c>
      <c r="AQ23" s="273" t="str">
        <f t="shared" si="73"/>
        <v>na</v>
      </c>
      <c r="AR23" s="1789" t="str">
        <f t="shared" si="74"/>
        <v>na</v>
      </c>
      <c r="AS23" s="1051"/>
      <c r="AU23" s="1332" t="str">
        <f t="shared" si="75"/>
        <v/>
      </c>
      <c r="AV23" s="1114" t="str">
        <f t="shared" si="76"/>
        <v/>
      </c>
      <c r="AW23" s="1114" t="str">
        <f t="shared" si="77"/>
        <v/>
      </c>
      <c r="AX23" s="1114" t="str">
        <f t="shared" si="78"/>
        <v/>
      </c>
      <c r="AY23" s="1113" t="str">
        <f t="shared" si="79"/>
        <v/>
      </c>
      <c r="AZ23" s="1114" t="str">
        <f t="shared" si="80"/>
        <v/>
      </c>
      <c r="BA23" s="1114" t="str">
        <f t="shared" si="81"/>
        <v/>
      </c>
      <c r="BB23" s="1704" t="str">
        <f t="shared" si="82"/>
        <v/>
      </c>
      <c r="BC23" s="1113" t="str">
        <f t="shared" si="83"/>
        <v/>
      </c>
      <c r="BD23" s="1114" t="str">
        <f t="shared" si="84"/>
        <v/>
      </c>
      <c r="BE23" s="1114" t="str">
        <f t="shared" si="85"/>
        <v/>
      </c>
      <c r="BF23" s="1114" t="str">
        <f t="shared" si="86"/>
        <v/>
      </c>
      <c r="BG23" s="1114" t="str">
        <f t="shared" si="87"/>
        <v/>
      </c>
      <c r="BH23" s="1114" t="str">
        <f t="shared" si="88"/>
        <v/>
      </c>
      <c r="BI23" s="1114" t="str">
        <f t="shared" si="89"/>
        <v/>
      </c>
      <c r="BJ23" s="1115" t="str">
        <f t="shared" si="90"/>
        <v/>
      </c>
      <c r="BL23" s="1885"/>
    </row>
    <row r="24" spans="1:64" ht="13.9" customHeight="1" x14ac:dyDescent="0.25">
      <c r="A24" s="1917">
        <f>Chem!A24</f>
        <v>22</v>
      </c>
      <c r="B24" s="1880" t="str">
        <f>Chem!B24</f>
        <v>Arsenic</v>
      </c>
      <c r="C24" s="394" t="str">
        <f>Param!AK24</f>
        <v>YES</v>
      </c>
      <c r="D24" s="317">
        <f>IF(ISNUMBER(Param!AN24),Param!AN24,Param!AM24)</f>
        <v>7</v>
      </c>
      <c r="E24" s="273" t="s">
        <v>232</v>
      </c>
      <c r="F24" s="643">
        <v>0.3</v>
      </c>
      <c r="G24" s="550" t="s">
        <v>232</v>
      </c>
      <c r="H24" s="550">
        <v>57</v>
      </c>
      <c r="I24" s="273" t="s">
        <v>232</v>
      </c>
      <c r="J24" s="273">
        <v>93</v>
      </c>
      <c r="K24" s="219">
        <f>IF(C24="YES",'SD-Eq'!V24,"na")</f>
        <v>6.687928142088409E-2</v>
      </c>
      <c r="L24" s="273">
        <f>IF(C24="YES",'SD-Eq'!Z24,"na")</f>
        <v>0.66879281420884107</v>
      </c>
      <c r="M24" s="436">
        <f t="shared" si="63"/>
        <v>7</v>
      </c>
      <c r="N24" s="298">
        <f t="shared" si="64"/>
        <v>7</v>
      </c>
      <c r="O24" s="1794">
        <f t="shared" si="65"/>
        <v>6.687928142088409E-2</v>
      </c>
      <c r="P24" s="1789">
        <f t="shared" si="66"/>
        <v>0.66879281420884107</v>
      </c>
      <c r="Q24" s="418" t="s">
        <v>232</v>
      </c>
      <c r="R24" s="418">
        <v>7</v>
      </c>
      <c r="S24" s="418">
        <v>7</v>
      </c>
      <c r="T24" s="418">
        <v>7</v>
      </c>
      <c r="U24" s="418">
        <v>57</v>
      </c>
      <c r="V24" s="418" t="s">
        <v>232</v>
      </c>
      <c r="W24" s="418" t="str">
        <f t="shared" si="67"/>
        <v>na</v>
      </c>
      <c r="X24" s="418" t="s">
        <v>232</v>
      </c>
      <c r="Y24" s="1884">
        <f t="shared" si="68"/>
        <v>7</v>
      </c>
      <c r="Z24" s="1884">
        <f t="shared" si="69"/>
        <v>7</v>
      </c>
      <c r="AA24" s="1789">
        <v>57</v>
      </c>
      <c r="AB24" s="1789">
        <v>28</v>
      </c>
      <c r="AC24" s="273">
        <v>57</v>
      </c>
      <c r="AD24" s="273">
        <v>171</v>
      </c>
      <c r="AE24" s="273">
        <v>28</v>
      </c>
      <c r="AF24" s="273">
        <v>42</v>
      </c>
      <c r="AG24" s="273">
        <v>57</v>
      </c>
      <c r="AH24" s="273">
        <v>57</v>
      </c>
      <c r="AI24" s="273">
        <v>57</v>
      </c>
      <c r="AJ24" s="273">
        <v>171</v>
      </c>
      <c r="AK24" s="273" t="s">
        <v>232</v>
      </c>
      <c r="AL24" s="273" t="s">
        <v>232</v>
      </c>
      <c r="AM24" s="273">
        <v>57</v>
      </c>
      <c r="AN24" s="273">
        <f t="shared" si="70"/>
        <v>28</v>
      </c>
      <c r="AO24" s="273">
        <f t="shared" si="71"/>
        <v>28</v>
      </c>
      <c r="AP24" s="273">
        <f t="shared" si="72"/>
        <v>57</v>
      </c>
      <c r="AQ24" s="273">
        <f t="shared" si="73"/>
        <v>57</v>
      </c>
      <c r="AR24" s="1789">
        <f t="shared" si="74"/>
        <v>28</v>
      </c>
      <c r="AS24" s="1051"/>
      <c r="AU24" s="1332" t="str">
        <f t="shared" si="75"/>
        <v/>
      </c>
      <c r="AV24" s="1114" t="str">
        <f t="shared" si="76"/>
        <v/>
      </c>
      <c r="AW24" s="1114" t="str">
        <f t="shared" si="77"/>
        <v/>
      </c>
      <c r="AX24" s="1114" t="str">
        <f t="shared" si="78"/>
        <v>X</v>
      </c>
      <c r="AY24" s="1113" t="str">
        <f t="shared" si="79"/>
        <v/>
      </c>
      <c r="AZ24" s="1114" t="str">
        <f t="shared" si="80"/>
        <v/>
      </c>
      <c r="BA24" s="1114" t="str">
        <f t="shared" si="81"/>
        <v/>
      </c>
      <c r="BB24" s="1704" t="str">
        <f t="shared" si="82"/>
        <v>X</v>
      </c>
      <c r="BC24" s="1113" t="str">
        <f t="shared" si="83"/>
        <v>X</v>
      </c>
      <c r="BD24" s="1114" t="str">
        <f t="shared" si="84"/>
        <v/>
      </c>
      <c r="BE24" s="1114" t="str">
        <f t="shared" si="85"/>
        <v/>
      </c>
      <c r="BF24" s="1114" t="str">
        <f t="shared" si="86"/>
        <v/>
      </c>
      <c r="BG24" s="1114" t="str">
        <f t="shared" si="87"/>
        <v/>
      </c>
      <c r="BH24" s="1114" t="str">
        <f t="shared" si="88"/>
        <v>X</v>
      </c>
      <c r="BI24" s="1114" t="str">
        <f t="shared" si="89"/>
        <v/>
      </c>
      <c r="BJ24" s="1115" t="str">
        <f t="shared" si="90"/>
        <v/>
      </c>
      <c r="BL24" s="1885"/>
    </row>
    <row r="25" spans="1:64" ht="13.9" customHeight="1" x14ac:dyDescent="0.25">
      <c r="A25" s="1917">
        <f>Chem!A25</f>
        <v>23</v>
      </c>
      <c r="B25" s="1880" t="str">
        <f>Chem!B25</f>
        <v>Barium</v>
      </c>
      <c r="C25" s="394" t="str">
        <f>Param!AK25</f>
        <v>no</v>
      </c>
      <c r="D25" s="317" t="str">
        <f>IF(ISNUMBER(Param!AN25),Param!AN25,Param!AM25)</f>
        <v>na</v>
      </c>
      <c r="E25" s="273" t="s">
        <v>232</v>
      </c>
      <c r="F25" s="643" t="s">
        <v>232</v>
      </c>
      <c r="G25" s="550" t="s">
        <v>232</v>
      </c>
      <c r="H25" s="550" t="s">
        <v>232</v>
      </c>
      <c r="I25" s="273" t="s">
        <v>232</v>
      </c>
      <c r="J25" s="273" t="s">
        <v>232</v>
      </c>
      <c r="K25" s="219" t="str">
        <f>IF(C25="YES",'SD-Eq'!V25,"na")</f>
        <v>na</v>
      </c>
      <c r="L25" s="273" t="str">
        <f>IF(C25="YES",'SD-Eq'!Z25,"na")</f>
        <v>na</v>
      </c>
      <c r="M25" s="436" t="str">
        <f t="shared" si="63"/>
        <v>na</v>
      </c>
      <c r="N25" s="298" t="str">
        <f t="shared" si="64"/>
        <v>na</v>
      </c>
      <c r="O25" s="1794" t="str">
        <f t="shared" si="65"/>
        <v>na</v>
      </c>
      <c r="P25" s="1789" t="str">
        <f t="shared" si="66"/>
        <v>na</v>
      </c>
      <c r="Q25" s="418" t="s">
        <v>232</v>
      </c>
      <c r="R25" s="418" t="s">
        <v>232</v>
      </c>
      <c r="S25" s="418" t="s">
        <v>232</v>
      </c>
      <c r="T25" s="418" t="s">
        <v>232</v>
      </c>
      <c r="U25" s="418" t="s">
        <v>232</v>
      </c>
      <c r="V25" s="418" t="s">
        <v>232</v>
      </c>
      <c r="W25" s="418" t="str">
        <f t="shared" si="67"/>
        <v>na</v>
      </c>
      <c r="X25" s="418" t="s">
        <v>232</v>
      </c>
      <c r="Y25" s="1884" t="str">
        <f t="shared" si="68"/>
        <v>na</v>
      </c>
      <c r="Z25" s="1884" t="str">
        <f t="shared" si="69"/>
        <v>na</v>
      </c>
      <c r="AA25" s="1789" t="s">
        <v>232</v>
      </c>
      <c r="AB25" s="1789" t="s">
        <v>232</v>
      </c>
      <c r="AC25" s="273" t="s">
        <v>232</v>
      </c>
      <c r="AD25" s="273" t="s">
        <v>232</v>
      </c>
      <c r="AE25" s="273" t="s">
        <v>232</v>
      </c>
      <c r="AF25" s="273" t="s">
        <v>232</v>
      </c>
      <c r="AG25" s="273" t="s">
        <v>232</v>
      </c>
      <c r="AH25" s="273" t="s">
        <v>232</v>
      </c>
      <c r="AI25" s="273" t="s">
        <v>232</v>
      </c>
      <c r="AJ25" s="273" t="s">
        <v>232</v>
      </c>
      <c r="AK25" s="273" t="s">
        <v>232</v>
      </c>
      <c r="AL25" s="273" t="s">
        <v>232</v>
      </c>
      <c r="AM25" s="273" t="s">
        <v>232</v>
      </c>
      <c r="AN25" s="273" t="str">
        <f t="shared" si="70"/>
        <v>na</v>
      </c>
      <c r="AO25" s="273" t="str">
        <f t="shared" si="71"/>
        <v>na</v>
      </c>
      <c r="AP25" s="273" t="str">
        <f t="shared" si="72"/>
        <v>na</v>
      </c>
      <c r="AQ25" s="273" t="str">
        <f t="shared" si="73"/>
        <v>na</v>
      </c>
      <c r="AR25" s="1789" t="str">
        <f t="shared" si="74"/>
        <v>na</v>
      </c>
      <c r="AS25" s="1051"/>
      <c r="AU25" s="1332" t="str">
        <f t="shared" si="75"/>
        <v/>
      </c>
      <c r="AV25" s="1114" t="str">
        <f t="shared" si="76"/>
        <v/>
      </c>
      <c r="AW25" s="1114" t="str">
        <f t="shared" si="77"/>
        <v/>
      </c>
      <c r="AX25" s="1114" t="str">
        <f t="shared" si="78"/>
        <v/>
      </c>
      <c r="AY25" s="1113" t="str">
        <f t="shared" si="79"/>
        <v/>
      </c>
      <c r="AZ25" s="1114" t="str">
        <f t="shared" si="80"/>
        <v/>
      </c>
      <c r="BA25" s="1114" t="str">
        <f t="shared" si="81"/>
        <v/>
      </c>
      <c r="BB25" s="1704" t="str">
        <f t="shared" si="82"/>
        <v/>
      </c>
      <c r="BC25" s="1113" t="str">
        <f t="shared" si="83"/>
        <v/>
      </c>
      <c r="BD25" s="1114" t="str">
        <f t="shared" si="84"/>
        <v/>
      </c>
      <c r="BE25" s="1114" t="str">
        <f t="shared" si="85"/>
        <v/>
      </c>
      <c r="BF25" s="1114" t="str">
        <f t="shared" si="86"/>
        <v/>
      </c>
      <c r="BG25" s="1114" t="str">
        <f t="shared" si="87"/>
        <v/>
      </c>
      <c r="BH25" s="1114" t="str">
        <f t="shared" si="88"/>
        <v/>
      </c>
      <c r="BI25" s="1114" t="str">
        <f t="shared" si="89"/>
        <v/>
      </c>
      <c r="BJ25" s="1115" t="str">
        <f t="shared" si="90"/>
        <v/>
      </c>
      <c r="BL25" s="1885"/>
    </row>
    <row r="26" spans="1:64" ht="13.9" customHeight="1" x14ac:dyDescent="0.25">
      <c r="A26" s="1917">
        <f>Chem!A26</f>
        <v>24</v>
      </c>
      <c r="B26" s="1880" t="str">
        <f>Chem!B26</f>
        <v>Beryllium</v>
      </c>
      <c r="C26" s="394" t="str">
        <f>Param!AK26</f>
        <v>no</v>
      </c>
      <c r="D26" s="317" t="str">
        <f>IF(ISNUMBER(Param!AN26),Param!AN26,Param!AM26)</f>
        <v>na</v>
      </c>
      <c r="E26" s="273" t="s">
        <v>232</v>
      </c>
      <c r="F26" s="643" t="s">
        <v>232</v>
      </c>
      <c r="G26" s="550" t="s">
        <v>232</v>
      </c>
      <c r="H26" s="550" t="s">
        <v>232</v>
      </c>
      <c r="I26" s="273" t="s">
        <v>232</v>
      </c>
      <c r="J26" s="273" t="s">
        <v>232</v>
      </c>
      <c r="K26" s="219" t="str">
        <f>IF(C26="YES",'SD-Eq'!V26,"na")</f>
        <v>na</v>
      </c>
      <c r="L26" s="273" t="str">
        <f>IF(C26="YES",'SD-Eq'!Z26,"na")</f>
        <v>na</v>
      </c>
      <c r="M26" s="435" t="str">
        <f t="shared" si="63"/>
        <v>na</v>
      </c>
      <c r="N26" s="298" t="str">
        <f t="shared" si="64"/>
        <v>na</v>
      </c>
      <c r="O26" s="1794" t="str">
        <f t="shared" si="65"/>
        <v>na</v>
      </c>
      <c r="P26" s="1789" t="str">
        <f t="shared" si="66"/>
        <v>na</v>
      </c>
      <c r="Q26" s="418" t="s">
        <v>232</v>
      </c>
      <c r="R26" s="418" t="s">
        <v>232</v>
      </c>
      <c r="S26" s="418" t="s">
        <v>232</v>
      </c>
      <c r="T26" s="418" t="s">
        <v>232</v>
      </c>
      <c r="U26" s="418" t="s">
        <v>232</v>
      </c>
      <c r="V26" s="418" t="s">
        <v>232</v>
      </c>
      <c r="W26" s="418" t="str">
        <f t="shared" si="67"/>
        <v>na</v>
      </c>
      <c r="X26" s="418" t="s">
        <v>232</v>
      </c>
      <c r="Y26" s="1884" t="str">
        <f t="shared" si="68"/>
        <v>na</v>
      </c>
      <c r="Z26" s="1884" t="str">
        <f t="shared" si="69"/>
        <v>na</v>
      </c>
      <c r="AA26" s="1789" t="s">
        <v>232</v>
      </c>
      <c r="AB26" s="1789" t="s">
        <v>232</v>
      </c>
      <c r="AC26" s="273" t="s">
        <v>232</v>
      </c>
      <c r="AD26" s="273" t="s">
        <v>232</v>
      </c>
      <c r="AE26" s="273" t="s">
        <v>232</v>
      </c>
      <c r="AF26" s="273" t="s">
        <v>232</v>
      </c>
      <c r="AG26" s="273" t="s">
        <v>232</v>
      </c>
      <c r="AH26" s="273" t="s">
        <v>232</v>
      </c>
      <c r="AI26" s="273" t="s">
        <v>232</v>
      </c>
      <c r="AJ26" s="273" t="s">
        <v>232</v>
      </c>
      <c r="AK26" s="273" t="s">
        <v>232</v>
      </c>
      <c r="AL26" s="273" t="s">
        <v>232</v>
      </c>
      <c r="AM26" s="273" t="s">
        <v>232</v>
      </c>
      <c r="AN26" s="273" t="str">
        <f t="shared" si="70"/>
        <v>na</v>
      </c>
      <c r="AO26" s="273" t="str">
        <f t="shared" si="71"/>
        <v>na</v>
      </c>
      <c r="AP26" s="273" t="str">
        <f t="shared" si="72"/>
        <v>na</v>
      </c>
      <c r="AQ26" s="273" t="str">
        <f t="shared" si="73"/>
        <v>na</v>
      </c>
      <c r="AR26" s="1789" t="str">
        <f t="shared" si="74"/>
        <v>na</v>
      </c>
      <c r="AS26" s="1051"/>
      <c r="AU26" s="1332" t="str">
        <f t="shared" si="75"/>
        <v/>
      </c>
      <c r="AV26" s="1114" t="str">
        <f t="shared" si="76"/>
        <v/>
      </c>
      <c r="AW26" s="1114" t="str">
        <f t="shared" si="77"/>
        <v/>
      </c>
      <c r="AX26" s="1114" t="str">
        <f t="shared" si="78"/>
        <v/>
      </c>
      <c r="AY26" s="1113" t="str">
        <f t="shared" si="79"/>
        <v/>
      </c>
      <c r="AZ26" s="1114" t="str">
        <f t="shared" si="80"/>
        <v/>
      </c>
      <c r="BA26" s="1114" t="str">
        <f t="shared" si="81"/>
        <v/>
      </c>
      <c r="BB26" s="1704" t="str">
        <f t="shared" si="82"/>
        <v/>
      </c>
      <c r="BC26" s="1113" t="str">
        <f t="shared" si="83"/>
        <v/>
      </c>
      <c r="BD26" s="1114" t="str">
        <f t="shared" si="84"/>
        <v/>
      </c>
      <c r="BE26" s="1114" t="str">
        <f t="shared" si="85"/>
        <v/>
      </c>
      <c r="BF26" s="1114" t="str">
        <f t="shared" si="86"/>
        <v/>
      </c>
      <c r="BG26" s="1114" t="str">
        <f t="shared" si="87"/>
        <v/>
      </c>
      <c r="BH26" s="1114" t="str">
        <f t="shared" si="88"/>
        <v/>
      </c>
      <c r="BI26" s="1114" t="str">
        <f t="shared" si="89"/>
        <v/>
      </c>
      <c r="BJ26" s="1115" t="str">
        <f t="shared" si="90"/>
        <v/>
      </c>
      <c r="BL26" s="1885"/>
    </row>
    <row r="27" spans="1:64" ht="13.9" customHeight="1" x14ac:dyDescent="0.25">
      <c r="A27" s="1917">
        <f>Chem!A27</f>
        <v>25</v>
      </c>
      <c r="B27" s="1880" t="str">
        <f>Chem!B27</f>
        <v>Cadmium</v>
      </c>
      <c r="C27" s="394" t="str">
        <f>Param!AK27</f>
        <v>no</v>
      </c>
      <c r="D27" s="317">
        <f>IF(ISNUMBER(Param!AN27),Param!AN27,Param!AM27)</f>
        <v>0.8</v>
      </c>
      <c r="E27" s="273" t="s">
        <v>232</v>
      </c>
      <c r="F27" s="643">
        <v>7.0000000000000007E-2</v>
      </c>
      <c r="G27" s="550" t="s">
        <v>232</v>
      </c>
      <c r="H27" s="550">
        <v>5.0999999999999996</v>
      </c>
      <c r="I27" s="273" t="s">
        <v>232</v>
      </c>
      <c r="J27" s="273">
        <v>6.7</v>
      </c>
      <c r="K27" s="219" t="str">
        <f>IF(C27="YES",'SD-Eq'!V27,"na")</f>
        <v>na</v>
      </c>
      <c r="L27" s="273" t="str">
        <f>IF(C27="YES",'SD-Eq'!Z27,"na")</f>
        <v>na</v>
      </c>
      <c r="M27" s="435" t="str">
        <f t="shared" si="63"/>
        <v>na</v>
      </c>
      <c r="N27" s="273" t="str">
        <f t="shared" si="64"/>
        <v>na</v>
      </c>
      <c r="O27" s="1794">
        <f t="shared" si="65"/>
        <v>5.0999999999999996</v>
      </c>
      <c r="P27" s="1789">
        <f t="shared" si="66"/>
        <v>6.7</v>
      </c>
      <c r="Q27" s="418" t="s">
        <v>232</v>
      </c>
      <c r="R27" s="418" t="s">
        <v>232</v>
      </c>
      <c r="S27" s="418" t="s">
        <v>232</v>
      </c>
      <c r="T27" s="418" t="s">
        <v>232</v>
      </c>
      <c r="U27" s="418">
        <v>5.0999999999999996</v>
      </c>
      <c r="V27" s="418" t="s">
        <v>232</v>
      </c>
      <c r="W27" s="418" t="str">
        <f t="shared" si="67"/>
        <v>na</v>
      </c>
      <c r="X27" s="418" t="s">
        <v>232</v>
      </c>
      <c r="Y27" s="1884" t="str">
        <f t="shared" si="68"/>
        <v>na</v>
      </c>
      <c r="Z27" s="1884">
        <f t="shared" si="69"/>
        <v>5.0999999999999996</v>
      </c>
      <c r="AA27" s="1789">
        <v>5.0999999999999996</v>
      </c>
      <c r="AB27" s="1789">
        <v>5.0999999999999996</v>
      </c>
      <c r="AC27" s="273">
        <v>10.199999999999999</v>
      </c>
      <c r="AD27" s="273">
        <v>30.6</v>
      </c>
      <c r="AE27" s="273" t="s">
        <v>232</v>
      </c>
      <c r="AF27" s="273" t="s">
        <v>232</v>
      </c>
      <c r="AG27" s="273">
        <v>5.0999999999999996</v>
      </c>
      <c r="AH27" s="273">
        <v>5.0999999999999996</v>
      </c>
      <c r="AI27" s="273">
        <v>10.199999999999999</v>
      </c>
      <c r="AJ27" s="273">
        <v>30.6</v>
      </c>
      <c r="AK27" s="273" t="s">
        <v>232</v>
      </c>
      <c r="AL27" s="273" t="s">
        <v>232</v>
      </c>
      <c r="AM27" s="273">
        <v>5.0999999999999996</v>
      </c>
      <c r="AN27" s="273">
        <f t="shared" si="70"/>
        <v>5.0999999999999996</v>
      </c>
      <c r="AO27" s="273">
        <f t="shared" si="71"/>
        <v>10.199999999999999</v>
      </c>
      <c r="AP27" s="273">
        <f t="shared" si="72"/>
        <v>5.0999999999999996</v>
      </c>
      <c r="AQ27" s="273">
        <f t="shared" si="73"/>
        <v>10.199999999999999</v>
      </c>
      <c r="AR27" s="1789">
        <f t="shared" si="74"/>
        <v>5.0999999999999996</v>
      </c>
      <c r="AS27" s="1051"/>
      <c r="AU27" s="1332" t="str">
        <f t="shared" si="75"/>
        <v/>
      </c>
      <c r="AV27" s="1114" t="str">
        <f t="shared" si="76"/>
        <v/>
      </c>
      <c r="AW27" s="1114" t="str">
        <f t="shared" si="77"/>
        <v>X</v>
      </c>
      <c r="AX27" s="1114" t="str">
        <f t="shared" si="78"/>
        <v/>
      </c>
      <c r="AY27" s="1113" t="str">
        <f t="shared" si="79"/>
        <v/>
      </c>
      <c r="AZ27" s="1114" t="str">
        <f t="shared" si="80"/>
        <v/>
      </c>
      <c r="BA27" s="1114" t="str">
        <f t="shared" si="81"/>
        <v>X</v>
      </c>
      <c r="BB27" s="1704" t="str">
        <f t="shared" si="82"/>
        <v/>
      </c>
      <c r="BC27" s="1113" t="str">
        <f t="shared" si="83"/>
        <v/>
      </c>
      <c r="BD27" s="1114" t="str">
        <f t="shared" si="84"/>
        <v/>
      </c>
      <c r="BE27" s="1114" t="str">
        <f t="shared" si="85"/>
        <v>X</v>
      </c>
      <c r="BF27" s="1114" t="str">
        <f t="shared" si="86"/>
        <v/>
      </c>
      <c r="BG27" s="1114" t="str">
        <f t="shared" si="87"/>
        <v/>
      </c>
      <c r="BH27" s="1114" t="str">
        <f t="shared" si="88"/>
        <v/>
      </c>
      <c r="BI27" s="1114" t="str">
        <f t="shared" si="89"/>
        <v>X</v>
      </c>
      <c r="BJ27" s="1115" t="str">
        <f t="shared" si="90"/>
        <v/>
      </c>
      <c r="BL27" s="1885"/>
    </row>
    <row r="28" spans="1:64" ht="13.9" customHeight="1" x14ac:dyDescent="0.25">
      <c r="A28" s="1917">
        <f>Chem!A28</f>
        <v>26</v>
      </c>
      <c r="B28" s="1880" t="str">
        <f>Chem!B28</f>
        <v>Chromium, total</v>
      </c>
      <c r="C28" s="394" t="str">
        <f>Param!AK28</f>
        <v>no</v>
      </c>
      <c r="D28" s="317">
        <f>IF(ISNUMBER(Param!AN28),Param!AN28,Param!AM28)</f>
        <v>62</v>
      </c>
      <c r="E28" s="273" t="s">
        <v>232</v>
      </c>
      <c r="F28" s="643">
        <v>0.2</v>
      </c>
      <c r="G28" s="550" t="s">
        <v>232</v>
      </c>
      <c r="H28" s="550">
        <v>260</v>
      </c>
      <c r="I28" s="273" t="s">
        <v>232</v>
      </c>
      <c r="J28" s="273">
        <v>270</v>
      </c>
      <c r="K28" s="219" t="str">
        <f>IF(C28="YES",'SD-Eq'!V28,"na")</f>
        <v>na</v>
      </c>
      <c r="L28" s="273" t="str">
        <f>IF(C28="YES",'SD-Eq'!Z28,"na")</f>
        <v>na</v>
      </c>
      <c r="M28" s="435" t="str">
        <f t="shared" si="63"/>
        <v>na</v>
      </c>
      <c r="N28" s="273" t="str">
        <f t="shared" si="64"/>
        <v>na</v>
      </c>
      <c r="O28" s="1794">
        <f t="shared" si="65"/>
        <v>260</v>
      </c>
      <c r="P28" s="1789">
        <f t="shared" si="66"/>
        <v>270</v>
      </c>
      <c r="Q28" s="418" t="s">
        <v>232</v>
      </c>
      <c r="R28" s="418" t="s">
        <v>232</v>
      </c>
      <c r="S28" s="418" t="s">
        <v>232</v>
      </c>
      <c r="T28" s="418" t="s">
        <v>232</v>
      </c>
      <c r="U28" s="418">
        <v>260</v>
      </c>
      <c r="V28" s="418" t="s">
        <v>232</v>
      </c>
      <c r="W28" s="418" t="str">
        <f t="shared" si="67"/>
        <v>na</v>
      </c>
      <c r="X28" s="418" t="s">
        <v>232</v>
      </c>
      <c r="Y28" s="1884" t="str">
        <f t="shared" si="68"/>
        <v>na</v>
      </c>
      <c r="Z28" s="1884">
        <f t="shared" si="69"/>
        <v>260</v>
      </c>
      <c r="AA28" s="1789">
        <v>260</v>
      </c>
      <c r="AB28" s="1789">
        <v>260</v>
      </c>
      <c r="AC28" s="273">
        <v>520</v>
      </c>
      <c r="AD28" s="273">
        <v>1560</v>
      </c>
      <c r="AE28" s="273" t="s">
        <v>232</v>
      </c>
      <c r="AF28" s="273" t="s">
        <v>232</v>
      </c>
      <c r="AG28" s="273">
        <v>260</v>
      </c>
      <c r="AH28" s="273">
        <v>260</v>
      </c>
      <c r="AI28" s="273">
        <v>520</v>
      </c>
      <c r="AJ28" s="273">
        <v>1560</v>
      </c>
      <c r="AK28" s="273" t="s">
        <v>232</v>
      </c>
      <c r="AL28" s="273" t="s">
        <v>232</v>
      </c>
      <c r="AM28" s="273">
        <v>260</v>
      </c>
      <c r="AN28" s="273">
        <f t="shared" ref="AN28" si="91">IF(MIN(AA28,AB28)=0,"na",MIN(AA28,AB28))</f>
        <v>260</v>
      </c>
      <c r="AO28" s="273">
        <f t="shared" ref="AO28" si="92">IF(MIN(AC28:AF28)=0,"na",MIN(AC28:AF28))</f>
        <v>520</v>
      </c>
      <c r="AP28" s="273">
        <f t="shared" ref="AP28" si="93">IF(MIN(AG28,AH28)=0,"na",MIN(AG28,AH28))</f>
        <v>260</v>
      </c>
      <c r="AQ28" s="273">
        <f t="shared" ref="AQ28" si="94">IF(MIN(AI28:AL28)=0,"na",MIN(AI28:AL28))</f>
        <v>520</v>
      </c>
      <c r="AR28" s="1789">
        <f t="shared" ref="AR28" si="95">IF(MIN(AA28:AM28)=0,"na",MIN(AA28:AM28))</f>
        <v>260</v>
      </c>
      <c r="AS28" s="1051"/>
      <c r="AU28" s="1332" t="str">
        <f t="shared" si="75"/>
        <v/>
      </c>
      <c r="AV28" s="1114" t="str">
        <f t="shared" si="76"/>
        <v/>
      </c>
      <c r="AW28" s="1114" t="str">
        <f t="shared" si="77"/>
        <v>X</v>
      </c>
      <c r="AX28" s="1114" t="str">
        <f t="shared" si="78"/>
        <v/>
      </c>
      <c r="AY28" s="1113" t="str">
        <f t="shared" si="79"/>
        <v/>
      </c>
      <c r="AZ28" s="1114" t="str">
        <f t="shared" si="80"/>
        <v/>
      </c>
      <c r="BA28" s="1114" t="str">
        <f t="shared" si="81"/>
        <v>X</v>
      </c>
      <c r="BB28" s="1704" t="str">
        <f t="shared" si="82"/>
        <v/>
      </c>
      <c r="BC28" s="1113" t="str">
        <f t="shared" si="83"/>
        <v/>
      </c>
      <c r="BD28" s="1114" t="str">
        <f t="shared" si="84"/>
        <v/>
      </c>
      <c r="BE28" s="1114" t="str">
        <f t="shared" si="85"/>
        <v>X</v>
      </c>
      <c r="BF28" s="1114" t="str">
        <f t="shared" si="86"/>
        <v/>
      </c>
      <c r="BG28" s="1114" t="str">
        <f t="shared" si="87"/>
        <v/>
      </c>
      <c r="BH28" s="1114" t="str">
        <f t="shared" si="88"/>
        <v/>
      </c>
      <c r="BI28" s="1114" t="str">
        <f t="shared" si="89"/>
        <v>X</v>
      </c>
      <c r="BJ28" s="1115" t="str">
        <f t="shared" si="90"/>
        <v/>
      </c>
      <c r="BL28" s="1885"/>
    </row>
    <row r="29" spans="1:64" ht="13.9" customHeight="1" x14ac:dyDescent="0.25">
      <c r="A29" s="1917">
        <f>Chem!A29</f>
        <v>27</v>
      </c>
      <c r="B29" s="1880" t="str">
        <f>Chem!B29</f>
        <v>Chromium, trivalent</v>
      </c>
      <c r="C29" s="394" t="str">
        <f>Param!AK29</f>
        <v>no</v>
      </c>
      <c r="D29" s="317" t="str">
        <f>IF(ISNUMBER(Param!AN29),Param!AN29,Param!AM29)</f>
        <v>na</v>
      </c>
      <c r="E29" s="273" t="s">
        <v>232</v>
      </c>
      <c r="F29" s="643" t="s">
        <v>232</v>
      </c>
      <c r="G29" s="550" t="s">
        <v>232</v>
      </c>
      <c r="H29" s="550" t="s">
        <v>232</v>
      </c>
      <c r="I29" s="273" t="s">
        <v>232</v>
      </c>
      <c r="J29" s="273" t="s">
        <v>232</v>
      </c>
      <c r="K29" s="219" t="str">
        <f>IF(C29="YES",'SD-Eq'!V29,"na")</f>
        <v>na</v>
      </c>
      <c r="L29" s="273" t="str">
        <f>IF(C29="YES",'SD-Eq'!Z29,"na")</f>
        <v>na</v>
      </c>
      <c r="M29" s="435" t="str">
        <f t="shared" si="63"/>
        <v>na</v>
      </c>
      <c r="N29" s="273" t="str">
        <f t="shared" si="64"/>
        <v>na</v>
      </c>
      <c r="O29" s="1794" t="str">
        <f t="shared" si="65"/>
        <v>na</v>
      </c>
      <c r="P29" s="1789" t="str">
        <f t="shared" si="66"/>
        <v>na</v>
      </c>
      <c r="Q29" s="418" t="s">
        <v>232</v>
      </c>
      <c r="R29" s="418" t="s">
        <v>232</v>
      </c>
      <c r="S29" s="418" t="s">
        <v>232</v>
      </c>
      <c r="T29" s="418" t="s">
        <v>232</v>
      </c>
      <c r="U29" s="418" t="s">
        <v>232</v>
      </c>
      <c r="V29" s="418" t="s">
        <v>232</v>
      </c>
      <c r="W29" s="418" t="str">
        <f t="shared" si="67"/>
        <v>na</v>
      </c>
      <c r="X29" s="418" t="s">
        <v>232</v>
      </c>
      <c r="Y29" s="1884" t="str">
        <f t="shared" si="68"/>
        <v>na</v>
      </c>
      <c r="Z29" s="1884" t="str">
        <f t="shared" si="69"/>
        <v>na</v>
      </c>
      <c r="AA29" s="1789" t="s">
        <v>232</v>
      </c>
      <c r="AB29" s="1789" t="s">
        <v>232</v>
      </c>
      <c r="AC29" s="273" t="s">
        <v>232</v>
      </c>
      <c r="AD29" s="273" t="s">
        <v>232</v>
      </c>
      <c r="AE29" s="273" t="s">
        <v>232</v>
      </c>
      <c r="AF29" s="273" t="s">
        <v>232</v>
      </c>
      <c r="AG29" s="273" t="s">
        <v>232</v>
      </c>
      <c r="AH29" s="273" t="s">
        <v>232</v>
      </c>
      <c r="AI29" s="273" t="s">
        <v>232</v>
      </c>
      <c r="AJ29" s="273" t="s">
        <v>232</v>
      </c>
      <c r="AK29" s="273" t="s">
        <v>232</v>
      </c>
      <c r="AL29" s="273" t="s">
        <v>232</v>
      </c>
      <c r="AM29" s="273" t="s">
        <v>232</v>
      </c>
      <c r="AN29" s="273" t="str">
        <f t="shared" si="70"/>
        <v>na</v>
      </c>
      <c r="AO29" s="273" t="str">
        <f t="shared" si="71"/>
        <v>na</v>
      </c>
      <c r="AP29" s="273" t="str">
        <f t="shared" si="72"/>
        <v>na</v>
      </c>
      <c r="AQ29" s="273" t="str">
        <f t="shared" si="73"/>
        <v>na</v>
      </c>
      <c r="AR29" s="1789" t="str">
        <f t="shared" si="74"/>
        <v>na</v>
      </c>
      <c r="AS29" s="1051"/>
      <c r="AU29" s="1332" t="str">
        <f t="shared" si="75"/>
        <v/>
      </c>
      <c r="AV29" s="1114" t="str">
        <f t="shared" si="76"/>
        <v/>
      </c>
      <c r="AW29" s="1114" t="str">
        <f t="shared" si="77"/>
        <v/>
      </c>
      <c r="AX29" s="1114" t="str">
        <f t="shared" si="78"/>
        <v/>
      </c>
      <c r="AY29" s="1113" t="str">
        <f t="shared" si="79"/>
        <v/>
      </c>
      <c r="AZ29" s="1114" t="str">
        <f t="shared" si="80"/>
        <v/>
      </c>
      <c r="BA29" s="1114" t="str">
        <f t="shared" si="81"/>
        <v/>
      </c>
      <c r="BB29" s="1704" t="str">
        <f t="shared" si="82"/>
        <v/>
      </c>
      <c r="BC29" s="1113" t="str">
        <f t="shared" si="83"/>
        <v/>
      </c>
      <c r="BD29" s="1114" t="str">
        <f t="shared" si="84"/>
        <v/>
      </c>
      <c r="BE29" s="1114" t="str">
        <f t="shared" si="85"/>
        <v/>
      </c>
      <c r="BF29" s="1114" t="str">
        <f t="shared" si="86"/>
        <v/>
      </c>
      <c r="BG29" s="1114" t="str">
        <f t="shared" si="87"/>
        <v/>
      </c>
      <c r="BH29" s="1114" t="str">
        <f t="shared" si="88"/>
        <v/>
      </c>
      <c r="BI29" s="1114" t="str">
        <f t="shared" si="89"/>
        <v/>
      </c>
      <c r="BJ29" s="1115" t="str">
        <f t="shared" si="90"/>
        <v/>
      </c>
      <c r="BL29" s="1885"/>
    </row>
    <row r="30" spans="1:64" ht="13.9" customHeight="1" x14ac:dyDescent="0.25">
      <c r="A30" s="1917">
        <f>Chem!A30</f>
        <v>28</v>
      </c>
      <c r="B30" s="1880" t="str">
        <f>Chem!B30</f>
        <v>Chromium, hexavalent</v>
      </c>
      <c r="C30" s="394" t="str">
        <f>Param!AK30</f>
        <v>no</v>
      </c>
      <c r="D30" s="317" t="str">
        <f>IF(ISNUMBER(Param!AN30),Param!AN30,Param!AM30)</f>
        <v>na</v>
      </c>
      <c r="E30" s="273" t="s">
        <v>232</v>
      </c>
      <c r="F30" s="643" t="s">
        <v>232</v>
      </c>
      <c r="G30" s="550" t="s">
        <v>232</v>
      </c>
      <c r="H30" s="550" t="s">
        <v>232</v>
      </c>
      <c r="I30" s="273" t="s">
        <v>232</v>
      </c>
      <c r="J30" s="273" t="s">
        <v>232</v>
      </c>
      <c r="K30" s="219" t="str">
        <f>IF(C30="YES",'SD-Eq'!V30,"na")</f>
        <v>na</v>
      </c>
      <c r="L30" s="273" t="str">
        <f>IF(C30="YES",'SD-Eq'!Z30,"na")</f>
        <v>na</v>
      </c>
      <c r="M30" s="435" t="str">
        <f t="shared" si="63"/>
        <v>na</v>
      </c>
      <c r="N30" s="273" t="str">
        <f t="shared" si="64"/>
        <v>na</v>
      </c>
      <c r="O30" s="1794" t="str">
        <f t="shared" si="65"/>
        <v>na</v>
      </c>
      <c r="P30" s="1789" t="str">
        <f t="shared" si="66"/>
        <v>na</v>
      </c>
      <c r="Q30" s="418" t="s">
        <v>232</v>
      </c>
      <c r="R30" s="418" t="s">
        <v>232</v>
      </c>
      <c r="S30" s="418" t="s">
        <v>232</v>
      </c>
      <c r="T30" s="418" t="s">
        <v>232</v>
      </c>
      <c r="U30" s="418" t="s">
        <v>232</v>
      </c>
      <c r="V30" s="418" t="s">
        <v>232</v>
      </c>
      <c r="W30" s="418" t="str">
        <f t="shared" si="67"/>
        <v>na</v>
      </c>
      <c r="X30" s="418" t="s">
        <v>232</v>
      </c>
      <c r="Y30" s="1884" t="str">
        <f t="shared" si="68"/>
        <v>na</v>
      </c>
      <c r="Z30" s="1884" t="str">
        <f t="shared" si="69"/>
        <v>na</v>
      </c>
      <c r="AA30" s="1789" t="s">
        <v>232</v>
      </c>
      <c r="AB30" s="1789" t="s">
        <v>232</v>
      </c>
      <c r="AC30" s="273" t="s">
        <v>232</v>
      </c>
      <c r="AD30" s="273" t="s">
        <v>232</v>
      </c>
      <c r="AE30" s="273" t="s">
        <v>232</v>
      </c>
      <c r="AF30" s="273" t="s">
        <v>232</v>
      </c>
      <c r="AG30" s="273" t="s">
        <v>232</v>
      </c>
      <c r="AH30" s="273" t="s">
        <v>232</v>
      </c>
      <c r="AI30" s="273" t="s">
        <v>232</v>
      </c>
      <c r="AJ30" s="273" t="s">
        <v>232</v>
      </c>
      <c r="AK30" s="273" t="s">
        <v>232</v>
      </c>
      <c r="AL30" s="273" t="s">
        <v>232</v>
      </c>
      <c r="AM30" s="273" t="s">
        <v>232</v>
      </c>
      <c r="AN30" s="273" t="str">
        <f t="shared" si="70"/>
        <v>na</v>
      </c>
      <c r="AO30" s="273" t="str">
        <f t="shared" si="71"/>
        <v>na</v>
      </c>
      <c r="AP30" s="273" t="str">
        <f t="shared" si="72"/>
        <v>na</v>
      </c>
      <c r="AQ30" s="273" t="str">
        <f t="shared" si="73"/>
        <v>na</v>
      </c>
      <c r="AR30" s="1789" t="str">
        <f t="shared" si="74"/>
        <v>na</v>
      </c>
      <c r="AS30" s="1051"/>
      <c r="AU30" s="1332" t="str">
        <f t="shared" si="75"/>
        <v/>
      </c>
      <c r="AV30" s="1114" t="str">
        <f t="shared" si="76"/>
        <v/>
      </c>
      <c r="AW30" s="1114" t="str">
        <f t="shared" si="77"/>
        <v/>
      </c>
      <c r="AX30" s="1114" t="str">
        <f t="shared" si="78"/>
        <v/>
      </c>
      <c r="AY30" s="1113" t="str">
        <f t="shared" si="79"/>
        <v/>
      </c>
      <c r="AZ30" s="1114" t="str">
        <f t="shared" si="80"/>
        <v/>
      </c>
      <c r="BA30" s="1114" t="str">
        <f t="shared" si="81"/>
        <v/>
      </c>
      <c r="BB30" s="1704" t="str">
        <f t="shared" si="82"/>
        <v/>
      </c>
      <c r="BC30" s="1113" t="str">
        <f t="shared" si="83"/>
        <v/>
      </c>
      <c r="BD30" s="1114" t="str">
        <f t="shared" si="84"/>
        <v/>
      </c>
      <c r="BE30" s="1114" t="str">
        <f t="shared" si="85"/>
        <v/>
      </c>
      <c r="BF30" s="1114" t="str">
        <f t="shared" si="86"/>
        <v/>
      </c>
      <c r="BG30" s="1114" t="str">
        <f t="shared" si="87"/>
        <v/>
      </c>
      <c r="BH30" s="1114" t="str">
        <f t="shared" si="88"/>
        <v/>
      </c>
      <c r="BI30" s="1114" t="str">
        <f t="shared" si="89"/>
        <v/>
      </c>
      <c r="BJ30" s="1115" t="str">
        <f t="shared" si="90"/>
        <v/>
      </c>
      <c r="BL30" s="1885"/>
    </row>
    <row r="31" spans="1:64" ht="13.9" customHeight="1" x14ac:dyDescent="0.25">
      <c r="A31" s="1917">
        <f>Chem!A31</f>
        <v>29</v>
      </c>
      <c r="B31" s="1880" t="str">
        <f>Chem!B31</f>
        <v>Cobalt</v>
      </c>
      <c r="C31" s="394" t="str">
        <f>Param!AK31</f>
        <v>no</v>
      </c>
      <c r="D31" s="317" t="str">
        <f>IF(ISNUMBER(Param!AN31),Param!AN31,Param!AM31)</f>
        <v>na</v>
      </c>
      <c r="E31" s="273" t="s">
        <v>232</v>
      </c>
      <c r="F31" s="643" t="s">
        <v>232</v>
      </c>
      <c r="G31" s="550" t="s">
        <v>232</v>
      </c>
      <c r="H31" s="550" t="s">
        <v>232</v>
      </c>
      <c r="I31" s="273" t="s">
        <v>232</v>
      </c>
      <c r="J31" s="273" t="s">
        <v>232</v>
      </c>
      <c r="K31" s="219" t="str">
        <f>IF(C31="YES",'SD-Eq'!V31,"na")</f>
        <v>na</v>
      </c>
      <c r="L31" s="273" t="str">
        <f>IF(C31="YES",'SD-Eq'!Z31,"na")</f>
        <v>na</v>
      </c>
      <c r="M31" s="435" t="str">
        <f t="shared" si="63"/>
        <v>na</v>
      </c>
      <c r="N31" s="273" t="str">
        <f t="shared" si="64"/>
        <v>na</v>
      </c>
      <c r="O31" s="1794" t="str">
        <f t="shared" si="65"/>
        <v>na</v>
      </c>
      <c r="P31" s="1789" t="str">
        <f t="shared" si="66"/>
        <v>na</v>
      </c>
      <c r="Q31" s="418" t="s">
        <v>232</v>
      </c>
      <c r="R31" s="418" t="s">
        <v>232</v>
      </c>
      <c r="S31" s="418" t="s">
        <v>232</v>
      </c>
      <c r="T31" s="418" t="s">
        <v>232</v>
      </c>
      <c r="U31" s="418" t="s">
        <v>232</v>
      </c>
      <c r="V31" s="418" t="s">
        <v>232</v>
      </c>
      <c r="W31" s="418" t="str">
        <f t="shared" si="67"/>
        <v>na</v>
      </c>
      <c r="X31" s="418" t="s">
        <v>232</v>
      </c>
      <c r="Y31" s="1884" t="str">
        <f t="shared" si="68"/>
        <v>na</v>
      </c>
      <c r="Z31" s="1884" t="str">
        <f t="shared" si="69"/>
        <v>na</v>
      </c>
      <c r="AA31" s="1789" t="s">
        <v>232</v>
      </c>
      <c r="AB31" s="1789" t="s">
        <v>232</v>
      </c>
      <c r="AC31" s="273" t="s">
        <v>232</v>
      </c>
      <c r="AD31" s="273" t="s">
        <v>232</v>
      </c>
      <c r="AE31" s="273" t="s">
        <v>232</v>
      </c>
      <c r="AF31" s="273" t="s">
        <v>232</v>
      </c>
      <c r="AG31" s="273" t="s">
        <v>232</v>
      </c>
      <c r="AH31" s="273" t="s">
        <v>232</v>
      </c>
      <c r="AI31" s="273" t="s">
        <v>232</v>
      </c>
      <c r="AJ31" s="273" t="s">
        <v>232</v>
      </c>
      <c r="AK31" s="273" t="s">
        <v>232</v>
      </c>
      <c r="AL31" s="273" t="s">
        <v>232</v>
      </c>
      <c r="AM31" s="273" t="s">
        <v>232</v>
      </c>
      <c r="AN31" s="273" t="str">
        <f t="shared" si="70"/>
        <v>na</v>
      </c>
      <c r="AO31" s="273" t="str">
        <f t="shared" si="71"/>
        <v>na</v>
      </c>
      <c r="AP31" s="273" t="str">
        <f t="shared" si="72"/>
        <v>na</v>
      </c>
      <c r="AQ31" s="273" t="str">
        <f t="shared" si="73"/>
        <v>na</v>
      </c>
      <c r="AR31" s="1789" t="str">
        <f t="shared" si="74"/>
        <v>na</v>
      </c>
      <c r="AS31" s="1051"/>
      <c r="AU31" s="1332" t="str">
        <f t="shared" si="75"/>
        <v/>
      </c>
      <c r="AV31" s="1114" t="str">
        <f t="shared" si="76"/>
        <v/>
      </c>
      <c r="AW31" s="1114" t="str">
        <f t="shared" si="77"/>
        <v/>
      </c>
      <c r="AX31" s="1114" t="str">
        <f t="shared" si="78"/>
        <v/>
      </c>
      <c r="AY31" s="1113" t="str">
        <f t="shared" si="79"/>
        <v/>
      </c>
      <c r="AZ31" s="1114" t="str">
        <f t="shared" si="80"/>
        <v/>
      </c>
      <c r="BA31" s="1114" t="str">
        <f t="shared" si="81"/>
        <v/>
      </c>
      <c r="BB31" s="1704" t="str">
        <f t="shared" si="82"/>
        <v/>
      </c>
      <c r="BC31" s="1113" t="str">
        <f t="shared" si="83"/>
        <v/>
      </c>
      <c r="BD31" s="1114" t="str">
        <f t="shared" si="84"/>
        <v/>
      </c>
      <c r="BE31" s="1114" t="str">
        <f t="shared" si="85"/>
        <v/>
      </c>
      <c r="BF31" s="1114" t="str">
        <f t="shared" si="86"/>
        <v/>
      </c>
      <c r="BG31" s="1114" t="str">
        <f t="shared" si="87"/>
        <v/>
      </c>
      <c r="BH31" s="1114" t="str">
        <f t="shared" si="88"/>
        <v/>
      </c>
      <c r="BI31" s="1114" t="str">
        <f t="shared" si="89"/>
        <v/>
      </c>
      <c r="BJ31" s="1115" t="str">
        <f t="shared" si="90"/>
        <v/>
      </c>
      <c r="BL31" s="1885"/>
    </row>
    <row r="32" spans="1:64" ht="13.9" customHeight="1" x14ac:dyDescent="0.25">
      <c r="A32" s="1917">
        <f>Chem!A32</f>
        <v>30</v>
      </c>
      <c r="B32" s="1880" t="str">
        <f>Chem!B32</f>
        <v>Copper</v>
      </c>
      <c r="C32" s="394" t="str">
        <f>Param!AK32</f>
        <v>no</v>
      </c>
      <c r="D32" s="317">
        <f>IF(ISNUMBER(Param!AN32),Param!AN32,Param!AM32)</f>
        <v>45</v>
      </c>
      <c r="E32" s="273" t="s">
        <v>232</v>
      </c>
      <c r="F32" s="643">
        <v>0.1</v>
      </c>
      <c r="G32" s="550" t="s">
        <v>232</v>
      </c>
      <c r="H32" s="550">
        <v>390</v>
      </c>
      <c r="I32" s="273" t="s">
        <v>232</v>
      </c>
      <c r="J32" s="273">
        <v>390</v>
      </c>
      <c r="K32" s="219" t="str">
        <f>IF(C32="YES",'SD-Eq'!V32,"na")</f>
        <v>na</v>
      </c>
      <c r="L32" s="273" t="str">
        <f>IF(C32="YES",'SD-Eq'!Z32,"na")</f>
        <v>na</v>
      </c>
      <c r="M32" s="435" t="str">
        <f t="shared" si="63"/>
        <v>na</v>
      </c>
      <c r="N32" s="273" t="str">
        <f t="shared" si="64"/>
        <v>na</v>
      </c>
      <c r="O32" s="1794">
        <f t="shared" si="65"/>
        <v>390</v>
      </c>
      <c r="P32" s="1789">
        <f t="shared" si="66"/>
        <v>390</v>
      </c>
      <c r="Q32" s="418" t="s">
        <v>232</v>
      </c>
      <c r="R32" s="418" t="s">
        <v>232</v>
      </c>
      <c r="S32" s="418" t="s">
        <v>232</v>
      </c>
      <c r="T32" s="418" t="s">
        <v>232</v>
      </c>
      <c r="U32" s="418">
        <v>390</v>
      </c>
      <c r="V32" s="418" t="s">
        <v>232</v>
      </c>
      <c r="W32" s="418" t="str">
        <f t="shared" si="67"/>
        <v>na</v>
      </c>
      <c r="X32" s="418" t="s">
        <v>232</v>
      </c>
      <c r="Y32" s="1884" t="str">
        <f t="shared" si="68"/>
        <v>na</v>
      </c>
      <c r="Z32" s="1884">
        <f t="shared" si="69"/>
        <v>390</v>
      </c>
      <c r="AA32" s="1789">
        <v>390</v>
      </c>
      <c r="AB32" s="1789">
        <v>390</v>
      </c>
      <c r="AC32" s="273">
        <v>780</v>
      </c>
      <c r="AD32" s="273">
        <v>2340</v>
      </c>
      <c r="AE32" s="273" t="s">
        <v>232</v>
      </c>
      <c r="AF32" s="273" t="s">
        <v>232</v>
      </c>
      <c r="AG32" s="273">
        <v>390</v>
      </c>
      <c r="AH32" s="273">
        <v>390</v>
      </c>
      <c r="AI32" s="273">
        <v>780</v>
      </c>
      <c r="AJ32" s="273">
        <v>2340</v>
      </c>
      <c r="AK32" s="273" t="s">
        <v>232</v>
      </c>
      <c r="AL32" s="273" t="s">
        <v>232</v>
      </c>
      <c r="AM32" s="273">
        <v>390</v>
      </c>
      <c r="AN32" s="273">
        <f t="shared" si="70"/>
        <v>390</v>
      </c>
      <c r="AO32" s="273">
        <f t="shared" si="71"/>
        <v>780</v>
      </c>
      <c r="AP32" s="273">
        <f t="shared" si="72"/>
        <v>390</v>
      </c>
      <c r="AQ32" s="273">
        <f t="shared" si="73"/>
        <v>780</v>
      </c>
      <c r="AR32" s="1789">
        <f t="shared" si="74"/>
        <v>390</v>
      </c>
      <c r="AS32" s="1051"/>
      <c r="AU32" s="1332" t="str">
        <f t="shared" si="75"/>
        <v/>
      </c>
      <c r="AV32" s="1114" t="str">
        <f t="shared" si="76"/>
        <v/>
      </c>
      <c r="AW32" s="1114" t="str">
        <f t="shared" si="77"/>
        <v>X</v>
      </c>
      <c r="AX32" s="1114" t="str">
        <f t="shared" si="78"/>
        <v/>
      </c>
      <c r="AY32" s="1113" t="str">
        <f t="shared" si="79"/>
        <v/>
      </c>
      <c r="AZ32" s="1114" t="str">
        <f t="shared" si="80"/>
        <v/>
      </c>
      <c r="BA32" s="1114" t="str">
        <f t="shared" si="81"/>
        <v>X</v>
      </c>
      <c r="BB32" s="1704" t="str">
        <f t="shared" si="82"/>
        <v/>
      </c>
      <c r="BC32" s="1113" t="str">
        <f t="shared" si="83"/>
        <v/>
      </c>
      <c r="BD32" s="1114" t="str">
        <f t="shared" si="84"/>
        <v/>
      </c>
      <c r="BE32" s="1114" t="str">
        <f t="shared" si="85"/>
        <v>X</v>
      </c>
      <c r="BF32" s="1114" t="str">
        <f t="shared" si="86"/>
        <v/>
      </c>
      <c r="BG32" s="1114" t="str">
        <f t="shared" si="87"/>
        <v/>
      </c>
      <c r="BH32" s="1114" t="str">
        <f t="shared" si="88"/>
        <v/>
      </c>
      <c r="BI32" s="1114" t="str">
        <f t="shared" si="89"/>
        <v>X</v>
      </c>
      <c r="BJ32" s="1115" t="str">
        <f t="shared" si="90"/>
        <v/>
      </c>
      <c r="BL32" s="1885"/>
    </row>
    <row r="33" spans="1:64" ht="13.9" customHeight="1" x14ac:dyDescent="0.25">
      <c r="A33" s="1917">
        <f>Chem!A33</f>
        <v>31</v>
      </c>
      <c r="B33" s="1880" t="str">
        <f>Chem!B33</f>
        <v>Iron</v>
      </c>
      <c r="C33" s="394" t="str">
        <f>Param!AK33</f>
        <v>no</v>
      </c>
      <c r="D33" s="317" t="str">
        <f>IF(ISNUMBER(Param!AN33),Param!AN33,Param!AM33)</f>
        <v>na</v>
      </c>
      <c r="E33" s="273" t="s">
        <v>232</v>
      </c>
      <c r="F33" s="643" t="s">
        <v>232</v>
      </c>
      <c r="G33" s="550" t="s">
        <v>232</v>
      </c>
      <c r="H33" s="550" t="s">
        <v>232</v>
      </c>
      <c r="I33" s="273" t="s">
        <v>232</v>
      </c>
      <c r="J33" s="273" t="s">
        <v>232</v>
      </c>
      <c r="K33" s="219" t="str">
        <f>IF(C33="YES",'SD-Eq'!V33,"na")</f>
        <v>na</v>
      </c>
      <c r="L33" s="273" t="str">
        <f>IF(C33="YES",'SD-Eq'!Z33,"na")</f>
        <v>na</v>
      </c>
      <c r="M33" s="435" t="str">
        <f t="shared" si="63"/>
        <v>na</v>
      </c>
      <c r="N33" s="273" t="str">
        <f t="shared" si="64"/>
        <v>na</v>
      </c>
      <c r="O33" s="1794" t="str">
        <f t="shared" si="65"/>
        <v>na</v>
      </c>
      <c r="P33" s="1789" t="str">
        <f t="shared" si="66"/>
        <v>na</v>
      </c>
      <c r="Q33" s="418" t="s">
        <v>232</v>
      </c>
      <c r="R33" s="418" t="s">
        <v>232</v>
      </c>
      <c r="S33" s="418" t="s">
        <v>232</v>
      </c>
      <c r="T33" s="418" t="s">
        <v>232</v>
      </c>
      <c r="U33" s="418" t="s">
        <v>232</v>
      </c>
      <c r="V33" s="418" t="s">
        <v>232</v>
      </c>
      <c r="W33" s="418" t="str">
        <f t="shared" si="67"/>
        <v>na</v>
      </c>
      <c r="X33" s="418" t="s">
        <v>232</v>
      </c>
      <c r="Y33" s="1884" t="str">
        <f t="shared" si="68"/>
        <v>na</v>
      </c>
      <c r="Z33" s="1884" t="str">
        <f t="shared" si="69"/>
        <v>na</v>
      </c>
      <c r="AA33" s="1789" t="s">
        <v>232</v>
      </c>
      <c r="AB33" s="1789" t="s">
        <v>232</v>
      </c>
      <c r="AC33" s="273" t="s">
        <v>232</v>
      </c>
      <c r="AD33" s="273" t="s">
        <v>232</v>
      </c>
      <c r="AE33" s="273" t="s">
        <v>232</v>
      </c>
      <c r="AF33" s="273" t="s">
        <v>232</v>
      </c>
      <c r="AG33" s="273" t="s">
        <v>232</v>
      </c>
      <c r="AH33" s="273" t="s">
        <v>232</v>
      </c>
      <c r="AI33" s="273" t="s">
        <v>232</v>
      </c>
      <c r="AJ33" s="273" t="s">
        <v>232</v>
      </c>
      <c r="AK33" s="273" t="s">
        <v>232</v>
      </c>
      <c r="AL33" s="273" t="s">
        <v>232</v>
      </c>
      <c r="AM33" s="273" t="s">
        <v>232</v>
      </c>
      <c r="AN33" s="273" t="str">
        <f t="shared" si="70"/>
        <v>na</v>
      </c>
      <c r="AO33" s="273" t="str">
        <f t="shared" si="71"/>
        <v>na</v>
      </c>
      <c r="AP33" s="273" t="str">
        <f t="shared" si="72"/>
        <v>na</v>
      </c>
      <c r="AQ33" s="273" t="str">
        <f t="shared" si="73"/>
        <v>na</v>
      </c>
      <c r="AR33" s="1789" t="str">
        <f t="shared" si="74"/>
        <v>na</v>
      </c>
      <c r="AS33" s="1051"/>
      <c r="AU33" s="1332" t="str">
        <f t="shared" si="75"/>
        <v/>
      </c>
      <c r="AV33" s="1114" t="str">
        <f t="shared" si="76"/>
        <v/>
      </c>
      <c r="AW33" s="1114" t="str">
        <f t="shared" si="77"/>
        <v/>
      </c>
      <c r="AX33" s="1114" t="str">
        <f t="shared" si="78"/>
        <v/>
      </c>
      <c r="AY33" s="1113" t="str">
        <f t="shared" si="79"/>
        <v/>
      </c>
      <c r="AZ33" s="1114" t="str">
        <f t="shared" si="80"/>
        <v/>
      </c>
      <c r="BA33" s="1114" t="str">
        <f t="shared" si="81"/>
        <v/>
      </c>
      <c r="BB33" s="1704" t="str">
        <f t="shared" si="82"/>
        <v/>
      </c>
      <c r="BC33" s="1113" t="str">
        <f t="shared" si="83"/>
        <v/>
      </c>
      <c r="BD33" s="1114" t="str">
        <f t="shared" si="84"/>
        <v/>
      </c>
      <c r="BE33" s="1114" t="str">
        <f t="shared" si="85"/>
        <v/>
      </c>
      <c r="BF33" s="1114" t="str">
        <f t="shared" si="86"/>
        <v/>
      </c>
      <c r="BG33" s="1114" t="str">
        <f t="shared" si="87"/>
        <v/>
      </c>
      <c r="BH33" s="1114" t="str">
        <f t="shared" si="88"/>
        <v/>
      </c>
      <c r="BI33" s="1114" t="str">
        <f t="shared" si="89"/>
        <v/>
      </c>
      <c r="BJ33" s="1115" t="str">
        <f t="shared" si="90"/>
        <v/>
      </c>
      <c r="BL33" s="1885"/>
    </row>
    <row r="34" spans="1:64" ht="13.9" customHeight="1" x14ac:dyDescent="0.25">
      <c r="A34" s="1917">
        <f>Chem!A34</f>
        <v>32</v>
      </c>
      <c r="B34" s="1880" t="str">
        <f>Chem!B34</f>
        <v>Lead</v>
      </c>
      <c r="C34" s="394" t="str">
        <f>Param!AK34</f>
        <v>no</v>
      </c>
      <c r="D34" s="317">
        <f>IF(ISNUMBER(Param!AN34),Param!AN34,Param!AM34)</f>
        <v>21</v>
      </c>
      <c r="E34" s="273" t="s">
        <v>232</v>
      </c>
      <c r="F34" s="643">
        <v>0.1</v>
      </c>
      <c r="G34" s="550" t="s">
        <v>232</v>
      </c>
      <c r="H34" s="550">
        <v>450</v>
      </c>
      <c r="I34" s="273" t="s">
        <v>232</v>
      </c>
      <c r="J34" s="273">
        <v>530</v>
      </c>
      <c r="K34" s="219" t="str">
        <f>IF(C34="YES",'SD-Eq'!V34,"na")</f>
        <v>na</v>
      </c>
      <c r="L34" s="273" t="str">
        <f>IF(C34="YES",'SD-Eq'!Z34,"na")</f>
        <v>na</v>
      </c>
      <c r="M34" s="435" t="str">
        <f t="shared" si="63"/>
        <v>na</v>
      </c>
      <c r="N34" s="273" t="str">
        <f t="shared" si="64"/>
        <v>na</v>
      </c>
      <c r="O34" s="1794">
        <f t="shared" si="65"/>
        <v>450</v>
      </c>
      <c r="P34" s="1789">
        <f t="shared" si="66"/>
        <v>530</v>
      </c>
      <c r="Q34" s="418" t="s">
        <v>232</v>
      </c>
      <c r="R34" s="418" t="s">
        <v>232</v>
      </c>
      <c r="S34" s="418" t="s">
        <v>232</v>
      </c>
      <c r="T34" s="418" t="s">
        <v>232</v>
      </c>
      <c r="U34" s="418">
        <v>450</v>
      </c>
      <c r="V34" s="418" t="s">
        <v>232</v>
      </c>
      <c r="W34" s="418" t="str">
        <f t="shared" si="67"/>
        <v>na</v>
      </c>
      <c r="X34" s="418" t="s">
        <v>232</v>
      </c>
      <c r="Y34" s="1884" t="str">
        <f t="shared" si="68"/>
        <v>na</v>
      </c>
      <c r="Z34" s="1884">
        <f t="shared" si="69"/>
        <v>450</v>
      </c>
      <c r="AA34" s="1789">
        <v>450</v>
      </c>
      <c r="AB34" s="1789">
        <v>450</v>
      </c>
      <c r="AC34" s="273">
        <v>900</v>
      </c>
      <c r="AD34" s="273">
        <v>2700</v>
      </c>
      <c r="AE34" s="273" t="s">
        <v>232</v>
      </c>
      <c r="AF34" s="273" t="s">
        <v>232</v>
      </c>
      <c r="AG34" s="273">
        <v>450</v>
      </c>
      <c r="AH34" s="273">
        <v>450</v>
      </c>
      <c r="AI34" s="273">
        <v>900</v>
      </c>
      <c r="AJ34" s="273">
        <v>2700</v>
      </c>
      <c r="AK34" s="273" t="s">
        <v>232</v>
      </c>
      <c r="AL34" s="273" t="s">
        <v>232</v>
      </c>
      <c r="AM34" s="273">
        <v>450</v>
      </c>
      <c r="AN34" s="273">
        <f t="shared" si="70"/>
        <v>450</v>
      </c>
      <c r="AO34" s="273">
        <f t="shared" si="71"/>
        <v>900</v>
      </c>
      <c r="AP34" s="273">
        <f t="shared" si="72"/>
        <v>450</v>
      </c>
      <c r="AQ34" s="273">
        <f t="shared" si="73"/>
        <v>900</v>
      </c>
      <c r="AR34" s="1789">
        <f t="shared" si="74"/>
        <v>450</v>
      </c>
      <c r="AS34" s="1051"/>
      <c r="AU34" s="1332" t="str">
        <f t="shared" si="75"/>
        <v/>
      </c>
      <c r="AV34" s="1114" t="str">
        <f t="shared" si="76"/>
        <v/>
      </c>
      <c r="AW34" s="1114" t="str">
        <f t="shared" si="77"/>
        <v>X</v>
      </c>
      <c r="AX34" s="1114" t="str">
        <f t="shared" si="78"/>
        <v/>
      </c>
      <c r="AY34" s="1113" t="str">
        <f t="shared" si="79"/>
        <v/>
      </c>
      <c r="AZ34" s="1114" t="str">
        <f t="shared" si="80"/>
        <v/>
      </c>
      <c r="BA34" s="1114" t="str">
        <f t="shared" si="81"/>
        <v>X</v>
      </c>
      <c r="BB34" s="1704" t="str">
        <f t="shared" si="82"/>
        <v/>
      </c>
      <c r="BC34" s="1113" t="str">
        <f t="shared" si="83"/>
        <v/>
      </c>
      <c r="BD34" s="1114" t="str">
        <f t="shared" si="84"/>
        <v/>
      </c>
      <c r="BE34" s="1114" t="str">
        <f t="shared" si="85"/>
        <v>X</v>
      </c>
      <c r="BF34" s="1114" t="str">
        <f t="shared" si="86"/>
        <v/>
      </c>
      <c r="BG34" s="1114" t="str">
        <f t="shared" si="87"/>
        <v/>
      </c>
      <c r="BH34" s="1114" t="str">
        <f t="shared" si="88"/>
        <v/>
      </c>
      <c r="BI34" s="1114" t="str">
        <f t="shared" si="89"/>
        <v>X</v>
      </c>
      <c r="BJ34" s="1115" t="str">
        <f t="shared" si="90"/>
        <v/>
      </c>
      <c r="BL34" s="1885"/>
    </row>
    <row r="35" spans="1:64" ht="13.9" customHeight="1" x14ac:dyDescent="0.25">
      <c r="A35" s="1917">
        <f>Chem!A35</f>
        <v>33</v>
      </c>
      <c r="B35" s="1880" t="str">
        <f>Chem!B35</f>
        <v>Manganese</v>
      </c>
      <c r="C35" s="394" t="str">
        <f>Param!AK35</f>
        <v>no</v>
      </c>
      <c r="D35" s="317" t="str">
        <f>IF(ISNUMBER(Param!AN35),Param!AN35,Param!AM35)</f>
        <v>na</v>
      </c>
      <c r="E35" s="273" t="s">
        <v>232</v>
      </c>
      <c r="F35" s="643" t="s">
        <v>232</v>
      </c>
      <c r="G35" s="550" t="s">
        <v>232</v>
      </c>
      <c r="H35" s="550" t="s">
        <v>232</v>
      </c>
      <c r="I35" s="273" t="s">
        <v>232</v>
      </c>
      <c r="J35" s="273" t="s">
        <v>232</v>
      </c>
      <c r="K35" s="219" t="str">
        <f>IF(C35="YES",'SD-Eq'!V35,"na")</f>
        <v>na</v>
      </c>
      <c r="L35" s="273" t="str">
        <f>IF(C35="YES",'SD-Eq'!Z35,"na")</f>
        <v>na</v>
      </c>
      <c r="M35" s="435" t="str">
        <f t="shared" si="63"/>
        <v>na</v>
      </c>
      <c r="N35" s="273" t="str">
        <f t="shared" si="64"/>
        <v>na</v>
      </c>
      <c r="O35" s="1794" t="str">
        <f t="shared" si="65"/>
        <v>na</v>
      </c>
      <c r="P35" s="1789" t="str">
        <f t="shared" si="66"/>
        <v>na</v>
      </c>
      <c r="Q35" s="418" t="s">
        <v>232</v>
      </c>
      <c r="R35" s="418" t="s">
        <v>232</v>
      </c>
      <c r="S35" s="418" t="s">
        <v>232</v>
      </c>
      <c r="T35" s="418" t="s">
        <v>232</v>
      </c>
      <c r="U35" s="418" t="s">
        <v>232</v>
      </c>
      <c r="V35" s="418" t="s">
        <v>232</v>
      </c>
      <c r="W35" s="418" t="str">
        <f t="shared" si="67"/>
        <v>na</v>
      </c>
      <c r="X35" s="418" t="s">
        <v>232</v>
      </c>
      <c r="Y35" s="1884" t="str">
        <f t="shared" si="68"/>
        <v>na</v>
      </c>
      <c r="Z35" s="1884" t="str">
        <f t="shared" si="69"/>
        <v>na</v>
      </c>
      <c r="AA35" s="1789" t="s">
        <v>232</v>
      </c>
      <c r="AB35" s="1789" t="s">
        <v>232</v>
      </c>
      <c r="AC35" s="273" t="s">
        <v>232</v>
      </c>
      <c r="AD35" s="273" t="s">
        <v>232</v>
      </c>
      <c r="AE35" s="273" t="s">
        <v>232</v>
      </c>
      <c r="AF35" s="273" t="s">
        <v>232</v>
      </c>
      <c r="AG35" s="273" t="s">
        <v>232</v>
      </c>
      <c r="AH35" s="273" t="s">
        <v>232</v>
      </c>
      <c r="AI35" s="273" t="s">
        <v>232</v>
      </c>
      <c r="AJ35" s="273" t="s">
        <v>232</v>
      </c>
      <c r="AK35" s="273" t="s">
        <v>232</v>
      </c>
      <c r="AL35" s="273" t="s">
        <v>232</v>
      </c>
      <c r="AM35" s="273" t="s">
        <v>232</v>
      </c>
      <c r="AN35" s="273" t="str">
        <f t="shared" si="70"/>
        <v>na</v>
      </c>
      <c r="AO35" s="273" t="str">
        <f t="shared" si="71"/>
        <v>na</v>
      </c>
      <c r="AP35" s="273" t="str">
        <f t="shared" si="72"/>
        <v>na</v>
      </c>
      <c r="AQ35" s="273" t="str">
        <f t="shared" si="73"/>
        <v>na</v>
      </c>
      <c r="AR35" s="1789" t="str">
        <f t="shared" si="74"/>
        <v>na</v>
      </c>
      <c r="AS35" s="1051"/>
      <c r="AU35" s="1332" t="str">
        <f t="shared" si="75"/>
        <v/>
      </c>
      <c r="AV35" s="1114" t="str">
        <f t="shared" si="76"/>
        <v/>
      </c>
      <c r="AW35" s="1114" t="str">
        <f t="shared" si="77"/>
        <v/>
      </c>
      <c r="AX35" s="1114" t="str">
        <f t="shared" si="78"/>
        <v/>
      </c>
      <c r="AY35" s="1113" t="str">
        <f t="shared" si="79"/>
        <v/>
      </c>
      <c r="AZ35" s="1114" t="str">
        <f t="shared" si="80"/>
        <v/>
      </c>
      <c r="BA35" s="1114" t="str">
        <f t="shared" si="81"/>
        <v/>
      </c>
      <c r="BB35" s="1704" t="str">
        <f t="shared" si="82"/>
        <v/>
      </c>
      <c r="BC35" s="1113" t="str">
        <f t="shared" si="83"/>
        <v/>
      </c>
      <c r="BD35" s="1114" t="str">
        <f t="shared" si="84"/>
        <v/>
      </c>
      <c r="BE35" s="1114" t="str">
        <f t="shared" si="85"/>
        <v/>
      </c>
      <c r="BF35" s="1114" t="str">
        <f t="shared" si="86"/>
        <v/>
      </c>
      <c r="BG35" s="1114" t="str">
        <f t="shared" si="87"/>
        <v/>
      </c>
      <c r="BH35" s="1114" t="str">
        <f t="shared" si="88"/>
        <v/>
      </c>
      <c r="BI35" s="1114" t="str">
        <f t="shared" si="89"/>
        <v/>
      </c>
      <c r="BJ35" s="1115" t="str">
        <f t="shared" si="90"/>
        <v/>
      </c>
      <c r="BL35" s="1885"/>
    </row>
    <row r="36" spans="1:64" ht="13.9" customHeight="1" x14ac:dyDescent="0.25">
      <c r="A36" s="1917">
        <f>Chem!A36</f>
        <v>34</v>
      </c>
      <c r="B36" s="1880" t="str">
        <f>Chem!B36</f>
        <v>Mercury, inorganic</v>
      </c>
      <c r="C36" s="394" t="str">
        <f>Param!AK36</f>
        <v>YES</v>
      </c>
      <c r="D36" s="317">
        <f>IF(ISNUMBER(Param!AN36),Param!AN36,Param!AM36)</f>
        <v>0.2</v>
      </c>
      <c r="E36" s="273" t="s">
        <v>232</v>
      </c>
      <c r="F36" s="643">
        <v>0.02</v>
      </c>
      <c r="G36" s="550" t="s">
        <v>232</v>
      </c>
      <c r="H36" s="550">
        <v>0.41</v>
      </c>
      <c r="I36" s="273" t="s">
        <v>232</v>
      </c>
      <c r="J36" s="273">
        <v>0.59</v>
      </c>
      <c r="K36" s="219" t="str">
        <f>IF(C36="YES",'SD-Eq'!V36,"na")</f>
        <v>na</v>
      </c>
      <c r="L36" s="273" t="str">
        <f>IF(C36="YES",'SD-Eq'!Z36,"na")</f>
        <v>na</v>
      </c>
      <c r="M36" s="435">
        <f t="shared" si="63"/>
        <v>0.2</v>
      </c>
      <c r="N36" s="273">
        <f t="shared" si="64"/>
        <v>0.2</v>
      </c>
      <c r="O36" s="1794">
        <f t="shared" si="65"/>
        <v>0.2</v>
      </c>
      <c r="P36" s="1789">
        <f t="shared" si="66"/>
        <v>0.2</v>
      </c>
      <c r="Q36" s="418" t="s">
        <v>232</v>
      </c>
      <c r="R36" s="418" t="s">
        <v>232</v>
      </c>
      <c r="S36" s="418" t="s">
        <v>232</v>
      </c>
      <c r="T36" s="418" t="s">
        <v>232</v>
      </c>
      <c r="U36" s="418">
        <v>0.41</v>
      </c>
      <c r="V36" s="418" t="s">
        <v>232</v>
      </c>
      <c r="W36" s="418" t="str">
        <f t="shared" si="67"/>
        <v>na</v>
      </c>
      <c r="X36" s="418" t="s">
        <v>232</v>
      </c>
      <c r="Y36" s="1884" t="str">
        <f t="shared" si="68"/>
        <v>na</v>
      </c>
      <c r="Z36" s="1884">
        <f t="shared" si="69"/>
        <v>0.41</v>
      </c>
      <c r="AA36" s="1789">
        <v>0.41</v>
      </c>
      <c r="AB36" s="1789">
        <v>0.41</v>
      </c>
      <c r="AC36" s="273">
        <v>0.82</v>
      </c>
      <c r="AD36" s="273">
        <v>2.46</v>
      </c>
      <c r="AE36" s="273" t="s">
        <v>232</v>
      </c>
      <c r="AF36" s="273" t="s">
        <v>232</v>
      </c>
      <c r="AG36" s="273">
        <v>0.41</v>
      </c>
      <c r="AH36" s="273">
        <v>0.41</v>
      </c>
      <c r="AI36" s="273">
        <v>0.82</v>
      </c>
      <c r="AJ36" s="273">
        <v>2.46</v>
      </c>
      <c r="AK36" s="273" t="s">
        <v>232</v>
      </c>
      <c r="AL36" s="273" t="s">
        <v>232</v>
      </c>
      <c r="AM36" s="273">
        <v>0.41</v>
      </c>
      <c r="AN36" s="273">
        <f t="shared" si="70"/>
        <v>0.41</v>
      </c>
      <c r="AO36" s="273">
        <f t="shared" si="71"/>
        <v>0.82</v>
      </c>
      <c r="AP36" s="273">
        <f t="shared" si="72"/>
        <v>0.41</v>
      </c>
      <c r="AQ36" s="273">
        <f t="shared" si="73"/>
        <v>0.82</v>
      </c>
      <c r="AR36" s="1789">
        <f t="shared" si="74"/>
        <v>0.41</v>
      </c>
      <c r="AS36" s="1051"/>
      <c r="AU36" s="1332" t="str">
        <f t="shared" si="75"/>
        <v>X</v>
      </c>
      <c r="AV36" s="1114" t="str">
        <f t="shared" si="76"/>
        <v/>
      </c>
      <c r="AW36" s="1114" t="str">
        <f t="shared" si="77"/>
        <v/>
      </c>
      <c r="AX36" s="1114" t="str">
        <f t="shared" si="78"/>
        <v/>
      </c>
      <c r="AY36" s="1113" t="str">
        <f t="shared" si="79"/>
        <v/>
      </c>
      <c r="AZ36" s="1114" t="str">
        <f t="shared" si="80"/>
        <v/>
      </c>
      <c r="BA36" s="1114" t="str">
        <f t="shared" si="81"/>
        <v/>
      </c>
      <c r="BB36" s="1704" t="str">
        <f t="shared" si="82"/>
        <v/>
      </c>
      <c r="BC36" s="1113" t="str">
        <f t="shared" si="83"/>
        <v/>
      </c>
      <c r="BD36" s="1114" t="str">
        <f t="shared" si="84"/>
        <v/>
      </c>
      <c r="BE36" s="1114" t="str">
        <f t="shared" si="85"/>
        <v>X</v>
      </c>
      <c r="BF36" s="1114" t="str">
        <f t="shared" si="86"/>
        <v/>
      </c>
      <c r="BG36" s="1114" t="str">
        <f t="shared" si="87"/>
        <v/>
      </c>
      <c r="BH36" s="1114" t="str">
        <f t="shared" si="88"/>
        <v/>
      </c>
      <c r="BI36" s="1114" t="str">
        <f t="shared" si="89"/>
        <v>X</v>
      </c>
      <c r="BJ36" s="1115" t="str">
        <f t="shared" si="90"/>
        <v/>
      </c>
      <c r="BL36" s="1885"/>
    </row>
    <row r="37" spans="1:64" ht="13.9" customHeight="1" x14ac:dyDescent="0.25">
      <c r="A37" s="1917">
        <f>Chem!A37</f>
        <v>35</v>
      </c>
      <c r="B37" s="1880" t="str">
        <f>Chem!B37</f>
        <v>Methylmercury</v>
      </c>
      <c r="C37" s="394" t="str">
        <f>Param!AK37</f>
        <v>no</v>
      </c>
      <c r="D37" s="317" t="str">
        <f>IF(ISNUMBER(Param!AN37),Param!AN37,Param!AM37)</f>
        <v>na</v>
      </c>
      <c r="E37" s="273" t="s">
        <v>232</v>
      </c>
      <c r="F37" s="643" t="s">
        <v>232</v>
      </c>
      <c r="G37" s="550" t="s">
        <v>232</v>
      </c>
      <c r="H37" s="550" t="s">
        <v>232</v>
      </c>
      <c r="I37" s="273" t="s">
        <v>232</v>
      </c>
      <c r="J37" s="273" t="s">
        <v>232</v>
      </c>
      <c r="K37" s="219" t="str">
        <f>IF(C37="YES",'SD-Eq'!V37,"na")</f>
        <v>na</v>
      </c>
      <c r="L37" s="273" t="str">
        <f>IF(C37="YES",'SD-Eq'!Z37,"na")</f>
        <v>na</v>
      </c>
      <c r="M37" s="435" t="str">
        <f t="shared" si="63"/>
        <v>na</v>
      </c>
      <c r="N37" s="273" t="str">
        <f t="shared" si="64"/>
        <v>na</v>
      </c>
      <c r="O37" s="1794" t="str">
        <f t="shared" si="65"/>
        <v>na</v>
      </c>
      <c r="P37" s="1789" t="str">
        <f t="shared" si="66"/>
        <v>na</v>
      </c>
      <c r="Q37" s="418" t="s">
        <v>232</v>
      </c>
      <c r="R37" s="418" t="s">
        <v>232</v>
      </c>
      <c r="S37" s="418" t="s">
        <v>232</v>
      </c>
      <c r="T37" s="418" t="s">
        <v>232</v>
      </c>
      <c r="U37" s="418" t="s">
        <v>232</v>
      </c>
      <c r="V37" s="418" t="s">
        <v>232</v>
      </c>
      <c r="W37" s="418" t="str">
        <f t="shared" si="67"/>
        <v>na</v>
      </c>
      <c r="X37" s="418" t="s">
        <v>232</v>
      </c>
      <c r="Y37" s="1884" t="str">
        <f t="shared" si="68"/>
        <v>na</v>
      </c>
      <c r="Z37" s="1884" t="str">
        <f t="shared" si="69"/>
        <v>na</v>
      </c>
      <c r="AA37" s="1789" t="s">
        <v>232</v>
      </c>
      <c r="AB37" s="1789" t="s">
        <v>232</v>
      </c>
      <c r="AC37" s="273" t="s">
        <v>232</v>
      </c>
      <c r="AD37" s="273" t="s">
        <v>232</v>
      </c>
      <c r="AE37" s="273" t="s">
        <v>232</v>
      </c>
      <c r="AF37" s="273" t="s">
        <v>232</v>
      </c>
      <c r="AG37" s="273" t="s">
        <v>232</v>
      </c>
      <c r="AH37" s="273" t="s">
        <v>232</v>
      </c>
      <c r="AI37" s="273" t="s">
        <v>232</v>
      </c>
      <c r="AJ37" s="273" t="s">
        <v>232</v>
      </c>
      <c r="AK37" s="273" t="s">
        <v>232</v>
      </c>
      <c r="AL37" s="273" t="s">
        <v>232</v>
      </c>
      <c r="AM37" s="273" t="s">
        <v>232</v>
      </c>
      <c r="AN37" s="273" t="str">
        <f t="shared" si="70"/>
        <v>na</v>
      </c>
      <c r="AO37" s="273" t="str">
        <f t="shared" si="71"/>
        <v>na</v>
      </c>
      <c r="AP37" s="273" t="str">
        <f t="shared" si="72"/>
        <v>na</v>
      </c>
      <c r="AQ37" s="273" t="str">
        <f t="shared" si="73"/>
        <v>na</v>
      </c>
      <c r="AR37" s="1789" t="str">
        <f t="shared" si="74"/>
        <v>na</v>
      </c>
      <c r="AS37" s="1051"/>
      <c r="AU37" s="1332" t="str">
        <f t="shared" si="75"/>
        <v/>
      </c>
      <c r="AV37" s="1114" t="str">
        <f t="shared" si="76"/>
        <v/>
      </c>
      <c r="AW37" s="1114" t="str">
        <f t="shared" si="77"/>
        <v/>
      </c>
      <c r="AX37" s="1114" t="str">
        <f t="shared" si="78"/>
        <v/>
      </c>
      <c r="AY37" s="1113" t="str">
        <f t="shared" si="79"/>
        <v/>
      </c>
      <c r="AZ37" s="1114" t="str">
        <f t="shared" si="80"/>
        <v/>
      </c>
      <c r="BA37" s="1114" t="str">
        <f t="shared" si="81"/>
        <v/>
      </c>
      <c r="BB37" s="1704" t="str">
        <f t="shared" si="82"/>
        <v/>
      </c>
      <c r="BC37" s="1113" t="str">
        <f t="shared" si="83"/>
        <v/>
      </c>
      <c r="BD37" s="1114" t="str">
        <f t="shared" si="84"/>
        <v/>
      </c>
      <c r="BE37" s="1114" t="str">
        <f t="shared" si="85"/>
        <v/>
      </c>
      <c r="BF37" s="1114" t="str">
        <f t="shared" si="86"/>
        <v/>
      </c>
      <c r="BG37" s="1114" t="str">
        <f t="shared" si="87"/>
        <v/>
      </c>
      <c r="BH37" s="1114" t="str">
        <f t="shared" si="88"/>
        <v/>
      </c>
      <c r="BI37" s="1114" t="str">
        <f t="shared" si="89"/>
        <v/>
      </c>
      <c r="BJ37" s="1115" t="str">
        <f t="shared" si="90"/>
        <v/>
      </c>
      <c r="BL37" s="1885"/>
    </row>
    <row r="38" spans="1:64" ht="13.9" customHeight="1" x14ac:dyDescent="0.25">
      <c r="A38" s="1917">
        <f>Chem!A38</f>
        <v>36</v>
      </c>
      <c r="B38" s="1880" t="str">
        <f>Chem!B38</f>
        <v>Molybdenum</v>
      </c>
      <c r="C38" s="394" t="str">
        <f>Param!AK38</f>
        <v>no</v>
      </c>
      <c r="D38" s="317" t="str">
        <f>IF(ISNUMBER(Param!AN38),Param!AN38,Param!AM38)</f>
        <v>na</v>
      </c>
      <c r="E38" s="273" t="s">
        <v>232</v>
      </c>
      <c r="F38" s="643" t="s">
        <v>232</v>
      </c>
      <c r="G38" s="550" t="s">
        <v>232</v>
      </c>
      <c r="H38" s="550" t="s">
        <v>232</v>
      </c>
      <c r="I38" s="273" t="s">
        <v>232</v>
      </c>
      <c r="J38" s="273" t="s">
        <v>232</v>
      </c>
      <c r="K38" s="219" t="str">
        <f>IF(C38="YES",'SD-Eq'!V38,"na")</f>
        <v>na</v>
      </c>
      <c r="L38" s="273" t="str">
        <f>IF(C38="YES",'SD-Eq'!Z38,"na")</f>
        <v>na</v>
      </c>
      <c r="M38" s="435" t="str">
        <f t="shared" si="63"/>
        <v>na</v>
      </c>
      <c r="N38" s="273" t="str">
        <f t="shared" si="64"/>
        <v>na</v>
      </c>
      <c r="O38" s="1794" t="str">
        <f t="shared" si="65"/>
        <v>na</v>
      </c>
      <c r="P38" s="1789" t="str">
        <f t="shared" si="66"/>
        <v>na</v>
      </c>
      <c r="Q38" s="418" t="s">
        <v>232</v>
      </c>
      <c r="R38" s="418" t="s">
        <v>232</v>
      </c>
      <c r="S38" s="418" t="s">
        <v>232</v>
      </c>
      <c r="T38" s="418" t="s">
        <v>232</v>
      </c>
      <c r="U38" s="418" t="s">
        <v>232</v>
      </c>
      <c r="V38" s="418" t="s">
        <v>232</v>
      </c>
      <c r="W38" s="418" t="str">
        <f t="shared" si="67"/>
        <v>na</v>
      </c>
      <c r="X38" s="418" t="s">
        <v>232</v>
      </c>
      <c r="Y38" s="1884" t="str">
        <f t="shared" si="68"/>
        <v>na</v>
      </c>
      <c r="Z38" s="1884" t="str">
        <f t="shared" si="69"/>
        <v>na</v>
      </c>
      <c r="AA38" s="1789" t="s">
        <v>232</v>
      </c>
      <c r="AB38" s="1789" t="s">
        <v>232</v>
      </c>
      <c r="AC38" s="273" t="s">
        <v>232</v>
      </c>
      <c r="AD38" s="273" t="s">
        <v>232</v>
      </c>
      <c r="AE38" s="273" t="s">
        <v>232</v>
      </c>
      <c r="AF38" s="273" t="s">
        <v>232</v>
      </c>
      <c r="AG38" s="273" t="s">
        <v>232</v>
      </c>
      <c r="AH38" s="273" t="s">
        <v>232</v>
      </c>
      <c r="AI38" s="273" t="s">
        <v>232</v>
      </c>
      <c r="AJ38" s="273" t="s">
        <v>232</v>
      </c>
      <c r="AK38" s="273" t="s">
        <v>232</v>
      </c>
      <c r="AL38" s="273" t="s">
        <v>232</v>
      </c>
      <c r="AM38" s="273" t="s">
        <v>232</v>
      </c>
      <c r="AN38" s="273" t="str">
        <f t="shared" si="70"/>
        <v>na</v>
      </c>
      <c r="AO38" s="273" t="str">
        <f t="shared" si="71"/>
        <v>na</v>
      </c>
      <c r="AP38" s="273" t="str">
        <f t="shared" si="72"/>
        <v>na</v>
      </c>
      <c r="AQ38" s="273" t="str">
        <f t="shared" si="73"/>
        <v>na</v>
      </c>
      <c r="AR38" s="1789" t="str">
        <f t="shared" si="74"/>
        <v>na</v>
      </c>
      <c r="AS38" s="1051"/>
      <c r="AU38" s="1332" t="str">
        <f t="shared" si="75"/>
        <v/>
      </c>
      <c r="AV38" s="1114" t="str">
        <f t="shared" si="76"/>
        <v/>
      </c>
      <c r="AW38" s="1114" t="str">
        <f t="shared" si="77"/>
        <v/>
      </c>
      <c r="AX38" s="1114" t="str">
        <f t="shared" si="78"/>
        <v/>
      </c>
      <c r="AY38" s="1113" t="str">
        <f t="shared" si="79"/>
        <v/>
      </c>
      <c r="AZ38" s="1114" t="str">
        <f t="shared" si="80"/>
        <v/>
      </c>
      <c r="BA38" s="1114" t="str">
        <f t="shared" si="81"/>
        <v/>
      </c>
      <c r="BB38" s="1704" t="str">
        <f t="shared" si="82"/>
        <v/>
      </c>
      <c r="BC38" s="1113" t="str">
        <f t="shared" si="83"/>
        <v/>
      </c>
      <c r="BD38" s="1114" t="str">
        <f t="shared" si="84"/>
        <v/>
      </c>
      <c r="BE38" s="1114" t="str">
        <f t="shared" si="85"/>
        <v/>
      </c>
      <c r="BF38" s="1114" t="str">
        <f t="shared" si="86"/>
        <v/>
      </c>
      <c r="BG38" s="1114" t="str">
        <f t="shared" si="87"/>
        <v/>
      </c>
      <c r="BH38" s="1114" t="str">
        <f t="shared" si="88"/>
        <v/>
      </c>
      <c r="BI38" s="1114" t="str">
        <f t="shared" si="89"/>
        <v/>
      </c>
      <c r="BJ38" s="1115" t="str">
        <f t="shared" si="90"/>
        <v/>
      </c>
      <c r="BL38" s="1885"/>
    </row>
    <row r="39" spans="1:64" ht="13.9" customHeight="1" x14ac:dyDescent="0.25">
      <c r="A39" s="1917">
        <f>Chem!A39</f>
        <v>37</v>
      </c>
      <c r="B39" s="1880" t="str">
        <f>Chem!B39</f>
        <v>Nickel</v>
      </c>
      <c r="C39" s="394" t="str">
        <f>Param!AK39</f>
        <v>no</v>
      </c>
      <c r="D39" s="317">
        <f>IF(ISNUMBER(Param!AN39),Param!AN39,Param!AM39)</f>
        <v>50</v>
      </c>
      <c r="E39" s="273" t="s">
        <v>232</v>
      </c>
      <c r="F39" s="643">
        <v>0.2</v>
      </c>
      <c r="G39" s="550" t="s">
        <v>232</v>
      </c>
      <c r="H39" s="550" t="s">
        <v>232</v>
      </c>
      <c r="I39" s="273" t="s">
        <v>232</v>
      </c>
      <c r="J39" s="273" t="s">
        <v>232</v>
      </c>
      <c r="K39" s="219" t="str">
        <f>IF(C39="YES",'SD-Eq'!V39,"na")</f>
        <v>na</v>
      </c>
      <c r="L39" s="273" t="str">
        <f>IF(C39="YES",'SD-Eq'!Z39,"na")</f>
        <v>na</v>
      </c>
      <c r="M39" s="435" t="str">
        <f t="shared" si="63"/>
        <v>na</v>
      </c>
      <c r="N39" s="273" t="str">
        <f t="shared" si="64"/>
        <v>na</v>
      </c>
      <c r="O39" s="1794" t="str">
        <f t="shared" si="65"/>
        <v>na</v>
      </c>
      <c r="P39" s="1789" t="str">
        <f t="shared" si="66"/>
        <v>na</v>
      </c>
      <c r="Q39" s="418" t="s">
        <v>232</v>
      </c>
      <c r="R39" s="418" t="s">
        <v>232</v>
      </c>
      <c r="S39" s="418" t="s">
        <v>232</v>
      </c>
      <c r="T39" s="418" t="s">
        <v>232</v>
      </c>
      <c r="U39" s="418" t="s">
        <v>232</v>
      </c>
      <c r="V39" s="418" t="s">
        <v>232</v>
      </c>
      <c r="W39" s="418" t="str">
        <f t="shared" si="67"/>
        <v>na</v>
      </c>
      <c r="X39" s="418" t="s">
        <v>232</v>
      </c>
      <c r="Y39" s="1884" t="str">
        <f t="shared" si="68"/>
        <v>na</v>
      </c>
      <c r="Z39" s="1884" t="str">
        <f t="shared" si="69"/>
        <v>na</v>
      </c>
      <c r="AA39" s="1789" t="s">
        <v>232</v>
      </c>
      <c r="AB39" s="1789" t="s">
        <v>232</v>
      </c>
      <c r="AC39" s="273" t="s">
        <v>232</v>
      </c>
      <c r="AD39" s="273" t="s">
        <v>232</v>
      </c>
      <c r="AE39" s="273" t="s">
        <v>232</v>
      </c>
      <c r="AF39" s="273" t="s">
        <v>232</v>
      </c>
      <c r="AG39" s="273" t="s">
        <v>232</v>
      </c>
      <c r="AH39" s="273" t="s">
        <v>232</v>
      </c>
      <c r="AI39" s="273" t="s">
        <v>232</v>
      </c>
      <c r="AJ39" s="273" t="s">
        <v>232</v>
      </c>
      <c r="AK39" s="273" t="s">
        <v>232</v>
      </c>
      <c r="AL39" s="273" t="s">
        <v>232</v>
      </c>
      <c r="AM39" s="273" t="s">
        <v>232</v>
      </c>
      <c r="AN39" s="273" t="str">
        <f t="shared" si="70"/>
        <v>na</v>
      </c>
      <c r="AO39" s="273" t="str">
        <f t="shared" si="71"/>
        <v>na</v>
      </c>
      <c r="AP39" s="273" t="str">
        <f t="shared" si="72"/>
        <v>na</v>
      </c>
      <c r="AQ39" s="273" t="str">
        <f t="shared" si="73"/>
        <v>na</v>
      </c>
      <c r="AR39" s="1789" t="str">
        <f t="shared" si="74"/>
        <v>na</v>
      </c>
      <c r="AS39" s="1051"/>
      <c r="AU39" s="1332" t="str">
        <f t="shared" si="75"/>
        <v/>
      </c>
      <c r="AV39" s="1114" t="str">
        <f t="shared" si="76"/>
        <v/>
      </c>
      <c r="AW39" s="1114" t="str">
        <f t="shared" si="77"/>
        <v/>
      </c>
      <c r="AX39" s="1114" t="str">
        <f t="shared" si="78"/>
        <v/>
      </c>
      <c r="AY39" s="1113" t="str">
        <f t="shared" si="79"/>
        <v/>
      </c>
      <c r="AZ39" s="1114" t="str">
        <f t="shared" si="80"/>
        <v/>
      </c>
      <c r="BA39" s="1114" t="str">
        <f t="shared" si="81"/>
        <v/>
      </c>
      <c r="BB39" s="1704" t="str">
        <f t="shared" si="82"/>
        <v/>
      </c>
      <c r="BC39" s="1113" t="str">
        <f t="shared" si="83"/>
        <v/>
      </c>
      <c r="BD39" s="1114" t="str">
        <f t="shared" si="84"/>
        <v/>
      </c>
      <c r="BE39" s="1114" t="str">
        <f t="shared" si="85"/>
        <v/>
      </c>
      <c r="BF39" s="1114" t="str">
        <f t="shared" si="86"/>
        <v/>
      </c>
      <c r="BG39" s="1114" t="str">
        <f t="shared" si="87"/>
        <v/>
      </c>
      <c r="BH39" s="1114" t="str">
        <f t="shared" si="88"/>
        <v/>
      </c>
      <c r="BI39" s="1114" t="str">
        <f t="shared" si="89"/>
        <v/>
      </c>
      <c r="BJ39" s="1115" t="str">
        <f t="shared" si="90"/>
        <v/>
      </c>
      <c r="BL39" s="1885"/>
    </row>
    <row r="40" spans="1:64" ht="13.9" customHeight="1" x14ac:dyDescent="0.25">
      <c r="A40" s="1917">
        <f>Chem!A40</f>
        <v>38</v>
      </c>
      <c r="B40" s="1880" t="str">
        <f>Chem!B40</f>
        <v>Selenium</v>
      </c>
      <c r="C40" s="394" t="str">
        <f>Param!AK40</f>
        <v>no</v>
      </c>
      <c r="D40" s="317" t="str">
        <f>IF(ISNUMBER(Param!AN40),Param!AN40,Param!AM40)</f>
        <v>na</v>
      </c>
      <c r="E40" s="273" t="s">
        <v>232</v>
      </c>
      <c r="F40" s="643">
        <v>0.1</v>
      </c>
      <c r="G40" s="550" t="s">
        <v>232</v>
      </c>
      <c r="H40" s="550" t="s">
        <v>232</v>
      </c>
      <c r="I40" s="273" t="s">
        <v>232</v>
      </c>
      <c r="J40" s="273" t="s">
        <v>232</v>
      </c>
      <c r="K40" s="219" t="str">
        <f>IF(C40="YES",'SD-Eq'!V40,"na")</f>
        <v>na</v>
      </c>
      <c r="L40" s="273" t="str">
        <f>IF(C40="YES",'SD-Eq'!Z40,"na")</f>
        <v>na</v>
      </c>
      <c r="M40" s="435" t="str">
        <f t="shared" si="63"/>
        <v>na</v>
      </c>
      <c r="N40" s="273" t="str">
        <f t="shared" si="64"/>
        <v>na</v>
      </c>
      <c r="O40" s="1794" t="str">
        <f t="shared" si="65"/>
        <v>na</v>
      </c>
      <c r="P40" s="1789" t="str">
        <f t="shared" si="66"/>
        <v>na</v>
      </c>
      <c r="Q40" s="418" t="s">
        <v>232</v>
      </c>
      <c r="R40" s="418" t="s">
        <v>232</v>
      </c>
      <c r="S40" s="418" t="s">
        <v>232</v>
      </c>
      <c r="T40" s="418" t="s">
        <v>232</v>
      </c>
      <c r="U40" s="418" t="s">
        <v>232</v>
      </c>
      <c r="V40" s="418" t="s">
        <v>232</v>
      </c>
      <c r="W40" s="418" t="str">
        <f t="shared" si="67"/>
        <v>na</v>
      </c>
      <c r="X40" s="418" t="s">
        <v>232</v>
      </c>
      <c r="Y40" s="1884" t="str">
        <f t="shared" si="68"/>
        <v>na</v>
      </c>
      <c r="Z40" s="1884" t="str">
        <f t="shared" si="69"/>
        <v>na</v>
      </c>
      <c r="AA40" s="1789" t="s">
        <v>232</v>
      </c>
      <c r="AB40" s="1789" t="s">
        <v>232</v>
      </c>
      <c r="AC40" s="273" t="s">
        <v>232</v>
      </c>
      <c r="AD40" s="273" t="s">
        <v>232</v>
      </c>
      <c r="AE40" s="273" t="s">
        <v>232</v>
      </c>
      <c r="AF40" s="273" t="s">
        <v>232</v>
      </c>
      <c r="AG40" s="273" t="s">
        <v>232</v>
      </c>
      <c r="AH40" s="273" t="s">
        <v>232</v>
      </c>
      <c r="AI40" s="273" t="s">
        <v>232</v>
      </c>
      <c r="AJ40" s="273" t="s">
        <v>232</v>
      </c>
      <c r="AK40" s="273" t="s">
        <v>232</v>
      </c>
      <c r="AL40" s="273" t="s">
        <v>232</v>
      </c>
      <c r="AM40" s="273" t="s">
        <v>232</v>
      </c>
      <c r="AN40" s="273" t="str">
        <f t="shared" si="70"/>
        <v>na</v>
      </c>
      <c r="AO40" s="273" t="str">
        <f t="shared" si="71"/>
        <v>na</v>
      </c>
      <c r="AP40" s="273" t="str">
        <f t="shared" si="72"/>
        <v>na</v>
      </c>
      <c r="AQ40" s="273" t="str">
        <f t="shared" si="73"/>
        <v>na</v>
      </c>
      <c r="AR40" s="1789" t="str">
        <f t="shared" si="74"/>
        <v>na</v>
      </c>
      <c r="AS40" s="1051"/>
      <c r="AU40" s="1332" t="str">
        <f t="shared" si="75"/>
        <v/>
      </c>
      <c r="AV40" s="1114" t="str">
        <f t="shared" si="76"/>
        <v/>
      </c>
      <c r="AW40" s="1114" t="str">
        <f t="shared" si="77"/>
        <v/>
      </c>
      <c r="AX40" s="1114" t="str">
        <f t="shared" si="78"/>
        <v/>
      </c>
      <c r="AY40" s="1113" t="str">
        <f t="shared" si="79"/>
        <v/>
      </c>
      <c r="AZ40" s="1114" t="str">
        <f t="shared" si="80"/>
        <v/>
      </c>
      <c r="BA40" s="1114" t="str">
        <f t="shared" si="81"/>
        <v/>
      </c>
      <c r="BB40" s="1704" t="str">
        <f t="shared" si="82"/>
        <v/>
      </c>
      <c r="BC40" s="1113" t="str">
        <f t="shared" si="83"/>
        <v/>
      </c>
      <c r="BD40" s="1114" t="str">
        <f t="shared" si="84"/>
        <v/>
      </c>
      <c r="BE40" s="1114" t="str">
        <f t="shared" si="85"/>
        <v/>
      </c>
      <c r="BF40" s="1114" t="str">
        <f t="shared" si="86"/>
        <v/>
      </c>
      <c r="BG40" s="1114" t="str">
        <f t="shared" si="87"/>
        <v/>
      </c>
      <c r="BH40" s="1114" t="str">
        <f t="shared" si="88"/>
        <v/>
      </c>
      <c r="BI40" s="1114" t="str">
        <f t="shared" si="89"/>
        <v/>
      </c>
      <c r="BJ40" s="1115" t="str">
        <f t="shared" si="90"/>
        <v/>
      </c>
      <c r="BL40" s="1885"/>
    </row>
    <row r="41" spans="1:64" ht="13.9" customHeight="1" x14ac:dyDescent="0.25">
      <c r="A41" s="1917">
        <f>Chem!A41</f>
        <v>39</v>
      </c>
      <c r="B41" s="1880" t="str">
        <f>Chem!B41</f>
        <v>Silver</v>
      </c>
      <c r="C41" s="394" t="str">
        <f>Param!AK41</f>
        <v>no</v>
      </c>
      <c r="D41" s="317">
        <f>IF(ISNUMBER(Param!AN41),Param!AN41,Param!AM41)</f>
        <v>0.24</v>
      </c>
      <c r="E41" s="273" t="s">
        <v>232</v>
      </c>
      <c r="F41" s="643">
        <v>0.1</v>
      </c>
      <c r="G41" s="550" t="s">
        <v>232</v>
      </c>
      <c r="H41" s="550">
        <v>6.1</v>
      </c>
      <c r="I41" s="273" t="s">
        <v>232</v>
      </c>
      <c r="J41" s="273">
        <v>6.1</v>
      </c>
      <c r="K41" s="219" t="str">
        <f>IF(C41="YES",'SD-Eq'!V41,"na")</f>
        <v>na</v>
      </c>
      <c r="L41" s="273" t="str">
        <f>IF(C41="YES",'SD-Eq'!Z41,"na")</f>
        <v>na</v>
      </c>
      <c r="M41" s="435" t="str">
        <f t="shared" si="63"/>
        <v>na</v>
      </c>
      <c r="N41" s="273" t="str">
        <f t="shared" si="64"/>
        <v>na</v>
      </c>
      <c r="O41" s="1794">
        <f t="shared" si="65"/>
        <v>6.1</v>
      </c>
      <c r="P41" s="1789">
        <f t="shared" si="66"/>
        <v>6.1</v>
      </c>
      <c r="Q41" s="418" t="s">
        <v>232</v>
      </c>
      <c r="R41" s="418" t="s">
        <v>232</v>
      </c>
      <c r="S41" s="418" t="s">
        <v>232</v>
      </c>
      <c r="T41" s="418" t="s">
        <v>232</v>
      </c>
      <c r="U41" s="418">
        <v>6.1</v>
      </c>
      <c r="V41" s="418" t="s">
        <v>232</v>
      </c>
      <c r="W41" s="418" t="str">
        <f t="shared" si="67"/>
        <v>na</v>
      </c>
      <c r="X41" s="418" t="s">
        <v>232</v>
      </c>
      <c r="Y41" s="1884" t="str">
        <f t="shared" si="68"/>
        <v>na</v>
      </c>
      <c r="Z41" s="1884">
        <f t="shared" si="69"/>
        <v>6.1</v>
      </c>
      <c r="AA41" s="1789">
        <v>6.1</v>
      </c>
      <c r="AB41" s="1789">
        <v>6.1</v>
      </c>
      <c r="AC41" s="273">
        <v>12.2</v>
      </c>
      <c r="AD41" s="273">
        <v>36.6</v>
      </c>
      <c r="AE41" s="273" t="s">
        <v>232</v>
      </c>
      <c r="AF41" s="273" t="s">
        <v>232</v>
      </c>
      <c r="AG41" s="1789">
        <v>6.1</v>
      </c>
      <c r="AH41" s="1789">
        <v>6.1</v>
      </c>
      <c r="AI41" s="273">
        <v>12.2</v>
      </c>
      <c r="AJ41" s="273">
        <v>36.6</v>
      </c>
      <c r="AK41" s="273" t="s">
        <v>232</v>
      </c>
      <c r="AL41" s="273" t="s">
        <v>232</v>
      </c>
      <c r="AM41" s="1789">
        <v>6.1</v>
      </c>
      <c r="AN41" s="273">
        <f t="shared" si="70"/>
        <v>6.1</v>
      </c>
      <c r="AO41" s="273">
        <f t="shared" si="71"/>
        <v>12.2</v>
      </c>
      <c r="AP41" s="273">
        <f t="shared" si="72"/>
        <v>6.1</v>
      </c>
      <c r="AQ41" s="273">
        <f t="shared" si="73"/>
        <v>12.2</v>
      </c>
      <c r="AR41" s="1789">
        <f t="shared" si="74"/>
        <v>6.1</v>
      </c>
      <c r="AS41" s="1051"/>
      <c r="AU41" s="1332" t="str">
        <f t="shared" si="75"/>
        <v/>
      </c>
      <c r="AV41" s="1114" t="str">
        <f t="shared" si="76"/>
        <v/>
      </c>
      <c r="AW41" s="1114" t="str">
        <f t="shared" si="77"/>
        <v>X</v>
      </c>
      <c r="AX41" s="1114" t="str">
        <f t="shared" si="78"/>
        <v/>
      </c>
      <c r="AY41" s="1113" t="str">
        <f t="shared" si="79"/>
        <v/>
      </c>
      <c r="AZ41" s="1114" t="str">
        <f t="shared" si="80"/>
        <v/>
      </c>
      <c r="BA41" s="1114" t="str">
        <f t="shared" si="81"/>
        <v>X</v>
      </c>
      <c r="BB41" s="1704" t="str">
        <f t="shared" si="82"/>
        <v/>
      </c>
      <c r="BC41" s="1113" t="str">
        <f t="shared" si="83"/>
        <v/>
      </c>
      <c r="BD41" s="1114" t="str">
        <f t="shared" si="84"/>
        <v/>
      </c>
      <c r="BE41" s="1114" t="str">
        <f t="shared" si="85"/>
        <v>X</v>
      </c>
      <c r="BF41" s="1114" t="str">
        <f t="shared" si="86"/>
        <v/>
      </c>
      <c r="BG41" s="1114" t="str">
        <f t="shared" si="87"/>
        <v/>
      </c>
      <c r="BH41" s="1114" t="str">
        <f t="shared" si="88"/>
        <v/>
      </c>
      <c r="BI41" s="1114" t="str">
        <f t="shared" si="89"/>
        <v>X</v>
      </c>
      <c r="BJ41" s="1115" t="str">
        <f t="shared" si="90"/>
        <v/>
      </c>
      <c r="BL41" s="1885"/>
    </row>
    <row r="42" spans="1:64" ht="13.9" customHeight="1" x14ac:dyDescent="0.25">
      <c r="A42" s="1917">
        <f>Chem!A42</f>
        <v>40</v>
      </c>
      <c r="B42" s="1880" t="str">
        <f>Chem!B42</f>
        <v>Thallium</v>
      </c>
      <c r="C42" s="394" t="str">
        <f>Param!AK42</f>
        <v>no</v>
      </c>
      <c r="D42" s="317" t="str">
        <f>IF(ISNUMBER(Param!AN42),Param!AN42,Param!AM42)</f>
        <v>na</v>
      </c>
      <c r="E42" s="273" t="s">
        <v>232</v>
      </c>
      <c r="F42" s="643" t="s">
        <v>232</v>
      </c>
      <c r="G42" s="550" t="s">
        <v>232</v>
      </c>
      <c r="H42" s="550" t="s">
        <v>232</v>
      </c>
      <c r="I42" s="273" t="s">
        <v>232</v>
      </c>
      <c r="J42" s="273" t="s">
        <v>232</v>
      </c>
      <c r="K42" s="219" t="str">
        <f>IF(C42="YES",'SD-Eq'!V42,"na")</f>
        <v>na</v>
      </c>
      <c r="L42" s="273" t="str">
        <f>IF(C42="YES",'SD-Eq'!Z42,"na")</f>
        <v>na</v>
      </c>
      <c r="M42" s="435" t="str">
        <f t="shared" si="63"/>
        <v>na</v>
      </c>
      <c r="N42" s="273" t="str">
        <f t="shared" si="64"/>
        <v>na</v>
      </c>
      <c r="O42" s="1794" t="str">
        <f t="shared" si="65"/>
        <v>na</v>
      </c>
      <c r="P42" s="1789" t="str">
        <f t="shared" si="66"/>
        <v>na</v>
      </c>
      <c r="Q42" s="418" t="s">
        <v>232</v>
      </c>
      <c r="R42" s="418" t="s">
        <v>232</v>
      </c>
      <c r="S42" s="418" t="s">
        <v>232</v>
      </c>
      <c r="T42" s="418" t="s">
        <v>232</v>
      </c>
      <c r="U42" s="418" t="s">
        <v>232</v>
      </c>
      <c r="V42" s="418" t="s">
        <v>232</v>
      </c>
      <c r="W42" s="418" t="str">
        <f t="shared" si="67"/>
        <v>na</v>
      </c>
      <c r="X42" s="418" t="s">
        <v>232</v>
      </c>
      <c r="Y42" s="1884" t="str">
        <f t="shared" si="68"/>
        <v>na</v>
      </c>
      <c r="Z42" s="1884" t="str">
        <f t="shared" si="69"/>
        <v>na</v>
      </c>
      <c r="AA42" s="1789" t="s">
        <v>232</v>
      </c>
      <c r="AB42" s="1789" t="s">
        <v>232</v>
      </c>
      <c r="AC42" s="273" t="s">
        <v>232</v>
      </c>
      <c r="AD42" s="273" t="s">
        <v>232</v>
      </c>
      <c r="AE42" s="273" t="s">
        <v>232</v>
      </c>
      <c r="AF42" s="273" t="s">
        <v>232</v>
      </c>
      <c r="AG42" s="1789" t="s">
        <v>232</v>
      </c>
      <c r="AH42" s="1789" t="s">
        <v>232</v>
      </c>
      <c r="AI42" s="273" t="s">
        <v>232</v>
      </c>
      <c r="AJ42" s="273" t="s">
        <v>232</v>
      </c>
      <c r="AK42" s="273" t="s">
        <v>232</v>
      </c>
      <c r="AL42" s="273" t="s">
        <v>232</v>
      </c>
      <c r="AM42" s="1789" t="s">
        <v>232</v>
      </c>
      <c r="AN42" s="273" t="str">
        <f t="shared" si="70"/>
        <v>na</v>
      </c>
      <c r="AO42" s="273" t="str">
        <f t="shared" si="71"/>
        <v>na</v>
      </c>
      <c r="AP42" s="273" t="str">
        <f t="shared" si="72"/>
        <v>na</v>
      </c>
      <c r="AQ42" s="273" t="str">
        <f t="shared" si="73"/>
        <v>na</v>
      </c>
      <c r="AR42" s="1789" t="str">
        <f t="shared" si="74"/>
        <v>na</v>
      </c>
      <c r="AS42" s="1051"/>
      <c r="AU42" s="1332" t="str">
        <f t="shared" si="75"/>
        <v/>
      </c>
      <c r="AV42" s="1114" t="str">
        <f t="shared" si="76"/>
        <v/>
      </c>
      <c r="AW42" s="1114" t="str">
        <f t="shared" si="77"/>
        <v/>
      </c>
      <c r="AX42" s="1114" t="str">
        <f t="shared" si="78"/>
        <v/>
      </c>
      <c r="AY42" s="1113" t="str">
        <f t="shared" si="79"/>
        <v/>
      </c>
      <c r="AZ42" s="1114" t="str">
        <f t="shared" si="80"/>
        <v/>
      </c>
      <c r="BA42" s="1114" t="str">
        <f t="shared" si="81"/>
        <v/>
      </c>
      <c r="BB42" s="1704" t="str">
        <f t="shared" si="82"/>
        <v/>
      </c>
      <c r="BC42" s="1113" t="str">
        <f t="shared" si="83"/>
        <v/>
      </c>
      <c r="BD42" s="1114" t="str">
        <f t="shared" si="84"/>
        <v/>
      </c>
      <c r="BE42" s="1114" t="str">
        <f t="shared" si="85"/>
        <v/>
      </c>
      <c r="BF42" s="1114" t="str">
        <f t="shared" si="86"/>
        <v/>
      </c>
      <c r="BG42" s="1114" t="str">
        <f t="shared" si="87"/>
        <v/>
      </c>
      <c r="BH42" s="1114" t="str">
        <f t="shared" si="88"/>
        <v/>
      </c>
      <c r="BI42" s="1114" t="str">
        <f t="shared" si="89"/>
        <v/>
      </c>
      <c r="BJ42" s="1115" t="str">
        <f t="shared" si="90"/>
        <v/>
      </c>
      <c r="BL42" s="1885"/>
    </row>
    <row r="43" spans="1:64" ht="13.9" customHeight="1" x14ac:dyDescent="0.25">
      <c r="A43" s="1917">
        <f>Chem!A43</f>
        <v>41</v>
      </c>
      <c r="B43" s="1880" t="str">
        <f>Chem!B43</f>
        <v>Tin</v>
      </c>
      <c r="C43" s="394" t="str">
        <f>Param!AK43</f>
        <v>no</v>
      </c>
      <c r="D43" s="317" t="str">
        <f>IF(ISNUMBER(Param!AN43),Param!AN43,Param!AM43)</f>
        <v>na</v>
      </c>
      <c r="E43" s="273" t="s">
        <v>232</v>
      </c>
      <c r="F43" s="643" t="s">
        <v>232</v>
      </c>
      <c r="G43" s="550" t="s">
        <v>232</v>
      </c>
      <c r="H43" s="550" t="s">
        <v>232</v>
      </c>
      <c r="I43" s="273" t="s">
        <v>232</v>
      </c>
      <c r="J43" s="273" t="s">
        <v>232</v>
      </c>
      <c r="K43" s="219" t="str">
        <f>IF(C43="YES",'SD-Eq'!V43,"na")</f>
        <v>na</v>
      </c>
      <c r="L43" s="273" t="str">
        <f>IF(C43="YES",'SD-Eq'!Z43,"na")</f>
        <v>na</v>
      </c>
      <c r="M43" s="435" t="str">
        <f t="shared" si="63"/>
        <v>na</v>
      </c>
      <c r="N43" s="273" t="str">
        <f t="shared" si="64"/>
        <v>na</v>
      </c>
      <c r="O43" s="1794" t="str">
        <f t="shared" si="65"/>
        <v>na</v>
      </c>
      <c r="P43" s="1789" t="str">
        <f t="shared" si="66"/>
        <v>na</v>
      </c>
      <c r="Q43" s="418" t="s">
        <v>232</v>
      </c>
      <c r="R43" s="418" t="s">
        <v>232</v>
      </c>
      <c r="S43" s="418" t="s">
        <v>232</v>
      </c>
      <c r="T43" s="418" t="s">
        <v>232</v>
      </c>
      <c r="U43" s="418" t="s">
        <v>232</v>
      </c>
      <c r="V43" s="418" t="s">
        <v>232</v>
      </c>
      <c r="W43" s="418" t="str">
        <f t="shared" si="67"/>
        <v>na</v>
      </c>
      <c r="X43" s="418" t="s">
        <v>232</v>
      </c>
      <c r="Y43" s="1884" t="str">
        <f t="shared" si="68"/>
        <v>na</v>
      </c>
      <c r="Z43" s="1884" t="str">
        <f t="shared" si="69"/>
        <v>na</v>
      </c>
      <c r="AA43" s="1789" t="s">
        <v>232</v>
      </c>
      <c r="AB43" s="1789" t="s">
        <v>232</v>
      </c>
      <c r="AC43" s="273" t="s">
        <v>232</v>
      </c>
      <c r="AD43" s="273" t="s">
        <v>232</v>
      </c>
      <c r="AE43" s="273" t="s">
        <v>232</v>
      </c>
      <c r="AF43" s="273" t="s">
        <v>232</v>
      </c>
      <c r="AG43" s="1789" t="s">
        <v>232</v>
      </c>
      <c r="AH43" s="1789" t="s">
        <v>232</v>
      </c>
      <c r="AI43" s="273" t="s">
        <v>232</v>
      </c>
      <c r="AJ43" s="273" t="s">
        <v>232</v>
      </c>
      <c r="AK43" s="273" t="s">
        <v>232</v>
      </c>
      <c r="AL43" s="273" t="s">
        <v>232</v>
      </c>
      <c r="AM43" s="1789" t="s">
        <v>232</v>
      </c>
      <c r="AN43" s="273" t="str">
        <f t="shared" si="70"/>
        <v>na</v>
      </c>
      <c r="AO43" s="273" t="str">
        <f t="shared" si="71"/>
        <v>na</v>
      </c>
      <c r="AP43" s="273" t="str">
        <f t="shared" si="72"/>
        <v>na</v>
      </c>
      <c r="AQ43" s="273" t="str">
        <f t="shared" si="73"/>
        <v>na</v>
      </c>
      <c r="AR43" s="1789" t="str">
        <f t="shared" si="74"/>
        <v>na</v>
      </c>
      <c r="AS43" s="1051"/>
      <c r="AU43" s="1332" t="str">
        <f t="shared" si="75"/>
        <v/>
      </c>
      <c r="AV43" s="1114" t="str">
        <f t="shared" si="76"/>
        <v/>
      </c>
      <c r="AW43" s="1114" t="str">
        <f t="shared" si="77"/>
        <v/>
      </c>
      <c r="AX43" s="1114" t="str">
        <f t="shared" si="78"/>
        <v/>
      </c>
      <c r="AY43" s="1113" t="str">
        <f t="shared" si="79"/>
        <v/>
      </c>
      <c r="AZ43" s="1114" t="str">
        <f t="shared" si="80"/>
        <v/>
      </c>
      <c r="BA43" s="1114" t="str">
        <f t="shared" si="81"/>
        <v/>
      </c>
      <c r="BB43" s="1704" t="str">
        <f t="shared" si="82"/>
        <v/>
      </c>
      <c r="BC43" s="1113" t="str">
        <f t="shared" si="83"/>
        <v/>
      </c>
      <c r="BD43" s="1114" t="str">
        <f t="shared" si="84"/>
        <v/>
      </c>
      <c r="BE43" s="1114" t="str">
        <f t="shared" si="85"/>
        <v/>
      </c>
      <c r="BF43" s="1114" t="str">
        <f t="shared" si="86"/>
        <v/>
      </c>
      <c r="BG43" s="1114" t="str">
        <f t="shared" si="87"/>
        <v/>
      </c>
      <c r="BH43" s="1114" t="str">
        <f t="shared" si="88"/>
        <v/>
      </c>
      <c r="BI43" s="1114" t="str">
        <f t="shared" si="89"/>
        <v/>
      </c>
      <c r="BJ43" s="1115" t="str">
        <f t="shared" si="90"/>
        <v/>
      </c>
      <c r="BL43" s="1885"/>
    </row>
    <row r="44" spans="1:64" ht="13.9" customHeight="1" x14ac:dyDescent="0.25">
      <c r="A44" s="1917">
        <f>Chem!A44</f>
        <v>42</v>
      </c>
      <c r="B44" s="1880" t="str">
        <f>Chem!B44</f>
        <v>Vanadium</v>
      </c>
      <c r="C44" s="394" t="str">
        <f>Param!AK44</f>
        <v>no</v>
      </c>
      <c r="D44" s="317" t="str">
        <f>IF(ISNUMBER(Param!AN44),Param!AN44,Param!AM44)</f>
        <v>na</v>
      </c>
      <c r="E44" s="273" t="s">
        <v>232</v>
      </c>
      <c r="F44" s="643" t="s">
        <v>232</v>
      </c>
      <c r="G44" s="550" t="s">
        <v>232</v>
      </c>
      <c r="H44" s="550" t="s">
        <v>232</v>
      </c>
      <c r="I44" s="273" t="s">
        <v>232</v>
      </c>
      <c r="J44" s="273" t="s">
        <v>232</v>
      </c>
      <c r="K44" s="219" t="str">
        <f>IF(C44="YES",'SD-Eq'!V44,"na")</f>
        <v>na</v>
      </c>
      <c r="L44" s="273" t="str">
        <f>IF(C44="YES",'SD-Eq'!Z44,"na")</f>
        <v>na</v>
      </c>
      <c r="M44" s="435" t="str">
        <f t="shared" si="63"/>
        <v>na</v>
      </c>
      <c r="N44" s="273" t="str">
        <f t="shared" si="64"/>
        <v>na</v>
      </c>
      <c r="O44" s="1794" t="str">
        <f t="shared" si="65"/>
        <v>na</v>
      </c>
      <c r="P44" s="1789" t="str">
        <f t="shared" si="66"/>
        <v>na</v>
      </c>
      <c r="Q44" s="418" t="s">
        <v>232</v>
      </c>
      <c r="R44" s="418" t="s">
        <v>232</v>
      </c>
      <c r="S44" s="418" t="s">
        <v>232</v>
      </c>
      <c r="T44" s="418" t="s">
        <v>232</v>
      </c>
      <c r="U44" s="418" t="s">
        <v>232</v>
      </c>
      <c r="V44" s="418" t="s">
        <v>232</v>
      </c>
      <c r="W44" s="418" t="str">
        <f t="shared" si="67"/>
        <v>na</v>
      </c>
      <c r="X44" s="418" t="s">
        <v>232</v>
      </c>
      <c r="Y44" s="1884" t="str">
        <f t="shared" si="68"/>
        <v>na</v>
      </c>
      <c r="Z44" s="1884" t="str">
        <f t="shared" si="69"/>
        <v>na</v>
      </c>
      <c r="AA44" s="1789" t="s">
        <v>232</v>
      </c>
      <c r="AB44" s="1789" t="s">
        <v>232</v>
      </c>
      <c r="AC44" s="273" t="s">
        <v>232</v>
      </c>
      <c r="AD44" s="273" t="s">
        <v>232</v>
      </c>
      <c r="AE44" s="273" t="s">
        <v>232</v>
      </c>
      <c r="AF44" s="273" t="s">
        <v>232</v>
      </c>
      <c r="AG44" s="1789" t="s">
        <v>232</v>
      </c>
      <c r="AH44" s="1789" t="s">
        <v>232</v>
      </c>
      <c r="AI44" s="273" t="s">
        <v>232</v>
      </c>
      <c r="AJ44" s="273" t="s">
        <v>232</v>
      </c>
      <c r="AK44" s="273" t="s">
        <v>232</v>
      </c>
      <c r="AL44" s="273" t="s">
        <v>232</v>
      </c>
      <c r="AM44" s="1789" t="s">
        <v>232</v>
      </c>
      <c r="AN44" s="273" t="str">
        <f t="shared" si="70"/>
        <v>na</v>
      </c>
      <c r="AO44" s="273" t="str">
        <f t="shared" si="71"/>
        <v>na</v>
      </c>
      <c r="AP44" s="273" t="str">
        <f t="shared" si="72"/>
        <v>na</v>
      </c>
      <c r="AQ44" s="273" t="str">
        <f t="shared" si="73"/>
        <v>na</v>
      </c>
      <c r="AR44" s="1789" t="str">
        <f t="shared" si="74"/>
        <v>na</v>
      </c>
      <c r="AS44" s="1051"/>
      <c r="AU44" s="1332" t="str">
        <f t="shared" si="75"/>
        <v/>
      </c>
      <c r="AV44" s="1114" t="str">
        <f t="shared" si="76"/>
        <v/>
      </c>
      <c r="AW44" s="1114" t="str">
        <f t="shared" si="77"/>
        <v/>
      </c>
      <c r="AX44" s="1114" t="str">
        <f t="shared" si="78"/>
        <v/>
      </c>
      <c r="AY44" s="1113" t="str">
        <f t="shared" si="79"/>
        <v/>
      </c>
      <c r="AZ44" s="1114" t="str">
        <f t="shared" si="80"/>
        <v/>
      </c>
      <c r="BA44" s="1114" t="str">
        <f t="shared" si="81"/>
        <v/>
      </c>
      <c r="BB44" s="1704" t="str">
        <f t="shared" si="82"/>
        <v/>
      </c>
      <c r="BC44" s="1113" t="str">
        <f t="shared" si="83"/>
        <v/>
      </c>
      <c r="BD44" s="1114" t="str">
        <f t="shared" si="84"/>
        <v/>
      </c>
      <c r="BE44" s="1114" t="str">
        <f t="shared" si="85"/>
        <v/>
      </c>
      <c r="BF44" s="1114" t="str">
        <f t="shared" si="86"/>
        <v/>
      </c>
      <c r="BG44" s="1114" t="str">
        <f t="shared" si="87"/>
        <v/>
      </c>
      <c r="BH44" s="1114" t="str">
        <f t="shared" si="88"/>
        <v/>
      </c>
      <c r="BI44" s="1114" t="str">
        <f t="shared" si="89"/>
        <v/>
      </c>
      <c r="BJ44" s="1115" t="str">
        <f t="shared" si="90"/>
        <v/>
      </c>
      <c r="BL44" s="1885"/>
    </row>
    <row r="45" spans="1:64" ht="13.9" customHeight="1" x14ac:dyDescent="0.25">
      <c r="A45" s="1910">
        <f>Chem!A45</f>
        <v>43</v>
      </c>
      <c r="B45" s="1880" t="str">
        <f>Chem!B45</f>
        <v>Zinc</v>
      </c>
      <c r="C45" s="394" t="str">
        <f>Param!AK45</f>
        <v>no</v>
      </c>
      <c r="D45" s="317">
        <f>IF(ISNUMBER(Param!AN45),Param!AN45,Param!AM45)</f>
        <v>93</v>
      </c>
      <c r="E45" s="273" t="s">
        <v>232</v>
      </c>
      <c r="F45" s="643">
        <v>1</v>
      </c>
      <c r="G45" s="550" t="s">
        <v>232</v>
      </c>
      <c r="H45" s="550">
        <v>410</v>
      </c>
      <c r="I45" s="273" t="s">
        <v>232</v>
      </c>
      <c r="J45" s="273">
        <v>960</v>
      </c>
      <c r="K45" s="219" t="str">
        <f>IF(C45="YES",'SD-Eq'!V45,"na")</f>
        <v>na</v>
      </c>
      <c r="L45" s="273" t="str">
        <f>IF(C45="YES",'SD-Eq'!Z45,"na")</f>
        <v>na</v>
      </c>
      <c r="M45" s="435" t="str">
        <f t="shared" si="63"/>
        <v>na</v>
      </c>
      <c r="N45" s="273" t="str">
        <f t="shared" si="64"/>
        <v>na</v>
      </c>
      <c r="O45" s="1794">
        <f t="shared" si="65"/>
        <v>410</v>
      </c>
      <c r="P45" s="1789">
        <f t="shared" si="66"/>
        <v>960</v>
      </c>
      <c r="Q45" s="418" t="s">
        <v>232</v>
      </c>
      <c r="R45" s="418" t="s">
        <v>232</v>
      </c>
      <c r="S45" s="418" t="s">
        <v>232</v>
      </c>
      <c r="T45" s="418" t="s">
        <v>232</v>
      </c>
      <c r="U45" s="418">
        <v>410</v>
      </c>
      <c r="V45" s="418" t="s">
        <v>232</v>
      </c>
      <c r="W45" s="418" t="str">
        <f t="shared" si="67"/>
        <v>na</v>
      </c>
      <c r="X45" s="418" t="s">
        <v>232</v>
      </c>
      <c r="Y45" s="1884" t="str">
        <f t="shared" si="68"/>
        <v>na</v>
      </c>
      <c r="Z45" s="1884">
        <f t="shared" si="69"/>
        <v>410</v>
      </c>
      <c r="AA45" s="1789">
        <v>410</v>
      </c>
      <c r="AB45" s="1789">
        <v>410</v>
      </c>
      <c r="AC45" s="273">
        <v>820</v>
      </c>
      <c r="AD45" s="273">
        <v>2460</v>
      </c>
      <c r="AE45" s="273" t="s">
        <v>232</v>
      </c>
      <c r="AF45" s="273" t="s">
        <v>232</v>
      </c>
      <c r="AG45" s="1789">
        <v>410</v>
      </c>
      <c r="AH45" s="1789">
        <v>410</v>
      </c>
      <c r="AI45" s="273">
        <v>820</v>
      </c>
      <c r="AJ45" s="273">
        <v>2460</v>
      </c>
      <c r="AK45" s="273" t="s">
        <v>232</v>
      </c>
      <c r="AL45" s="273" t="s">
        <v>232</v>
      </c>
      <c r="AM45" s="1789">
        <v>410</v>
      </c>
      <c r="AN45" s="273">
        <f t="shared" si="70"/>
        <v>410</v>
      </c>
      <c r="AO45" s="273">
        <f t="shared" si="71"/>
        <v>820</v>
      </c>
      <c r="AP45" s="273">
        <f t="shared" si="72"/>
        <v>410</v>
      </c>
      <c r="AQ45" s="273">
        <f t="shared" si="73"/>
        <v>820</v>
      </c>
      <c r="AR45" s="1789">
        <f t="shared" si="74"/>
        <v>410</v>
      </c>
      <c r="AS45" s="1795"/>
      <c r="AU45" s="1333" t="str">
        <f t="shared" si="75"/>
        <v/>
      </c>
      <c r="AV45" s="1117" t="str">
        <f t="shared" si="76"/>
        <v/>
      </c>
      <c r="AW45" s="1117" t="str">
        <f t="shared" si="77"/>
        <v>X</v>
      </c>
      <c r="AX45" s="1117" t="str">
        <f t="shared" si="78"/>
        <v/>
      </c>
      <c r="AY45" s="1116" t="str">
        <f t="shared" si="79"/>
        <v/>
      </c>
      <c r="AZ45" s="1117" t="str">
        <f t="shared" si="80"/>
        <v/>
      </c>
      <c r="BA45" s="1117" t="str">
        <f t="shared" si="81"/>
        <v>X</v>
      </c>
      <c r="BB45" s="1707" t="str">
        <f t="shared" si="82"/>
        <v/>
      </c>
      <c r="BC45" s="1336" t="str">
        <f t="shared" si="83"/>
        <v/>
      </c>
      <c r="BD45" s="1337" t="str">
        <f t="shared" si="84"/>
        <v/>
      </c>
      <c r="BE45" s="1337" t="str">
        <f t="shared" si="85"/>
        <v>X</v>
      </c>
      <c r="BF45" s="1337" t="str">
        <f t="shared" si="86"/>
        <v/>
      </c>
      <c r="BG45" s="1337" t="str">
        <f t="shared" si="87"/>
        <v/>
      </c>
      <c r="BH45" s="1337" t="str">
        <f t="shared" si="88"/>
        <v/>
      </c>
      <c r="BI45" s="1337" t="str">
        <f t="shared" si="89"/>
        <v>X</v>
      </c>
      <c r="BJ45" s="1338" t="str">
        <f t="shared" si="90"/>
        <v/>
      </c>
      <c r="BL45" s="1885"/>
    </row>
    <row r="46" spans="1:64" ht="13.9" customHeight="1" x14ac:dyDescent="0.25">
      <c r="A46" s="1909">
        <f>Chem!A46</f>
        <v>44</v>
      </c>
      <c r="B46" s="1899" t="str">
        <f>Chem!B46</f>
        <v>Metals - Butyltins</v>
      </c>
      <c r="C46" s="297"/>
      <c r="D46" s="297"/>
      <c r="E46" s="297"/>
      <c r="F46" s="297"/>
      <c r="G46" s="297"/>
      <c r="H46" s="297"/>
      <c r="I46" s="297"/>
      <c r="J46" s="297"/>
      <c r="K46" s="297"/>
      <c r="L46" s="297"/>
      <c r="M46" s="297"/>
      <c r="N46" s="297"/>
      <c r="O46" s="297"/>
      <c r="P46" s="1903"/>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366"/>
      <c r="AU46" s="250" t="str">
        <f>B46</f>
        <v>Metals - Butyltins</v>
      </c>
      <c r="AV46" s="2375"/>
      <c r="AW46" s="2375"/>
      <c r="AX46" s="2375"/>
      <c r="AY46" s="2375"/>
      <c r="AZ46" s="2375"/>
      <c r="BA46" s="2375"/>
      <c r="BB46" s="2375"/>
      <c r="BC46" s="2372"/>
      <c r="BD46" s="2372"/>
      <c r="BE46" s="2372"/>
      <c r="BF46" s="2372"/>
      <c r="BG46" s="2372"/>
      <c r="BH46" s="2372"/>
      <c r="BI46" s="2372"/>
      <c r="BJ46" s="2373"/>
      <c r="BL46" s="1901"/>
    </row>
    <row r="47" spans="1:64" ht="13.9" customHeight="1" x14ac:dyDescent="0.25">
      <c r="A47" s="1917">
        <f>Chem!A47</f>
        <v>45</v>
      </c>
      <c r="B47" s="1880" t="str">
        <f>Chem!B47</f>
        <v>Monobutyltin</v>
      </c>
      <c r="C47" s="384" t="str">
        <f>Param!AK47</f>
        <v>no</v>
      </c>
      <c r="D47" s="317" t="str">
        <f>IF(ISNUMBER(Param!AN47),Param!AN47,Param!AM47)</f>
        <v>na</v>
      </c>
      <c r="E47" s="273" t="s">
        <v>232</v>
      </c>
      <c r="F47" s="643" t="s">
        <v>232</v>
      </c>
      <c r="G47" s="550" t="s">
        <v>232</v>
      </c>
      <c r="H47" s="550" t="s">
        <v>232</v>
      </c>
      <c r="I47" s="273" t="s">
        <v>232</v>
      </c>
      <c r="J47" s="273" t="s">
        <v>232</v>
      </c>
      <c r="K47" s="219" t="str">
        <f>IF(C47="YES",'SD-Eq'!V47,"na")</f>
        <v>na</v>
      </c>
      <c r="L47" s="273" t="str">
        <f>IF(C47="YES",'SD-Eq'!Z47,"na")</f>
        <v>na</v>
      </c>
      <c r="M47" s="435" t="str">
        <f t="shared" ref="M47:M51" si="96">IF($C47="YES",IF(OR(ISNUMBER($D47),ISNUMBER($F47)),MAX($D47,$F47),"PQL"),"na")</f>
        <v>na</v>
      </c>
      <c r="N47" s="273" t="str">
        <f t="shared" ref="N47:N51" si="97">IF($C47="YES",IF(OR(ISNUMBER($D47),ISNUMBER($E47),ISNUMBER($F47)),MAX($D47:$F47),"PQL"),"na")</f>
        <v>na</v>
      </c>
      <c r="O47" s="300" t="str">
        <f>IF(OR(ISNUMBER(H47),ISNUMBER(K47),ISNUMBER(M47)),MIN(H47,K47,M47),"na")</f>
        <v>na</v>
      </c>
      <c r="P47" s="1788" t="str">
        <f>IF(OR(ISNUMBER(J47),ISNUMBER(L47),ISNUMBER(N47)),MIN(J47,L47,N47),"na")</f>
        <v>na</v>
      </c>
      <c r="Q47" s="418" t="s">
        <v>232</v>
      </c>
      <c r="R47" s="418" t="s">
        <v>232</v>
      </c>
      <c r="S47" s="418" t="s">
        <v>232</v>
      </c>
      <c r="T47" s="418" t="s">
        <v>232</v>
      </c>
      <c r="U47" s="418" t="s">
        <v>232</v>
      </c>
      <c r="V47" s="418" t="s">
        <v>232</v>
      </c>
      <c r="W47" s="418" t="str">
        <f>IF(ISNUMBER(V47),H47,"na")</f>
        <v>na</v>
      </c>
      <c r="X47" s="418" t="s">
        <v>232</v>
      </c>
      <c r="Y47" s="1884" t="str">
        <f t="shared" ref="Y47:Y51" si="98">IF(OR(ISNUMBER(Q47),ISNUMBER(R47),ISNUMBER(S47),ISNUMBER(T47),ISNUMBER(X47)),MIN(Q47:T47,X47),"na")</f>
        <v>na</v>
      </c>
      <c r="Z47" s="1884" t="str">
        <f t="shared" ref="Z47:Z51" si="99">IF(OR(ISNUMBER(U47),ISNUMBER(W47),ISNUMBER(Y47)),MIN(U47,W47,Y47),O47)</f>
        <v>na</v>
      </c>
      <c r="AA47" s="1789" t="s">
        <v>232</v>
      </c>
      <c r="AB47" s="1789" t="s">
        <v>232</v>
      </c>
      <c r="AC47" s="273" t="s">
        <v>232</v>
      </c>
      <c r="AD47" s="273" t="s">
        <v>232</v>
      </c>
      <c r="AE47" s="273" t="s">
        <v>232</v>
      </c>
      <c r="AF47" s="273" t="s">
        <v>232</v>
      </c>
      <c r="AG47" s="273" t="s">
        <v>232</v>
      </c>
      <c r="AH47" s="273" t="s">
        <v>232</v>
      </c>
      <c r="AI47" s="273" t="s">
        <v>232</v>
      </c>
      <c r="AJ47" s="273" t="s">
        <v>232</v>
      </c>
      <c r="AK47" s="273" t="s">
        <v>232</v>
      </c>
      <c r="AL47" s="273" t="s">
        <v>232</v>
      </c>
      <c r="AM47" s="273" t="s">
        <v>232</v>
      </c>
      <c r="AN47" s="273" t="str">
        <f>IF(MIN(AA47,AB47)=0,"na",MIN(AA47,AB47))</f>
        <v>na</v>
      </c>
      <c r="AO47" s="273" t="str">
        <f t="shared" ref="AO47:AO51" si="100">IF(MIN(AC47:AF47)=0,"na",MIN(AC47:AF47))</f>
        <v>na</v>
      </c>
      <c r="AP47" s="273" t="str">
        <f t="shared" ref="AP47:AP51" si="101">IF(MIN(AG47,AH47)=0,"na",MIN(AG47,AH47))</f>
        <v>na</v>
      </c>
      <c r="AQ47" s="273" t="str">
        <f t="shared" ref="AQ47:AQ51" si="102">IF(MIN(AI47:AL47)=0,"na",MIN(AI47:AL47))</f>
        <v>na</v>
      </c>
      <c r="AR47" s="1789" t="str">
        <f>IF(MIN(AA47:AM47)=0,"na",MIN(AA47:AM47))</f>
        <v>na</v>
      </c>
      <c r="AS47" s="1793"/>
      <c r="AU47" s="1331" t="str">
        <f>IF($O47="na","",IF($O47=D47,"X",""))</f>
        <v/>
      </c>
      <c r="AV47" s="1111" t="str">
        <f>IF(OR($O47="PQL",AND(ISNUMBER($F47),$O47=F47)),"X","")</f>
        <v/>
      </c>
      <c r="AW47" s="1111" t="str">
        <f>IF($O47="na","",IF($O47=H47,"X",""))</f>
        <v/>
      </c>
      <c r="AX47" s="1111" t="str">
        <f>IF($O47="na","",IF($O47=$K47,"X",""))</f>
        <v/>
      </c>
      <c r="AY47" s="1110" t="str">
        <f>IF($P47="na","",IF($P47=E47,"X",""))</f>
        <v/>
      </c>
      <c r="AZ47" s="1111" t="str">
        <f>IF(OR($P47="PQL",AND(ISNUMBER($F47),$P47=F47)),"X","")</f>
        <v/>
      </c>
      <c r="BA47" s="1111" t="str">
        <f>IF($P47="na","",IF($P47=J47,"X",""))</f>
        <v/>
      </c>
      <c r="BB47" s="1703" t="str">
        <f>IF($P47="na","",IF($P47=$L47,"X",""))</f>
        <v/>
      </c>
      <c r="BC47" s="1468" t="str">
        <f>IF($Z47="na","",IF($Z47=D47,"X",""))</f>
        <v/>
      </c>
      <c r="BD47" s="1469" t="str">
        <f>IF($Z47="na","",IF($Z47=F47,"X",""))</f>
        <v/>
      </c>
      <c r="BE47" s="1469" t="str">
        <f>IF($Z47="na","",IF($Z47=H47,"X",""))</f>
        <v/>
      </c>
      <c r="BF47" s="1469" t="str">
        <f>IF($Z47="na","",IF($Z47=K47,"X",""))</f>
        <v/>
      </c>
      <c r="BG47" s="1469" t="str">
        <f t="shared" ref="BG47:BG51" si="103">IF($Z47="na","",IF($Z47=Q47,"X",""))</f>
        <v/>
      </c>
      <c r="BH47" s="1469" t="str">
        <f t="shared" ref="BH47:BH51" si="104">IF($Z47="na","",IF(OR($Z47=R47,$Z47=S47,$Z47=T47),"X",""))</f>
        <v/>
      </c>
      <c r="BI47" s="1469" t="str">
        <f t="shared" ref="BI47:BI51" si="105">IF($Z47="na","",IF(OR($Z47=U47,$Z47=W47),"X",""))</f>
        <v/>
      </c>
      <c r="BJ47" s="1470" t="str">
        <f t="shared" ref="BJ47:BJ51" si="106">IF($Z47="na","",IF($Z47=X47,"X",""))</f>
        <v/>
      </c>
      <c r="BL47" s="1885"/>
    </row>
    <row r="48" spans="1:64" ht="13.9" customHeight="1" x14ac:dyDescent="0.25">
      <c r="A48" s="1917">
        <f>Chem!A48</f>
        <v>46</v>
      </c>
      <c r="B48" s="1880" t="str">
        <f>Chem!B48</f>
        <v>Dibutyltin</v>
      </c>
      <c r="C48" s="384" t="str">
        <f>Param!AK48</f>
        <v>no</v>
      </c>
      <c r="D48" s="317" t="str">
        <f>IF(ISNUMBER(Param!AN48),Param!AN48,Param!AM48)</f>
        <v>na</v>
      </c>
      <c r="E48" s="273" t="s">
        <v>232</v>
      </c>
      <c r="F48" s="643" t="s">
        <v>232</v>
      </c>
      <c r="G48" s="550" t="s">
        <v>232</v>
      </c>
      <c r="H48" s="550" t="s">
        <v>232</v>
      </c>
      <c r="I48" s="273" t="s">
        <v>232</v>
      </c>
      <c r="J48" s="273" t="s">
        <v>232</v>
      </c>
      <c r="K48" s="219" t="str">
        <f>IF(C48="YES",'SD-Eq'!V48,"na")</f>
        <v>na</v>
      </c>
      <c r="L48" s="273" t="str">
        <f>IF(C48="YES",'SD-Eq'!Z48,"na")</f>
        <v>na</v>
      </c>
      <c r="M48" s="435" t="str">
        <f t="shared" si="96"/>
        <v>na</v>
      </c>
      <c r="N48" s="273" t="str">
        <f t="shared" si="97"/>
        <v>na</v>
      </c>
      <c r="O48" s="300" t="str">
        <f>IF(OR(ISNUMBER(H48),ISNUMBER(K48),ISNUMBER(M48)),MIN(H48,K48,M48),"na")</f>
        <v>na</v>
      </c>
      <c r="P48" s="1788" t="str">
        <f>IF(OR(ISNUMBER(J48),ISNUMBER(L48),ISNUMBER(N48)),MIN(J48,L48,N48),"na")</f>
        <v>na</v>
      </c>
      <c r="Q48" s="418" t="s">
        <v>232</v>
      </c>
      <c r="R48" s="418" t="s">
        <v>232</v>
      </c>
      <c r="S48" s="418" t="s">
        <v>232</v>
      </c>
      <c r="T48" s="418" t="s">
        <v>232</v>
      </c>
      <c r="U48" s="418" t="s">
        <v>232</v>
      </c>
      <c r="V48" s="418" t="s">
        <v>232</v>
      </c>
      <c r="W48" s="418" t="str">
        <f>IF(ISNUMBER(V48),H48,"na")</f>
        <v>na</v>
      </c>
      <c r="X48" s="418" t="s">
        <v>232</v>
      </c>
      <c r="Y48" s="1884" t="str">
        <f t="shared" si="98"/>
        <v>na</v>
      </c>
      <c r="Z48" s="1884" t="str">
        <f t="shared" si="99"/>
        <v>na</v>
      </c>
      <c r="AA48" s="1789" t="s">
        <v>232</v>
      </c>
      <c r="AB48" s="1789" t="s">
        <v>232</v>
      </c>
      <c r="AC48" s="273" t="s">
        <v>232</v>
      </c>
      <c r="AD48" s="273" t="s">
        <v>232</v>
      </c>
      <c r="AE48" s="273" t="s">
        <v>232</v>
      </c>
      <c r="AF48" s="273" t="s">
        <v>232</v>
      </c>
      <c r="AG48" s="273" t="s">
        <v>232</v>
      </c>
      <c r="AH48" s="273" t="s">
        <v>232</v>
      </c>
      <c r="AI48" s="273" t="s">
        <v>232</v>
      </c>
      <c r="AJ48" s="273" t="s">
        <v>232</v>
      </c>
      <c r="AK48" s="273" t="s">
        <v>232</v>
      </c>
      <c r="AL48" s="273" t="s">
        <v>232</v>
      </c>
      <c r="AM48" s="273" t="s">
        <v>232</v>
      </c>
      <c r="AN48" s="273" t="str">
        <f>IF(MIN(AA48,AB48)=0,"na",MIN(AA48,AB48))</f>
        <v>na</v>
      </c>
      <c r="AO48" s="273" t="str">
        <f t="shared" si="100"/>
        <v>na</v>
      </c>
      <c r="AP48" s="273" t="str">
        <f t="shared" si="101"/>
        <v>na</v>
      </c>
      <c r="AQ48" s="273" t="str">
        <f t="shared" si="102"/>
        <v>na</v>
      </c>
      <c r="AR48" s="1789" t="str">
        <f>IF(MIN(AA48:AM48)=0,"na",MIN(AA48:AM48))</f>
        <v>na</v>
      </c>
      <c r="AS48" s="1051"/>
      <c r="AU48" s="1332" t="str">
        <f>IF($O48="na","",IF($O48=D48,"X",""))</f>
        <v/>
      </c>
      <c r="AV48" s="1114" t="str">
        <f>IF(OR($O48="PQL",AND(ISNUMBER($F48),$O48=F48)),"X","")</f>
        <v/>
      </c>
      <c r="AW48" s="1114" t="str">
        <f>IF($O48="na","",IF($O48=H48,"X",""))</f>
        <v/>
      </c>
      <c r="AX48" s="1114" t="str">
        <f>IF($O48="na","",IF($O48=$K48,"X",""))</f>
        <v/>
      </c>
      <c r="AY48" s="1113" t="str">
        <f>IF($P48="na","",IF($P48=E48,"X",""))</f>
        <v/>
      </c>
      <c r="AZ48" s="1114" t="str">
        <f>IF(OR($P48="PQL",AND(ISNUMBER($F48),$P48=F48)),"X","")</f>
        <v/>
      </c>
      <c r="BA48" s="1114" t="str">
        <f>IF($P48="na","",IF($P48=J48,"X",""))</f>
        <v/>
      </c>
      <c r="BB48" s="1704" t="str">
        <f>IF($P48="na","",IF($P48=$L48,"X",""))</f>
        <v/>
      </c>
      <c r="BC48" s="1113" t="str">
        <f>IF($Z48="na","",IF($Z48=D48,"X",""))</f>
        <v/>
      </c>
      <c r="BD48" s="1114" t="str">
        <f>IF($Z48="na","",IF($Z48=F48,"X",""))</f>
        <v/>
      </c>
      <c r="BE48" s="1114" t="str">
        <f>IF($Z48="na","",IF($Z48=H48,"X",""))</f>
        <v/>
      </c>
      <c r="BF48" s="1114" t="str">
        <f>IF($Z48="na","",IF($Z48=K48,"X",""))</f>
        <v/>
      </c>
      <c r="BG48" s="1114" t="str">
        <f t="shared" si="103"/>
        <v/>
      </c>
      <c r="BH48" s="1114" t="str">
        <f t="shared" si="104"/>
        <v/>
      </c>
      <c r="BI48" s="1114" t="str">
        <f t="shared" si="105"/>
        <v/>
      </c>
      <c r="BJ48" s="1115" t="str">
        <f t="shared" si="106"/>
        <v/>
      </c>
      <c r="BL48" s="1885"/>
    </row>
    <row r="49" spans="1:64" ht="13.9" customHeight="1" x14ac:dyDescent="0.25">
      <c r="A49" s="1917">
        <f>Chem!A49</f>
        <v>47</v>
      </c>
      <c r="B49" s="1880" t="str">
        <f>Chem!B49</f>
        <v>Tributyl tin</v>
      </c>
      <c r="C49" s="384" t="str">
        <f>Param!AK49</f>
        <v>no</v>
      </c>
      <c r="D49" s="317" t="str">
        <f>IF(ISNUMBER(Param!AN49),Param!AN49,Param!AM49)</f>
        <v>na</v>
      </c>
      <c r="E49" s="273" t="s">
        <v>232</v>
      </c>
      <c r="F49" s="643" t="s">
        <v>232</v>
      </c>
      <c r="G49" s="550" t="s">
        <v>232</v>
      </c>
      <c r="H49" s="550" t="s">
        <v>232</v>
      </c>
      <c r="I49" s="273" t="s">
        <v>232</v>
      </c>
      <c r="J49" s="273" t="s">
        <v>232</v>
      </c>
      <c r="K49" s="219" t="str">
        <f>IF(C49="YES",'SD-Eq'!V49,"na")</f>
        <v>na</v>
      </c>
      <c r="L49" s="273" t="str">
        <f>IF(C49="YES",'SD-Eq'!Z49,"na")</f>
        <v>na</v>
      </c>
      <c r="M49" s="435" t="str">
        <f t="shared" si="96"/>
        <v>na</v>
      </c>
      <c r="N49" s="273" t="str">
        <f t="shared" si="97"/>
        <v>na</v>
      </c>
      <c r="O49" s="300" t="str">
        <f>IF(OR(ISNUMBER(H49),ISNUMBER(K49),ISNUMBER(M49)),MIN(H49,K49,M49),"na")</f>
        <v>na</v>
      </c>
      <c r="P49" s="1788" t="str">
        <f>IF(OR(ISNUMBER(J49),ISNUMBER(L49),ISNUMBER(N49)),MIN(J49,L49,N49),"na")</f>
        <v>na</v>
      </c>
      <c r="Q49" s="418" t="s">
        <v>232</v>
      </c>
      <c r="R49" s="418" t="s">
        <v>232</v>
      </c>
      <c r="S49" s="418" t="s">
        <v>232</v>
      </c>
      <c r="T49" s="418" t="s">
        <v>232</v>
      </c>
      <c r="U49" s="418" t="s">
        <v>232</v>
      </c>
      <c r="V49" s="418" t="s">
        <v>232</v>
      </c>
      <c r="W49" s="418" t="str">
        <f>IF(ISNUMBER(V49),H49,"na")</f>
        <v>na</v>
      </c>
      <c r="X49" s="418" t="s">
        <v>232</v>
      </c>
      <c r="Y49" s="1884" t="str">
        <f t="shared" ref="Y49" si="107">IF(OR(ISNUMBER(Q49),ISNUMBER(R49),ISNUMBER(S49),ISNUMBER(T49),ISNUMBER(X49)),MIN(Q49:T49,X49),"na")</f>
        <v>na</v>
      </c>
      <c r="Z49" s="1884" t="str">
        <f t="shared" ref="Z49" si="108">IF(OR(ISNUMBER(U49),ISNUMBER(W49),ISNUMBER(Y49)),MIN(U49,W49,Y49),O49)</f>
        <v>na</v>
      </c>
      <c r="AA49" s="1789" t="s">
        <v>232</v>
      </c>
      <c r="AB49" s="1789" t="s">
        <v>232</v>
      </c>
      <c r="AC49" s="273" t="s">
        <v>232</v>
      </c>
      <c r="AD49" s="273" t="s">
        <v>232</v>
      </c>
      <c r="AE49" s="273" t="s">
        <v>232</v>
      </c>
      <c r="AF49" s="273" t="s">
        <v>232</v>
      </c>
      <c r="AG49" s="273" t="s">
        <v>232</v>
      </c>
      <c r="AH49" s="273" t="s">
        <v>232</v>
      </c>
      <c r="AI49" s="273" t="s">
        <v>232</v>
      </c>
      <c r="AJ49" s="273" t="s">
        <v>232</v>
      </c>
      <c r="AK49" s="273" t="s">
        <v>232</v>
      </c>
      <c r="AL49" s="273" t="s">
        <v>232</v>
      </c>
      <c r="AM49" s="273" t="s">
        <v>232</v>
      </c>
      <c r="AN49" s="273" t="str">
        <f>IF(MIN(AA49,AB49)=0,"na",MIN(AA49,AB49))</f>
        <v>na</v>
      </c>
      <c r="AO49" s="273" t="str">
        <f t="shared" ref="AO49" si="109">IF(MIN(AC49:AF49)=0,"na",MIN(AC49:AF49))</f>
        <v>na</v>
      </c>
      <c r="AP49" s="273" t="str">
        <f t="shared" ref="AP49" si="110">IF(MIN(AG49,AH49)=0,"na",MIN(AG49,AH49))</f>
        <v>na</v>
      </c>
      <c r="AQ49" s="273" t="str">
        <f t="shared" ref="AQ49" si="111">IF(MIN(AI49:AL49)=0,"na",MIN(AI49:AL49))</f>
        <v>na</v>
      </c>
      <c r="AR49" s="1789" t="str">
        <f>IF(MIN(AA49:AM49)=0,"na",MIN(AA49:AM49))</f>
        <v>na</v>
      </c>
      <c r="AS49" s="1051"/>
      <c r="AU49" s="1332" t="str">
        <f>IF($O49="na","",IF($O49=D49,"X",""))</f>
        <v/>
      </c>
      <c r="AV49" s="1114" t="str">
        <f>IF(OR($O49="PQL",AND(ISNUMBER($F49),$O49=F49)),"X","")</f>
        <v/>
      </c>
      <c r="AW49" s="1114" t="str">
        <f>IF($O49="na","",IF($O49=H49,"X",""))</f>
        <v/>
      </c>
      <c r="AX49" s="1114" t="str">
        <f>IF($O49="na","",IF($O49=$K49,"X",""))</f>
        <v/>
      </c>
      <c r="AY49" s="1113" t="str">
        <f>IF($P49="na","",IF($P49=E49,"X",""))</f>
        <v/>
      </c>
      <c r="AZ49" s="1114" t="str">
        <f>IF(OR($P49="PQL",AND(ISNUMBER($F49),$P49=F49)),"X","")</f>
        <v/>
      </c>
      <c r="BA49" s="1114" t="str">
        <f>IF($P49="na","",IF($P49=J49,"X",""))</f>
        <v/>
      </c>
      <c r="BB49" s="1704" t="str">
        <f>IF($P49="na","",IF($P49=$L49,"X",""))</f>
        <v/>
      </c>
      <c r="BC49" s="1113" t="str">
        <f>IF($Z49="na","",IF($Z49=D49,"X",""))</f>
        <v/>
      </c>
      <c r="BD49" s="1114" t="str">
        <f>IF($Z49="na","",IF($Z49=F49,"X",""))</f>
        <v/>
      </c>
      <c r="BE49" s="1114" t="str">
        <f>IF($Z49="na","",IF($Z49=H49,"X",""))</f>
        <v/>
      </c>
      <c r="BF49" s="1114" t="str">
        <f>IF($Z49="na","",IF($Z49=K49,"X",""))</f>
        <v/>
      </c>
      <c r="BG49" s="1114" t="str">
        <f t="shared" ref="BG49" si="112">IF($Z49="na","",IF($Z49=Q49,"X",""))</f>
        <v/>
      </c>
      <c r="BH49" s="1114" t="str">
        <f t="shared" ref="BH49" si="113">IF($Z49="na","",IF(OR($Z49=R49,$Z49=S49,$Z49=T49),"X",""))</f>
        <v/>
      </c>
      <c r="BI49" s="1114" t="str">
        <f t="shared" ref="BI49" si="114">IF($Z49="na","",IF(OR($Z49=U49,$Z49=W49),"X",""))</f>
        <v/>
      </c>
      <c r="BJ49" s="1115" t="str">
        <f t="shared" ref="BJ49" si="115">IF($Z49="na","",IF($Z49=X49,"X",""))</f>
        <v/>
      </c>
      <c r="BL49" s="1885"/>
    </row>
    <row r="50" spans="1:64" ht="13.9" customHeight="1" x14ac:dyDescent="0.25">
      <c r="A50" s="1917">
        <f>Chem!A50</f>
        <v>48</v>
      </c>
      <c r="B50" s="1880" t="str">
        <f>Chem!B50</f>
        <v>Tributyltin oxide</v>
      </c>
      <c r="C50" s="394" t="str">
        <f>Param!AK50</f>
        <v>YES</v>
      </c>
      <c r="D50" s="317" t="str">
        <f>IF(ISNUMBER(Param!AN50),Param!AN50,Param!AM50)</f>
        <v>na</v>
      </c>
      <c r="E50" s="273" t="s">
        <v>232</v>
      </c>
      <c r="F50" s="643">
        <v>2.0999999999999999E-3</v>
      </c>
      <c r="G50" s="550" t="s">
        <v>232</v>
      </c>
      <c r="H50" s="550" t="s">
        <v>232</v>
      </c>
      <c r="I50" s="273" t="s">
        <v>232</v>
      </c>
      <c r="J50" s="273" t="s">
        <v>232</v>
      </c>
      <c r="K50" s="219">
        <f>IF(C50="YES",'SD-Eq'!V50,"na")</f>
        <v>59.836065573770476</v>
      </c>
      <c r="L50" s="273">
        <f>IF(C50="YES",'SD-Eq'!Z50,"na")</f>
        <v>59.836065573770476</v>
      </c>
      <c r="M50" s="435">
        <f t="shared" si="96"/>
        <v>2.0999999999999999E-3</v>
      </c>
      <c r="N50" s="273">
        <f t="shared" si="97"/>
        <v>2.0999999999999999E-3</v>
      </c>
      <c r="O50" s="1794">
        <f>IF(OR(ISNUMBER(H50),ISNUMBER(K50),ISNUMBER(M50)),MIN(H50,K50,M50),"na")</f>
        <v>2.0999999999999999E-3</v>
      </c>
      <c r="P50" s="1789">
        <f>IF(OR(ISNUMBER(J50),ISNUMBER(L50),ISNUMBER(N50)),MIN(J50,L50,N50),"na")</f>
        <v>2.0999999999999999E-3</v>
      </c>
      <c r="Q50" s="418" t="s">
        <v>232</v>
      </c>
      <c r="R50" s="418" t="s">
        <v>232</v>
      </c>
      <c r="S50" s="418" t="s">
        <v>232</v>
      </c>
      <c r="T50" s="418" t="s">
        <v>232</v>
      </c>
      <c r="U50" s="418" t="s">
        <v>232</v>
      </c>
      <c r="V50" s="418" t="s">
        <v>232</v>
      </c>
      <c r="W50" s="418" t="str">
        <f>IF(ISNUMBER(V50),H50,"na")</f>
        <v>na</v>
      </c>
      <c r="X50" s="418" t="s">
        <v>232</v>
      </c>
      <c r="Y50" s="1884" t="str">
        <f t="shared" si="98"/>
        <v>na</v>
      </c>
      <c r="Z50" s="1884">
        <f t="shared" si="99"/>
        <v>2.0999999999999999E-3</v>
      </c>
      <c r="AA50" s="1789" t="s">
        <v>232</v>
      </c>
      <c r="AB50" s="1789" t="s">
        <v>232</v>
      </c>
      <c r="AC50" s="273" t="s">
        <v>232</v>
      </c>
      <c r="AD50" s="273" t="s">
        <v>232</v>
      </c>
      <c r="AE50" s="273" t="s">
        <v>232</v>
      </c>
      <c r="AF50" s="273" t="s">
        <v>232</v>
      </c>
      <c r="AG50" s="273" t="s">
        <v>232</v>
      </c>
      <c r="AH50" s="273" t="s">
        <v>232</v>
      </c>
      <c r="AI50" s="273" t="s">
        <v>232</v>
      </c>
      <c r="AJ50" s="273" t="s">
        <v>232</v>
      </c>
      <c r="AK50" s="273" t="s">
        <v>232</v>
      </c>
      <c r="AL50" s="273" t="s">
        <v>232</v>
      </c>
      <c r="AM50" s="273" t="s">
        <v>232</v>
      </c>
      <c r="AN50" s="273" t="str">
        <f>IF(MIN(AA50,AB50)=0,"na",MIN(AA50,AB50))</f>
        <v>na</v>
      </c>
      <c r="AO50" s="273" t="str">
        <f t="shared" si="100"/>
        <v>na</v>
      </c>
      <c r="AP50" s="273" t="str">
        <f t="shared" si="101"/>
        <v>na</v>
      </c>
      <c r="AQ50" s="273" t="str">
        <f t="shared" si="102"/>
        <v>na</v>
      </c>
      <c r="AR50" s="1789" t="str">
        <f>IF(MIN(AA50:AM50)=0,"na",MIN(AA50:AM50))</f>
        <v>na</v>
      </c>
      <c r="AS50" s="1051"/>
      <c r="AU50" s="1332" t="str">
        <f>IF($O50="na","",IF($O50=D50,"X",""))</f>
        <v/>
      </c>
      <c r="AV50" s="1114" t="str">
        <f>IF(OR($O50="PQL",AND(ISNUMBER($F50),$O50=F50)),"X","")</f>
        <v>X</v>
      </c>
      <c r="AW50" s="1114" t="str">
        <f>IF($O50="na","",IF($O50=H50,"X",""))</f>
        <v/>
      </c>
      <c r="AX50" s="1114" t="str">
        <f>IF($O50="na","",IF($O50=$K50,"X",""))</f>
        <v/>
      </c>
      <c r="AY50" s="1113" t="str">
        <f>IF($P50="na","",IF($P50=E50,"X",""))</f>
        <v/>
      </c>
      <c r="AZ50" s="1114" t="str">
        <f>IF(OR($P50="PQL",AND(ISNUMBER($F50),$P50=F50)),"X","")</f>
        <v>X</v>
      </c>
      <c r="BA50" s="1114" t="str">
        <f>IF($P50="na","",IF($P50=J50,"X",""))</f>
        <v/>
      </c>
      <c r="BB50" s="1704" t="str">
        <f>IF($P50="na","",IF($P50=$L50,"X",""))</f>
        <v/>
      </c>
      <c r="BC50" s="1113" t="str">
        <f>IF($Z50="na","",IF($Z50=D50,"X",""))</f>
        <v/>
      </c>
      <c r="BD50" s="1114" t="str">
        <f>IF($Z50="na","",IF($Z50=F50,"X",""))</f>
        <v>X</v>
      </c>
      <c r="BE50" s="1114" t="str">
        <f>IF($Z50="na","",IF($Z50=H50,"X",""))</f>
        <v/>
      </c>
      <c r="BF50" s="1114" t="str">
        <f>IF($Z50="na","",IF($Z50=K50,"X",""))</f>
        <v/>
      </c>
      <c r="BG50" s="1114" t="str">
        <f t="shared" si="103"/>
        <v/>
      </c>
      <c r="BH50" s="1114" t="str">
        <f t="shared" si="104"/>
        <v/>
      </c>
      <c r="BI50" s="1114" t="str">
        <f t="shared" si="105"/>
        <v/>
      </c>
      <c r="BJ50" s="1115" t="str">
        <f t="shared" si="106"/>
        <v/>
      </c>
      <c r="BL50" s="1885"/>
    </row>
    <row r="51" spans="1:64" ht="13.9" customHeight="1" x14ac:dyDescent="0.25">
      <c r="A51" s="1917">
        <f>Chem!A51</f>
        <v>49</v>
      </c>
      <c r="B51" s="1880" t="str">
        <f>Chem!B51</f>
        <v>Tetrabutyltin</v>
      </c>
      <c r="C51" s="384" t="str">
        <f>Param!AK51</f>
        <v>no</v>
      </c>
      <c r="D51" s="317" t="str">
        <f>IF(ISNUMBER(Param!AN51),Param!AN51,Param!AM51)</f>
        <v>na</v>
      </c>
      <c r="E51" s="273" t="s">
        <v>232</v>
      </c>
      <c r="F51" s="643" t="s">
        <v>232</v>
      </c>
      <c r="G51" s="550" t="s">
        <v>232</v>
      </c>
      <c r="H51" s="550" t="s">
        <v>232</v>
      </c>
      <c r="I51" s="273" t="s">
        <v>232</v>
      </c>
      <c r="J51" s="273" t="s">
        <v>232</v>
      </c>
      <c r="K51" s="219" t="str">
        <f>IF(C51="YES",'SD-Eq'!V51,"na")</f>
        <v>na</v>
      </c>
      <c r="L51" s="273" t="str">
        <f>IF(C51="YES",'SD-Eq'!Z51,"na")</f>
        <v>na</v>
      </c>
      <c r="M51" s="435" t="str">
        <f t="shared" si="96"/>
        <v>na</v>
      </c>
      <c r="N51" s="273" t="str">
        <f t="shared" si="97"/>
        <v>na</v>
      </c>
      <c r="O51" s="300" t="str">
        <f>IF(OR(ISNUMBER(H51),ISNUMBER(K51),ISNUMBER(M51)),MIN(H51,K51,M51),"na")</f>
        <v>na</v>
      </c>
      <c r="P51" s="1788" t="str">
        <f>IF(OR(ISNUMBER(J51),ISNUMBER(L51),ISNUMBER(N51)),MIN(J51,L51,N51),"na")</f>
        <v>na</v>
      </c>
      <c r="Q51" s="418" t="s">
        <v>232</v>
      </c>
      <c r="R51" s="418" t="s">
        <v>232</v>
      </c>
      <c r="S51" s="418" t="s">
        <v>232</v>
      </c>
      <c r="T51" s="418" t="s">
        <v>232</v>
      </c>
      <c r="U51" s="418" t="s">
        <v>232</v>
      </c>
      <c r="V51" s="418" t="s">
        <v>232</v>
      </c>
      <c r="W51" s="418" t="str">
        <f>IF(ISNUMBER(V51),H51,"na")</f>
        <v>na</v>
      </c>
      <c r="X51" s="418" t="s">
        <v>232</v>
      </c>
      <c r="Y51" s="1884" t="str">
        <f t="shared" si="98"/>
        <v>na</v>
      </c>
      <c r="Z51" s="1884" t="str">
        <f t="shared" si="99"/>
        <v>na</v>
      </c>
      <c r="AA51" s="1789" t="s">
        <v>232</v>
      </c>
      <c r="AB51" s="1789" t="s">
        <v>232</v>
      </c>
      <c r="AC51" s="273" t="s">
        <v>232</v>
      </c>
      <c r="AD51" s="273" t="s">
        <v>232</v>
      </c>
      <c r="AE51" s="273" t="s">
        <v>232</v>
      </c>
      <c r="AF51" s="273" t="s">
        <v>232</v>
      </c>
      <c r="AG51" s="273" t="s">
        <v>232</v>
      </c>
      <c r="AH51" s="273" t="s">
        <v>232</v>
      </c>
      <c r="AI51" s="273" t="s">
        <v>232</v>
      </c>
      <c r="AJ51" s="273" t="s">
        <v>232</v>
      </c>
      <c r="AK51" s="273" t="s">
        <v>232</v>
      </c>
      <c r="AL51" s="273" t="s">
        <v>232</v>
      </c>
      <c r="AM51" s="273" t="s">
        <v>232</v>
      </c>
      <c r="AN51" s="273" t="str">
        <f>IF(MIN(AA51,AB51)=0,"na",MIN(AA51,AB51))</f>
        <v>na</v>
      </c>
      <c r="AO51" s="273" t="str">
        <f t="shared" si="100"/>
        <v>na</v>
      </c>
      <c r="AP51" s="273" t="str">
        <f t="shared" si="101"/>
        <v>na</v>
      </c>
      <c r="AQ51" s="273" t="str">
        <f t="shared" si="102"/>
        <v>na</v>
      </c>
      <c r="AR51" s="1789" t="str">
        <f>IF(MIN(AA51:AM51)=0,"na",MIN(AA51:AM51))</f>
        <v>na</v>
      </c>
      <c r="AS51" s="1795"/>
      <c r="AU51" s="1333" t="str">
        <f>IF($O51="na","",IF($O51=D51,"X",""))</f>
        <v/>
      </c>
      <c r="AV51" s="1117" t="str">
        <f>IF(OR($O51="PQL",AND(ISNUMBER($F51),$O51=F51)),"X","")</f>
        <v/>
      </c>
      <c r="AW51" s="1117" t="str">
        <f>IF($O51="na","",IF($O51=H51,"X",""))</f>
        <v/>
      </c>
      <c r="AX51" s="1117" t="str">
        <f>IF($O51="na","",IF($O51=$K51,"X",""))</f>
        <v/>
      </c>
      <c r="AY51" s="1116" t="str">
        <f>IF($P51="na","",IF($P51=E51,"X",""))</f>
        <v/>
      </c>
      <c r="AZ51" s="1117" t="str">
        <f>IF(OR($P51="PQL",AND(ISNUMBER($F51),$P51=F51)),"X","")</f>
        <v/>
      </c>
      <c r="BA51" s="1117" t="str">
        <f>IF($P51="na","",IF($P51=J51,"X",""))</f>
        <v/>
      </c>
      <c r="BB51" s="1707" t="str">
        <f>IF($P51="na","",IF($P51=$L51,"X",""))</f>
        <v/>
      </c>
      <c r="BC51" s="1336" t="str">
        <f>IF($Z51="na","",IF($Z51=D51,"X",""))</f>
        <v/>
      </c>
      <c r="BD51" s="1337" t="str">
        <f>IF($Z51="na","",IF($Z51=F51,"X",""))</f>
        <v/>
      </c>
      <c r="BE51" s="1337" t="str">
        <f>IF($Z51="na","",IF($Z51=H51,"X",""))</f>
        <v/>
      </c>
      <c r="BF51" s="1337" t="str">
        <f>IF($Z51="na","",IF($Z51=K51,"X",""))</f>
        <v/>
      </c>
      <c r="BG51" s="1337" t="str">
        <f t="shared" si="103"/>
        <v/>
      </c>
      <c r="BH51" s="1337" t="str">
        <f t="shared" si="104"/>
        <v/>
      </c>
      <c r="BI51" s="1337" t="str">
        <f t="shared" si="105"/>
        <v/>
      </c>
      <c r="BJ51" s="1338" t="str">
        <f t="shared" si="106"/>
        <v/>
      </c>
      <c r="BL51" s="1885"/>
    </row>
    <row r="52" spans="1:64" ht="13.9" customHeight="1" x14ac:dyDescent="0.25">
      <c r="A52" s="1909">
        <f>Chem!A52</f>
        <v>50</v>
      </c>
      <c r="B52" s="1899" t="str">
        <f>Chem!B52</f>
        <v>SVOCs - PAHs</v>
      </c>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366"/>
      <c r="AU52" s="250" t="str">
        <f>B52</f>
        <v>SVOCs - PAHs</v>
      </c>
      <c r="AV52" s="2375"/>
      <c r="AW52" s="2375"/>
      <c r="AX52" s="2375"/>
      <c r="AY52" s="2375"/>
      <c r="AZ52" s="2375"/>
      <c r="BA52" s="2375"/>
      <c r="BB52" s="2375"/>
      <c r="BC52" s="2372"/>
      <c r="BD52" s="2372"/>
      <c r="BE52" s="2372"/>
      <c r="BF52" s="2372"/>
      <c r="BG52" s="2372"/>
      <c r="BH52" s="2372"/>
      <c r="BI52" s="2372"/>
      <c r="BJ52" s="2373"/>
      <c r="BL52" s="1901"/>
    </row>
    <row r="53" spans="1:64" ht="13.9" customHeight="1" x14ac:dyDescent="0.25">
      <c r="A53" s="1916">
        <f>Chem!A53</f>
        <v>51</v>
      </c>
      <c r="B53" s="1880" t="str">
        <f>Chem!B53</f>
        <v>Acenaphthene</v>
      </c>
      <c r="C53" s="394" t="str">
        <f>Param!AK53</f>
        <v>no</v>
      </c>
      <c r="D53" s="317" t="str">
        <f>IF(ISNUMBER(Param!AN53),Param!AN53,Param!AM53)</f>
        <v>na</v>
      </c>
      <c r="E53" s="273" t="s">
        <v>232</v>
      </c>
      <c r="F53" s="643">
        <v>5.0000000000000001E-3</v>
      </c>
      <c r="G53" s="550">
        <v>16</v>
      </c>
      <c r="H53" s="550">
        <v>0.5</v>
      </c>
      <c r="I53" s="273">
        <v>57</v>
      </c>
      <c r="J53" s="273">
        <v>0.5</v>
      </c>
      <c r="K53" s="219" t="str">
        <f>IF(C53="YES",'SD-Eq'!V53,"na")</f>
        <v>na</v>
      </c>
      <c r="L53" s="273" t="str">
        <f>IF(C53="YES",'SD-Eq'!Z53,"na")</f>
        <v>na</v>
      </c>
      <c r="M53" s="435" t="str">
        <f t="shared" ref="M53:M77" si="116">IF($C53="YES",IF(OR(ISNUMBER($D53),ISNUMBER($F53)),MAX($D53,$F53),"PQL"),"na")</f>
        <v>na</v>
      </c>
      <c r="N53" s="273" t="str">
        <f t="shared" ref="N53:N77" si="117">IF($C53="YES",IF(OR(ISNUMBER($D53),ISNUMBER($E53),ISNUMBER($F53)),MAX($D53:$F53),"PQL"),"na")</f>
        <v>na</v>
      </c>
      <c r="O53" s="1794">
        <f t="shared" ref="O53:O77" si="118">IF(OR(ISNUMBER(H53),ISNUMBER(K53),ISNUMBER(M53)),MIN(H53,K53,M53),"na")</f>
        <v>0.5</v>
      </c>
      <c r="P53" s="1789">
        <f t="shared" ref="P53:P77" si="119">IF(OR(ISNUMBER(J53),ISNUMBER(L53),ISNUMBER(N53)),MIN(J53,L53,N53),"na")</f>
        <v>0.5</v>
      </c>
      <c r="Q53" s="418" t="s">
        <v>232</v>
      </c>
      <c r="R53" s="418" t="s">
        <v>232</v>
      </c>
      <c r="S53" s="418" t="s">
        <v>232</v>
      </c>
      <c r="T53" s="418" t="s">
        <v>232</v>
      </c>
      <c r="U53" s="418" t="s">
        <v>232</v>
      </c>
      <c r="V53" s="418">
        <v>16</v>
      </c>
      <c r="W53" s="418">
        <f t="shared" ref="W53:W77" si="120">IF(ISNUMBER(V53),H53,"na")</f>
        <v>0.5</v>
      </c>
      <c r="X53" s="418" t="s">
        <v>232</v>
      </c>
      <c r="Y53" s="1884" t="str">
        <f t="shared" ref="Y53:Y77" si="121">IF(OR(ISNUMBER(Q53),ISNUMBER(R53),ISNUMBER(S53),ISNUMBER(T53),ISNUMBER(X53)),MIN(Q53:T53,X53),"na")</f>
        <v>na</v>
      </c>
      <c r="Z53" s="1886">
        <f t="shared" ref="Z53:Z77" si="122">IF(OR(ISNUMBER(U53),ISNUMBER(W53),ISNUMBER(Y53)),MIN(U53,W53,Y53),O53)</f>
        <v>0.5</v>
      </c>
      <c r="AA53" s="1887">
        <f>$H53</f>
        <v>0.5</v>
      </c>
      <c r="AB53" s="1887">
        <f>$H53</f>
        <v>0.5</v>
      </c>
      <c r="AC53" s="1887">
        <f>2*$H53</f>
        <v>1</v>
      </c>
      <c r="AD53" s="1887">
        <f>6*$H53</f>
        <v>3</v>
      </c>
      <c r="AE53" s="298" t="s">
        <v>232</v>
      </c>
      <c r="AF53" s="298" t="s">
        <v>232</v>
      </c>
      <c r="AG53" s="1887">
        <f>$H53</f>
        <v>0.5</v>
      </c>
      <c r="AH53" s="1887">
        <f>$H53</f>
        <v>0.5</v>
      </c>
      <c r="AI53" s="1887">
        <f>2*$H53</f>
        <v>1</v>
      </c>
      <c r="AJ53" s="1887">
        <f>6*$H53</f>
        <v>3</v>
      </c>
      <c r="AK53" s="298" t="s">
        <v>232</v>
      </c>
      <c r="AL53" s="298" t="s">
        <v>232</v>
      </c>
      <c r="AM53" s="1887">
        <f>$H53</f>
        <v>0.5</v>
      </c>
      <c r="AN53" s="298">
        <f t="shared" ref="AN53:AN77" si="123">IF(MIN(AA53,AB53)=0,"na",MIN(AA53,AB53))</f>
        <v>0.5</v>
      </c>
      <c r="AO53" s="298">
        <f t="shared" ref="AO53:AO77" si="124">IF(MIN(AC53:AF53)=0,"na",MIN(AC53:AF53))</f>
        <v>1</v>
      </c>
      <c r="AP53" s="298">
        <f t="shared" ref="AP53:AP77" si="125">IF(MIN(AG53,AH53)=0,"na",MIN(AG53,AH53))</f>
        <v>0.5</v>
      </c>
      <c r="AQ53" s="298">
        <f t="shared" ref="AQ53:AQ77" si="126">IF(MIN(AI53:AL53)=0,"na",MIN(AI53:AL53))</f>
        <v>1</v>
      </c>
      <c r="AR53" s="1887">
        <f t="shared" ref="AR53:AR77" si="127">IF(MIN(AA53:AM53)=0,"na",MIN(AA53:AM53))</f>
        <v>0.5</v>
      </c>
      <c r="AS53" s="1793"/>
      <c r="AU53" s="1331" t="str">
        <f t="shared" ref="AU53:AU77" si="128">IF($O53="na","",IF($O53=D53,"X",""))</f>
        <v/>
      </c>
      <c r="AV53" s="1111" t="str">
        <f t="shared" ref="AV53:AV77" si="129">IF(OR($O53="PQL",AND(ISNUMBER($F53),$O53=F53)),"X","")</f>
        <v/>
      </c>
      <c r="AW53" s="1111" t="str">
        <f t="shared" ref="AW53:AW77" si="130">IF($O53="na","",IF($O53=H53,"X",""))</f>
        <v>X</v>
      </c>
      <c r="AX53" s="1111" t="str">
        <f t="shared" ref="AX53:AX77" si="131">IF($O53="na","",IF($O53=$K53,"X",""))</f>
        <v/>
      </c>
      <c r="AY53" s="1110" t="str">
        <f t="shared" ref="AY53:AY77" si="132">IF($P53="na","",IF($P53=E53,"X",""))</f>
        <v/>
      </c>
      <c r="AZ53" s="1111" t="str">
        <f t="shared" ref="AZ53:AZ77" si="133">IF(OR($P53="PQL",AND(ISNUMBER($F53),$P53=F53)),"X","")</f>
        <v/>
      </c>
      <c r="BA53" s="1111" t="str">
        <f t="shared" ref="BA53:BA77" si="134">IF($P53="na","",IF($P53=J53,"X",""))</f>
        <v>X</v>
      </c>
      <c r="BB53" s="1703" t="str">
        <f t="shared" ref="BB53:BB77" si="135">IF($P53="na","",IF($P53=$L53,"X",""))</f>
        <v/>
      </c>
      <c r="BC53" s="1468" t="str">
        <f t="shared" ref="BC53:BC77" si="136">IF($Z53="na","",IF($Z53=D53,"X",""))</f>
        <v/>
      </c>
      <c r="BD53" s="1469" t="str">
        <f t="shared" ref="BD53:BD77" si="137">IF($Z53="na","",IF($Z53=F53,"X",""))</f>
        <v/>
      </c>
      <c r="BE53" s="1469" t="str">
        <f t="shared" ref="BE53:BE77" si="138">IF($Z53="na","",IF($Z53=H53,"X",""))</f>
        <v>X</v>
      </c>
      <c r="BF53" s="1469" t="str">
        <f t="shared" ref="BF53:BF77" si="139">IF($Z53="na","",IF($Z53=K53,"X",""))</f>
        <v/>
      </c>
      <c r="BG53" s="1469" t="str">
        <f t="shared" ref="BG53:BG77" si="140">IF($Z53="na","",IF($Z53=Q53,"X",""))</f>
        <v/>
      </c>
      <c r="BH53" s="1469" t="str">
        <f t="shared" ref="BH53:BH77" si="141">IF($Z53="na","",IF(OR($Z53=R53,$Z53=S53,$Z53=T53),"X",""))</f>
        <v/>
      </c>
      <c r="BI53" s="1469" t="str">
        <f t="shared" ref="BI53:BI77" si="142">IF($Z53="na","",IF(OR($Z53=U53,$Z53=W53),"X",""))</f>
        <v>X</v>
      </c>
      <c r="BJ53" s="1470" t="str">
        <f t="shared" ref="BJ53:BJ77" si="143">IF($Z53="na","",IF($Z53=X53,"X",""))</f>
        <v/>
      </c>
      <c r="BL53" s="1885"/>
    </row>
    <row r="54" spans="1:64" ht="13.9" customHeight="1" x14ac:dyDescent="0.25">
      <c r="A54" s="1917">
        <f>Chem!A54</f>
        <v>52</v>
      </c>
      <c r="B54" s="1880" t="str">
        <f>Chem!B54</f>
        <v>Acenaphthylene</v>
      </c>
      <c r="C54" s="394" t="str">
        <f>Param!AK54</f>
        <v>no</v>
      </c>
      <c r="D54" s="317" t="str">
        <f>IF(ISNUMBER(Param!AN54),Param!AN54,Param!AM54)</f>
        <v>na</v>
      </c>
      <c r="E54" s="273" t="s">
        <v>232</v>
      </c>
      <c r="F54" s="643">
        <v>5.0000000000000001E-3</v>
      </c>
      <c r="G54" s="550">
        <v>66</v>
      </c>
      <c r="H54" s="550">
        <v>1.3</v>
      </c>
      <c r="I54" s="273">
        <v>66</v>
      </c>
      <c r="J54" s="273">
        <v>1.3</v>
      </c>
      <c r="K54" s="219" t="str">
        <f>IF(C54="YES",'SD-Eq'!V54,"na")</f>
        <v>na</v>
      </c>
      <c r="L54" s="273" t="str">
        <f>IF(C54="YES",'SD-Eq'!Z54,"na")</f>
        <v>na</v>
      </c>
      <c r="M54" s="435" t="str">
        <f t="shared" si="116"/>
        <v>na</v>
      </c>
      <c r="N54" s="273" t="str">
        <f t="shared" si="117"/>
        <v>na</v>
      </c>
      <c r="O54" s="1794">
        <f t="shared" si="118"/>
        <v>1.3</v>
      </c>
      <c r="P54" s="1789">
        <f t="shared" si="119"/>
        <v>1.3</v>
      </c>
      <c r="Q54" s="418" t="s">
        <v>232</v>
      </c>
      <c r="R54" s="418" t="s">
        <v>232</v>
      </c>
      <c r="S54" s="418" t="s">
        <v>232</v>
      </c>
      <c r="T54" s="418" t="s">
        <v>232</v>
      </c>
      <c r="U54" s="418" t="s">
        <v>232</v>
      </c>
      <c r="V54" s="418" t="s">
        <v>232</v>
      </c>
      <c r="W54" s="418" t="str">
        <f t="shared" si="120"/>
        <v>na</v>
      </c>
      <c r="X54" s="418" t="s">
        <v>232</v>
      </c>
      <c r="Y54" s="1884" t="str">
        <f t="shared" si="121"/>
        <v>na</v>
      </c>
      <c r="Z54" s="1884">
        <f t="shared" si="122"/>
        <v>1.3</v>
      </c>
      <c r="AA54" s="1789" t="s">
        <v>232</v>
      </c>
      <c r="AB54" s="1789" t="s">
        <v>232</v>
      </c>
      <c r="AC54" s="273" t="s">
        <v>232</v>
      </c>
      <c r="AD54" s="273" t="s">
        <v>232</v>
      </c>
      <c r="AE54" s="273" t="s">
        <v>232</v>
      </c>
      <c r="AF54" s="273" t="s">
        <v>232</v>
      </c>
      <c r="AG54" s="1789" t="s">
        <v>232</v>
      </c>
      <c r="AH54" s="1789" t="s">
        <v>232</v>
      </c>
      <c r="AI54" s="273" t="s">
        <v>232</v>
      </c>
      <c r="AJ54" s="273" t="s">
        <v>232</v>
      </c>
      <c r="AK54" s="273" t="s">
        <v>232</v>
      </c>
      <c r="AL54" s="273" t="s">
        <v>232</v>
      </c>
      <c r="AM54" s="1789" t="s">
        <v>232</v>
      </c>
      <c r="AN54" s="273" t="str">
        <f t="shared" si="123"/>
        <v>na</v>
      </c>
      <c r="AO54" s="273" t="str">
        <f t="shared" si="124"/>
        <v>na</v>
      </c>
      <c r="AP54" s="273" t="str">
        <f t="shared" si="125"/>
        <v>na</v>
      </c>
      <c r="AQ54" s="273" t="str">
        <f t="shared" si="126"/>
        <v>na</v>
      </c>
      <c r="AR54" s="1789" t="str">
        <f t="shared" si="127"/>
        <v>na</v>
      </c>
      <c r="AS54" s="1051"/>
      <c r="AU54" s="1332" t="str">
        <f t="shared" si="128"/>
        <v/>
      </c>
      <c r="AV54" s="1114" t="str">
        <f t="shared" si="129"/>
        <v/>
      </c>
      <c r="AW54" s="1114" t="str">
        <f t="shared" si="130"/>
        <v>X</v>
      </c>
      <c r="AX54" s="1114" t="str">
        <f t="shared" si="131"/>
        <v/>
      </c>
      <c r="AY54" s="1113" t="str">
        <f t="shared" si="132"/>
        <v/>
      </c>
      <c r="AZ54" s="1114" t="str">
        <f t="shared" si="133"/>
        <v/>
      </c>
      <c r="BA54" s="1114" t="str">
        <f t="shared" si="134"/>
        <v>X</v>
      </c>
      <c r="BB54" s="1704" t="str">
        <f t="shared" si="135"/>
        <v/>
      </c>
      <c r="BC54" s="1113" t="str">
        <f t="shared" si="136"/>
        <v/>
      </c>
      <c r="BD54" s="1114" t="str">
        <f t="shared" si="137"/>
        <v/>
      </c>
      <c r="BE54" s="1114" t="str">
        <f t="shared" si="138"/>
        <v>X</v>
      </c>
      <c r="BF54" s="1114" t="str">
        <f t="shared" si="139"/>
        <v/>
      </c>
      <c r="BG54" s="1114" t="str">
        <f t="shared" si="140"/>
        <v/>
      </c>
      <c r="BH54" s="1114" t="str">
        <f t="shared" si="141"/>
        <v/>
      </c>
      <c r="BI54" s="1114" t="str">
        <f t="shared" si="142"/>
        <v/>
      </c>
      <c r="BJ54" s="1115" t="str">
        <f t="shared" si="143"/>
        <v/>
      </c>
      <c r="BL54" s="1885"/>
    </row>
    <row r="55" spans="1:64" ht="13.9" customHeight="1" x14ac:dyDescent="0.25">
      <c r="A55" s="1917">
        <f>Chem!A55</f>
        <v>53</v>
      </c>
      <c r="B55" s="1880" t="str">
        <f>Chem!B55</f>
        <v>Anthracene</v>
      </c>
      <c r="C55" s="394" t="str">
        <f>Param!AK55</f>
        <v>no</v>
      </c>
      <c r="D55" s="317" t="str">
        <f>IF(ISNUMBER(Param!AN55),Param!AN55,Param!AM55)</f>
        <v>na</v>
      </c>
      <c r="E55" s="273" t="s">
        <v>232</v>
      </c>
      <c r="F55" s="643">
        <v>5.0000000000000001E-3</v>
      </c>
      <c r="G55" s="550">
        <v>220</v>
      </c>
      <c r="H55" s="550">
        <v>0.96</v>
      </c>
      <c r="I55" s="273">
        <v>1200</v>
      </c>
      <c r="J55" s="273">
        <v>0.96</v>
      </c>
      <c r="K55" s="219" t="str">
        <f>IF(C55="YES",'SD-Eq'!V55,"na")</f>
        <v>na</v>
      </c>
      <c r="L55" s="273" t="str">
        <f>IF(C55="YES",'SD-Eq'!Z55,"na")</f>
        <v>na</v>
      </c>
      <c r="M55" s="435" t="str">
        <f t="shared" si="116"/>
        <v>na</v>
      </c>
      <c r="N55" s="273" t="str">
        <f t="shared" si="117"/>
        <v>na</v>
      </c>
      <c r="O55" s="1794">
        <f t="shared" si="118"/>
        <v>0.96</v>
      </c>
      <c r="P55" s="1789">
        <f t="shared" si="119"/>
        <v>0.96</v>
      </c>
      <c r="Q55" s="418" t="s">
        <v>232</v>
      </c>
      <c r="R55" s="418" t="s">
        <v>232</v>
      </c>
      <c r="S55" s="418" t="s">
        <v>232</v>
      </c>
      <c r="T55" s="418" t="s">
        <v>232</v>
      </c>
      <c r="U55" s="418" t="s">
        <v>232</v>
      </c>
      <c r="V55" s="418">
        <v>220</v>
      </c>
      <c r="W55" s="418">
        <f t="shared" si="120"/>
        <v>0.96</v>
      </c>
      <c r="X55" s="418" t="s">
        <v>232</v>
      </c>
      <c r="Y55" s="1884" t="str">
        <f t="shared" si="121"/>
        <v>na</v>
      </c>
      <c r="Z55" s="1886">
        <f t="shared" si="122"/>
        <v>0.96</v>
      </c>
      <c r="AA55" s="1887">
        <f t="shared" ref="AA55:AB56" si="144">$H55</f>
        <v>0.96</v>
      </c>
      <c r="AB55" s="1887">
        <f t="shared" si="144"/>
        <v>0.96</v>
      </c>
      <c r="AC55" s="1887">
        <f t="shared" ref="AC55:AC56" si="145">2*$H55</f>
        <v>1.92</v>
      </c>
      <c r="AD55" s="1887">
        <f t="shared" ref="AD55:AD56" si="146">6*$H55</f>
        <v>5.76</v>
      </c>
      <c r="AE55" s="298" t="s">
        <v>232</v>
      </c>
      <c r="AF55" s="298" t="s">
        <v>232</v>
      </c>
      <c r="AG55" s="1887">
        <f t="shared" ref="AG55:AH56" si="147">$H55</f>
        <v>0.96</v>
      </c>
      <c r="AH55" s="1887">
        <f t="shared" si="147"/>
        <v>0.96</v>
      </c>
      <c r="AI55" s="1887">
        <f t="shared" ref="AI55:AI56" si="148">2*$H55</f>
        <v>1.92</v>
      </c>
      <c r="AJ55" s="1887">
        <f t="shared" ref="AJ55:AJ56" si="149">6*$H55</f>
        <v>5.76</v>
      </c>
      <c r="AK55" s="298" t="s">
        <v>232</v>
      </c>
      <c r="AL55" s="298" t="s">
        <v>232</v>
      </c>
      <c r="AM55" s="1887">
        <f t="shared" ref="AM55:AM56" si="150">$H55</f>
        <v>0.96</v>
      </c>
      <c r="AN55" s="298">
        <f t="shared" si="123"/>
        <v>0.96</v>
      </c>
      <c r="AO55" s="298">
        <f t="shared" si="124"/>
        <v>1.92</v>
      </c>
      <c r="AP55" s="298">
        <f t="shared" si="125"/>
        <v>0.96</v>
      </c>
      <c r="AQ55" s="298">
        <f t="shared" si="126"/>
        <v>1.92</v>
      </c>
      <c r="AR55" s="1887">
        <f t="shared" si="127"/>
        <v>0.96</v>
      </c>
      <c r="AS55" s="1051"/>
      <c r="AU55" s="1332" t="str">
        <f t="shared" si="128"/>
        <v/>
      </c>
      <c r="AV55" s="1114" t="str">
        <f t="shared" si="129"/>
        <v/>
      </c>
      <c r="AW55" s="1114" t="str">
        <f t="shared" si="130"/>
        <v>X</v>
      </c>
      <c r="AX55" s="1114" t="str">
        <f t="shared" si="131"/>
        <v/>
      </c>
      <c r="AY55" s="1113" t="str">
        <f t="shared" si="132"/>
        <v/>
      </c>
      <c r="AZ55" s="1114" t="str">
        <f t="shared" si="133"/>
        <v/>
      </c>
      <c r="BA55" s="1114" t="str">
        <f t="shared" si="134"/>
        <v>X</v>
      </c>
      <c r="BB55" s="1704" t="str">
        <f t="shared" si="135"/>
        <v/>
      </c>
      <c r="BC55" s="1113" t="str">
        <f t="shared" si="136"/>
        <v/>
      </c>
      <c r="BD55" s="1114" t="str">
        <f t="shared" si="137"/>
        <v/>
      </c>
      <c r="BE55" s="1114" t="str">
        <f t="shared" si="138"/>
        <v>X</v>
      </c>
      <c r="BF55" s="1114" t="str">
        <f t="shared" si="139"/>
        <v/>
      </c>
      <c r="BG55" s="1114" t="str">
        <f t="shared" si="140"/>
        <v/>
      </c>
      <c r="BH55" s="1114" t="str">
        <f t="shared" si="141"/>
        <v/>
      </c>
      <c r="BI55" s="1114" t="str">
        <f t="shared" si="142"/>
        <v>X</v>
      </c>
      <c r="BJ55" s="1115" t="str">
        <f t="shared" si="143"/>
        <v/>
      </c>
      <c r="BL55" s="1885"/>
    </row>
    <row r="56" spans="1:64" ht="13.9" customHeight="1" x14ac:dyDescent="0.25">
      <c r="A56" s="1917">
        <f>Chem!A56</f>
        <v>54</v>
      </c>
      <c r="B56" s="1880" t="str">
        <f>Chem!B56</f>
        <v>Benzo(a)anthracene</v>
      </c>
      <c r="C56" s="394" t="str">
        <f>Param!AK56</f>
        <v>no</v>
      </c>
      <c r="D56" s="317" t="str">
        <f>IF(ISNUMBER(Param!AN56),Param!AN56,Param!AM56)</f>
        <v>na</v>
      </c>
      <c r="E56" s="273" t="s">
        <v>232</v>
      </c>
      <c r="F56" s="643">
        <v>8.9999999999999993E-3</v>
      </c>
      <c r="G56" s="550">
        <v>110</v>
      </c>
      <c r="H56" s="550">
        <v>1.3</v>
      </c>
      <c r="I56" s="273">
        <v>270</v>
      </c>
      <c r="J56" s="273">
        <v>1.6</v>
      </c>
      <c r="K56" s="219" t="str">
        <f>IF(C56="YES",'SD-Eq'!V56,"na")</f>
        <v>na</v>
      </c>
      <c r="L56" s="273" t="str">
        <f>IF(C56="YES",'SD-Eq'!Z56,"na")</f>
        <v>na</v>
      </c>
      <c r="M56" s="435" t="str">
        <f t="shared" si="116"/>
        <v>na</v>
      </c>
      <c r="N56" s="273" t="str">
        <f t="shared" si="117"/>
        <v>na</v>
      </c>
      <c r="O56" s="1794">
        <f t="shared" si="118"/>
        <v>1.3</v>
      </c>
      <c r="P56" s="1789">
        <f t="shared" si="119"/>
        <v>1.6</v>
      </c>
      <c r="Q56" s="418" t="s">
        <v>232</v>
      </c>
      <c r="R56" s="418" t="s">
        <v>232</v>
      </c>
      <c r="S56" s="418" t="s">
        <v>232</v>
      </c>
      <c r="T56" s="418" t="s">
        <v>232</v>
      </c>
      <c r="U56" s="418" t="s">
        <v>232</v>
      </c>
      <c r="V56" s="418">
        <v>110</v>
      </c>
      <c r="W56" s="418">
        <f t="shared" si="120"/>
        <v>1.3</v>
      </c>
      <c r="X56" s="418" t="s">
        <v>232</v>
      </c>
      <c r="Y56" s="1884" t="str">
        <f t="shared" si="121"/>
        <v>na</v>
      </c>
      <c r="Z56" s="1886">
        <f t="shared" si="122"/>
        <v>1.3</v>
      </c>
      <c r="AA56" s="1887">
        <f t="shared" si="144"/>
        <v>1.3</v>
      </c>
      <c r="AB56" s="1887">
        <f t="shared" si="144"/>
        <v>1.3</v>
      </c>
      <c r="AC56" s="1887">
        <f t="shared" si="145"/>
        <v>2.6</v>
      </c>
      <c r="AD56" s="1887">
        <f t="shared" si="146"/>
        <v>7.8000000000000007</v>
      </c>
      <c r="AE56" s="298" t="s">
        <v>232</v>
      </c>
      <c r="AF56" s="298" t="s">
        <v>232</v>
      </c>
      <c r="AG56" s="1887">
        <f t="shared" si="147"/>
        <v>1.3</v>
      </c>
      <c r="AH56" s="1887">
        <f t="shared" si="147"/>
        <v>1.3</v>
      </c>
      <c r="AI56" s="1887">
        <f t="shared" si="148"/>
        <v>2.6</v>
      </c>
      <c r="AJ56" s="1887">
        <f t="shared" si="149"/>
        <v>7.8000000000000007</v>
      </c>
      <c r="AK56" s="298" t="s">
        <v>232</v>
      </c>
      <c r="AL56" s="298" t="s">
        <v>232</v>
      </c>
      <c r="AM56" s="1887">
        <f t="shared" si="150"/>
        <v>1.3</v>
      </c>
      <c r="AN56" s="298">
        <f t="shared" si="123"/>
        <v>1.3</v>
      </c>
      <c r="AO56" s="298">
        <f t="shared" si="124"/>
        <v>2.6</v>
      </c>
      <c r="AP56" s="298">
        <f t="shared" si="125"/>
        <v>1.3</v>
      </c>
      <c r="AQ56" s="298">
        <f t="shared" si="126"/>
        <v>2.6</v>
      </c>
      <c r="AR56" s="1887">
        <f t="shared" si="127"/>
        <v>1.3</v>
      </c>
      <c r="AS56" s="1051"/>
      <c r="AU56" s="1332" t="str">
        <f t="shared" si="128"/>
        <v/>
      </c>
      <c r="AV56" s="1114" t="str">
        <f t="shared" si="129"/>
        <v/>
      </c>
      <c r="AW56" s="1114" t="str">
        <f t="shared" si="130"/>
        <v>X</v>
      </c>
      <c r="AX56" s="1114" t="str">
        <f t="shared" si="131"/>
        <v/>
      </c>
      <c r="AY56" s="1113" t="str">
        <f t="shared" si="132"/>
        <v/>
      </c>
      <c r="AZ56" s="1114" t="str">
        <f t="shared" si="133"/>
        <v/>
      </c>
      <c r="BA56" s="1114" t="str">
        <f t="shared" si="134"/>
        <v>X</v>
      </c>
      <c r="BB56" s="1704" t="str">
        <f t="shared" si="135"/>
        <v/>
      </c>
      <c r="BC56" s="1113" t="str">
        <f t="shared" si="136"/>
        <v/>
      </c>
      <c r="BD56" s="1114" t="str">
        <f t="shared" si="137"/>
        <v/>
      </c>
      <c r="BE56" s="1114" t="str">
        <f t="shared" si="138"/>
        <v>X</v>
      </c>
      <c r="BF56" s="1114" t="str">
        <f t="shared" si="139"/>
        <v/>
      </c>
      <c r="BG56" s="1114" t="str">
        <f t="shared" si="140"/>
        <v/>
      </c>
      <c r="BH56" s="1114" t="str">
        <f t="shared" si="141"/>
        <v/>
      </c>
      <c r="BI56" s="1114" t="str">
        <f t="shared" si="142"/>
        <v>X</v>
      </c>
      <c r="BJ56" s="1115" t="str">
        <f t="shared" si="143"/>
        <v/>
      </c>
      <c r="BL56" s="1885"/>
    </row>
    <row r="57" spans="1:64" ht="13.9" customHeight="1" x14ac:dyDescent="0.25">
      <c r="A57" s="1917">
        <f>Chem!A57</f>
        <v>55</v>
      </c>
      <c r="B57" s="1880" t="str">
        <f>Chem!B57</f>
        <v>Benzo(b)fluoranthene</v>
      </c>
      <c r="C57" s="394" t="str">
        <f>Param!AK57</f>
        <v>no</v>
      </c>
      <c r="D57" s="317" t="str">
        <f>IF(ISNUMBER(Param!AN57),Param!AN57,Param!AM57)</f>
        <v>na</v>
      </c>
      <c r="E57" s="273" t="s">
        <v>232</v>
      </c>
      <c r="F57" s="643">
        <v>8.9999999999999993E-3</v>
      </c>
      <c r="G57" s="550" t="s">
        <v>232</v>
      </c>
      <c r="H57" s="550" t="s">
        <v>232</v>
      </c>
      <c r="I57" s="273" t="s">
        <v>232</v>
      </c>
      <c r="J57" s="273" t="s">
        <v>232</v>
      </c>
      <c r="K57" s="219" t="str">
        <f>IF(C57="YES",'SD-Eq'!V57,"na")</f>
        <v>na</v>
      </c>
      <c r="L57" s="273" t="str">
        <f>IF(C57="YES",'SD-Eq'!Z57,"na")</f>
        <v>na</v>
      </c>
      <c r="M57" s="435" t="str">
        <f t="shared" si="116"/>
        <v>na</v>
      </c>
      <c r="N57" s="273" t="str">
        <f t="shared" si="117"/>
        <v>na</v>
      </c>
      <c r="O57" s="1794" t="str">
        <f t="shared" si="118"/>
        <v>na</v>
      </c>
      <c r="P57" s="1789" t="str">
        <f t="shared" si="119"/>
        <v>na</v>
      </c>
      <c r="Q57" s="418" t="s">
        <v>232</v>
      </c>
      <c r="R57" s="418" t="s">
        <v>232</v>
      </c>
      <c r="S57" s="418" t="s">
        <v>232</v>
      </c>
      <c r="T57" s="418" t="s">
        <v>232</v>
      </c>
      <c r="U57" s="418" t="s">
        <v>232</v>
      </c>
      <c r="V57" s="418" t="s">
        <v>232</v>
      </c>
      <c r="W57" s="418" t="str">
        <f t="shared" si="120"/>
        <v>na</v>
      </c>
      <c r="X57" s="418" t="s">
        <v>232</v>
      </c>
      <c r="Y57" s="1884" t="str">
        <f t="shared" si="121"/>
        <v>na</v>
      </c>
      <c r="Z57" s="1884" t="str">
        <f t="shared" si="122"/>
        <v>na</v>
      </c>
      <c r="AA57" s="1789" t="s">
        <v>232</v>
      </c>
      <c r="AB57" s="1789" t="s">
        <v>232</v>
      </c>
      <c r="AC57" s="273" t="s">
        <v>232</v>
      </c>
      <c r="AD57" s="273" t="s">
        <v>232</v>
      </c>
      <c r="AE57" s="273" t="s">
        <v>232</v>
      </c>
      <c r="AF57" s="273" t="s">
        <v>232</v>
      </c>
      <c r="AG57" s="1789" t="s">
        <v>232</v>
      </c>
      <c r="AH57" s="1789" t="s">
        <v>232</v>
      </c>
      <c r="AI57" s="273" t="s">
        <v>232</v>
      </c>
      <c r="AJ57" s="273" t="s">
        <v>232</v>
      </c>
      <c r="AK57" s="273" t="s">
        <v>232</v>
      </c>
      <c r="AL57" s="273" t="s">
        <v>232</v>
      </c>
      <c r="AM57" s="1789" t="s">
        <v>232</v>
      </c>
      <c r="AN57" s="273" t="str">
        <f t="shared" si="123"/>
        <v>na</v>
      </c>
      <c r="AO57" s="273" t="str">
        <f t="shared" si="124"/>
        <v>na</v>
      </c>
      <c r="AP57" s="273" t="str">
        <f t="shared" si="125"/>
        <v>na</v>
      </c>
      <c r="AQ57" s="273" t="str">
        <f t="shared" si="126"/>
        <v>na</v>
      </c>
      <c r="AR57" s="1789" t="str">
        <f t="shared" si="127"/>
        <v>na</v>
      </c>
      <c r="AS57" s="1051"/>
      <c r="AU57" s="1332" t="str">
        <f t="shared" si="128"/>
        <v/>
      </c>
      <c r="AV57" s="1114" t="str">
        <f t="shared" si="129"/>
        <v/>
      </c>
      <c r="AW57" s="1114" t="str">
        <f t="shared" si="130"/>
        <v/>
      </c>
      <c r="AX57" s="1114" t="str">
        <f t="shared" si="131"/>
        <v/>
      </c>
      <c r="AY57" s="1113" t="str">
        <f t="shared" si="132"/>
        <v/>
      </c>
      <c r="AZ57" s="1114" t="str">
        <f t="shared" si="133"/>
        <v/>
      </c>
      <c r="BA57" s="1114" t="str">
        <f t="shared" si="134"/>
        <v/>
      </c>
      <c r="BB57" s="1704" t="str">
        <f t="shared" si="135"/>
        <v/>
      </c>
      <c r="BC57" s="1113" t="str">
        <f t="shared" si="136"/>
        <v/>
      </c>
      <c r="BD57" s="1114" t="str">
        <f t="shared" si="137"/>
        <v/>
      </c>
      <c r="BE57" s="1114" t="str">
        <f t="shared" si="138"/>
        <v/>
      </c>
      <c r="BF57" s="1114" t="str">
        <f t="shared" si="139"/>
        <v/>
      </c>
      <c r="BG57" s="1114" t="str">
        <f t="shared" si="140"/>
        <v/>
      </c>
      <c r="BH57" s="1114" t="str">
        <f t="shared" si="141"/>
        <v/>
      </c>
      <c r="BI57" s="1114" t="str">
        <f t="shared" si="142"/>
        <v/>
      </c>
      <c r="BJ57" s="1115" t="str">
        <f t="shared" si="143"/>
        <v/>
      </c>
      <c r="BL57" s="1885"/>
    </row>
    <row r="58" spans="1:64" ht="13.9" customHeight="1" x14ac:dyDescent="0.25">
      <c r="A58" s="1917">
        <f>Chem!A58</f>
        <v>56</v>
      </c>
      <c r="B58" s="1880" t="str">
        <f>Chem!B58</f>
        <v>Benzo(k)fluoranthene</v>
      </c>
      <c r="C58" s="394" t="str">
        <f>Param!AK58</f>
        <v>no</v>
      </c>
      <c r="D58" s="317" t="str">
        <f>IF(ISNUMBER(Param!AN58),Param!AN58,Param!AM58)</f>
        <v>na</v>
      </c>
      <c r="E58" s="273" t="s">
        <v>232</v>
      </c>
      <c r="F58" s="643">
        <v>8.9999999999999993E-3</v>
      </c>
      <c r="G58" s="550" t="s">
        <v>232</v>
      </c>
      <c r="H58" s="550" t="s">
        <v>232</v>
      </c>
      <c r="I58" s="273" t="s">
        <v>232</v>
      </c>
      <c r="J58" s="273" t="s">
        <v>232</v>
      </c>
      <c r="K58" s="219" t="str">
        <f>IF(C58="YES",'SD-Eq'!V58,"na")</f>
        <v>na</v>
      </c>
      <c r="L58" s="273" t="str">
        <f>IF(C58="YES",'SD-Eq'!Z58,"na")</f>
        <v>na</v>
      </c>
      <c r="M58" s="435" t="str">
        <f t="shared" si="116"/>
        <v>na</v>
      </c>
      <c r="N58" s="273" t="str">
        <f t="shared" si="117"/>
        <v>na</v>
      </c>
      <c r="O58" s="1794" t="str">
        <f t="shared" si="118"/>
        <v>na</v>
      </c>
      <c r="P58" s="1789" t="str">
        <f t="shared" si="119"/>
        <v>na</v>
      </c>
      <c r="Q58" s="418" t="s">
        <v>232</v>
      </c>
      <c r="R58" s="418" t="s">
        <v>232</v>
      </c>
      <c r="S58" s="418" t="s">
        <v>232</v>
      </c>
      <c r="T58" s="418" t="s">
        <v>232</v>
      </c>
      <c r="U58" s="418" t="s">
        <v>232</v>
      </c>
      <c r="V58" s="418" t="s">
        <v>232</v>
      </c>
      <c r="W58" s="418" t="str">
        <f t="shared" si="120"/>
        <v>na</v>
      </c>
      <c r="X58" s="418" t="s">
        <v>232</v>
      </c>
      <c r="Y58" s="1884" t="str">
        <f t="shared" si="121"/>
        <v>na</v>
      </c>
      <c r="Z58" s="1884" t="str">
        <f t="shared" si="122"/>
        <v>na</v>
      </c>
      <c r="AA58" s="1789" t="s">
        <v>232</v>
      </c>
      <c r="AB58" s="1789" t="s">
        <v>232</v>
      </c>
      <c r="AC58" s="273" t="s">
        <v>232</v>
      </c>
      <c r="AD58" s="273" t="s">
        <v>232</v>
      </c>
      <c r="AE58" s="273" t="s">
        <v>232</v>
      </c>
      <c r="AF58" s="273" t="s">
        <v>232</v>
      </c>
      <c r="AG58" s="1789" t="s">
        <v>232</v>
      </c>
      <c r="AH58" s="1789" t="s">
        <v>232</v>
      </c>
      <c r="AI58" s="273" t="s">
        <v>232</v>
      </c>
      <c r="AJ58" s="273" t="s">
        <v>232</v>
      </c>
      <c r="AK58" s="273" t="s">
        <v>232</v>
      </c>
      <c r="AL58" s="273" t="s">
        <v>232</v>
      </c>
      <c r="AM58" s="1789" t="s">
        <v>232</v>
      </c>
      <c r="AN58" s="273" t="str">
        <f t="shared" si="123"/>
        <v>na</v>
      </c>
      <c r="AO58" s="273" t="str">
        <f t="shared" si="124"/>
        <v>na</v>
      </c>
      <c r="AP58" s="273" t="str">
        <f t="shared" si="125"/>
        <v>na</v>
      </c>
      <c r="AQ58" s="273" t="str">
        <f t="shared" si="126"/>
        <v>na</v>
      </c>
      <c r="AR58" s="1789" t="str">
        <f t="shared" si="127"/>
        <v>na</v>
      </c>
      <c r="AS58" s="1051"/>
      <c r="AU58" s="1332" t="str">
        <f t="shared" si="128"/>
        <v/>
      </c>
      <c r="AV58" s="1114" t="str">
        <f t="shared" si="129"/>
        <v/>
      </c>
      <c r="AW58" s="1114" t="str">
        <f t="shared" si="130"/>
        <v/>
      </c>
      <c r="AX58" s="1114" t="str">
        <f t="shared" si="131"/>
        <v/>
      </c>
      <c r="AY58" s="1113" t="str">
        <f t="shared" si="132"/>
        <v/>
      </c>
      <c r="AZ58" s="1114" t="str">
        <f t="shared" si="133"/>
        <v/>
      </c>
      <c r="BA58" s="1114" t="str">
        <f t="shared" si="134"/>
        <v/>
      </c>
      <c r="BB58" s="1704" t="str">
        <f t="shared" si="135"/>
        <v/>
      </c>
      <c r="BC58" s="1113" t="str">
        <f t="shared" si="136"/>
        <v/>
      </c>
      <c r="BD58" s="1114" t="str">
        <f t="shared" si="137"/>
        <v/>
      </c>
      <c r="BE58" s="1114" t="str">
        <f t="shared" si="138"/>
        <v/>
      </c>
      <c r="BF58" s="1114" t="str">
        <f t="shared" si="139"/>
        <v/>
      </c>
      <c r="BG58" s="1114" t="str">
        <f t="shared" si="140"/>
        <v/>
      </c>
      <c r="BH58" s="1114" t="str">
        <f t="shared" si="141"/>
        <v/>
      </c>
      <c r="BI58" s="1114" t="str">
        <f t="shared" si="142"/>
        <v/>
      </c>
      <c r="BJ58" s="1115" t="str">
        <f t="shared" si="143"/>
        <v/>
      </c>
      <c r="BL58" s="1885"/>
    </row>
    <row r="59" spans="1:64" ht="13.9" customHeight="1" x14ac:dyDescent="0.25">
      <c r="A59" s="1917">
        <f>Chem!A59</f>
        <v>57</v>
      </c>
      <c r="B59" s="1880" t="str">
        <f>Chem!B59</f>
        <v>Total benzofluoranthenes</v>
      </c>
      <c r="C59" s="394" t="str">
        <f>Param!AK59</f>
        <v>no</v>
      </c>
      <c r="D59" s="317" t="str">
        <f>IF(ISNUMBER(Param!AN59),Param!AN59,Param!AM59)</f>
        <v>na</v>
      </c>
      <c r="E59" s="273" t="s">
        <v>232</v>
      </c>
      <c r="F59" s="643">
        <v>1.2E-2</v>
      </c>
      <c r="G59" s="550">
        <v>230</v>
      </c>
      <c r="H59" s="550">
        <v>3.2</v>
      </c>
      <c r="I59" s="273">
        <v>450</v>
      </c>
      <c r="J59" s="273">
        <v>3.6</v>
      </c>
      <c r="K59" s="219" t="str">
        <f>IF(C59="YES",'SD-Eq'!V59,"na")</f>
        <v>na</v>
      </c>
      <c r="L59" s="273" t="str">
        <f>IF(C59="YES",'SD-Eq'!Z59,"na")</f>
        <v>na</v>
      </c>
      <c r="M59" s="435" t="str">
        <f t="shared" si="116"/>
        <v>na</v>
      </c>
      <c r="N59" s="273" t="str">
        <f t="shared" si="117"/>
        <v>na</v>
      </c>
      <c r="O59" s="1794">
        <f t="shared" si="118"/>
        <v>3.2</v>
      </c>
      <c r="P59" s="1789">
        <f t="shared" si="119"/>
        <v>3.6</v>
      </c>
      <c r="Q59" s="418" t="s">
        <v>232</v>
      </c>
      <c r="R59" s="418" t="s">
        <v>232</v>
      </c>
      <c r="S59" s="418" t="s">
        <v>232</v>
      </c>
      <c r="T59" s="418" t="s">
        <v>232</v>
      </c>
      <c r="U59" s="418" t="s">
        <v>232</v>
      </c>
      <c r="V59" s="418">
        <v>230</v>
      </c>
      <c r="W59" s="418">
        <f t="shared" si="120"/>
        <v>3.2</v>
      </c>
      <c r="X59" s="418" t="s">
        <v>232</v>
      </c>
      <c r="Y59" s="1884" t="str">
        <f t="shared" si="121"/>
        <v>na</v>
      </c>
      <c r="Z59" s="1886">
        <f t="shared" si="122"/>
        <v>3.2</v>
      </c>
      <c r="AA59" s="1887">
        <f t="shared" ref="AA59:AB67" si="151">$H59</f>
        <v>3.2</v>
      </c>
      <c r="AB59" s="1887">
        <f t="shared" si="151"/>
        <v>3.2</v>
      </c>
      <c r="AC59" s="1887">
        <f t="shared" ref="AC59:AC67" si="152">2*$H59</f>
        <v>6.4</v>
      </c>
      <c r="AD59" s="1887">
        <f t="shared" ref="AD59:AD67" si="153">6*$H59</f>
        <v>19.200000000000003</v>
      </c>
      <c r="AE59" s="298" t="s">
        <v>232</v>
      </c>
      <c r="AF59" s="298" t="s">
        <v>232</v>
      </c>
      <c r="AG59" s="1887">
        <f t="shared" ref="AG59:AH67" si="154">$H59</f>
        <v>3.2</v>
      </c>
      <c r="AH59" s="1887">
        <f t="shared" si="154"/>
        <v>3.2</v>
      </c>
      <c r="AI59" s="1887">
        <f t="shared" ref="AI59:AI67" si="155">2*$H59</f>
        <v>6.4</v>
      </c>
      <c r="AJ59" s="1887">
        <f t="shared" ref="AJ59:AJ67" si="156">6*$H59</f>
        <v>19.200000000000003</v>
      </c>
      <c r="AK59" s="298" t="s">
        <v>232</v>
      </c>
      <c r="AL59" s="298" t="s">
        <v>232</v>
      </c>
      <c r="AM59" s="1887">
        <f t="shared" ref="AM59:AM67" si="157">$H59</f>
        <v>3.2</v>
      </c>
      <c r="AN59" s="298">
        <f t="shared" si="123"/>
        <v>3.2</v>
      </c>
      <c r="AO59" s="298">
        <f t="shared" si="124"/>
        <v>6.4</v>
      </c>
      <c r="AP59" s="298">
        <f t="shared" si="125"/>
        <v>3.2</v>
      </c>
      <c r="AQ59" s="298">
        <f t="shared" si="126"/>
        <v>6.4</v>
      </c>
      <c r="AR59" s="1887">
        <f t="shared" si="127"/>
        <v>3.2</v>
      </c>
      <c r="AS59" s="1051"/>
      <c r="AU59" s="1332" t="str">
        <f t="shared" si="128"/>
        <v/>
      </c>
      <c r="AV59" s="1114" t="str">
        <f t="shared" si="129"/>
        <v/>
      </c>
      <c r="AW59" s="1114" t="str">
        <f t="shared" si="130"/>
        <v>X</v>
      </c>
      <c r="AX59" s="1114" t="str">
        <f t="shared" si="131"/>
        <v/>
      </c>
      <c r="AY59" s="1113" t="str">
        <f t="shared" si="132"/>
        <v/>
      </c>
      <c r="AZ59" s="1114" t="str">
        <f t="shared" si="133"/>
        <v/>
      </c>
      <c r="BA59" s="1114" t="str">
        <f t="shared" si="134"/>
        <v>X</v>
      </c>
      <c r="BB59" s="1704" t="str">
        <f t="shared" si="135"/>
        <v/>
      </c>
      <c r="BC59" s="1113" t="str">
        <f t="shared" si="136"/>
        <v/>
      </c>
      <c r="BD59" s="1114" t="str">
        <f t="shared" si="137"/>
        <v/>
      </c>
      <c r="BE59" s="1114" t="str">
        <f t="shared" si="138"/>
        <v>X</v>
      </c>
      <c r="BF59" s="1114" t="str">
        <f t="shared" si="139"/>
        <v/>
      </c>
      <c r="BG59" s="1114" t="str">
        <f t="shared" si="140"/>
        <v/>
      </c>
      <c r="BH59" s="1114" t="str">
        <f t="shared" si="141"/>
        <v/>
      </c>
      <c r="BI59" s="1114" t="str">
        <f t="shared" si="142"/>
        <v>X</v>
      </c>
      <c r="BJ59" s="1115" t="str">
        <f t="shared" si="143"/>
        <v/>
      </c>
      <c r="BL59" s="1885"/>
    </row>
    <row r="60" spans="1:64" ht="13.9" customHeight="1" x14ac:dyDescent="0.25">
      <c r="A60" s="1917">
        <f>Chem!A60</f>
        <v>58</v>
      </c>
      <c r="B60" s="1880" t="str">
        <f>Chem!B60</f>
        <v>Benzo(g,h,i)perylene</v>
      </c>
      <c r="C60" s="394" t="str">
        <f>Param!AK60</f>
        <v>no</v>
      </c>
      <c r="D60" s="317" t="str">
        <f>IF(ISNUMBER(Param!AN60),Param!AN60,Param!AM60)</f>
        <v>na</v>
      </c>
      <c r="E60" s="273" t="s">
        <v>232</v>
      </c>
      <c r="F60" s="643">
        <v>5.0000000000000001E-3</v>
      </c>
      <c r="G60" s="550">
        <v>31</v>
      </c>
      <c r="H60" s="550">
        <v>0.67</v>
      </c>
      <c r="I60" s="273">
        <v>78</v>
      </c>
      <c r="J60" s="273">
        <v>0.72</v>
      </c>
      <c r="K60" s="219" t="str">
        <f>IF(C60="YES",'SD-Eq'!V60,"na")</f>
        <v>na</v>
      </c>
      <c r="L60" s="273" t="str">
        <f>IF(C60="YES",'SD-Eq'!Z60,"na")</f>
        <v>na</v>
      </c>
      <c r="M60" s="435" t="str">
        <f t="shared" si="116"/>
        <v>na</v>
      </c>
      <c r="N60" s="273" t="str">
        <f t="shared" si="117"/>
        <v>na</v>
      </c>
      <c r="O60" s="1794">
        <f t="shared" si="118"/>
        <v>0.67</v>
      </c>
      <c r="P60" s="1789">
        <f t="shared" si="119"/>
        <v>0.72</v>
      </c>
      <c r="Q60" s="418" t="s">
        <v>232</v>
      </c>
      <c r="R60" s="418" t="s">
        <v>232</v>
      </c>
      <c r="S60" s="418" t="s">
        <v>232</v>
      </c>
      <c r="T60" s="418" t="s">
        <v>232</v>
      </c>
      <c r="U60" s="418" t="s">
        <v>232</v>
      </c>
      <c r="V60" s="418">
        <v>31</v>
      </c>
      <c r="W60" s="418">
        <f t="shared" si="120"/>
        <v>0.67</v>
      </c>
      <c r="X60" s="418" t="s">
        <v>232</v>
      </c>
      <c r="Y60" s="1884" t="str">
        <f t="shared" si="121"/>
        <v>na</v>
      </c>
      <c r="Z60" s="1886">
        <f t="shared" si="122"/>
        <v>0.67</v>
      </c>
      <c r="AA60" s="1887">
        <f t="shared" si="151"/>
        <v>0.67</v>
      </c>
      <c r="AB60" s="1887">
        <f t="shared" si="151"/>
        <v>0.67</v>
      </c>
      <c r="AC60" s="1887">
        <f t="shared" si="152"/>
        <v>1.34</v>
      </c>
      <c r="AD60" s="1887">
        <f t="shared" si="153"/>
        <v>4.0200000000000005</v>
      </c>
      <c r="AE60" s="298" t="s">
        <v>232</v>
      </c>
      <c r="AF60" s="298" t="s">
        <v>232</v>
      </c>
      <c r="AG60" s="1887">
        <f t="shared" si="154"/>
        <v>0.67</v>
      </c>
      <c r="AH60" s="1887">
        <f t="shared" si="154"/>
        <v>0.67</v>
      </c>
      <c r="AI60" s="1887">
        <f t="shared" si="155"/>
        <v>1.34</v>
      </c>
      <c r="AJ60" s="1887">
        <f t="shared" si="156"/>
        <v>4.0200000000000005</v>
      </c>
      <c r="AK60" s="298" t="s">
        <v>232</v>
      </c>
      <c r="AL60" s="298" t="s">
        <v>232</v>
      </c>
      <c r="AM60" s="1887">
        <f t="shared" si="157"/>
        <v>0.67</v>
      </c>
      <c r="AN60" s="298">
        <f t="shared" si="123"/>
        <v>0.67</v>
      </c>
      <c r="AO60" s="298">
        <f t="shared" si="124"/>
        <v>1.34</v>
      </c>
      <c r="AP60" s="298">
        <f t="shared" si="125"/>
        <v>0.67</v>
      </c>
      <c r="AQ60" s="298">
        <f t="shared" si="126"/>
        <v>1.34</v>
      </c>
      <c r="AR60" s="1887">
        <f t="shared" si="127"/>
        <v>0.67</v>
      </c>
      <c r="AS60" s="1051"/>
      <c r="AU60" s="1332" t="str">
        <f t="shared" si="128"/>
        <v/>
      </c>
      <c r="AV60" s="1114" t="str">
        <f t="shared" si="129"/>
        <v/>
      </c>
      <c r="AW60" s="1114" t="str">
        <f t="shared" si="130"/>
        <v>X</v>
      </c>
      <c r="AX60" s="1114" t="str">
        <f t="shared" si="131"/>
        <v/>
      </c>
      <c r="AY60" s="1113" t="str">
        <f t="shared" si="132"/>
        <v/>
      </c>
      <c r="AZ60" s="1114" t="str">
        <f t="shared" si="133"/>
        <v/>
      </c>
      <c r="BA60" s="1114" t="str">
        <f t="shared" si="134"/>
        <v>X</v>
      </c>
      <c r="BB60" s="1704" t="str">
        <f t="shared" si="135"/>
        <v/>
      </c>
      <c r="BC60" s="1113" t="str">
        <f t="shared" si="136"/>
        <v/>
      </c>
      <c r="BD60" s="1114" t="str">
        <f t="shared" si="137"/>
        <v/>
      </c>
      <c r="BE60" s="1114" t="str">
        <f t="shared" si="138"/>
        <v>X</v>
      </c>
      <c r="BF60" s="1114" t="str">
        <f t="shared" si="139"/>
        <v/>
      </c>
      <c r="BG60" s="1114" t="str">
        <f t="shared" si="140"/>
        <v/>
      </c>
      <c r="BH60" s="1114" t="str">
        <f t="shared" si="141"/>
        <v/>
      </c>
      <c r="BI60" s="1114" t="str">
        <f t="shared" si="142"/>
        <v>X</v>
      </c>
      <c r="BJ60" s="1115" t="str">
        <f t="shared" si="143"/>
        <v/>
      </c>
      <c r="BL60" s="1885"/>
    </row>
    <row r="61" spans="1:64" ht="13.9" customHeight="1" x14ac:dyDescent="0.25">
      <c r="A61" s="1917">
        <f>Chem!A61</f>
        <v>59</v>
      </c>
      <c r="B61" s="1880" t="str">
        <f>Chem!B61</f>
        <v>Benzo(a)pyrene</v>
      </c>
      <c r="C61" s="394" t="str">
        <f>Param!AK61</f>
        <v>no</v>
      </c>
      <c r="D61" s="317" t="str">
        <f>IF(ISNUMBER(Param!AN61),Param!AN61,Param!AM61)</f>
        <v>na</v>
      </c>
      <c r="E61" s="273" t="s">
        <v>232</v>
      </c>
      <c r="F61" s="643">
        <v>8.9999999999999993E-3</v>
      </c>
      <c r="G61" s="550">
        <v>99</v>
      </c>
      <c r="H61" s="550">
        <v>1.6</v>
      </c>
      <c r="I61" s="273">
        <v>210</v>
      </c>
      <c r="J61" s="273">
        <v>1.6</v>
      </c>
      <c r="K61" s="219" t="str">
        <f>IF(C61="YES",'SD-Eq'!V61,"na")</f>
        <v>na</v>
      </c>
      <c r="L61" s="273" t="str">
        <f>IF(C61="YES",'SD-Eq'!Z61,"na")</f>
        <v>na</v>
      </c>
      <c r="M61" s="435" t="str">
        <f t="shared" si="116"/>
        <v>na</v>
      </c>
      <c r="N61" s="273" t="str">
        <f t="shared" si="117"/>
        <v>na</v>
      </c>
      <c r="O61" s="1794">
        <f t="shared" si="118"/>
        <v>1.6</v>
      </c>
      <c r="P61" s="1789">
        <f t="shared" si="119"/>
        <v>1.6</v>
      </c>
      <c r="Q61" s="418" t="s">
        <v>232</v>
      </c>
      <c r="R61" s="418" t="s">
        <v>232</v>
      </c>
      <c r="S61" s="418" t="s">
        <v>232</v>
      </c>
      <c r="T61" s="418" t="s">
        <v>232</v>
      </c>
      <c r="U61" s="418" t="s">
        <v>232</v>
      </c>
      <c r="V61" s="418">
        <v>99</v>
      </c>
      <c r="W61" s="418">
        <f t="shared" si="120"/>
        <v>1.6</v>
      </c>
      <c r="X61" s="418" t="s">
        <v>232</v>
      </c>
      <c r="Y61" s="1884" t="str">
        <f t="shared" si="121"/>
        <v>na</v>
      </c>
      <c r="Z61" s="1886">
        <f t="shared" si="122"/>
        <v>1.6</v>
      </c>
      <c r="AA61" s="1887">
        <f t="shared" si="151"/>
        <v>1.6</v>
      </c>
      <c r="AB61" s="1887">
        <f t="shared" si="151"/>
        <v>1.6</v>
      </c>
      <c r="AC61" s="1887">
        <f t="shared" si="152"/>
        <v>3.2</v>
      </c>
      <c r="AD61" s="1887">
        <f t="shared" si="153"/>
        <v>9.6000000000000014</v>
      </c>
      <c r="AE61" s="298" t="s">
        <v>232</v>
      </c>
      <c r="AF61" s="298" t="s">
        <v>232</v>
      </c>
      <c r="AG61" s="1887">
        <f t="shared" si="154"/>
        <v>1.6</v>
      </c>
      <c r="AH61" s="1887">
        <f t="shared" si="154"/>
        <v>1.6</v>
      </c>
      <c r="AI61" s="1887">
        <f t="shared" si="155"/>
        <v>3.2</v>
      </c>
      <c r="AJ61" s="1887">
        <f t="shared" si="156"/>
        <v>9.6000000000000014</v>
      </c>
      <c r="AK61" s="298" t="s">
        <v>232</v>
      </c>
      <c r="AL61" s="298" t="s">
        <v>232</v>
      </c>
      <c r="AM61" s="1887">
        <f t="shared" si="157"/>
        <v>1.6</v>
      </c>
      <c r="AN61" s="298">
        <f t="shared" si="123"/>
        <v>1.6</v>
      </c>
      <c r="AO61" s="298">
        <f t="shared" si="124"/>
        <v>3.2</v>
      </c>
      <c r="AP61" s="298">
        <f t="shared" si="125"/>
        <v>1.6</v>
      </c>
      <c r="AQ61" s="298">
        <f t="shared" si="126"/>
        <v>3.2</v>
      </c>
      <c r="AR61" s="1887">
        <f t="shared" si="127"/>
        <v>1.6</v>
      </c>
      <c r="AS61" s="1051"/>
      <c r="AU61" s="1332" t="str">
        <f t="shared" si="128"/>
        <v/>
      </c>
      <c r="AV61" s="1114" t="str">
        <f t="shared" si="129"/>
        <v/>
      </c>
      <c r="AW61" s="1114" t="str">
        <f t="shared" si="130"/>
        <v>X</v>
      </c>
      <c r="AX61" s="1114" t="str">
        <f t="shared" si="131"/>
        <v/>
      </c>
      <c r="AY61" s="1113" t="str">
        <f t="shared" si="132"/>
        <v/>
      </c>
      <c r="AZ61" s="1114" t="str">
        <f t="shared" si="133"/>
        <v/>
      </c>
      <c r="BA61" s="1114" t="str">
        <f t="shared" si="134"/>
        <v>X</v>
      </c>
      <c r="BB61" s="1704" t="str">
        <f t="shared" si="135"/>
        <v/>
      </c>
      <c r="BC61" s="1113" t="str">
        <f t="shared" si="136"/>
        <v/>
      </c>
      <c r="BD61" s="1114" t="str">
        <f t="shared" si="137"/>
        <v/>
      </c>
      <c r="BE61" s="1114" t="str">
        <f t="shared" si="138"/>
        <v>X</v>
      </c>
      <c r="BF61" s="1114" t="str">
        <f t="shared" si="139"/>
        <v/>
      </c>
      <c r="BG61" s="1114" t="str">
        <f t="shared" si="140"/>
        <v/>
      </c>
      <c r="BH61" s="1114" t="str">
        <f t="shared" si="141"/>
        <v/>
      </c>
      <c r="BI61" s="1114" t="str">
        <f t="shared" si="142"/>
        <v>X</v>
      </c>
      <c r="BJ61" s="1115" t="str">
        <f t="shared" si="143"/>
        <v/>
      </c>
      <c r="BL61" s="1885"/>
    </row>
    <row r="62" spans="1:64" ht="13.9" customHeight="1" x14ac:dyDescent="0.25">
      <c r="A62" s="1917">
        <f>Chem!A62</f>
        <v>60</v>
      </c>
      <c r="B62" s="1880" t="str">
        <f>Chem!B62</f>
        <v>Chrysene</v>
      </c>
      <c r="C62" s="394" t="str">
        <f>Param!AK62</f>
        <v>no</v>
      </c>
      <c r="D62" s="317" t="str">
        <f>IF(ISNUMBER(Param!AN62),Param!AN62,Param!AM62)</f>
        <v>na</v>
      </c>
      <c r="E62" s="273" t="s">
        <v>232</v>
      </c>
      <c r="F62" s="643">
        <v>8.9999999999999993E-3</v>
      </c>
      <c r="G62" s="550">
        <v>110</v>
      </c>
      <c r="H62" s="550">
        <v>1.4</v>
      </c>
      <c r="I62" s="273">
        <v>460</v>
      </c>
      <c r="J62" s="273">
        <v>2.8</v>
      </c>
      <c r="K62" s="219" t="str">
        <f>IF(C62="YES",'SD-Eq'!V62,"na")</f>
        <v>na</v>
      </c>
      <c r="L62" s="273" t="str">
        <f>IF(C62="YES",'SD-Eq'!Z62,"na")</f>
        <v>na</v>
      </c>
      <c r="M62" s="435" t="str">
        <f t="shared" si="116"/>
        <v>na</v>
      </c>
      <c r="N62" s="273" t="str">
        <f t="shared" si="117"/>
        <v>na</v>
      </c>
      <c r="O62" s="1794">
        <f t="shared" si="118"/>
        <v>1.4</v>
      </c>
      <c r="P62" s="1789">
        <f t="shared" si="119"/>
        <v>2.8</v>
      </c>
      <c r="Q62" s="418" t="s">
        <v>232</v>
      </c>
      <c r="R62" s="418" t="s">
        <v>232</v>
      </c>
      <c r="S62" s="418" t="s">
        <v>232</v>
      </c>
      <c r="T62" s="418" t="s">
        <v>232</v>
      </c>
      <c r="U62" s="418" t="s">
        <v>232</v>
      </c>
      <c r="V62" s="418">
        <v>110</v>
      </c>
      <c r="W62" s="418">
        <f t="shared" si="120"/>
        <v>1.4</v>
      </c>
      <c r="X62" s="418" t="s">
        <v>232</v>
      </c>
      <c r="Y62" s="1884" t="str">
        <f t="shared" si="121"/>
        <v>na</v>
      </c>
      <c r="Z62" s="1886">
        <f t="shared" si="122"/>
        <v>1.4</v>
      </c>
      <c r="AA62" s="1887">
        <f t="shared" si="151"/>
        <v>1.4</v>
      </c>
      <c r="AB62" s="1887">
        <f t="shared" si="151"/>
        <v>1.4</v>
      </c>
      <c r="AC62" s="1887">
        <f t="shared" si="152"/>
        <v>2.8</v>
      </c>
      <c r="AD62" s="1887">
        <f t="shared" si="153"/>
        <v>8.3999999999999986</v>
      </c>
      <c r="AE62" s="298" t="s">
        <v>232</v>
      </c>
      <c r="AF62" s="298" t="s">
        <v>232</v>
      </c>
      <c r="AG62" s="1887">
        <f t="shared" si="154"/>
        <v>1.4</v>
      </c>
      <c r="AH62" s="1887">
        <f t="shared" si="154"/>
        <v>1.4</v>
      </c>
      <c r="AI62" s="1887">
        <f t="shared" si="155"/>
        <v>2.8</v>
      </c>
      <c r="AJ62" s="1887">
        <f t="shared" si="156"/>
        <v>8.3999999999999986</v>
      </c>
      <c r="AK62" s="298" t="s">
        <v>232</v>
      </c>
      <c r="AL62" s="298" t="s">
        <v>232</v>
      </c>
      <c r="AM62" s="1887">
        <f t="shared" si="157"/>
        <v>1.4</v>
      </c>
      <c r="AN62" s="298">
        <f t="shared" si="123"/>
        <v>1.4</v>
      </c>
      <c r="AO62" s="298">
        <f t="shared" si="124"/>
        <v>2.8</v>
      </c>
      <c r="AP62" s="298">
        <f t="shared" si="125"/>
        <v>1.4</v>
      </c>
      <c r="AQ62" s="298">
        <f t="shared" si="126"/>
        <v>2.8</v>
      </c>
      <c r="AR62" s="1887">
        <f t="shared" si="127"/>
        <v>1.4</v>
      </c>
      <c r="AS62" s="1051"/>
      <c r="AU62" s="1332" t="str">
        <f t="shared" si="128"/>
        <v/>
      </c>
      <c r="AV62" s="1114" t="str">
        <f t="shared" si="129"/>
        <v/>
      </c>
      <c r="AW62" s="1114" t="str">
        <f t="shared" si="130"/>
        <v>X</v>
      </c>
      <c r="AX62" s="1114" t="str">
        <f t="shared" si="131"/>
        <v/>
      </c>
      <c r="AY62" s="1113" t="str">
        <f t="shared" si="132"/>
        <v/>
      </c>
      <c r="AZ62" s="1114" t="str">
        <f t="shared" si="133"/>
        <v/>
      </c>
      <c r="BA62" s="1114" t="str">
        <f t="shared" si="134"/>
        <v>X</v>
      </c>
      <c r="BB62" s="1704" t="str">
        <f t="shared" si="135"/>
        <v/>
      </c>
      <c r="BC62" s="1113" t="str">
        <f t="shared" si="136"/>
        <v/>
      </c>
      <c r="BD62" s="1114" t="str">
        <f t="shared" si="137"/>
        <v/>
      </c>
      <c r="BE62" s="1114" t="str">
        <f t="shared" si="138"/>
        <v>X</v>
      </c>
      <c r="BF62" s="1114" t="str">
        <f t="shared" si="139"/>
        <v/>
      </c>
      <c r="BG62" s="1114" t="str">
        <f t="shared" si="140"/>
        <v/>
      </c>
      <c r="BH62" s="1114" t="str">
        <f t="shared" si="141"/>
        <v/>
      </c>
      <c r="BI62" s="1114" t="str">
        <f t="shared" si="142"/>
        <v>X</v>
      </c>
      <c r="BJ62" s="1115" t="str">
        <f t="shared" si="143"/>
        <v/>
      </c>
      <c r="BL62" s="1885"/>
    </row>
    <row r="63" spans="1:64" ht="13.9" customHeight="1" x14ac:dyDescent="0.25">
      <c r="A63" s="1917">
        <f>Chem!A63</f>
        <v>61</v>
      </c>
      <c r="B63" s="1880" t="str">
        <f>Chem!B63</f>
        <v>Dibenz(a,h)anthracene</v>
      </c>
      <c r="C63" s="394" t="str">
        <f>Param!AK63</f>
        <v>no</v>
      </c>
      <c r="D63" s="317" t="str">
        <f>IF(ISNUMBER(Param!AN63),Param!AN63,Param!AM63)</f>
        <v>na</v>
      </c>
      <c r="E63" s="273" t="s">
        <v>232</v>
      </c>
      <c r="F63" s="643">
        <v>8.9999999999999993E-3</v>
      </c>
      <c r="G63" s="550">
        <v>12</v>
      </c>
      <c r="H63" s="550">
        <v>0.23</v>
      </c>
      <c r="I63" s="273">
        <v>33</v>
      </c>
      <c r="J63" s="273">
        <v>0.23</v>
      </c>
      <c r="K63" s="219" t="str">
        <f>IF(C63="YES",'SD-Eq'!V63,"na")</f>
        <v>na</v>
      </c>
      <c r="L63" s="273" t="str">
        <f>IF(C63="YES",'SD-Eq'!Z63,"na")</f>
        <v>na</v>
      </c>
      <c r="M63" s="435" t="str">
        <f t="shared" si="116"/>
        <v>na</v>
      </c>
      <c r="N63" s="273" t="str">
        <f t="shared" si="117"/>
        <v>na</v>
      </c>
      <c r="O63" s="1794">
        <f t="shared" si="118"/>
        <v>0.23</v>
      </c>
      <c r="P63" s="1789">
        <f t="shared" si="119"/>
        <v>0.23</v>
      </c>
      <c r="Q63" s="418" t="s">
        <v>232</v>
      </c>
      <c r="R63" s="418" t="s">
        <v>232</v>
      </c>
      <c r="S63" s="418" t="s">
        <v>232</v>
      </c>
      <c r="T63" s="418" t="s">
        <v>232</v>
      </c>
      <c r="U63" s="418" t="s">
        <v>232</v>
      </c>
      <c r="V63" s="418">
        <v>12</v>
      </c>
      <c r="W63" s="418">
        <f t="shared" si="120"/>
        <v>0.23</v>
      </c>
      <c r="X63" s="418" t="s">
        <v>232</v>
      </c>
      <c r="Y63" s="1884" t="str">
        <f t="shared" si="121"/>
        <v>na</v>
      </c>
      <c r="Z63" s="1886">
        <f t="shared" si="122"/>
        <v>0.23</v>
      </c>
      <c r="AA63" s="1887">
        <f t="shared" si="151"/>
        <v>0.23</v>
      </c>
      <c r="AB63" s="1887">
        <f t="shared" si="151"/>
        <v>0.23</v>
      </c>
      <c r="AC63" s="1887">
        <f t="shared" si="152"/>
        <v>0.46</v>
      </c>
      <c r="AD63" s="1887">
        <f t="shared" si="153"/>
        <v>1.3800000000000001</v>
      </c>
      <c r="AE63" s="298" t="s">
        <v>232</v>
      </c>
      <c r="AF63" s="298" t="s">
        <v>232</v>
      </c>
      <c r="AG63" s="1887">
        <f t="shared" si="154"/>
        <v>0.23</v>
      </c>
      <c r="AH63" s="1887">
        <f t="shared" si="154"/>
        <v>0.23</v>
      </c>
      <c r="AI63" s="1887">
        <f t="shared" si="155"/>
        <v>0.46</v>
      </c>
      <c r="AJ63" s="1887">
        <f t="shared" si="156"/>
        <v>1.3800000000000001</v>
      </c>
      <c r="AK63" s="298" t="s">
        <v>232</v>
      </c>
      <c r="AL63" s="298" t="s">
        <v>232</v>
      </c>
      <c r="AM63" s="1887">
        <f t="shared" si="157"/>
        <v>0.23</v>
      </c>
      <c r="AN63" s="298">
        <f t="shared" si="123"/>
        <v>0.23</v>
      </c>
      <c r="AO63" s="298">
        <f t="shared" si="124"/>
        <v>0.46</v>
      </c>
      <c r="AP63" s="298">
        <f t="shared" si="125"/>
        <v>0.23</v>
      </c>
      <c r="AQ63" s="298">
        <f t="shared" si="126"/>
        <v>0.46</v>
      </c>
      <c r="AR63" s="1887">
        <f t="shared" si="127"/>
        <v>0.23</v>
      </c>
      <c r="AS63" s="1051"/>
      <c r="AU63" s="1332" t="str">
        <f t="shared" si="128"/>
        <v/>
      </c>
      <c r="AV63" s="1114" t="str">
        <f t="shared" si="129"/>
        <v/>
      </c>
      <c r="AW63" s="1114" t="str">
        <f t="shared" si="130"/>
        <v>X</v>
      </c>
      <c r="AX63" s="1114" t="str">
        <f t="shared" si="131"/>
        <v/>
      </c>
      <c r="AY63" s="1113" t="str">
        <f t="shared" si="132"/>
        <v/>
      </c>
      <c r="AZ63" s="1114" t="str">
        <f t="shared" si="133"/>
        <v/>
      </c>
      <c r="BA63" s="1114" t="str">
        <f t="shared" si="134"/>
        <v>X</v>
      </c>
      <c r="BB63" s="1704" t="str">
        <f t="shared" si="135"/>
        <v/>
      </c>
      <c r="BC63" s="1113" t="str">
        <f t="shared" si="136"/>
        <v/>
      </c>
      <c r="BD63" s="1114" t="str">
        <f t="shared" si="137"/>
        <v/>
      </c>
      <c r="BE63" s="1114" t="str">
        <f t="shared" si="138"/>
        <v>X</v>
      </c>
      <c r="BF63" s="1114" t="str">
        <f t="shared" si="139"/>
        <v/>
      </c>
      <c r="BG63" s="1114" t="str">
        <f t="shared" si="140"/>
        <v/>
      </c>
      <c r="BH63" s="1114" t="str">
        <f t="shared" si="141"/>
        <v/>
      </c>
      <c r="BI63" s="1114" t="str">
        <f t="shared" si="142"/>
        <v>X</v>
      </c>
      <c r="BJ63" s="1115" t="str">
        <f t="shared" si="143"/>
        <v/>
      </c>
      <c r="BL63" s="1885"/>
    </row>
    <row r="64" spans="1:64" ht="13.9" customHeight="1" x14ac:dyDescent="0.25">
      <c r="A64" s="1917">
        <f>Chem!A64</f>
        <v>62</v>
      </c>
      <c r="B64" s="1880" t="str">
        <f>Chem!B64</f>
        <v>Dibenzofuran</v>
      </c>
      <c r="C64" s="394" t="str">
        <f>Param!AK64</f>
        <v>no</v>
      </c>
      <c r="D64" s="317" t="str">
        <f>IF(ISNUMBER(Param!AN64),Param!AN64,Param!AM64)</f>
        <v>na</v>
      </c>
      <c r="E64" s="273" t="s">
        <v>232</v>
      </c>
      <c r="F64" s="643">
        <v>6.8000000000000005E-2</v>
      </c>
      <c r="G64" s="550">
        <v>15</v>
      </c>
      <c r="H64" s="550">
        <v>0.54</v>
      </c>
      <c r="I64" s="273">
        <v>58</v>
      </c>
      <c r="J64" s="273">
        <v>0.54</v>
      </c>
      <c r="K64" s="219" t="str">
        <f>IF(C64="YES",'SD-Eq'!V64,"na")</f>
        <v>na</v>
      </c>
      <c r="L64" s="273" t="str">
        <f>IF(C64="YES",'SD-Eq'!Z64,"na")</f>
        <v>na</v>
      </c>
      <c r="M64" s="435" t="str">
        <f t="shared" si="116"/>
        <v>na</v>
      </c>
      <c r="N64" s="273" t="str">
        <f t="shared" si="117"/>
        <v>na</v>
      </c>
      <c r="O64" s="1794">
        <f t="shared" si="118"/>
        <v>0.54</v>
      </c>
      <c r="P64" s="1789">
        <f t="shared" si="119"/>
        <v>0.54</v>
      </c>
      <c r="Q64" s="418" t="s">
        <v>232</v>
      </c>
      <c r="R64" s="418" t="s">
        <v>232</v>
      </c>
      <c r="S64" s="418" t="s">
        <v>232</v>
      </c>
      <c r="T64" s="418" t="s">
        <v>232</v>
      </c>
      <c r="U64" s="418" t="s">
        <v>232</v>
      </c>
      <c r="V64" s="418">
        <v>15</v>
      </c>
      <c r="W64" s="418">
        <f t="shared" si="120"/>
        <v>0.54</v>
      </c>
      <c r="X64" s="418" t="s">
        <v>232</v>
      </c>
      <c r="Y64" s="1884" t="str">
        <f t="shared" si="121"/>
        <v>na</v>
      </c>
      <c r="Z64" s="1886">
        <f t="shared" si="122"/>
        <v>0.54</v>
      </c>
      <c r="AA64" s="1887">
        <f t="shared" si="151"/>
        <v>0.54</v>
      </c>
      <c r="AB64" s="1887">
        <f t="shared" si="151"/>
        <v>0.54</v>
      </c>
      <c r="AC64" s="1887">
        <f t="shared" si="152"/>
        <v>1.08</v>
      </c>
      <c r="AD64" s="1887">
        <f t="shared" si="153"/>
        <v>3.24</v>
      </c>
      <c r="AE64" s="298" t="s">
        <v>232</v>
      </c>
      <c r="AF64" s="298" t="s">
        <v>232</v>
      </c>
      <c r="AG64" s="1887">
        <f t="shared" si="154"/>
        <v>0.54</v>
      </c>
      <c r="AH64" s="1887">
        <f t="shared" si="154"/>
        <v>0.54</v>
      </c>
      <c r="AI64" s="1887">
        <f t="shared" si="155"/>
        <v>1.08</v>
      </c>
      <c r="AJ64" s="1887">
        <f t="shared" si="156"/>
        <v>3.24</v>
      </c>
      <c r="AK64" s="298" t="s">
        <v>232</v>
      </c>
      <c r="AL64" s="298" t="s">
        <v>232</v>
      </c>
      <c r="AM64" s="1887">
        <f t="shared" si="157"/>
        <v>0.54</v>
      </c>
      <c r="AN64" s="298">
        <f t="shared" si="123"/>
        <v>0.54</v>
      </c>
      <c r="AO64" s="298">
        <f t="shared" si="124"/>
        <v>1.08</v>
      </c>
      <c r="AP64" s="298">
        <f t="shared" si="125"/>
        <v>0.54</v>
      </c>
      <c r="AQ64" s="298">
        <f t="shared" si="126"/>
        <v>1.08</v>
      </c>
      <c r="AR64" s="1887">
        <f t="shared" si="127"/>
        <v>0.54</v>
      </c>
      <c r="AS64" s="1051"/>
      <c r="AU64" s="1332" t="str">
        <f t="shared" si="128"/>
        <v/>
      </c>
      <c r="AV64" s="1114" t="str">
        <f t="shared" si="129"/>
        <v/>
      </c>
      <c r="AW64" s="1114" t="str">
        <f t="shared" si="130"/>
        <v>X</v>
      </c>
      <c r="AX64" s="1114" t="str">
        <f t="shared" si="131"/>
        <v/>
      </c>
      <c r="AY64" s="1113" t="str">
        <f t="shared" si="132"/>
        <v/>
      </c>
      <c r="AZ64" s="1114" t="str">
        <f t="shared" si="133"/>
        <v/>
      </c>
      <c r="BA64" s="1114" t="str">
        <f t="shared" si="134"/>
        <v>X</v>
      </c>
      <c r="BB64" s="1704" t="str">
        <f t="shared" si="135"/>
        <v/>
      </c>
      <c r="BC64" s="1113" t="str">
        <f t="shared" si="136"/>
        <v/>
      </c>
      <c r="BD64" s="1114" t="str">
        <f t="shared" si="137"/>
        <v/>
      </c>
      <c r="BE64" s="1114" t="str">
        <f t="shared" si="138"/>
        <v>X</v>
      </c>
      <c r="BF64" s="1114" t="str">
        <f t="shared" si="139"/>
        <v/>
      </c>
      <c r="BG64" s="1114" t="str">
        <f t="shared" si="140"/>
        <v/>
      </c>
      <c r="BH64" s="1114" t="str">
        <f t="shared" si="141"/>
        <v/>
      </c>
      <c r="BI64" s="1114" t="str">
        <f t="shared" si="142"/>
        <v>X</v>
      </c>
      <c r="BJ64" s="1115" t="str">
        <f t="shared" si="143"/>
        <v/>
      </c>
      <c r="BL64" s="1885"/>
    </row>
    <row r="65" spans="1:64" ht="13.9" customHeight="1" x14ac:dyDescent="0.25">
      <c r="A65" s="1917">
        <f>Chem!A65</f>
        <v>63</v>
      </c>
      <c r="B65" s="1880" t="str">
        <f>Chem!B65</f>
        <v>Fluoranthene</v>
      </c>
      <c r="C65" s="394" t="str">
        <f>Param!AK65</f>
        <v>no</v>
      </c>
      <c r="D65" s="317" t="str">
        <f>IF(ISNUMBER(Param!AN65),Param!AN65,Param!AM65)</f>
        <v>na</v>
      </c>
      <c r="E65" s="273" t="s">
        <v>232</v>
      </c>
      <c r="F65" s="643">
        <v>5.0000000000000001E-3</v>
      </c>
      <c r="G65" s="550">
        <v>160</v>
      </c>
      <c r="H65" s="550">
        <v>1.7</v>
      </c>
      <c r="I65" s="273">
        <v>1200</v>
      </c>
      <c r="J65" s="273">
        <v>2.5</v>
      </c>
      <c r="K65" s="219" t="str">
        <f>IF(C65="YES",'SD-Eq'!V65,"na")</f>
        <v>na</v>
      </c>
      <c r="L65" s="273" t="str">
        <f>IF(C65="YES",'SD-Eq'!Z65,"na")</f>
        <v>na</v>
      </c>
      <c r="M65" s="435" t="str">
        <f t="shared" si="116"/>
        <v>na</v>
      </c>
      <c r="N65" s="273" t="str">
        <f t="shared" si="117"/>
        <v>na</v>
      </c>
      <c r="O65" s="1794">
        <f t="shared" si="118"/>
        <v>1.7</v>
      </c>
      <c r="P65" s="1789">
        <f t="shared" si="119"/>
        <v>2.5</v>
      </c>
      <c r="Q65" s="418" t="s">
        <v>232</v>
      </c>
      <c r="R65" s="418" t="s">
        <v>232</v>
      </c>
      <c r="S65" s="418" t="s">
        <v>232</v>
      </c>
      <c r="T65" s="418" t="s">
        <v>232</v>
      </c>
      <c r="U65" s="418" t="s">
        <v>232</v>
      </c>
      <c r="V65" s="418">
        <v>160</v>
      </c>
      <c r="W65" s="418">
        <f t="shared" si="120"/>
        <v>1.7</v>
      </c>
      <c r="X65" s="418" t="s">
        <v>232</v>
      </c>
      <c r="Y65" s="1884" t="str">
        <f t="shared" si="121"/>
        <v>na</v>
      </c>
      <c r="Z65" s="1886">
        <f t="shared" si="122"/>
        <v>1.7</v>
      </c>
      <c r="AA65" s="1887">
        <f t="shared" si="151"/>
        <v>1.7</v>
      </c>
      <c r="AB65" s="1887">
        <f t="shared" si="151"/>
        <v>1.7</v>
      </c>
      <c r="AC65" s="1887">
        <f t="shared" si="152"/>
        <v>3.4</v>
      </c>
      <c r="AD65" s="1887">
        <f t="shared" si="153"/>
        <v>10.199999999999999</v>
      </c>
      <c r="AE65" s="298" t="s">
        <v>232</v>
      </c>
      <c r="AF65" s="298" t="s">
        <v>232</v>
      </c>
      <c r="AG65" s="1887">
        <f t="shared" si="154"/>
        <v>1.7</v>
      </c>
      <c r="AH65" s="1887">
        <f t="shared" si="154"/>
        <v>1.7</v>
      </c>
      <c r="AI65" s="1887">
        <f t="shared" si="155"/>
        <v>3.4</v>
      </c>
      <c r="AJ65" s="1887">
        <f t="shared" si="156"/>
        <v>10.199999999999999</v>
      </c>
      <c r="AK65" s="298" t="s">
        <v>232</v>
      </c>
      <c r="AL65" s="298" t="s">
        <v>232</v>
      </c>
      <c r="AM65" s="1887">
        <f t="shared" si="157"/>
        <v>1.7</v>
      </c>
      <c r="AN65" s="298">
        <f t="shared" si="123"/>
        <v>1.7</v>
      </c>
      <c r="AO65" s="298">
        <f t="shared" si="124"/>
        <v>3.4</v>
      </c>
      <c r="AP65" s="298">
        <f t="shared" si="125"/>
        <v>1.7</v>
      </c>
      <c r="AQ65" s="298">
        <f t="shared" si="126"/>
        <v>3.4</v>
      </c>
      <c r="AR65" s="1887">
        <f t="shared" si="127"/>
        <v>1.7</v>
      </c>
      <c r="AS65" s="1051"/>
      <c r="AU65" s="1332" t="str">
        <f t="shared" si="128"/>
        <v/>
      </c>
      <c r="AV65" s="1114" t="str">
        <f t="shared" si="129"/>
        <v/>
      </c>
      <c r="AW65" s="1114" t="str">
        <f t="shared" si="130"/>
        <v>X</v>
      </c>
      <c r="AX65" s="1114" t="str">
        <f t="shared" si="131"/>
        <v/>
      </c>
      <c r="AY65" s="1113" t="str">
        <f t="shared" si="132"/>
        <v/>
      </c>
      <c r="AZ65" s="1114" t="str">
        <f t="shared" si="133"/>
        <v/>
      </c>
      <c r="BA65" s="1114" t="str">
        <f t="shared" si="134"/>
        <v>X</v>
      </c>
      <c r="BB65" s="1704" t="str">
        <f t="shared" si="135"/>
        <v/>
      </c>
      <c r="BC65" s="1113" t="str">
        <f t="shared" si="136"/>
        <v/>
      </c>
      <c r="BD65" s="1114" t="str">
        <f t="shared" si="137"/>
        <v/>
      </c>
      <c r="BE65" s="1114" t="str">
        <f t="shared" si="138"/>
        <v>X</v>
      </c>
      <c r="BF65" s="1114" t="str">
        <f t="shared" si="139"/>
        <v/>
      </c>
      <c r="BG65" s="1114" t="str">
        <f t="shared" si="140"/>
        <v/>
      </c>
      <c r="BH65" s="1114" t="str">
        <f t="shared" si="141"/>
        <v/>
      </c>
      <c r="BI65" s="1114" t="str">
        <f t="shared" si="142"/>
        <v>X</v>
      </c>
      <c r="BJ65" s="1115" t="str">
        <f t="shared" si="143"/>
        <v/>
      </c>
      <c r="BL65" s="1885"/>
    </row>
    <row r="66" spans="1:64" ht="13.9" customHeight="1" x14ac:dyDescent="0.25">
      <c r="A66" s="1917">
        <f>Chem!A66</f>
        <v>64</v>
      </c>
      <c r="B66" s="1880" t="str">
        <f>Chem!B66</f>
        <v>Fluorene</v>
      </c>
      <c r="C66" s="394" t="str">
        <f>Param!AK66</f>
        <v>no</v>
      </c>
      <c r="D66" s="317" t="str">
        <f>IF(ISNUMBER(Param!AN66),Param!AN66,Param!AM66)</f>
        <v>na</v>
      </c>
      <c r="E66" s="273" t="s">
        <v>232</v>
      </c>
      <c r="F66" s="643">
        <v>5.0000000000000001E-3</v>
      </c>
      <c r="G66" s="550">
        <v>23</v>
      </c>
      <c r="H66" s="550">
        <v>0.54</v>
      </c>
      <c r="I66" s="273">
        <v>79</v>
      </c>
      <c r="J66" s="273">
        <v>0.54</v>
      </c>
      <c r="K66" s="219" t="str">
        <f>IF(C66="YES",'SD-Eq'!V66,"na")</f>
        <v>na</v>
      </c>
      <c r="L66" s="273" t="str">
        <f>IF(C66="YES",'SD-Eq'!Z66,"na")</f>
        <v>na</v>
      </c>
      <c r="M66" s="435" t="str">
        <f t="shared" si="116"/>
        <v>na</v>
      </c>
      <c r="N66" s="273" t="str">
        <f t="shared" si="117"/>
        <v>na</v>
      </c>
      <c r="O66" s="1794">
        <f t="shared" si="118"/>
        <v>0.54</v>
      </c>
      <c r="P66" s="1789">
        <f t="shared" si="119"/>
        <v>0.54</v>
      </c>
      <c r="Q66" s="418" t="s">
        <v>232</v>
      </c>
      <c r="R66" s="418" t="s">
        <v>232</v>
      </c>
      <c r="S66" s="418" t="s">
        <v>232</v>
      </c>
      <c r="T66" s="418" t="s">
        <v>232</v>
      </c>
      <c r="U66" s="418" t="s">
        <v>232</v>
      </c>
      <c r="V66" s="418">
        <v>23</v>
      </c>
      <c r="W66" s="418">
        <f t="shared" si="120"/>
        <v>0.54</v>
      </c>
      <c r="X66" s="418" t="s">
        <v>232</v>
      </c>
      <c r="Y66" s="1884" t="str">
        <f t="shared" si="121"/>
        <v>na</v>
      </c>
      <c r="Z66" s="1886">
        <f t="shared" si="122"/>
        <v>0.54</v>
      </c>
      <c r="AA66" s="1887">
        <f t="shared" si="151"/>
        <v>0.54</v>
      </c>
      <c r="AB66" s="1887">
        <f t="shared" si="151"/>
        <v>0.54</v>
      </c>
      <c r="AC66" s="1887">
        <f t="shared" si="152"/>
        <v>1.08</v>
      </c>
      <c r="AD66" s="1887">
        <f t="shared" si="153"/>
        <v>3.24</v>
      </c>
      <c r="AE66" s="298" t="s">
        <v>232</v>
      </c>
      <c r="AF66" s="298" t="s">
        <v>232</v>
      </c>
      <c r="AG66" s="1887">
        <f t="shared" si="154"/>
        <v>0.54</v>
      </c>
      <c r="AH66" s="1887">
        <f t="shared" si="154"/>
        <v>0.54</v>
      </c>
      <c r="AI66" s="1887">
        <f t="shared" si="155"/>
        <v>1.08</v>
      </c>
      <c r="AJ66" s="1887">
        <f t="shared" si="156"/>
        <v>3.24</v>
      </c>
      <c r="AK66" s="298" t="s">
        <v>232</v>
      </c>
      <c r="AL66" s="298" t="s">
        <v>232</v>
      </c>
      <c r="AM66" s="1887">
        <f t="shared" si="157"/>
        <v>0.54</v>
      </c>
      <c r="AN66" s="298">
        <f t="shared" si="123"/>
        <v>0.54</v>
      </c>
      <c r="AO66" s="298">
        <f t="shared" si="124"/>
        <v>1.08</v>
      </c>
      <c r="AP66" s="298">
        <f t="shared" si="125"/>
        <v>0.54</v>
      </c>
      <c r="AQ66" s="298">
        <f t="shared" si="126"/>
        <v>1.08</v>
      </c>
      <c r="AR66" s="1887">
        <f t="shared" si="127"/>
        <v>0.54</v>
      </c>
      <c r="AS66" s="1051"/>
      <c r="AU66" s="1332" t="str">
        <f t="shared" si="128"/>
        <v/>
      </c>
      <c r="AV66" s="1114" t="str">
        <f t="shared" si="129"/>
        <v/>
      </c>
      <c r="AW66" s="1114" t="str">
        <f t="shared" si="130"/>
        <v>X</v>
      </c>
      <c r="AX66" s="1114" t="str">
        <f t="shared" si="131"/>
        <v/>
      </c>
      <c r="AY66" s="1113" t="str">
        <f t="shared" si="132"/>
        <v/>
      </c>
      <c r="AZ66" s="1114" t="str">
        <f t="shared" si="133"/>
        <v/>
      </c>
      <c r="BA66" s="1114" t="str">
        <f t="shared" si="134"/>
        <v>X</v>
      </c>
      <c r="BB66" s="1704" t="str">
        <f t="shared" si="135"/>
        <v/>
      </c>
      <c r="BC66" s="1113" t="str">
        <f t="shared" si="136"/>
        <v/>
      </c>
      <c r="BD66" s="1114" t="str">
        <f t="shared" si="137"/>
        <v/>
      </c>
      <c r="BE66" s="1114" t="str">
        <f t="shared" si="138"/>
        <v>X</v>
      </c>
      <c r="BF66" s="1114" t="str">
        <f t="shared" si="139"/>
        <v/>
      </c>
      <c r="BG66" s="1114" t="str">
        <f t="shared" si="140"/>
        <v/>
      </c>
      <c r="BH66" s="1114" t="str">
        <f t="shared" si="141"/>
        <v/>
      </c>
      <c r="BI66" s="1114" t="str">
        <f t="shared" si="142"/>
        <v>X</v>
      </c>
      <c r="BJ66" s="1115" t="str">
        <f t="shared" si="143"/>
        <v/>
      </c>
      <c r="BL66" s="1885"/>
    </row>
    <row r="67" spans="1:64" ht="13.9" customHeight="1" x14ac:dyDescent="0.25">
      <c r="A67" s="1917">
        <f>Chem!A67</f>
        <v>65</v>
      </c>
      <c r="B67" s="1880" t="str">
        <f>Chem!B67</f>
        <v>Indeno(1,2,3-cd)pyrene</v>
      </c>
      <c r="C67" s="394" t="str">
        <f>Param!AK67</f>
        <v>no</v>
      </c>
      <c r="D67" s="317" t="str">
        <f>IF(ISNUMBER(Param!AN67),Param!AN67,Param!AM67)</f>
        <v>na</v>
      </c>
      <c r="E67" s="273" t="s">
        <v>232</v>
      </c>
      <c r="F67" s="643">
        <v>8.9999999999999993E-3</v>
      </c>
      <c r="G67" s="550">
        <v>34</v>
      </c>
      <c r="H67" s="550">
        <v>0.6</v>
      </c>
      <c r="I67" s="273">
        <v>88</v>
      </c>
      <c r="J67" s="273">
        <v>0.69</v>
      </c>
      <c r="K67" s="219" t="str">
        <f>IF(C67="YES",'SD-Eq'!V67,"na")</f>
        <v>na</v>
      </c>
      <c r="L67" s="273" t="str">
        <f>IF(C67="YES",'SD-Eq'!Z67,"na")</f>
        <v>na</v>
      </c>
      <c r="M67" s="435" t="str">
        <f t="shared" si="116"/>
        <v>na</v>
      </c>
      <c r="N67" s="273" t="str">
        <f t="shared" si="117"/>
        <v>na</v>
      </c>
      <c r="O67" s="1794">
        <f t="shared" si="118"/>
        <v>0.6</v>
      </c>
      <c r="P67" s="1789">
        <f t="shared" si="119"/>
        <v>0.69</v>
      </c>
      <c r="Q67" s="418" t="s">
        <v>232</v>
      </c>
      <c r="R67" s="418" t="s">
        <v>232</v>
      </c>
      <c r="S67" s="418" t="s">
        <v>232</v>
      </c>
      <c r="T67" s="418" t="s">
        <v>232</v>
      </c>
      <c r="U67" s="418" t="s">
        <v>232</v>
      </c>
      <c r="V67" s="418">
        <v>34</v>
      </c>
      <c r="W67" s="418">
        <f t="shared" si="120"/>
        <v>0.6</v>
      </c>
      <c r="X67" s="418" t="s">
        <v>232</v>
      </c>
      <c r="Y67" s="1884" t="str">
        <f t="shared" si="121"/>
        <v>na</v>
      </c>
      <c r="Z67" s="1886">
        <f t="shared" si="122"/>
        <v>0.6</v>
      </c>
      <c r="AA67" s="1887">
        <f t="shared" si="151"/>
        <v>0.6</v>
      </c>
      <c r="AB67" s="1887">
        <f t="shared" si="151"/>
        <v>0.6</v>
      </c>
      <c r="AC67" s="1887">
        <f t="shared" si="152"/>
        <v>1.2</v>
      </c>
      <c r="AD67" s="1887">
        <f t="shared" si="153"/>
        <v>3.5999999999999996</v>
      </c>
      <c r="AE67" s="298" t="s">
        <v>232</v>
      </c>
      <c r="AF67" s="298" t="s">
        <v>232</v>
      </c>
      <c r="AG67" s="1887">
        <f t="shared" si="154"/>
        <v>0.6</v>
      </c>
      <c r="AH67" s="1887">
        <f t="shared" si="154"/>
        <v>0.6</v>
      </c>
      <c r="AI67" s="1887">
        <f t="shared" si="155"/>
        <v>1.2</v>
      </c>
      <c r="AJ67" s="1887">
        <f t="shared" si="156"/>
        <v>3.5999999999999996</v>
      </c>
      <c r="AK67" s="298" t="s">
        <v>232</v>
      </c>
      <c r="AL67" s="298" t="s">
        <v>232</v>
      </c>
      <c r="AM67" s="1887">
        <f t="shared" si="157"/>
        <v>0.6</v>
      </c>
      <c r="AN67" s="298">
        <f t="shared" si="123"/>
        <v>0.6</v>
      </c>
      <c r="AO67" s="298">
        <f t="shared" si="124"/>
        <v>1.2</v>
      </c>
      <c r="AP67" s="298">
        <f t="shared" si="125"/>
        <v>0.6</v>
      </c>
      <c r="AQ67" s="298">
        <f t="shared" si="126"/>
        <v>1.2</v>
      </c>
      <c r="AR67" s="1887">
        <f t="shared" si="127"/>
        <v>0.6</v>
      </c>
      <c r="AS67" s="1051"/>
      <c r="AU67" s="1332" t="str">
        <f t="shared" si="128"/>
        <v/>
      </c>
      <c r="AV67" s="1114" t="str">
        <f t="shared" si="129"/>
        <v/>
      </c>
      <c r="AW67" s="1114" t="str">
        <f t="shared" si="130"/>
        <v>X</v>
      </c>
      <c r="AX67" s="1114" t="str">
        <f t="shared" si="131"/>
        <v/>
      </c>
      <c r="AY67" s="1113" t="str">
        <f t="shared" si="132"/>
        <v/>
      </c>
      <c r="AZ67" s="1114" t="str">
        <f t="shared" si="133"/>
        <v/>
      </c>
      <c r="BA67" s="1114" t="str">
        <f t="shared" si="134"/>
        <v>X</v>
      </c>
      <c r="BB67" s="1704" t="str">
        <f t="shared" si="135"/>
        <v/>
      </c>
      <c r="BC67" s="1113" t="str">
        <f t="shared" si="136"/>
        <v/>
      </c>
      <c r="BD67" s="1114" t="str">
        <f t="shared" si="137"/>
        <v/>
      </c>
      <c r="BE67" s="1114" t="str">
        <f t="shared" si="138"/>
        <v>X</v>
      </c>
      <c r="BF67" s="1114" t="str">
        <f t="shared" si="139"/>
        <v/>
      </c>
      <c r="BG67" s="1114" t="str">
        <f t="shared" si="140"/>
        <v/>
      </c>
      <c r="BH67" s="1114" t="str">
        <f t="shared" si="141"/>
        <v/>
      </c>
      <c r="BI67" s="1114" t="str">
        <f t="shared" si="142"/>
        <v>X</v>
      </c>
      <c r="BJ67" s="1115" t="str">
        <f t="shared" si="143"/>
        <v/>
      </c>
      <c r="BL67" s="1885"/>
    </row>
    <row r="68" spans="1:64" ht="13.9" customHeight="1" x14ac:dyDescent="0.25">
      <c r="A68" s="1917">
        <f>Chem!A68</f>
        <v>66</v>
      </c>
      <c r="B68" s="1880" t="str">
        <f>Chem!B68</f>
        <v>Methyl isopropyl phenanthrene (retene)</v>
      </c>
      <c r="C68" s="394" t="str">
        <f>Param!AK68</f>
        <v>no</v>
      </c>
      <c r="D68" s="317" t="str">
        <f>IF(ISNUMBER(Param!AN68),Param!AN68,Param!AM68)</f>
        <v>na</v>
      </c>
      <c r="E68" s="273" t="s">
        <v>232</v>
      </c>
      <c r="F68" s="643" t="s">
        <v>232</v>
      </c>
      <c r="G68" s="550" t="s">
        <v>232</v>
      </c>
      <c r="H68" s="550" t="s">
        <v>232</v>
      </c>
      <c r="I68" s="273" t="s">
        <v>232</v>
      </c>
      <c r="J68" s="273" t="s">
        <v>232</v>
      </c>
      <c r="K68" s="219" t="str">
        <f>IF(C68="YES",'SD-Eq'!V68,"na")</f>
        <v>na</v>
      </c>
      <c r="L68" s="273" t="str">
        <f>IF(C68="YES",'SD-Eq'!Z68,"na")</f>
        <v>na</v>
      </c>
      <c r="M68" s="435" t="str">
        <f t="shared" si="116"/>
        <v>na</v>
      </c>
      <c r="N68" s="273" t="str">
        <f t="shared" si="117"/>
        <v>na</v>
      </c>
      <c r="O68" s="1794" t="str">
        <f t="shared" si="118"/>
        <v>na</v>
      </c>
      <c r="P68" s="1789" t="str">
        <f t="shared" si="119"/>
        <v>na</v>
      </c>
      <c r="Q68" s="418" t="s">
        <v>232</v>
      </c>
      <c r="R68" s="418" t="s">
        <v>232</v>
      </c>
      <c r="S68" s="418" t="s">
        <v>232</v>
      </c>
      <c r="T68" s="418" t="s">
        <v>232</v>
      </c>
      <c r="U68" s="418" t="s">
        <v>232</v>
      </c>
      <c r="V68" s="418" t="s">
        <v>232</v>
      </c>
      <c r="W68" s="418" t="str">
        <f t="shared" si="120"/>
        <v>na</v>
      </c>
      <c r="X68" s="418" t="s">
        <v>232</v>
      </c>
      <c r="Y68" s="1884" t="str">
        <f t="shared" si="121"/>
        <v>na</v>
      </c>
      <c r="Z68" s="1884" t="str">
        <f t="shared" si="122"/>
        <v>na</v>
      </c>
      <c r="AA68" s="1789" t="s">
        <v>232</v>
      </c>
      <c r="AB68" s="1789" t="s">
        <v>232</v>
      </c>
      <c r="AC68" s="273" t="s">
        <v>232</v>
      </c>
      <c r="AD68" s="273" t="s">
        <v>232</v>
      </c>
      <c r="AE68" s="273" t="s">
        <v>232</v>
      </c>
      <c r="AF68" s="273" t="s">
        <v>232</v>
      </c>
      <c r="AG68" s="1789" t="s">
        <v>232</v>
      </c>
      <c r="AH68" s="1789" t="s">
        <v>232</v>
      </c>
      <c r="AI68" s="273" t="s">
        <v>232</v>
      </c>
      <c r="AJ68" s="273" t="s">
        <v>232</v>
      </c>
      <c r="AK68" s="273" t="s">
        <v>232</v>
      </c>
      <c r="AL68" s="273" t="s">
        <v>232</v>
      </c>
      <c r="AM68" s="1789" t="s">
        <v>232</v>
      </c>
      <c r="AN68" s="273" t="str">
        <f t="shared" si="123"/>
        <v>na</v>
      </c>
      <c r="AO68" s="273" t="str">
        <f t="shared" si="124"/>
        <v>na</v>
      </c>
      <c r="AP68" s="273" t="str">
        <f t="shared" si="125"/>
        <v>na</v>
      </c>
      <c r="AQ68" s="273" t="str">
        <f t="shared" si="126"/>
        <v>na</v>
      </c>
      <c r="AR68" s="1789" t="str">
        <f t="shared" si="127"/>
        <v>na</v>
      </c>
      <c r="AS68" s="1051"/>
      <c r="AU68" s="1332" t="str">
        <f t="shared" si="128"/>
        <v/>
      </c>
      <c r="AV68" s="1114" t="str">
        <f t="shared" si="129"/>
        <v/>
      </c>
      <c r="AW68" s="1114" t="str">
        <f t="shared" si="130"/>
        <v/>
      </c>
      <c r="AX68" s="1114" t="str">
        <f t="shared" si="131"/>
        <v/>
      </c>
      <c r="AY68" s="1113" t="str">
        <f t="shared" si="132"/>
        <v/>
      </c>
      <c r="AZ68" s="1114" t="str">
        <f t="shared" si="133"/>
        <v/>
      </c>
      <c r="BA68" s="1114" t="str">
        <f t="shared" si="134"/>
        <v/>
      </c>
      <c r="BB68" s="1704" t="str">
        <f t="shared" si="135"/>
        <v/>
      </c>
      <c r="BC68" s="1113" t="str">
        <f t="shared" si="136"/>
        <v/>
      </c>
      <c r="BD68" s="1114" t="str">
        <f t="shared" si="137"/>
        <v/>
      </c>
      <c r="BE68" s="1114" t="str">
        <f t="shared" si="138"/>
        <v/>
      </c>
      <c r="BF68" s="1114" t="str">
        <f t="shared" si="139"/>
        <v/>
      </c>
      <c r="BG68" s="1114" t="str">
        <f t="shared" si="140"/>
        <v/>
      </c>
      <c r="BH68" s="1114" t="str">
        <f t="shared" si="141"/>
        <v/>
      </c>
      <c r="BI68" s="1114" t="str">
        <f t="shared" si="142"/>
        <v/>
      </c>
      <c r="BJ68" s="1115" t="str">
        <f t="shared" si="143"/>
        <v/>
      </c>
      <c r="BL68" s="1885"/>
    </row>
    <row r="69" spans="1:64" ht="13.9" customHeight="1" x14ac:dyDescent="0.25">
      <c r="A69" s="1917">
        <f>Chem!A69</f>
        <v>67</v>
      </c>
      <c r="B69" s="1880" t="str">
        <f>Chem!B69</f>
        <v>1-Methylnaphthalene</v>
      </c>
      <c r="C69" s="394" t="str">
        <f>Param!AK69</f>
        <v>no</v>
      </c>
      <c r="D69" s="317" t="str">
        <f>IF(ISNUMBER(Param!AN69),Param!AN69,Param!AM69)</f>
        <v>na</v>
      </c>
      <c r="E69" s="273" t="s">
        <v>232</v>
      </c>
      <c r="F69" s="643" t="s">
        <v>232</v>
      </c>
      <c r="G69" s="550" t="s">
        <v>232</v>
      </c>
      <c r="H69" s="550" t="s">
        <v>232</v>
      </c>
      <c r="I69" s="273" t="s">
        <v>232</v>
      </c>
      <c r="J69" s="273" t="s">
        <v>232</v>
      </c>
      <c r="K69" s="219" t="str">
        <f>IF(C69="YES",'SD-Eq'!V69,"na")</f>
        <v>na</v>
      </c>
      <c r="L69" s="273" t="str">
        <f>IF(C69="YES",'SD-Eq'!Z69,"na")</f>
        <v>na</v>
      </c>
      <c r="M69" s="435" t="str">
        <f t="shared" si="116"/>
        <v>na</v>
      </c>
      <c r="N69" s="273" t="str">
        <f t="shared" si="117"/>
        <v>na</v>
      </c>
      <c r="O69" s="1794" t="str">
        <f t="shared" si="118"/>
        <v>na</v>
      </c>
      <c r="P69" s="1789" t="str">
        <f t="shared" si="119"/>
        <v>na</v>
      </c>
      <c r="Q69" s="418" t="s">
        <v>232</v>
      </c>
      <c r="R69" s="418" t="s">
        <v>232</v>
      </c>
      <c r="S69" s="418" t="s">
        <v>232</v>
      </c>
      <c r="T69" s="418" t="s">
        <v>232</v>
      </c>
      <c r="U69" s="418" t="s">
        <v>232</v>
      </c>
      <c r="V69" s="418" t="s">
        <v>232</v>
      </c>
      <c r="W69" s="418" t="str">
        <f t="shared" si="120"/>
        <v>na</v>
      </c>
      <c r="X69" s="418" t="s">
        <v>232</v>
      </c>
      <c r="Y69" s="1884" t="str">
        <f t="shared" si="121"/>
        <v>na</v>
      </c>
      <c r="Z69" s="1884" t="str">
        <f t="shared" si="122"/>
        <v>na</v>
      </c>
      <c r="AA69" s="1789" t="s">
        <v>232</v>
      </c>
      <c r="AB69" s="1789" t="s">
        <v>232</v>
      </c>
      <c r="AC69" s="273" t="s">
        <v>232</v>
      </c>
      <c r="AD69" s="273" t="s">
        <v>232</v>
      </c>
      <c r="AE69" s="273" t="s">
        <v>232</v>
      </c>
      <c r="AF69" s="273" t="s">
        <v>232</v>
      </c>
      <c r="AG69" s="1789" t="s">
        <v>232</v>
      </c>
      <c r="AH69" s="1789" t="s">
        <v>232</v>
      </c>
      <c r="AI69" s="273" t="s">
        <v>232</v>
      </c>
      <c r="AJ69" s="273" t="s">
        <v>232</v>
      </c>
      <c r="AK69" s="273" t="s">
        <v>232</v>
      </c>
      <c r="AL69" s="273" t="s">
        <v>232</v>
      </c>
      <c r="AM69" s="1789" t="s">
        <v>232</v>
      </c>
      <c r="AN69" s="273" t="str">
        <f t="shared" si="123"/>
        <v>na</v>
      </c>
      <c r="AO69" s="273" t="str">
        <f t="shared" si="124"/>
        <v>na</v>
      </c>
      <c r="AP69" s="273" t="str">
        <f t="shared" si="125"/>
        <v>na</v>
      </c>
      <c r="AQ69" s="273" t="str">
        <f t="shared" si="126"/>
        <v>na</v>
      </c>
      <c r="AR69" s="1789" t="str">
        <f t="shared" si="127"/>
        <v>na</v>
      </c>
      <c r="AS69" s="1051"/>
      <c r="AU69" s="1332" t="str">
        <f t="shared" si="128"/>
        <v/>
      </c>
      <c r="AV69" s="1114" t="str">
        <f t="shared" si="129"/>
        <v/>
      </c>
      <c r="AW69" s="1114" t="str">
        <f t="shared" si="130"/>
        <v/>
      </c>
      <c r="AX69" s="1114" t="str">
        <f t="shared" si="131"/>
        <v/>
      </c>
      <c r="AY69" s="1113" t="str">
        <f t="shared" si="132"/>
        <v/>
      </c>
      <c r="AZ69" s="1114" t="str">
        <f t="shared" si="133"/>
        <v/>
      </c>
      <c r="BA69" s="1114" t="str">
        <f t="shared" si="134"/>
        <v/>
      </c>
      <c r="BB69" s="1704" t="str">
        <f t="shared" si="135"/>
        <v/>
      </c>
      <c r="BC69" s="1113" t="str">
        <f t="shared" si="136"/>
        <v/>
      </c>
      <c r="BD69" s="1114" t="str">
        <f t="shared" si="137"/>
        <v/>
      </c>
      <c r="BE69" s="1114" t="str">
        <f t="shared" si="138"/>
        <v/>
      </c>
      <c r="BF69" s="1114" t="str">
        <f t="shared" si="139"/>
        <v/>
      </c>
      <c r="BG69" s="1114" t="str">
        <f t="shared" si="140"/>
        <v/>
      </c>
      <c r="BH69" s="1114" t="str">
        <f t="shared" si="141"/>
        <v/>
      </c>
      <c r="BI69" s="1114" t="str">
        <f t="shared" si="142"/>
        <v/>
      </c>
      <c r="BJ69" s="1115" t="str">
        <f t="shared" si="143"/>
        <v/>
      </c>
      <c r="BL69" s="1885"/>
    </row>
    <row r="70" spans="1:64" ht="13.9" customHeight="1" x14ac:dyDescent="0.25">
      <c r="A70" s="1917">
        <f>Chem!A70</f>
        <v>68</v>
      </c>
      <c r="B70" s="1880" t="str">
        <f>Chem!B70</f>
        <v>2-Methylnaphthalene</v>
      </c>
      <c r="C70" s="394" t="str">
        <f>Param!AK70</f>
        <v>no</v>
      </c>
      <c r="D70" s="317" t="str">
        <f>IF(ISNUMBER(Param!AN70),Param!AN70,Param!AM70)</f>
        <v>na</v>
      </c>
      <c r="E70" s="273" t="s">
        <v>232</v>
      </c>
      <c r="F70" s="643">
        <v>7.0000000000000001E-3</v>
      </c>
      <c r="G70" s="550">
        <v>38</v>
      </c>
      <c r="H70" s="550">
        <v>0.67</v>
      </c>
      <c r="I70" s="273">
        <v>64</v>
      </c>
      <c r="J70" s="273">
        <v>0.67</v>
      </c>
      <c r="K70" s="219" t="str">
        <f>IF(C70="YES",'SD-Eq'!V70,"na")</f>
        <v>na</v>
      </c>
      <c r="L70" s="273" t="str">
        <f>IF(C70="YES",'SD-Eq'!Z70,"na")</f>
        <v>na</v>
      </c>
      <c r="M70" s="435" t="str">
        <f t="shared" si="116"/>
        <v>na</v>
      </c>
      <c r="N70" s="273" t="str">
        <f t="shared" si="117"/>
        <v>na</v>
      </c>
      <c r="O70" s="1794">
        <f t="shared" si="118"/>
        <v>0.67</v>
      </c>
      <c r="P70" s="1789">
        <f t="shared" si="119"/>
        <v>0.67</v>
      </c>
      <c r="Q70" s="418" t="s">
        <v>232</v>
      </c>
      <c r="R70" s="418" t="s">
        <v>232</v>
      </c>
      <c r="S70" s="418" t="s">
        <v>232</v>
      </c>
      <c r="T70" s="418" t="s">
        <v>232</v>
      </c>
      <c r="U70" s="418" t="s">
        <v>232</v>
      </c>
      <c r="V70" s="418">
        <v>38</v>
      </c>
      <c r="W70" s="418">
        <f t="shared" si="120"/>
        <v>0.67</v>
      </c>
      <c r="X70" s="418" t="s">
        <v>232</v>
      </c>
      <c r="Y70" s="1884" t="str">
        <f t="shared" si="121"/>
        <v>na</v>
      </c>
      <c r="Z70" s="1886">
        <f t="shared" si="122"/>
        <v>0.67</v>
      </c>
      <c r="AA70" s="1887">
        <f t="shared" ref="AA70:AB75" si="158">$H70</f>
        <v>0.67</v>
      </c>
      <c r="AB70" s="1887">
        <f t="shared" si="158"/>
        <v>0.67</v>
      </c>
      <c r="AC70" s="1887">
        <f t="shared" ref="AC70:AC75" si="159">2*$H70</f>
        <v>1.34</v>
      </c>
      <c r="AD70" s="1887">
        <f t="shared" ref="AD70:AD75" si="160">6*$H70</f>
        <v>4.0200000000000005</v>
      </c>
      <c r="AE70" s="298" t="s">
        <v>232</v>
      </c>
      <c r="AF70" s="298" t="s">
        <v>232</v>
      </c>
      <c r="AG70" s="1887">
        <f t="shared" ref="AG70:AH75" si="161">$H70</f>
        <v>0.67</v>
      </c>
      <c r="AH70" s="1887">
        <f t="shared" si="161"/>
        <v>0.67</v>
      </c>
      <c r="AI70" s="1887">
        <f t="shared" ref="AI70:AI75" si="162">2*$H70</f>
        <v>1.34</v>
      </c>
      <c r="AJ70" s="1887">
        <f t="shared" ref="AJ70:AJ75" si="163">6*$H70</f>
        <v>4.0200000000000005</v>
      </c>
      <c r="AK70" s="298" t="s">
        <v>232</v>
      </c>
      <c r="AL70" s="298" t="s">
        <v>232</v>
      </c>
      <c r="AM70" s="1887">
        <f t="shared" ref="AM70:AM75" si="164">$H70</f>
        <v>0.67</v>
      </c>
      <c r="AN70" s="298">
        <f t="shared" si="123"/>
        <v>0.67</v>
      </c>
      <c r="AO70" s="298">
        <f t="shared" si="124"/>
        <v>1.34</v>
      </c>
      <c r="AP70" s="298">
        <f t="shared" si="125"/>
        <v>0.67</v>
      </c>
      <c r="AQ70" s="298">
        <f t="shared" si="126"/>
        <v>1.34</v>
      </c>
      <c r="AR70" s="1887">
        <f t="shared" si="127"/>
        <v>0.67</v>
      </c>
      <c r="AS70" s="1051"/>
      <c r="AU70" s="1332" t="str">
        <f t="shared" si="128"/>
        <v/>
      </c>
      <c r="AV70" s="1114" t="str">
        <f t="shared" si="129"/>
        <v/>
      </c>
      <c r="AW70" s="1114" t="str">
        <f t="shared" si="130"/>
        <v>X</v>
      </c>
      <c r="AX70" s="1114" t="str">
        <f t="shared" si="131"/>
        <v/>
      </c>
      <c r="AY70" s="1113" t="str">
        <f t="shared" si="132"/>
        <v/>
      </c>
      <c r="AZ70" s="1114" t="str">
        <f t="shared" si="133"/>
        <v/>
      </c>
      <c r="BA70" s="1114" t="str">
        <f t="shared" si="134"/>
        <v>X</v>
      </c>
      <c r="BB70" s="1704" t="str">
        <f t="shared" si="135"/>
        <v/>
      </c>
      <c r="BC70" s="1113" t="str">
        <f t="shared" si="136"/>
        <v/>
      </c>
      <c r="BD70" s="1114" t="str">
        <f t="shared" si="137"/>
        <v/>
      </c>
      <c r="BE70" s="1114" t="str">
        <f t="shared" si="138"/>
        <v>X</v>
      </c>
      <c r="BF70" s="1114" t="str">
        <f t="shared" si="139"/>
        <v/>
      </c>
      <c r="BG70" s="1114" t="str">
        <f t="shared" si="140"/>
        <v/>
      </c>
      <c r="BH70" s="1114" t="str">
        <f t="shared" si="141"/>
        <v/>
      </c>
      <c r="BI70" s="1114" t="str">
        <f t="shared" si="142"/>
        <v>X</v>
      </c>
      <c r="BJ70" s="1115" t="str">
        <f t="shared" si="143"/>
        <v/>
      </c>
      <c r="BL70" s="1885"/>
    </row>
    <row r="71" spans="1:64" ht="13.9" customHeight="1" x14ac:dyDescent="0.25">
      <c r="A71" s="1917">
        <f>Chem!A71</f>
        <v>69</v>
      </c>
      <c r="B71" s="1880" t="str">
        <f>Chem!B71</f>
        <v>Naphthalene</v>
      </c>
      <c r="C71" s="394" t="str">
        <f>Param!AK71</f>
        <v>no</v>
      </c>
      <c r="D71" s="317" t="str">
        <f>IF(ISNUMBER(Param!AN71),Param!AN71,Param!AM71)</f>
        <v>na</v>
      </c>
      <c r="E71" s="273" t="s">
        <v>232</v>
      </c>
      <c r="F71" s="643">
        <v>6.0000000000000001E-3</v>
      </c>
      <c r="G71" s="550">
        <v>99</v>
      </c>
      <c r="H71" s="550">
        <v>2.1</v>
      </c>
      <c r="I71" s="273">
        <v>170</v>
      </c>
      <c r="J71" s="273">
        <v>2.1</v>
      </c>
      <c r="K71" s="219" t="str">
        <f>IF(C71="YES",'SD-Eq'!V71,"na")</f>
        <v>na</v>
      </c>
      <c r="L71" s="273" t="str">
        <f>IF(C71="YES",'SD-Eq'!Z71,"na")</f>
        <v>na</v>
      </c>
      <c r="M71" s="435" t="str">
        <f t="shared" si="116"/>
        <v>na</v>
      </c>
      <c r="N71" s="273" t="str">
        <f t="shared" si="117"/>
        <v>na</v>
      </c>
      <c r="O71" s="1794">
        <f t="shared" si="118"/>
        <v>2.1</v>
      </c>
      <c r="P71" s="1789">
        <f t="shared" si="119"/>
        <v>2.1</v>
      </c>
      <c r="Q71" s="418" t="s">
        <v>232</v>
      </c>
      <c r="R71" s="418" t="s">
        <v>232</v>
      </c>
      <c r="S71" s="418" t="s">
        <v>232</v>
      </c>
      <c r="T71" s="418" t="s">
        <v>232</v>
      </c>
      <c r="U71" s="418" t="s">
        <v>232</v>
      </c>
      <c r="V71" s="418">
        <v>99</v>
      </c>
      <c r="W71" s="418">
        <f t="shared" si="120"/>
        <v>2.1</v>
      </c>
      <c r="X71" s="418" t="s">
        <v>232</v>
      </c>
      <c r="Y71" s="1884" t="str">
        <f t="shared" si="121"/>
        <v>na</v>
      </c>
      <c r="Z71" s="1886">
        <f t="shared" si="122"/>
        <v>2.1</v>
      </c>
      <c r="AA71" s="1887">
        <f t="shared" si="158"/>
        <v>2.1</v>
      </c>
      <c r="AB71" s="1887">
        <f t="shared" si="158"/>
        <v>2.1</v>
      </c>
      <c r="AC71" s="1887">
        <f t="shared" si="159"/>
        <v>4.2</v>
      </c>
      <c r="AD71" s="1887">
        <f t="shared" si="160"/>
        <v>12.600000000000001</v>
      </c>
      <c r="AE71" s="298" t="s">
        <v>232</v>
      </c>
      <c r="AF71" s="298" t="s">
        <v>232</v>
      </c>
      <c r="AG71" s="1887">
        <f t="shared" si="161"/>
        <v>2.1</v>
      </c>
      <c r="AH71" s="1887">
        <f t="shared" si="161"/>
        <v>2.1</v>
      </c>
      <c r="AI71" s="1887">
        <f t="shared" si="162"/>
        <v>4.2</v>
      </c>
      <c r="AJ71" s="1887">
        <f t="shared" si="163"/>
        <v>12.600000000000001</v>
      </c>
      <c r="AK71" s="298" t="s">
        <v>232</v>
      </c>
      <c r="AL71" s="298" t="s">
        <v>232</v>
      </c>
      <c r="AM71" s="1887">
        <f t="shared" si="164"/>
        <v>2.1</v>
      </c>
      <c r="AN71" s="298">
        <f t="shared" si="123"/>
        <v>2.1</v>
      </c>
      <c r="AO71" s="298">
        <f t="shared" si="124"/>
        <v>4.2</v>
      </c>
      <c r="AP71" s="298">
        <f t="shared" si="125"/>
        <v>2.1</v>
      </c>
      <c r="AQ71" s="298">
        <f t="shared" si="126"/>
        <v>4.2</v>
      </c>
      <c r="AR71" s="1887">
        <f t="shared" si="127"/>
        <v>2.1</v>
      </c>
      <c r="AS71" s="1051"/>
      <c r="AU71" s="1332" t="str">
        <f t="shared" si="128"/>
        <v/>
      </c>
      <c r="AV71" s="1114" t="str">
        <f t="shared" si="129"/>
        <v/>
      </c>
      <c r="AW71" s="1114" t="str">
        <f t="shared" si="130"/>
        <v>X</v>
      </c>
      <c r="AX71" s="1114" t="str">
        <f t="shared" si="131"/>
        <v/>
      </c>
      <c r="AY71" s="1113" t="str">
        <f t="shared" si="132"/>
        <v/>
      </c>
      <c r="AZ71" s="1114" t="str">
        <f t="shared" si="133"/>
        <v/>
      </c>
      <c r="BA71" s="1114" t="str">
        <f t="shared" si="134"/>
        <v>X</v>
      </c>
      <c r="BB71" s="1704" t="str">
        <f t="shared" si="135"/>
        <v/>
      </c>
      <c r="BC71" s="1113" t="str">
        <f t="shared" si="136"/>
        <v/>
      </c>
      <c r="BD71" s="1114" t="str">
        <f t="shared" si="137"/>
        <v/>
      </c>
      <c r="BE71" s="1114" t="str">
        <f t="shared" si="138"/>
        <v>X</v>
      </c>
      <c r="BF71" s="1114" t="str">
        <f t="shared" si="139"/>
        <v/>
      </c>
      <c r="BG71" s="1114" t="str">
        <f t="shared" si="140"/>
        <v/>
      </c>
      <c r="BH71" s="1114" t="str">
        <f t="shared" si="141"/>
        <v/>
      </c>
      <c r="BI71" s="1114" t="str">
        <f t="shared" si="142"/>
        <v>X</v>
      </c>
      <c r="BJ71" s="1115" t="str">
        <f t="shared" si="143"/>
        <v/>
      </c>
      <c r="BL71" s="1885"/>
    </row>
    <row r="72" spans="1:64" ht="13.9" customHeight="1" x14ac:dyDescent="0.25">
      <c r="A72" s="1917">
        <f>Chem!A72</f>
        <v>70</v>
      </c>
      <c r="B72" s="1880" t="str">
        <f>Chem!B72</f>
        <v>Phenanthrene</v>
      </c>
      <c r="C72" s="394" t="str">
        <f>Param!AK72</f>
        <v>no</v>
      </c>
      <c r="D72" s="317" t="str">
        <f>IF(ISNUMBER(Param!AN72),Param!AN72,Param!AM72)</f>
        <v>na</v>
      </c>
      <c r="E72" s="273" t="s">
        <v>232</v>
      </c>
      <c r="F72" s="643">
        <v>5.0000000000000001E-3</v>
      </c>
      <c r="G72" s="550">
        <v>100</v>
      </c>
      <c r="H72" s="550">
        <v>1.5</v>
      </c>
      <c r="I72" s="273">
        <v>480</v>
      </c>
      <c r="J72" s="273">
        <v>1.5</v>
      </c>
      <c r="K72" s="219" t="str">
        <f>IF(C72="YES",'SD-Eq'!V72,"na")</f>
        <v>na</v>
      </c>
      <c r="L72" s="273" t="str">
        <f>IF(C72="YES",'SD-Eq'!Z72,"na")</f>
        <v>na</v>
      </c>
      <c r="M72" s="435" t="str">
        <f t="shared" si="116"/>
        <v>na</v>
      </c>
      <c r="N72" s="273" t="str">
        <f t="shared" si="117"/>
        <v>na</v>
      </c>
      <c r="O72" s="1794">
        <f t="shared" si="118"/>
        <v>1.5</v>
      </c>
      <c r="P72" s="1789">
        <f t="shared" si="119"/>
        <v>1.5</v>
      </c>
      <c r="Q72" s="418" t="s">
        <v>232</v>
      </c>
      <c r="R72" s="418" t="s">
        <v>232</v>
      </c>
      <c r="S72" s="418" t="s">
        <v>232</v>
      </c>
      <c r="T72" s="418" t="s">
        <v>232</v>
      </c>
      <c r="U72" s="418" t="s">
        <v>232</v>
      </c>
      <c r="V72" s="418">
        <v>100</v>
      </c>
      <c r="W72" s="418">
        <f t="shared" si="120"/>
        <v>1.5</v>
      </c>
      <c r="X72" s="418" t="s">
        <v>232</v>
      </c>
      <c r="Y72" s="1884" t="str">
        <f t="shared" si="121"/>
        <v>na</v>
      </c>
      <c r="Z72" s="1886">
        <f t="shared" si="122"/>
        <v>1.5</v>
      </c>
      <c r="AA72" s="1887">
        <f t="shared" si="158"/>
        <v>1.5</v>
      </c>
      <c r="AB72" s="1887">
        <f t="shared" si="158"/>
        <v>1.5</v>
      </c>
      <c r="AC72" s="1887">
        <f t="shared" si="159"/>
        <v>3</v>
      </c>
      <c r="AD72" s="1887">
        <f t="shared" si="160"/>
        <v>9</v>
      </c>
      <c r="AE72" s="298" t="s">
        <v>232</v>
      </c>
      <c r="AF72" s="298" t="s">
        <v>232</v>
      </c>
      <c r="AG72" s="1887">
        <f t="shared" si="161"/>
        <v>1.5</v>
      </c>
      <c r="AH72" s="1887">
        <f t="shared" si="161"/>
        <v>1.5</v>
      </c>
      <c r="AI72" s="1887">
        <f t="shared" si="162"/>
        <v>3</v>
      </c>
      <c r="AJ72" s="1887">
        <f t="shared" si="163"/>
        <v>9</v>
      </c>
      <c r="AK72" s="298" t="s">
        <v>232</v>
      </c>
      <c r="AL72" s="298" t="s">
        <v>232</v>
      </c>
      <c r="AM72" s="1887">
        <f t="shared" si="164"/>
        <v>1.5</v>
      </c>
      <c r="AN72" s="298">
        <f t="shared" si="123"/>
        <v>1.5</v>
      </c>
      <c r="AO72" s="298">
        <f t="shared" si="124"/>
        <v>3</v>
      </c>
      <c r="AP72" s="298">
        <f t="shared" si="125"/>
        <v>1.5</v>
      </c>
      <c r="AQ72" s="298">
        <f t="shared" si="126"/>
        <v>3</v>
      </c>
      <c r="AR72" s="1887">
        <f t="shared" si="127"/>
        <v>1.5</v>
      </c>
      <c r="AS72" s="1051"/>
      <c r="AU72" s="1332" t="str">
        <f t="shared" si="128"/>
        <v/>
      </c>
      <c r="AV72" s="1114" t="str">
        <f t="shared" si="129"/>
        <v/>
      </c>
      <c r="AW72" s="1114" t="str">
        <f t="shared" si="130"/>
        <v>X</v>
      </c>
      <c r="AX72" s="1114" t="str">
        <f t="shared" si="131"/>
        <v/>
      </c>
      <c r="AY72" s="1113" t="str">
        <f t="shared" si="132"/>
        <v/>
      </c>
      <c r="AZ72" s="1114" t="str">
        <f t="shared" si="133"/>
        <v/>
      </c>
      <c r="BA72" s="1114" t="str">
        <f t="shared" si="134"/>
        <v>X</v>
      </c>
      <c r="BB72" s="1704" t="str">
        <f t="shared" si="135"/>
        <v/>
      </c>
      <c r="BC72" s="1113" t="str">
        <f t="shared" si="136"/>
        <v/>
      </c>
      <c r="BD72" s="1114" t="str">
        <f t="shared" si="137"/>
        <v/>
      </c>
      <c r="BE72" s="1114" t="str">
        <f t="shared" si="138"/>
        <v>X</v>
      </c>
      <c r="BF72" s="1114" t="str">
        <f t="shared" si="139"/>
        <v/>
      </c>
      <c r="BG72" s="1114" t="str">
        <f t="shared" si="140"/>
        <v/>
      </c>
      <c r="BH72" s="1114" t="str">
        <f t="shared" si="141"/>
        <v/>
      </c>
      <c r="BI72" s="1114" t="str">
        <f t="shared" si="142"/>
        <v>X</v>
      </c>
      <c r="BJ72" s="1115" t="str">
        <f t="shared" si="143"/>
        <v/>
      </c>
      <c r="BL72" s="1885"/>
    </row>
    <row r="73" spans="1:64" ht="13.9" customHeight="1" x14ac:dyDescent="0.25">
      <c r="A73" s="1917">
        <f>Chem!A73</f>
        <v>71</v>
      </c>
      <c r="B73" s="1880" t="str">
        <f>Chem!B73</f>
        <v>Pyrene</v>
      </c>
      <c r="C73" s="394" t="str">
        <f>Param!AK73</f>
        <v>no</v>
      </c>
      <c r="D73" s="317" t="str">
        <f>IF(ISNUMBER(Param!AN73),Param!AN73,Param!AM73)</f>
        <v>na</v>
      </c>
      <c r="E73" s="273" t="s">
        <v>232</v>
      </c>
      <c r="F73" s="643">
        <v>5.0000000000000001E-3</v>
      </c>
      <c r="G73" s="550">
        <v>1000</v>
      </c>
      <c r="H73" s="550">
        <v>2.6</v>
      </c>
      <c r="I73" s="273">
        <v>1400</v>
      </c>
      <c r="J73" s="273">
        <v>3.3</v>
      </c>
      <c r="K73" s="219" t="str">
        <f>IF(C73="YES",'SD-Eq'!V73,"na")</f>
        <v>na</v>
      </c>
      <c r="L73" s="273" t="str">
        <f>IF(C73="YES",'SD-Eq'!Z73,"na")</f>
        <v>na</v>
      </c>
      <c r="M73" s="435" t="str">
        <f t="shared" si="116"/>
        <v>na</v>
      </c>
      <c r="N73" s="273" t="str">
        <f t="shared" si="117"/>
        <v>na</v>
      </c>
      <c r="O73" s="1794">
        <f t="shared" si="118"/>
        <v>2.6</v>
      </c>
      <c r="P73" s="1789">
        <f t="shared" si="119"/>
        <v>3.3</v>
      </c>
      <c r="Q73" s="418" t="s">
        <v>232</v>
      </c>
      <c r="R73" s="418" t="s">
        <v>232</v>
      </c>
      <c r="S73" s="418" t="s">
        <v>232</v>
      </c>
      <c r="T73" s="418" t="s">
        <v>232</v>
      </c>
      <c r="U73" s="418" t="s">
        <v>232</v>
      </c>
      <c r="V73" s="418">
        <v>1000</v>
      </c>
      <c r="W73" s="418">
        <f t="shared" si="120"/>
        <v>2.6</v>
      </c>
      <c r="X73" s="418" t="s">
        <v>232</v>
      </c>
      <c r="Y73" s="1884" t="str">
        <f t="shared" si="121"/>
        <v>na</v>
      </c>
      <c r="Z73" s="1886">
        <f t="shared" si="122"/>
        <v>2.6</v>
      </c>
      <c r="AA73" s="1887">
        <f t="shared" si="158"/>
        <v>2.6</v>
      </c>
      <c r="AB73" s="1887">
        <f t="shared" si="158"/>
        <v>2.6</v>
      </c>
      <c r="AC73" s="1887">
        <f t="shared" si="159"/>
        <v>5.2</v>
      </c>
      <c r="AD73" s="1887">
        <f t="shared" si="160"/>
        <v>15.600000000000001</v>
      </c>
      <c r="AE73" s="298" t="s">
        <v>232</v>
      </c>
      <c r="AF73" s="298" t="s">
        <v>232</v>
      </c>
      <c r="AG73" s="1887">
        <f t="shared" si="161"/>
        <v>2.6</v>
      </c>
      <c r="AH73" s="1887">
        <f t="shared" si="161"/>
        <v>2.6</v>
      </c>
      <c r="AI73" s="1887">
        <f t="shared" si="162"/>
        <v>5.2</v>
      </c>
      <c r="AJ73" s="1887">
        <f t="shared" si="163"/>
        <v>15.600000000000001</v>
      </c>
      <c r="AK73" s="298" t="s">
        <v>232</v>
      </c>
      <c r="AL73" s="298" t="s">
        <v>232</v>
      </c>
      <c r="AM73" s="1887">
        <f t="shared" si="164"/>
        <v>2.6</v>
      </c>
      <c r="AN73" s="298">
        <f t="shared" si="123"/>
        <v>2.6</v>
      </c>
      <c r="AO73" s="298">
        <f t="shared" si="124"/>
        <v>5.2</v>
      </c>
      <c r="AP73" s="298">
        <f t="shared" si="125"/>
        <v>2.6</v>
      </c>
      <c r="AQ73" s="298">
        <f t="shared" si="126"/>
        <v>5.2</v>
      </c>
      <c r="AR73" s="1887">
        <f t="shared" si="127"/>
        <v>2.6</v>
      </c>
      <c r="AS73" s="1051"/>
      <c r="AU73" s="1332" t="str">
        <f t="shared" si="128"/>
        <v/>
      </c>
      <c r="AV73" s="1114" t="str">
        <f t="shared" si="129"/>
        <v/>
      </c>
      <c r="AW73" s="1114" t="str">
        <f t="shared" si="130"/>
        <v>X</v>
      </c>
      <c r="AX73" s="1114" t="str">
        <f t="shared" si="131"/>
        <v/>
      </c>
      <c r="AY73" s="1113" t="str">
        <f t="shared" si="132"/>
        <v/>
      </c>
      <c r="AZ73" s="1114" t="str">
        <f t="shared" si="133"/>
        <v/>
      </c>
      <c r="BA73" s="1114" t="str">
        <f t="shared" si="134"/>
        <v>X</v>
      </c>
      <c r="BB73" s="1704" t="str">
        <f t="shared" si="135"/>
        <v/>
      </c>
      <c r="BC73" s="1113" t="str">
        <f t="shared" si="136"/>
        <v/>
      </c>
      <c r="BD73" s="1114" t="str">
        <f t="shared" si="137"/>
        <v/>
      </c>
      <c r="BE73" s="1114" t="str">
        <f t="shared" si="138"/>
        <v>X</v>
      </c>
      <c r="BF73" s="1114" t="str">
        <f t="shared" si="139"/>
        <v/>
      </c>
      <c r="BG73" s="1114" t="str">
        <f t="shared" si="140"/>
        <v/>
      </c>
      <c r="BH73" s="1114" t="str">
        <f t="shared" si="141"/>
        <v/>
      </c>
      <c r="BI73" s="1114" t="str">
        <f t="shared" si="142"/>
        <v>X</v>
      </c>
      <c r="BJ73" s="1115" t="str">
        <f t="shared" si="143"/>
        <v/>
      </c>
      <c r="BL73" s="1885"/>
    </row>
    <row r="74" spans="1:64" ht="13.9" customHeight="1" x14ac:dyDescent="0.25">
      <c r="A74" s="1917">
        <f>Chem!A74</f>
        <v>72</v>
      </c>
      <c r="B74" s="1880" t="str">
        <f>Chem!B74</f>
        <v>Total LPAHs</v>
      </c>
      <c r="C74" s="394" t="str">
        <f>Param!AK74</f>
        <v>no</v>
      </c>
      <c r="D74" s="317" t="str">
        <f>IF(ISNUMBER(Param!AN74),Param!AN74,Param!AM74)</f>
        <v>na</v>
      </c>
      <c r="E74" s="273" t="s">
        <v>232</v>
      </c>
      <c r="F74" s="643" t="s">
        <v>232</v>
      </c>
      <c r="G74" s="550">
        <v>370</v>
      </c>
      <c r="H74" s="550">
        <v>5.2</v>
      </c>
      <c r="I74" s="273">
        <v>780</v>
      </c>
      <c r="J74" s="273">
        <v>5.2</v>
      </c>
      <c r="K74" s="219" t="str">
        <f>IF(C74="YES",'SD-Eq'!V74,"na")</f>
        <v>na</v>
      </c>
      <c r="L74" s="273" t="str">
        <f>IF(C74="YES",'SD-Eq'!Z74,"na")</f>
        <v>na</v>
      </c>
      <c r="M74" s="435" t="str">
        <f t="shared" si="116"/>
        <v>na</v>
      </c>
      <c r="N74" s="273" t="str">
        <f t="shared" si="117"/>
        <v>na</v>
      </c>
      <c r="O74" s="1794">
        <f t="shared" si="118"/>
        <v>5.2</v>
      </c>
      <c r="P74" s="1789">
        <f t="shared" si="119"/>
        <v>5.2</v>
      </c>
      <c r="Q74" s="418" t="s">
        <v>232</v>
      </c>
      <c r="R74" s="418" t="s">
        <v>232</v>
      </c>
      <c r="S74" s="418" t="s">
        <v>232</v>
      </c>
      <c r="T74" s="418" t="s">
        <v>232</v>
      </c>
      <c r="U74" s="418" t="s">
        <v>232</v>
      </c>
      <c r="V74" s="418">
        <v>370</v>
      </c>
      <c r="W74" s="418">
        <f t="shared" si="120"/>
        <v>5.2</v>
      </c>
      <c r="X74" s="418" t="s">
        <v>232</v>
      </c>
      <c r="Y74" s="1884" t="str">
        <f t="shared" si="121"/>
        <v>na</v>
      </c>
      <c r="Z74" s="1886">
        <f t="shared" si="122"/>
        <v>5.2</v>
      </c>
      <c r="AA74" s="1887">
        <f t="shared" si="158"/>
        <v>5.2</v>
      </c>
      <c r="AB74" s="1887">
        <f t="shared" si="158"/>
        <v>5.2</v>
      </c>
      <c r="AC74" s="1887">
        <f t="shared" si="159"/>
        <v>10.4</v>
      </c>
      <c r="AD74" s="1887">
        <f t="shared" si="160"/>
        <v>31.200000000000003</v>
      </c>
      <c r="AE74" s="298" t="s">
        <v>232</v>
      </c>
      <c r="AF74" s="298" t="s">
        <v>232</v>
      </c>
      <c r="AG74" s="1887">
        <f t="shared" si="161"/>
        <v>5.2</v>
      </c>
      <c r="AH74" s="1887">
        <f t="shared" si="161"/>
        <v>5.2</v>
      </c>
      <c r="AI74" s="1887">
        <f t="shared" si="162"/>
        <v>10.4</v>
      </c>
      <c r="AJ74" s="1887">
        <f t="shared" si="163"/>
        <v>31.200000000000003</v>
      </c>
      <c r="AK74" s="298" t="s">
        <v>232</v>
      </c>
      <c r="AL74" s="298" t="s">
        <v>232</v>
      </c>
      <c r="AM74" s="1887">
        <f t="shared" si="164"/>
        <v>5.2</v>
      </c>
      <c r="AN74" s="298">
        <f t="shared" si="123"/>
        <v>5.2</v>
      </c>
      <c r="AO74" s="298">
        <f t="shared" si="124"/>
        <v>10.4</v>
      </c>
      <c r="AP74" s="298">
        <f t="shared" si="125"/>
        <v>5.2</v>
      </c>
      <c r="AQ74" s="298">
        <f t="shared" si="126"/>
        <v>10.4</v>
      </c>
      <c r="AR74" s="1887">
        <f t="shared" si="127"/>
        <v>5.2</v>
      </c>
      <c r="AS74" s="1051"/>
      <c r="AU74" s="1332" t="str">
        <f t="shared" si="128"/>
        <v/>
      </c>
      <c r="AV74" s="1114" t="str">
        <f t="shared" si="129"/>
        <v/>
      </c>
      <c r="AW74" s="1114" t="str">
        <f t="shared" si="130"/>
        <v>X</v>
      </c>
      <c r="AX74" s="1114" t="str">
        <f t="shared" si="131"/>
        <v/>
      </c>
      <c r="AY74" s="1113" t="str">
        <f t="shared" si="132"/>
        <v/>
      </c>
      <c r="AZ74" s="1114" t="str">
        <f t="shared" si="133"/>
        <v/>
      </c>
      <c r="BA74" s="1114" t="str">
        <f t="shared" si="134"/>
        <v>X</v>
      </c>
      <c r="BB74" s="1704" t="str">
        <f t="shared" si="135"/>
        <v/>
      </c>
      <c r="BC74" s="1113" t="str">
        <f t="shared" si="136"/>
        <v/>
      </c>
      <c r="BD74" s="1114" t="str">
        <f t="shared" si="137"/>
        <v/>
      </c>
      <c r="BE74" s="1114" t="str">
        <f t="shared" si="138"/>
        <v>X</v>
      </c>
      <c r="BF74" s="1114" t="str">
        <f t="shared" si="139"/>
        <v/>
      </c>
      <c r="BG74" s="1114" t="str">
        <f t="shared" si="140"/>
        <v/>
      </c>
      <c r="BH74" s="1114" t="str">
        <f t="shared" si="141"/>
        <v/>
      </c>
      <c r="BI74" s="1114" t="str">
        <f t="shared" si="142"/>
        <v>X</v>
      </c>
      <c r="BJ74" s="1115" t="str">
        <f t="shared" si="143"/>
        <v/>
      </c>
      <c r="BL74" s="1885"/>
    </row>
    <row r="75" spans="1:64" ht="13.9" customHeight="1" x14ac:dyDescent="0.25">
      <c r="A75" s="1917">
        <f>Chem!A75</f>
        <v>73</v>
      </c>
      <c r="B75" s="1880" t="str">
        <f>Chem!B75</f>
        <v>Total HPAHs</v>
      </c>
      <c r="C75" s="394" t="str">
        <f>Param!AK75</f>
        <v>no</v>
      </c>
      <c r="D75" s="317" t="str">
        <f>IF(ISNUMBER(Param!AN75),Param!AN75,Param!AM75)</f>
        <v>na</v>
      </c>
      <c r="E75" s="273" t="s">
        <v>232</v>
      </c>
      <c r="F75" s="643" t="s">
        <v>232</v>
      </c>
      <c r="G75" s="550">
        <v>960</v>
      </c>
      <c r="H75" s="550">
        <v>12</v>
      </c>
      <c r="I75" s="273">
        <v>5300</v>
      </c>
      <c r="J75" s="273">
        <v>17</v>
      </c>
      <c r="K75" s="219" t="str">
        <f>IF(C75="YES",'SD-Eq'!V75,"na")</f>
        <v>na</v>
      </c>
      <c r="L75" s="273" t="str">
        <f>IF(C75="YES",'SD-Eq'!Z75,"na")</f>
        <v>na</v>
      </c>
      <c r="M75" s="435" t="str">
        <f t="shared" si="116"/>
        <v>na</v>
      </c>
      <c r="N75" s="273" t="str">
        <f t="shared" si="117"/>
        <v>na</v>
      </c>
      <c r="O75" s="1794">
        <f t="shared" si="118"/>
        <v>12</v>
      </c>
      <c r="P75" s="1789">
        <f t="shared" si="119"/>
        <v>17</v>
      </c>
      <c r="Q75" s="418" t="s">
        <v>232</v>
      </c>
      <c r="R75" s="418" t="s">
        <v>232</v>
      </c>
      <c r="S75" s="418" t="s">
        <v>232</v>
      </c>
      <c r="T75" s="418" t="s">
        <v>232</v>
      </c>
      <c r="U75" s="418" t="s">
        <v>232</v>
      </c>
      <c r="V75" s="418">
        <v>960</v>
      </c>
      <c r="W75" s="418">
        <f t="shared" si="120"/>
        <v>12</v>
      </c>
      <c r="X75" s="418" t="s">
        <v>232</v>
      </c>
      <c r="Y75" s="1884" t="str">
        <f t="shared" si="121"/>
        <v>na</v>
      </c>
      <c r="Z75" s="1886">
        <f t="shared" si="122"/>
        <v>12</v>
      </c>
      <c r="AA75" s="1887">
        <f t="shared" si="158"/>
        <v>12</v>
      </c>
      <c r="AB75" s="1887">
        <f t="shared" si="158"/>
        <v>12</v>
      </c>
      <c r="AC75" s="1887">
        <f t="shared" si="159"/>
        <v>24</v>
      </c>
      <c r="AD75" s="1887">
        <f t="shared" si="160"/>
        <v>72</v>
      </c>
      <c r="AE75" s="298" t="s">
        <v>232</v>
      </c>
      <c r="AF75" s="298" t="s">
        <v>232</v>
      </c>
      <c r="AG75" s="1887">
        <f t="shared" si="161"/>
        <v>12</v>
      </c>
      <c r="AH75" s="1887">
        <f t="shared" si="161"/>
        <v>12</v>
      </c>
      <c r="AI75" s="1887">
        <f t="shared" si="162"/>
        <v>24</v>
      </c>
      <c r="AJ75" s="1887">
        <f t="shared" si="163"/>
        <v>72</v>
      </c>
      <c r="AK75" s="298" t="s">
        <v>232</v>
      </c>
      <c r="AL75" s="298" t="s">
        <v>232</v>
      </c>
      <c r="AM75" s="1887">
        <f t="shared" si="164"/>
        <v>12</v>
      </c>
      <c r="AN75" s="298">
        <f t="shared" si="123"/>
        <v>12</v>
      </c>
      <c r="AO75" s="298">
        <f t="shared" si="124"/>
        <v>24</v>
      </c>
      <c r="AP75" s="298">
        <f t="shared" si="125"/>
        <v>12</v>
      </c>
      <c r="AQ75" s="298">
        <f t="shared" si="126"/>
        <v>24</v>
      </c>
      <c r="AR75" s="1887">
        <f t="shared" si="127"/>
        <v>12</v>
      </c>
      <c r="AS75" s="1051"/>
      <c r="AU75" s="1332" t="str">
        <f t="shared" si="128"/>
        <v/>
      </c>
      <c r="AV75" s="1114" t="str">
        <f t="shared" si="129"/>
        <v/>
      </c>
      <c r="AW75" s="1114" t="str">
        <f t="shared" si="130"/>
        <v>X</v>
      </c>
      <c r="AX75" s="1114" t="str">
        <f t="shared" si="131"/>
        <v/>
      </c>
      <c r="AY75" s="1113" t="str">
        <f t="shared" si="132"/>
        <v/>
      </c>
      <c r="AZ75" s="1114" t="str">
        <f t="shared" si="133"/>
        <v/>
      </c>
      <c r="BA75" s="1114" t="str">
        <f t="shared" si="134"/>
        <v>X</v>
      </c>
      <c r="BB75" s="1704" t="str">
        <f t="shared" si="135"/>
        <v/>
      </c>
      <c r="BC75" s="1113" t="str">
        <f t="shared" si="136"/>
        <v/>
      </c>
      <c r="BD75" s="1114" t="str">
        <f t="shared" si="137"/>
        <v/>
      </c>
      <c r="BE75" s="1114" t="str">
        <f t="shared" si="138"/>
        <v>X</v>
      </c>
      <c r="BF75" s="1114" t="str">
        <f t="shared" si="139"/>
        <v/>
      </c>
      <c r="BG75" s="1114" t="str">
        <f t="shared" si="140"/>
        <v/>
      </c>
      <c r="BH75" s="1114" t="str">
        <f t="shared" si="141"/>
        <v/>
      </c>
      <c r="BI75" s="1114" t="str">
        <f t="shared" si="142"/>
        <v>X</v>
      </c>
      <c r="BJ75" s="1115" t="str">
        <f t="shared" si="143"/>
        <v/>
      </c>
      <c r="BL75" s="1885"/>
    </row>
    <row r="76" spans="1:64" ht="13.9" customHeight="1" x14ac:dyDescent="0.25">
      <c r="A76" s="1908">
        <f>Chem!A76</f>
        <v>74</v>
      </c>
      <c r="B76" s="1880" t="str">
        <f>Chem!B76</f>
        <v>Total PAHs</v>
      </c>
      <c r="C76" s="394" t="str">
        <f>Param!AK76</f>
        <v>no</v>
      </c>
      <c r="D76" s="317" t="str">
        <f>IF(ISNUMBER(Param!AN76),Param!AN76,Param!AM76)</f>
        <v>na</v>
      </c>
      <c r="E76" s="273" t="s">
        <v>232</v>
      </c>
      <c r="F76" s="643" t="s">
        <v>232</v>
      </c>
      <c r="G76" s="550" t="s">
        <v>232</v>
      </c>
      <c r="H76" s="550" t="s">
        <v>232</v>
      </c>
      <c r="I76" s="273" t="s">
        <v>232</v>
      </c>
      <c r="J76" s="273" t="s">
        <v>232</v>
      </c>
      <c r="K76" s="219" t="str">
        <f>IF(C76="YES",'SD-Eq'!V76,"na")</f>
        <v>na</v>
      </c>
      <c r="L76" s="273" t="str">
        <f>IF(C76="YES",'SD-Eq'!Z76,"na")</f>
        <v>na</v>
      </c>
      <c r="M76" s="435" t="str">
        <f t="shared" si="116"/>
        <v>na</v>
      </c>
      <c r="N76" s="273" t="str">
        <f t="shared" si="117"/>
        <v>na</v>
      </c>
      <c r="O76" s="1794" t="str">
        <f t="shared" si="118"/>
        <v>na</v>
      </c>
      <c r="P76" s="1789" t="str">
        <f t="shared" si="119"/>
        <v>na</v>
      </c>
      <c r="Q76" s="418" t="s">
        <v>232</v>
      </c>
      <c r="R76" s="418" t="s">
        <v>232</v>
      </c>
      <c r="S76" s="418" t="s">
        <v>232</v>
      </c>
      <c r="T76" s="418" t="s">
        <v>232</v>
      </c>
      <c r="U76" s="418" t="s">
        <v>232</v>
      </c>
      <c r="V76" s="418" t="s">
        <v>232</v>
      </c>
      <c r="W76" s="418" t="str">
        <f t="shared" si="120"/>
        <v>na</v>
      </c>
      <c r="X76" s="418" t="s">
        <v>232</v>
      </c>
      <c r="Y76" s="1884" t="str">
        <f t="shared" si="121"/>
        <v>na</v>
      </c>
      <c r="Z76" s="1884" t="str">
        <f t="shared" si="122"/>
        <v>na</v>
      </c>
      <c r="AA76" s="1789" t="s">
        <v>232</v>
      </c>
      <c r="AB76" s="1789" t="s">
        <v>232</v>
      </c>
      <c r="AC76" s="273" t="s">
        <v>232</v>
      </c>
      <c r="AD76" s="273" t="s">
        <v>232</v>
      </c>
      <c r="AE76" s="273" t="s">
        <v>232</v>
      </c>
      <c r="AF76" s="273" t="s">
        <v>232</v>
      </c>
      <c r="AG76" s="1789" t="s">
        <v>232</v>
      </c>
      <c r="AH76" s="1789" t="s">
        <v>232</v>
      </c>
      <c r="AI76" s="273" t="s">
        <v>232</v>
      </c>
      <c r="AJ76" s="273" t="s">
        <v>232</v>
      </c>
      <c r="AK76" s="273" t="s">
        <v>232</v>
      </c>
      <c r="AL76" s="273" t="s">
        <v>232</v>
      </c>
      <c r="AM76" s="1789" t="s">
        <v>232</v>
      </c>
      <c r="AN76" s="273" t="str">
        <f t="shared" si="123"/>
        <v>na</v>
      </c>
      <c r="AO76" s="273" t="str">
        <f t="shared" si="124"/>
        <v>na</v>
      </c>
      <c r="AP76" s="273" t="str">
        <f t="shared" si="125"/>
        <v>na</v>
      </c>
      <c r="AQ76" s="273" t="str">
        <f t="shared" si="126"/>
        <v>na</v>
      </c>
      <c r="AR76" s="1789" t="str">
        <f t="shared" si="127"/>
        <v>na</v>
      </c>
      <c r="AS76" s="1051"/>
      <c r="AU76" s="1332" t="str">
        <f t="shared" si="128"/>
        <v/>
      </c>
      <c r="AV76" s="1114" t="str">
        <f t="shared" si="129"/>
        <v/>
      </c>
      <c r="AW76" s="1114" t="str">
        <f t="shared" si="130"/>
        <v/>
      </c>
      <c r="AX76" s="1114" t="str">
        <f t="shared" si="131"/>
        <v/>
      </c>
      <c r="AY76" s="1113" t="str">
        <f t="shared" si="132"/>
        <v/>
      </c>
      <c r="AZ76" s="1114" t="str">
        <f t="shared" si="133"/>
        <v/>
      </c>
      <c r="BA76" s="1114" t="str">
        <f t="shared" si="134"/>
        <v/>
      </c>
      <c r="BB76" s="1704" t="str">
        <f t="shared" si="135"/>
        <v/>
      </c>
      <c r="BC76" s="1113" t="str">
        <f t="shared" si="136"/>
        <v/>
      </c>
      <c r="BD76" s="1114" t="str">
        <f t="shared" si="137"/>
        <v/>
      </c>
      <c r="BE76" s="1114" t="str">
        <f t="shared" si="138"/>
        <v/>
      </c>
      <c r="BF76" s="1114" t="str">
        <f t="shared" si="139"/>
        <v/>
      </c>
      <c r="BG76" s="1114" t="str">
        <f t="shared" si="140"/>
        <v/>
      </c>
      <c r="BH76" s="1114" t="str">
        <f t="shared" si="141"/>
        <v/>
      </c>
      <c r="BI76" s="1114" t="str">
        <f t="shared" si="142"/>
        <v/>
      </c>
      <c r="BJ76" s="1115" t="str">
        <f t="shared" si="143"/>
        <v/>
      </c>
      <c r="BL76" s="1885"/>
    </row>
    <row r="77" spans="1:64" ht="13.9" customHeight="1" x14ac:dyDescent="0.25">
      <c r="A77" s="1910">
        <f>Chem!A77</f>
        <v>75</v>
      </c>
      <c r="B77" s="1880" t="str">
        <f>Chem!B77</f>
        <v>Total cPAH TEQ</v>
      </c>
      <c r="C77" s="394" t="str">
        <f>Param!AK77</f>
        <v>YES</v>
      </c>
      <c r="D77" s="317">
        <f>IF(ISNUMBER(Param!AN77),Param!AN77,Param!AM77)</f>
        <v>2.1000000000000001E-2</v>
      </c>
      <c r="E77" s="273" t="s">
        <v>232</v>
      </c>
      <c r="F77" s="643">
        <v>8.9999999999999993E-3</v>
      </c>
      <c r="G77" s="550" t="s">
        <v>232</v>
      </c>
      <c r="H77" s="550" t="s">
        <v>232</v>
      </c>
      <c r="I77" s="273" t="s">
        <v>232</v>
      </c>
      <c r="J77" s="273" t="s">
        <v>232</v>
      </c>
      <c r="K77" s="219">
        <f>IF(C77="YES",'SD-Eq'!V77,"na")</f>
        <v>0.44347783825816495</v>
      </c>
      <c r="L77" s="273">
        <f>IF(C77="YES",'SD-Eq'!Z77,"na")</f>
        <v>4.4347783825816496</v>
      </c>
      <c r="M77" s="435">
        <f t="shared" si="116"/>
        <v>2.1000000000000001E-2</v>
      </c>
      <c r="N77" s="273">
        <f t="shared" si="117"/>
        <v>2.1000000000000001E-2</v>
      </c>
      <c r="O77" s="1794">
        <f t="shared" si="118"/>
        <v>2.1000000000000001E-2</v>
      </c>
      <c r="P77" s="1789">
        <f t="shared" si="119"/>
        <v>2.1000000000000001E-2</v>
      </c>
      <c r="Q77" s="418" t="s">
        <v>232</v>
      </c>
      <c r="R77" s="418">
        <v>2.8</v>
      </c>
      <c r="S77" s="418">
        <v>1.1000000000000001</v>
      </c>
      <c r="T77" s="418">
        <v>0.59</v>
      </c>
      <c r="U77" s="418" t="s">
        <v>232</v>
      </c>
      <c r="V77" s="418" t="s">
        <v>232</v>
      </c>
      <c r="W77" s="418" t="str">
        <f t="shared" si="120"/>
        <v>na</v>
      </c>
      <c r="X77" s="418" t="s">
        <v>232</v>
      </c>
      <c r="Y77" s="1884">
        <f t="shared" si="121"/>
        <v>0.59</v>
      </c>
      <c r="Z77" s="1884">
        <f t="shared" si="122"/>
        <v>0.59</v>
      </c>
      <c r="AA77" s="1789">
        <v>5.5</v>
      </c>
      <c r="AB77" s="1789">
        <v>5.9</v>
      </c>
      <c r="AC77" s="273">
        <v>5.5</v>
      </c>
      <c r="AD77" s="273">
        <v>3</v>
      </c>
      <c r="AE77" s="273">
        <v>5.9</v>
      </c>
      <c r="AF77" s="273">
        <v>1.35</v>
      </c>
      <c r="AG77" s="1789">
        <v>5.5</v>
      </c>
      <c r="AH77" s="1789">
        <v>5.5</v>
      </c>
      <c r="AI77" s="273">
        <v>5.5</v>
      </c>
      <c r="AJ77" s="273">
        <v>3</v>
      </c>
      <c r="AK77" s="273" t="s">
        <v>232</v>
      </c>
      <c r="AL77" s="273" t="s">
        <v>232</v>
      </c>
      <c r="AM77" s="1789">
        <v>5.5</v>
      </c>
      <c r="AN77" s="273">
        <f t="shared" si="123"/>
        <v>5.5</v>
      </c>
      <c r="AO77" s="273">
        <f t="shared" si="124"/>
        <v>1.35</v>
      </c>
      <c r="AP77" s="273">
        <f t="shared" si="125"/>
        <v>5.5</v>
      </c>
      <c r="AQ77" s="273">
        <f t="shared" si="126"/>
        <v>3</v>
      </c>
      <c r="AR77" s="1789">
        <f t="shared" si="127"/>
        <v>1.35</v>
      </c>
      <c r="AS77" s="1795"/>
      <c r="AU77" s="1333" t="str">
        <f t="shared" si="128"/>
        <v>X</v>
      </c>
      <c r="AV77" s="1117" t="str">
        <f t="shared" si="129"/>
        <v/>
      </c>
      <c r="AW77" s="1117" t="str">
        <f t="shared" si="130"/>
        <v/>
      </c>
      <c r="AX77" s="1117" t="str">
        <f t="shared" si="131"/>
        <v/>
      </c>
      <c r="AY77" s="1116" t="str">
        <f t="shared" si="132"/>
        <v/>
      </c>
      <c r="AZ77" s="1117" t="str">
        <f t="shared" si="133"/>
        <v/>
      </c>
      <c r="BA77" s="1117" t="str">
        <f t="shared" si="134"/>
        <v/>
      </c>
      <c r="BB77" s="1707" t="str">
        <f t="shared" si="135"/>
        <v/>
      </c>
      <c r="BC77" s="1336" t="str">
        <f t="shared" si="136"/>
        <v/>
      </c>
      <c r="BD77" s="1337" t="str">
        <f t="shared" si="137"/>
        <v/>
      </c>
      <c r="BE77" s="1337" t="str">
        <f t="shared" si="138"/>
        <v/>
      </c>
      <c r="BF77" s="1337" t="str">
        <f t="shared" si="139"/>
        <v/>
      </c>
      <c r="BG77" s="1337" t="str">
        <f t="shared" si="140"/>
        <v/>
      </c>
      <c r="BH77" s="1337" t="str">
        <f t="shared" si="141"/>
        <v>X</v>
      </c>
      <c r="BI77" s="1337" t="str">
        <f t="shared" si="142"/>
        <v/>
      </c>
      <c r="BJ77" s="1338" t="str">
        <f t="shared" si="143"/>
        <v/>
      </c>
      <c r="BL77" s="1885"/>
    </row>
    <row r="78" spans="1:64" ht="13.9" customHeight="1" x14ac:dyDescent="0.25">
      <c r="A78" s="1909">
        <f>Chem!A78</f>
        <v>76</v>
      </c>
      <c r="B78" s="1899" t="str">
        <f>Chem!B78</f>
        <v>Other SVOCs</v>
      </c>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366"/>
      <c r="AU78" s="250" t="str">
        <f>B78</f>
        <v>Other SVOCs</v>
      </c>
      <c r="AV78" s="2375"/>
      <c r="AW78" s="2375"/>
      <c r="AX78" s="2375"/>
      <c r="AY78" s="2375"/>
      <c r="AZ78" s="2375"/>
      <c r="BA78" s="2375"/>
      <c r="BB78" s="2375"/>
      <c r="BC78" s="2372"/>
      <c r="BD78" s="2372"/>
      <c r="BE78" s="2372"/>
      <c r="BF78" s="2372"/>
      <c r="BG78" s="2372"/>
      <c r="BH78" s="2372"/>
      <c r="BI78" s="2372"/>
      <c r="BJ78" s="2373"/>
      <c r="BL78" s="1901"/>
    </row>
    <row r="79" spans="1:64" ht="13.9" customHeight="1" x14ac:dyDescent="0.25">
      <c r="A79" s="1916">
        <f>Chem!A79</f>
        <v>77</v>
      </c>
      <c r="B79" s="1880" t="str">
        <f>Chem!B79</f>
        <v>Aniline</v>
      </c>
      <c r="C79" s="394" t="str">
        <f>Param!AK79</f>
        <v>no</v>
      </c>
      <c r="D79" s="317" t="str">
        <f>IF(ISNUMBER(Param!AN79),Param!AN79,Param!AM79)</f>
        <v>na</v>
      </c>
      <c r="E79" s="273" t="s">
        <v>232</v>
      </c>
      <c r="F79" s="643" t="s">
        <v>232</v>
      </c>
      <c r="G79" s="550" t="s">
        <v>232</v>
      </c>
      <c r="H79" s="550" t="s">
        <v>232</v>
      </c>
      <c r="I79" s="273" t="s">
        <v>232</v>
      </c>
      <c r="J79" s="273" t="s">
        <v>232</v>
      </c>
      <c r="K79" s="219" t="str">
        <f>IF(C79="YES",'SD-Eq'!V79,"na")</f>
        <v>na</v>
      </c>
      <c r="L79" s="273" t="str">
        <f>IF(C79="YES",'SD-Eq'!Z79,"na")</f>
        <v>na</v>
      </c>
      <c r="M79" s="435" t="str">
        <f t="shared" ref="M79:M145" si="165">IF($C79="YES",IF(OR(ISNUMBER($D79),ISNUMBER($F79)),MAX($D79,$F79),"PQL"),"na")</f>
        <v>na</v>
      </c>
      <c r="N79" s="273" t="str">
        <f t="shared" ref="N79:N142" si="166">IF($C79="YES",IF(OR(ISNUMBER($D79),ISNUMBER($E79),ISNUMBER($F79)),MAX($D79:$F79),"PQL"),"na")</f>
        <v>na</v>
      </c>
      <c r="O79" s="1794" t="str">
        <f t="shared" ref="O79:O110" si="167">IF(OR(ISNUMBER(H79),ISNUMBER(K79),ISNUMBER(M79)),MIN(H79,K79,M79),"na")</f>
        <v>na</v>
      </c>
      <c r="P79" s="1789" t="str">
        <f t="shared" ref="P79:P110" si="168">IF(OR(ISNUMBER(J79),ISNUMBER(L79),ISNUMBER(N79)),MIN(J79,L79,N79),"na")</f>
        <v>na</v>
      </c>
      <c r="Q79" s="418" t="s">
        <v>232</v>
      </c>
      <c r="R79" s="418" t="s">
        <v>232</v>
      </c>
      <c r="S79" s="418" t="s">
        <v>232</v>
      </c>
      <c r="T79" s="418" t="s">
        <v>232</v>
      </c>
      <c r="U79" s="418" t="s">
        <v>232</v>
      </c>
      <c r="V79" s="418" t="s">
        <v>232</v>
      </c>
      <c r="W79" s="418" t="str">
        <f t="shared" ref="W79:W110" si="169">IF(ISNUMBER(V79),H79,"na")</f>
        <v>na</v>
      </c>
      <c r="X79" s="418" t="s">
        <v>232</v>
      </c>
      <c r="Y79" s="1884" t="str">
        <f t="shared" ref="Y79:Y142" si="170">IF(OR(ISNUMBER(Q79),ISNUMBER(R79),ISNUMBER(S79),ISNUMBER(T79),ISNUMBER(X79)),MIN(Q79:T79,X79),"na")</f>
        <v>na</v>
      </c>
      <c r="Z79" s="1884" t="str">
        <f t="shared" ref="Z79:Z142" si="171">IF(OR(ISNUMBER(U79),ISNUMBER(W79),ISNUMBER(Y79)),MIN(U79,W79,Y79),O79)</f>
        <v>na</v>
      </c>
      <c r="AA79" s="1789" t="s">
        <v>232</v>
      </c>
      <c r="AB79" s="1789" t="s">
        <v>232</v>
      </c>
      <c r="AC79" s="273" t="s">
        <v>232</v>
      </c>
      <c r="AD79" s="273" t="s">
        <v>232</v>
      </c>
      <c r="AE79" s="273" t="s">
        <v>232</v>
      </c>
      <c r="AF79" s="273" t="s">
        <v>232</v>
      </c>
      <c r="AG79" s="273" t="s">
        <v>232</v>
      </c>
      <c r="AH79" s="273" t="s">
        <v>232</v>
      </c>
      <c r="AI79" s="273" t="s">
        <v>232</v>
      </c>
      <c r="AJ79" s="273" t="s">
        <v>232</v>
      </c>
      <c r="AK79" s="273" t="s">
        <v>232</v>
      </c>
      <c r="AL79" s="273" t="s">
        <v>232</v>
      </c>
      <c r="AM79" s="273" t="s">
        <v>232</v>
      </c>
      <c r="AN79" s="273" t="str">
        <f t="shared" ref="AN79:AN115" si="172">IF(MIN(AA79,AB79)=0,"na",MIN(AA79,AB79))</f>
        <v>na</v>
      </c>
      <c r="AO79" s="273" t="str">
        <f t="shared" ref="AO79:AO145" si="173">IF(MIN(AC79:AF79)=0,"na",MIN(AC79:AF79))</f>
        <v>na</v>
      </c>
      <c r="AP79" s="273" t="str">
        <f t="shared" ref="AP79:AP145" si="174">IF(MIN(AG79,AH79)=0,"na",MIN(AG79,AH79))</f>
        <v>na</v>
      </c>
      <c r="AQ79" s="273" t="str">
        <f t="shared" ref="AQ79:AQ145" si="175">IF(MIN(AI79:AL79)=0,"na",MIN(AI79:AL79))</f>
        <v>na</v>
      </c>
      <c r="AR79" s="1789" t="str">
        <f t="shared" ref="AR79:AR115" si="176">IF(MIN(AA79:AM79)=0,"na",MIN(AA79:AM79))</f>
        <v>na</v>
      </c>
      <c r="AS79" s="1793"/>
      <c r="AU79" s="1331" t="str">
        <f t="shared" ref="AU79:AU110" si="177">IF($O79="na","",IF($O79=D79,"X",""))</f>
        <v/>
      </c>
      <c r="AV79" s="1111" t="str">
        <f t="shared" ref="AV79:AV110" si="178">IF(OR($O79="PQL",AND(ISNUMBER($F79),$O79=F79)),"X","")</f>
        <v/>
      </c>
      <c r="AW79" s="1111" t="str">
        <f t="shared" ref="AW79:AW110" si="179">IF($O79="na","",IF($O79=H79,"X",""))</f>
        <v/>
      </c>
      <c r="AX79" s="1111" t="str">
        <f t="shared" ref="AX79:AX110" si="180">IF($O79="na","",IF($O79=$K79,"X",""))</f>
        <v/>
      </c>
      <c r="AY79" s="1110" t="str">
        <f t="shared" ref="AY79:AY110" si="181">IF($P79="na","",IF($P79=E79,"X",""))</f>
        <v/>
      </c>
      <c r="AZ79" s="1111" t="str">
        <f t="shared" ref="AZ79:AZ110" si="182">IF(OR($P79="PQL",AND(ISNUMBER($F79),$P79=F79)),"X","")</f>
        <v/>
      </c>
      <c r="BA79" s="1111" t="str">
        <f t="shared" ref="BA79:BA110" si="183">IF($P79="na","",IF($P79=J79,"X",""))</f>
        <v/>
      </c>
      <c r="BB79" s="1703" t="str">
        <f t="shared" ref="BB79:BB110" si="184">IF($P79="na","",IF($P79=$L79,"X",""))</f>
        <v/>
      </c>
      <c r="BC79" s="1468" t="str">
        <f t="shared" ref="BC79:BC110" si="185">IF($Z79="na","",IF($Z79=D79,"X",""))</f>
        <v/>
      </c>
      <c r="BD79" s="1469" t="str">
        <f t="shared" ref="BD79:BD110" si="186">IF($Z79="na","",IF($Z79=F79,"X",""))</f>
        <v/>
      </c>
      <c r="BE79" s="1469" t="str">
        <f t="shared" ref="BE79:BE110" si="187">IF($Z79="na","",IF($Z79=H79,"X",""))</f>
        <v/>
      </c>
      <c r="BF79" s="1469" t="str">
        <f t="shared" ref="BF79:BF110" si="188">IF($Z79="na","",IF($Z79=K79,"X",""))</f>
        <v/>
      </c>
      <c r="BG79" s="1469" t="str">
        <f t="shared" ref="BG79:BG142" si="189">IF($Z79="na","",IF($Z79=Q79,"X",""))</f>
        <v/>
      </c>
      <c r="BH79" s="1469" t="str">
        <f t="shared" ref="BH79:BH142" si="190">IF($Z79="na","",IF(OR($Z79=R79,$Z79=S79,$Z79=T79),"X",""))</f>
        <v/>
      </c>
      <c r="BI79" s="1469" t="str">
        <f t="shared" ref="BI79:BI142" si="191">IF($Z79="na","",IF(OR($Z79=U79,$Z79=W79),"X",""))</f>
        <v/>
      </c>
      <c r="BJ79" s="1470" t="str">
        <f t="shared" ref="BJ79:BJ142" si="192">IF($Z79="na","",IF($Z79=X79,"X",""))</f>
        <v/>
      </c>
      <c r="BL79" s="1885"/>
    </row>
    <row r="80" spans="1:64" ht="13.9" customHeight="1" x14ac:dyDescent="0.25">
      <c r="A80" s="1917">
        <f>Chem!A80</f>
        <v>78</v>
      </c>
      <c r="B80" s="1880" t="str">
        <f>Chem!B80</f>
        <v>Azobenzene</v>
      </c>
      <c r="C80" s="394" t="str">
        <f>Param!AK80</f>
        <v>no</v>
      </c>
      <c r="D80" s="317" t="str">
        <f>IF(ISNUMBER(Param!AN80),Param!AN80,Param!AM80)</f>
        <v>na</v>
      </c>
      <c r="E80" s="273" t="s">
        <v>232</v>
      </c>
      <c r="F80" s="643" t="s">
        <v>232</v>
      </c>
      <c r="G80" s="550" t="s">
        <v>232</v>
      </c>
      <c r="H80" s="550" t="s">
        <v>232</v>
      </c>
      <c r="I80" s="273" t="s">
        <v>232</v>
      </c>
      <c r="J80" s="273" t="s">
        <v>232</v>
      </c>
      <c r="K80" s="219" t="str">
        <f>IF(C80="YES",'SD-Eq'!V80,"na")</f>
        <v>na</v>
      </c>
      <c r="L80" s="273" t="str">
        <f>IF(C80="YES",'SD-Eq'!Z80,"na")</f>
        <v>na</v>
      </c>
      <c r="M80" s="435" t="str">
        <f t="shared" si="165"/>
        <v>na</v>
      </c>
      <c r="N80" s="273" t="str">
        <f t="shared" si="166"/>
        <v>na</v>
      </c>
      <c r="O80" s="1794" t="str">
        <f t="shared" si="167"/>
        <v>na</v>
      </c>
      <c r="P80" s="1789" t="str">
        <f t="shared" si="168"/>
        <v>na</v>
      </c>
      <c r="Q80" s="418" t="s">
        <v>232</v>
      </c>
      <c r="R80" s="418" t="s">
        <v>232</v>
      </c>
      <c r="S80" s="418" t="s">
        <v>232</v>
      </c>
      <c r="T80" s="418" t="s">
        <v>232</v>
      </c>
      <c r="U80" s="418" t="s">
        <v>232</v>
      </c>
      <c r="V80" s="418" t="s">
        <v>232</v>
      </c>
      <c r="W80" s="418" t="str">
        <f t="shared" si="169"/>
        <v>na</v>
      </c>
      <c r="X80" s="418" t="s">
        <v>232</v>
      </c>
      <c r="Y80" s="1884" t="str">
        <f t="shared" si="170"/>
        <v>na</v>
      </c>
      <c r="Z80" s="1884" t="str">
        <f t="shared" si="171"/>
        <v>na</v>
      </c>
      <c r="AA80" s="1789" t="s">
        <v>232</v>
      </c>
      <c r="AB80" s="1789" t="s">
        <v>232</v>
      </c>
      <c r="AC80" s="273" t="s">
        <v>232</v>
      </c>
      <c r="AD80" s="273" t="s">
        <v>232</v>
      </c>
      <c r="AE80" s="273" t="s">
        <v>232</v>
      </c>
      <c r="AF80" s="273" t="s">
        <v>232</v>
      </c>
      <c r="AG80" s="273" t="s">
        <v>232</v>
      </c>
      <c r="AH80" s="273" t="s">
        <v>232</v>
      </c>
      <c r="AI80" s="273" t="s">
        <v>232</v>
      </c>
      <c r="AJ80" s="273" t="s">
        <v>232</v>
      </c>
      <c r="AK80" s="273" t="s">
        <v>232</v>
      </c>
      <c r="AL80" s="273" t="s">
        <v>232</v>
      </c>
      <c r="AM80" s="273" t="s">
        <v>232</v>
      </c>
      <c r="AN80" s="273" t="str">
        <f t="shared" si="172"/>
        <v>na</v>
      </c>
      <c r="AO80" s="273" t="str">
        <f t="shared" si="173"/>
        <v>na</v>
      </c>
      <c r="AP80" s="273" t="str">
        <f t="shared" si="174"/>
        <v>na</v>
      </c>
      <c r="AQ80" s="273" t="str">
        <f t="shared" si="175"/>
        <v>na</v>
      </c>
      <c r="AR80" s="1789" t="str">
        <f t="shared" si="176"/>
        <v>na</v>
      </c>
      <c r="AS80" s="1051"/>
      <c r="AU80" s="1332" t="str">
        <f t="shared" si="177"/>
        <v/>
      </c>
      <c r="AV80" s="1114" t="str">
        <f t="shared" si="178"/>
        <v/>
      </c>
      <c r="AW80" s="1114" t="str">
        <f t="shared" si="179"/>
        <v/>
      </c>
      <c r="AX80" s="1114" t="str">
        <f t="shared" si="180"/>
        <v/>
      </c>
      <c r="AY80" s="1113" t="str">
        <f t="shared" si="181"/>
        <v/>
      </c>
      <c r="AZ80" s="1114" t="str">
        <f t="shared" si="182"/>
        <v/>
      </c>
      <c r="BA80" s="1114" t="str">
        <f t="shared" si="183"/>
        <v/>
      </c>
      <c r="BB80" s="1704" t="str">
        <f t="shared" si="184"/>
        <v/>
      </c>
      <c r="BC80" s="1113" t="str">
        <f t="shared" si="185"/>
        <v/>
      </c>
      <c r="BD80" s="1114" t="str">
        <f t="shared" si="186"/>
        <v/>
      </c>
      <c r="BE80" s="1114" t="str">
        <f t="shared" si="187"/>
        <v/>
      </c>
      <c r="BF80" s="1114" t="str">
        <f t="shared" si="188"/>
        <v/>
      </c>
      <c r="BG80" s="1114" t="str">
        <f t="shared" si="189"/>
        <v/>
      </c>
      <c r="BH80" s="1114" t="str">
        <f t="shared" si="190"/>
        <v/>
      </c>
      <c r="BI80" s="1114" t="str">
        <f t="shared" si="191"/>
        <v/>
      </c>
      <c r="BJ80" s="1115" t="str">
        <f t="shared" si="192"/>
        <v/>
      </c>
      <c r="BL80" s="1885"/>
    </row>
    <row r="81" spans="1:64" ht="13.9" customHeight="1" x14ac:dyDescent="0.25">
      <c r="A81" s="1917">
        <f>Chem!A81</f>
        <v>79</v>
      </c>
      <c r="B81" s="1880" t="str">
        <f>Chem!B81</f>
        <v>Benzidine</v>
      </c>
      <c r="C81" s="394" t="str">
        <f>Param!AK81</f>
        <v>no</v>
      </c>
      <c r="D81" s="317" t="str">
        <f>IF(ISNUMBER(Param!AN81),Param!AN81,Param!AM81)</f>
        <v>na</v>
      </c>
      <c r="E81" s="273" t="s">
        <v>232</v>
      </c>
      <c r="F81" s="643" t="s">
        <v>232</v>
      </c>
      <c r="G81" s="550" t="s">
        <v>232</v>
      </c>
      <c r="H81" s="550" t="s">
        <v>232</v>
      </c>
      <c r="I81" s="273" t="s">
        <v>232</v>
      </c>
      <c r="J81" s="273" t="s">
        <v>232</v>
      </c>
      <c r="K81" s="219" t="str">
        <f>IF(C81="YES",'SD-Eq'!V81,"na")</f>
        <v>na</v>
      </c>
      <c r="L81" s="273" t="str">
        <f>IF(C81="YES",'SD-Eq'!Z81,"na")</f>
        <v>na</v>
      </c>
      <c r="M81" s="435" t="str">
        <f t="shared" si="165"/>
        <v>na</v>
      </c>
      <c r="N81" s="273" t="str">
        <f t="shared" si="166"/>
        <v>na</v>
      </c>
      <c r="O81" s="1794" t="str">
        <f t="shared" si="167"/>
        <v>na</v>
      </c>
      <c r="P81" s="1789" t="str">
        <f t="shared" si="168"/>
        <v>na</v>
      </c>
      <c r="Q81" s="418" t="s">
        <v>232</v>
      </c>
      <c r="R81" s="418" t="s">
        <v>232</v>
      </c>
      <c r="S81" s="418" t="s">
        <v>232</v>
      </c>
      <c r="T81" s="418" t="s">
        <v>232</v>
      </c>
      <c r="U81" s="418" t="s">
        <v>232</v>
      </c>
      <c r="V81" s="418" t="s">
        <v>232</v>
      </c>
      <c r="W81" s="418" t="str">
        <f t="shared" si="169"/>
        <v>na</v>
      </c>
      <c r="X81" s="418" t="s">
        <v>232</v>
      </c>
      <c r="Y81" s="1884" t="str">
        <f t="shared" si="170"/>
        <v>na</v>
      </c>
      <c r="Z81" s="1884" t="str">
        <f t="shared" si="171"/>
        <v>na</v>
      </c>
      <c r="AA81" s="1789" t="s">
        <v>232</v>
      </c>
      <c r="AB81" s="1789" t="s">
        <v>232</v>
      </c>
      <c r="AC81" s="273" t="s">
        <v>232</v>
      </c>
      <c r="AD81" s="273" t="s">
        <v>232</v>
      </c>
      <c r="AE81" s="273" t="s">
        <v>232</v>
      </c>
      <c r="AF81" s="273" t="s">
        <v>232</v>
      </c>
      <c r="AG81" s="273" t="s">
        <v>232</v>
      </c>
      <c r="AH81" s="273" t="s">
        <v>232</v>
      </c>
      <c r="AI81" s="273" t="s">
        <v>232</v>
      </c>
      <c r="AJ81" s="273" t="s">
        <v>232</v>
      </c>
      <c r="AK81" s="273" t="s">
        <v>232</v>
      </c>
      <c r="AL81" s="273" t="s">
        <v>232</v>
      </c>
      <c r="AM81" s="273" t="s">
        <v>232</v>
      </c>
      <c r="AN81" s="273" t="str">
        <f t="shared" si="172"/>
        <v>na</v>
      </c>
      <c r="AO81" s="273" t="str">
        <f t="shared" si="173"/>
        <v>na</v>
      </c>
      <c r="AP81" s="273" t="str">
        <f t="shared" si="174"/>
        <v>na</v>
      </c>
      <c r="AQ81" s="273" t="str">
        <f t="shared" si="175"/>
        <v>na</v>
      </c>
      <c r="AR81" s="1789" t="str">
        <f t="shared" si="176"/>
        <v>na</v>
      </c>
      <c r="AS81" s="1051"/>
      <c r="AU81" s="1332" t="str">
        <f t="shared" si="177"/>
        <v/>
      </c>
      <c r="AV81" s="1114" t="str">
        <f t="shared" si="178"/>
        <v/>
      </c>
      <c r="AW81" s="1114" t="str">
        <f t="shared" si="179"/>
        <v/>
      </c>
      <c r="AX81" s="1114" t="str">
        <f t="shared" si="180"/>
        <v/>
      </c>
      <c r="AY81" s="1113" t="str">
        <f t="shared" si="181"/>
        <v/>
      </c>
      <c r="AZ81" s="1114" t="str">
        <f t="shared" si="182"/>
        <v/>
      </c>
      <c r="BA81" s="1114" t="str">
        <f t="shared" si="183"/>
        <v/>
      </c>
      <c r="BB81" s="1704" t="str">
        <f t="shared" si="184"/>
        <v/>
      </c>
      <c r="BC81" s="1113" t="str">
        <f t="shared" si="185"/>
        <v/>
      </c>
      <c r="BD81" s="1114" t="str">
        <f t="shared" si="186"/>
        <v/>
      </c>
      <c r="BE81" s="1114" t="str">
        <f t="shared" si="187"/>
        <v/>
      </c>
      <c r="BF81" s="1114" t="str">
        <f t="shared" si="188"/>
        <v/>
      </c>
      <c r="BG81" s="1114" t="str">
        <f t="shared" si="189"/>
        <v/>
      </c>
      <c r="BH81" s="1114" t="str">
        <f t="shared" si="190"/>
        <v/>
      </c>
      <c r="BI81" s="1114" t="str">
        <f t="shared" si="191"/>
        <v/>
      </c>
      <c r="BJ81" s="1115" t="str">
        <f t="shared" si="192"/>
        <v/>
      </c>
      <c r="BL81" s="1885"/>
    </row>
    <row r="82" spans="1:64" ht="13.9" customHeight="1" x14ac:dyDescent="0.25">
      <c r="A82" s="1917">
        <f>Chem!A82</f>
        <v>80</v>
      </c>
      <c r="B82" s="1880" t="str">
        <f>Chem!B82</f>
        <v>Benzoic acid</v>
      </c>
      <c r="C82" s="394" t="str">
        <f>Param!AK82</f>
        <v>no</v>
      </c>
      <c r="D82" s="317" t="str">
        <f>IF(ISNUMBER(Param!AN82),Param!AN82,Param!AM82)</f>
        <v>na</v>
      </c>
      <c r="E82" s="273" t="s">
        <v>232</v>
      </c>
      <c r="F82" s="643">
        <v>0.503</v>
      </c>
      <c r="G82" s="550" t="s">
        <v>232</v>
      </c>
      <c r="H82" s="550">
        <v>0.65</v>
      </c>
      <c r="I82" s="273" t="s">
        <v>232</v>
      </c>
      <c r="J82" s="273">
        <v>0.65</v>
      </c>
      <c r="K82" s="219" t="str">
        <f>IF(C82="YES",'SD-Eq'!V82,"na")</f>
        <v>na</v>
      </c>
      <c r="L82" s="273" t="str">
        <f>IF(C82="YES",'SD-Eq'!Z82,"na")</f>
        <v>na</v>
      </c>
      <c r="M82" s="435" t="str">
        <f t="shared" si="165"/>
        <v>na</v>
      </c>
      <c r="N82" s="273" t="str">
        <f t="shared" si="166"/>
        <v>na</v>
      </c>
      <c r="O82" s="1794">
        <f t="shared" si="167"/>
        <v>0.65</v>
      </c>
      <c r="P82" s="1789">
        <f t="shared" si="168"/>
        <v>0.65</v>
      </c>
      <c r="Q82" s="418" t="s">
        <v>232</v>
      </c>
      <c r="R82" s="418" t="s">
        <v>232</v>
      </c>
      <c r="S82" s="418" t="s">
        <v>232</v>
      </c>
      <c r="T82" s="418" t="s">
        <v>232</v>
      </c>
      <c r="U82" s="418">
        <v>0.65</v>
      </c>
      <c r="V82" s="418" t="s">
        <v>232</v>
      </c>
      <c r="W82" s="418" t="str">
        <f t="shared" si="169"/>
        <v>na</v>
      </c>
      <c r="X82" s="418" t="s">
        <v>232</v>
      </c>
      <c r="Y82" s="1884" t="str">
        <f t="shared" si="170"/>
        <v>na</v>
      </c>
      <c r="Z82" s="1884">
        <f t="shared" si="171"/>
        <v>0.65</v>
      </c>
      <c r="AA82" s="1789">
        <v>0.65</v>
      </c>
      <c r="AB82" s="1789">
        <v>0.65</v>
      </c>
      <c r="AC82" s="273">
        <v>1.3</v>
      </c>
      <c r="AD82" s="273">
        <v>3.9</v>
      </c>
      <c r="AE82" s="273" t="s">
        <v>232</v>
      </c>
      <c r="AF82" s="273" t="s">
        <v>232</v>
      </c>
      <c r="AG82" s="1789">
        <v>0.65</v>
      </c>
      <c r="AH82" s="1789">
        <v>0.65</v>
      </c>
      <c r="AI82" s="273">
        <v>1.3</v>
      </c>
      <c r="AJ82" s="273">
        <v>3.9</v>
      </c>
      <c r="AK82" s="273" t="s">
        <v>232</v>
      </c>
      <c r="AL82" s="273" t="s">
        <v>232</v>
      </c>
      <c r="AM82" s="1789">
        <v>0.65</v>
      </c>
      <c r="AN82" s="273">
        <f t="shared" si="172"/>
        <v>0.65</v>
      </c>
      <c r="AO82" s="273">
        <f t="shared" si="173"/>
        <v>1.3</v>
      </c>
      <c r="AP82" s="273">
        <f t="shared" si="174"/>
        <v>0.65</v>
      </c>
      <c r="AQ82" s="273">
        <f t="shared" si="175"/>
        <v>1.3</v>
      </c>
      <c r="AR82" s="1789">
        <f t="shared" si="176"/>
        <v>0.65</v>
      </c>
      <c r="AS82" s="1051"/>
      <c r="AU82" s="1332" t="str">
        <f t="shared" si="177"/>
        <v/>
      </c>
      <c r="AV82" s="1114" t="str">
        <f t="shared" si="178"/>
        <v/>
      </c>
      <c r="AW82" s="1114" t="str">
        <f t="shared" si="179"/>
        <v>X</v>
      </c>
      <c r="AX82" s="1114" t="str">
        <f t="shared" si="180"/>
        <v/>
      </c>
      <c r="AY82" s="1113" t="str">
        <f t="shared" si="181"/>
        <v/>
      </c>
      <c r="AZ82" s="1114" t="str">
        <f t="shared" si="182"/>
        <v/>
      </c>
      <c r="BA82" s="1114" t="str">
        <f t="shared" si="183"/>
        <v>X</v>
      </c>
      <c r="BB82" s="1704" t="str">
        <f t="shared" si="184"/>
        <v/>
      </c>
      <c r="BC82" s="1113" t="str">
        <f t="shared" si="185"/>
        <v/>
      </c>
      <c r="BD82" s="1114" t="str">
        <f t="shared" si="186"/>
        <v/>
      </c>
      <c r="BE82" s="1114" t="str">
        <f t="shared" si="187"/>
        <v>X</v>
      </c>
      <c r="BF82" s="1114" t="str">
        <f t="shared" si="188"/>
        <v/>
      </c>
      <c r="BG82" s="1114" t="str">
        <f t="shared" si="189"/>
        <v/>
      </c>
      <c r="BH82" s="1114" t="str">
        <f t="shared" si="190"/>
        <v/>
      </c>
      <c r="BI82" s="1114" t="str">
        <f t="shared" si="191"/>
        <v>X</v>
      </c>
      <c r="BJ82" s="1115" t="str">
        <f t="shared" si="192"/>
        <v/>
      </c>
      <c r="BL82" s="1885"/>
    </row>
    <row r="83" spans="1:64" ht="13.9" customHeight="1" x14ac:dyDescent="0.25">
      <c r="A83" s="1917">
        <f>Chem!A83</f>
        <v>81</v>
      </c>
      <c r="B83" s="1880" t="str">
        <f>Chem!B83</f>
        <v>Benzyl alcohol</v>
      </c>
      <c r="C83" s="394" t="str">
        <f>Param!AK83</f>
        <v>no</v>
      </c>
      <c r="D83" s="317" t="str">
        <f>IF(ISNUMBER(Param!AN83),Param!AN83,Param!AM83)</f>
        <v>na</v>
      </c>
      <c r="E83" s="273" t="s">
        <v>232</v>
      </c>
      <c r="F83" s="643">
        <v>0.14099999999999999</v>
      </c>
      <c r="G83" s="550" t="s">
        <v>232</v>
      </c>
      <c r="H83" s="550">
        <v>5.7000000000000002E-2</v>
      </c>
      <c r="I83" s="273" t="s">
        <v>232</v>
      </c>
      <c r="J83" s="273">
        <v>7.2999999999999995E-2</v>
      </c>
      <c r="K83" s="219" t="str">
        <f>IF(C83="YES",'SD-Eq'!V83,"na")</f>
        <v>na</v>
      </c>
      <c r="L83" s="273" t="str">
        <f>IF(C83="YES",'SD-Eq'!Z83,"na")</f>
        <v>na</v>
      </c>
      <c r="M83" s="435" t="str">
        <f t="shared" si="165"/>
        <v>na</v>
      </c>
      <c r="N83" s="273" t="str">
        <f t="shared" si="166"/>
        <v>na</v>
      </c>
      <c r="O83" s="1794">
        <f t="shared" si="167"/>
        <v>5.7000000000000002E-2</v>
      </c>
      <c r="P83" s="1789">
        <f t="shared" si="168"/>
        <v>7.2999999999999995E-2</v>
      </c>
      <c r="Q83" s="418" t="s">
        <v>232</v>
      </c>
      <c r="R83" s="418" t="s">
        <v>232</v>
      </c>
      <c r="S83" s="418" t="s">
        <v>232</v>
      </c>
      <c r="T83" s="418" t="s">
        <v>232</v>
      </c>
      <c r="U83" s="418">
        <v>5.7000000000000002E-2</v>
      </c>
      <c r="V83" s="418" t="s">
        <v>232</v>
      </c>
      <c r="W83" s="418" t="str">
        <f t="shared" si="169"/>
        <v>na</v>
      </c>
      <c r="X83" s="418" t="s">
        <v>232</v>
      </c>
      <c r="Y83" s="1884" t="str">
        <f t="shared" si="170"/>
        <v>na</v>
      </c>
      <c r="Z83" s="1884">
        <f t="shared" si="171"/>
        <v>5.7000000000000002E-2</v>
      </c>
      <c r="AA83" s="1789">
        <v>5.7000000000000002E-2</v>
      </c>
      <c r="AB83" s="1789">
        <v>5.7000000000000002E-2</v>
      </c>
      <c r="AC83" s="273">
        <v>0.114</v>
      </c>
      <c r="AD83" s="273">
        <v>0.34200000000000003</v>
      </c>
      <c r="AE83" s="273" t="s">
        <v>232</v>
      </c>
      <c r="AF83" s="273" t="s">
        <v>232</v>
      </c>
      <c r="AG83" s="1789">
        <v>5.7000000000000002E-2</v>
      </c>
      <c r="AH83" s="1789">
        <v>5.7000000000000002E-2</v>
      </c>
      <c r="AI83" s="273">
        <v>0.114</v>
      </c>
      <c r="AJ83" s="273">
        <v>0.34200000000000003</v>
      </c>
      <c r="AK83" s="273" t="s">
        <v>232</v>
      </c>
      <c r="AL83" s="273" t="s">
        <v>232</v>
      </c>
      <c r="AM83" s="1789">
        <v>0.56999999999999995</v>
      </c>
      <c r="AN83" s="273">
        <f t="shared" si="172"/>
        <v>5.7000000000000002E-2</v>
      </c>
      <c r="AO83" s="273">
        <f t="shared" si="173"/>
        <v>0.114</v>
      </c>
      <c r="AP83" s="273">
        <f t="shared" si="174"/>
        <v>5.7000000000000002E-2</v>
      </c>
      <c r="AQ83" s="273">
        <f t="shared" si="175"/>
        <v>0.114</v>
      </c>
      <c r="AR83" s="1789">
        <f t="shared" si="176"/>
        <v>5.7000000000000002E-2</v>
      </c>
      <c r="AS83" s="1051"/>
      <c r="AU83" s="1332" t="str">
        <f t="shared" si="177"/>
        <v/>
      </c>
      <c r="AV83" s="1114" t="str">
        <f t="shared" si="178"/>
        <v/>
      </c>
      <c r="AW83" s="1114" t="str">
        <f t="shared" si="179"/>
        <v>X</v>
      </c>
      <c r="AX83" s="1114" t="str">
        <f t="shared" si="180"/>
        <v/>
      </c>
      <c r="AY83" s="1113" t="str">
        <f t="shared" si="181"/>
        <v/>
      </c>
      <c r="AZ83" s="1114" t="str">
        <f t="shared" si="182"/>
        <v/>
      </c>
      <c r="BA83" s="1114" t="str">
        <f t="shared" si="183"/>
        <v>X</v>
      </c>
      <c r="BB83" s="1704" t="str">
        <f t="shared" si="184"/>
        <v/>
      </c>
      <c r="BC83" s="1113" t="str">
        <f t="shared" si="185"/>
        <v/>
      </c>
      <c r="BD83" s="1114" t="str">
        <f t="shared" si="186"/>
        <v/>
      </c>
      <c r="BE83" s="1114" t="str">
        <f t="shared" si="187"/>
        <v>X</v>
      </c>
      <c r="BF83" s="1114" t="str">
        <f t="shared" si="188"/>
        <v/>
      </c>
      <c r="BG83" s="1114" t="str">
        <f t="shared" si="189"/>
        <v/>
      </c>
      <c r="BH83" s="1114" t="str">
        <f t="shared" si="190"/>
        <v/>
      </c>
      <c r="BI83" s="1114" t="str">
        <f t="shared" si="191"/>
        <v>X</v>
      </c>
      <c r="BJ83" s="1115" t="str">
        <f t="shared" si="192"/>
        <v/>
      </c>
      <c r="BL83" s="1885"/>
    </row>
    <row r="84" spans="1:64" ht="13.9" customHeight="1" x14ac:dyDescent="0.25">
      <c r="A84" s="1917">
        <f>Chem!A84</f>
        <v>82</v>
      </c>
      <c r="B84" s="1880" t="str">
        <f>Chem!B84</f>
        <v>Bis(2-chloroethoxy)methane</v>
      </c>
      <c r="C84" s="394" t="str">
        <f>Param!AK84</f>
        <v>no</v>
      </c>
      <c r="D84" s="317" t="str">
        <f>IF(ISNUMBER(Param!AN84),Param!AN84,Param!AM84)</f>
        <v>na</v>
      </c>
      <c r="E84" s="273" t="s">
        <v>232</v>
      </c>
      <c r="F84" s="643" t="s">
        <v>232</v>
      </c>
      <c r="G84" s="550" t="s">
        <v>232</v>
      </c>
      <c r="H84" s="550" t="s">
        <v>232</v>
      </c>
      <c r="I84" s="273" t="s">
        <v>232</v>
      </c>
      <c r="J84" s="273" t="s">
        <v>232</v>
      </c>
      <c r="K84" s="219" t="str">
        <f>IF(C84="YES",'SD-Eq'!V84,"na")</f>
        <v>na</v>
      </c>
      <c r="L84" s="273" t="str">
        <f>IF(C84="YES",'SD-Eq'!Z84,"na")</f>
        <v>na</v>
      </c>
      <c r="M84" s="435" t="str">
        <f t="shared" si="165"/>
        <v>na</v>
      </c>
      <c r="N84" s="273" t="str">
        <f t="shared" si="166"/>
        <v>na</v>
      </c>
      <c r="O84" s="1794" t="str">
        <f t="shared" si="167"/>
        <v>na</v>
      </c>
      <c r="P84" s="1789" t="str">
        <f t="shared" si="168"/>
        <v>na</v>
      </c>
      <c r="Q84" s="418" t="s">
        <v>232</v>
      </c>
      <c r="R84" s="418" t="s">
        <v>232</v>
      </c>
      <c r="S84" s="418" t="s">
        <v>232</v>
      </c>
      <c r="T84" s="418" t="s">
        <v>232</v>
      </c>
      <c r="U84" s="418" t="s">
        <v>232</v>
      </c>
      <c r="V84" s="418" t="s">
        <v>232</v>
      </c>
      <c r="W84" s="418" t="str">
        <f t="shared" si="169"/>
        <v>na</v>
      </c>
      <c r="X84" s="418" t="s">
        <v>232</v>
      </c>
      <c r="Y84" s="1884" t="str">
        <f t="shared" si="170"/>
        <v>na</v>
      </c>
      <c r="Z84" s="1884" t="str">
        <f t="shared" si="171"/>
        <v>na</v>
      </c>
      <c r="AA84" s="1789" t="s">
        <v>232</v>
      </c>
      <c r="AB84" s="1789" t="s">
        <v>232</v>
      </c>
      <c r="AC84" s="273" t="s">
        <v>232</v>
      </c>
      <c r="AD84" s="273" t="s">
        <v>232</v>
      </c>
      <c r="AE84" s="273" t="s">
        <v>232</v>
      </c>
      <c r="AF84" s="273" t="s">
        <v>232</v>
      </c>
      <c r="AG84" s="1789" t="s">
        <v>232</v>
      </c>
      <c r="AH84" s="1789" t="s">
        <v>232</v>
      </c>
      <c r="AI84" s="273" t="s">
        <v>232</v>
      </c>
      <c r="AJ84" s="273" t="s">
        <v>232</v>
      </c>
      <c r="AK84" s="273" t="s">
        <v>232</v>
      </c>
      <c r="AL84" s="273" t="s">
        <v>232</v>
      </c>
      <c r="AM84" s="1789" t="s">
        <v>232</v>
      </c>
      <c r="AN84" s="273" t="str">
        <f t="shared" si="172"/>
        <v>na</v>
      </c>
      <c r="AO84" s="273" t="str">
        <f t="shared" si="173"/>
        <v>na</v>
      </c>
      <c r="AP84" s="273" t="str">
        <f t="shared" si="174"/>
        <v>na</v>
      </c>
      <c r="AQ84" s="273" t="str">
        <f t="shared" si="175"/>
        <v>na</v>
      </c>
      <c r="AR84" s="1789" t="str">
        <f t="shared" si="176"/>
        <v>na</v>
      </c>
      <c r="AS84" s="1051"/>
      <c r="AU84" s="1332" t="str">
        <f t="shared" si="177"/>
        <v/>
      </c>
      <c r="AV84" s="1114" t="str">
        <f t="shared" si="178"/>
        <v/>
      </c>
      <c r="AW84" s="1114" t="str">
        <f t="shared" si="179"/>
        <v/>
      </c>
      <c r="AX84" s="1114" t="str">
        <f t="shared" si="180"/>
        <v/>
      </c>
      <c r="AY84" s="1113" t="str">
        <f t="shared" si="181"/>
        <v/>
      </c>
      <c r="AZ84" s="1114" t="str">
        <f t="shared" si="182"/>
        <v/>
      </c>
      <c r="BA84" s="1114" t="str">
        <f t="shared" si="183"/>
        <v/>
      </c>
      <c r="BB84" s="1704" t="str">
        <f t="shared" si="184"/>
        <v/>
      </c>
      <c r="BC84" s="1113" t="str">
        <f t="shared" si="185"/>
        <v/>
      </c>
      <c r="BD84" s="1114" t="str">
        <f t="shared" si="186"/>
        <v/>
      </c>
      <c r="BE84" s="1114" t="str">
        <f t="shared" si="187"/>
        <v/>
      </c>
      <c r="BF84" s="1114" t="str">
        <f t="shared" si="188"/>
        <v/>
      </c>
      <c r="BG84" s="1114" t="str">
        <f t="shared" si="189"/>
        <v/>
      </c>
      <c r="BH84" s="1114" t="str">
        <f t="shared" si="190"/>
        <v/>
      </c>
      <c r="BI84" s="1114" t="str">
        <f t="shared" si="191"/>
        <v/>
      </c>
      <c r="BJ84" s="1115" t="str">
        <f t="shared" si="192"/>
        <v/>
      </c>
      <c r="BL84" s="1885"/>
    </row>
    <row r="85" spans="1:64" ht="13.9" customHeight="1" x14ac:dyDescent="0.25">
      <c r="A85" s="1917">
        <f>Chem!A85</f>
        <v>83</v>
      </c>
      <c r="B85" s="1880" t="str">
        <f>Chem!B85</f>
        <v>Bis(2-chloroethyl)ether</v>
      </c>
      <c r="C85" s="394" t="str">
        <f>Param!AK85</f>
        <v>no</v>
      </c>
      <c r="D85" s="317" t="str">
        <f>IF(ISNUMBER(Param!AN85),Param!AN85,Param!AM85)</f>
        <v>na</v>
      </c>
      <c r="E85" s="273" t="s">
        <v>232</v>
      </c>
      <c r="F85" s="643" t="s">
        <v>232</v>
      </c>
      <c r="G85" s="550" t="s">
        <v>232</v>
      </c>
      <c r="H85" s="550" t="s">
        <v>232</v>
      </c>
      <c r="I85" s="273" t="s">
        <v>232</v>
      </c>
      <c r="J85" s="273" t="s">
        <v>232</v>
      </c>
      <c r="K85" s="219" t="str">
        <f>IF(C85="YES",'SD-Eq'!V85,"na")</f>
        <v>na</v>
      </c>
      <c r="L85" s="273" t="str">
        <f>IF(C85="YES",'SD-Eq'!Z85,"na")</f>
        <v>na</v>
      </c>
      <c r="M85" s="435" t="str">
        <f t="shared" si="165"/>
        <v>na</v>
      </c>
      <c r="N85" s="273" t="str">
        <f t="shared" si="166"/>
        <v>na</v>
      </c>
      <c r="O85" s="1794" t="str">
        <f t="shared" si="167"/>
        <v>na</v>
      </c>
      <c r="P85" s="1789" t="str">
        <f t="shared" si="168"/>
        <v>na</v>
      </c>
      <c r="Q85" s="418" t="s">
        <v>232</v>
      </c>
      <c r="R85" s="418" t="s">
        <v>232</v>
      </c>
      <c r="S85" s="418" t="s">
        <v>232</v>
      </c>
      <c r="T85" s="418" t="s">
        <v>232</v>
      </c>
      <c r="U85" s="418" t="s">
        <v>232</v>
      </c>
      <c r="V85" s="418" t="s">
        <v>232</v>
      </c>
      <c r="W85" s="418" t="str">
        <f t="shared" si="169"/>
        <v>na</v>
      </c>
      <c r="X85" s="418" t="s">
        <v>232</v>
      </c>
      <c r="Y85" s="1884" t="str">
        <f t="shared" si="170"/>
        <v>na</v>
      </c>
      <c r="Z85" s="1884" t="str">
        <f t="shared" si="171"/>
        <v>na</v>
      </c>
      <c r="AA85" s="1789" t="s">
        <v>232</v>
      </c>
      <c r="AB85" s="1789" t="s">
        <v>232</v>
      </c>
      <c r="AC85" s="273" t="s">
        <v>232</v>
      </c>
      <c r="AD85" s="273" t="s">
        <v>232</v>
      </c>
      <c r="AE85" s="273" t="s">
        <v>232</v>
      </c>
      <c r="AF85" s="273" t="s">
        <v>232</v>
      </c>
      <c r="AG85" s="1789" t="s">
        <v>232</v>
      </c>
      <c r="AH85" s="1789" t="s">
        <v>232</v>
      </c>
      <c r="AI85" s="273" t="s">
        <v>232</v>
      </c>
      <c r="AJ85" s="273" t="s">
        <v>232</v>
      </c>
      <c r="AK85" s="273" t="s">
        <v>232</v>
      </c>
      <c r="AL85" s="273" t="s">
        <v>232</v>
      </c>
      <c r="AM85" s="1789" t="s">
        <v>232</v>
      </c>
      <c r="AN85" s="273" t="str">
        <f t="shared" si="172"/>
        <v>na</v>
      </c>
      <c r="AO85" s="273" t="str">
        <f t="shared" si="173"/>
        <v>na</v>
      </c>
      <c r="AP85" s="273" t="str">
        <f t="shared" si="174"/>
        <v>na</v>
      </c>
      <c r="AQ85" s="273" t="str">
        <f t="shared" si="175"/>
        <v>na</v>
      </c>
      <c r="AR85" s="1789" t="str">
        <f t="shared" si="176"/>
        <v>na</v>
      </c>
      <c r="AS85" s="1051"/>
      <c r="AU85" s="1332" t="str">
        <f t="shared" si="177"/>
        <v/>
      </c>
      <c r="AV85" s="1114" t="str">
        <f t="shared" si="178"/>
        <v/>
      </c>
      <c r="AW85" s="1114" t="str">
        <f t="shared" si="179"/>
        <v/>
      </c>
      <c r="AX85" s="1114" t="str">
        <f t="shared" si="180"/>
        <v/>
      </c>
      <c r="AY85" s="1113" t="str">
        <f t="shared" si="181"/>
        <v/>
      </c>
      <c r="AZ85" s="1114" t="str">
        <f t="shared" si="182"/>
        <v/>
      </c>
      <c r="BA85" s="1114" t="str">
        <f t="shared" si="183"/>
        <v/>
      </c>
      <c r="BB85" s="1704" t="str">
        <f t="shared" si="184"/>
        <v/>
      </c>
      <c r="BC85" s="1113" t="str">
        <f t="shared" si="185"/>
        <v/>
      </c>
      <c r="BD85" s="1114" t="str">
        <f t="shared" si="186"/>
        <v/>
      </c>
      <c r="BE85" s="1114" t="str">
        <f t="shared" si="187"/>
        <v/>
      </c>
      <c r="BF85" s="1114" t="str">
        <f t="shared" si="188"/>
        <v/>
      </c>
      <c r="BG85" s="1114" t="str">
        <f t="shared" si="189"/>
        <v/>
      </c>
      <c r="BH85" s="1114" t="str">
        <f t="shared" si="190"/>
        <v/>
      </c>
      <c r="BI85" s="1114" t="str">
        <f t="shared" si="191"/>
        <v/>
      </c>
      <c r="BJ85" s="1115" t="str">
        <f t="shared" si="192"/>
        <v/>
      </c>
      <c r="BL85" s="1885"/>
    </row>
    <row r="86" spans="1:64" ht="13.9" customHeight="1" x14ac:dyDescent="0.25">
      <c r="A86" s="1917">
        <f>Chem!A86</f>
        <v>84</v>
      </c>
      <c r="B86" s="1880" t="str">
        <f>Chem!B86</f>
        <v>Bis(chloromethyl)ether</v>
      </c>
      <c r="C86" s="394" t="str">
        <f>Param!AK86</f>
        <v>no</v>
      </c>
      <c r="D86" s="317" t="str">
        <f>IF(ISNUMBER(Param!AN86),Param!AN86,Param!AM86)</f>
        <v>na</v>
      </c>
      <c r="E86" s="273" t="s">
        <v>232</v>
      </c>
      <c r="F86" s="643" t="s">
        <v>232</v>
      </c>
      <c r="G86" s="550" t="s">
        <v>232</v>
      </c>
      <c r="H86" s="550" t="s">
        <v>232</v>
      </c>
      <c r="I86" s="273" t="s">
        <v>232</v>
      </c>
      <c r="J86" s="273" t="s">
        <v>232</v>
      </c>
      <c r="K86" s="219" t="str">
        <f>IF(C86="YES",'SD-Eq'!V86,"na")</f>
        <v>na</v>
      </c>
      <c r="L86" s="273" t="str">
        <f>IF(C86="YES",'SD-Eq'!Z86,"na")</f>
        <v>na</v>
      </c>
      <c r="M86" s="435" t="str">
        <f t="shared" si="165"/>
        <v>na</v>
      </c>
      <c r="N86" s="273" t="str">
        <f t="shared" si="166"/>
        <v>na</v>
      </c>
      <c r="O86" s="1794" t="str">
        <f t="shared" si="167"/>
        <v>na</v>
      </c>
      <c r="P86" s="1789" t="str">
        <f t="shared" si="168"/>
        <v>na</v>
      </c>
      <c r="Q86" s="418" t="s">
        <v>232</v>
      </c>
      <c r="R86" s="418" t="s">
        <v>232</v>
      </c>
      <c r="S86" s="418" t="s">
        <v>232</v>
      </c>
      <c r="T86" s="418" t="s">
        <v>232</v>
      </c>
      <c r="U86" s="418" t="s">
        <v>232</v>
      </c>
      <c r="V86" s="418" t="s">
        <v>232</v>
      </c>
      <c r="W86" s="418" t="str">
        <f t="shared" si="169"/>
        <v>na</v>
      </c>
      <c r="X86" s="418" t="s">
        <v>232</v>
      </c>
      <c r="Y86" s="1884" t="str">
        <f t="shared" si="170"/>
        <v>na</v>
      </c>
      <c r="Z86" s="1884" t="str">
        <f t="shared" si="171"/>
        <v>na</v>
      </c>
      <c r="AA86" s="1789" t="s">
        <v>232</v>
      </c>
      <c r="AB86" s="1789" t="s">
        <v>232</v>
      </c>
      <c r="AC86" s="273" t="s">
        <v>232</v>
      </c>
      <c r="AD86" s="273" t="s">
        <v>232</v>
      </c>
      <c r="AE86" s="273" t="s">
        <v>232</v>
      </c>
      <c r="AF86" s="273" t="s">
        <v>232</v>
      </c>
      <c r="AG86" s="1789" t="s">
        <v>232</v>
      </c>
      <c r="AH86" s="1789" t="s">
        <v>232</v>
      </c>
      <c r="AI86" s="273" t="s">
        <v>232</v>
      </c>
      <c r="AJ86" s="273" t="s">
        <v>232</v>
      </c>
      <c r="AK86" s="273" t="s">
        <v>232</v>
      </c>
      <c r="AL86" s="273" t="s">
        <v>232</v>
      </c>
      <c r="AM86" s="1789" t="s">
        <v>232</v>
      </c>
      <c r="AN86" s="273" t="str">
        <f t="shared" ref="AN86" si="193">IF(MIN(AA86,AB86)=0,"na",MIN(AA86,AB86))</f>
        <v>na</v>
      </c>
      <c r="AO86" s="273" t="str">
        <f t="shared" ref="AO86" si="194">IF(MIN(AC86:AF86)=0,"na",MIN(AC86:AF86))</f>
        <v>na</v>
      </c>
      <c r="AP86" s="273" t="str">
        <f t="shared" ref="AP86" si="195">IF(MIN(AG86,AH86)=0,"na",MIN(AG86,AH86))</f>
        <v>na</v>
      </c>
      <c r="AQ86" s="273" t="str">
        <f t="shared" ref="AQ86" si="196">IF(MIN(AI86:AL86)=0,"na",MIN(AI86:AL86))</f>
        <v>na</v>
      </c>
      <c r="AR86" s="1789" t="str">
        <f t="shared" ref="AR86" si="197">IF(MIN(AA86:AM86)=0,"na",MIN(AA86:AM86))</f>
        <v>na</v>
      </c>
      <c r="AS86" s="1051"/>
      <c r="AU86" s="1332" t="str">
        <f t="shared" si="177"/>
        <v/>
      </c>
      <c r="AV86" s="1114" t="str">
        <f t="shared" si="178"/>
        <v/>
      </c>
      <c r="AW86" s="1114" t="str">
        <f t="shared" si="179"/>
        <v/>
      </c>
      <c r="AX86" s="1114" t="str">
        <f t="shared" si="180"/>
        <v/>
      </c>
      <c r="AY86" s="1113" t="str">
        <f t="shared" si="181"/>
        <v/>
      </c>
      <c r="AZ86" s="1114" t="str">
        <f t="shared" si="182"/>
        <v/>
      </c>
      <c r="BA86" s="1114" t="str">
        <f t="shared" si="183"/>
        <v/>
      </c>
      <c r="BB86" s="1704" t="str">
        <f t="shared" si="184"/>
        <v/>
      </c>
      <c r="BC86" s="1113" t="str">
        <f t="shared" si="185"/>
        <v/>
      </c>
      <c r="BD86" s="1114" t="str">
        <f t="shared" si="186"/>
        <v/>
      </c>
      <c r="BE86" s="1114" t="str">
        <f t="shared" si="187"/>
        <v/>
      </c>
      <c r="BF86" s="1114" t="str">
        <f t="shared" si="188"/>
        <v/>
      </c>
      <c r="BG86" s="1114" t="str">
        <f t="shared" si="189"/>
        <v/>
      </c>
      <c r="BH86" s="1114" t="str">
        <f t="shared" si="190"/>
        <v/>
      </c>
      <c r="BI86" s="1114" t="str">
        <f t="shared" si="191"/>
        <v/>
      </c>
      <c r="BJ86" s="1115" t="str">
        <f t="shared" si="192"/>
        <v/>
      </c>
      <c r="BL86" s="1885"/>
    </row>
    <row r="87" spans="1:64" ht="13.9" customHeight="1" x14ac:dyDescent="0.25">
      <c r="A87" s="1917">
        <f>Chem!A87</f>
        <v>85</v>
      </c>
      <c r="B87" s="1880" t="str">
        <f>Chem!B87</f>
        <v xml:space="preserve">Bis(2-chloro-1-methylethyl)ether </v>
      </c>
      <c r="C87" s="394" t="str">
        <f>Param!AK87</f>
        <v>no</v>
      </c>
      <c r="D87" s="317" t="str">
        <f>IF(ISNUMBER(Param!AN87),Param!AN87,Param!AM87)</f>
        <v>na</v>
      </c>
      <c r="E87" s="273" t="s">
        <v>232</v>
      </c>
      <c r="F87" s="643" t="s">
        <v>232</v>
      </c>
      <c r="G87" s="550" t="s">
        <v>232</v>
      </c>
      <c r="H87" s="550" t="s">
        <v>232</v>
      </c>
      <c r="I87" s="273" t="s">
        <v>232</v>
      </c>
      <c r="J87" s="273" t="s">
        <v>232</v>
      </c>
      <c r="K87" s="219" t="str">
        <f>IF(C87="YES",'SD-Eq'!V87,"na")</f>
        <v>na</v>
      </c>
      <c r="L87" s="273" t="str">
        <f>IF(C87="YES",'SD-Eq'!Z87,"na")</f>
        <v>na</v>
      </c>
      <c r="M87" s="435" t="str">
        <f t="shared" si="165"/>
        <v>na</v>
      </c>
      <c r="N87" s="273" t="str">
        <f t="shared" si="166"/>
        <v>na</v>
      </c>
      <c r="O87" s="1794" t="str">
        <f t="shared" si="167"/>
        <v>na</v>
      </c>
      <c r="P87" s="1789" t="str">
        <f t="shared" si="168"/>
        <v>na</v>
      </c>
      <c r="Q87" s="418" t="s">
        <v>232</v>
      </c>
      <c r="R87" s="418" t="s">
        <v>232</v>
      </c>
      <c r="S87" s="418" t="s">
        <v>232</v>
      </c>
      <c r="T87" s="418" t="s">
        <v>232</v>
      </c>
      <c r="U87" s="418" t="s">
        <v>232</v>
      </c>
      <c r="V87" s="418" t="s">
        <v>232</v>
      </c>
      <c r="W87" s="418" t="str">
        <f t="shared" si="169"/>
        <v>na</v>
      </c>
      <c r="X87" s="418" t="s">
        <v>232</v>
      </c>
      <c r="Y87" s="1884" t="str">
        <f t="shared" si="170"/>
        <v>na</v>
      </c>
      <c r="Z87" s="1884" t="str">
        <f t="shared" si="171"/>
        <v>na</v>
      </c>
      <c r="AA87" s="1789" t="s">
        <v>232</v>
      </c>
      <c r="AB87" s="1789" t="s">
        <v>232</v>
      </c>
      <c r="AC87" s="273" t="s">
        <v>232</v>
      </c>
      <c r="AD87" s="273" t="s">
        <v>232</v>
      </c>
      <c r="AE87" s="273" t="s">
        <v>232</v>
      </c>
      <c r="AF87" s="273" t="s">
        <v>232</v>
      </c>
      <c r="AG87" s="1789" t="s">
        <v>232</v>
      </c>
      <c r="AH87" s="1789" t="s">
        <v>232</v>
      </c>
      <c r="AI87" s="273" t="s">
        <v>232</v>
      </c>
      <c r="AJ87" s="273" t="s">
        <v>232</v>
      </c>
      <c r="AK87" s="273" t="s">
        <v>232</v>
      </c>
      <c r="AL87" s="273" t="s">
        <v>232</v>
      </c>
      <c r="AM87" s="1789" t="s">
        <v>232</v>
      </c>
      <c r="AN87" s="273" t="str">
        <f t="shared" si="172"/>
        <v>na</v>
      </c>
      <c r="AO87" s="273" t="str">
        <f t="shared" si="173"/>
        <v>na</v>
      </c>
      <c r="AP87" s="273" t="str">
        <f t="shared" si="174"/>
        <v>na</v>
      </c>
      <c r="AQ87" s="273" t="str">
        <f t="shared" si="175"/>
        <v>na</v>
      </c>
      <c r="AR87" s="1789" t="str">
        <f t="shared" si="176"/>
        <v>na</v>
      </c>
      <c r="AS87" s="1051"/>
      <c r="AU87" s="1332" t="str">
        <f t="shared" si="177"/>
        <v/>
      </c>
      <c r="AV87" s="1114" t="str">
        <f t="shared" si="178"/>
        <v/>
      </c>
      <c r="AW87" s="1114" t="str">
        <f t="shared" si="179"/>
        <v/>
      </c>
      <c r="AX87" s="1114" t="str">
        <f t="shared" si="180"/>
        <v/>
      </c>
      <c r="AY87" s="1113" t="str">
        <f t="shared" si="181"/>
        <v/>
      </c>
      <c r="AZ87" s="1114" t="str">
        <f t="shared" si="182"/>
        <v/>
      </c>
      <c r="BA87" s="1114" t="str">
        <f t="shared" si="183"/>
        <v/>
      </c>
      <c r="BB87" s="1704" t="str">
        <f t="shared" si="184"/>
        <v/>
      </c>
      <c r="BC87" s="1113" t="str">
        <f t="shared" si="185"/>
        <v/>
      </c>
      <c r="BD87" s="1114" t="str">
        <f t="shared" si="186"/>
        <v/>
      </c>
      <c r="BE87" s="1114" t="str">
        <f t="shared" si="187"/>
        <v/>
      </c>
      <c r="BF87" s="1114" t="str">
        <f t="shared" si="188"/>
        <v/>
      </c>
      <c r="BG87" s="1114" t="str">
        <f t="shared" si="189"/>
        <v/>
      </c>
      <c r="BH87" s="1114" t="str">
        <f t="shared" si="190"/>
        <v/>
      </c>
      <c r="BI87" s="1114" t="str">
        <f t="shared" si="191"/>
        <v/>
      </c>
      <c r="BJ87" s="1115" t="str">
        <f t="shared" si="192"/>
        <v/>
      </c>
      <c r="BL87" s="1885"/>
    </row>
    <row r="88" spans="1:64" ht="13.9" customHeight="1" x14ac:dyDescent="0.25">
      <c r="A88" s="1917">
        <f>Chem!A88</f>
        <v>86</v>
      </c>
      <c r="B88" s="1880" t="str">
        <f>Chem!B88</f>
        <v>2,6-Bis(1,1-dimethylethyl) phenol</v>
      </c>
      <c r="C88" s="394" t="str">
        <f>Param!AK88</f>
        <v>no</v>
      </c>
      <c r="D88" s="317" t="str">
        <f>IF(ISNUMBER(Param!AN88),Param!AN88,Param!AM88)</f>
        <v>na</v>
      </c>
      <c r="E88" s="273" t="s">
        <v>232</v>
      </c>
      <c r="F88" s="643" t="s">
        <v>232</v>
      </c>
      <c r="G88" s="550" t="s">
        <v>232</v>
      </c>
      <c r="H88" s="550" t="s">
        <v>232</v>
      </c>
      <c r="I88" s="273" t="s">
        <v>232</v>
      </c>
      <c r="J88" s="273" t="s">
        <v>232</v>
      </c>
      <c r="K88" s="219" t="str">
        <f>IF(C88="YES",'SD-Eq'!V88,"na")</f>
        <v>na</v>
      </c>
      <c r="L88" s="273" t="str">
        <f>IF(C88="YES",'SD-Eq'!Z88,"na")</f>
        <v>na</v>
      </c>
      <c r="M88" s="435" t="str">
        <f t="shared" si="165"/>
        <v>na</v>
      </c>
      <c r="N88" s="273" t="str">
        <f t="shared" si="166"/>
        <v>na</v>
      </c>
      <c r="O88" s="1794" t="str">
        <f t="shared" si="167"/>
        <v>na</v>
      </c>
      <c r="P88" s="1789" t="str">
        <f t="shared" si="168"/>
        <v>na</v>
      </c>
      <c r="Q88" s="418" t="s">
        <v>232</v>
      </c>
      <c r="R88" s="418" t="s">
        <v>232</v>
      </c>
      <c r="S88" s="418" t="s">
        <v>232</v>
      </c>
      <c r="T88" s="418" t="s">
        <v>232</v>
      </c>
      <c r="U88" s="418" t="s">
        <v>232</v>
      </c>
      <c r="V88" s="418" t="s">
        <v>232</v>
      </c>
      <c r="W88" s="418" t="str">
        <f t="shared" si="169"/>
        <v>na</v>
      </c>
      <c r="X88" s="418" t="s">
        <v>232</v>
      </c>
      <c r="Y88" s="1884" t="str">
        <f t="shared" si="170"/>
        <v>na</v>
      </c>
      <c r="Z88" s="1884" t="str">
        <f t="shared" si="171"/>
        <v>na</v>
      </c>
      <c r="AA88" s="1789" t="s">
        <v>232</v>
      </c>
      <c r="AB88" s="1789" t="s">
        <v>232</v>
      </c>
      <c r="AC88" s="273" t="s">
        <v>232</v>
      </c>
      <c r="AD88" s="273" t="s">
        <v>232</v>
      </c>
      <c r="AE88" s="273" t="s">
        <v>232</v>
      </c>
      <c r="AF88" s="273" t="s">
        <v>232</v>
      </c>
      <c r="AG88" s="1789" t="s">
        <v>232</v>
      </c>
      <c r="AH88" s="1789" t="s">
        <v>232</v>
      </c>
      <c r="AI88" s="273" t="s">
        <v>232</v>
      </c>
      <c r="AJ88" s="273" t="s">
        <v>232</v>
      </c>
      <c r="AK88" s="273" t="s">
        <v>232</v>
      </c>
      <c r="AL88" s="273" t="s">
        <v>232</v>
      </c>
      <c r="AM88" s="1789" t="s">
        <v>232</v>
      </c>
      <c r="AN88" s="273" t="str">
        <f t="shared" si="172"/>
        <v>na</v>
      </c>
      <c r="AO88" s="273" t="str">
        <f t="shared" si="173"/>
        <v>na</v>
      </c>
      <c r="AP88" s="273" t="str">
        <f t="shared" si="174"/>
        <v>na</v>
      </c>
      <c r="AQ88" s="273" t="str">
        <f t="shared" si="175"/>
        <v>na</v>
      </c>
      <c r="AR88" s="1789" t="str">
        <f t="shared" si="176"/>
        <v>na</v>
      </c>
      <c r="AS88" s="1051"/>
      <c r="AU88" s="1332" t="str">
        <f t="shared" si="177"/>
        <v/>
      </c>
      <c r="AV88" s="1114" t="str">
        <f t="shared" si="178"/>
        <v/>
      </c>
      <c r="AW88" s="1114" t="str">
        <f t="shared" si="179"/>
        <v/>
      </c>
      <c r="AX88" s="1114" t="str">
        <f t="shared" si="180"/>
        <v/>
      </c>
      <c r="AY88" s="1113" t="str">
        <f t="shared" si="181"/>
        <v/>
      </c>
      <c r="AZ88" s="1114" t="str">
        <f t="shared" si="182"/>
        <v/>
      </c>
      <c r="BA88" s="1114" t="str">
        <f t="shared" si="183"/>
        <v/>
      </c>
      <c r="BB88" s="1704" t="str">
        <f t="shared" si="184"/>
        <v/>
      </c>
      <c r="BC88" s="1113" t="str">
        <f t="shared" si="185"/>
        <v/>
      </c>
      <c r="BD88" s="1114" t="str">
        <f t="shared" si="186"/>
        <v/>
      </c>
      <c r="BE88" s="1114" t="str">
        <f t="shared" si="187"/>
        <v/>
      </c>
      <c r="BF88" s="1114" t="str">
        <f t="shared" si="188"/>
        <v/>
      </c>
      <c r="BG88" s="1114" t="str">
        <f t="shared" si="189"/>
        <v/>
      </c>
      <c r="BH88" s="1114" t="str">
        <f t="shared" si="190"/>
        <v/>
      </c>
      <c r="BI88" s="1114" t="str">
        <f t="shared" si="191"/>
        <v/>
      </c>
      <c r="BJ88" s="1115" t="str">
        <f t="shared" si="192"/>
        <v/>
      </c>
      <c r="BL88" s="1885"/>
    </row>
    <row r="89" spans="1:64" ht="13.9" customHeight="1" x14ac:dyDescent="0.25">
      <c r="A89" s="1917">
        <f>Chem!A89</f>
        <v>87</v>
      </c>
      <c r="B89" s="1880" t="str">
        <f>Chem!B89</f>
        <v>Bis(2-ethylhexyl) phthalate</v>
      </c>
      <c r="C89" s="394" t="str">
        <f>Param!AK89</f>
        <v>no</v>
      </c>
      <c r="D89" s="317" t="str">
        <f>IF(ISNUMBER(Param!AN89),Param!AN89,Param!AM89)</f>
        <v>na</v>
      </c>
      <c r="E89" s="273" t="s">
        <v>232</v>
      </c>
      <c r="F89" s="643">
        <v>0.11899999999999999</v>
      </c>
      <c r="G89" s="550">
        <v>47</v>
      </c>
      <c r="H89" s="550">
        <v>1.3</v>
      </c>
      <c r="I89" s="273">
        <v>78</v>
      </c>
      <c r="J89" s="273">
        <v>1.9</v>
      </c>
      <c r="K89" s="219" t="str">
        <f>IF(C89="YES",'SD-Eq'!V89,"na")</f>
        <v>na</v>
      </c>
      <c r="L89" s="273" t="str">
        <f>IF(C89="YES",'SD-Eq'!Z89,"na")</f>
        <v>na</v>
      </c>
      <c r="M89" s="435" t="str">
        <f t="shared" si="165"/>
        <v>na</v>
      </c>
      <c r="N89" s="273" t="str">
        <f t="shared" si="166"/>
        <v>na</v>
      </c>
      <c r="O89" s="1794">
        <f t="shared" si="167"/>
        <v>1.3</v>
      </c>
      <c r="P89" s="1789">
        <f t="shared" si="168"/>
        <v>1.9</v>
      </c>
      <c r="Q89" s="418" t="s">
        <v>232</v>
      </c>
      <c r="R89" s="418" t="s">
        <v>232</v>
      </c>
      <c r="S89" s="418" t="s">
        <v>232</v>
      </c>
      <c r="T89" s="418" t="s">
        <v>232</v>
      </c>
      <c r="U89" s="418" t="s">
        <v>232</v>
      </c>
      <c r="V89" s="418">
        <v>47</v>
      </c>
      <c r="W89" s="418">
        <f t="shared" si="169"/>
        <v>1.3</v>
      </c>
      <c r="X89" s="418" t="s">
        <v>232</v>
      </c>
      <c r="Y89" s="1884" t="str">
        <f t="shared" si="170"/>
        <v>na</v>
      </c>
      <c r="Z89" s="1886">
        <f t="shared" si="171"/>
        <v>1.3</v>
      </c>
      <c r="AA89" s="1887">
        <f>$H89</f>
        <v>1.3</v>
      </c>
      <c r="AB89" s="1887">
        <f>$H89</f>
        <v>1.3</v>
      </c>
      <c r="AC89" s="1887">
        <f>2*$H89</f>
        <v>2.6</v>
      </c>
      <c r="AD89" s="1887">
        <f>6*$H89</f>
        <v>7.8000000000000007</v>
      </c>
      <c r="AE89" s="298" t="s">
        <v>232</v>
      </c>
      <c r="AF89" s="298" t="s">
        <v>232</v>
      </c>
      <c r="AG89" s="1887">
        <f>$H89</f>
        <v>1.3</v>
      </c>
      <c r="AH89" s="1887">
        <f>$H89</f>
        <v>1.3</v>
      </c>
      <c r="AI89" s="1887">
        <f>2*$H89</f>
        <v>2.6</v>
      </c>
      <c r="AJ89" s="1887">
        <f>6*$H89</f>
        <v>7.8000000000000007</v>
      </c>
      <c r="AK89" s="298" t="s">
        <v>232</v>
      </c>
      <c r="AL89" s="298" t="s">
        <v>232</v>
      </c>
      <c r="AM89" s="1887">
        <f>$H89</f>
        <v>1.3</v>
      </c>
      <c r="AN89" s="298">
        <f t="shared" si="172"/>
        <v>1.3</v>
      </c>
      <c r="AO89" s="298">
        <f t="shared" si="173"/>
        <v>2.6</v>
      </c>
      <c r="AP89" s="298">
        <f t="shared" si="174"/>
        <v>1.3</v>
      </c>
      <c r="AQ89" s="298">
        <f t="shared" si="175"/>
        <v>2.6</v>
      </c>
      <c r="AR89" s="1887">
        <f t="shared" si="176"/>
        <v>1.3</v>
      </c>
      <c r="AS89" s="1051"/>
      <c r="AU89" s="1332" t="str">
        <f t="shared" si="177"/>
        <v/>
      </c>
      <c r="AV89" s="1114" t="str">
        <f t="shared" si="178"/>
        <v/>
      </c>
      <c r="AW89" s="1114" t="str">
        <f t="shared" si="179"/>
        <v>X</v>
      </c>
      <c r="AX89" s="1114" t="str">
        <f t="shared" si="180"/>
        <v/>
      </c>
      <c r="AY89" s="1113" t="str">
        <f t="shared" si="181"/>
        <v/>
      </c>
      <c r="AZ89" s="1114" t="str">
        <f t="shared" si="182"/>
        <v/>
      </c>
      <c r="BA89" s="1114" t="str">
        <f t="shared" si="183"/>
        <v>X</v>
      </c>
      <c r="BB89" s="1704" t="str">
        <f t="shared" si="184"/>
        <v/>
      </c>
      <c r="BC89" s="1113" t="str">
        <f t="shared" si="185"/>
        <v/>
      </c>
      <c r="BD89" s="1114" t="str">
        <f t="shared" si="186"/>
        <v/>
      </c>
      <c r="BE89" s="1114" t="str">
        <f t="shared" si="187"/>
        <v>X</v>
      </c>
      <c r="BF89" s="1114" t="str">
        <f t="shared" si="188"/>
        <v/>
      </c>
      <c r="BG89" s="1114" t="str">
        <f t="shared" si="189"/>
        <v/>
      </c>
      <c r="BH89" s="1114" t="str">
        <f t="shared" si="190"/>
        <v/>
      </c>
      <c r="BI89" s="1114" t="str">
        <f t="shared" si="191"/>
        <v>X</v>
      </c>
      <c r="BJ89" s="1115" t="str">
        <f t="shared" si="192"/>
        <v/>
      </c>
      <c r="BL89" s="1885"/>
    </row>
    <row r="90" spans="1:64" ht="13.9" customHeight="1" x14ac:dyDescent="0.25">
      <c r="A90" s="1917">
        <f>Chem!A90</f>
        <v>88</v>
      </c>
      <c r="B90" s="1880" t="str">
        <f>Chem!B90</f>
        <v>4-Bromophenyl phenyl ether</v>
      </c>
      <c r="C90" s="394" t="str">
        <f>Param!AK90</f>
        <v>no</v>
      </c>
      <c r="D90" s="317" t="str">
        <f>IF(ISNUMBER(Param!AN90),Param!AN90,Param!AM90)</f>
        <v>na</v>
      </c>
      <c r="E90" s="273" t="s">
        <v>232</v>
      </c>
      <c r="F90" s="643" t="s">
        <v>232</v>
      </c>
      <c r="G90" s="550" t="s">
        <v>232</v>
      </c>
      <c r="H90" s="550" t="s">
        <v>232</v>
      </c>
      <c r="I90" s="273" t="s">
        <v>232</v>
      </c>
      <c r="J90" s="273" t="s">
        <v>232</v>
      </c>
      <c r="K90" s="219" t="str">
        <f>IF(C90="YES",'SD-Eq'!V90,"na")</f>
        <v>na</v>
      </c>
      <c r="L90" s="273" t="str">
        <f>IF(C90="YES",'SD-Eq'!Z90,"na")</f>
        <v>na</v>
      </c>
      <c r="M90" s="435" t="str">
        <f t="shared" si="165"/>
        <v>na</v>
      </c>
      <c r="N90" s="273" t="str">
        <f t="shared" si="166"/>
        <v>na</v>
      </c>
      <c r="O90" s="1794" t="str">
        <f t="shared" si="167"/>
        <v>na</v>
      </c>
      <c r="P90" s="1789" t="str">
        <f t="shared" si="168"/>
        <v>na</v>
      </c>
      <c r="Q90" s="418" t="s">
        <v>232</v>
      </c>
      <c r="R90" s="418" t="s">
        <v>232</v>
      </c>
      <c r="S90" s="418" t="s">
        <v>232</v>
      </c>
      <c r="T90" s="418" t="s">
        <v>232</v>
      </c>
      <c r="U90" s="418" t="s">
        <v>232</v>
      </c>
      <c r="V90" s="418" t="s">
        <v>232</v>
      </c>
      <c r="W90" s="418" t="str">
        <f t="shared" si="169"/>
        <v>na</v>
      </c>
      <c r="X90" s="418" t="s">
        <v>232</v>
      </c>
      <c r="Y90" s="1884" t="str">
        <f t="shared" si="170"/>
        <v>na</v>
      </c>
      <c r="Z90" s="1884" t="str">
        <f t="shared" si="171"/>
        <v>na</v>
      </c>
      <c r="AA90" s="1789" t="s">
        <v>232</v>
      </c>
      <c r="AB90" s="1789" t="s">
        <v>232</v>
      </c>
      <c r="AC90" s="273" t="s">
        <v>232</v>
      </c>
      <c r="AD90" s="273" t="s">
        <v>232</v>
      </c>
      <c r="AE90" s="273" t="s">
        <v>232</v>
      </c>
      <c r="AF90" s="273" t="s">
        <v>232</v>
      </c>
      <c r="AG90" s="1789" t="s">
        <v>232</v>
      </c>
      <c r="AH90" s="1789" t="s">
        <v>232</v>
      </c>
      <c r="AI90" s="273" t="s">
        <v>232</v>
      </c>
      <c r="AJ90" s="273" t="s">
        <v>232</v>
      </c>
      <c r="AK90" s="273" t="s">
        <v>232</v>
      </c>
      <c r="AL90" s="273" t="s">
        <v>232</v>
      </c>
      <c r="AM90" s="1789" t="s">
        <v>232</v>
      </c>
      <c r="AN90" s="273" t="str">
        <f t="shared" si="172"/>
        <v>na</v>
      </c>
      <c r="AO90" s="273" t="str">
        <f t="shared" si="173"/>
        <v>na</v>
      </c>
      <c r="AP90" s="273" t="str">
        <f t="shared" si="174"/>
        <v>na</v>
      </c>
      <c r="AQ90" s="273" t="str">
        <f t="shared" si="175"/>
        <v>na</v>
      </c>
      <c r="AR90" s="1789" t="str">
        <f t="shared" si="176"/>
        <v>na</v>
      </c>
      <c r="AS90" s="1051"/>
      <c r="AU90" s="1332" t="str">
        <f t="shared" si="177"/>
        <v/>
      </c>
      <c r="AV90" s="1114" t="str">
        <f t="shared" si="178"/>
        <v/>
      </c>
      <c r="AW90" s="1114" t="str">
        <f t="shared" si="179"/>
        <v/>
      </c>
      <c r="AX90" s="1114" t="str">
        <f t="shared" si="180"/>
        <v/>
      </c>
      <c r="AY90" s="1113" t="str">
        <f t="shared" si="181"/>
        <v/>
      </c>
      <c r="AZ90" s="1114" t="str">
        <f t="shared" si="182"/>
        <v/>
      </c>
      <c r="BA90" s="1114" t="str">
        <f t="shared" si="183"/>
        <v/>
      </c>
      <c r="BB90" s="1704" t="str">
        <f t="shared" si="184"/>
        <v/>
      </c>
      <c r="BC90" s="1113" t="str">
        <f t="shared" si="185"/>
        <v/>
      </c>
      <c r="BD90" s="1114" t="str">
        <f t="shared" si="186"/>
        <v/>
      </c>
      <c r="BE90" s="1114" t="str">
        <f t="shared" si="187"/>
        <v/>
      </c>
      <c r="BF90" s="1114" t="str">
        <f t="shared" si="188"/>
        <v/>
      </c>
      <c r="BG90" s="1114" t="str">
        <f t="shared" si="189"/>
        <v/>
      </c>
      <c r="BH90" s="1114" t="str">
        <f t="shared" si="190"/>
        <v/>
      </c>
      <c r="BI90" s="1114" t="str">
        <f t="shared" si="191"/>
        <v/>
      </c>
      <c r="BJ90" s="1115" t="str">
        <f t="shared" si="192"/>
        <v/>
      </c>
      <c r="BL90" s="1885"/>
    </row>
    <row r="91" spans="1:64" ht="13.9" customHeight="1" x14ac:dyDescent="0.25">
      <c r="A91" s="1917">
        <f>Chem!A91</f>
        <v>89</v>
      </c>
      <c r="B91" s="1880" t="str">
        <f>Chem!B91</f>
        <v>Butyl benzyl phthalate</v>
      </c>
      <c r="C91" s="394" t="str">
        <f>Param!AK91</f>
        <v>no</v>
      </c>
      <c r="D91" s="317" t="str">
        <f>IF(ISNUMBER(Param!AN91),Param!AN91,Param!AM91)</f>
        <v>na</v>
      </c>
      <c r="E91" s="273" t="s">
        <v>232</v>
      </c>
      <c r="F91" s="643">
        <v>8.1000000000000003E-2</v>
      </c>
      <c r="G91" s="550">
        <v>4.9000000000000004</v>
      </c>
      <c r="H91" s="550">
        <v>6.3E-2</v>
      </c>
      <c r="I91" s="273">
        <v>64</v>
      </c>
      <c r="J91" s="273">
        <v>0.9</v>
      </c>
      <c r="K91" s="219" t="str">
        <f>IF(C91="YES",'SD-Eq'!V91,"na")</f>
        <v>na</v>
      </c>
      <c r="L91" s="273" t="str">
        <f>IF(C91="YES",'SD-Eq'!Z91,"na")</f>
        <v>na</v>
      </c>
      <c r="M91" s="435" t="str">
        <f t="shared" si="165"/>
        <v>na</v>
      </c>
      <c r="N91" s="273" t="str">
        <f t="shared" si="166"/>
        <v>na</v>
      </c>
      <c r="O91" s="1794">
        <f t="shared" si="167"/>
        <v>6.3E-2</v>
      </c>
      <c r="P91" s="1789">
        <f t="shared" si="168"/>
        <v>0.9</v>
      </c>
      <c r="Q91" s="418" t="s">
        <v>232</v>
      </c>
      <c r="R91" s="418" t="s">
        <v>232</v>
      </c>
      <c r="S91" s="418" t="s">
        <v>232</v>
      </c>
      <c r="T91" s="418" t="s">
        <v>232</v>
      </c>
      <c r="U91" s="418" t="s">
        <v>232</v>
      </c>
      <c r="V91" s="418">
        <v>4.9000000000000004</v>
      </c>
      <c r="W91" s="418">
        <f t="shared" si="169"/>
        <v>6.3E-2</v>
      </c>
      <c r="X91" s="418" t="s">
        <v>232</v>
      </c>
      <c r="Y91" s="1884" t="str">
        <f t="shared" si="170"/>
        <v>na</v>
      </c>
      <c r="Z91" s="1886">
        <f t="shared" si="171"/>
        <v>6.3E-2</v>
      </c>
      <c r="AA91" s="1887">
        <f>$H91</f>
        <v>6.3E-2</v>
      </c>
      <c r="AB91" s="1887">
        <f>$H91</f>
        <v>6.3E-2</v>
      </c>
      <c r="AC91" s="1887">
        <f>2*$H91</f>
        <v>0.126</v>
      </c>
      <c r="AD91" s="1887">
        <f>6*$H91</f>
        <v>0.378</v>
      </c>
      <c r="AE91" s="298" t="s">
        <v>232</v>
      </c>
      <c r="AF91" s="298" t="s">
        <v>232</v>
      </c>
      <c r="AG91" s="1887">
        <f>$H91</f>
        <v>6.3E-2</v>
      </c>
      <c r="AH91" s="1887">
        <f>$H91</f>
        <v>6.3E-2</v>
      </c>
      <c r="AI91" s="1887">
        <f>2*$H91</f>
        <v>0.126</v>
      </c>
      <c r="AJ91" s="1887">
        <f>6*$H91</f>
        <v>0.378</v>
      </c>
      <c r="AK91" s="298" t="s">
        <v>232</v>
      </c>
      <c r="AL91" s="298" t="s">
        <v>232</v>
      </c>
      <c r="AM91" s="1887">
        <f>$H91</f>
        <v>6.3E-2</v>
      </c>
      <c r="AN91" s="298">
        <f t="shared" si="172"/>
        <v>6.3E-2</v>
      </c>
      <c r="AO91" s="298">
        <f t="shared" si="173"/>
        <v>0.126</v>
      </c>
      <c r="AP91" s="298">
        <f t="shared" si="174"/>
        <v>6.3E-2</v>
      </c>
      <c r="AQ91" s="298">
        <f t="shared" si="175"/>
        <v>0.126</v>
      </c>
      <c r="AR91" s="1887">
        <f t="shared" si="176"/>
        <v>6.3E-2</v>
      </c>
      <c r="AS91" s="1051"/>
      <c r="AU91" s="1332" t="str">
        <f t="shared" si="177"/>
        <v/>
      </c>
      <c r="AV91" s="1114" t="str">
        <f t="shared" si="178"/>
        <v/>
      </c>
      <c r="AW91" s="1114" t="str">
        <f t="shared" si="179"/>
        <v>X</v>
      </c>
      <c r="AX91" s="1114" t="str">
        <f t="shared" si="180"/>
        <v/>
      </c>
      <c r="AY91" s="1113" t="str">
        <f t="shared" si="181"/>
        <v/>
      </c>
      <c r="AZ91" s="1114" t="str">
        <f t="shared" si="182"/>
        <v/>
      </c>
      <c r="BA91" s="1114" t="str">
        <f t="shared" si="183"/>
        <v>X</v>
      </c>
      <c r="BB91" s="1704" t="str">
        <f t="shared" si="184"/>
        <v/>
      </c>
      <c r="BC91" s="1113" t="str">
        <f t="shared" si="185"/>
        <v/>
      </c>
      <c r="BD91" s="1114" t="str">
        <f t="shared" si="186"/>
        <v/>
      </c>
      <c r="BE91" s="1114" t="str">
        <f t="shared" si="187"/>
        <v>X</v>
      </c>
      <c r="BF91" s="1114" t="str">
        <f t="shared" si="188"/>
        <v/>
      </c>
      <c r="BG91" s="1114" t="str">
        <f t="shared" si="189"/>
        <v/>
      </c>
      <c r="BH91" s="1114" t="str">
        <f t="shared" si="190"/>
        <v/>
      </c>
      <c r="BI91" s="1114" t="str">
        <f t="shared" si="191"/>
        <v>X</v>
      </c>
      <c r="BJ91" s="1115" t="str">
        <f t="shared" si="192"/>
        <v/>
      </c>
      <c r="BL91" s="1885"/>
    </row>
    <row r="92" spans="1:64" ht="13.9" customHeight="1" x14ac:dyDescent="0.25">
      <c r="A92" s="1917">
        <f>Chem!A92</f>
        <v>90</v>
      </c>
      <c r="B92" s="1880" t="str">
        <f>Chem!B92</f>
        <v>Butyl diphenyl phosphate</v>
      </c>
      <c r="C92" s="394" t="str">
        <f>Param!AK92</f>
        <v>no</v>
      </c>
      <c r="D92" s="317" t="str">
        <f>IF(ISNUMBER(Param!AN92),Param!AN92,Param!AM92)</f>
        <v>na</v>
      </c>
      <c r="E92" s="273" t="s">
        <v>232</v>
      </c>
      <c r="F92" s="643" t="s">
        <v>232</v>
      </c>
      <c r="G92" s="550" t="s">
        <v>232</v>
      </c>
      <c r="H92" s="550" t="s">
        <v>232</v>
      </c>
      <c r="I92" s="273" t="s">
        <v>232</v>
      </c>
      <c r="J92" s="273" t="s">
        <v>232</v>
      </c>
      <c r="K92" s="219" t="str">
        <f>IF(C92="YES",'SD-Eq'!V92,"na")</f>
        <v>na</v>
      </c>
      <c r="L92" s="273" t="str">
        <f>IF(C92="YES",'SD-Eq'!Z92,"na")</f>
        <v>na</v>
      </c>
      <c r="M92" s="435" t="str">
        <f t="shared" si="165"/>
        <v>na</v>
      </c>
      <c r="N92" s="273" t="str">
        <f t="shared" si="166"/>
        <v>na</v>
      </c>
      <c r="O92" s="1794" t="str">
        <f t="shared" si="167"/>
        <v>na</v>
      </c>
      <c r="P92" s="1789" t="str">
        <f t="shared" si="168"/>
        <v>na</v>
      </c>
      <c r="Q92" s="418" t="s">
        <v>232</v>
      </c>
      <c r="R92" s="418" t="s">
        <v>232</v>
      </c>
      <c r="S92" s="418" t="s">
        <v>232</v>
      </c>
      <c r="T92" s="418" t="s">
        <v>232</v>
      </c>
      <c r="U92" s="418" t="s">
        <v>232</v>
      </c>
      <c r="V92" s="418" t="s">
        <v>232</v>
      </c>
      <c r="W92" s="418" t="str">
        <f t="shared" si="169"/>
        <v>na</v>
      </c>
      <c r="X92" s="418" t="s">
        <v>232</v>
      </c>
      <c r="Y92" s="1884" t="str">
        <f t="shared" si="170"/>
        <v>na</v>
      </c>
      <c r="Z92" s="1884" t="str">
        <f t="shared" si="171"/>
        <v>na</v>
      </c>
      <c r="AA92" s="1789" t="s">
        <v>232</v>
      </c>
      <c r="AB92" s="1789" t="s">
        <v>232</v>
      </c>
      <c r="AC92" s="273" t="s">
        <v>232</v>
      </c>
      <c r="AD92" s="273" t="s">
        <v>232</v>
      </c>
      <c r="AE92" s="273" t="s">
        <v>232</v>
      </c>
      <c r="AF92" s="273" t="s">
        <v>232</v>
      </c>
      <c r="AG92" s="273" t="s">
        <v>232</v>
      </c>
      <c r="AH92" s="273" t="s">
        <v>232</v>
      </c>
      <c r="AI92" s="273" t="s">
        <v>232</v>
      </c>
      <c r="AJ92" s="273" t="s">
        <v>232</v>
      </c>
      <c r="AK92" s="273" t="s">
        <v>232</v>
      </c>
      <c r="AL92" s="273" t="s">
        <v>232</v>
      </c>
      <c r="AM92" s="273" t="s">
        <v>232</v>
      </c>
      <c r="AN92" s="273" t="str">
        <f t="shared" si="172"/>
        <v>na</v>
      </c>
      <c r="AO92" s="273" t="str">
        <f t="shared" si="173"/>
        <v>na</v>
      </c>
      <c r="AP92" s="273" t="str">
        <f t="shared" si="174"/>
        <v>na</v>
      </c>
      <c r="AQ92" s="273" t="str">
        <f t="shared" si="175"/>
        <v>na</v>
      </c>
      <c r="AR92" s="1789" t="str">
        <f t="shared" si="176"/>
        <v>na</v>
      </c>
      <c r="AS92" s="1051"/>
      <c r="AU92" s="1332" t="str">
        <f t="shared" si="177"/>
        <v/>
      </c>
      <c r="AV92" s="1114" t="str">
        <f t="shared" si="178"/>
        <v/>
      </c>
      <c r="AW92" s="1114" t="str">
        <f t="shared" si="179"/>
        <v/>
      </c>
      <c r="AX92" s="1114" t="str">
        <f t="shared" si="180"/>
        <v/>
      </c>
      <c r="AY92" s="1113" t="str">
        <f t="shared" si="181"/>
        <v/>
      </c>
      <c r="AZ92" s="1114" t="str">
        <f t="shared" si="182"/>
        <v/>
      </c>
      <c r="BA92" s="1114" t="str">
        <f t="shared" si="183"/>
        <v/>
      </c>
      <c r="BB92" s="1704" t="str">
        <f t="shared" si="184"/>
        <v/>
      </c>
      <c r="BC92" s="1113" t="str">
        <f t="shared" si="185"/>
        <v/>
      </c>
      <c r="BD92" s="1114" t="str">
        <f t="shared" si="186"/>
        <v/>
      </c>
      <c r="BE92" s="1114" t="str">
        <f t="shared" si="187"/>
        <v/>
      </c>
      <c r="BF92" s="1114" t="str">
        <f t="shared" si="188"/>
        <v/>
      </c>
      <c r="BG92" s="1114" t="str">
        <f t="shared" si="189"/>
        <v/>
      </c>
      <c r="BH92" s="1114" t="str">
        <f t="shared" si="190"/>
        <v/>
      </c>
      <c r="BI92" s="1114" t="str">
        <f t="shared" si="191"/>
        <v/>
      </c>
      <c r="BJ92" s="1115" t="str">
        <f t="shared" si="192"/>
        <v/>
      </c>
      <c r="BL92" s="1885"/>
    </row>
    <row r="93" spans="1:64" ht="13.9" customHeight="1" x14ac:dyDescent="0.25">
      <c r="A93" s="1917">
        <f>Chem!A93</f>
        <v>91</v>
      </c>
      <c r="B93" s="1880" t="str">
        <f>Chem!B93</f>
        <v>Carbazole</v>
      </c>
      <c r="C93" s="394" t="str">
        <f>Param!AK93</f>
        <v>no</v>
      </c>
      <c r="D93" s="317" t="str">
        <f>IF(ISNUMBER(Param!AN93),Param!AN93,Param!AM93)</f>
        <v>na</v>
      </c>
      <c r="E93" s="273" t="s">
        <v>232</v>
      </c>
      <c r="F93" s="643" t="s">
        <v>232</v>
      </c>
      <c r="G93" s="550" t="s">
        <v>232</v>
      </c>
      <c r="H93" s="550" t="s">
        <v>232</v>
      </c>
      <c r="I93" s="273" t="s">
        <v>232</v>
      </c>
      <c r="J93" s="273" t="s">
        <v>232</v>
      </c>
      <c r="K93" s="219" t="str">
        <f>IF(C93="YES",'SD-Eq'!V93,"na")</f>
        <v>na</v>
      </c>
      <c r="L93" s="273" t="str">
        <f>IF(C93="YES",'SD-Eq'!Z93,"na")</f>
        <v>na</v>
      </c>
      <c r="M93" s="435" t="str">
        <f t="shared" si="165"/>
        <v>na</v>
      </c>
      <c r="N93" s="273" t="str">
        <f t="shared" si="166"/>
        <v>na</v>
      </c>
      <c r="O93" s="1794" t="str">
        <f t="shared" si="167"/>
        <v>na</v>
      </c>
      <c r="P93" s="1789" t="str">
        <f t="shared" si="168"/>
        <v>na</v>
      </c>
      <c r="Q93" s="418" t="s">
        <v>232</v>
      </c>
      <c r="R93" s="418" t="s">
        <v>232</v>
      </c>
      <c r="S93" s="418" t="s">
        <v>232</v>
      </c>
      <c r="T93" s="418" t="s">
        <v>232</v>
      </c>
      <c r="U93" s="418" t="s">
        <v>232</v>
      </c>
      <c r="V93" s="418" t="s">
        <v>232</v>
      </c>
      <c r="W93" s="418" t="str">
        <f t="shared" si="169"/>
        <v>na</v>
      </c>
      <c r="X93" s="418" t="s">
        <v>232</v>
      </c>
      <c r="Y93" s="1884" t="str">
        <f t="shared" si="170"/>
        <v>na</v>
      </c>
      <c r="Z93" s="1884" t="str">
        <f t="shared" si="171"/>
        <v>na</v>
      </c>
      <c r="AA93" s="1789" t="s">
        <v>232</v>
      </c>
      <c r="AB93" s="1789" t="s">
        <v>232</v>
      </c>
      <c r="AC93" s="273" t="s">
        <v>232</v>
      </c>
      <c r="AD93" s="273" t="s">
        <v>232</v>
      </c>
      <c r="AE93" s="273" t="s">
        <v>232</v>
      </c>
      <c r="AF93" s="273" t="s">
        <v>232</v>
      </c>
      <c r="AG93" s="273" t="s">
        <v>232</v>
      </c>
      <c r="AH93" s="273" t="s">
        <v>232</v>
      </c>
      <c r="AI93" s="273" t="s">
        <v>232</v>
      </c>
      <c r="AJ93" s="273" t="s">
        <v>232</v>
      </c>
      <c r="AK93" s="273" t="s">
        <v>232</v>
      </c>
      <c r="AL93" s="273" t="s">
        <v>232</v>
      </c>
      <c r="AM93" s="273" t="s">
        <v>232</v>
      </c>
      <c r="AN93" s="273" t="str">
        <f t="shared" si="172"/>
        <v>na</v>
      </c>
      <c r="AO93" s="273" t="str">
        <f t="shared" si="173"/>
        <v>na</v>
      </c>
      <c r="AP93" s="273" t="str">
        <f t="shared" si="174"/>
        <v>na</v>
      </c>
      <c r="AQ93" s="273" t="str">
        <f t="shared" si="175"/>
        <v>na</v>
      </c>
      <c r="AR93" s="1789" t="str">
        <f t="shared" si="176"/>
        <v>na</v>
      </c>
      <c r="AS93" s="1051"/>
      <c r="AU93" s="1332" t="str">
        <f t="shared" si="177"/>
        <v/>
      </c>
      <c r="AV93" s="1114" t="str">
        <f t="shared" si="178"/>
        <v/>
      </c>
      <c r="AW93" s="1114" t="str">
        <f t="shared" si="179"/>
        <v/>
      </c>
      <c r="AX93" s="1114" t="str">
        <f t="shared" si="180"/>
        <v/>
      </c>
      <c r="AY93" s="1113" t="str">
        <f t="shared" si="181"/>
        <v/>
      </c>
      <c r="AZ93" s="1114" t="str">
        <f t="shared" si="182"/>
        <v/>
      </c>
      <c r="BA93" s="1114" t="str">
        <f t="shared" si="183"/>
        <v/>
      </c>
      <c r="BB93" s="1704" t="str">
        <f t="shared" si="184"/>
        <v/>
      </c>
      <c r="BC93" s="1113" t="str">
        <f t="shared" si="185"/>
        <v/>
      </c>
      <c r="BD93" s="1114" t="str">
        <f t="shared" si="186"/>
        <v/>
      </c>
      <c r="BE93" s="1114" t="str">
        <f t="shared" si="187"/>
        <v/>
      </c>
      <c r="BF93" s="1114" t="str">
        <f t="shared" si="188"/>
        <v/>
      </c>
      <c r="BG93" s="1114" t="str">
        <f t="shared" si="189"/>
        <v/>
      </c>
      <c r="BH93" s="1114" t="str">
        <f t="shared" si="190"/>
        <v/>
      </c>
      <c r="BI93" s="1114" t="str">
        <f t="shared" si="191"/>
        <v/>
      </c>
      <c r="BJ93" s="1115" t="str">
        <f t="shared" si="192"/>
        <v/>
      </c>
      <c r="BL93" s="1885"/>
    </row>
    <row r="94" spans="1:64" ht="13.9" customHeight="1" x14ac:dyDescent="0.25">
      <c r="A94" s="1917">
        <f>Chem!A94</f>
        <v>92</v>
      </c>
      <c r="B94" s="1880" t="str">
        <f>Chem!B94</f>
        <v>4-Chloroaniline</v>
      </c>
      <c r="C94" s="394" t="str">
        <f>Param!AK94</f>
        <v>no</v>
      </c>
      <c r="D94" s="317" t="str">
        <f>IF(ISNUMBER(Param!AN94),Param!AN94,Param!AM94)</f>
        <v>na</v>
      </c>
      <c r="E94" s="273" t="s">
        <v>232</v>
      </c>
      <c r="F94" s="643" t="s">
        <v>232</v>
      </c>
      <c r="G94" s="550" t="s">
        <v>232</v>
      </c>
      <c r="H94" s="550" t="s">
        <v>232</v>
      </c>
      <c r="I94" s="273" t="s">
        <v>232</v>
      </c>
      <c r="J94" s="273" t="s">
        <v>232</v>
      </c>
      <c r="K94" s="219" t="str">
        <f>IF(C94="YES",'SD-Eq'!V94,"na")</f>
        <v>na</v>
      </c>
      <c r="L94" s="273" t="str">
        <f>IF(C94="YES",'SD-Eq'!Z94,"na")</f>
        <v>na</v>
      </c>
      <c r="M94" s="435" t="str">
        <f t="shared" si="165"/>
        <v>na</v>
      </c>
      <c r="N94" s="273" t="str">
        <f t="shared" si="166"/>
        <v>na</v>
      </c>
      <c r="O94" s="1794" t="str">
        <f t="shared" si="167"/>
        <v>na</v>
      </c>
      <c r="P94" s="1789" t="str">
        <f t="shared" si="168"/>
        <v>na</v>
      </c>
      <c r="Q94" s="418" t="s">
        <v>232</v>
      </c>
      <c r="R94" s="418" t="s">
        <v>232</v>
      </c>
      <c r="S94" s="418" t="s">
        <v>232</v>
      </c>
      <c r="T94" s="418" t="s">
        <v>232</v>
      </c>
      <c r="U94" s="418" t="s">
        <v>232</v>
      </c>
      <c r="V94" s="418" t="s">
        <v>232</v>
      </c>
      <c r="W94" s="418" t="str">
        <f t="shared" si="169"/>
        <v>na</v>
      </c>
      <c r="X94" s="418" t="s">
        <v>232</v>
      </c>
      <c r="Y94" s="1884" t="str">
        <f t="shared" si="170"/>
        <v>na</v>
      </c>
      <c r="Z94" s="1884" t="str">
        <f t="shared" si="171"/>
        <v>na</v>
      </c>
      <c r="AA94" s="1789" t="s">
        <v>232</v>
      </c>
      <c r="AB94" s="1789" t="s">
        <v>232</v>
      </c>
      <c r="AC94" s="273" t="s">
        <v>232</v>
      </c>
      <c r="AD94" s="273" t="s">
        <v>232</v>
      </c>
      <c r="AE94" s="273" t="s">
        <v>232</v>
      </c>
      <c r="AF94" s="273" t="s">
        <v>232</v>
      </c>
      <c r="AG94" s="273" t="s">
        <v>232</v>
      </c>
      <c r="AH94" s="273" t="s">
        <v>232</v>
      </c>
      <c r="AI94" s="273" t="s">
        <v>232</v>
      </c>
      <c r="AJ94" s="273" t="s">
        <v>232</v>
      </c>
      <c r="AK94" s="273" t="s">
        <v>232</v>
      </c>
      <c r="AL94" s="273" t="s">
        <v>232</v>
      </c>
      <c r="AM94" s="273" t="s">
        <v>232</v>
      </c>
      <c r="AN94" s="273" t="str">
        <f t="shared" si="172"/>
        <v>na</v>
      </c>
      <c r="AO94" s="273" t="str">
        <f t="shared" si="173"/>
        <v>na</v>
      </c>
      <c r="AP94" s="273" t="str">
        <f t="shared" si="174"/>
        <v>na</v>
      </c>
      <c r="AQ94" s="273" t="str">
        <f t="shared" si="175"/>
        <v>na</v>
      </c>
      <c r="AR94" s="1789" t="str">
        <f t="shared" si="176"/>
        <v>na</v>
      </c>
      <c r="AS94" s="1051"/>
      <c r="AU94" s="1332" t="str">
        <f t="shared" si="177"/>
        <v/>
      </c>
      <c r="AV94" s="1114" t="str">
        <f t="shared" si="178"/>
        <v/>
      </c>
      <c r="AW94" s="1114" t="str">
        <f t="shared" si="179"/>
        <v/>
      </c>
      <c r="AX94" s="1114" t="str">
        <f t="shared" si="180"/>
        <v/>
      </c>
      <c r="AY94" s="1113" t="str">
        <f t="shared" si="181"/>
        <v/>
      </c>
      <c r="AZ94" s="1114" t="str">
        <f t="shared" si="182"/>
        <v/>
      </c>
      <c r="BA94" s="1114" t="str">
        <f t="shared" si="183"/>
        <v/>
      </c>
      <c r="BB94" s="1704" t="str">
        <f t="shared" si="184"/>
        <v/>
      </c>
      <c r="BC94" s="1113" t="str">
        <f t="shared" si="185"/>
        <v/>
      </c>
      <c r="BD94" s="1114" t="str">
        <f t="shared" si="186"/>
        <v/>
      </c>
      <c r="BE94" s="1114" t="str">
        <f t="shared" si="187"/>
        <v/>
      </c>
      <c r="BF94" s="1114" t="str">
        <f t="shared" si="188"/>
        <v/>
      </c>
      <c r="BG94" s="1114" t="str">
        <f t="shared" si="189"/>
        <v/>
      </c>
      <c r="BH94" s="1114" t="str">
        <f t="shared" si="190"/>
        <v/>
      </c>
      <c r="BI94" s="1114" t="str">
        <f t="shared" si="191"/>
        <v/>
      </c>
      <c r="BJ94" s="1115" t="str">
        <f t="shared" si="192"/>
        <v/>
      </c>
      <c r="BL94" s="1885"/>
    </row>
    <row r="95" spans="1:64" ht="13.9" customHeight="1" x14ac:dyDescent="0.25">
      <c r="A95" s="1917">
        <f>Chem!A95</f>
        <v>93</v>
      </c>
      <c r="B95" s="1880" t="str">
        <f>Chem!B95</f>
        <v>4-Chloro-3-methylphenol (chlorocresol)</v>
      </c>
      <c r="C95" s="394" t="str">
        <f>Param!AK95</f>
        <v>no</v>
      </c>
      <c r="D95" s="317" t="str">
        <f>IF(ISNUMBER(Param!AN95),Param!AN95,Param!AM95)</f>
        <v>na</v>
      </c>
      <c r="E95" s="273" t="s">
        <v>232</v>
      </c>
      <c r="F95" s="643" t="s">
        <v>232</v>
      </c>
      <c r="G95" s="550" t="s">
        <v>232</v>
      </c>
      <c r="H95" s="550" t="s">
        <v>232</v>
      </c>
      <c r="I95" s="273" t="s">
        <v>232</v>
      </c>
      <c r="J95" s="273" t="s">
        <v>232</v>
      </c>
      <c r="K95" s="219" t="str">
        <f>IF(C95="YES",'SD-Eq'!V95,"na")</f>
        <v>na</v>
      </c>
      <c r="L95" s="273" t="str">
        <f>IF(C95="YES",'SD-Eq'!Z95,"na")</f>
        <v>na</v>
      </c>
      <c r="M95" s="435" t="str">
        <f t="shared" si="165"/>
        <v>na</v>
      </c>
      <c r="N95" s="273" t="str">
        <f t="shared" si="166"/>
        <v>na</v>
      </c>
      <c r="O95" s="1794" t="str">
        <f t="shared" si="167"/>
        <v>na</v>
      </c>
      <c r="P95" s="1789" t="str">
        <f t="shared" si="168"/>
        <v>na</v>
      </c>
      <c r="Q95" s="418" t="s">
        <v>232</v>
      </c>
      <c r="R95" s="418" t="s">
        <v>232</v>
      </c>
      <c r="S95" s="418" t="s">
        <v>232</v>
      </c>
      <c r="T95" s="418" t="s">
        <v>232</v>
      </c>
      <c r="U95" s="418" t="s">
        <v>232</v>
      </c>
      <c r="V95" s="418" t="s">
        <v>232</v>
      </c>
      <c r="W95" s="418" t="str">
        <f t="shared" si="169"/>
        <v>na</v>
      </c>
      <c r="X95" s="418" t="s">
        <v>232</v>
      </c>
      <c r="Y95" s="1884" t="str">
        <f t="shared" si="170"/>
        <v>na</v>
      </c>
      <c r="Z95" s="1884" t="str">
        <f t="shared" si="171"/>
        <v>na</v>
      </c>
      <c r="AA95" s="1789" t="s">
        <v>232</v>
      </c>
      <c r="AB95" s="1789" t="s">
        <v>232</v>
      </c>
      <c r="AC95" s="273" t="s">
        <v>232</v>
      </c>
      <c r="AD95" s="273" t="s">
        <v>232</v>
      </c>
      <c r="AE95" s="273" t="s">
        <v>232</v>
      </c>
      <c r="AF95" s="273" t="s">
        <v>232</v>
      </c>
      <c r="AG95" s="273" t="s">
        <v>232</v>
      </c>
      <c r="AH95" s="273" t="s">
        <v>232</v>
      </c>
      <c r="AI95" s="273" t="s">
        <v>232</v>
      </c>
      <c r="AJ95" s="273" t="s">
        <v>232</v>
      </c>
      <c r="AK95" s="273" t="s">
        <v>232</v>
      </c>
      <c r="AL95" s="273" t="s">
        <v>232</v>
      </c>
      <c r="AM95" s="273" t="s">
        <v>232</v>
      </c>
      <c r="AN95" s="273" t="str">
        <f t="shared" si="172"/>
        <v>na</v>
      </c>
      <c r="AO95" s="273" t="str">
        <f t="shared" si="173"/>
        <v>na</v>
      </c>
      <c r="AP95" s="273" t="str">
        <f t="shared" si="174"/>
        <v>na</v>
      </c>
      <c r="AQ95" s="273" t="str">
        <f t="shared" si="175"/>
        <v>na</v>
      </c>
      <c r="AR95" s="1789" t="str">
        <f t="shared" si="176"/>
        <v>na</v>
      </c>
      <c r="AS95" s="1051"/>
      <c r="AU95" s="1332" t="str">
        <f t="shared" si="177"/>
        <v/>
      </c>
      <c r="AV95" s="1114" t="str">
        <f t="shared" si="178"/>
        <v/>
      </c>
      <c r="AW95" s="1114" t="str">
        <f t="shared" si="179"/>
        <v/>
      </c>
      <c r="AX95" s="1114" t="str">
        <f t="shared" si="180"/>
        <v/>
      </c>
      <c r="AY95" s="1113" t="str">
        <f t="shared" si="181"/>
        <v/>
      </c>
      <c r="AZ95" s="1114" t="str">
        <f t="shared" si="182"/>
        <v/>
      </c>
      <c r="BA95" s="1114" t="str">
        <f t="shared" si="183"/>
        <v/>
      </c>
      <c r="BB95" s="1704" t="str">
        <f t="shared" si="184"/>
        <v/>
      </c>
      <c r="BC95" s="1113" t="str">
        <f t="shared" si="185"/>
        <v/>
      </c>
      <c r="BD95" s="1114" t="str">
        <f t="shared" si="186"/>
        <v/>
      </c>
      <c r="BE95" s="1114" t="str">
        <f t="shared" si="187"/>
        <v/>
      </c>
      <c r="BF95" s="1114" t="str">
        <f t="shared" si="188"/>
        <v/>
      </c>
      <c r="BG95" s="1114" t="str">
        <f t="shared" si="189"/>
        <v/>
      </c>
      <c r="BH95" s="1114" t="str">
        <f t="shared" si="190"/>
        <v/>
      </c>
      <c r="BI95" s="1114" t="str">
        <f t="shared" si="191"/>
        <v/>
      </c>
      <c r="BJ95" s="1115" t="str">
        <f t="shared" si="192"/>
        <v/>
      </c>
      <c r="BL95" s="1885"/>
    </row>
    <row r="96" spans="1:64" ht="13.9" customHeight="1" x14ac:dyDescent="0.25">
      <c r="A96" s="1917">
        <f>Chem!A96</f>
        <v>94</v>
      </c>
      <c r="B96" s="1880" t="str">
        <f>Chem!B96</f>
        <v>2-Chloronaphthalene (beta-)</v>
      </c>
      <c r="C96" s="394" t="str">
        <f>Param!AK96</f>
        <v>no</v>
      </c>
      <c r="D96" s="317" t="str">
        <f>IF(ISNUMBER(Param!AN96),Param!AN96,Param!AM96)</f>
        <v>na</v>
      </c>
      <c r="E96" s="273" t="s">
        <v>232</v>
      </c>
      <c r="F96" s="643" t="s">
        <v>232</v>
      </c>
      <c r="G96" s="550" t="s">
        <v>232</v>
      </c>
      <c r="H96" s="550" t="s">
        <v>232</v>
      </c>
      <c r="I96" s="273" t="s">
        <v>232</v>
      </c>
      <c r="J96" s="273" t="s">
        <v>232</v>
      </c>
      <c r="K96" s="219" t="str">
        <f>IF(C96="YES",'SD-Eq'!V96,"na")</f>
        <v>na</v>
      </c>
      <c r="L96" s="273" t="str">
        <f>IF(C96="YES",'SD-Eq'!Z96,"na")</f>
        <v>na</v>
      </c>
      <c r="M96" s="435" t="str">
        <f t="shared" si="165"/>
        <v>na</v>
      </c>
      <c r="N96" s="273" t="str">
        <f t="shared" si="166"/>
        <v>na</v>
      </c>
      <c r="O96" s="1794" t="str">
        <f t="shared" si="167"/>
        <v>na</v>
      </c>
      <c r="P96" s="1789" t="str">
        <f t="shared" si="168"/>
        <v>na</v>
      </c>
      <c r="Q96" s="418" t="s">
        <v>232</v>
      </c>
      <c r="R96" s="418" t="s">
        <v>232</v>
      </c>
      <c r="S96" s="418" t="s">
        <v>232</v>
      </c>
      <c r="T96" s="418" t="s">
        <v>232</v>
      </c>
      <c r="U96" s="418" t="s">
        <v>232</v>
      </c>
      <c r="V96" s="418" t="s">
        <v>232</v>
      </c>
      <c r="W96" s="418" t="str">
        <f t="shared" si="169"/>
        <v>na</v>
      </c>
      <c r="X96" s="418" t="s">
        <v>232</v>
      </c>
      <c r="Y96" s="1884" t="str">
        <f t="shared" si="170"/>
        <v>na</v>
      </c>
      <c r="Z96" s="1884" t="str">
        <f t="shared" si="171"/>
        <v>na</v>
      </c>
      <c r="AA96" s="1789" t="s">
        <v>232</v>
      </c>
      <c r="AB96" s="1789" t="s">
        <v>232</v>
      </c>
      <c r="AC96" s="273" t="s">
        <v>232</v>
      </c>
      <c r="AD96" s="273" t="s">
        <v>232</v>
      </c>
      <c r="AE96" s="273" t="s">
        <v>232</v>
      </c>
      <c r="AF96" s="273" t="s">
        <v>232</v>
      </c>
      <c r="AG96" s="273" t="s">
        <v>232</v>
      </c>
      <c r="AH96" s="273" t="s">
        <v>232</v>
      </c>
      <c r="AI96" s="273" t="s">
        <v>232</v>
      </c>
      <c r="AJ96" s="273" t="s">
        <v>232</v>
      </c>
      <c r="AK96" s="273" t="s">
        <v>232</v>
      </c>
      <c r="AL96" s="273" t="s">
        <v>232</v>
      </c>
      <c r="AM96" s="273" t="s">
        <v>232</v>
      </c>
      <c r="AN96" s="273" t="str">
        <f t="shared" si="172"/>
        <v>na</v>
      </c>
      <c r="AO96" s="273" t="str">
        <f t="shared" si="173"/>
        <v>na</v>
      </c>
      <c r="AP96" s="273" t="str">
        <f t="shared" si="174"/>
        <v>na</v>
      </c>
      <c r="AQ96" s="273" t="str">
        <f t="shared" si="175"/>
        <v>na</v>
      </c>
      <c r="AR96" s="1789" t="str">
        <f t="shared" si="176"/>
        <v>na</v>
      </c>
      <c r="AS96" s="1051"/>
      <c r="AU96" s="1332" t="str">
        <f t="shared" si="177"/>
        <v/>
      </c>
      <c r="AV96" s="1114" t="str">
        <f t="shared" si="178"/>
        <v/>
      </c>
      <c r="AW96" s="1114" t="str">
        <f t="shared" si="179"/>
        <v/>
      </c>
      <c r="AX96" s="1114" t="str">
        <f t="shared" si="180"/>
        <v/>
      </c>
      <c r="AY96" s="1113" t="str">
        <f t="shared" si="181"/>
        <v/>
      </c>
      <c r="AZ96" s="1114" t="str">
        <f t="shared" si="182"/>
        <v/>
      </c>
      <c r="BA96" s="1114" t="str">
        <f t="shared" si="183"/>
        <v/>
      </c>
      <c r="BB96" s="1704" t="str">
        <f t="shared" si="184"/>
        <v/>
      </c>
      <c r="BC96" s="1113" t="str">
        <f t="shared" si="185"/>
        <v/>
      </c>
      <c r="BD96" s="1114" t="str">
        <f t="shared" si="186"/>
        <v/>
      </c>
      <c r="BE96" s="1114" t="str">
        <f t="shared" si="187"/>
        <v/>
      </c>
      <c r="BF96" s="1114" t="str">
        <f t="shared" si="188"/>
        <v/>
      </c>
      <c r="BG96" s="1114" t="str">
        <f t="shared" si="189"/>
        <v/>
      </c>
      <c r="BH96" s="1114" t="str">
        <f t="shared" si="190"/>
        <v/>
      </c>
      <c r="BI96" s="1114" t="str">
        <f t="shared" si="191"/>
        <v/>
      </c>
      <c r="BJ96" s="1115" t="str">
        <f t="shared" si="192"/>
        <v/>
      </c>
      <c r="BL96" s="1885"/>
    </row>
    <row r="97" spans="1:64" ht="13.9" customHeight="1" x14ac:dyDescent="0.25">
      <c r="A97" s="1917">
        <f>Chem!A97</f>
        <v>95</v>
      </c>
      <c r="B97" s="1880" t="str">
        <f>Chem!B97</f>
        <v>2-Chlorophenol</v>
      </c>
      <c r="C97" s="394" t="str">
        <f>Param!AK97</f>
        <v>no</v>
      </c>
      <c r="D97" s="317" t="str">
        <f>IF(ISNUMBER(Param!AN97),Param!AN97,Param!AM97)</f>
        <v>na</v>
      </c>
      <c r="E97" s="273" t="s">
        <v>232</v>
      </c>
      <c r="F97" s="643" t="s">
        <v>232</v>
      </c>
      <c r="G97" s="550" t="s">
        <v>232</v>
      </c>
      <c r="H97" s="550" t="s">
        <v>232</v>
      </c>
      <c r="I97" s="273" t="s">
        <v>232</v>
      </c>
      <c r="J97" s="273" t="s">
        <v>232</v>
      </c>
      <c r="K97" s="219" t="str">
        <f>IF(C97="YES",'SD-Eq'!V97,"na")</f>
        <v>na</v>
      </c>
      <c r="L97" s="273" t="str">
        <f>IF(C97="YES",'SD-Eq'!Z97,"na")</f>
        <v>na</v>
      </c>
      <c r="M97" s="435" t="str">
        <f t="shared" si="165"/>
        <v>na</v>
      </c>
      <c r="N97" s="273" t="str">
        <f t="shared" si="166"/>
        <v>na</v>
      </c>
      <c r="O97" s="1794" t="str">
        <f t="shared" si="167"/>
        <v>na</v>
      </c>
      <c r="P97" s="1789" t="str">
        <f t="shared" si="168"/>
        <v>na</v>
      </c>
      <c r="Q97" s="418" t="s">
        <v>232</v>
      </c>
      <c r="R97" s="418" t="s">
        <v>232</v>
      </c>
      <c r="S97" s="418" t="s">
        <v>232</v>
      </c>
      <c r="T97" s="418" t="s">
        <v>232</v>
      </c>
      <c r="U97" s="418" t="s">
        <v>232</v>
      </c>
      <c r="V97" s="418" t="s">
        <v>232</v>
      </c>
      <c r="W97" s="418" t="str">
        <f t="shared" si="169"/>
        <v>na</v>
      </c>
      <c r="X97" s="418" t="s">
        <v>232</v>
      </c>
      <c r="Y97" s="1884" t="str">
        <f t="shared" si="170"/>
        <v>na</v>
      </c>
      <c r="Z97" s="1884" t="str">
        <f t="shared" si="171"/>
        <v>na</v>
      </c>
      <c r="AA97" s="1789" t="s">
        <v>232</v>
      </c>
      <c r="AB97" s="1789" t="s">
        <v>232</v>
      </c>
      <c r="AC97" s="273" t="s">
        <v>232</v>
      </c>
      <c r="AD97" s="273" t="s">
        <v>232</v>
      </c>
      <c r="AE97" s="273" t="s">
        <v>232</v>
      </c>
      <c r="AF97" s="273" t="s">
        <v>232</v>
      </c>
      <c r="AG97" s="273" t="s">
        <v>232</v>
      </c>
      <c r="AH97" s="273" t="s">
        <v>232</v>
      </c>
      <c r="AI97" s="273" t="s">
        <v>232</v>
      </c>
      <c r="AJ97" s="273" t="s">
        <v>232</v>
      </c>
      <c r="AK97" s="273" t="s">
        <v>232</v>
      </c>
      <c r="AL97" s="273" t="s">
        <v>232</v>
      </c>
      <c r="AM97" s="273" t="s">
        <v>232</v>
      </c>
      <c r="AN97" s="273" t="str">
        <f t="shared" si="172"/>
        <v>na</v>
      </c>
      <c r="AO97" s="273" t="str">
        <f t="shared" si="173"/>
        <v>na</v>
      </c>
      <c r="AP97" s="273" t="str">
        <f t="shared" si="174"/>
        <v>na</v>
      </c>
      <c r="AQ97" s="273" t="str">
        <f t="shared" si="175"/>
        <v>na</v>
      </c>
      <c r="AR97" s="1789" t="str">
        <f t="shared" si="176"/>
        <v>na</v>
      </c>
      <c r="AS97" s="1051"/>
      <c r="AU97" s="1332" t="str">
        <f t="shared" si="177"/>
        <v/>
      </c>
      <c r="AV97" s="1114" t="str">
        <f t="shared" si="178"/>
        <v/>
      </c>
      <c r="AW97" s="1114" t="str">
        <f t="shared" si="179"/>
        <v/>
      </c>
      <c r="AX97" s="1114" t="str">
        <f t="shared" si="180"/>
        <v/>
      </c>
      <c r="AY97" s="1113" t="str">
        <f t="shared" si="181"/>
        <v/>
      </c>
      <c r="AZ97" s="1114" t="str">
        <f t="shared" si="182"/>
        <v/>
      </c>
      <c r="BA97" s="1114" t="str">
        <f t="shared" si="183"/>
        <v/>
      </c>
      <c r="BB97" s="1704" t="str">
        <f t="shared" si="184"/>
        <v/>
      </c>
      <c r="BC97" s="1113" t="str">
        <f t="shared" si="185"/>
        <v/>
      </c>
      <c r="BD97" s="1114" t="str">
        <f t="shared" si="186"/>
        <v/>
      </c>
      <c r="BE97" s="1114" t="str">
        <f t="shared" si="187"/>
        <v/>
      </c>
      <c r="BF97" s="1114" t="str">
        <f t="shared" si="188"/>
        <v/>
      </c>
      <c r="BG97" s="1114" t="str">
        <f t="shared" si="189"/>
        <v/>
      </c>
      <c r="BH97" s="1114" t="str">
        <f t="shared" si="190"/>
        <v/>
      </c>
      <c r="BI97" s="1114" t="str">
        <f t="shared" si="191"/>
        <v/>
      </c>
      <c r="BJ97" s="1115" t="str">
        <f t="shared" si="192"/>
        <v/>
      </c>
      <c r="BL97" s="1885"/>
    </row>
    <row r="98" spans="1:64" ht="13.9" customHeight="1" x14ac:dyDescent="0.25">
      <c r="A98" s="1917">
        <f>Chem!A98</f>
        <v>96</v>
      </c>
      <c r="B98" s="1880" t="str">
        <f>Chem!B98</f>
        <v>4-Chlorophenyl phenyl ether</v>
      </c>
      <c r="C98" s="394" t="str">
        <f>Param!AK98</f>
        <v>no</v>
      </c>
      <c r="D98" s="317" t="str">
        <f>IF(ISNUMBER(Param!AN98),Param!AN98,Param!AM98)</f>
        <v>na</v>
      </c>
      <c r="E98" s="273" t="s">
        <v>232</v>
      </c>
      <c r="F98" s="643" t="s">
        <v>232</v>
      </c>
      <c r="G98" s="550" t="s">
        <v>232</v>
      </c>
      <c r="H98" s="550" t="s">
        <v>232</v>
      </c>
      <c r="I98" s="273" t="s">
        <v>232</v>
      </c>
      <c r="J98" s="273" t="s">
        <v>232</v>
      </c>
      <c r="K98" s="219" t="str">
        <f>IF(C98="YES",'SD-Eq'!V98,"na")</f>
        <v>na</v>
      </c>
      <c r="L98" s="273" t="str">
        <f>IF(C98="YES",'SD-Eq'!Z98,"na")</f>
        <v>na</v>
      </c>
      <c r="M98" s="435" t="str">
        <f t="shared" si="165"/>
        <v>na</v>
      </c>
      <c r="N98" s="273" t="str">
        <f t="shared" si="166"/>
        <v>na</v>
      </c>
      <c r="O98" s="1794" t="str">
        <f t="shared" si="167"/>
        <v>na</v>
      </c>
      <c r="P98" s="1789" t="str">
        <f t="shared" si="168"/>
        <v>na</v>
      </c>
      <c r="Q98" s="418" t="s">
        <v>232</v>
      </c>
      <c r="R98" s="418" t="s">
        <v>232</v>
      </c>
      <c r="S98" s="418" t="s">
        <v>232</v>
      </c>
      <c r="T98" s="418" t="s">
        <v>232</v>
      </c>
      <c r="U98" s="418" t="s">
        <v>232</v>
      </c>
      <c r="V98" s="418" t="s">
        <v>232</v>
      </c>
      <c r="W98" s="418" t="str">
        <f t="shared" si="169"/>
        <v>na</v>
      </c>
      <c r="X98" s="418" t="s">
        <v>232</v>
      </c>
      <c r="Y98" s="1884" t="str">
        <f t="shared" si="170"/>
        <v>na</v>
      </c>
      <c r="Z98" s="1884" t="str">
        <f t="shared" si="171"/>
        <v>na</v>
      </c>
      <c r="AA98" s="1789" t="s">
        <v>232</v>
      </c>
      <c r="AB98" s="1789" t="s">
        <v>232</v>
      </c>
      <c r="AC98" s="273" t="s">
        <v>232</v>
      </c>
      <c r="AD98" s="273" t="s">
        <v>232</v>
      </c>
      <c r="AE98" s="273" t="s">
        <v>232</v>
      </c>
      <c r="AF98" s="273" t="s">
        <v>232</v>
      </c>
      <c r="AG98" s="273" t="s">
        <v>232</v>
      </c>
      <c r="AH98" s="273" t="s">
        <v>232</v>
      </c>
      <c r="AI98" s="273" t="s">
        <v>232</v>
      </c>
      <c r="AJ98" s="273" t="s">
        <v>232</v>
      </c>
      <c r="AK98" s="273" t="s">
        <v>232</v>
      </c>
      <c r="AL98" s="273" t="s">
        <v>232</v>
      </c>
      <c r="AM98" s="273" t="s">
        <v>232</v>
      </c>
      <c r="AN98" s="273" t="str">
        <f t="shared" si="172"/>
        <v>na</v>
      </c>
      <c r="AO98" s="273" t="str">
        <f t="shared" si="173"/>
        <v>na</v>
      </c>
      <c r="AP98" s="273" t="str">
        <f t="shared" si="174"/>
        <v>na</v>
      </c>
      <c r="AQ98" s="273" t="str">
        <f t="shared" si="175"/>
        <v>na</v>
      </c>
      <c r="AR98" s="1789" t="str">
        <f t="shared" si="176"/>
        <v>na</v>
      </c>
      <c r="AS98" s="1051"/>
      <c r="AU98" s="1332" t="str">
        <f t="shared" si="177"/>
        <v/>
      </c>
      <c r="AV98" s="1114" t="str">
        <f t="shared" si="178"/>
        <v/>
      </c>
      <c r="AW98" s="1114" t="str">
        <f t="shared" si="179"/>
        <v/>
      </c>
      <c r="AX98" s="1114" t="str">
        <f t="shared" si="180"/>
        <v/>
      </c>
      <c r="AY98" s="1113" t="str">
        <f t="shared" si="181"/>
        <v/>
      </c>
      <c r="AZ98" s="1114" t="str">
        <f t="shared" si="182"/>
        <v/>
      </c>
      <c r="BA98" s="1114" t="str">
        <f t="shared" si="183"/>
        <v/>
      </c>
      <c r="BB98" s="1704" t="str">
        <f t="shared" si="184"/>
        <v/>
      </c>
      <c r="BC98" s="1113" t="str">
        <f t="shared" si="185"/>
        <v/>
      </c>
      <c r="BD98" s="1114" t="str">
        <f t="shared" si="186"/>
        <v/>
      </c>
      <c r="BE98" s="1114" t="str">
        <f t="shared" si="187"/>
        <v/>
      </c>
      <c r="BF98" s="1114" t="str">
        <f t="shared" si="188"/>
        <v/>
      </c>
      <c r="BG98" s="1114" t="str">
        <f t="shared" si="189"/>
        <v/>
      </c>
      <c r="BH98" s="1114" t="str">
        <f t="shared" si="190"/>
        <v/>
      </c>
      <c r="BI98" s="1114" t="str">
        <f t="shared" si="191"/>
        <v/>
      </c>
      <c r="BJ98" s="1115" t="str">
        <f t="shared" si="192"/>
        <v/>
      </c>
      <c r="BL98" s="1885"/>
    </row>
    <row r="99" spans="1:64" ht="13.9" customHeight="1" x14ac:dyDescent="0.25">
      <c r="A99" s="1917">
        <f>Chem!A99</f>
        <v>97</v>
      </c>
      <c r="B99" s="1880" t="str">
        <f>Chem!B99</f>
        <v>Dibutyl phthalate</v>
      </c>
      <c r="C99" s="394" t="str">
        <f>Param!AK99</f>
        <v>no</v>
      </c>
      <c r="D99" s="317" t="str">
        <f>IF(ISNUMBER(Param!AN99),Param!AN99,Param!AM99)</f>
        <v>na</v>
      </c>
      <c r="E99" s="273" t="s">
        <v>232</v>
      </c>
      <c r="F99" s="643">
        <v>7.5999999999999998E-2</v>
      </c>
      <c r="G99" s="550">
        <v>220</v>
      </c>
      <c r="H99" s="550">
        <v>1.4</v>
      </c>
      <c r="I99" s="273">
        <v>1700</v>
      </c>
      <c r="J99" s="273">
        <v>1.4</v>
      </c>
      <c r="K99" s="219" t="str">
        <f>IF(C99="YES",'SD-Eq'!V99,"na")</f>
        <v>na</v>
      </c>
      <c r="L99" s="273" t="str">
        <f>IF(C99="YES",'SD-Eq'!Z99,"na")</f>
        <v>na</v>
      </c>
      <c r="M99" s="435" t="str">
        <f t="shared" si="165"/>
        <v>na</v>
      </c>
      <c r="N99" s="273" t="str">
        <f t="shared" si="166"/>
        <v>na</v>
      </c>
      <c r="O99" s="1794">
        <f t="shared" si="167"/>
        <v>1.4</v>
      </c>
      <c r="P99" s="1789">
        <f t="shared" si="168"/>
        <v>1.4</v>
      </c>
      <c r="Q99" s="418" t="s">
        <v>232</v>
      </c>
      <c r="R99" s="418" t="s">
        <v>232</v>
      </c>
      <c r="S99" s="418" t="s">
        <v>232</v>
      </c>
      <c r="T99" s="418" t="s">
        <v>232</v>
      </c>
      <c r="U99" s="418" t="s">
        <v>232</v>
      </c>
      <c r="V99" s="418" t="s">
        <v>232</v>
      </c>
      <c r="W99" s="418" t="str">
        <f t="shared" si="169"/>
        <v>na</v>
      </c>
      <c r="X99" s="418" t="s">
        <v>232</v>
      </c>
      <c r="Y99" s="1884" t="str">
        <f t="shared" si="170"/>
        <v>na</v>
      </c>
      <c r="Z99" s="1884">
        <f t="shared" si="171"/>
        <v>1.4</v>
      </c>
      <c r="AA99" s="1789" t="s">
        <v>232</v>
      </c>
      <c r="AB99" s="1789" t="s">
        <v>232</v>
      </c>
      <c r="AC99" s="273" t="s">
        <v>232</v>
      </c>
      <c r="AD99" s="273" t="s">
        <v>232</v>
      </c>
      <c r="AE99" s="273" t="s">
        <v>232</v>
      </c>
      <c r="AF99" s="273" t="s">
        <v>232</v>
      </c>
      <c r="AG99" s="273" t="s">
        <v>232</v>
      </c>
      <c r="AH99" s="273" t="s">
        <v>232</v>
      </c>
      <c r="AI99" s="273" t="s">
        <v>232</v>
      </c>
      <c r="AJ99" s="273" t="s">
        <v>232</v>
      </c>
      <c r="AK99" s="273" t="s">
        <v>232</v>
      </c>
      <c r="AL99" s="273" t="s">
        <v>232</v>
      </c>
      <c r="AM99" s="273" t="s">
        <v>232</v>
      </c>
      <c r="AN99" s="273" t="str">
        <f t="shared" si="172"/>
        <v>na</v>
      </c>
      <c r="AO99" s="273" t="str">
        <f t="shared" si="173"/>
        <v>na</v>
      </c>
      <c r="AP99" s="273" t="str">
        <f t="shared" si="174"/>
        <v>na</v>
      </c>
      <c r="AQ99" s="273" t="str">
        <f t="shared" si="175"/>
        <v>na</v>
      </c>
      <c r="AR99" s="1789" t="str">
        <f t="shared" si="176"/>
        <v>na</v>
      </c>
      <c r="AS99" s="1051"/>
      <c r="AU99" s="1332" t="str">
        <f t="shared" si="177"/>
        <v/>
      </c>
      <c r="AV99" s="1114" t="str">
        <f t="shared" si="178"/>
        <v/>
      </c>
      <c r="AW99" s="1114" t="str">
        <f t="shared" si="179"/>
        <v>X</v>
      </c>
      <c r="AX99" s="1114" t="str">
        <f t="shared" si="180"/>
        <v/>
      </c>
      <c r="AY99" s="1113" t="str">
        <f t="shared" si="181"/>
        <v/>
      </c>
      <c r="AZ99" s="1114" t="str">
        <f t="shared" si="182"/>
        <v/>
      </c>
      <c r="BA99" s="1114" t="str">
        <f t="shared" si="183"/>
        <v>X</v>
      </c>
      <c r="BB99" s="1704" t="str">
        <f t="shared" si="184"/>
        <v/>
      </c>
      <c r="BC99" s="1113" t="str">
        <f t="shared" si="185"/>
        <v/>
      </c>
      <c r="BD99" s="1114" t="str">
        <f t="shared" si="186"/>
        <v/>
      </c>
      <c r="BE99" s="1114" t="str">
        <f t="shared" si="187"/>
        <v>X</v>
      </c>
      <c r="BF99" s="1114" t="str">
        <f t="shared" si="188"/>
        <v/>
      </c>
      <c r="BG99" s="1114" t="str">
        <f t="shared" si="189"/>
        <v/>
      </c>
      <c r="BH99" s="1114" t="str">
        <f t="shared" si="190"/>
        <v/>
      </c>
      <c r="BI99" s="1114" t="str">
        <f t="shared" si="191"/>
        <v/>
      </c>
      <c r="BJ99" s="1115" t="str">
        <f t="shared" si="192"/>
        <v/>
      </c>
      <c r="BL99" s="1885"/>
    </row>
    <row r="100" spans="1:64" ht="13.9" customHeight="1" x14ac:dyDescent="0.25">
      <c r="A100" s="1917">
        <f>Chem!A100</f>
        <v>98</v>
      </c>
      <c r="B100" s="1880" t="str">
        <f>Chem!B100</f>
        <v>Dibutyl phenyl phosphate</v>
      </c>
      <c r="C100" s="394" t="str">
        <f>Param!AK100</f>
        <v>no</v>
      </c>
      <c r="D100" s="317" t="str">
        <f>IF(ISNUMBER(Param!AN100),Param!AN100,Param!AM100)</f>
        <v>na</v>
      </c>
      <c r="E100" s="273" t="s">
        <v>232</v>
      </c>
      <c r="F100" s="643" t="s">
        <v>232</v>
      </c>
      <c r="G100" s="550" t="s">
        <v>232</v>
      </c>
      <c r="H100" s="550" t="s">
        <v>232</v>
      </c>
      <c r="I100" s="273" t="s">
        <v>232</v>
      </c>
      <c r="J100" s="273" t="s">
        <v>232</v>
      </c>
      <c r="K100" s="219" t="str">
        <f>IF(C100="YES",'SD-Eq'!V100,"na")</f>
        <v>na</v>
      </c>
      <c r="L100" s="273" t="str">
        <f>IF(C100="YES",'SD-Eq'!Z100,"na")</f>
        <v>na</v>
      </c>
      <c r="M100" s="435" t="str">
        <f t="shared" si="165"/>
        <v>na</v>
      </c>
      <c r="N100" s="273" t="str">
        <f t="shared" si="166"/>
        <v>na</v>
      </c>
      <c r="O100" s="1794" t="str">
        <f t="shared" si="167"/>
        <v>na</v>
      </c>
      <c r="P100" s="1789" t="str">
        <f t="shared" si="168"/>
        <v>na</v>
      </c>
      <c r="Q100" s="418" t="s">
        <v>232</v>
      </c>
      <c r="R100" s="418" t="s">
        <v>232</v>
      </c>
      <c r="S100" s="418" t="s">
        <v>232</v>
      </c>
      <c r="T100" s="418" t="s">
        <v>232</v>
      </c>
      <c r="U100" s="418" t="s">
        <v>232</v>
      </c>
      <c r="V100" s="418" t="s">
        <v>232</v>
      </c>
      <c r="W100" s="418" t="str">
        <f t="shared" si="169"/>
        <v>na</v>
      </c>
      <c r="X100" s="418" t="s">
        <v>232</v>
      </c>
      <c r="Y100" s="1884" t="str">
        <f t="shared" si="170"/>
        <v>na</v>
      </c>
      <c r="Z100" s="1884" t="str">
        <f t="shared" si="171"/>
        <v>na</v>
      </c>
      <c r="AA100" s="1789" t="s">
        <v>232</v>
      </c>
      <c r="AB100" s="1789" t="s">
        <v>232</v>
      </c>
      <c r="AC100" s="273" t="s">
        <v>232</v>
      </c>
      <c r="AD100" s="273" t="s">
        <v>232</v>
      </c>
      <c r="AE100" s="273" t="s">
        <v>232</v>
      </c>
      <c r="AF100" s="273" t="s">
        <v>232</v>
      </c>
      <c r="AG100" s="273" t="s">
        <v>232</v>
      </c>
      <c r="AH100" s="273" t="s">
        <v>232</v>
      </c>
      <c r="AI100" s="273" t="s">
        <v>232</v>
      </c>
      <c r="AJ100" s="273" t="s">
        <v>232</v>
      </c>
      <c r="AK100" s="273" t="s">
        <v>232</v>
      </c>
      <c r="AL100" s="273" t="s">
        <v>232</v>
      </c>
      <c r="AM100" s="273" t="s">
        <v>232</v>
      </c>
      <c r="AN100" s="273" t="str">
        <f t="shared" si="172"/>
        <v>na</v>
      </c>
      <c r="AO100" s="273" t="str">
        <f t="shared" si="173"/>
        <v>na</v>
      </c>
      <c r="AP100" s="273" t="str">
        <f t="shared" si="174"/>
        <v>na</v>
      </c>
      <c r="AQ100" s="273" t="str">
        <f t="shared" si="175"/>
        <v>na</v>
      </c>
      <c r="AR100" s="1789" t="str">
        <f t="shared" si="176"/>
        <v>na</v>
      </c>
      <c r="AS100" s="1051"/>
      <c r="AU100" s="1332" t="str">
        <f t="shared" si="177"/>
        <v/>
      </c>
      <c r="AV100" s="1114" t="str">
        <f t="shared" si="178"/>
        <v/>
      </c>
      <c r="AW100" s="1114" t="str">
        <f t="shared" si="179"/>
        <v/>
      </c>
      <c r="AX100" s="1114" t="str">
        <f t="shared" si="180"/>
        <v/>
      </c>
      <c r="AY100" s="1113" t="str">
        <f t="shared" si="181"/>
        <v/>
      </c>
      <c r="AZ100" s="1114" t="str">
        <f t="shared" si="182"/>
        <v/>
      </c>
      <c r="BA100" s="1114" t="str">
        <f t="shared" si="183"/>
        <v/>
      </c>
      <c r="BB100" s="1704" t="str">
        <f t="shared" si="184"/>
        <v/>
      </c>
      <c r="BC100" s="1113" t="str">
        <f t="shared" si="185"/>
        <v/>
      </c>
      <c r="BD100" s="1114" t="str">
        <f t="shared" si="186"/>
        <v/>
      </c>
      <c r="BE100" s="1114" t="str">
        <f t="shared" si="187"/>
        <v/>
      </c>
      <c r="BF100" s="1114" t="str">
        <f t="shared" si="188"/>
        <v/>
      </c>
      <c r="BG100" s="1114" t="str">
        <f t="shared" si="189"/>
        <v/>
      </c>
      <c r="BH100" s="1114" t="str">
        <f t="shared" si="190"/>
        <v/>
      </c>
      <c r="BI100" s="1114" t="str">
        <f t="shared" si="191"/>
        <v/>
      </c>
      <c r="BJ100" s="1115" t="str">
        <f t="shared" si="192"/>
        <v/>
      </c>
      <c r="BL100" s="1885"/>
    </row>
    <row r="101" spans="1:64" ht="13.9" customHeight="1" x14ac:dyDescent="0.25">
      <c r="A101" s="1917">
        <f>Chem!A101</f>
        <v>99</v>
      </c>
      <c r="B101" s="1880" t="str">
        <f>Chem!B101</f>
        <v>1,2-Dichlorobenzene</v>
      </c>
      <c r="C101" s="394" t="str">
        <f>Param!AK101</f>
        <v>no</v>
      </c>
      <c r="D101" s="317" t="str">
        <f>IF(ISNUMBER(Param!AN101),Param!AN101,Param!AM101)</f>
        <v>na</v>
      </c>
      <c r="E101" s="273" t="s">
        <v>232</v>
      </c>
      <c r="F101" s="643">
        <v>6.8000000000000005E-2</v>
      </c>
      <c r="G101" s="550">
        <v>2.2999999999999998</v>
      </c>
      <c r="H101" s="550">
        <v>3.5000000000000003E-2</v>
      </c>
      <c r="I101" s="273">
        <v>2.2999999999999998</v>
      </c>
      <c r="J101" s="273">
        <v>0.05</v>
      </c>
      <c r="K101" s="219" t="str">
        <f>IF(C101="YES",'SD-Eq'!V101,"na")</f>
        <v>na</v>
      </c>
      <c r="L101" s="273" t="str">
        <f>IF(C101="YES",'SD-Eq'!Z101,"na")</f>
        <v>na</v>
      </c>
      <c r="M101" s="435" t="str">
        <f t="shared" si="165"/>
        <v>na</v>
      </c>
      <c r="N101" s="273" t="str">
        <f t="shared" si="166"/>
        <v>na</v>
      </c>
      <c r="O101" s="1794">
        <f t="shared" si="167"/>
        <v>3.5000000000000003E-2</v>
      </c>
      <c r="P101" s="1789">
        <f t="shared" si="168"/>
        <v>0.05</v>
      </c>
      <c r="Q101" s="418" t="s">
        <v>232</v>
      </c>
      <c r="R101" s="418" t="s">
        <v>232</v>
      </c>
      <c r="S101" s="418" t="s">
        <v>232</v>
      </c>
      <c r="T101" s="418" t="s">
        <v>232</v>
      </c>
      <c r="U101" s="418" t="s">
        <v>232</v>
      </c>
      <c r="V101" s="418">
        <v>2.2999999999999998</v>
      </c>
      <c r="W101" s="418">
        <f t="shared" si="169"/>
        <v>3.5000000000000003E-2</v>
      </c>
      <c r="X101" s="418" t="s">
        <v>232</v>
      </c>
      <c r="Y101" s="1884" t="str">
        <f t="shared" si="170"/>
        <v>na</v>
      </c>
      <c r="Z101" s="1886">
        <f t="shared" si="171"/>
        <v>3.5000000000000003E-2</v>
      </c>
      <c r="AA101" s="1887">
        <f>$H101</f>
        <v>3.5000000000000003E-2</v>
      </c>
      <c r="AB101" s="1887">
        <f>$H101</f>
        <v>3.5000000000000003E-2</v>
      </c>
      <c r="AC101" s="1887">
        <f>2*$H101</f>
        <v>7.0000000000000007E-2</v>
      </c>
      <c r="AD101" s="1887">
        <f>6*$H101</f>
        <v>0.21000000000000002</v>
      </c>
      <c r="AE101" s="298" t="s">
        <v>232</v>
      </c>
      <c r="AF101" s="298" t="s">
        <v>232</v>
      </c>
      <c r="AG101" s="1887">
        <f>$H101</f>
        <v>3.5000000000000003E-2</v>
      </c>
      <c r="AH101" s="1887">
        <f>$H101</f>
        <v>3.5000000000000003E-2</v>
      </c>
      <c r="AI101" s="1887">
        <f>2*$H101</f>
        <v>7.0000000000000007E-2</v>
      </c>
      <c r="AJ101" s="1887">
        <f>6*$H101</f>
        <v>0.21000000000000002</v>
      </c>
      <c r="AK101" s="298" t="s">
        <v>232</v>
      </c>
      <c r="AL101" s="298" t="s">
        <v>232</v>
      </c>
      <c r="AM101" s="1887">
        <f>$H101</f>
        <v>3.5000000000000003E-2</v>
      </c>
      <c r="AN101" s="298">
        <f t="shared" si="172"/>
        <v>3.5000000000000003E-2</v>
      </c>
      <c r="AO101" s="298">
        <f t="shared" si="173"/>
        <v>7.0000000000000007E-2</v>
      </c>
      <c r="AP101" s="298">
        <f t="shared" si="174"/>
        <v>3.5000000000000003E-2</v>
      </c>
      <c r="AQ101" s="298">
        <f t="shared" si="175"/>
        <v>7.0000000000000007E-2</v>
      </c>
      <c r="AR101" s="1887">
        <f t="shared" si="176"/>
        <v>3.5000000000000003E-2</v>
      </c>
      <c r="AS101" s="1051"/>
      <c r="AU101" s="1332" t="str">
        <f t="shared" si="177"/>
        <v/>
      </c>
      <c r="AV101" s="1114" t="str">
        <f t="shared" si="178"/>
        <v/>
      </c>
      <c r="AW101" s="1114" t="str">
        <f t="shared" si="179"/>
        <v>X</v>
      </c>
      <c r="AX101" s="1114" t="str">
        <f t="shared" si="180"/>
        <v/>
      </c>
      <c r="AY101" s="1113" t="str">
        <f t="shared" si="181"/>
        <v/>
      </c>
      <c r="AZ101" s="1114" t="str">
        <f t="shared" si="182"/>
        <v/>
      </c>
      <c r="BA101" s="1114" t="str">
        <f t="shared" si="183"/>
        <v>X</v>
      </c>
      <c r="BB101" s="1704" t="str">
        <f t="shared" si="184"/>
        <v/>
      </c>
      <c r="BC101" s="1113" t="str">
        <f t="shared" si="185"/>
        <v/>
      </c>
      <c r="BD101" s="1114" t="str">
        <f t="shared" si="186"/>
        <v/>
      </c>
      <c r="BE101" s="1114" t="str">
        <f t="shared" si="187"/>
        <v>X</v>
      </c>
      <c r="BF101" s="1114" t="str">
        <f t="shared" si="188"/>
        <v/>
      </c>
      <c r="BG101" s="1114" t="str">
        <f t="shared" si="189"/>
        <v/>
      </c>
      <c r="BH101" s="1114" t="str">
        <f t="shared" si="190"/>
        <v/>
      </c>
      <c r="BI101" s="1114" t="str">
        <f t="shared" si="191"/>
        <v>X</v>
      </c>
      <c r="BJ101" s="1115" t="str">
        <f t="shared" si="192"/>
        <v/>
      </c>
      <c r="BL101" s="1885"/>
    </row>
    <row r="102" spans="1:64" ht="13.9" customHeight="1" x14ac:dyDescent="0.25">
      <c r="A102" s="1917">
        <f>Chem!A102</f>
        <v>100</v>
      </c>
      <c r="B102" s="1880" t="str">
        <f>Chem!B102</f>
        <v>1,3-Dichlorobenzene</v>
      </c>
      <c r="C102" s="394" t="str">
        <f>Param!AK102</f>
        <v>no</v>
      </c>
      <c r="D102" s="317" t="str">
        <f>IF(ISNUMBER(Param!AN102),Param!AN102,Param!AM102)</f>
        <v>na</v>
      </c>
      <c r="E102" s="273" t="s">
        <v>232</v>
      </c>
      <c r="F102" s="643">
        <v>6.8000000000000005E-2</v>
      </c>
      <c r="G102" s="550" t="s">
        <v>232</v>
      </c>
      <c r="H102" s="550" t="s">
        <v>232</v>
      </c>
      <c r="I102" s="273" t="s">
        <v>232</v>
      </c>
      <c r="J102" s="273" t="s">
        <v>232</v>
      </c>
      <c r="K102" s="219" t="str">
        <f>IF(C102="YES",'SD-Eq'!V102,"na")</f>
        <v>na</v>
      </c>
      <c r="L102" s="273" t="str">
        <f>IF(C102="YES",'SD-Eq'!Z102,"na")</f>
        <v>na</v>
      </c>
      <c r="M102" s="435" t="str">
        <f t="shared" si="165"/>
        <v>na</v>
      </c>
      <c r="N102" s="273" t="str">
        <f t="shared" si="166"/>
        <v>na</v>
      </c>
      <c r="O102" s="1794" t="str">
        <f t="shared" si="167"/>
        <v>na</v>
      </c>
      <c r="P102" s="1789" t="str">
        <f t="shared" si="168"/>
        <v>na</v>
      </c>
      <c r="Q102" s="418" t="s">
        <v>232</v>
      </c>
      <c r="R102" s="418" t="s">
        <v>232</v>
      </c>
      <c r="S102" s="418" t="s">
        <v>232</v>
      </c>
      <c r="T102" s="418" t="s">
        <v>232</v>
      </c>
      <c r="U102" s="418" t="s">
        <v>232</v>
      </c>
      <c r="V102" s="418" t="s">
        <v>232</v>
      </c>
      <c r="W102" s="418" t="str">
        <f t="shared" si="169"/>
        <v>na</v>
      </c>
      <c r="X102" s="418" t="s">
        <v>232</v>
      </c>
      <c r="Y102" s="1884" t="str">
        <f t="shared" si="170"/>
        <v>na</v>
      </c>
      <c r="Z102" s="1884" t="str">
        <f t="shared" si="171"/>
        <v>na</v>
      </c>
      <c r="AA102" s="1789" t="s">
        <v>232</v>
      </c>
      <c r="AB102" s="1789" t="s">
        <v>232</v>
      </c>
      <c r="AC102" s="273" t="s">
        <v>232</v>
      </c>
      <c r="AD102" s="273" t="s">
        <v>232</v>
      </c>
      <c r="AE102" s="273" t="s">
        <v>232</v>
      </c>
      <c r="AF102" s="273" t="s">
        <v>232</v>
      </c>
      <c r="AG102" s="1789" t="s">
        <v>232</v>
      </c>
      <c r="AH102" s="1789" t="s">
        <v>232</v>
      </c>
      <c r="AI102" s="273" t="s">
        <v>232</v>
      </c>
      <c r="AJ102" s="273" t="s">
        <v>232</v>
      </c>
      <c r="AK102" s="273" t="s">
        <v>232</v>
      </c>
      <c r="AL102" s="273" t="s">
        <v>232</v>
      </c>
      <c r="AM102" s="1789" t="s">
        <v>232</v>
      </c>
      <c r="AN102" s="273" t="str">
        <f t="shared" si="172"/>
        <v>na</v>
      </c>
      <c r="AO102" s="273" t="str">
        <f t="shared" si="173"/>
        <v>na</v>
      </c>
      <c r="AP102" s="273" t="str">
        <f t="shared" si="174"/>
        <v>na</v>
      </c>
      <c r="AQ102" s="273" t="str">
        <f t="shared" si="175"/>
        <v>na</v>
      </c>
      <c r="AR102" s="1789" t="str">
        <f t="shared" si="176"/>
        <v>na</v>
      </c>
      <c r="AS102" s="1051"/>
      <c r="AU102" s="1332" t="str">
        <f t="shared" si="177"/>
        <v/>
      </c>
      <c r="AV102" s="1114" t="str">
        <f t="shared" si="178"/>
        <v/>
      </c>
      <c r="AW102" s="1114" t="str">
        <f t="shared" si="179"/>
        <v/>
      </c>
      <c r="AX102" s="1114" t="str">
        <f t="shared" si="180"/>
        <v/>
      </c>
      <c r="AY102" s="1113" t="str">
        <f t="shared" si="181"/>
        <v/>
      </c>
      <c r="AZ102" s="1114" t="str">
        <f t="shared" si="182"/>
        <v/>
      </c>
      <c r="BA102" s="1114" t="str">
        <f t="shared" si="183"/>
        <v/>
      </c>
      <c r="BB102" s="1704" t="str">
        <f t="shared" si="184"/>
        <v/>
      </c>
      <c r="BC102" s="1113" t="str">
        <f t="shared" si="185"/>
        <v/>
      </c>
      <c r="BD102" s="1114" t="str">
        <f t="shared" si="186"/>
        <v/>
      </c>
      <c r="BE102" s="1114" t="str">
        <f t="shared" si="187"/>
        <v/>
      </c>
      <c r="BF102" s="1114" t="str">
        <f t="shared" si="188"/>
        <v/>
      </c>
      <c r="BG102" s="1114" t="str">
        <f t="shared" si="189"/>
        <v/>
      </c>
      <c r="BH102" s="1114" t="str">
        <f t="shared" si="190"/>
        <v/>
      </c>
      <c r="BI102" s="1114" t="str">
        <f t="shared" si="191"/>
        <v/>
      </c>
      <c r="BJ102" s="1115" t="str">
        <f t="shared" si="192"/>
        <v/>
      </c>
      <c r="BL102" s="1885"/>
    </row>
    <row r="103" spans="1:64" ht="13.9" customHeight="1" x14ac:dyDescent="0.25">
      <c r="A103" s="1917">
        <f>Chem!A103</f>
        <v>101</v>
      </c>
      <c r="B103" s="1880" t="str">
        <f>Chem!B103</f>
        <v>1,4-Dichlorobenzene</v>
      </c>
      <c r="C103" s="394" t="str">
        <f>Param!AK103</f>
        <v>no</v>
      </c>
      <c r="D103" s="317" t="str">
        <f>IF(ISNUMBER(Param!AN103),Param!AN103,Param!AM103)</f>
        <v>na</v>
      </c>
      <c r="E103" s="273" t="s">
        <v>232</v>
      </c>
      <c r="F103" s="643">
        <v>6.8000000000000005E-2</v>
      </c>
      <c r="G103" s="550">
        <v>3.1</v>
      </c>
      <c r="H103" s="550">
        <v>0.11</v>
      </c>
      <c r="I103" s="273">
        <v>9</v>
      </c>
      <c r="J103" s="273">
        <v>0.11</v>
      </c>
      <c r="K103" s="219" t="str">
        <f>IF(C103="YES",'SD-Eq'!V103,"na")</f>
        <v>na</v>
      </c>
      <c r="L103" s="273" t="str">
        <f>IF(C103="YES",'SD-Eq'!Z103,"na")</f>
        <v>na</v>
      </c>
      <c r="M103" s="435" t="str">
        <f t="shared" si="165"/>
        <v>na</v>
      </c>
      <c r="N103" s="273" t="str">
        <f t="shared" si="166"/>
        <v>na</v>
      </c>
      <c r="O103" s="1794">
        <f t="shared" si="167"/>
        <v>0.11</v>
      </c>
      <c r="P103" s="1789">
        <f t="shared" si="168"/>
        <v>0.11</v>
      </c>
      <c r="Q103" s="418" t="s">
        <v>232</v>
      </c>
      <c r="R103" s="418" t="s">
        <v>232</v>
      </c>
      <c r="S103" s="418" t="s">
        <v>232</v>
      </c>
      <c r="T103" s="418" t="s">
        <v>232</v>
      </c>
      <c r="U103" s="418" t="s">
        <v>232</v>
      </c>
      <c r="V103" s="418">
        <v>3.1</v>
      </c>
      <c r="W103" s="418">
        <f t="shared" si="169"/>
        <v>0.11</v>
      </c>
      <c r="X103" s="418" t="s">
        <v>232</v>
      </c>
      <c r="Y103" s="1884" t="str">
        <f t="shared" si="170"/>
        <v>na</v>
      </c>
      <c r="Z103" s="1886">
        <f t="shared" si="171"/>
        <v>0.11</v>
      </c>
      <c r="AA103" s="1887">
        <f>$H103</f>
        <v>0.11</v>
      </c>
      <c r="AB103" s="1887">
        <f>$H103</f>
        <v>0.11</v>
      </c>
      <c r="AC103" s="1887">
        <f>2*$H103</f>
        <v>0.22</v>
      </c>
      <c r="AD103" s="1887">
        <f>6*$H103</f>
        <v>0.66</v>
      </c>
      <c r="AE103" s="298" t="s">
        <v>232</v>
      </c>
      <c r="AF103" s="298" t="s">
        <v>232</v>
      </c>
      <c r="AG103" s="1887">
        <f>$H103</f>
        <v>0.11</v>
      </c>
      <c r="AH103" s="1887">
        <f>$H103</f>
        <v>0.11</v>
      </c>
      <c r="AI103" s="1887">
        <f>2*$H103</f>
        <v>0.22</v>
      </c>
      <c r="AJ103" s="1887">
        <f>6*$H103</f>
        <v>0.66</v>
      </c>
      <c r="AK103" s="298" t="s">
        <v>232</v>
      </c>
      <c r="AL103" s="298" t="s">
        <v>232</v>
      </c>
      <c r="AM103" s="1887">
        <f>$H103</f>
        <v>0.11</v>
      </c>
      <c r="AN103" s="298">
        <f t="shared" si="172"/>
        <v>0.11</v>
      </c>
      <c r="AO103" s="298">
        <f t="shared" si="173"/>
        <v>0.22</v>
      </c>
      <c r="AP103" s="298">
        <f t="shared" si="174"/>
        <v>0.11</v>
      </c>
      <c r="AQ103" s="298">
        <f t="shared" si="175"/>
        <v>0.22</v>
      </c>
      <c r="AR103" s="1887">
        <f t="shared" si="176"/>
        <v>0.11</v>
      </c>
      <c r="AS103" s="1051"/>
      <c r="AU103" s="1332" t="str">
        <f t="shared" si="177"/>
        <v/>
      </c>
      <c r="AV103" s="1114" t="str">
        <f t="shared" si="178"/>
        <v/>
      </c>
      <c r="AW103" s="1114" t="str">
        <f t="shared" si="179"/>
        <v>X</v>
      </c>
      <c r="AX103" s="1114" t="str">
        <f t="shared" si="180"/>
        <v/>
      </c>
      <c r="AY103" s="1113" t="str">
        <f t="shared" si="181"/>
        <v/>
      </c>
      <c r="AZ103" s="1114" t="str">
        <f t="shared" si="182"/>
        <v/>
      </c>
      <c r="BA103" s="1114" t="str">
        <f t="shared" si="183"/>
        <v>X</v>
      </c>
      <c r="BB103" s="1704" t="str">
        <f t="shared" si="184"/>
        <v/>
      </c>
      <c r="BC103" s="1113" t="str">
        <f t="shared" si="185"/>
        <v/>
      </c>
      <c r="BD103" s="1114" t="str">
        <f t="shared" si="186"/>
        <v/>
      </c>
      <c r="BE103" s="1114" t="str">
        <f t="shared" si="187"/>
        <v>X</v>
      </c>
      <c r="BF103" s="1114" t="str">
        <f t="shared" si="188"/>
        <v/>
      </c>
      <c r="BG103" s="1114" t="str">
        <f t="shared" si="189"/>
        <v/>
      </c>
      <c r="BH103" s="1114" t="str">
        <f t="shared" si="190"/>
        <v/>
      </c>
      <c r="BI103" s="1114" t="str">
        <f t="shared" si="191"/>
        <v>X</v>
      </c>
      <c r="BJ103" s="1115" t="str">
        <f t="shared" si="192"/>
        <v/>
      </c>
      <c r="BL103" s="1885"/>
    </row>
    <row r="104" spans="1:64" ht="13.9" customHeight="1" x14ac:dyDescent="0.25">
      <c r="A104" s="1917">
        <f>Chem!A104</f>
        <v>102</v>
      </c>
      <c r="B104" s="1880" t="str">
        <f>Chem!B104</f>
        <v>3,3'-Dichlorobenzidine</v>
      </c>
      <c r="C104" s="390" t="str">
        <f>Param!AK104</f>
        <v>no</v>
      </c>
      <c r="D104" s="317" t="str">
        <f>IF(ISNUMBER(Param!AN104),Param!AN104,Param!AM104)</f>
        <v>na</v>
      </c>
      <c r="E104" s="273" t="s">
        <v>232</v>
      </c>
      <c r="F104" s="643" t="s">
        <v>232</v>
      </c>
      <c r="G104" s="550" t="s">
        <v>232</v>
      </c>
      <c r="H104" s="550" t="s">
        <v>232</v>
      </c>
      <c r="I104" s="273" t="s">
        <v>232</v>
      </c>
      <c r="J104" s="273" t="s">
        <v>232</v>
      </c>
      <c r="K104" s="219" t="str">
        <f>IF(C104="YES",'SD-Eq'!V104,"na")</f>
        <v>na</v>
      </c>
      <c r="L104" s="273" t="str">
        <f>IF(C104="YES",'SD-Eq'!Z104,"na")</f>
        <v>na</v>
      </c>
      <c r="M104" s="435" t="str">
        <f t="shared" si="165"/>
        <v>na</v>
      </c>
      <c r="N104" s="273" t="str">
        <f t="shared" si="166"/>
        <v>na</v>
      </c>
      <c r="O104" s="1796" t="str">
        <f t="shared" si="167"/>
        <v>na</v>
      </c>
      <c r="P104" s="1797" t="str">
        <f t="shared" si="168"/>
        <v>na</v>
      </c>
      <c r="Q104" s="418" t="s">
        <v>232</v>
      </c>
      <c r="R104" s="418" t="s">
        <v>232</v>
      </c>
      <c r="S104" s="418" t="s">
        <v>232</v>
      </c>
      <c r="T104" s="418" t="s">
        <v>232</v>
      </c>
      <c r="U104" s="418" t="s">
        <v>232</v>
      </c>
      <c r="V104" s="418" t="s">
        <v>232</v>
      </c>
      <c r="W104" s="418" t="str">
        <f t="shared" si="169"/>
        <v>na</v>
      </c>
      <c r="X104" s="418" t="s">
        <v>232</v>
      </c>
      <c r="Y104" s="1884" t="str">
        <f t="shared" si="170"/>
        <v>na</v>
      </c>
      <c r="Z104" s="1884" t="str">
        <f t="shared" si="171"/>
        <v>na</v>
      </c>
      <c r="AA104" s="1789" t="s">
        <v>232</v>
      </c>
      <c r="AB104" s="1789" t="s">
        <v>232</v>
      </c>
      <c r="AC104" s="273" t="s">
        <v>232</v>
      </c>
      <c r="AD104" s="273" t="s">
        <v>232</v>
      </c>
      <c r="AE104" s="273" t="s">
        <v>232</v>
      </c>
      <c r="AF104" s="273" t="s">
        <v>232</v>
      </c>
      <c r="AG104" s="1789" t="s">
        <v>232</v>
      </c>
      <c r="AH104" s="1789" t="s">
        <v>232</v>
      </c>
      <c r="AI104" s="273" t="s">
        <v>232</v>
      </c>
      <c r="AJ104" s="273" t="s">
        <v>232</v>
      </c>
      <c r="AK104" s="273" t="s">
        <v>232</v>
      </c>
      <c r="AL104" s="273" t="s">
        <v>232</v>
      </c>
      <c r="AM104" s="1789" t="s">
        <v>232</v>
      </c>
      <c r="AN104" s="273" t="str">
        <f t="shared" si="172"/>
        <v>na</v>
      </c>
      <c r="AO104" s="273" t="str">
        <f t="shared" si="173"/>
        <v>na</v>
      </c>
      <c r="AP104" s="273" t="str">
        <f t="shared" si="174"/>
        <v>na</v>
      </c>
      <c r="AQ104" s="273" t="str">
        <f t="shared" si="175"/>
        <v>na</v>
      </c>
      <c r="AR104" s="1789" t="str">
        <f t="shared" si="176"/>
        <v>na</v>
      </c>
      <c r="AS104" s="1051"/>
      <c r="AU104" s="1332" t="str">
        <f t="shared" si="177"/>
        <v/>
      </c>
      <c r="AV104" s="1114" t="str">
        <f t="shared" si="178"/>
        <v/>
      </c>
      <c r="AW104" s="1114" t="str">
        <f t="shared" si="179"/>
        <v/>
      </c>
      <c r="AX104" s="1114" t="str">
        <f t="shared" si="180"/>
        <v/>
      </c>
      <c r="AY104" s="1113" t="str">
        <f t="shared" si="181"/>
        <v/>
      </c>
      <c r="AZ104" s="1114" t="str">
        <f t="shared" si="182"/>
        <v/>
      </c>
      <c r="BA104" s="1114" t="str">
        <f t="shared" si="183"/>
        <v/>
      </c>
      <c r="BB104" s="1704" t="str">
        <f t="shared" si="184"/>
        <v/>
      </c>
      <c r="BC104" s="1113" t="str">
        <f t="shared" si="185"/>
        <v/>
      </c>
      <c r="BD104" s="1114" t="str">
        <f t="shared" si="186"/>
        <v/>
      </c>
      <c r="BE104" s="1114" t="str">
        <f t="shared" si="187"/>
        <v/>
      </c>
      <c r="BF104" s="1114" t="str">
        <f t="shared" si="188"/>
        <v/>
      </c>
      <c r="BG104" s="1114" t="str">
        <f t="shared" si="189"/>
        <v/>
      </c>
      <c r="BH104" s="1114" t="str">
        <f t="shared" si="190"/>
        <v/>
      </c>
      <c r="BI104" s="1114" t="str">
        <f t="shared" si="191"/>
        <v/>
      </c>
      <c r="BJ104" s="1115" t="str">
        <f t="shared" si="192"/>
        <v/>
      </c>
      <c r="BL104" s="1885"/>
    </row>
    <row r="105" spans="1:64" ht="13.9" customHeight="1" x14ac:dyDescent="0.25">
      <c r="A105" s="1917">
        <f>Chem!A105</f>
        <v>103</v>
      </c>
      <c r="B105" s="1880" t="str">
        <f>Chem!B105</f>
        <v>2,4-Dichlorophenol</v>
      </c>
      <c r="C105" s="394" t="str">
        <f>Param!AK105</f>
        <v>no</v>
      </c>
      <c r="D105" s="317" t="str">
        <f>IF(ISNUMBER(Param!AN105),Param!AN105,Param!AM105)</f>
        <v>na</v>
      </c>
      <c r="E105" s="273" t="s">
        <v>232</v>
      </c>
      <c r="F105" s="643" t="s">
        <v>232</v>
      </c>
      <c r="G105" s="550" t="s">
        <v>232</v>
      </c>
      <c r="H105" s="550" t="s">
        <v>232</v>
      </c>
      <c r="I105" s="273" t="s">
        <v>232</v>
      </c>
      <c r="J105" s="273" t="s">
        <v>232</v>
      </c>
      <c r="K105" s="219" t="str">
        <f>IF(C105="YES",'SD-Eq'!V105,"na")</f>
        <v>na</v>
      </c>
      <c r="L105" s="273" t="str">
        <f>IF(C105="YES",'SD-Eq'!Z105,"na")</f>
        <v>na</v>
      </c>
      <c r="M105" s="435" t="str">
        <f t="shared" si="165"/>
        <v>na</v>
      </c>
      <c r="N105" s="273" t="str">
        <f t="shared" si="166"/>
        <v>na</v>
      </c>
      <c r="O105" s="1794" t="str">
        <f t="shared" si="167"/>
        <v>na</v>
      </c>
      <c r="P105" s="1789" t="str">
        <f t="shared" si="168"/>
        <v>na</v>
      </c>
      <c r="Q105" s="418" t="s">
        <v>232</v>
      </c>
      <c r="R105" s="418" t="s">
        <v>232</v>
      </c>
      <c r="S105" s="418" t="s">
        <v>232</v>
      </c>
      <c r="T105" s="418" t="s">
        <v>232</v>
      </c>
      <c r="U105" s="418" t="s">
        <v>232</v>
      </c>
      <c r="V105" s="418" t="s">
        <v>232</v>
      </c>
      <c r="W105" s="418" t="str">
        <f t="shared" si="169"/>
        <v>na</v>
      </c>
      <c r="X105" s="418" t="s">
        <v>232</v>
      </c>
      <c r="Y105" s="1884" t="str">
        <f t="shared" si="170"/>
        <v>na</v>
      </c>
      <c r="Z105" s="1884" t="str">
        <f t="shared" si="171"/>
        <v>na</v>
      </c>
      <c r="AA105" s="1789" t="s">
        <v>232</v>
      </c>
      <c r="AB105" s="1789" t="s">
        <v>232</v>
      </c>
      <c r="AC105" s="273" t="s">
        <v>232</v>
      </c>
      <c r="AD105" s="273" t="s">
        <v>232</v>
      </c>
      <c r="AE105" s="273" t="s">
        <v>232</v>
      </c>
      <c r="AF105" s="273" t="s">
        <v>232</v>
      </c>
      <c r="AG105" s="1789" t="s">
        <v>232</v>
      </c>
      <c r="AH105" s="1789" t="s">
        <v>232</v>
      </c>
      <c r="AI105" s="273" t="s">
        <v>232</v>
      </c>
      <c r="AJ105" s="273" t="s">
        <v>232</v>
      </c>
      <c r="AK105" s="273" t="s">
        <v>232</v>
      </c>
      <c r="AL105" s="273" t="s">
        <v>232</v>
      </c>
      <c r="AM105" s="1789" t="s">
        <v>232</v>
      </c>
      <c r="AN105" s="273" t="str">
        <f t="shared" si="172"/>
        <v>na</v>
      </c>
      <c r="AO105" s="273" t="str">
        <f t="shared" si="173"/>
        <v>na</v>
      </c>
      <c r="AP105" s="273" t="str">
        <f t="shared" si="174"/>
        <v>na</v>
      </c>
      <c r="AQ105" s="273" t="str">
        <f t="shared" si="175"/>
        <v>na</v>
      </c>
      <c r="AR105" s="1789" t="str">
        <f t="shared" si="176"/>
        <v>na</v>
      </c>
      <c r="AS105" s="1051"/>
      <c r="AU105" s="1332" t="str">
        <f t="shared" si="177"/>
        <v/>
      </c>
      <c r="AV105" s="1114" t="str">
        <f t="shared" si="178"/>
        <v/>
      </c>
      <c r="AW105" s="1114" t="str">
        <f t="shared" si="179"/>
        <v/>
      </c>
      <c r="AX105" s="1114" t="str">
        <f t="shared" si="180"/>
        <v/>
      </c>
      <c r="AY105" s="1113" t="str">
        <f t="shared" si="181"/>
        <v/>
      </c>
      <c r="AZ105" s="1114" t="str">
        <f t="shared" si="182"/>
        <v/>
      </c>
      <c r="BA105" s="1114" t="str">
        <f t="shared" si="183"/>
        <v/>
      </c>
      <c r="BB105" s="1704" t="str">
        <f t="shared" si="184"/>
        <v/>
      </c>
      <c r="BC105" s="1113" t="str">
        <f t="shared" si="185"/>
        <v/>
      </c>
      <c r="BD105" s="1114" t="str">
        <f t="shared" si="186"/>
        <v/>
      </c>
      <c r="BE105" s="1114" t="str">
        <f t="shared" si="187"/>
        <v/>
      </c>
      <c r="BF105" s="1114" t="str">
        <f t="shared" si="188"/>
        <v/>
      </c>
      <c r="BG105" s="1114" t="str">
        <f t="shared" si="189"/>
        <v/>
      </c>
      <c r="BH105" s="1114" t="str">
        <f t="shared" si="190"/>
        <v/>
      </c>
      <c r="BI105" s="1114" t="str">
        <f t="shared" si="191"/>
        <v/>
      </c>
      <c r="BJ105" s="1115" t="str">
        <f t="shared" si="192"/>
        <v/>
      </c>
      <c r="BL105" s="1885"/>
    </row>
    <row r="106" spans="1:64" ht="13.9" customHeight="1" x14ac:dyDescent="0.25">
      <c r="A106" s="1916">
        <f>Chem!A106</f>
        <v>104</v>
      </c>
      <c r="B106" s="1880" t="str">
        <f>Chem!B106</f>
        <v>Di(2-ethylhexyl)adipate</v>
      </c>
      <c r="C106" s="394" t="str">
        <f>Param!AK106</f>
        <v>no</v>
      </c>
      <c r="D106" s="317" t="str">
        <f>IF(ISNUMBER(Param!AN106),Param!AN106,Param!AM106)</f>
        <v>na</v>
      </c>
      <c r="E106" s="273" t="s">
        <v>232</v>
      </c>
      <c r="F106" s="643" t="s">
        <v>232</v>
      </c>
      <c r="G106" s="550" t="s">
        <v>232</v>
      </c>
      <c r="H106" s="550" t="s">
        <v>232</v>
      </c>
      <c r="I106" s="273" t="s">
        <v>232</v>
      </c>
      <c r="J106" s="273" t="s">
        <v>232</v>
      </c>
      <c r="K106" s="219" t="str">
        <f>IF(C106="YES",'SD-Eq'!V106,"na")</f>
        <v>na</v>
      </c>
      <c r="L106" s="273" t="str">
        <f>IF(C106="YES",'SD-Eq'!Z106,"na")</f>
        <v>na</v>
      </c>
      <c r="M106" s="435" t="str">
        <f t="shared" si="165"/>
        <v>na</v>
      </c>
      <c r="N106" s="273" t="str">
        <f t="shared" si="166"/>
        <v>na</v>
      </c>
      <c r="O106" s="1794" t="str">
        <f t="shared" si="167"/>
        <v>na</v>
      </c>
      <c r="P106" s="1789" t="str">
        <f t="shared" si="168"/>
        <v>na</v>
      </c>
      <c r="Q106" s="418" t="s">
        <v>232</v>
      </c>
      <c r="R106" s="418" t="s">
        <v>232</v>
      </c>
      <c r="S106" s="418" t="s">
        <v>232</v>
      </c>
      <c r="T106" s="418" t="s">
        <v>232</v>
      </c>
      <c r="U106" s="418" t="s">
        <v>232</v>
      </c>
      <c r="V106" s="418" t="s">
        <v>232</v>
      </c>
      <c r="W106" s="418" t="str">
        <f t="shared" si="169"/>
        <v>na</v>
      </c>
      <c r="X106" s="418" t="s">
        <v>232</v>
      </c>
      <c r="Y106" s="1884" t="str">
        <f t="shared" si="170"/>
        <v>na</v>
      </c>
      <c r="Z106" s="1884" t="str">
        <f t="shared" si="171"/>
        <v>na</v>
      </c>
      <c r="AA106" s="1789" t="s">
        <v>232</v>
      </c>
      <c r="AB106" s="1789" t="s">
        <v>232</v>
      </c>
      <c r="AC106" s="273" t="s">
        <v>232</v>
      </c>
      <c r="AD106" s="273" t="s">
        <v>232</v>
      </c>
      <c r="AE106" s="273" t="s">
        <v>232</v>
      </c>
      <c r="AF106" s="273" t="s">
        <v>232</v>
      </c>
      <c r="AG106" s="1789" t="s">
        <v>232</v>
      </c>
      <c r="AH106" s="1789" t="s">
        <v>232</v>
      </c>
      <c r="AI106" s="273" t="s">
        <v>232</v>
      </c>
      <c r="AJ106" s="273" t="s">
        <v>232</v>
      </c>
      <c r="AK106" s="273" t="s">
        <v>232</v>
      </c>
      <c r="AL106" s="273" t="s">
        <v>232</v>
      </c>
      <c r="AM106" s="1789" t="s">
        <v>232</v>
      </c>
      <c r="AN106" s="273" t="str">
        <f t="shared" ref="AN106" si="198">IF(MIN(AA106,AB106)=0,"na",MIN(AA106,AB106))</f>
        <v>na</v>
      </c>
      <c r="AO106" s="273" t="str">
        <f t="shared" ref="AO106" si="199">IF(MIN(AC106:AF106)=0,"na",MIN(AC106:AF106))</f>
        <v>na</v>
      </c>
      <c r="AP106" s="273" t="str">
        <f t="shared" ref="AP106" si="200">IF(MIN(AG106,AH106)=0,"na",MIN(AG106,AH106))</f>
        <v>na</v>
      </c>
      <c r="AQ106" s="273" t="str">
        <f t="shared" ref="AQ106" si="201">IF(MIN(AI106:AL106)=0,"na",MIN(AI106:AL106))</f>
        <v>na</v>
      </c>
      <c r="AR106" s="1789" t="str">
        <f t="shared" ref="AR106" si="202">IF(MIN(AA106:AM106)=0,"na",MIN(AA106:AM106))</f>
        <v>na</v>
      </c>
      <c r="AS106" s="1051"/>
      <c r="AU106" s="1332" t="str">
        <f t="shared" si="177"/>
        <v/>
      </c>
      <c r="AV106" s="1114" t="str">
        <f t="shared" si="178"/>
        <v/>
      </c>
      <c r="AW106" s="1114" t="str">
        <f t="shared" si="179"/>
        <v/>
      </c>
      <c r="AX106" s="1114" t="str">
        <f t="shared" si="180"/>
        <v/>
      </c>
      <c r="AY106" s="1113" t="str">
        <f t="shared" si="181"/>
        <v/>
      </c>
      <c r="AZ106" s="1114" t="str">
        <f t="shared" si="182"/>
        <v/>
      </c>
      <c r="BA106" s="1114" t="str">
        <f t="shared" si="183"/>
        <v/>
      </c>
      <c r="BB106" s="1704" t="str">
        <f t="shared" si="184"/>
        <v/>
      </c>
      <c r="BC106" s="1113" t="str">
        <f t="shared" si="185"/>
        <v/>
      </c>
      <c r="BD106" s="1114" t="str">
        <f t="shared" si="186"/>
        <v/>
      </c>
      <c r="BE106" s="1114" t="str">
        <f t="shared" si="187"/>
        <v/>
      </c>
      <c r="BF106" s="1114" t="str">
        <f t="shared" si="188"/>
        <v/>
      </c>
      <c r="BG106" s="1114" t="str">
        <f t="shared" si="189"/>
        <v/>
      </c>
      <c r="BH106" s="1114" t="str">
        <f t="shared" si="190"/>
        <v/>
      </c>
      <c r="BI106" s="1114" t="str">
        <f t="shared" si="191"/>
        <v/>
      </c>
      <c r="BJ106" s="1115" t="str">
        <f t="shared" si="192"/>
        <v/>
      </c>
      <c r="BL106" s="1885"/>
    </row>
    <row r="107" spans="1:64" ht="13.9" customHeight="1" x14ac:dyDescent="0.25">
      <c r="A107" s="1916">
        <f>Chem!A107</f>
        <v>105</v>
      </c>
      <c r="B107" s="1880" t="str">
        <f>Chem!B107</f>
        <v>Diethyl phthalate</v>
      </c>
      <c r="C107" s="394" t="str">
        <f>Param!AK107</f>
        <v>no</v>
      </c>
      <c r="D107" s="317" t="str">
        <f>IF(ISNUMBER(Param!AN107),Param!AN107,Param!AM107)</f>
        <v>na</v>
      </c>
      <c r="E107" s="273" t="s">
        <v>232</v>
      </c>
      <c r="F107" s="643">
        <v>9.2999999999999999E-2</v>
      </c>
      <c r="G107" s="550">
        <v>61</v>
      </c>
      <c r="H107" s="550">
        <v>0.2</v>
      </c>
      <c r="I107" s="273">
        <v>110</v>
      </c>
      <c r="J107" s="273">
        <v>1.2</v>
      </c>
      <c r="K107" s="219" t="str">
        <f>IF(C107="YES",'SD-Eq'!V107,"na")</f>
        <v>na</v>
      </c>
      <c r="L107" s="273" t="str">
        <f>IF(C107="YES",'SD-Eq'!Z107,"na")</f>
        <v>na</v>
      </c>
      <c r="M107" s="435" t="str">
        <f t="shared" si="165"/>
        <v>na</v>
      </c>
      <c r="N107" s="273" t="str">
        <f t="shared" si="166"/>
        <v>na</v>
      </c>
      <c r="O107" s="1794">
        <f t="shared" si="167"/>
        <v>0.2</v>
      </c>
      <c r="P107" s="1789">
        <f t="shared" si="168"/>
        <v>1.2</v>
      </c>
      <c r="Q107" s="418" t="s">
        <v>232</v>
      </c>
      <c r="R107" s="418" t="s">
        <v>232</v>
      </c>
      <c r="S107" s="418" t="s">
        <v>232</v>
      </c>
      <c r="T107" s="418" t="s">
        <v>232</v>
      </c>
      <c r="U107" s="418" t="s">
        <v>232</v>
      </c>
      <c r="V107" s="418" t="s">
        <v>232</v>
      </c>
      <c r="W107" s="418" t="str">
        <f t="shared" si="169"/>
        <v>na</v>
      </c>
      <c r="X107" s="418" t="s">
        <v>232</v>
      </c>
      <c r="Y107" s="1884" t="str">
        <f t="shared" si="170"/>
        <v>na</v>
      </c>
      <c r="Z107" s="1884">
        <f t="shared" si="171"/>
        <v>0.2</v>
      </c>
      <c r="AA107" s="1789" t="s">
        <v>232</v>
      </c>
      <c r="AB107" s="1789" t="s">
        <v>232</v>
      </c>
      <c r="AC107" s="273" t="s">
        <v>232</v>
      </c>
      <c r="AD107" s="273" t="s">
        <v>232</v>
      </c>
      <c r="AE107" s="273" t="s">
        <v>232</v>
      </c>
      <c r="AF107" s="273" t="s">
        <v>232</v>
      </c>
      <c r="AG107" s="1789" t="s">
        <v>232</v>
      </c>
      <c r="AH107" s="1789" t="s">
        <v>232</v>
      </c>
      <c r="AI107" s="273" t="s">
        <v>232</v>
      </c>
      <c r="AJ107" s="273" t="s">
        <v>232</v>
      </c>
      <c r="AK107" s="273" t="s">
        <v>232</v>
      </c>
      <c r="AL107" s="273" t="s">
        <v>232</v>
      </c>
      <c r="AM107" s="1789" t="s">
        <v>232</v>
      </c>
      <c r="AN107" s="273" t="str">
        <f t="shared" si="172"/>
        <v>na</v>
      </c>
      <c r="AO107" s="273" t="str">
        <f t="shared" si="173"/>
        <v>na</v>
      </c>
      <c r="AP107" s="273" t="str">
        <f t="shared" si="174"/>
        <v>na</v>
      </c>
      <c r="AQ107" s="273" t="str">
        <f t="shared" si="175"/>
        <v>na</v>
      </c>
      <c r="AR107" s="1789" t="str">
        <f t="shared" si="176"/>
        <v>na</v>
      </c>
      <c r="AS107" s="1051"/>
      <c r="AU107" s="1332" t="str">
        <f t="shared" si="177"/>
        <v/>
      </c>
      <c r="AV107" s="1114" t="str">
        <f t="shared" si="178"/>
        <v/>
      </c>
      <c r="AW107" s="1114" t="str">
        <f t="shared" si="179"/>
        <v>X</v>
      </c>
      <c r="AX107" s="1114" t="str">
        <f t="shared" si="180"/>
        <v/>
      </c>
      <c r="AY107" s="1113" t="str">
        <f t="shared" si="181"/>
        <v/>
      </c>
      <c r="AZ107" s="1114" t="str">
        <f t="shared" si="182"/>
        <v/>
      </c>
      <c r="BA107" s="1114" t="str">
        <f t="shared" si="183"/>
        <v>X</v>
      </c>
      <c r="BB107" s="1704" t="str">
        <f t="shared" si="184"/>
        <v/>
      </c>
      <c r="BC107" s="1113" t="str">
        <f t="shared" si="185"/>
        <v/>
      </c>
      <c r="BD107" s="1114" t="str">
        <f t="shared" si="186"/>
        <v/>
      </c>
      <c r="BE107" s="1114" t="str">
        <f t="shared" si="187"/>
        <v>X</v>
      </c>
      <c r="BF107" s="1114" t="str">
        <f t="shared" si="188"/>
        <v/>
      </c>
      <c r="BG107" s="1114" t="str">
        <f t="shared" si="189"/>
        <v/>
      </c>
      <c r="BH107" s="1114" t="str">
        <f t="shared" si="190"/>
        <v/>
      </c>
      <c r="BI107" s="1114" t="str">
        <f t="shared" si="191"/>
        <v/>
      </c>
      <c r="BJ107" s="1115" t="str">
        <f t="shared" si="192"/>
        <v/>
      </c>
      <c r="BL107" s="1885"/>
    </row>
    <row r="108" spans="1:64" ht="13.9" customHeight="1" x14ac:dyDescent="0.25">
      <c r="A108" s="1917">
        <f>Chem!A108</f>
        <v>106</v>
      </c>
      <c r="B108" s="1880" t="str">
        <f>Chem!B108</f>
        <v>Dimethyl phthalate</v>
      </c>
      <c r="C108" s="394" t="str">
        <f>Param!AK108</f>
        <v>no</v>
      </c>
      <c r="D108" s="317" t="str">
        <f>IF(ISNUMBER(Param!AN108),Param!AN108,Param!AM108)</f>
        <v>na</v>
      </c>
      <c r="E108" s="273" t="s">
        <v>232</v>
      </c>
      <c r="F108" s="643">
        <v>6.6000000000000003E-2</v>
      </c>
      <c r="G108" s="550">
        <v>53</v>
      </c>
      <c r="H108" s="550">
        <v>7.0999999999999994E-2</v>
      </c>
      <c r="I108" s="273">
        <v>53</v>
      </c>
      <c r="J108" s="273">
        <v>0.16</v>
      </c>
      <c r="K108" s="219" t="str">
        <f>IF(C108="YES",'SD-Eq'!V108,"na")</f>
        <v>na</v>
      </c>
      <c r="L108" s="273" t="str">
        <f>IF(C108="YES",'SD-Eq'!Z108,"na")</f>
        <v>na</v>
      </c>
      <c r="M108" s="435" t="str">
        <f t="shared" si="165"/>
        <v>na</v>
      </c>
      <c r="N108" s="273" t="str">
        <f t="shared" si="166"/>
        <v>na</v>
      </c>
      <c r="O108" s="1794">
        <f t="shared" si="167"/>
        <v>7.0999999999999994E-2</v>
      </c>
      <c r="P108" s="1789">
        <f t="shared" si="168"/>
        <v>0.16</v>
      </c>
      <c r="Q108" s="418" t="s">
        <v>232</v>
      </c>
      <c r="R108" s="418" t="s">
        <v>232</v>
      </c>
      <c r="S108" s="418" t="s">
        <v>232</v>
      </c>
      <c r="T108" s="418" t="s">
        <v>232</v>
      </c>
      <c r="U108" s="418" t="s">
        <v>232</v>
      </c>
      <c r="V108" s="418">
        <v>53</v>
      </c>
      <c r="W108" s="418">
        <f t="shared" si="169"/>
        <v>7.0999999999999994E-2</v>
      </c>
      <c r="X108" s="418" t="s">
        <v>232</v>
      </c>
      <c r="Y108" s="1884" t="str">
        <f t="shared" si="170"/>
        <v>na</v>
      </c>
      <c r="Z108" s="1886">
        <f t="shared" si="171"/>
        <v>7.0999999999999994E-2</v>
      </c>
      <c r="AA108" s="1887">
        <f t="shared" ref="AA108:AB109" si="203">$H108</f>
        <v>7.0999999999999994E-2</v>
      </c>
      <c r="AB108" s="1887">
        <f t="shared" si="203"/>
        <v>7.0999999999999994E-2</v>
      </c>
      <c r="AC108" s="1887">
        <f t="shared" ref="AC108:AC109" si="204">2*$H108</f>
        <v>0.14199999999999999</v>
      </c>
      <c r="AD108" s="1887">
        <f t="shared" ref="AD108:AD109" si="205">6*$H108</f>
        <v>0.42599999999999993</v>
      </c>
      <c r="AE108" s="298" t="s">
        <v>232</v>
      </c>
      <c r="AF108" s="298" t="s">
        <v>232</v>
      </c>
      <c r="AG108" s="1887">
        <f t="shared" ref="AG108:AH109" si="206">$H108</f>
        <v>7.0999999999999994E-2</v>
      </c>
      <c r="AH108" s="1887">
        <f t="shared" si="206"/>
        <v>7.0999999999999994E-2</v>
      </c>
      <c r="AI108" s="1887">
        <f t="shared" ref="AI108:AI109" si="207">2*$H108</f>
        <v>0.14199999999999999</v>
      </c>
      <c r="AJ108" s="1887">
        <f t="shared" ref="AJ108:AJ109" si="208">6*$H108</f>
        <v>0.42599999999999993</v>
      </c>
      <c r="AK108" s="298" t="s">
        <v>232</v>
      </c>
      <c r="AL108" s="298" t="s">
        <v>232</v>
      </c>
      <c r="AM108" s="1887">
        <f t="shared" ref="AM108:AM109" si="209">$H108</f>
        <v>7.0999999999999994E-2</v>
      </c>
      <c r="AN108" s="298">
        <f t="shared" si="172"/>
        <v>7.0999999999999994E-2</v>
      </c>
      <c r="AO108" s="298">
        <f t="shared" si="173"/>
        <v>0.14199999999999999</v>
      </c>
      <c r="AP108" s="298">
        <f t="shared" si="174"/>
        <v>7.0999999999999994E-2</v>
      </c>
      <c r="AQ108" s="298">
        <f t="shared" si="175"/>
        <v>0.14199999999999999</v>
      </c>
      <c r="AR108" s="1887">
        <f t="shared" si="176"/>
        <v>7.0999999999999994E-2</v>
      </c>
      <c r="AS108" s="1051"/>
      <c r="AU108" s="1332" t="str">
        <f t="shared" si="177"/>
        <v/>
      </c>
      <c r="AV108" s="1114" t="str">
        <f t="shared" si="178"/>
        <v/>
      </c>
      <c r="AW108" s="1114" t="str">
        <f t="shared" si="179"/>
        <v>X</v>
      </c>
      <c r="AX108" s="1114" t="str">
        <f t="shared" si="180"/>
        <v/>
      </c>
      <c r="AY108" s="1113" t="str">
        <f t="shared" si="181"/>
        <v/>
      </c>
      <c r="AZ108" s="1114" t="str">
        <f t="shared" si="182"/>
        <v/>
      </c>
      <c r="BA108" s="1114" t="str">
        <f t="shared" si="183"/>
        <v>X</v>
      </c>
      <c r="BB108" s="1704" t="str">
        <f t="shared" si="184"/>
        <v/>
      </c>
      <c r="BC108" s="1113" t="str">
        <f t="shared" si="185"/>
        <v/>
      </c>
      <c r="BD108" s="1114" t="str">
        <f t="shared" si="186"/>
        <v/>
      </c>
      <c r="BE108" s="1114" t="str">
        <f t="shared" si="187"/>
        <v>X</v>
      </c>
      <c r="BF108" s="1114" t="str">
        <f t="shared" si="188"/>
        <v/>
      </c>
      <c r="BG108" s="1114" t="str">
        <f t="shared" si="189"/>
        <v/>
      </c>
      <c r="BH108" s="1114" t="str">
        <f t="shared" si="190"/>
        <v/>
      </c>
      <c r="BI108" s="1114" t="str">
        <f t="shared" si="191"/>
        <v>X</v>
      </c>
      <c r="BJ108" s="1115" t="str">
        <f t="shared" si="192"/>
        <v/>
      </c>
      <c r="BL108" s="1885"/>
    </row>
    <row r="109" spans="1:64" ht="13.9" customHeight="1" x14ac:dyDescent="0.25">
      <c r="A109" s="1917">
        <f>Chem!A109</f>
        <v>107</v>
      </c>
      <c r="B109" s="1880" t="str">
        <f>Chem!B109</f>
        <v>2,4-Dimethylphenol</v>
      </c>
      <c r="C109" s="394" t="str">
        <f>Param!AK109</f>
        <v>no</v>
      </c>
      <c r="D109" s="317" t="str">
        <f>IF(ISNUMBER(Param!AN109),Param!AN109,Param!AM109)</f>
        <v>na</v>
      </c>
      <c r="E109" s="273" t="s">
        <v>232</v>
      </c>
      <c r="F109" s="643">
        <v>0.21</v>
      </c>
      <c r="G109" s="550" t="s">
        <v>232</v>
      </c>
      <c r="H109" s="550">
        <v>2.9000000000000001E-2</v>
      </c>
      <c r="I109" s="273" t="s">
        <v>232</v>
      </c>
      <c r="J109" s="273">
        <v>2.9000000000000001E-2</v>
      </c>
      <c r="K109" s="219" t="str">
        <f>IF(C109="YES",'SD-Eq'!V109,"na")</f>
        <v>na</v>
      </c>
      <c r="L109" s="273" t="str">
        <f>IF(C109="YES",'SD-Eq'!Z109,"na")</f>
        <v>na</v>
      </c>
      <c r="M109" s="435" t="str">
        <f t="shared" si="165"/>
        <v>na</v>
      </c>
      <c r="N109" s="273" t="str">
        <f t="shared" si="166"/>
        <v>na</v>
      </c>
      <c r="O109" s="1794">
        <f t="shared" si="167"/>
        <v>2.9000000000000001E-2</v>
      </c>
      <c r="P109" s="1789">
        <f t="shared" si="168"/>
        <v>2.9000000000000001E-2</v>
      </c>
      <c r="Q109" s="418" t="s">
        <v>232</v>
      </c>
      <c r="R109" s="418" t="s">
        <v>232</v>
      </c>
      <c r="S109" s="418" t="s">
        <v>232</v>
      </c>
      <c r="T109" s="418" t="s">
        <v>232</v>
      </c>
      <c r="U109" s="418">
        <v>2.9000000000000001E-2</v>
      </c>
      <c r="V109" s="418" t="s">
        <v>232</v>
      </c>
      <c r="W109" s="418" t="str">
        <f t="shared" si="169"/>
        <v>na</v>
      </c>
      <c r="X109" s="418" t="s">
        <v>232</v>
      </c>
      <c r="Y109" s="1884" t="str">
        <f t="shared" si="170"/>
        <v>na</v>
      </c>
      <c r="Z109" s="1884">
        <f t="shared" si="171"/>
        <v>2.9000000000000001E-2</v>
      </c>
      <c r="AA109" s="1887">
        <f t="shared" si="203"/>
        <v>2.9000000000000001E-2</v>
      </c>
      <c r="AB109" s="1887">
        <f t="shared" si="203"/>
        <v>2.9000000000000001E-2</v>
      </c>
      <c r="AC109" s="1887">
        <f t="shared" si="204"/>
        <v>5.8000000000000003E-2</v>
      </c>
      <c r="AD109" s="1887">
        <f t="shared" si="205"/>
        <v>0.17400000000000002</v>
      </c>
      <c r="AE109" s="298" t="s">
        <v>232</v>
      </c>
      <c r="AF109" s="298" t="s">
        <v>232</v>
      </c>
      <c r="AG109" s="1887">
        <f t="shared" si="206"/>
        <v>2.9000000000000001E-2</v>
      </c>
      <c r="AH109" s="1887">
        <f t="shared" si="206"/>
        <v>2.9000000000000001E-2</v>
      </c>
      <c r="AI109" s="1887">
        <f t="shared" si="207"/>
        <v>5.8000000000000003E-2</v>
      </c>
      <c r="AJ109" s="1887">
        <f t="shared" si="208"/>
        <v>0.17400000000000002</v>
      </c>
      <c r="AK109" s="298" t="s">
        <v>232</v>
      </c>
      <c r="AL109" s="298" t="s">
        <v>232</v>
      </c>
      <c r="AM109" s="1887">
        <f t="shared" si="209"/>
        <v>2.9000000000000001E-2</v>
      </c>
      <c r="AN109" s="273">
        <f t="shared" si="172"/>
        <v>2.9000000000000001E-2</v>
      </c>
      <c r="AO109" s="273">
        <f t="shared" si="173"/>
        <v>5.8000000000000003E-2</v>
      </c>
      <c r="AP109" s="273">
        <f t="shared" si="174"/>
        <v>2.9000000000000001E-2</v>
      </c>
      <c r="AQ109" s="273">
        <f t="shared" si="175"/>
        <v>5.8000000000000003E-2</v>
      </c>
      <c r="AR109" s="1789">
        <f t="shared" si="176"/>
        <v>2.9000000000000001E-2</v>
      </c>
      <c r="AS109" s="1051"/>
      <c r="AU109" s="1332" t="str">
        <f t="shared" si="177"/>
        <v/>
      </c>
      <c r="AV109" s="1114" t="str">
        <f t="shared" si="178"/>
        <v/>
      </c>
      <c r="AW109" s="1114" t="str">
        <f t="shared" si="179"/>
        <v>X</v>
      </c>
      <c r="AX109" s="1114" t="str">
        <f t="shared" si="180"/>
        <v/>
      </c>
      <c r="AY109" s="1113" t="str">
        <f t="shared" si="181"/>
        <v/>
      </c>
      <c r="AZ109" s="1114" t="str">
        <f t="shared" si="182"/>
        <v/>
      </c>
      <c r="BA109" s="1114" t="str">
        <f t="shared" si="183"/>
        <v>X</v>
      </c>
      <c r="BB109" s="1704" t="str">
        <f t="shared" si="184"/>
        <v/>
      </c>
      <c r="BC109" s="1113" t="str">
        <f t="shared" si="185"/>
        <v/>
      </c>
      <c r="BD109" s="1114" t="str">
        <f t="shared" si="186"/>
        <v/>
      </c>
      <c r="BE109" s="1114" t="str">
        <f t="shared" si="187"/>
        <v>X</v>
      </c>
      <c r="BF109" s="1114" t="str">
        <f t="shared" si="188"/>
        <v/>
      </c>
      <c r="BG109" s="1114" t="str">
        <f t="shared" si="189"/>
        <v/>
      </c>
      <c r="BH109" s="1114" t="str">
        <f t="shared" si="190"/>
        <v/>
      </c>
      <c r="BI109" s="1114" t="str">
        <f t="shared" si="191"/>
        <v>X</v>
      </c>
      <c r="BJ109" s="1115" t="str">
        <f t="shared" si="192"/>
        <v/>
      </c>
      <c r="BL109" s="1885"/>
    </row>
    <row r="110" spans="1:64" ht="13.9" customHeight="1" x14ac:dyDescent="0.25">
      <c r="A110" s="1917">
        <f>Chem!A110</f>
        <v>108</v>
      </c>
      <c r="B110" s="1880" t="str">
        <f>Chem!B110</f>
        <v>1,2-Dinitrobenzene</v>
      </c>
      <c r="C110" s="394" t="str">
        <f>Param!AK110</f>
        <v>no</v>
      </c>
      <c r="D110" s="317" t="str">
        <f>IF(ISNUMBER(Param!AN110),Param!AN110,Param!AM110)</f>
        <v>na</v>
      </c>
      <c r="E110" s="273" t="s">
        <v>232</v>
      </c>
      <c r="F110" s="643" t="s">
        <v>232</v>
      </c>
      <c r="G110" s="550" t="s">
        <v>232</v>
      </c>
      <c r="H110" s="550" t="s">
        <v>232</v>
      </c>
      <c r="I110" s="273" t="s">
        <v>232</v>
      </c>
      <c r="J110" s="273" t="s">
        <v>232</v>
      </c>
      <c r="K110" s="219" t="str">
        <f>IF(C110="YES",'SD-Eq'!V110,"na")</f>
        <v>na</v>
      </c>
      <c r="L110" s="273" t="str">
        <f>IF(C110="YES",'SD-Eq'!Z110,"na")</f>
        <v>na</v>
      </c>
      <c r="M110" s="435" t="str">
        <f t="shared" si="165"/>
        <v>na</v>
      </c>
      <c r="N110" s="273" t="str">
        <f t="shared" si="166"/>
        <v>na</v>
      </c>
      <c r="O110" s="1794" t="str">
        <f t="shared" si="167"/>
        <v>na</v>
      </c>
      <c r="P110" s="1789" t="str">
        <f t="shared" si="168"/>
        <v>na</v>
      </c>
      <c r="Q110" s="418" t="s">
        <v>232</v>
      </c>
      <c r="R110" s="418" t="s">
        <v>232</v>
      </c>
      <c r="S110" s="418" t="s">
        <v>232</v>
      </c>
      <c r="T110" s="418" t="s">
        <v>232</v>
      </c>
      <c r="U110" s="418" t="s">
        <v>232</v>
      </c>
      <c r="V110" s="418" t="s">
        <v>232</v>
      </c>
      <c r="W110" s="418" t="str">
        <f t="shared" si="169"/>
        <v>na</v>
      </c>
      <c r="X110" s="418" t="s">
        <v>232</v>
      </c>
      <c r="Y110" s="1884" t="str">
        <f t="shared" si="170"/>
        <v>na</v>
      </c>
      <c r="Z110" s="1884" t="str">
        <f t="shared" si="171"/>
        <v>na</v>
      </c>
      <c r="AA110" s="1789" t="s">
        <v>232</v>
      </c>
      <c r="AB110" s="1789" t="s">
        <v>232</v>
      </c>
      <c r="AC110" s="1789" t="s">
        <v>232</v>
      </c>
      <c r="AD110" s="1789" t="s">
        <v>232</v>
      </c>
      <c r="AE110" s="1789" t="s">
        <v>232</v>
      </c>
      <c r="AF110" s="1789" t="s">
        <v>232</v>
      </c>
      <c r="AG110" s="1789" t="s">
        <v>232</v>
      </c>
      <c r="AH110" s="1789" t="s">
        <v>232</v>
      </c>
      <c r="AI110" s="1789" t="s">
        <v>232</v>
      </c>
      <c r="AJ110" s="1789" t="s">
        <v>232</v>
      </c>
      <c r="AK110" s="1789" t="s">
        <v>232</v>
      </c>
      <c r="AL110" s="1789" t="s">
        <v>232</v>
      </c>
      <c r="AM110" s="1789" t="s">
        <v>232</v>
      </c>
      <c r="AN110" s="273" t="str">
        <f t="shared" ref="AN110:AN112" si="210">IF(MIN(AA110,AB110)=0,"na",MIN(AA110,AB110))</f>
        <v>na</v>
      </c>
      <c r="AO110" s="273" t="str">
        <f t="shared" ref="AO110:AO112" si="211">IF(MIN(AC110:AF110)=0,"na",MIN(AC110:AF110))</f>
        <v>na</v>
      </c>
      <c r="AP110" s="273" t="str">
        <f t="shared" ref="AP110:AP112" si="212">IF(MIN(AG110,AH110)=0,"na",MIN(AG110,AH110))</f>
        <v>na</v>
      </c>
      <c r="AQ110" s="273" t="str">
        <f t="shared" ref="AQ110:AQ112" si="213">IF(MIN(AI110:AL110)=0,"na",MIN(AI110:AL110))</f>
        <v>na</v>
      </c>
      <c r="AR110" s="1789" t="str">
        <f t="shared" ref="AR110:AR112" si="214">IF(MIN(AA110:AM110)=0,"na",MIN(AA110:AM110))</f>
        <v>na</v>
      </c>
      <c r="AS110" s="1051"/>
      <c r="AU110" s="1332" t="str">
        <f t="shared" si="177"/>
        <v/>
      </c>
      <c r="AV110" s="1114" t="str">
        <f t="shared" si="178"/>
        <v/>
      </c>
      <c r="AW110" s="1114" t="str">
        <f t="shared" si="179"/>
        <v/>
      </c>
      <c r="AX110" s="1114" t="str">
        <f t="shared" si="180"/>
        <v/>
      </c>
      <c r="AY110" s="1113" t="str">
        <f t="shared" si="181"/>
        <v/>
      </c>
      <c r="AZ110" s="1114" t="str">
        <f t="shared" si="182"/>
        <v/>
      </c>
      <c r="BA110" s="1114" t="str">
        <f t="shared" si="183"/>
        <v/>
      </c>
      <c r="BB110" s="1704" t="str">
        <f t="shared" si="184"/>
        <v/>
      </c>
      <c r="BC110" s="1113" t="str">
        <f t="shared" si="185"/>
        <v/>
      </c>
      <c r="BD110" s="1114" t="str">
        <f t="shared" si="186"/>
        <v/>
      </c>
      <c r="BE110" s="1114" t="str">
        <f t="shared" si="187"/>
        <v/>
      </c>
      <c r="BF110" s="1114" t="str">
        <f t="shared" si="188"/>
        <v/>
      </c>
      <c r="BG110" s="1114" t="str">
        <f t="shared" si="189"/>
        <v/>
      </c>
      <c r="BH110" s="1114" t="str">
        <f t="shared" si="190"/>
        <v/>
      </c>
      <c r="BI110" s="1114" t="str">
        <f t="shared" si="191"/>
        <v/>
      </c>
      <c r="BJ110" s="1115" t="str">
        <f t="shared" si="192"/>
        <v/>
      </c>
      <c r="BL110" s="1885"/>
    </row>
    <row r="111" spans="1:64" ht="13.9" customHeight="1" x14ac:dyDescent="0.25">
      <c r="A111" s="1917">
        <f>Chem!A111</f>
        <v>109</v>
      </c>
      <c r="B111" s="1880" t="str">
        <f>Chem!B111</f>
        <v>1,3-Dinitrobenzene</v>
      </c>
      <c r="C111" s="394" t="str">
        <f>Param!AK111</f>
        <v>no</v>
      </c>
      <c r="D111" s="317" t="str">
        <f>IF(ISNUMBER(Param!AN111),Param!AN111,Param!AM111)</f>
        <v>na</v>
      </c>
      <c r="E111" s="273" t="s">
        <v>232</v>
      </c>
      <c r="F111" s="643" t="s">
        <v>232</v>
      </c>
      <c r="G111" s="550" t="s">
        <v>232</v>
      </c>
      <c r="H111" s="550" t="s">
        <v>232</v>
      </c>
      <c r="I111" s="273" t="s">
        <v>232</v>
      </c>
      <c r="J111" s="273" t="s">
        <v>232</v>
      </c>
      <c r="K111" s="219" t="str">
        <f>IF(C111="YES",'SD-Eq'!V111,"na")</f>
        <v>na</v>
      </c>
      <c r="L111" s="273" t="str">
        <f>IF(C111="YES",'SD-Eq'!Z111,"na")</f>
        <v>na</v>
      </c>
      <c r="M111" s="435" t="str">
        <f t="shared" si="165"/>
        <v>na</v>
      </c>
      <c r="N111" s="273" t="str">
        <f t="shared" si="166"/>
        <v>na</v>
      </c>
      <c r="O111" s="1794" t="str">
        <f t="shared" ref="O111:O145" si="215">IF(OR(ISNUMBER(H111),ISNUMBER(K111),ISNUMBER(M111)),MIN(H111,K111,M111),"na")</f>
        <v>na</v>
      </c>
      <c r="P111" s="1789" t="str">
        <f t="shared" ref="P111:P145" si="216">IF(OR(ISNUMBER(J111),ISNUMBER(L111),ISNUMBER(N111)),MIN(J111,L111,N111),"na")</f>
        <v>na</v>
      </c>
      <c r="Q111" s="418" t="s">
        <v>232</v>
      </c>
      <c r="R111" s="418" t="s">
        <v>232</v>
      </c>
      <c r="S111" s="418" t="s">
        <v>232</v>
      </c>
      <c r="T111" s="418" t="s">
        <v>232</v>
      </c>
      <c r="U111" s="418" t="s">
        <v>232</v>
      </c>
      <c r="V111" s="418" t="s">
        <v>232</v>
      </c>
      <c r="W111" s="418" t="str">
        <f t="shared" ref="W111:W142" si="217">IF(ISNUMBER(V111),H111,"na")</f>
        <v>na</v>
      </c>
      <c r="X111" s="418" t="s">
        <v>232</v>
      </c>
      <c r="Y111" s="1884" t="str">
        <f t="shared" si="170"/>
        <v>na</v>
      </c>
      <c r="Z111" s="1884" t="str">
        <f t="shared" si="171"/>
        <v>na</v>
      </c>
      <c r="AA111" s="1789" t="s">
        <v>232</v>
      </c>
      <c r="AB111" s="1789" t="s">
        <v>232</v>
      </c>
      <c r="AC111" s="1789" t="s">
        <v>232</v>
      </c>
      <c r="AD111" s="1789" t="s">
        <v>232</v>
      </c>
      <c r="AE111" s="1789" t="s">
        <v>232</v>
      </c>
      <c r="AF111" s="1789" t="s">
        <v>232</v>
      </c>
      <c r="AG111" s="1789" t="s">
        <v>232</v>
      </c>
      <c r="AH111" s="1789" t="s">
        <v>232</v>
      </c>
      <c r="AI111" s="1789" t="s">
        <v>232</v>
      </c>
      <c r="AJ111" s="1789" t="s">
        <v>232</v>
      </c>
      <c r="AK111" s="1789" t="s">
        <v>232</v>
      </c>
      <c r="AL111" s="1789" t="s">
        <v>232</v>
      </c>
      <c r="AM111" s="1789" t="s">
        <v>232</v>
      </c>
      <c r="AN111" s="273" t="str">
        <f t="shared" si="210"/>
        <v>na</v>
      </c>
      <c r="AO111" s="273" t="str">
        <f t="shared" si="211"/>
        <v>na</v>
      </c>
      <c r="AP111" s="273" t="str">
        <f t="shared" si="212"/>
        <v>na</v>
      </c>
      <c r="AQ111" s="273" t="str">
        <f t="shared" si="213"/>
        <v>na</v>
      </c>
      <c r="AR111" s="1789" t="str">
        <f t="shared" si="214"/>
        <v>na</v>
      </c>
      <c r="AS111" s="1051"/>
      <c r="AU111" s="1332" t="str">
        <f t="shared" ref="AU111:AU145" si="218">IF($O111="na","",IF($O111=D111,"X",""))</f>
        <v/>
      </c>
      <c r="AV111" s="1114" t="str">
        <f t="shared" ref="AV111:AV145" si="219">IF(OR($O111="PQL",AND(ISNUMBER($F111),$O111=F111)),"X","")</f>
        <v/>
      </c>
      <c r="AW111" s="1114" t="str">
        <f t="shared" ref="AW111:AW145" si="220">IF($O111="na","",IF($O111=H111,"X",""))</f>
        <v/>
      </c>
      <c r="AX111" s="1114" t="str">
        <f t="shared" ref="AX111:AX145" si="221">IF($O111="na","",IF($O111=$K111,"X",""))</f>
        <v/>
      </c>
      <c r="AY111" s="1113" t="str">
        <f t="shared" ref="AY111:AY145" si="222">IF($P111="na","",IF($P111=E111,"X",""))</f>
        <v/>
      </c>
      <c r="AZ111" s="1114" t="str">
        <f t="shared" ref="AZ111:AZ145" si="223">IF(OR($P111="PQL",AND(ISNUMBER($F111),$P111=F111)),"X","")</f>
        <v/>
      </c>
      <c r="BA111" s="1114" t="str">
        <f t="shared" ref="BA111:BA145" si="224">IF($P111="na","",IF($P111=J111,"X",""))</f>
        <v/>
      </c>
      <c r="BB111" s="1704" t="str">
        <f t="shared" ref="BB111:BB145" si="225">IF($P111="na","",IF($P111=$L111,"X",""))</f>
        <v/>
      </c>
      <c r="BC111" s="1113" t="str">
        <f t="shared" ref="BC111:BC145" si="226">IF($Z111="na","",IF($Z111=D111,"X",""))</f>
        <v/>
      </c>
      <c r="BD111" s="1114" t="str">
        <f t="shared" ref="BD111:BD145" si="227">IF($Z111="na","",IF($Z111=F111,"X",""))</f>
        <v/>
      </c>
      <c r="BE111" s="1114" t="str">
        <f t="shared" ref="BE111:BE145" si="228">IF($Z111="na","",IF($Z111=H111,"X",""))</f>
        <v/>
      </c>
      <c r="BF111" s="1114" t="str">
        <f t="shared" ref="BF111:BF145" si="229">IF($Z111="na","",IF($Z111=K111,"X",""))</f>
        <v/>
      </c>
      <c r="BG111" s="1114" t="str">
        <f t="shared" si="189"/>
        <v/>
      </c>
      <c r="BH111" s="1114" t="str">
        <f t="shared" si="190"/>
        <v/>
      </c>
      <c r="BI111" s="1114" t="str">
        <f t="shared" si="191"/>
        <v/>
      </c>
      <c r="BJ111" s="1115" t="str">
        <f t="shared" si="192"/>
        <v/>
      </c>
      <c r="BL111" s="1885"/>
    </row>
    <row r="112" spans="1:64" ht="13.9" customHeight="1" x14ac:dyDescent="0.25">
      <c r="A112" s="1917">
        <f>Chem!A112</f>
        <v>110</v>
      </c>
      <c r="B112" s="1880" t="str">
        <f>Chem!B112</f>
        <v>1,4-Dinitrobenzene</v>
      </c>
      <c r="C112" s="394" t="str">
        <f>Param!AK112</f>
        <v>no</v>
      </c>
      <c r="D112" s="317" t="str">
        <f>IF(ISNUMBER(Param!AN112),Param!AN112,Param!AM112)</f>
        <v>na</v>
      </c>
      <c r="E112" s="273" t="s">
        <v>232</v>
      </c>
      <c r="F112" s="643" t="s">
        <v>232</v>
      </c>
      <c r="G112" s="550" t="s">
        <v>232</v>
      </c>
      <c r="H112" s="550" t="s">
        <v>232</v>
      </c>
      <c r="I112" s="273" t="s">
        <v>232</v>
      </c>
      <c r="J112" s="273" t="s">
        <v>232</v>
      </c>
      <c r="K112" s="219" t="str">
        <f>IF(C112="YES",'SD-Eq'!V112,"na")</f>
        <v>na</v>
      </c>
      <c r="L112" s="273" t="str">
        <f>IF(C112="YES",'SD-Eq'!Z112,"na")</f>
        <v>na</v>
      </c>
      <c r="M112" s="435" t="str">
        <f t="shared" si="165"/>
        <v>na</v>
      </c>
      <c r="N112" s="273" t="str">
        <f t="shared" si="166"/>
        <v>na</v>
      </c>
      <c r="O112" s="1794" t="str">
        <f t="shared" si="215"/>
        <v>na</v>
      </c>
      <c r="P112" s="1789" t="str">
        <f t="shared" si="216"/>
        <v>na</v>
      </c>
      <c r="Q112" s="418" t="s">
        <v>232</v>
      </c>
      <c r="R112" s="418" t="s">
        <v>232</v>
      </c>
      <c r="S112" s="418" t="s">
        <v>232</v>
      </c>
      <c r="T112" s="418" t="s">
        <v>232</v>
      </c>
      <c r="U112" s="418" t="s">
        <v>232</v>
      </c>
      <c r="V112" s="418" t="s">
        <v>232</v>
      </c>
      <c r="W112" s="418" t="str">
        <f t="shared" si="217"/>
        <v>na</v>
      </c>
      <c r="X112" s="418" t="s">
        <v>232</v>
      </c>
      <c r="Y112" s="1884" t="str">
        <f t="shared" si="170"/>
        <v>na</v>
      </c>
      <c r="Z112" s="1884" t="str">
        <f t="shared" si="171"/>
        <v>na</v>
      </c>
      <c r="AA112" s="1789" t="s">
        <v>232</v>
      </c>
      <c r="AB112" s="1789" t="s">
        <v>232</v>
      </c>
      <c r="AC112" s="1789" t="s">
        <v>232</v>
      </c>
      <c r="AD112" s="1789" t="s">
        <v>232</v>
      </c>
      <c r="AE112" s="1789" t="s">
        <v>232</v>
      </c>
      <c r="AF112" s="1789" t="s">
        <v>232</v>
      </c>
      <c r="AG112" s="1789" t="s">
        <v>232</v>
      </c>
      <c r="AH112" s="1789" t="s">
        <v>232</v>
      </c>
      <c r="AI112" s="1789" t="s">
        <v>232</v>
      </c>
      <c r="AJ112" s="1789" t="s">
        <v>232</v>
      </c>
      <c r="AK112" s="1789" t="s">
        <v>232</v>
      </c>
      <c r="AL112" s="1789" t="s">
        <v>232</v>
      </c>
      <c r="AM112" s="1789" t="s">
        <v>232</v>
      </c>
      <c r="AN112" s="273" t="str">
        <f t="shared" si="210"/>
        <v>na</v>
      </c>
      <c r="AO112" s="273" t="str">
        <f t="shared" si="211"/>
        <v>na</v>
      </c>
      <c r="AP112" s="273" t="str">
        <f t="shared" si="212"/>
        <v>na</v>
      </c>
      <c r="AQ112" s="273" t="str">
        <f t="shared" si="213"/>
        <v>na</v>
      </c>
      <c r="AR112" s="1789" t="str">
        <f t="shared" si="214"/>
        <v>na</v>
      </c>
      <c r="AS112" s="1051"/>
      <c r="AU112" s="1332" t="str">
        <f t="shared" si="218"/>
        <v/>
      </c>
      <c r="AV112" s="1114" t="str">
        <f t="shared" si="219"/>
        <v/>
      </c>
      <c r="AW112" s="1114" t="str">
        <f t="shared" si="220"/>
        <v/>
      </c>
      <c r="AX112" s="1114" t="str">
        <f t="shared" si="221"/>
        <v/>
      </c>
      <c r="AY112" s="1113" t="str">
        <f t="shared" si="222"/>
        <v/>
      </c>
      <c r="AZ112" s="1114" t="str">
        <f t="shared" si="223"/>
        <v/>
      </c>
      <c r="BA112" s="1114" t="str">
        <f t="shared" si="224"/>
        <v/>
      </c>
      <c r="BB112" s="1704" t="str">
        <f t="shared" si="225"/>
        <v/>
      </c>
      <c r="BC112" s="1113" t="str">
        <f t="shared" si="226"/>
        <v/>
      </c>
      <c r="BD112" s="1114" t="str">
        <f t="shared" si="227"/>
        <v/>
      </c>
      <c r="BE112" s="1114" t="str">
        <f t="shared" si="228"/>
        <v/>
      </c>
      <c r="BF112" s="1114" t="str">
        <f t="shared" si="229"/>
        <v/>
      </c>
      <c r="BG112" s="1114" t="str">
        <f t="shared" si="189"/>
        <v/>
      </c>
      <c r="BH112" s="1114" t="str">
        <f t="shared" si="190"/>
        <v/>
      </c>
      <c r="BI112" s="1114" t="str">
        <f t="shared" si="191"/>
        <v/>
      </c>
      <c r="BJ112" s="1115" t="str">
        <f t="shared" si="192"/>
        <v/>
      </c>
      <c r="BL112" s="1885"/>
    </row>
    <row r="113" spans="1:64" ht="13.9" customHeight="1" x14ac:dyDescent="0.25">
      <c r="A113" s="1917">
        <f>Chem!A113</f>
        <v>111</v>
      </c>
      <c r="B113" s="1880" t="str">
        <f>Chem!B113</f>
        <v>4,6-Dinitro-o-cresol (DNOC)</v>
      </c>
      <c r="C113" s="394" t="str">
        <f>Param!AK113</f>
        <v>no</v>
      </c>
      <c r="D113" s="317" t="str">
        <f>IF(ISNUMBER(Param!AN113),Param!AN113,Param!AM113)</f>
        <v>na</v>
      </c>
      <c r="E113" s="273" t="s">
        <v>232</v>
      </c>
      <c r="F113" s="643" t="s">
        <v>232</v>
      </c>
      <c r="G113" s="550" t="s">
        <v>232</v>
      </c>
      <c r="H113" s="550" t="s">
        <v>232</v>
      </c>
      <c r="I113" s="273" t="s">
        <v>232</v>
      </c>
      <c r="J113" s="273" t="s">
        <v>232</v>
      </c>
      <c r="K113" s="219" t="str">
        <f>IF(C113="YES",'SD-Eq'!V113,"na")</f>
        <v>na</v>
      </c>
      <c r="L113" s="273" t="str">
        <f>IF(C113="YES",'SD-Eq'!Z113,"na")</f>
        <v>na</v>
      </c>
      <c r="M113" s="435" t="str">
        <f t="shared" si="165"/>
        <v>na</v>
      </c>
      <c r="N113" s="273" t="str">
        <f t="shared" si="166"/>
        <v>na</v>
      </c>
      <c r="O113" s="1794" t="str">
        <f t="shared" si="215"/>
        <v>na</v>
      </c>
      <c r="P113" s="1789" t="str">
        <f t="shared" si="216"/>
        <v>na</v>
      </c>
      <c r="Q113" s="418" t="s">
        <v>232</v>
      </c>
      <c r="R113" s="418" t="s">
        <v>232</v>
      </c>
      <c r="S113" s="418" t="s">
        <v>232</v>
      </c>
      <c r="T113" s="418" t="s">
        <v>232</v>
      </c>
      <c r="U113" s="418" t="s">
        <v>232</v>
      </c>
      <c r="V113" s="418" t="s">
        <v>232</v>
      </c>
      <c r="W113" s="418" t="str">
        <f t="shared" si="217"/>
        <v>na</v>
      </c>
      <c r="X113" s="418" t="s">
        <v>232</v>
      </c>
      <c r="Y113" s="1884" t="str">
        <f t="shared" si="170"/>
        <v>na</v>
      </c>
      <c r="Z113" s="1884" t="str">
        <f t="shared" si="171"/>
        <v>na</v>
      </c>
      <c r="AA113" s="1789" t="s">
        <v>232</v>
      </c>
      <c r="AB113" s="1789" t="s">
        <v>232</v>
      </c>
      <c r="AC113" s="273" t="s">
        <v>232</v>
      </c>
      <c r="AD113" s="273" t="s">
        <v>232</v>
      </c>
      <c r="AE113" s="273" t="s">
        <v>232</v>
      </c>
      <c r="AF113" s="273" t="s">
        <v>232</v>
      </c>
      <c r="AG113" s="273" t="s">
        <v>232</v>
      </c>
      <c r="AH113" s="273" t="s">
        <v>232</v>
      </c>
      <c r="AI113" s="273" t="s">
        <v>232</v>
      </c>
      <c r="AJ113" s="273" t="s">
        <v>232</v>
      </c>
      <c r="AK113" s="273" t="s">
        <v>232</v>
      </c>
      <c r="AL113" s="273" t="s">
        <v>232</v>
      </c>
      <c r="AM113" s="273" t="s">
        <v>232</v>
      </c>
      <c r="AN113" s="273" t="str">
        <f t="shared" si="172"/>
        <v>na</v>
      </c>
      <c r="AO113" s="273" t="str">
        <f t="shared" si="173"/>
        <v>na</v>
      </c>
      <c r="AP113" s="273" t="str">
        <f t="shared" si="174"/>
        <v>na</v>
      </c>
      <c r="AQ113" s="273" t="str">
        <f t="shared" si="175"/>
        <v>na</v>
      </c>
      <c r="AR113" s="1789" t="str">
        <f t="shared" si="176"/>
        <v>na</v>
      </c>
      <c r="AS113" s="1051"/>
      <c r="AU113" s="1332" t="str">
        <f t="shared" si="218"/>
        <v/>
      </c>
      <c r="AV113" s="1114" t="str">
        <f t="shared" si="219"/>
        <v/>
      </c>
      <c r="AW113" s="1114" t="str">
        <f t="shared" si="220"/>
        <v/>
      </c>
      <c r="AX113" s="1114" t="str">
        <f t="shared" si="221"/>
        <v/>
      </c>
      <c r="AY113" s="1113" t="str">
        <f t="shared" si="222"/>
        <v/>
      </c>
      <c r="AZ113" s="1114" t="str">
        <f t="shared" si="223"/>
        <v/>
      </c>
      <c r="BA113" s="1114" t="str">
        <f t="shared" si="224"/>
        <v/>
      </c>
      <c r="BB113" s="1704" t="str">
        <f t="shared" si="225"/>
        <v/>
      </c>
      <c r="BC113" s="1113" t="str">
        <f t="shared" si="226"/>
        <v/>
      </c>
      <c r="BD113" s="1114" t="str">
        <f t="shared" si="227"/>
        <v/>
      </c>
      <c r="BE113" s="1114" t="str">
        <f t="shared" si="228"/>
        <v/>
      </c>
      <c r="BF113" s="1114" t="str">
        <f t="shared" si="229"/>
        <v/>
      </c>
      <c r="BG113" s="1114" t="str">
        <f t="shared" si="189"/>
        <v/>
      </c>
      <c r="BH113" s="1114" t="str">
        <f t="shared" si="190"/>
        <v/>
      </c>
      <c r="BI113" s="1114" t="str">
        <f t="shared" si="191"/>
        <v/>
      </c>
      <c r="BJ113" s="1115" t="str">
        <f t="shared" si="192"/>
        <v/>
      </c>
      <c r="BL113" s="1885"/>
    </row>
    <row r="114" spans="1:64" ht="13.9" customHeight="1" x14ac:dyDescent="0.25">
      <c r="A114" s="1917">
        <f>Chem!A114</f>
        <v>112</v>
      </c>
      <c r="B114" s="1880" t="str">
        <f>Chem!B114</f>
        <v>2,4-Dinitrophenol</v>
      </c>
      <c r="C114" s="394" t="str">
        <f>Param!AK114</f>
        <v>no</v>
      </c>
      <c r="D114" s="317" t="str">
        <f>IF(ISNUMBER(Param!AN114),Param!AN114,Param!AM114)</f>
        <v>na</v>
      </c>
      <c r="E114" s="273" t="s">
        <v>232</v>
      </c>
      <c r="F114" s="643" t="s">
        <v>232</v>
      </c>
      <c r="G114" s="550" t="s">
        <v>232</v>
      </c>
      <c r="H114" s="550" t="s">
        <v>232</v>
      </c>
      <c r="I114" s="273" t="s">
        <v>232</v>
      </c>
      <c r="J114" s="273" t="s">
        <v>232</v>
      </c>
      <c r="K114" s="219" t="str">
        <f>IF(C114="YES",'SD-Eq'!V114,"na")</f>
        <v>na</v>
      </c>
      <c r="L114" s="273" t="str">
        <f>IF(C114="YES",'SD-Eq'!Z114,"na")</f>
        <v>na</v>
      </c>
      <c r="M114" s="435" t="str">
        <f t="shared" si="165"/>
        <v>na</v>
      </c>
      <c r="N114" s="273" t="str">
        <f t="shared" si="166"/>
        <v>na</v>
      </c>
      <c r="O114" s="1794" t="str">
        <f t="shared" si="215"/>
        <v>na</v>
      </c>
      <c r="P114" s="1789" t="str">
        <f t="shared" si="216"/>
        <v>na</v>
      </c>
      <c r="Q114" s="418" t="s">
        <v>232</v>
      </c>
      <c r="R114" s="418" t="s">
        <v>232</v>
      </c>
      <c r="S114" s="418" t="s">
        <v>232</v>
      </c>
      <c r="T114" s="418" t="s">
        <v>232</v>
      </c>
      <c r="U114" s="418" t="s">
        <v>232</v>
      </c>
      <c r="V114" s="418" t="s">
        <v>232</v>
      </c>
      <c r="W114" s="418" t="str">
        <f t="shared" si="217"/>
        <v>na</v>
      </c>
      <c r="X114" s="418" t="s">
        <v>232</v>
      </c>
      <c r="Y114" s="1884" t="str">
        <f t="shared" si="170"/>
        <v>na</v>
      </c>
      <c r="Z114" s="1884" t="str">
        <f t="shared" si="171"/>
        <v>na</v>
      </c>
      <c r="AA114" s="1789" t="s">
        <v>232</v>
      </c>
      <c r="AB114" s="1789" t="s">
        <v>232</v>
      </c>
      <c r="AC114" s="273" t="s">
        <v>232</v>
      </c>
      <c r="AD114" s="273" t="s">
        <v>232</v>
      </c>
      <c r="AE114" s="273" t="s">
        <v>232</v>
      </c>
      <c r="AF114" s="273" t="s">
        <v>232</v>
      </c>
      <c r="AG114" s="273" t="s">
        <v>232</v>
      </c>
      <c r="AH114" s="273" t="s">
        <v>232</v>
      </c>
      <c r="AI114" s="273" t="s">
        <v>232</v>
      </c>
      <c r="AJ114" s="273" t="s">
        <v>232</v>
      </c>
      <c r="AK114" s="273" t="s">
        <v>232</v>
      </c>
      <c r="AL114" s="273" t="s">
        <v>232</v>
      </c>
      <c r="AM114" s="273" t="s">
        <v>232</v>
      </c>
      <c r="AN114" s="273" t="str">
        <f t="shared" si="172"/>
        <v>na</v>
      </c>
      <c r="AO114" s="273" t="str">
        <f t="shared" si="173"/>
        <v>na</v>
      </c>
      <c r="AP114" s="273" t="str">
        <f t="shared" si="174"/>
        <v>na</v>
      </c>
      <c r="AQ114" s="273" t="str">
        <f t="shared" si="175"/>
        <v>na</v>
      </c>
      <c r="AR114" s="1789" t="str">
        <f t="shared" si="176"/>
        <v>na</v>
      </c>
      <c r="AS114" s="1051"/>
      <c r="AU114" s="1332" t="str">
        <f t="shared" si="218"/>
        <v/>
      </c>
      <c r="AV114" s="1114" t="str">
        <f t="shared" si="219"/>
        <v/>
      </c>
      <c r="AW114" s="1114" t="str">
        <f t="shared" si="220"/>
        <v/>
      </c>
      <c r="AX114" s="1114" t="str">
        <f t="shared" si="221"/>
        <v/>
      </c>
      <c r="AY114" s="1113" t="str">
        <f t="shared" si="222"/>
        <v/>
      </c>
      <c r="AZ114" s="1114" t="str">
        <f t="shared" si="223"/>
        <v/>
      </c>
      <c r="BA114" s="1114" t="str">
        <f t="shared" si="224"/>
        <v/>
      </c>
      <c r="BB114" s="1704" t="str">
        <f t="shared" si="225"/>
        <v/>
      </c>
      <c r="BC114" s="1113" t="str">
        <f t="shared" si="226"/>
        <v/>
      </c>
      <c r="BD114" s="1114" t="str">
        <f t="shared" si="227"/>
        <v/>
      </c>
      <c r="BE114" s="1114" t="str">
        <f t="shared" si="228"/>
        <v/>
      </c>
      <c r="BF114" s="1114" t="str">
        <f t="shared" si="229"/>
        <v/>
      </c>
      <c r="BG114" s="1114" t="str">
        <f t="shared" si="189"/>
        <v/>
      </c>
      <c r="BH114" s="1114" t="str">
        <f t="shared" si="190"/>
        <v/>
      </c>
      <c r="BI114" s="1114" t="str">
        <f t="shared" si="191"/>
        <v/>
      </c>
      <c r="BJ114" s="1115" t="str">
        <f t="shared" si="192"/>
        <v/>
      </c>
      <c r="BL114" s="1885"/>
    </row>
    <row r="115" spans="1:64" ht="13.9" customHeight="1" x14ac:dyDescent="0.25">
      <c r="A115" s="1917">
        <f>Chem!A115</f>
        <v>113</v>
      </c>
      <c r="B115" s="1880" t="str">
        <f>Chem!B115</f>
        <v>2,4-Dinitrotoluene</v>
      </c>
      <c r="C115" s="394" t="str">
        <f>Param!AK115</f>
        <v>no</v>
      </c>
      <c r="D115" s="317" t="str">
        <f>IF(ISNUMBER(Param!AN115),Param!AN115,Param!AM115)</f>
        <v>na</v>
      </c>
      <c r="E115" s="273" t="s">
        <v>232</v>
      </c>
      <c r="F115" s="643" t="s">
        <v>232</v>
      </c>
      <c r="G115" s="550" t="s">
        <v>232</v>
      </c>
      <c r="H115" s="550" t="s">
        <v>232</v>
      </c>
      <c r="I115" s="273" t="s">
        <v>232</v>
      </c>
      <c r="J115" s="273" t="s">
        <v>232</v>
      </c>
      <c r="K115" s="219" t="str">
        <f>IF(C115="YES",'SD-Eq'!V115,"na")</f>
        <v>na</v>
      </c>
      <c r="L115" s="273" t="str">
        <f>IF(C115="YES",'SD-Eq'!Z115,"na")</f>
        <v>na</v>
      </c>
      <c r="M115" s="435" t="str">
        <f t="shared" si="165"/>
        <v>na</v>
      </c>
      <c r="N115" s="273" t="str">
        <f t="shared" si="166"/>
        <v>na</v>
      </c>
      <c r="O115" s="1794" t="str">
        <f t="shared" si="215"/>
        <v>na</v>
      </c>
      <c r="P115" s="1789" t="str">
        <f t="shared" si="216"/>
        <v>na</v>
      </c>
      <c r="Q115" s="418" t="s">
        <v>232</v>
      </c>
      <c r="R115" s="418" t="s">
        <v>232</v>
      </c>
      <c r="S115" s="418" t="s">
        <v>232</v>
      </c>
      <c r="T115" s="418" t="s">
        <v>232</v>
      </c>
      <c r="U115" s="418" t="s">
        <v>232</v>
      </c>
      <c r="V115" s="418" t="s">
        <v>232</v>
      </c>
      <c r="W115" s="418" t="str">
        <f t="shared" si="217"/>
        <v>na</v>
      </c>
      <c r="X115" s="418" t="s">
        <v>232</v>
      </c>
      <c r="Y115" s="1884" t="str">
        <f t="shared" si="170"/>
        <v>na</v>
      </c>
      <c r="Z115" s="1884" t="str">
        <f t="shared" si="171"/>
        <v>na</v>
      </c>
      <c r="AA115" s="1789" t="s">
        <v>232</v>
      </c>
      <c r="AB115" s="1789" t="s">
        <v>232</v>
      </c>
      <c r="AC115" s="273" t="s">
        <v>232</v>
      </c>
      <c r="AD115" s="273" t="s">
        <v>232</v>
      </c>
      <c r="AE115" s="273" t="s">
        <v>232</v>
      </c>
      <c r="AF115" s="273" t="s">
        <v>232</v>
      </c>
      <c r="AG115" s="273" t="s">
        <v>232</v>
      </c>
      <c r="AH115" s="273" t="s">
        <v>232</v>
      </c>
      <c r="AI115" s="273" t="s">
        <v>232</v>
      </c>
      <c r="AJ115" s="273" t="s">
        <v>232</v>
      </c>
      <c r="AK115" s="273" t="s">
        <v>232</v>
      </c>
      <c r="AL115" s="273" t="s">
        <v>232</v>
      </c>
      <c r="AM115" s="273" t="s">
        <v>232</v>
      </c>
      <c r="AN115" s="273" t="str">
        <f t="shared" si="172"/>
        <v>na</v>
      </c>
      <c r="AO115" s="273" t="str">
        <f t="shared" si="173"/>
        <v>na</v>
      </c>
      <c r="AP115" s="273" t="str">
        <f t="shared" si="174"/>
        <v>na</v>
      </c>
      <c r="AQ115" s="273" t="str">
        <f t="shared" si="175"/>
        <v>na</v>
      </c>
      <c r="AR115" s="1789" t="str">
        <f t="shared" si="176"/>
        <v>na</v>
      </c>
      <c r="AS115" s="1051"/>
      <c r="AU115" s="1332" t="str">
        <f t="shared" si="218"/>
        <v/>
      </c>
      <c r="AV115" s="1114" t="str">
        <f t="shared" si="219"/>
        <v/>
      </c>
      <c r="AW115" s="1114" t="str">
        <f t="shared" si="220"/>
        <v/>
      </c>
      <c r="AX115" s="1114" t="str">
        <f t="shared" si="221"/>
        <v/>
      </c>
      <c r="AY115" s="1113" t="str">
        <f t="shared" si="222"/>
        <v/>
      </c>
      <c r="AZ115" s="1114" t="str">
        <f t="shared" si="223"/>
        <v/>
      </c>
      <c r="BA115" s="1114" t="str">
        <f t="shared" si="224"/>
        <v/>
      </c>
      <c r="BB115" s="1704" t="str">
        <f t="shared" si="225"/>
        <v/>
      </c>
      <c r="BC115" s="1113" t="str">
        <f t="shared" si="226"/>
        <v/>
      </c>
      <c r="BD115" s="1114" t="str">
        <f t="shared" si="227"/>
        <v/>
      </c>
      <c r="BE115" s="1114" t="str">
        <f t="shared" si="228"/>
        <v/>
      </c>
      <c r="BF115" s="1114" t="str">
        <f t="shared" si="229"/>
        <v/>
      </c>
      <c r="BG115" s="1114" t="str">
        <f t="shared" si="189"/>
        <v/>
      </c>
      <c r="BH115" s="1114" t="str">
        <f t="shared" si="190"/>
        <v/>
      </c>
      <c r="BI115" s="1114" t="str">
        <f t="shared" si="191"/>
        <v/>
      </c>
      <c r="BJ115" s="1115" t="str">
        <f t="shared" si="192"/>
        <v/>
      </c>
      <c r="BL115" s="1885"/>
    </row>
    <row r="116" spans="1:64" ht="13.9" customHeight="1" x14ac:dyDescent="0.25">
      <c r="A116" s="1908">
        <f>Chem!A116</f>
        <v>114</v>
      </c>
      <c r="B116" s="1880" t="str">
        <f>Chem!B116</f>
        <v>2,6-Dinitrotoluene</v>
      </c>
      <c r="C116" s="394" t="str">
        <f>Param!AK116</f>
        <v>no</v>
      </c>
      <c r="D116" s="317" t="str">
        <f>IF(ISNUMBER(Param!AN116),Param!AN116,Param!AM116)</f>
        <v>na</v>
      </c>
      <c r="E116" s="273" t="s">
        <v>232</v>
      </c>
      <c r="F116" s="643" t="s">
        <v>232</v>
      </c>
      <c r="G116" s="550" t="s">
        <v>232</v>
      </c>
      <c r="H116" s="550" t="s">
        <v>232</v>
      </c>
      <c r="I116" s="273" t="s">
        <v>232</v>
      </c>
      <c r="J116" s="273" t="s">
        <v>232</v>
      </c>
      <c r="K116" s="219" t="str">
        <f>IF(C116="YES",'SD-Eq'!V116,"na")</f>
        <v>na</v>
      </c>
      <c r="L116" s="273" t="str">
        <f>IF(C116="YES",'SD-Eq'!Z116,"na")</f>
        <v>na</v>
      </c>
      <c r="M116" s="435" t="str">
        <f t="shared" si="165"/>
        <v>na</v>
      </c>
      <c r="N116" s="273" t="str">
        <f t="shared" si="166"/>
        <v>na</v>
      </c>
      <c r="O116" s="1794" t="str">
        <f t="shared" si="215"/>
        <v>na</v>
      </c>
      <c r="P116" s="1789" t="str">
        <f t="shared" si="216"/>
        <v>na</v>
      </c>
      <c r="Q116" s="418" t="s">
        <v>232</v>
      </c>
      <c r="R116" s="418" t="s">
        <v>232</v>
      </c>
      <c r="S116" s="418" t="s">
        <v>232</v>
      </c>
      <c r="T116" s="418" t="s">
        <v>232</v>
      </c>
      <c r="U116" s="418" t="s">
        <v>232</v>
      </c>
      <c r="V116" s="418" t="s">
        <v>232</v>
      </c>
      <c r="W116" s="418" t="str">
        <f t="shared" si="217"/>
        <v>na</v>
      </c>
      <c r="X116" s="418" t="s">
        <v>232</v>
      </c>
      <c r="Y116" s="1884" t="str">
        <f t="shared" si="170"/>
        <v>na</v>
      </c>
      <c r="Z116" s="1884" t="str">
        <f t="shared" si="171"/>
        <v>na</v>
      </c>
      <c r="AA116" s="1789" t="s">
        <v>232</v>
      </c>
      <c r="AB116" s="1789" t="s">
        <v>232</v>
      </c>
      <c r="AC116" s="273" t="s">
        <v>232</v>
      </c>
      <c r="AD116" s="273" t="s">
        <v>232</v>
      </c>
      <c r="AE116" s="273" t="s">
        <v>232</v>
      </c>
      <c r="AF116" s="273" t="s">
        <v>232</v>
      </c>
      <c r="AG116" s="273" t="s">
        <v>232</v>
      </c>
      <c r="AH116" s="273" t="s">
        <v>232</v>
      </c>
      <c r="AI116" s="273" t="s">
        <v>232</v>
      </c>
      <c r="AJ116" s="273" t="s">
        <v>232</v>
      </c>
      <c r="AK116" s="273" t="s">
        <v>232</v>
      </c>
      <c r="AL116" s="273" t="s">
        <v>232</v>
      </c>
      <c r="AM116" s="273" t="s">
        <v>232</v>
      </c>
      <c r="AN116" s="273" t="str">
        <f t="shared" ref="AN116:AN145" si="230">IF(MIN(AA116,AB116)=0,"na",MIN(AA116,AB116))</f>
        <v>na</v>
      </c>
      <c r="AO116" s="273" t="str">
        <f t="shared" si="173"/>
        <v>na</v>
      </c>
      <c r="AP116" s="273" t="str">
        <f t="shared" si="174"/>
        <v>na</v>
      </c>
      <c r="AQ116" s="273" t="str">
        <f t="shared" si="175"/>
        <v>na</v>
      </c>
      <c r="AR116" s="1789" t="str">
        <f t="shared" ref="AR116:AR145" si="231">IF(MIN(AA116:AM116)=0,"na",MIN(AA116:AM116))</f>
        <v>na</v>
      </c>
      <c r="AS116" s="1051"/>
      <c r="AU116" s="1332" t="str">
        <f t="shared" si="218"/>
        <v/>
      </c>
      <c r="AV116" s="1114" t="str">
        <f t="shared" si="219"/>
        <v/>
      </c>
      <c r="AW116" s="1114" t="str">
        <f t="shared" si="220"/>
        <v/>
      </c>
      <c r="AX116" s="1114" t="str">
        <f t="shared" si="221"/>
        <v/>
      </c>
      <c r="AY116" s="1113" t="str">
        <f t="shared" si="222"/>
        <v/>
      </c>
      <c r="AZ116" s="1114" t="str">
        <f t="shared" si="223"/>
        <v/>
      </c>
      <c r="BA116" s="1114" t="str">
        <f t="shared" si="224"/>
        <v/>
      </c>
      <c r="BB116" s="1704" t="str">
        <f t="shared" si="225"/>
        <v/>
      </c>
      <c r="BC116" s="1113" t="str">
        <f t="shared" si="226"/>
        <v/>
      </c>
      <c r="BD116" s="1114" t="str">
        <f t="shared" si="227"/>
        <v/>
      </c>
      <c r="BE116" s="1114" t="str">
        <f t="shared" si="228"/>
        <v/>
      </c>
      <c r="BF116" s="1114" t="str">
        <f t="shared" si="229"/>
        <v/>
      </c>
      <c r="BG116" s="1114" t="str">
        <f t="shared" si="189"/>
        <v/>
      </c>
      <c r="BH116" s="1114" t="str">
        <f t="shared" si="190"/>
        <v/>
      </c>
      <c r="BI116" s="1114" t="str">
        <f t="shared" si="191"/>
        <v/>
      </c>
      <c r="BJ116" s="1115" t="str">
        <f t="shared" si="192"/>
        <v/>
      </c>
      <c r="BL116" s="1885"/>
    </row>
    <row r="117" spans="1:64" ht="13.15" customHeight="1" x14ac:dyDescent="0.25">
      <c r="A117" s="1917">
        <f>Chem!A117</f>
        <v>115</v>
      </c>
      <c r="B117" s="1880" t="str">
        <f>Chem!B117</f>
        <v>Di-n-octyl phthalate</v>
      </c>
      <c r="C117" s="394" t="str">
        <f>Param!AK117</f>
        <v>no</v>
      </c>
      <c r="D117" s="317" t="str">
        <f>IF(ISNUMBER(Param!AN117),Param!AN117,Param!AM117)</f>
        <v>na</v>
      </c>
      <c r="E117" s="273" t="s">
        <v>232</v>
      </c>
      <c r="F117" s="643">
        <v>0.13700000000000001</v>
      </c>
      <c r="G117" s="550">
        <v>58</v>
      </c>
      <c r="H117" s="550">
        <v>6.2</v>
      </c>
      <c r="I117" s="273">
        <v>4500</v>
      </c>
      <c r="J117" s="273">
        <v>6.2</v>
      </c>
      <c r="K117" s="219" t="str">
        <f>IF(C117="YES",'SD-Eq'!V117,"na")</f>
        <v>na</v>
      </c>
      <c r="L117" s="273" t="str">
        <f>IF(C117="YES",'SD-Eq'!Z117,"na")</f>
        <v>na</v>
      </c>
      <c r="M117" s="435" t="str">
        <f t="shared" si="165"/>
        <v>na</v>
      </c>
      <c r="N117" s="273" t="str">
        <f t="shared" si="166"/>
        <v>na</v>
      </c>
      <c r="O117" s="1794">
        <f t="shared" si="215"/>
        <v>6.2</v>
      </c>
      <c r="P117" s="1789">
        <f t="shared" si="216"/>
        <v>6.2</v>
      </c>
      <c r="Q117" s="418" t="s">
        <v>232</v>
      </c>
      <c r="R117" s="418" t="s">
        <v>232</v>
      </c>
      <c r="S117" s="418" t="s">
        <v>232</v>
      </c>
      <c r="T117" s="418" t="s">
        <v>232</v>
      </c>
      <c r="U117" s="418" t="s">
        <v>232</v>
      </c>
      <c r="V117" s="418" t="s">
        <v>232</v>
      </c>
      <c r="W117" s="418" t="str">
        <f t="shared" si="217"/>
        <v>na</v>
      </c>
      <c r="X117" s="418" t="s">
        <v>232</v>
      </c>
      <c r="Y117" s="1884" t="str">
        <f t="shared" si="170"/>
        <v>na</v>
      </c>
      <c r="Z117" s="1884">
        <f t="shared" si="171"/>
        <v>6.2</v>
      </c>
      <c r="AA117" s="1789" t="s">
        <v>232</v>
      </c>
      <c r="AB117" s="1789" t="s">
        <v>232</v>
      </c>
      <c r="AC117" s="273" t="s">
        <v>232</v>
      </c>
      <c r="AD117" s="273" t="s">
        <v>232</v>
      </c>
      <c r="AE117" s="273" t="s">
        <v>232</v>
      </c>
      <c r="AF117" s="273" t="s">
        <v>232</v>
      </c>
      <c r="AG117" s="273" t="s">
        <v>232</v>
      </c>
      <c r="AH117" s="273" t="s">
        <v>232</v>
      </c>
      <c r="AI117" s="273" t="s">
        <v>232</v>
      </c>
      <c r="AJ117" s="273" t="s">
        <v>232</v>
      </c>
      <c r="AK117" s="273" t="s">
        <v>232</v>
      </c>
      <c r="AL117" s="273" t="s">
        <v>232</v>
      </c>
      <c r="AM117" s="273" t="s">
        <v>232</v>
      </c>
      <c r="AN117" s="273" t="str">
        <f t="shared" si="230"/>
        <v>na</v>
      </c>
      <c r="AO117" s="273" t="str">
        <f t="shared" si="173"/>
        <v>na</v>
      </c>
      <c r="AP117" s="273" t="str">
        <f t="shared" si="174"/>
        <v>na</v>
      </c>
      <c r="AQ117" s="273" t="str">
        <f t="shared" si="175"/>
        <v>na</v>
      </c>
      <c r="AR117" s="1789" t="str">
        <f t="shared" si="231"/>
        <v>na</v>
      </c>
      <c r="AS117" s="1051"/>
      <c r="AU117" s="1332" t="str">
        <f t="shared" si="218"/>
        <v/>
      </c>
      <c r="AV117" s="1114" t="str">
        <f t="shared" si="219"/>
        <v/>
      </c>
      <c r="AW117" s="1114" t="str">
        <f t="shared" si="220"/>
        <v>X</v>
      </c>
      <c r="AX117" s="1114" t="str">
        <f t="shared" si="221"/>
        <v/>
      </c>
      <c r="AY117" s="1113" t="str">
        <f t="shared" si="222"/>
        <v/>
      </c>
      <c r="AZ117" s="1114" t="str">
        <f t="shared" si="223"/>
        <v/>
      </c>
      <c r="BA117" s="1114" t="str">
        <f t="shared" si="224"/>
        <v>X</v>
      </c>
      <c r="BB117" s="1704" t="str">
        <f t="shared" si="225"/>
        <v/>
      </c>
      <c r="BC117" s="1113" t="str">
        <f t="shared" si="226"/>
        <v/>
      </c>
      <c r="BD117" s="1114" t="str">
        <f t="shared" si="227"/>
        <v/>
      </c>
      <c r="BE117" s="1114" t="str">
        <f t="shared" si="228"/>
        <v>X</v>
      </c>
      <c r="BF117" s="1114" t="str">
        <f t="shared" si="229"/>
        <v/>
      </c>
      <c r="BG117" s="1114" t="str">
        <f t="shared" si="189"/>
        <v/>
      </c>
      <c r="BH117" s="1114" t="str">
        <f t="shared" si="190"/>
        <v/>
      </c>
      <c r="BI117" s="1114" t="str">
        <f t="shared" si="191"/>
        <v/>
      </c>
      <c r="BJ117" s="1115" t="str">
        <f t="shared" si="192"/>
        <v/>
      </c>
      <c r="BL117" s="1885"/>
    </row>
    <row r="118" spans="1:64" ht="13.9" customHeight="1" x14ac:dyDescent="0.25">
      <c r="A118" s="1918">
        <f>Chem!A118</f>
        <v>116</v>
      </c>
      <c r="B118" s="1880" t="str">
        <f>Chem!B118</f>
        <v>1,4-Dioxane</v>
      </c>
      <c r="C118" s="394" t="str">
        <f>Param!AK118</f>
        <v>no</v>
      </c>
      <c r="D118" s="317" t="str">
        <f>IF(ISNUMBER(Param!AN118),Param!AN118,Param!AM118)</f>
        <v>na</v>
      </c>
      <c r="E118" s="273" t="s">
        <v>232</v>
      </c>
      <c r="F118" s="643" t="s">
        <v>232</v>
      </c>
      <c r="G118" s="550" t="s">
        <v>232</v>
      </c>
      <c r="H118" s="550" t="s">
        <v>232</v>
      </c>
      <c r="I118" s="273" t="s">
        <v>232</v>
      </c>
      <c r="J118" s="273" t="s">
        <v>232</v>
      </c>
      <c r="K118" s="219" t="str">
        <f>IF(C118="YES",'SD-Eq'!V118,"na")</f>
        <v>na</v>
      </c>
      <c r="L118" s="273" t="str">
        <f>IF(C118="YES",'SD-Eq'!Z118,"na")</f>
        <v>na</v>
      </c>
      <c r="M118" s="435" t="str">
        <f t="shared" si="165"/>
        <v>na</v>
      </c>
      <c r="N118" s="273" t="str">
        <f t="shared" si="166"/>
        <v>na</v>
      </c>
      <c r="O118" s="1794" t="str">
        <f t="shared" si="215"/>
        <v>na</v>
      </c>
      <c r="P118" s="1789" t="str">
        <f t="shared" si="216"/>
        <v>na</v>
      </c>
      <c r="Q118" s="418" t="s">
        <v>232</v>
      </c>
      <c r="R118" s="418" t="s">
        <v>232</v>
      </c>
      <c r="S118" s="418" t="s">
        <v>232</v>
      </c>
      <c r="T118" s="418" t="s">
        <v>232</v>
      </c>
      <c r="U118" s="418" t="s">
        <v>232</v>
      </c>
      <c r="V118" s="418" t="s">
        <v>232</v>
      </c>
      <c r="W118" s="418" t="str">
        <f t="shared" si="217"/>
        <v>na</v>
      </c>
      <c r="X118" s="418" t="s">
        <v>232</v>
      </c>
      <c r="Y118" s="1884" t="str">
        <f t="shared" si="170"/>
        <v>na</v>
      </c>
      <c r="Z118" s="1884" t="str">
        <f t="shared" si="171"/>
        <v>na</v>
      </c>
      <c r="AA118" s="1789" t="s">
        <v>232</v>
      </c>
      <c r="AB118" s="1789" t="s">
        <v>232</v>
      </c>
      <c r="AC118" s="273" t="s">
        <v>232</v>
      </c>
      <c r="AD118" s="273" t="s">
        <v>232</v>
      </c>
      <c r="AE118" s="273" t="s">
        <v>232</v>
      </c>
      <c r="AF118" s="273" t="s">
        <v>232</v>
      </c>
      <c r="AG118" s="273" t="s">
        <v>232</v>
      </c>
      <c r="AH118" s="273" t="s">
        <v>232</v>
      </c>
      <c r="AI118" s="273" t="s">
        <v>232</v>
      </c>
      <c r="AJ118" s="273" t="s">
        <v>232</v>
      </c>
      <c r="AK118" s="273" t="s">
        <v>232</v>
      </c>
      <c r="AL118" s="273" t="s">
        <v>232</v>
      </c>
      <c r="AM118" s="273" t="s">
        <v>232</v>
      </c>
      <c r="AN118" s="273" t="str">
        <f t="shared" si="230"/>
        <v>na</v>
      </c>
      <c r="AO118" s="273" t="str">
        <f t="shared" si="173"/>
        <v>na</v>
      </c>
      <c r="AP118" s="273" t="str">
        <f t="shared" si="174"/>
        <v>na</v>
      </c>
      <c r="AQ118" s="273" t="str">
        <f t="shared" si="175"/>
        <v>na</v>
      </c>
      <c r="AR118" s="1789" t="str">
        <f t="shared" si="231"/>
        <v>na</v>
      </c>
      <c r="AS118" s="1051"/>
      <c r="AU118" s="1332" t="str">
        <f t="shared" si="218"/>
        <v/>
      </c>
      <c r="AV118" s="1114" t="str">
        <f t="shared" si="219"/>
        <v/>
      </c>
      <c r="AW118" s="1114" t="str">
        <f t="shared" si="220"/>
        <v/>
      </c>
      <c r="AX118" s="1114" t="str">
        <f t="shared" si="221"/>
        <v/>
      </c>
      <c r="AY118" s="1113" t="str">
        <f t="shared" si="222"/>
        <v/>
      </c>
      <c r="AZ118" s="1114" t="str">
        <f t="shared" si="223"/>
        <v/>
      </c>
      <c r="BA118" s="1114" t="str">
        <f t="shared" si="224"/>
        <v/>
      </c>
      <c r="BB118" s="1704" t="str">
        <f t="shared" si="225"/>
        <v/>
      </c>
      <c r="BC118" s="1113" t="str">
        <f t="shared" si="226"/>
        <v/>
      </c>
      <c r="BD118" s="1114" t="str">
        <f t="shared" si="227"/>
        <v/>
      </c>
      <c r="BE118" s="1114" t="str">
        <f t="shared" si="228"/>
        <v/>
      </c>
      <c r="BF118" s="1114" t="str">
        <f t="shared" si="229"/>
        <v/>
      </c>
      <c r="BG118" s="1114" t="str">
        <f t="shared" si="189"/>
        <v/>
      </c>
      <c r="BH118" s="1114" t="str">
        <f t="shared" si="190"/>
        <v/>
      </c>
      <c r="BI118" s="1114" t="str">
        <f t="shared" si="191"/>
        <v/>
      </c>
      <c r="BJ118" s="1115" t="str">
        <f t="shared" si="192"/>
        <v/>
      </c>
      <c r="BL118" s="1885"/>
    </row>
    <row r="119" spans="1:64" ht="13.9" customHeight="1" x14ac:dyDescent="0.25">
      <c r="A119" s="1918">
        <f>Chem!A119</f>
        <v>117</v>
      </c>
      <c r="B119" s="1880" t="str">
        <f>Chem!B119</f>
        <v>1,2-Diphenylhydrazine</v>
      </c>
      <c r="C119" s="394" t="str">
        <f>Param!AK119</f>
        <v>no</v>
      </c>
      <c r="D119" s="317" t="str">
        <f>IF(ISNUMBER(Param!AN119),Param!AN119,Param!AM119)</f>
        <v>na</v>
      </c>
      <c r="E119" s="273" t="s">
        <v>232</v>
      </c>
      <c r="F119" s="643" t="s">
        <v>232</v>
      </c>
      <c r="G119" s="550" t="s">
        <v>232</v>
      </c>
      <c r="H119" s="550" t="s">
        <v>232</v>
      </c>
      <c r="I119" s="273" t="s">
        <v>232</v>
      </c>
      <c r="J119" s="273" t="s">
        <v>232</v>
      </c>
      <c r="K119" s="219" t="str">
        <f>IF(C119="YES",'SD-Eq'!V119,"na")</f>
        <v>na</v>
      </c>
      <c r="L119" s="273" t="str">
        <f>IF(C119="YES",'SD-Eq'!Z119,"na")</f>
        <v>na</v>
      </c>
      <c r="M119" s="435" t="str">
        <f t="shared" si="165"/>
        <v>na</v>
      </c>
      <c r="N119" s="273" t="str">
        <f t="shared" si="166"/>
        <v>na</v>
      </c>
      <c r="O119" s="1794" t="str">
        <f t="shared" si="215"/>
        <v>na</v>
      </c>
      <c r="P119" s="1789" t="str">
        <f t="shared" si="216"/>
        <v>na</v>
      </c>
      <c r="Q119" s="418" t="s">
        <v>232</v>
      </c>
      <c r="R119" s="418" t="s">
        <v>232</v>
      </c>
      <c r="S119" s="418" t="s">
        <v>232</v>
      </c>
      <c r="T119" s="418" t="s">
        <v>232</v>
      </c>
      <c r="U119" s="418" t="s">
        <v>232</v>
      </c>
      <c r="V119" s="418" t="s">
        <v>232</v>
      </c>
      <c r="W119" s="418" t="str">
        <f t="shared" si="217"/>
        <v>na</v>
      </c>
      <c r="X119" s="418" t="s">
        <v>232</v>
      </c>
      <c r="Y119" s="1884" t="str">
        <f t="shared" si="170"/>
        <v>na</v>
      </c>
      <c r="Z119" s="1884" t="str">
        <f t="shared" si="171"/>
        <v>na</v>
      </c>
      <c r="AA119" s="1789" t="s">
        <v>232</v>
      </c>
      <c r="AB119" s="1789" t="s">
        <v>232</v>
      </c>
      <c r="AC119" s="273" t="s">
        <v>232</v>
      </c>
      <c r="AD119" s="273" t="s">
        <v>232</v>
      </c>
      <c r="AE119" s="273" t="s">
        <v>232</v>
      </c>
      <c r="AF119" s="273" t="s">
        <v>232</v>
      </c>
      <c r="AG119" s="273" t="s">
        <v>232</v>
      </c>
      <c r="AH119" s="273" t="s">
        <v>232</v>
      </c>
      <c r="AI119" s="273" t="s">
        <v>232</v>
      </c>
      <c r="AJ119" s="273" t="s">
        <v>232</v>
      </c>
      <c r="AK119" s="273" t="s">
        <v>232</v>
      </c>
      <c r="AL119" s="273" t="s">
        <v>232</v>
      </c>
      <c r="AM119" s="273" t="s">
        <v>232</v>
      </c>
      <c r="AN119" s="273" t="str">
        <f t="shared" si="230"/>
        <v>na</v>
      </c>
      <c r="AO119" s="273" t="str">
        <f t="shared" si="173"/>
        <v>na</v>
      </c>
      <c r="AP119" s="273" t="str">
        <f t="shared" si="174"/>
        <v>na</v>
      </c>
      <c r="AQ119" s="273" t="str">
        <f t="shared" si="175"/>
        <v>na</v>
      </c>
      <c r="AR119" s="1789" t="str">
        <f t="shared" si="231"/>
        <v>na</v>
      </c>
      <c r="AS119" s="1051"/>
      <c r="AU119" s="1332" t="str">
        <f t="shared" si="218"/>
        <v/>
      </c>
      <c r="AV119" s="1114" t="str">
        <f t="shared" si="219"/>
        <v/>
      </c>
      <c r="AW119" s="1114" t="str">
        <f t="shared" si="220"/>
        <v/>
      </c>
      <c r="AX119" s="1114" t="str">
        <f t="shared" si="221"/>
        <v/>
      </c>
      <c r="AY119" s="1113" t="str">
        <f t="shared" si="222"/>
        <v/>
      </c>
      <c r="AZ119" s="1114" t="str">
        <f t="shared" si="223"/>
        <v/>
      </c>
      <c r="BA119" s="1114" t="str">
        <f t="shared" si="224"/>
        <v/>
      </c>
      <c r="BB119" s="1704" t="str">
        <f t="shared" si="225"/>
        <v/>
      </c>
      <c r="BC119" s="1113" t="str">
        <f t="shared" si="226"/>
        <v/>
      </c>
      <c r="BD119" s="1114" t="str">
        <f t="shared" si="227"/>
        <v/>
      </c>
      <c r="BE119" s="1114" t="str">
        <f t="shared" si="228"/>
        <v/>
      </c>
      <c r="BF119" s="1114" t="str">
        <f t="shared" si="229"/>
        <v/>
      </c>
      <c r="BG119" s="1114" t="str">
        <f t="shared" si="189"/>
        <v/>
      </c>
      <c r="BH119" s="1114" t="str">
        <f t="shared" si="190"/>
        <v/>
      </c>
      <c r="BI119" s="1114" t="str">
        <f t="shared" si="191"/>
        <v/>
      </c>
      <c r="BJ119" s="1115" t="str">
        <f t="shared" si="192"/>
        <v/>
      </c>
      <c r="BL119" s="1885"/>
    </row>
    <row r="120" spans="1:64" ht="13.9" customHeight="1" x14ac:dyDescent="0.25">
      <c r="A120" s="1917">
        <f>Chem!A120</f>
        <v>118</v>
      </c>
      <c r="B120" s="1880" t="str">
        <f>Chem!B120</f>
        <v>Hexachlorobenzene</v>
      </c>
      <c r="C120" s="394" t="str">
        <f>Param!AK120</f>
        <v>YES</v>
      </c>
      <c r="D120" s="317" t="str">
        <f>IF(ISNUMBER(Param!AN120),Param!AN120,Param!AM120)</f>
        <v>na</v>
      </c>
      <c r="E120" s="273" t="s">
        <v>232</v>
      </c>
      <c r="F120" s="643">
        <v>1E-3</v>
      </c>
      <c r="G120" s="550">
        <v>0.38</v>
      </c>
      <c r="H120" s="550">
        <v>2.1999999999999999E-2</v>
      </c>
      <c r="I120" s="273">
        <v>2.2999999999999998</v>
      </c>
      <c r="J120" s="273">
        <v>7.0000000000000007E-2</v>
      </c>
      <c r="K120" s="219">
        <f>IF(C120="YES",'SD-Eq'!V120,"na")</f>
        <v>1.82232666015625</v>
      </c>
      <c r="L120" s="273">
        <f>IF(C120="YES",'SD-Eq'!Z120,"na")</f>
        <v>18.223266601562504</v>
      </c>
      <c r="M120" s="435">
        <f t="shared" si="165"/>
        <v>1E-3</v>
      </c>
      <c r="N120" s="273">
        <f t="shared" si="166"/>
        <v>1E-3</v>
      </c>
      <c r="O120" s="1794">
        <f t="shared" si="215"/>
        <v>1E-3</v>
      </c>
      <c r="P120" s="1789">
        <f t="shared" si="216"/>
        <v>1E-3</v>
      </c>
      <c r="Q120" s="418" t="s">
        <v>232</v>
      </c>
      <c r="R120" s="418" t="s">
        <v>232</v>
      </c>
      <c r="S120" s="418" t="s">
        <v>232</v>
      </c>
      <c r="T120" s="418" t="s">
        <v>232</v>
      </c>
      <c r="U120" s="418" t="s">
        <v>232</v>
      </c>
      <c r="V120" s="418">
        <v>0.38</v>
      </c>
      <c r="W120" s="418">
        <f t="shared" si="217"/>
        <v>2.1999999999999999E-2</v>
      </c>
      <c r="X120" s="418" t="s">
        <v>232</v>
      </c>
      <c r="Y120" s="1884" t="str">
        <f t="shared" si="170"/>
        <v>na</v>
      </c>
      <c r="Z120" s="1886">
        <f t="shared" si="171"/>
        <v>2.1999999999999999E-2</v>
      </c>
      <c r="AA120" s="1887">
        <f>$H120</f>
        <v>2.1999999999999999E-2</v>
      </c>
      <c r="AB120" s="1887">
        <f>$H120</f>
        <v>2.1999999999999999E-2</v>
      </c>
      <c r="AC120" s="1887">
        <f>2*$H120</f>
        <v>4.3999999999999997E-2</v>
      </c>
      <c r="AD120" s="1887">
        <f>6*$H120</f>
        <v>0.13200000000000001</v>
      </c>
      <c r="AE120" s="298" t="s">
        <v>232</v>
      </c>
      <c r="AF120" s="298" t="s">
        <v>232</v>
      </c>
      <c r="AG120" s="1887">
        <f>$H120</f>
        <v>2.1999999999999999E-2</v>
      </c>
      <c r="AH120" s="1887">
        <f>$H120</f>
        <v>2.1999999999999999E-2</v>
      </c>
      <c r="AI120" s="1887">
        <f>2*$H120</f>
        <v>4.3999999999999997E-2</v>
      </c>
      <c r="AJ120" s="1887">
        <f>6*$H120</f>
        <v>0.13200000000000001</v>
      </c>
      <c r="AK120" s="298" t="s">
        <v>232</v>
      </c>
      <c r="AL120" s="298" t="s">
        <v>232</v>
      </c>
      <c r="AM120" s="1887">
        <f>$H120</f>
        <v>2.1999999999999999E-2</v>
      </c>
      <c r="AN120" s="298">
        <f t="shared" si="230"/>
        <v>2.1999999999999999E-2</v>
      </c>
      <c r="AO120" s="298">
        <f t="shared" si="173"/>
        <v>4.3999999999999997E-2</v>
      </c>
      <c r="AP120" s="298">
        <f t="shared" si="174"/>
        <v>2.1999999999999999E-2</v>
      </c>
      <c r="AQ120" s="298">
        <f t="shared" si="175"/>
        <v>4.3999999999999997E-2</v>
      </c>
      <c r="AR120" s="1887">
        <f t="shared" si="231"/>
        <v>2.1999999999999999E-2</v>
      </c>
      <c r="AS120" s="1051"/>
      <c r="AU120" s="1332" t="str">
        <f t="shared" si="218"/>
        <v/>
      </c>
      <c r="AV120" s="1114" t="str">
        <f t="shared" si="219"/>
        <v>X</v>
      </c>
      <c r="AW120" s="1114" t="str">
        <f t="shared" si="220"/>
        <v/>
      </c>
      <c r="AX120" s="1114" t="str">
        <f t="shared" si="221"/>
        <v/>
      </c>
      <c r="AY120" s="1113" t="str">
        <f t="shared" si="222"/>
        <v/>
      </c>
      <c r="AZ120" s="1114" t="str">
        <f t="shared" si="223"/>
        <v>X</v>
      </c>
      <c r="BA120" s="1114" t="str">
        <f t="shared" si="224"/>
        <v/>
      </c>
      <c r="BB120" s="1704" t="str">
        <f t="shared" si="225"/>
        <v/>
      </c>
      <c r="BC120" s="1113" t="str">
        <f t="shared" si="226"/>
        <v/>
      </c>
      <c r="BD120" s="1114" t="str">
        <f t="shared" si="227"/>
        <v/>
      </c>
      <c r="BE120" s="1114" t="str">
        <f t="shared" si="228"/>
        <v>X</v>
      </c>
      <c r="BF120" s="1114" t="str">
        <f t="shared" si="229"/>
        <v/>
      </c>
      <c r="BG120" s="1114" t="str">
        <f t="shared" si="189"/>
        <v/>
      </c>
      <c r="BH120" s="1114" t="str">
        <f t="shared" si="190"/>
        <v/>
      </c>
      <c r="BI120" s="1114" t="str">
        <f t="shared" si="191"/>
        <v>X</v>
      </c>
      <c r="BJ120" s="1115" t="str">
        <f t="shared" si="192"/>
        <v/>
      </c>
      <c r="BL120" s="1885"/>
    </row>
    <row r="121" spans="1:64" ht="13.9" customHeight="1" x14ac:dyDescent="0.25">
      <c r="A121" s="1917">
        <f>Chem!A121</f>
        <v>119</v>
      </c>
      <c r="B121" s="1880" t="str">
        <f>Chem!B121</f>
        <v>Hexachlorobutadiene</v>
      </c>
      <c r="C121" s="394" t="str">
        <f>Param!AK121</f>
        <v>no</v>
      </c>
      <c r="D121" s="317" t="str">
        <f>IF(ISNUMBER(Param!AN121),Param!AN121,Param!AM121)</f>
        <v>na</v>
      </c>
      <c r="E121" s="273" t="s">
        <v>232</v>
      </c>
      <c r="F121" s="643">
        <v>2.9999999999999997E-4</v>
      </c>
      <c r="G121" s="550">
        <v>3.9</v>
      </c>
      <c r="H121" s="550">
        <v>1.0999999999999999E-2</v>
      </c>
      <c r="I121" s="273">
        <v>6.2</v>
      </c>
      <c r="J121" s="273">
        <v>0.12</v>
      </c>
      <c r="K121" s="219" t="str">
        <f>IF(C121="YES",'SD-Eq'!V121,"na")</f>
        <v>na</v>
      </c>
      <c r="L121" s="273" t="str">
        <f>IF(C121="YES",'SD-Eq'!Z121,"na")</f>
        <v>na</v>
      </c>
      <c r="M121" s="435" t="str">
        <f t="shared" si="165"/>
        <v>na</v>
      </c>
      <c r="N121" s="273" t="str">
        <f t="shared" si="166"/>
        <v>na</v>
      </c>
      <c r="O121" s="1794">
        <f t="shared" si="215"/>
        <v>1.0999999999999999E-2</v>
      </c>
      <c r="P121" s="1789">
        <f t="shared" si="216"/>
        <v>0.12</v>
      </c>
      <c r="Q121" s="418" t="s">
        <v>232</v>
      </c>
      <c r="R121" s="418" t="s">
        <v>232</v>
      </c>
      <c r="S121" s="418" t="s">
        <v>232</v>
      </c>
      <c r="T121" s="418" t="s">
        <v>232</v>
      </c>
      <c r="U121" s="418" t="s">
        <v>232</v>
      </c>
      <c r="V121" s="418" t="s">
        <v>232</v>
      </c>
      <c r="W121" s="418" t="str">
        <f t="shared" si="217"/>
        <v>na</v>
      </c>
      <c r="X121" s="418" t="s">
        <v>232</v>
      </c>
      <c r="Y121" s="1884" t="str">
        <f t="shared" si="170"/>
        <v>na</v>
      </c>
      <c r="Z121" s="1884">
        <f t="shared" si="171"/>
        <v>1.0999999999999999E-2</v>
      </c>
      <c r="AA121" s="1789" t="s">
        <v>232</v>
      </c>
      <c r="AB121" s="1789" t="s">
        <v>232</v>
      </c>
      <c r="AC121" s="273" t="s">
        <v>232</v>
      </c>
      <c r="AD121" s="273" t="s">
        <v>232</v>
      </c>
      <c r="AE121" s="273" t="s">
        <v>232</v>
      </c>
      <c r="AF121" s="273" t="s">
        <v>232</v>
      </c>
      <c r="AG121" s="1789" t="s">
        <v>232</v>
      </c>
      <c r="AH121" s="1789" t="s">
        <v>232</v>
      </c>
      <c r="AI121" s="273" t="s">
        <v>232</v>
      </c>
      <c r="AJ121" s="273" t="s">
        <v>232</v>
      </c>
      <c r="AK121" s="273" t="s">
        <v>232</v>
      </c>
      <c r="AL121" s="273" t="s">
        <v>232</v>
      </c>
      <c r="AM121" s="1789" t="s">
        <v>232</v>
      </c>
      <c r="AN121" s="273" t="str">
        <f t="shared" si="230"/>
        <v>na</v>
      </c>
      <c r="AO121" s="273" t="str">
        <f t="shared" si="173"/>
        <v>na</v>
      </c>
      <c r="AP121" s="273" t="str">
        <f t="shared" si="174"/>
        <v>na</v>
      </c>
      <c r="AQ121" s="273" t="str">
        <f t="shared" si="175"/>
        <v>na</v>
      </c>
      <c r="AR121" s="1789" t="str">
        <f t="shared" si="231"/>
        <v>na</v>
      </c>
      <c r="AS121" s="1051"/>
      <c r="AU121" s="1332" t="str">
        <f t="shared" si="218"/>
        <v/>
      </c>
      <c r="AV121" s="1114" t="str">
        <f t="shared" si="219"/>
        <v/>
      </c>
      <c r="AW121" s="1114" t="str">
        <f t="shared" si="220"/>
        <v>X</v>
      </c>
      <c r="AX121" s="1114" t="str">
        <f t="shared" si="221"/>
        <v/>
      </c>
      <c r="AY121" s="1113" t="str">
        <f t="shared" si="222"/>
        <v/>
      </c>
      <c r="AZ121" s="1114" t="str">
        <f t="shared" si="223"/>
        <v/>
      </c>
      <c r="BA121" s="1114" t="str">
        <f t="shared" si="224"/>
        <v>X</v>
      </c>
      <c r="BB121" s="1704" t="str">
        <f t="shared" si="225"/>
        <v/>
      </c>
      <c r="BC121" s="1113" t="str">
        <f t="shared" si="226"/>
        <v/>
      </c>
      <c r="BD121" s="1114" t="str">
        <f t="shared" si="227"/>
        <v/>
      </c>
      <c r="BE121" s="1114" t="str">
        <f t="shared" si="228"/>
        <v>X</v>
      </c>
      <c r="BF121" s="1114" t="str">
        <f t="shared" si="229"/>
        <v/>
      </c>
      <c r="BG121" s="1114" t="str">
        <f t="shared" si="189"/>
        <v/>
      </c>
      <c r="BH121" s="1114" t="str">
        <f t="shared" si="190"/>
        <v/>
      </c>
      <c r="BI121" s="1114" t="str">
        <f t="shared" si="191"/>
        <v/>
      </c>
      <c r="BJ121" s="1115" t="str">
        <f t="shared" si="192"/>
        <v/>
      </c>
      <c r="BL121" s="1885"/>
    </row>
    <row r="122" spans="1:64" ht="13.9" customHeight="1" x14ac:dyDescent="0.25">
      <c r="A122" s="1917">
        <f>Chem!A122</f>
        <v>120</v>
      </c>
      <c r="B122" s="1880" t="str">
        <f>Chem!B122</f>
        <v>Hexachlorocyclopentadiene</v>
      </c>
      <c r="C122" s="394" t="str">
        <f>Param!AK122</f>
        <v>no</v>
      </c>
      <c r="D122" s="317" t="str">
        <f>IF(ISNUMBER(Param!AN122),Param!AN122,Param!AM122)</f>
        <v>na</v>
      </c>
      <c r="E122" s="273" t="s">
        <v>232</v>
      </c>
      <c r="F122" s="643" t="s">
        <v>232</v>
      </c>
      <c r="G122" s="550" t="s">
        <v>232</v>
      </c>
      <c r="H122" s="550" t="s">
        <v>232</v>
      </c>
      <c r="I122" s="273" t="s">
        <v>232</v>
      </c>
      <c r="J122" s="273" t="s">
        <v>232</v>
      </c>
      <c r="K122" s="219" t="str">
        <f>IF(C122="YES",'SD-Eq'!V122,"na")</f>
        <v>na</v>
      </c>
      <c r="L122" s="273" t="str">
        <f>IF(C122="YES",'SD-Eq'!Z122,"na")</f>
        <v>na</v>
      </c>
      <c r="M122" s="435" t="str">
        <f t="shared" si="165"/>
        <v>na</v>
      </c>
      <c r="N122" s="273" t="str">
        <f t="shared" si="166"/>
        <v>na</v>
      </c>
      <c r="O122" s="1794" t="str">
        <f t="shared" si="215"/>
        <v>na</v>
      </c>
      <c r="P122" s="1789" t="str">
        <f t="shared" si="216"/>
        <v>na</v>
      </c>
      <c r="Q122" s="418" t="s">
        <v>232</v>
      </c>
      <c r="R122" s="418" t="s">
        <v>232</v>
      </c>
      <c r="S122" s="418" t="s">
        <v>232</v>
      </c>
      <c r="T122" s="418" t="s">
        <v>232</v>
      </c>
      <c r="U122" s="418" t="s">
        <v>232</v>
      </c>
      <c r="V122" s="418" t="s">
        <v>232</v>
      </c>
      <c r="W122" s="418" t="str">
        <f t="shared" si="217"/>
        <v>na</v>
      </c>
      <c r="X122" s="418" t="s">
        <v>232</v>
      </c>
      <c r="Y122" s="1884" t="str">
        <f t="shared" si="170"/>
        <v>na</v>
      </c>
      <c r="Z122" s="1884" t="str">
        <f t="shared" si="171"/>
        <v>na</v>
      </c>
      <c r="AA122" s="1789" t="s">
        <v>232</v>
      </c>
      <c r="AB122" s="1789" t="s">
        <v>232</v>
      </c>
      <c r="AC122" s="273" t="s">
        <v>232</v>
      </c>
      <c r="AD122" s="273" t="s">
        <v>232</v>
      </c>
      <c r="AE122" s="273" t="s">
        <v>232</v>
      </c>
      <c r="AF122" s="273" t="s">
        <v>232</v>
      </c>
      <c r="AG122" s="1789" t="s">
        <v>232</v>
      </c>
      <c r="AH122" s="1789" t="s">
        <v>232</v>
      </c>
      <c r="AI122" s="273" t="s">
        <v>232</v>
      </c>
      <c r="AJ122" s="273" t="s">
        <v>232</v>
      </c>
      <c r="AK122" s="273" t="s">
        <v>232</v>
      </c>
      <c r="AL122" s="273" t="s">
        <v>232</v>
      </c>
      <c r="AM122" s="1789" t="s">
        <v>232</v>
      </c>
      <c r="AN122" s="273" t="str">
        <f t="shared" si="230"/>
        <v>na</v>
      </c>
      <c r="AO122" s="273" t="str">
        <f t="shared" si="173"/>
        <v>na</v>
      </c>
      <c r="AP122" s="273" t="str">
        <f t="shared" si="174"/>
        <v>na</v>
      </c>
      <c r="AQ122" s="273" t="str">
        <f t="shared" si="175"/>
        <v>na</v>
      </c>
      <c r="AR122" s="1789" t="str">
        <f t="shared" si="231"/>
        <v>na</v>
      </c>
      <c r="AS122" s="1051"/>
      <c r="AU122" s="1332" t="str">
        <f t="shared" si="218"/>
        <v/>
      </c>
      <c r="AV122" s="1114" t="str">
        <f t="shared" si="219"/>
        <v/>
      </c>
      <c r="AW122" s="1114" t="str">
        <f t="shared" si="220"/>
        <v/>
      </c>
      <c r="AX122" s="1114" t="str">
        <f t="shared" si="221"/>
        <v/>
      </c>
      <c r="AY122" s="1113" t="str">
        <f t="shared" si="222"/>
        <v/>
      </c>
      <c r="AZ122" s="1114" t="str">
        <f t="shared" si="223"/>
        <v/>
      </c>
      <c r="BA122" s="1114" t="str">
        <f t="shared" si="224"/>
        <v/>
      </c>
      <c r="BB122" s="1704" t="str">
        <f t="shared" si="225"/>
        <v/>
      </c>
      <c r="BC122" s="1113" t="str">
        <f t="shared" si="226"/>
        <v/>
      </c>
      <c r="BD122" s="1114" t="str">
        <f t="shared" si="227"/>
        <v/>
      </c>
      <c r="BE122" s="1114" t="str">
        <f t="shared" si="228"/>
        <v/>
      </c>
      <c r="BF122" s="1114" t="str">
        <f t="shared" si="229"/>
        <v/>
      </c>
      <c r="BG122" s="1114" t="str">
        <f t="shared" si="189"/>
        <v/>
      </c>
      <c r="BH122" s="1114" t="str">
        <f t="shared" si="190"/>
        <v/>
      </c>
      <c r="BI122" s="1114" t="str">
        <f t="shared" si="191"/>
        <v/>
      </c>
      <c r="BJ122" s="1115" t="str">
        <f t="shared" si="192"/>
        <v/>
      </c>
      <c r="BL122" s="1885"/>
    </row>
    <row r="123" spans="1:64" ht="13.9" customHeight="1" x14ac:dyDescent="0.25">
      <c r="A123" s="1917">
        <f>Chem!A123</f>
        <v>121</v>
      </c>
      <c r="B123" s="1880" t="str">
        <f>Chem!B123</f>
        <v>Hexachloroethane</v>
      </c>
      <c r="C123" s="394" t="str">
        <f>Param!AK123</f>
        <v>no</v>
      </c>
      <c r="D123" s="317" t="str">
        <f>IF(ISNUMBER(Param!AN123),Param!AN123,Param!AM123)</f>
        <v>na</v>
      </c>
      <c r="E123" s="273" t="s">
        <v>232</v>
      </c>
      <c r="F123" s="643">
        <v>1E-3</v>
      </c>
      <c r="G123" s="550" t="s">
        <v>232</v>
      </c>
      <c r="H123" s="550" t="s">
        <v>232</v>
      </c>
      <c r="I123" s="273" t="s">
        <v>232</v>
      </c>
      <c r="J123" s="273" t="s">
        <v>232</v>
      </c>
      <c r="K123" s="219" t="str">
        <f>IF(C123="YES",'SD-Eq'!V123,"na")</f>
        <v>na</v>
      </c>
      <c r="L123" s="273" t="str">
        <f>IF(C123="YES",'SD-Eq'!Z123,"na")</f>
        <v>na</v>
      </c>
      <c r="M123" s="435" t="str">
        <f t="shared" si="165"/>
        <v>na</v>
      </c>
      <c r="N123" s="273" t="str">
        <f t="shared" si="166"/>
        <v>na</v>
      </c>
      <c r="O123" s="1794" t="str">
        <f t="shared" si="215"/>
        <v>na</v>
      </c>
      <c r="P123" s="1789" t="str">
        <f t="shared" si="216"/>
        <v>na</v>
      </c>
      <c r="Q123" s="418" t="s">
        <v>232</v>
      </c>
      <c r="R123" s="418" t="s">
        <v>232</v>
      </c>
      <c r="S123" s="418" t="s">
        <v>232</v>
      </c>
      <c r="T123" s="418" t="s">
        <v>232</v>
      </c>
      <c r="U123" s="418" t="s">
        <v>232</v>
      </c>
      <c r="V123" s="418" t="s">
        <v>232</v>
      </c>
      <c r="W123" s="418" t="str">
        <f t="shared" si="217"/>
        <v>na</v>
      </c>
      <c r="X123" s="418" t="s">
        <v>232</v>
      </c>
      <c r="Y123" s="1884" t="str">
        <f t="shared" si="170"/>
        <v>na</v>
      </c>
      <c r="Z123" s="1884" t="str">
        <f t="shared" si="171"/>
        <v>na</v>
      </c>
      <c r="AA123" s="1789" t="s">
        <v>232</v>
      </c>
      <c r="AB123" s="1789" t="s">
        <v>232</v>
      </c>
      <c r="AC123" s="273" t="s">
        <v>232</v>
      </c>
      <c r="AD123" s="273" t="s">
        <v>232</v>
      </c>
      <c r="AE123" s="273" t="s">
        <v>232</v>
      </c>
      <c r="AF123" s="273" t="s">
        <v>232</v>
      </c>
      <c r="AG123" s="1789" t="s">
        <v>232</v>
      </c>
      <c r="AH123" s="1789" t="s">
        <v>232</v>
      </c>
      <c r="AI123" s="273" t="s">
        <v>232</v>
      </c>
      <c r="AJ123" s="273" t="s">
        <v>232</v>
      </c>
      <c r="AK123" s="273" t="s">
        <v>232</v>
      </c>
      <c r="AL123" s="273" t="s">
        <v>232</v>
      </c>
      <c r="AM123" s="1789" t="s">
        <v>232</v>
      </c>
      <c r="AN123" s="273" t="str">
        <f t="shared" si="230"/>
        <v>na</v>
      </c>
      <c r="AO123" s="273" t="str">
        <f t="shared" si="173"/>
        <v>na</v>
      </c>
      <c r="AP123" s="273" t="str">
        <f t="shared" si="174"/>
        <v>na</v>
      </c>
      <c r="AQ123" s="273" t="str">
        <f t="shared" si="175"/>
        <v>na</v>
      </c>
      <c r="AR123" s="1789" t="str">
        <f t="shared" si="231"/>
        <v>na</v>
      </c>
      <c r="AS123" s="1051"/>
      <c r="AU123" s="1332" t="str">
        <f t="shared" si="218"/>
        <v/>
      </c>
      <c r="AV123" s="1114" t="str">
        <f t="shared" si="219"/>
        <v/>
      </c>
      <c r="AW123" s="1114" t="str">
        <f t="shared" si="220"/>
        <v/>
      </c>
      <c r="AX123" s="1114" t="str">
        <f t="shared" si="221"/>
        <v/>
      </c>
      <c r="AY123" s="1113" t="str">
        <f t="shared" si="222"/>
        <v/>
      </c>
      <c r="AZ123" s="1114" t="str">
        <f t="shared" si="223"/>
        <v/>
      </c>
      <c r="BA123" s="1114" t="str">
        <f t="shared" si="224"/>
        <v/>
      </c>
      <c r="BB123" s="1704" t="str">
        <f t="shared" si="225"/>
        <v/>
      </c>
      <c r="BC123" s="1113" t="str">
        <f t="shared" si="226"/>
        <v/>
      </c>
      <c r="BD123" s="1114" t="str">
        <f t="shared" si="227"/>
        <v/>
      </c>
      <c r="BE123" s="1114" t="str">
        <f t="shared" si="228"/>
        <v/>
      </c>
      <c r="BF123" s="1114" t="str">
        <f t="shared" si="229"/>
        <v/>
      </c>
      <c r="BG123" s="1114" t="str">
        <f t="shared" si="189"/>
        <v/>
      </c>
      <c r="BH123" s="1114" t="str">
        <f t="shared" si="190"/>
        <v/>
      </c>
      <c r="BI123" s="1114" t="str">
        <f t="shared" si="191"/>
        <v/>
      </c>
      <c r="BJ123" s="1115" t="str">
        <f t="shared" si="192"/>
        <v/>
      </c>
      <c r="BL123" s="1885"/>
    </row>
    <row r="124" spans="1:64" ht="13.9" customHeight="1" x14ac:dyDescent="0.25">
      <c r="A124" s="1917">
        <f>Chem!A124</f>
        <v>122</v>
      </c>
      <c r="B124" s="1880" t="str">
        <f>Chem!B124</f>
        <v>Isophorone</v>
      </c>
      <c r="C124" s="394" t="str">
        <f>Param!AK124</f>
        <v>no</v>
      </c>
      <c r="D124" s="317" t="str">
        <f>IF(ISNUMBER(Param!AN124),Param!AN124,Param!AM124)</f>
        <v>na</v>
      </c>
      <c r="E124" s="273" t="s">
        <v>232</v>
      </c>
      <c r="F124" s="643" t="s">
        <v>232</v>
      </c>
      <c r="G124" s="550" t="s">
        <v>232</v>
      </c>
      <c r="H124" s="550" t="s">
        <v>232</v>
      </c>
      <c r="I124" s="273" t="s">
        <v>232</v>
      </c>
      <c r="J124" s="273" t="s">
        <v>232</v>
      </c>
      <c r="K124" s="219" t="str">
        <f>IF(C124="YES",'SD-Eq'!V124,"na")</f>
        <v>na</v>
      </c>
      <c r="L124" s="273" t="str">
        <f>IF(C124="YES",'SD-Eq'!Z124,"na")</f>
        <v>na</v>
      </c>
      <c r="M124" s="435" t="str">
        <f t="shared" si="165"/>
        <v>na</v>
      </c>
      <c r="N124" s="273" t="str">
        <f t="shared" si="166"/>
        <v>na</v>
      </c>
      <c r="O124" s="1794" t="str">
        <f t="shared" si="215"/>
        <v>na</v>
      </c>
      <c r="P124" s="1789" t="str">
        <f t="shared" si="216"/>
        <v>na</v>
      </c>
      <c r="Q124" s="418" t="s">
        <v>232</v>
      </c>
      <c r="R124" s="418" t="s">
        <v>232</v>
      </c>
      <c r="S124" s="418" t="s">
        <v>232</v>
      </c>
      <c r="T124" s="418" t="s">
        <v>232</v>
      </c>
      <c r="U124" s="418" t="s">
        <v>232</v>
      </c>
      <c r="V124" s="418" t="s">
        <v>232</v>
      </c>
      <c r="W124" s="418" t="str">
        <f t="shared" si="217"/>
        <v>na</v>
      </c>
      <c r="X124" s="418" t="s">
        <v>232</v>
      </c>
      <c r="Y124" s="1884" t="str">
        <f t="shared" si="170"/>
        <v>na</v>
      </c>
      <c r="Z124" s="1884" t="str">
        <f t="shared" si="171"/>
        <v>na</v>
      </c>
      <c r="AA124" s="1789" t="s">
        <v>232</v>
      </c>
      <c r="AB124" s="1789" t="s">
        <v>232</v>
      </c>
      <c r="AC124" s="273" t="s">
        <v>232</v>
      </c>
      <c r="AD124" s="273" t="s">
        <v>232</v>
      </c>
      <c r="AE124" s="273" t="s">
        <v>232</v>
      </c>
      <c r="AF124" s="273" t="s">
        <v>232</v>
      </c>
      <c r="AG124" s="1789" t="s">
        <v>232</v>
      </c>
      <c r="AH124" s="1789" t="s">
        <v>232</v>
      </c>
      <c r="AI124" s="273" t="s">
        <v>232</v>
      </c>
      <c r="AJ124" s="273" t="s">
        <v>232</v>
      </c>
      <c r="AK124" s="273" t="s">
        <v>232</v>
      </c>
      <c r="AL124" s="273" t="s">
        <v>232</v>
      </c>
      <c r="AM124" s="1789" t="s">
        <v>232</v>
      </c>
      <c r="AN124" s="273" t="str">
        <f t="shared" si="230"/>
        <v>na</v>
      </c>
      <c r="AO124" s="273" t="str">
        <f t="shared" si="173"/>
        <v>na</v>
      </c>
      <c r="AP124" s="273" t="str">
        <f t="shared" si="174"/>
        <v>na</v>
      </c>
      <c r="AQ124" s="273" t="str">
        <f t="shared" si="175"/>
        <v>na</v>
      </c>
      <c r="AR124" s="1789" t="str">
        <f t="shared" si="231"/>
        <v>na</v>
      </c>
      <c r="AS124" s="1051"/>
      <c r="AU124" s="1332" t="str">
        <f t="shared" si="218"/>
        <v/>
      </c>
      <c r="AV124" s="1114" t="str">
        <f t="shared" si="219"/>
        <v/>
      </c>
      <c r="AW124" s="1114" t="str">
        <f t="shared" si="220"/>
        <v/>
      </c>
      <c r="AX124" s="1114" t="str">
        <f t="shared" si="221"/>
        <v/>
      </c>
      <c r="AY124" s="1113" t="str">
        <f t="shared" si="222"/>
        <v/>
      </c>
      <c r="AZ124" s="1114" t="str">
        <f t="shared" si="223"/>
        <v/>
      </c>
      <c r="BA124" s="1114" t="str">
        <f t="shared" si="224"/>
        <v/>
      </c>
      <c r="BB124" s="1704" t="str">
        <f t="shared" si="225"/>
        <v/>
      </c>
      <c r="BC124" s="1113" t="str">
        <f t="shared" si="226"/>
        <v/>
      </c>
      <c r="BD124" s="1114" t="str">
        <f t="shared" si="227"/>
        <v/>
      </c>
      <c r="BE124" s="1114" t="str">
        <f t="shared" si="228"/>
        <v/>
      </c>
      <c r="BF124" s="1114" t="str">
        <f t="shared" si="229"/>
        <v/>
      </c>
      <c r="BG124" s="1114" t="str">
        <f t="shared" si="189"/>
        <v/>
      </c>
      <c r="BH124" s="1114" t="str">
        <f t="shared" si="190"/>
        <v/>
      </c>
      <c r="BI124" s="1114" t="str">
        <f t="shared" si="191"/>
        <v/>
      </c>
      <c r="BJ124" s="1115" t="str">
        <f t="shared" si="192"/>
        <v/>
      </c>
      <c r="BL124" s="1885"/>
    </row>
    <row r="125" spans="1:64" ht="13.9" customHeight="1" x14ac:dyDescent="0.25">
      <c r="A125" s="1917">
        <f>Chem!A125</f>
        <v>123</v>
      </c>
      <c r="B125" s="1880" t="str">
        <f>Chem!B125</f>
        <v>2-Methoxynaphthalene</v>
      </c>
      <c r="C125" s="394" t="str">
        <f>Param!AK125</f>
        <v>no</v>
      </c>
      <c r="D125" s="317" t="str">
        <f>IF(ISNUMBER(Param!AN125),Param!AN125,Param!AM125)</f>
        <v>na</v>
      </c>
      <c r="E125" s="273" t="s">
        <v>232</v>
      </c>
      <c r="F125" s="643" t="s">
        <v>232</v>
      </c>
      <c r="G125" s="550" t="s">
        <v>232</v>
      </c>
      <c r="H125" s="550" t="s">
        <v>232</v>
      </c>
      <c r="I125" s="273" t="s">
        <v>232</v>
      </c>
      <c r="J125" s="273" t="s">
        <v>232</v>
      </c>
      <c r="K125" s="219" t="str">
        <f>IF(C125="YES",'SD-Eq'!V125,"na")</f>
        <v>na</v>
      </c>
      <c r="L125" s="273" t="str">
        <f>IF(C125="YES",'SD-Eq'!Z125,"na")</f>
        <v>na</v>
      </c>
      <c r="M125" s="435" t="str">
        <f t="shared" si="165"/>
        <v>na</v>
      </c>
      <c r="N125" s="273" t="str">
        <f t="shared" si="166"/>
        <v>na</v>
      </c>
      <c r="O125" s="1794" t="str">
        <f t="shared" si="215"/>
        <v>na</v>
      </c>
      <c r="P125" s="1789" t="str">
        <f t="shared" si="216"/>
        <v>na</v>
      </c>
      <c r="Q125" s="418" t="s">
        <v>232</v>
      </c>
      <c r="R125" s="418" t="s">
        <v>232</v>
      </c>
      <c r="S125" s="418" t="s">
        <v>232</v>
      </c>
      <c r="T125" s="418" t="s">
        <v>232</v>
      </c>
      <c r="U125" s="418" t="s">
        <v>232</v>
      </c>
      <c r="V125" s="418" t="s">
        <v>232</v>
      </c>
      <c r="W125" s="418" t="str">
        <f t="shared" si="217"/>
        <v>na</v>
      </c>
      <c r="X125" s="418" t="s">
        <v>232</v>
      </c>
      <c r="Y125" s="1884" t="str">
        <f t="shared" si="170"/>
        <v>na</v>
      </c>
      <c r="Z125" s="1884" t="str">
        <f t="shared" si="171"/>
        <v>na</v>
      </c>
      <c r="AA125" s="1789" t="s">
        <v>232</v>
      </c>
      <c r="AB125" s="1789" t="s">
        <v>232</v>
      </c>
      <c r="AC125" s="273" t="s">
        <v>232</v>
      </c>
      <c r="AD125" s="273" t="s">
        <v>232</v>
      </c>
      <c r="AE125" s="273" t="s">
        <v>232</v>
      </c>
      <c r="AF125" s="273" t="s">
        <v>232</v>
      </c>
      <c r="AG125" s="1789" t="s">
        <v>232</v>
      </c>
      <c r="AH125" s="1789" t="s">
        <v>232</v>
      </c>
      <c r="AI125" s="273" t="s">
        <v>232</v>
      </c>
      <c r="AJ125" s="273" t="s">
        <v>232</v>
      </c>
      <c r="AK125" s="273" t="s">
        <v>232</v>
      </c>
      <c r="AL125" s="273" t="s">
        <v>232</v>
      </c>
      <c r="AM125" s="1789" t="s">
        <v>232</v>
      </c>
      <c r="AN125" s="273" t="str">
        <f t="shared" si="230"/>
        <v>na</v>
      </c>
      <c r="AO125" s="273" t="str">
        <f t="shared" si="173"/>
        <v>na</v>
      </c>
      <c r="AP125" s="273" t="str">
        <f t="shared" si="174"/>
        <v>na</v>
      </c>
      <c r="AQ125" s="273" t="str">
        <f t="shared" si="175"/>
        <v>na</v>
      </c>
      <c r="AR125" s="1789" t="str">
        <f t="shared" si="231"/>
        <v>na</v>
      </c>
      <c r="AS125" s="1051"/>
      <c r="AU125" s="1332" t="str">
        <f t="shared" si="218"/>
        <v/>
      </c>
      <c r="AV125" s="1114" t="str">
        <f t="shared" si="219"/>
        <v/>
      </c>
      <c r="AW125" s="1114" t="str">
        <f t="shared" si="220"/>
        <v/>
      </c>
      <c r="AX125" s="1114" t="str">
        <f t="shared" si="221"/>
        <v/>
      </c>
      <c r="AY125" s="1113" t="str">
        <f t="shared" si="222"/>
        <v/>
      </c>
      <c r="AZ125" s="1114" t="str">
        <f t="shared" si="223"/>
        <v/>
      </c>
      <c r="BA125" s="1114" t="str">
        <f t="shared" si="224"/>
        <v/>
      </c>
      <c r="BB125" s="1704" t="str">
        <f t="shared" si="225"/>
        <v/>
      </c>
      <c r="BC125" s="1113" t="str">
        <f t="shared" si="226"/>
        <v/>
      </c>
      <c r="BD125" s="1114" t="str">
        <f t="shared" si="227"/>
        <v/>
      </c>
      <c r="BE125" s="1114" t="str">
        <f t="shared" si="228"/>
        <v/>
      </c>
      <c r="BF125" s="1114" t="str">
        <f t="shared" si="229"/>
        <v/>
      </c>
      <c r="BG125" s="1114" t="str">
        <f t="shared" si="189"/>
        <v/>
      </c>
      <c r="BH125" s="1114" t="str">
        <f t="shared" si="190"/>
        <v/>
      </c>
      <c r="BI125" s="1114" t="str">
        <f t="shared" si="191"/>
        <v/>
      </c>
      <c r="BJ125" s="1115" t="str">
        <f t="shared" si="192"/>
        <v/>
      </c>
      <c r="BL125" s="1885"/>
    </row>
    <row r="126" spans="1:64" ht="13.9" customHeight="1" x14ac:dyDescent="0.25">
      <c r="A126" s="1917">
        <f>Chem!A126</f>
        <v>124</v>
      </c>
      <c r="B126" s="1880" t="str">
        <f>Chem!B126</f>
        <v>2-Methylphenol (o-cresol)</v>
      </c>
      <c r="C126" s="394" t="str">
        <f>Param!AK126</f>
        <v>no</v>
      </c>
      <c r="D126" s="317" t="str">
        <f>IF(ISNUMBER(Param!AN126),Param!AN126,Param!AM126)</f>
        <v>na</v>
      </c>
      <c r="E126" s="273" t="s">
        <v>232</v>
      </c>
      <c r="F126" s="643">
        <v>6.9000000000000006E-2</v>
      </c>
      <c r="G126" s="550" t="s">
        <v>232</v>
      </c>
      <c r="H126" s="550">
        <v>6.3E-2</v>
      </c>
      <c r="I126" s="273" t="s">
        <v>232</v>
      </c>
      <c r="J126" s="273">
        <v>6.3E-2</v>
      </c>
      <c r="K126" s="219" t="str">
        <f>IF(C126="YES",'SD-Eq'!V126,"na")</f>
        <v>na</v>
      </c>
      <c r="L126" s="273" t="str">
        <f>IF(C126="YES",'SD-Eq'!Z126,"na")</f>
        <v>na</v>
      </c>
      <c r="M126" s="435" t="str">
        <f t="shared" si="165"/>
        <v>na</v>
      </c>
      <c r="N126" s="273" t="str">
        <f t="shared" si="166"/>
        <v>na</v>
      </c>
      <c r="O126" s="1794">
        <f t="shared" si="215"/>
        <v>6.3E-2</v>
      </c>
      <c r="P126" s="1789">
        <f t="shared" si="216"/>
        <v>6.3E-2</v>
      </c>
      <c r="Q126" s="418" t="s">
        <v>232</v>
      </c>
      <c r="R126" s="418" t="s">
        <v>232</v>
      </c>
      <c r="S126" s="418" t="s">
        <v>232</v>
      </c>
      <c r="T126" s="418" t="s">
        <v>232</v>
      </c>
      <c r="U126" s="418" t="s">
        <v>232</v>
      </c>
      <c r="V126" s="418" t="s">
        <v>232</v>
      </c>
      <c r="W126" s="418" t="str">
        <f t="shared" si="217"/>
        <v>na</v>
      </c>
      <c r="X126" s="418" t="s">
        <v>232</v>
      </c>
      <c r="Y126" s="1884" t="str">
        <f t="shared" si="170"/>
        <v>na</v>
      </c>
      <c r="Z126" s="1884">
        <f t="shared" si="171"/>
        <v>6.3E-2</v>
      </c>
      <c r="AA126" s="1789" t="s">
        <v>232</v>
      </c>
      <c r="AB126" s="1789" t="s">
        <v>232</v>
      </c>
      <c r="AC126" s="273" t="s">
        <v>232</v>
      </c>
      <c r="AD126" s="273" t="s">
        <v>232</v>
      </c>
      <c r="AE126" s="273" t="s">
        <v>232</v>
      </c>
      <c r="AF126" s="273" t="s">
        <v>232</v>
      </c>
      <c r="AG126" s="1789" t="s">
        <v>232</v>
      </c>
      <c r="AH126" s="1789" t="s">
        <v>232</v>
      </c>
      <c r="AI126" s="273" t="s">
        <v>232</v>
      </c>
      <c r="AJ126" s="273" t="s">
        <v>232</v>
      </c>
      <c r="AK126" s="273" t="s">
        <v>232</v>
      </c>
      <c r="AL126" s="273" t="s">
        <v>232</v>
      </c>
      <c r="AM126" s="1789" t="s">
        <v>232</v>
      </c>
      <c r="AN126" s="273" t="str">
        <f t="shared" si="230"/>
        <v>na</v>
      </c>
      <c r="AO126" s="273" t="str">
        <f t="shared" si="173"/>
        <v>na</v>
      </c>
      <c r="AP126" s="273" t="str">
        <f t="shared" si="174"/>
        <v>na</v>
      </c>
      <c r="AQ126" s="273" t="str">
        <f t="shared" si="175"/>
        <v>na</v>
      </c>
      <c r="AR126" s="1789" t="str">
        <f t="shared" si="231"/>
        <v>na</v>
      </c>
      <c r="AS126" s="1051"/>
      <c r="AU126" s="1332" t="str">
        <f t="shared" si="218"/>
        <v/>
      </c>
      <c r="AV126" s="1114" t="str">
        <f t="shared" si="219"/>
        <v/>
      </c>
      <c r="AW126" s="1114" t="str">
        <f t="shared" si="220"/>
        <v>X</v>
      </c>
      <c r="AX126" s="1114" t="str">
        <f t="shared" si="221"/>
        <v/>
      </c>
      <c r="AY126" s="1113" t="str">
        <f t="shared" si="222"/>
        <v/>
      </c>
      <c r="AZ126" s="1114" t="str">
        <f t="shared" si="223"/>
        <v/>
      </c>
      <c r="BA126" s="1114" t="str">
        <f t="shared" si="224"/>
        <v>X</v>
      </c>
      <c r="BB126" s="1704" t="str">
        <f t="shared" si="225"/>
        <v/>
      </c>
      <c r="BC126" s="1113" t="str">
        <f t="shared" si="226"/>
        <v/>
      </c>
      <c r="BD126" s="1114" t="str">
        <f t="shared" si="227"/>
        <v/>
      </c>
      <c r="BE126" s="1114" t="str">
        <f t="shared" si="228"/>
        <v>X</v>
      </c>
      <c r="BF126" s="1114" t="str">
        <f t="shared" si="229"/>
        <v/>
      </c>
      <c r="BG126" s="1114" t="str">
        <f t="shared" si="189"/>
        <v/>
      </c>
      <c r="BH126" s="1114" t="str">
        <f t="shared" si="190"/>
        <v/>
      </c>
      <c r="BI126" s="1114" t="str">
        <f t="shared" si="191"/>
        <v/>
      </c>
      <c r="BJ126" s="1115" t="str">
        <f t="shared" si="192"/>
        <v/>
      </c>
      <c r="BL126" s="1885"/>
    </row>
    <row r="127" spans="1:64" ht="13.9" customHeight="1" x14ac:dyDescent="0.25">
      <c r="A127" s="1917">
        <f>Chem!A127</f>
        <v>125</v>
      </c>
      <c r="B127" s="1880" t="str">
        <f>Chem!B127</f>
        <v>3-Methylphenol (m-cresol)</v>
      </c>
      <c r="C127" s="394" t="str">
        <f>Param!AK127</f>
        <v>no</v>
      </c>
      <c r="D127" s="317" t="str">
        <f>IF(ISNUMBER(Param!AN127),Param!AN127,Param!AM127)</f>
        <v>na</v>
      </c>
      <c r="E127" s="273" t="s">
        <v>232</v>
      </c>
      <c r="F127" s="643">
        <v>0.18099999999999999</v>
      </c>
      <c r="G127" s="550" t="s">
        <v>232</v>
      </c>
      <c r="H127" s="550" t="s">
        <v>232</v>
      </c>
      <c r="I127" s="273" t="s">
        <v>232</v>
      </c>
      <c r="J127" s="273" t="s">
        <v>232</v>
      </c>
      <c r="K127" s="219" t="str">
        <f>IF(C127="YES",'SD-Eq'!V127,"na")</f>
        <v>na</v>
      </c>
      <c r="L127" s="273" t="str">
        <f>IF(C127="YES",'SD-Eq'!Z127,"na")</f>
        <v>na</v>
      </c>
      <c r="M127" s="435" t="str">
        <f t="shared" si="165"/>
        <v>na</v>
      </c>
      <c r="N127" s="273" t="str">
        <f t="shared" si="166"/>
        <v>na</v>
      </c>
      <c r="O127" s="1794" t="str">
        <f t="shared" si="215"/>
        <v>na</v>
      </c>
      <c r="P127" s="1789" t="str">
        <f t="shared" si="216"/>
        <v>na</v>
      </c>
      <c r="Q127" s="418" t="s">
        <v>232</v>
      </c>
      <c r="R127" s="418" t="s">
        <v>232</v>
      </c>
      <c r="S127" s="418" t="s">
        <v>232</v>
      </c>
      <c r="T127" s="418" t="s">
        <v>232</v>
      </c>
      <c r="U127" s="418" t="s">
        <v>232</v>
      </c>
      <c r="V127" s="418" t="s">
        <v>232</v>
      </c>
      <c r="W127" s="418" t="str">
        <f t="shared" si="217"/>
        <v>na</v>
      </c>
      <c r="X127" s="418" t="s">
        <v>232</v>
      </c>
      <c r="Y127" s="1884" t="str">
        <f t="shared" si="170"/>
        <v>na</v>
      </c>
      <c r="Z127" s="1884" t="str">
        <f t="shared" si="171"/>
        <v>na</v>
      </c>
      <c r="AA127" s="1789" t="s">
        <v>232</v>
      </c>
      <c r="AB127" s="1789" t="s">
        <v>232</v>
      </c>
      <c r="AC127" s="273" t="s">
        <v>232</v>
      </c>
      <c r="AD127" s="273" t="s">
        <v>232</v>
      </c>
      <c r="AE127" s="273" t="s">
        <v>232</v>
      </c>
      <c r="AF127" s="273" t="s">
        <v>232</v>
      </c>
      <c r="AG127" s="1789" t="s">
        <v>232</v>
      </c>
      <c r="AH127" s="1789" t="s">
        <v>232</v>
      </c>
      <c r="AI127" s="273" t="s">
        <v>232</v>
      </c>
      <c r="AJ127" s="273" t="s">
        <v>232</v>
      </c>
      <c r="AK127" s="273" t="s">
        <v>232</v>
      </c>
      <c r="AL127" s="273" t="s">
        <v>232</v>
      </c>
      <c r="AM127" s="1789" t="s">
        <v>232</v>
      </c>
      <c r="AN127" s="273" t="str">
        <f t="shared" ref="AN127" si="232">IF(MIN(AA127,AB127)=0,"na",MIN(AA127,AB127))</f>
        <v>na</v>
      </c>
      <c r="AO127" s="273" t="str">
        <f t="shared" ref="AO127" si="233">IF(MIN(AC127:AF127)=0,"na",MIN(AC127:AF127))</f>
        <v>na</v>
      </c>
      <c r="AP127" s="273" t="str">
        <f t="shared" ref="AP127" si="234">IF(MIN(AG127,AH127)=0,"na",MIN(AG127,AH127))</f>
        <v>na</v>
      </c>
      <c r="AQ127" s="273" t="str">
        <f t="shared" ref="AQ127" si="235">IF(MIN(AI127:AL127)=0,"na",MIN(AI127:AL127))</f>
        <v>na</v>
      </c>
      <c r="AR127" s="1789" t="str">
        <f t="shared" ref="AR127" si="236">IF(MIN(AA127:AM127)=0,"na",MIN(AA127:AM127))</f>
        <v>na</v>
      </c>
      <c r="AS127" s="1051"/>
      <c r="AU127" s="1332" t="str">
        <f t="shared" si="218"/>
        <v/>
      </c>
      <c r="AV127" s="1114" t="str">
        <f t="shared" si="219"/>
        <v/>
      </c>
      <c r="AW127" s="1114" t="str">
        <f t="shared" si="220"/>
        <v/>
      </c>
      <c r="AX127" s="1114" t="str">
        <f t="shared" si="221"/>
        <v/>
      </c>
      <c r="AY127" s="1113" t="str">
        <f t="shared" si="222"/>
        <v/>
      </c>
      <c r="AZ127" s="1114" t="str">
        <f t="shared" si="223"/>
        <v/>
      </c>
      <c r="BA127" s="1114" t="str">
        <f t="shared" si="224"/>
        <v/>
      </c>
      <c r="BB127" s="1704" t="str">
        <f t="shared" si="225"/>
        <v/>
      </c>
      <c r="BC127" s="1113" t="str">
        <f t="shared" si="226"/>
        <v/>
      </c>
      <c r="BD127" s="1114" t="str">
        <f t="shared" si="227"/>
        <v/>
      </c>
      <c r="BE127" s="1114" t="str">
        <f t="shared" si="228"/>
        <v/>
      </c>
      <c r="BF127" s="1114" t="str">
        <f t="shared" si="229"/>
        <v/>
      </c>
      <c r="BG127" s="1114" t="str">
        <f t="shared" si="189"/>
        <v/>
      </c>
      <c r="BH127" s="1114" t="str">
        <f t="shared" si="190"/>
        <v/>
      </c>
      <c r="BI127" s="1114" t="str">
        <f t="shared" si="191"/>
        <v/>
      </c>
      <c r="BJ127" s="1115" t="str">
        <f t="shared" si="192"/>
        <v/>
      </c>
      <c r="BL127" s="1885"/>
    </row>
    <row r="128" spans="1:64" ht="13.9" customHeight="1" x14ac:dyDescent="0.25">
      <c r="A128" s="1917">
        <f>Chem!A128</f>
        <v>126</v>
      </c>
      <c r="B128" s="1880" t="str">
        <f>Chem!B128</f>
        <v>4-Methylphenol (p-cresol)</v>
      </c>
      <c r="C128" s="394" t="str">
        <f>Param!AK128</f>
        <v>no</v>
      </c>
      <c r="D128" s="317" t="str">
        <f>IF(ISNUMBER(Param!AN128),Param!AN128,Param!AM128)</f>
        <v>na</v>
      </c>
      <c r="E128" s="273" t="s">
        <v>232</v>
      </c>
      <c r="F128" s="643">
        <v>1.4999999999999999E-2</v>
      </c>
      <c r="G128" s="550" t="s">
        <v>232</v>
      </c>
      <c r="H128" s="550">
        <v>0.67</v>
      </c>
      <c r="I128" s="273" t="s">
        <v>232</v>
      </c>
      <c r="J128" s="273">
        <v>0.67</v>
      </c>
      <c r="K128" s="219" t="str">
        <f>IF(C128="YES",'SD-Eq'!V128,"na")</f>
        <v>na</v>
      </c>
      <c r="L128" s="273" t="str">
        <f>IF(C128="YES",'SD-Eq'!Z128,"na")</f>
        <v>na</v>
      </c>
      <c r="M128" s="435" t="str">
        <f t="shared" si="165"/>
        <v>na</v>
      </c>
      <c r="N128" s="273" t="str">
        <f t="shared" si="166"/>
        <v>na</v>
      </c>
      <c r="O128" s="1794">
        <f t="shared" si="215"/>
        <v>0.67</v>
      </c>
      <c r="P128" s="1789">
        <f t="shared" si="216"/>
        <v>0.67</v>
      </c>
      <c r="Q128" s="418" t="s">
        <v>232</v>
      </c>
      <c r="R128" s="418" t="s">
        <v>232</v>
      </c>
      <c r="S128" s="418" t="s">
        <v>232</v>
      </c>
      <c r="T128" s="418" t="s">
        <v>232</v>
      </c>
      <c r="U128" s="418">
        <v>0.67</v>
      </c>
      <c r="V128" s="418" t="s">
        <v>232</v>
      </c>
      <c r="W128" s="418" t="str">
        <f t="shared" si="217"/>
        <v>na</v>
      </c>
      <c r="X128" s="418" t="s">
        <v>232</v>
      </c>
      <c r="Y128" s="1884" t="str">
        <f t="shared" si="170"/>
        <v>na</v>
      </c>
      <c r="Z128" s="1884">
        <f t="shared" si="171"/>
        <v>0.67</v>
      </c>
      <c r="AA128" s="1887">
        <f>$H128</f>
        <v>0.67</v>
      </c>
      <c r="AB128" s="1887">
        <f>$H128</f>
        <v>0.67</v>
      </c>
      <c r="AC128" s="1887">
        <f>2*$H128</f>
        <v>1.34</v>
      </c>
      <c r="AD128" s="1887">
        <f>6*$H128</f>
        <v>4.0200000000000005</v>
      </c>
      <c r="AE128" s="298" t="s">
        <v>232</v>
      </c>
      <c r="AF128" s="298" t="s">
        <v>232</v>
      </c>
      <c r="AG128" s="1887">
        <f>$H128</f>
        <v>0.67</v>
      </c>
      <c r="AH128" s="1887">
        <f>$H128</f>
        <v>0.67</v>
      </c>
      <c r="AI128" s="1887">
        <f>2*$H128</f>
        <v>1.34</v>
      </c>
      <c r="AJ128" s="1887">
        <f>6*$H128</f>
        <v>4.0200000000000005</v>
      </c>
      <c r="AK128" s="298" t="s">
        <v>232</v>
      </c>
      <c r="AL128" s="298" t="s">
        <v>232</v>
      </c>
      <c r="AM128" s="1887">
        <f>$H128</f>
        <v>0.67</v>
      </c>
      <c r="AN128" s="273">
        <f t="shared" si="230"/>
        <v>0.67</v>
      </c>
      <c r="AO128" s="273">
        <f t="shared" si="173"/>
        <v>1.34</v>
      </c>
      <c r="AP128" s="273">
        <f t="shared" si="174"/>
        <v>0.67</v>
      </c>
      <c r="AQ128" s="273">
        <f t="shared" si="175"/>
        <v>1.34</v>
      </c>
      <c r="AR128" s="1789">
        <f t="shared" si="231"/>
        <v>0.67</v>
      </c>
      <c r="AS128" s="1051"/>
      <c r="AU128" s="1332" t="str">
        <f t="shared" si="218"/>
        <v/>
      </c>
      <c r="AV128" s="1114" t="str">
        <f t="shared" si="219"/>
        <v/>
      </c>
      <c r="AW128" s="1114" t="str">
        <f t="shared" si="220"/>
        <v>X</v>
      </c>
      <c r="AX128" s="1114" t="str">
        <f t="shared" si="221"/>
        <v/>
      </c>
      <c r="AY128" s="1113" t="str">
        <f t="shared" si="222"/>
        <v/>
      </c>
      <c r="AZ128" s="1114" t="str">
        <f t="shared" si="223"/>
        <v/>
      </c>
      <c r="BA128" s="1114" t="str">
        <f t="shared" si="224"/>
        <v>X</v>
      </c>
      <c r="BB128" s="1704" t="str">
        <f t="shared" si="225"/>
        <v/>
      </c>
      <c r="BC128" s="1113" t="str">
        <f t="shared" si="226"/>
        <v/>
      </c>
      <c r="BD128" s="1114" t="str">
        <f t="shared" si="227"/>
        <v/>
      </c>
      <c r="BE128" s="1114" t="str">
        <f t="shared" si="228"/>
        <v>X</v>
      </c>
      <c r="BF128" s="1114" t="str">
        <f t="shared" si="229"/>
        <v/>
      </c>
      <c r="BG128" s="1114" t="str">
        <f t="shared" si="189"/>
        <v/>
      </c>
      <c r="BH128" s="1114" t="str">
        <f t="shared" si="190"/>
        <v/>
      </c>
      <c r="BI128" s="1114" t="str">
        <f t="shared" si="191"/>
        <v>X</v>
      </c>
      <c r="BJ128" s="1115" t="str">
        <f t="shared" si="192"/>
        <v/>
      </c>
      <c r="BL128" s="1885"/>
    </row>
    <row r="129" spans="1:64" ht="13.9" customHeight="1" x14ac:dyDescent="0.25">
      <c r="A129" s="1917">
        <f>Chem!A129</f>
        <v>127</v>
      </c>
      <c r="B129" s="1880" t="str">
        <f>Chem!B129</f>
        <v>2-Nitroaniline</v>
      </c>
      <c r="C129" s="394" t="str">
        <f>Param!AK129</f>
        <v>no</v>
      </c>
      <c r="D129" s="317" t="str">
        <f>IF(ISNUMBER(Param!AN129),Param!AN129,Param!AM129)</f>
        <v>na</v>
      </c>
      <c r="E129" s="273" t="s">
        <v>232</v>
      </c>
      <c r="F129" s="643" t="s">
        <v>232</v>
      </c>
      <c r="G129" s="550" t="s">
        <v>232</v>
      </c>
      <c r="H129" s="550" t="s">
        <v>232</v>
      </c>
      <c r="I129" s="273" t="s">
        <v>232</v>
      </c>
      <c r="J129" s="273" t="s">
        <v>232</v>
      </c>
      <c r="K129" s="219" t="str">
        <f>IF(C129="YES",'SD-Eq'!V129,"na")</f>
        <v>na</v>
      </c>
      <c r="L129" s="273" t="str">
        <f>IF(C129="YES",'SD-Eq'!Z129,"na")</f>
        <v>na</v>
      </c>
      <c r="M129" s="435" t="str">
        <f t="shared" si="165"/>
        <v>na</v>
      </c>
      <c r="N129" s="273" t="str">
        <f t="shared" si="166"/>
        <v>na</v>
      </c>
      <c r="O129" s="1794" t="str">
        <f t="shared" si="215"/>
        <v>na</v>
      </c>
      <c r="P129" s="1789" t="str">
        <f t="shared" si="216"/>
        <v>na</v>
      </c>
      <c r="Q129" s="418" t="s">
        <v>232</v>
      </c>
      <c r="R129" s="418" t="s">
        <v>232</v>
      </c>
      <c r="S129" s="418" t="s">
        <v>232</v>
      </c>
      <c r="T129" s="418" t="s">
        <v>232</v>
      </c>
      <c r="U129" s="418" t="s">
        <v>232</v>
      </c>
      <c r="V129" s="418" t="s">
        <v>232</v>
      </c>
      <c r="W129" s="418" t="str">
        <f t="shared" si="217"/>
        <v>na</v>
      </c>
      <c r="X129" s="418" t="s">
        <v>232</v>
      </c>
      <c r="Y129" s="1884" t="str">
        <f t="shared" si="170"/>
        <v>na</v>
      </c>
      <c r="Z129" s="1884" t="str">
        <f t="shared" si="171"/>
        <v>na</v>
      </c>
      <c r="AA129" s="1789" t="s">
        <v>232</v>
      </c>
      <c r="AB129" s="1789" t="s">
        <v>232</v>
      </c>
      <c r="AC129" s="273" t="s">
        <v>232</v>
      </c>
      <c r="AD129" s="273" t="s">
        <v>232</v>
      </c>
      <c r="AE129" s="273" t="s">
        <v>232</v>
      </c>
      <c r="AF129" s="273" t="s">
        <v>232</v>
      </c>
      <c r="AG129" s="273" t="s">
        <v>232</v>
      </c>
      <c r="AH129" s="273" t="s">
        <v>232</v>
      </c>
      <c r="AI129" s="273" t="s">
        <v>232</v>
      </c>
      <c r="AJ129" s="273" t="s">
        <v>232</v>
      </c>
      <c r="AK129" s="273" t="s">
        <v>232</v>
      </c>
      <c r="AL129" s="273" t="s">
        <v>232</v>
      </c>
      <c r="AM129" s="273" t="s">
        <v>232</v>
      </c>
      <c r="AN129" s="273" t="str">
        <f t="shared" si="230"/>
        <v>na</v>
      </c>
      <c r="AO129" s="273" t="str">
        <f t="shared" si="173"/>
        <v>na</v>
      </c>
      <c r="AP129" s="273" t="str">
        <f t="shared" si="174"/>
        <v>na</v>
      </c>
      <c r="AQ129" s="273" t="str">
        <f t="shared" si="175"/>
        <v>na</v>
      </c>
      <c r="AR129" s="1789" t="str">
        <f t="shared" si="231"/>
        <v>na</v>
      </c>
      <c r="AS129" s="1051"/>
      <c r="AU129" s="1332" t="str">
        <f t="shared" si="218"/>
        <v/>
      </c>
      <c r="AV129" s="1114" t="str">
        <f t="shared" si="219"/>
        <v/>
      </c>
      <c r="AW129" s="1114" t="str">
        <f t="shared" si="220"/>
        <v/>
      </c>
      <c r="AX129" s="1114" t="str">
        <f t="shared" si="221"/>
        <v/>
      </c>
      <c r="AY129" s="1113" t="str">
        <f t="shared" si="222"/>
        <v/>
      </c>
      <c r="AZ129" s="1114" t="str">
        <f t="shared" si="223"/>
        <v/>
      </c>
      <c r="BA129" s="1114" t="str">
        <f t="shared" si="224"/>
        <v/>
      </c>
      <c r="BB129" s="1704" t="str">
        <f t="shared" si="225"/>
        <v/>
      </c>
      <c r="BC129" s="1113" t="str">
        <f t="shared" si="226"/>
        <v/>
      </c>
      <c r="BD129" s="1114" t="str">
        <f t="shared" si="227"/>
        <v/>
      </c>
      <c r="BE129" s="1114" t="str">
        <f t="shared" si="228"/>
        <v/>
      </c>
      <c r="BF129" s="1114" t="str">
        <f t="shared" si="229"/>
        <v/>
      </c>
      <c r="BG129" s="1114" t="str">
        <f t="shared" si="189"/>
        <v/>
      </c>
      <c r="BH129" s="1114" t="str">
        <f t="shared" si="190"/>
        <v/>
      </c>
      <c r="BI129" s="1114" t="str">
        <f t="shared" si="191"/>
        <v/>
      </c>
      <c r="BJ129" s="1115" t="str">
        <f t="shared" si="192"/>
        <v/>
      </c>
      <c r="BL129" s="1885"/>
    </row>
    <row r="130" spans="1:64" ht="13.9" customHeight="1" x14ac:dyDescent="0.25">
      <c r="A130" s="1917">
        <f>Chem!A130</f>
        <v>128</v>
      </c>
      <c r="B130" s="1880" t="str">
        <f>Chem!B130</f>
        <v>3-Nitroaniline</v>
      </c>
      <c r="C130" s="394" t="str">
        <f>Param!AK130</f>
        <v>no</v>
      </c>
      <c r="D130" s="317" t="str">
        <f>IF(ISNUMBER(Param!AN130),Param!AN130,Param!AM130)</f>
        <v>na</v>
      </c>
      <c r="E130" s="273" t="s">
        <v>232</v>
      </c>
      <c r="F130" s="643" t="s">
        <v>232</v>
      </c>
      <c r="G130" s="550" t="s">
        <v>232</v>
      </c>
      <c r="H130" s="550" t="s">
        <v>232</v>
      </c>
      <c r="I130" s="273" t="s">
        <v>232</v>
      </c>
      <c r="J130" s="273" t="s">
        <v>232</v>
      </c>
      <c r="K130" s="219" t="str">
        <f>IF(C130="YES",'SD-Eq'!V130,"na")</f>
        <v>na</v>
      </c>
      <c r="L130" s="273" t="str">
        <f>IF(C130="YES",'SD-Eq'!Z130,"na")</f>
        <v>na</v>
      </c>
      <c r="M130" s="435" t="str">
        <f t="shared" si="165"/>
        <v>na</v>
      </c>
      <c r="N130" s="273" t="str">
        <f t="shared" si="166"/>
        <v>na</v>
      </c>
      <c r="O130" s="1794" t="str">
        <f t="shared" si="215"/>
        <v>na</v>
      </c>
      <c r="P130" s="1789" t="str">
        <f t="shared" si="216"/>
        <v>na</v>
      </c>
      <c r="Q130" s="418" t="s">
        <v>232</v>
      </c>
      <c r="R130" s="418" t="s">
        <v>232</v>
      </c>
      <c r="S130" s="418" t="s">
        <v>232</v>
      </c>
      <c r="T130" s="418" t="s">
        <v>232</v>
      </c>
      <c r="U130" s="418" t="s">
        <v>232</v>
      </c>
      <c r="V130" s="418" t="s">
        <v>232</v>
      </c>
      <c r="W130" s="418" t="str">
        <f t="shared" si="217"/>
        <v>na</v>
      </c>
      <c r="X130" s="418" t="s">
        <v>232</v>
      </c>
      <c r="Y130" s="1884" t="str">
        <f t="shared" si="170"/>
        <v>na</v>
      </c>
      <c r="Z130" s="1884" t="str">
        <f t="shared" si="171"/>
        <v>na</v>
      </c>
      <c r="AA130" s="1789" t="s">
        <v>232</v>
      </c>
      <c r="AB130" s="1789" t="s">
        <v>232</v>
      </c>
      <c r="AC130" s="273" t="s">
        <v>232</v>
      </c>
      <c r="AD130" s="273" t="s">
        <v>232</v>
      </c>
      <c r="AE130" s="273" t="s">
        <v>232</v>
      </c>
      <c r="AF130" s="273" t="s">
        <v>232</v>
      </c>
      <c r="AG130" s="273" t="s">
        <v>232</v>
      </c>
      <c r="AH130" s="273" t="s">
        <v>232</v>
      </c>
      <c r="AI130" s="273" t="s">
        <v>232</v>
      </c>
      <c r="AJ130" s="273" t="s">
        <v>232</v>
      </c>
      <c r="AK130" s="273" t="s">
        <v>232</v>
      </c>
      <c r="AL130" s="273" t="s">
        <v>232</v>
      </c>
      <c r="AM130" s="273" t="s">
        <v>232</v>
      </c>
      <c r="AN130" s="273" t="str">
        <f t="shared" si="230"/>
        <v>na</v>
      </c>
      <c r="AO130" s="273" t="str">
        <f t="shared" si="173"/>
        <v>na</v>
      </c>
      <c r="AP130" s="273" t="str">
        <f t="shared" si="174"/>
        <v>na</v>
      </c>
      <c r="AQ130" s="273" t="str">
        <f t="shared" si="175"/>
        <v>na</v>
      </c>
      <c r="AR130" s="1789" t="str">
        <f t="shared" si="231"/>
        <v>na</v>
      </c>
      <c r="AS130" s="1051"/>
      <c r="AU130" s="1332" t="str">
        <f t="shared" si="218"/>
        <v/>
      </c>
      <c r="AV130" s="1114" t="str">
        <f t="shared" si="219"/>
        <v/>
      </c>
      <c r="AW130" s="1114" t="str">
        <f t="shared" si="220"/>
        <v/>
      </c>
      <c r="AX130" s="1114" t="str">
        <f t="shared" si="221"/>
        <v/>
      </c>
      <c r="AY130" s="1113" t="str">
        <f t="shared" si="222"/>
        <v/>
      </c>
      <c r="AZ130" s="1114" t="str">
        <f t="shared" si="223"/>
        <v/>
      </c>
      <c r="BA130" s="1114" t="str">
        <f t="shared" si="224"/>
        <v/>
      </c>
      <c r="BB130" s="1704" t="str">
        <f t="shared" si="225"/>
        <v/>
      </c>
      <c r="BC130" s="1113" t="str">
        <f t="shared" si="226"/>
        <v/>
      </c>
      <c r="BD130" s="1114" t="str">
        <f t="shared" si="227"/>
        <v/>
      </c>
      <c r="BE130" s="1114" t="str">
        <f t="shared" si="228"/>
        <v/>
      </c>
      <c r="BF130" s="1114" t="str">
        <f t="shared" si="229"/>
        <v/>
      </c>
      <c r="BG130" s="1114" t="str">
        <f t="shared" si="189"/>
        <v/>
      </c>
      <c r="BH130" s="1114" t="str">
        <f t="shared" si="190"/>
        <v/>
      </c>
      <c r="BI130" s="1114" t="str">
        <f t="shared" si="191"/>
        <v/>
      </c>
      <c r="BJ130" s="1115" t="str">
        <f t="shared" si="192"/>
        <v/>
      </c>
      <c r="BL130" s="1885"/>
    </row>
    <row r="131" spans="1:64" ht="13.9" customHeight="1" x14ac:dyDescent="0.25">
      <c r="A131" s="1917">
        <f>Chem!A131</f>
        <v>129</v>
      </c>
      <c r="B131" s="1880" t="str">
        <f>Chem!B131</f>
        <v>4-Nitroaniline</v>
      </c>
      <c r="C131" s="394" t="str">
        <f>Param!AK131</f>
        <v>no</v>
      </c>
      <c r="D131" s="317" t="str">
        <f>IF(ISNUMBER(Param!AN131),Param!AN131,Param!AM131)</f>
        <v>na</v>
      </c>
      <c r="E131" s="273" t="s">
        <v>232</v>
      </c>
      <c r="F131" s="643" t="s">
        <v>232</v>
      </c>
      <c r="G131" s="550" t="s">
        <v>232</v>
      </c>
      <c r="H131" s="550" t="s">
        <v>232</v>
      </c>
      <c r="I131" s="273" t="s">
        <v>232</v>
      </c>
      <c r="J131" s="273" t="s">
        <v>232</v>
      </c>
      <c r="K131" s="219" t="str">
        <f>IF(C131="YES",'SD-Eq'!V131,"na")</f>
        <v>na</v>
      </c>
      <c r="L131" s="273" t="str">
        <f>IF(C131="YES",'SD-Eq'!Z131,"na")</f>
        <v>na</v>
      </c>
      <c r="M131" s="435" t="str">
        <f t="shared" si="165"/>
        <v>na</v>
      </c>
      <c r="N131" s="273" t="str">
        <f t="shared" si="166"/>
        <v>na</v>
      </c>
      <c r="O131" s="1794" t="str">
        <f t="shared" si="215"/>
        <v>na</v>
      </c>
      <c r="P131" s="1789" t="str">
        <f t="shared" si="216"/>
        <v>na</v>
      </c>
      <c r="Q131" s="418" t="s">
        <v>232</v>
      </c>
      <c r="R131" s="418" t="s">
        <v>232</v>
      </c>
      <c r="S131" s="418" t="s">
        <v>232</v>
      </c>
      <c r="T131" s="418" t="s">
        <v>232</v>
      </c>
      <c r="U131" s="418" t="s">
        <v>232</v>
      </c>
      <c r="V131" s="418" t="s">
        <v>232</v>
      </c>
      <c r="W131" s="418" t="str">
        <f t="shared" si="217"/>
        <v>na</v>
      </c>
      <c r="X131" s="418" t="s">
        <v>232</v>
      </c>
      <c r="Y131" s="1884" t="str">
        <f t="shared" si="170"/>
        <v>na</v>
      </c>
      <c r="Z131" s="1884" t="str">
        <f t="shared" si="171"/>
        <v>na</v>
      </c>
      <c r="AA131" s="1789" t="s">
        <v>232</v>
      </c>
      <c r="AB131" s="1789" t="s">
        <v>232</v>
      </c>
      <c r="AC131" s="273" t="s">
        <v>232</v>
      </c>
      <c r="AD131" s="273" t="s">
        <v>232</v>
      </c>
      <c r="AE131" s="273" t="s">
        <v>232</v>
      </c>
      <c r="AF131" s="273" t="s">
        <v>232</v>
      </c>
      <c r="AG131" s="273" t="s">
        <v>232</v>
      </c>
      <c r="AH131" s="273" t="s">
        <v>232</v>
      </c>
      <c r="AI131" s="273" t="s">
        <v>232</v>
      </c>
      <c r="AJ131" s="273" t="s">
        <v>232</v>
      </c>
      <c r="AK131" s="273" t="s">
        <v>232</v>
      </c>
      <c r="AL131" s="273" t="s">
        <v>232</v>
      </c>
      <c r="AM131" s="273" t="s">
        <v>232</v>
      </c>
      <c r="AN131" s="273" t="str">
        <f t="shared" si="230"/>
        <v>na</v>
      </c>
      <c r="AO131" s="273" t="str">
        <f t="shared" si="173"/>
        <v>na</v>
      </c>
      <c r="AP131" s="273" t="str">
        <f t="shared" si="174"/>
        <v>na</v>
      </c>
      <c r="AQ131" s="273" t="str">
        <f t="shared" si="175"/>
        <v>na</v>
      </c>
      <c r="AR131" s="1789" t="str">
        <f t="shared" si="231"/>
        <v>na</v>
      </c>
      <c r="AS131" s="1051"/>
      <c r="AU131" s="1332" t="str">
        <f t="shared" si="218"/>
        <v/>
      </c>
      <c r="AV131" s="1114" t="str">
        <f t="shared" si="219"/>
        <v/>
      </c>
      <c r="AW131" s="1114" t="str">
        <f t="shared" si="220"/>
        <v/>
      </c>
      <c r="AX131" s="1114" t="str">
        <f t="shared" si="221"/>
        <v/>
      </c>
      <c r="AY131" s="1113" t="str">
        <f t="shared" si="222"/>
        <v/>
      </c>
      <c r="AZ131" s="1114" t="str">
        <f t="shared" si="223"/>
        <v/>
      </c>
      <c r="BA131" s="1114" t="str">
        <f t="shared" si="224"/>
        <v/>
      </c>
      <c r="BB131" s="1704" t="str">
        <f t="shared" si="225"/>
        <v/>
      </c>
      <c r="BC131" s="1113" t="str">
        <f t="shared" si="226"/>
        <v/>
      </c>
      <c r="BD131" s="1114" t="str">
        <f t="shared" si="227"/>
        <v/>
      </c>
      <c r="BE131" s="1114" t="str">
        <f t="shared" si="228"/>
        <v/>
      </c>
      <c r="BF131" s="1114" t="str">
        <f t="shared" si="229"/>
        <v/>
      </c>
      <c r="BG131" s="1114" t="str">
        <f t="shared" si="189"/>
        <v/>
      </c>
      <c r="BH131" s="1114" t="str">
        <f t="shared" si="190"/>
        <v/>
      </c>
      <c r="BI131" s="1114" t="str">
        <f t="shared" si="191"/>
        <v/>
      </c>
      <c r="BJ131" s="1115" t="str">
        <f t="shared" si="192"/>
        <v/>
      </c>
      <c r="BL131" s="1885"/>
    </row>
    <row r="132" spans="1:64" ht="13.9" customHeight="1" x14ac:dyDescent="0.25">
      <c r="A132" s="1917">
        <f>Chem!A132</f>
        <v>130</v>
      </c>
      <c r="B132" s="1880" t="str">
        <f>Chem!B132</f>
        <v>Nitrobenzene</v>
      </c>
      <c r="C132" s="394" t="str">
        <f>Param!AK132</f>
        <v>no</v>
      </c>
      <c r="D132" s="317" t="str">
        <f>IF(ISNUMBER(Param!AN132),Param!AN132,Param!AM132)</f>
        <v>na</v>
      </c>
      <c r="E132" s="273" t="s">
        <v>232</v>
      </c>
      <c r="F132" s="643" t="s">
        <v>232</v>
      </c>
      <c r="G132" s="550" t="s">
        <v>232</v>
      </c>
      <c r="H132" s="550" t="s">
        <v>232</v>
      </c>
      <c r="I132" s="273" t="s">
        <v>232</v>
      </c>
      <c r="J132" s="273" t="s">
        <v>232</v>
      </c>
      <c r="K132" s="219" t="str">
        <f>IF(C132="YES",'SD-Eq'!V132,"na")</f>
        <v>na</v>
      </c>
      <c r="L132" s="273" t="str">
        <f>IF(C132="YES",'SD-Eq'!Z132,"na")</f>
        <v>na</v>
      </c>
      <c r="M132" s="435" t="str">
        <f t="shared" si="165"/>
        <v>na</v>
      </c>
      <c r="N132" s="273" t="str">
        <f t="shared" si="166"/>
        <v>na</v>
      </c>
      <c r="O132" s="1794" t="str">
        <f t="shared" si="215"/>
        <v>na</v>
      </c>
      <c r="P132" s="1789" t="str">
        <f t="shared" si="216"/>
        <v>na</v>
      </c>
      <c r="Q132" s="418" t="s">
        <v>232</v>
      </c>
      <c r="R132" s="418" t="s">
        <v>232</v>
      </c>
      <c r="S132" s="418" t="s">
        <v>232</v>
      </c>
      <c r="T132" s="418" t="s">
        <v>232</v>
      </c>
      <c r="U132" s="418" t="s">
        <v>232</v>
      </c>
      <c r="V132" s="418" t="s">
        <v>232</v>
      </c>
      <c r="W132" s="418" t="str">
        <f t="shared" si="217"/>
        <v>na</v>
      </c>
      <c r="X132" s="418" t="s">
        <v>232</v>
      </c>
      <c r="Y132" s="1884" t="str">
        <f t="shared" si="170"/>
        <v>na</v>
      </c>
      <c r="Z132" s="1884" t="str">
        <f t="shared" si="171"/>
        <v>na</v>
      </c>
      <c r="AA132" s="1789" t="s">
        <v>232</v>
      </c>
      <c r="AB132" s="1789" t="s">
        <v>232</v>
      </c>
      <c r="AC132" s="273" t="s">
        <v>232</v>
      </c>
      <c r="AD132" s="273" t="s">
        <v>232</v>
      </c>
      <c r="AE132" s="273" t="s">
        <v>232</v>
      </c>
      <c r="AF132" s="273" t="s">
        <v>232</v>
      </c>
      <c r="AG132" s="273" t="s">
        <v>232</v>
      </c>
      <c r="AH132" s="273" t="s">
        <v>232</v>
      </c>
      <c r="AI132" s="273" t="s">
        <v>232</v>
      </c>
      <c r="AJ132" s="273" t="s">
        <v>232</v>
      </c>
      <c r="AK132" s="273" t="s">
        <v>232</v>
      </c>
      <c r="AL132" s="273" t="s">
        <v>232</v>
      </c>
      <c r="AM132" s="273" t="s">
        <v>232</v>
      </c>
      <c r="AN132" s="273" t="str">
        <f t="shared" si="230"/>
        <v>na</v>
      </c>
      <c r="AO132" s="273" t="str">
        <f t="shared" si="173"/>
        <v>na</v>
      </c>
      <c r="AP132" s="273" t="str">
        <f t="shared" si="174"/>
        <v>na</v>
      </c>
      <c r="AQ132" s="273" t="str">
        <f t="shared" si="175"/>
        <v>na</v>
      </c>
      <c r="AR132" s="1789" t="str">
        <f t="shared" si="231"/>
        <v>na</v>
      </c>
      <c r="AS132" s="1051"/>
      <c r="AU132" s="1332" t="str">
        <f t="shared" si="218"/>
        <v/>
      </c>
      <c r="AV132" s="1114" t="str">
        <f t="shared" si="219"/>
        <v/>
      </c>
      <c r="AW132" s="1114" t="str">
        <f t="shared" si="220"/>
        <v/>
      </c>
      <c r="AX132" s="1114" t="str">
        <f t="shared" si="221"/>
        <v/>
      </c>
      <c r="AY132" s="1113" t="str">
        <f t="shared" si="222"/>
        <v/>
      </c>
      <c r="AZ132" s="1114" t="str">
        <f t="shared" si="223"/>
        <v/>
      </c>
      <c r="BA132" s="1114" t="str">
        <f t="shared" si="224"/>
        <v/>
      </c>
      <c r="BB132" s="1704" t="str">
        <f t="shared" si="225"/>
        <v/>
      </c>
      <c r="BC132" s="1113" t="str">
        <f t="shared" si="226"/>
        <v/>
      </c>
      <c r="BD132" s="1114" t="str">
        <f t="shared" si="227"/>
        <v/>
      </c>
      <c r="BE132" s="1114" t="str">
        <f t="shared" si="228"/>
        <v/>
      </c>
      <c r="BF132" s="1114" t="str">
        <f t="shared" si="229"/>
        <v/>
      </c>
      <c r="BG132" s="1114" t="str">
        <f t="shared" si="189"/>
        <v/>
      </c>
      <c r="BH132" s="1114" t="str">
        <f t="shared" si="190"/>
        <v/>
      </c>
      <c r="BI132" s="1114" t="str">
        <f t="shared" si="191"/>
        <v/>
      </c>
      <c r="BJ132" s="1115" t="str">
        <f t="shared" si="192"/>
        <v/>
      </c>
      <c r="BL132" s="1885"/>
    </row>
    <row r="133" spans="1:64" ht="13.9" customHeight="1" x14ac:dyDescent="0.25">
      <c r="A133" s="1917">
        <f>Chem!A133</f>
        <v>131</v>
      </c>
      <c r="B133" s="1880" t="str">
        <f>Chem!B133</f>
        <v>2-Nitrophenol</v>
      </c>
      <c r="C133" s="394" t="str">
        <f>Param!AK133</f>
        <v>no</v>
      </c>
      <c r="D133" s="317" t="str">
        <f>IF(ISNUMBER(Param!AN133),Param!AN133,Param!AM133)</f>
        <v>na</v>
      </c>
      <c r="E133" s="273" t="s">
        <v>232</v>
      </c>
      <c r="F133" s="643" t="s">
        <v>232</v>
      </c>
      <c r="G133" s="550" t="s">
        <v>232</v>
      </c>
      <c r="H133" s="550" t="s">
        <v>232</v>
      </c>
      <c r="I133" s="273" t="s">
        <v>232</v>
      </c>
      <c r="J133" s="273" t="s">
        <v>232</v>
      </c>
      <c r="K133" s="219" t="str">
        <f>IF(C133="YES",'SD-Eq'!V133,"na")</f>
        <v>na</v>
      </c>
      <c r="L133" s="273" t="str">
        <f>IF(C133="YES",'SD-Eq'!Z133,"na")</f>
        <v>na</v>
      </c>
      <c r="M133" s="435" t="str">
        <f t="shared" si="165"/>
        <v>na</v>
      </c>
      <c r="N133" s="273" t="str">
        <f t="shared" si="166"/>
        <v>na</v>
      </c>
      <c r="O133" s="1794" t="str">
        <f t="shared" si="215"/>
        <v>na</v>
      </c>
      <c r="P133" s="1789" t="str">
        <f t="shared" si="216"/>
        <v>na</v>
      </c>
      <c r="Q133" s="418" t="s">
        <v>232</v>
      </c>
      <c r="R133" s="418" t="s">
        <v>232</v>
      </c>
      <c r="S133" s="418" t="s">
        <v>232</v>
      </c>
      <c r="T133" s="418" t="s">
        <v>232</v>
      </c>
      <c r="U133" s="418" t="s">
        <v>232</v>
      </c>
      <c r="V133" s="418" t="s">
        <v>232</v>
      </c>
      <c r="W133" s="418" t="str">
        <f t="shared" si="217"/>
        <v>na</v>
      </c>
      <c r="X133" s="418" t="s">
        <v>232</v>
      </c>
      <c r="Y133" s="1884" t="str">
        <f t="shared" si="170"/>
        <v>na</v>
      </c>
      <c r="Z133" s="1884" t="str">
        <f t="shared" si="171"/>
        <v>na</v>
      </c>
      <c r="AA133" s="1789" t="s">
        <v>232</v>
      </c>
      <c r="AB133" s="1789" t="s">
        <v>232</v>
      </c>
      <c r="AC133" s="273" t="s">
        <v>232</v>
      </c>
      <c r="AD133" s="273" t="s">
        <v>232</v>
      </c>
      <c r="AE133" s="273" t="s">
        <v>232</v>
      </c>
      <c r="AF133" s="273" t="s">
        <v>232</v>
      </c>
      <c r="AG133" s="273" t="s">
        <v>232</v>
      </c>
      <c r="AH133" s="273" t="s">
        <v>232</v>
      </c>
      <c r="AI133" s="273" t="s">
        <v>232</v>
      </c>
      <c r="AJ133" s="273" t="s">
        <v>232</v>
      </c>
      <c r="AK133" s="273" t="s">
        <v>232</v>
      </c>
      <c r="AL133" s="273" t="s">
        <v>232</v>
      </c>
      <c r="AM133" s="273" t="s">
        <v>232</v>
      </c>
      <c r="AN133" s="273" t="str">
        <f t="shared" si="230"/>
        <v>na</v>
      </c>
      <c r="AO133" s="273" t="str">
        <f t="shared" si="173"/>
        <v>na</v>
      </c>
      <c r="AP133" s="273" t="str">
        <f t="shared" si="174"/>
        <v>na</v>
      </c>
      <c r="AQ133" s="273" t="str">
        <f t="shared" si="175"/>
        <v>na</v>
      </c>
      <c r="AR133" s="1789" t="str">
        <f t="shared" si="231"/>
        <v>na</v>
      </c>
      <c r="AS133" s="1051"/>
      <c r="AU133" s="1332" t="str">
        <f t="shared" si="218"/>
        <v/>
      </c>
      <c r="AV133" s="1114" t="str">
        <f t="shared" si="219"/>
        <v/>
      </c>
      <c r="AW133" s="1114" t="str">
        <f t="shared" si="220"/>
        <v/>
      </c>
      <c r="AX133" s="1114" t="str">
        <f t="shared" si="221"/>
        <v/>
      </c>
      <c r="AY133" s="1113" t="str">
        <f t="shared" si="222"/>
        <v/>
      </c>
      <c r="AZ133" s="1114" t="str">
        <f t="shared" si="223"/>
        <v/>
      </c>
      <c r="BA133" s="1114" t="str">
        <f t="shared" si="224"/>
        <v/>
      </c>
      <c r="BB133" s="1704" t="str">
        <f t="shared" si="225"/>
        <v/>
      </c>
      <c r="BC133" s="1113" t="str">
        <f t="shared" si="226"/>
        <v/>
      </c>
      <c r="BD133" s="1114" t="str">
        <f t="shared" si="227"/>
        <v/>
      </c>
      <c r="BE133" s="1114" t="str">
        <f t="shared" si="228"/>
        <v/>
      </c>
      <c r="BF133" s="1114" t="str">
        <f t="shared" si="229"/>
        <v/>
      </c>
      <c r="BG133" s="1114" t="str">
        <f t="shared" si="189"/>
        <v/>
      </c>
      <c r="BH133" s="1114" t="str">
        <f t="shared" si="190"/>
        <v/>
      </c>
      <c r="BI133" s="1114" t="str">
        <f t="shared" si="191"/>
        <v/>
      </c>
      <c r="BJ133" s="1115" t="str">
        <f t="shared" si="192"/>
        <v/>
      </c>
      <c r="BL133" s="1885"/>
    </row>
    <row r="134" spans="1:64" ht="13.9" customHeight="1" x14ac:dyDescent="0.25">
      <c r="A134" s="1917">
        <f>Chem!A134</f>
        <v>132</v>
      </c>
      <c r="B134" s="1880" t="str">
        <f>Chem!B134</f>
        <v>4-Nitrophenol</v>
      </c>
      <c r="C134" s="394" t="str">
        <f>Param!AK134</f>
        <v>no</v>
      </c>
      <c r="D134" s="317" t="str">
        <f>IF(ISNUMBER(Param!AN134),Param!AN134,Param!AM134)</f>
        <v>na</v>
      </c>
      <c r="E134" s="273" t="s">
        <v>232</v>
      </c>
      <c r="F134" s="643" t="s">
        <v>232</v>
      </c>
      <c r="G134" s="550" t="s">
        <v>232</v>
      </c>
      <c r="H134" s="550" t="s">
        <v>232</v>
      </c>
      <c r="I134" s="273" t="s">
        <v>232</v>
      </c>
      <c r="J134" s="273" t="s">
        <v>232</v>
      </c>
      <c r="K134" s="219" t="str">
        <f>IF(C134="YES",'SD-Eq'!V134,"na")</f>
        <v>na</v>
      </c>
      <c r="L134" s="273" t="str">
        <f>IF(C134="YES",'SD-Eq'!Z134,"na")</f>
        <v>na</v>
      </c>
      <c r="M134" s="435" t="str">
        <f t="shared" si="165"/>
        <v>na</v>
      </c>
      <c r="N134" s="273" t="str">
        <f t="shared" si="166"/>
        <v>na</v>
      </c>
      <c r="O134" s="1794" t="str">
        <f t="shared" si="215"/>
        <v>na</v>
      </c>
      <c r="P134" s="1789" t="str">
        <f t="shared" si="216"/>
        <v>na</v>
      </c>
      <c r="Q134" s="418" t="s">
        <v>232</v>
      </c>
      <c r="R134" s="418" t="s">
        <v>232</v>
      </c>
      <c r="S134" s="418" t="s">
        <v>232</v>
      </c>
      <c r="T134" s="418" t="s">
        <v>232</v>
      </c>
      <c r="U134" s="418" t="s">
        <v>232</v>
      </c>
      <c r="V134" s="418" t="s">
        <v>232</v>
      </c>
      <c r="W134" s="418" t="str">
        <f t="shared" si="217"/>
        <v>na</v>
      </c>
      <c r="X134" s="418" t="s">
        <v>232</v>
      </c>
      <c r="Y134" s="1884" t="str">
        <f t="shared" si="170"/>
        <v>na</v>
      </c>
      <c r="Z134" s="1884" t="str">
        <f t="shared" si="171"/>
        <v>na</v>
      </c>
      <c r="AA134" s="1789" t="s">
        <v>232</v>
      </c>
      <c r="AB134" s="1789" t="s">
        <v>232</v>
      </c>
      <c r="AC134" s="273" t="s">
        <v>232</v>
      </c>
      <c r="AD134" s="273" t="s">
        <v>232</v>
      </c>
      <c r="AE134" s="273" t="s">
        <v>232</v>
      </c>
      <c r="AF134" s="273" t="s">
        <v>232</v>
      </c>
      <c r="AG134" s="273" t="s">
        <v>232</v>
      </c>
      <c r="AH134" s="273" t="s">
        <v>232</v>
      </c>
      <c r="AI134" s="273" t="s">
        <v>232</v>
      </c>
      <c r="AJ134" s="273" t="s">
        <v>232</v>
      </c>
      <c r="AK134" s="273" t="s">
        <v>232</v>
      </c>
      <c r="AL134" s="273" t="s">
        <v>232</v>
      </c>
      <c r="AM134" s="273" t="s">
        <v>232</v>
      </c>
      <c r="AN134" s="273" t="str">
        <f t="shared" si="230"/>
        <v>na</v>
      </c>
      <c r="AO134" s="273" t="str">
        <f t="shared" si="173"/>
        <v>na</v>
      </c>
      <c r="AP134" s="273" t="str">
        <f t="shared" si="174"/>
        <v>na</v>
      </c>
      <c r="AQ134" s="273" t="str">
        <f t="shared" si="175"/>
        <v>na</v>
      </c>
      <c r="AR134" s="1789" t="str">
        <f t="shared" si="231"/>
        <v>na</v>
      </c>
      <c r="AS134" s="1051"/>
      <c r="AU134" s="1332" t="str">
        <f t="shared" si="218"/>
        <v/>
      </c>
      <c r="AV134" s="1114" t="str">
        <f t="shared" si="219"/>
        <v/>
      </c>
      <c r="AW134" s="1114" t="str">
        <f t="shared" si="220"/>
        <v/>
      </c>
      <c r="AX134" s="1114" t="str">
        <f t="shared" si="221"/>
        <v/>
      </c>
      <c r="AY134" s="1113" t="str">
        <f t="shared" si="222"/>
        <v/>
      </c>
      <c r="AZ134" s="1114" t="str">
        <f t="shared" si="223"/>
        <v/>
      </c>
      <c r="BA134" s="1114" t="str">
        <f t="shared" si="224"/>
        <v/>
      </c>
      <c r="BB134" s="1704" t="str">
        <f t="shared" si="225"/>
        <v/>
      </c>
      <c r="BC134" s="1113" t="str">
        <f t="shared" si="226"/>
        <v/>
      </c>
      <c r="BD134" s="1114" t="str">
        <f t="shared" si="227"/>
        <v/>
      </c>
      <c r="BE134" s="1114" t="str">
        <f t="shared" si="228"/>
        <v/>
      </c>
      <c r="BF134" s="1114" t="str">
        <f t="shared" si="229"/>
        <v/>
      </c>
      <c r="BG134" s="1114" t="str">
        <f t="shared" si="189"/>
        <v/>
      </c>
      <c r="BH134" s="1114" t="str">
        <f t="shared" si="190"/>
        <v/>
      </c>
      <c r="BI134" s="1114" t="str">
        <f t="shared" si="191"/>
        <v/>
      </c>
      <c r="BJ134" s="1115" t="str">
        <f t="shared" si="192"/>
        <v/>
      </c>
      <c r="BL134" s="1885"/>
    </row>
    <row r="135" spans="1:64" ht="13.9" customHeight="1" x14ac:dyDescent="0.25">
      <c r="A135" s="1917">
        <f>Chem!A135</f>
        <v>133</v>
      </c>
      <c r="B135" s="1880" t="str">
        <f>Chem!B135</f>
        <v>n-Nitrosodimethylamine</v>
      </c>
      <c r="C135" s="394" t="str">
        <f>Param!AK135</f>
        <v>no</v>
      </c>
      <c r="D135" s="317" t="str">
        <f>IF(ISNUMBER(Param!AN135),Param!AN135,Param!AM135)</f>
        <v>na</v>
      </c>
      <c r="E135" s="273" t="s">
        <v>232</v>
      </c>
      <c r="F135" s="643" t="s">
        <v>232</v>
      </c>
      <c r="G135" s="550" t="s">
        <v>232</v>
      </c>
      <c r="H135" s="550" t="s">
        <v>232</v>
      </c>
      <c r="I135" s="273" t="s">
        <v>232</v>
      </c>
      <c r="J135" s="273" t="s">
        <v>232</v>
      </c>
      <c r="K135" s="219" t="str">
        <f>IF(C135="YES",'SD-Eq'!V135,"na")</f>
        <v>na</v>
      </c>
      <c r="L135" s="273" t="str">
        <f>IF(C135="YES",'SD-Eq'!Z135,"na")</f>
        <v>na</v>
      </c>
      <c r="M135" s="435" t="str">
        <f t="shared" si="165"/>
        <v>na</v>
      </c>
      <c r="N135" s="273" t="str">
        <f t="shared" si="166"/>
        <v>na</v>
      </c>
      <c r="O135" s="1794" t="str">
        <f t="shared" si="215"/>
        <v>na</v>
      </c>
      <c r="P135" s="1789" t="str">
        <f t="shared" si="216"/>
        <v>na</v>
      </c>
      <c r="Q135" s="418" t="s">
        <v>232</v>
      </c>
      <c r="R135" s="418" t="s">
        <v>232</v>
      </c>
      <c r="S135" s="418" t="s">
        <v>232</v>
      </c>
      <c r="T135" s="418" t="s">
        <v>232</v>
      </c>
      <c r="U135" s="418" t="s">
        <v>232</v>
      </c>
      <c r="V135" s="418" t="s">
        <v>232</v>
      </c>
      <c r="W135" s="418" t="str">
        <f t="shared" si="217"/>
        <v>na</v>
      </c>
      <c r="X135" s="418" t="s">
        <v>232</v>
      </c>
      <c r="Y135" s="1884" t="str">
        <f t="shared" si="170"/>
        <v>na</v>
      </c>
      <c r="Z135" s="1884" t="str">
        <f t="shared" si="171"/>
        <v>na</v>
      </c>
      <c r="AA135" s="1789" t="s">
        <v>232</v>
      </c>
      <c r="AB135" s="1789" t="s">
        <v>232</v>
      </c>
      <c r="AC135" s="273" t="s">
        <v>232</v>
      </c>
      <c r="AD135" s="273" t="s">
        <v>232</v>
      </c>
      <c r="AE135" s="273" t="s">
        <v>232</v>
      </c>
      <c r="AF135" s="273" t="s">
        <v>232</v>
      </c>
      <c r="AG135" s="273" t="s">
        <v>232</v>
      </c>
      <c r="AH135" s="273" t="s">
        <v>232</v>
      </c>
      <c r="AI135" s="273" t="s">
        <v>232</v>
      </c>
      <c r="AJ135" s="273" t="s">
        <v>232</v>
      </c>
      <c r="AK135" s="273" t="s">
        <v>232</v>
      </c>
      <c r="AL135" s="273" t="s">
        <v>232</v>
      </c>
      <c r="AM135" s="273" t="s">
        <v>232</v>
      </c>
      <c r="AN135" s="273" t="str">
        <f t="shared" si="230"/>
        <v>na</v>
      </c>
      <c r="AO135" s="273" t="str">
        <f t="shared" si="173"/>
        <v>na</v>
      </c>
      <c r="AP135" s="273" t="str">
        <f t="shared" si="174"/>
        <v>na</v>
      </c>
      <c r="AQ135" s="273" t="str">
        <f t="shared" si="175"/>
        <v>na</v>
      </c>
      <c r="AR135" s="1789" t="str">
        <f t="shared" si="231"/>
        <v>na</v>
      </c>
      <c r="AS135" s="1051"/>
      <c r="AU135" s="1332" t="str">
        <f t="shared" si="218"/>
        <v/>
      </c>
      <c r="AV135" s="1114" t="str">
        <f t="shared" si="219"/>
        <v/>
      </c>
      <c r="AW135" s="1114" t="str">
        <f t="shared" si="220"/>
        <v/>
      </c>
      <c r="AX135" s="1114" t="str">
        <f t="shared" si="221"/>
        <v/>
      </c>
      <c r="AY135" s="1113" t="str">
        <f t="shared" si="222"/>
        <v/>
      </c>
      <c r="AZ135" s="1114" t="str">
        <f t="shared" si="223"/>
        <v/>
      </c>
      <c r="BA135" s="1114" t="str">
        <f t="shared" si="224"/>
        <v/>
      </c>
      <c r="BB135" s="1704" t="str">
        <f t="shared" si="225"/>
        <v/>
      </c>
      <c r="BC135" s="1113" t="str">
        <f t="shared" si="226"/>
        <v/>
      </c>
      <c r="BD135" s="1114" t="str">
        <f t="shared" si="227"/>
        <v/>
      </c>
      <c r="BE135" s="1114" t="str">
        <f t="shared" si="228"/>
        <v/>
      </c>
      <c r="BF135" s="1114" t="str">
        <f t="shared" si="229"/>
        <v/>
      </c>
      <c r="BG135" s="1114" t="str">
        <f t="shared" si="189"/>
        <v/>
      </c>
      <c r="BH135" s="1114" t="str">
        <f t="shared" si="190"/>
        <v/>
      </c>
      <c r="BI135" s="1114" t="str">
        <f t="shared" si="191"/>
        <v/>
      </c>
      <c r="BJ135" s="1115" t="str">
        <f t="shared" si="192"/>
        <v/>
      </c>
      <c r="BL135" s="1885"/>
    </row>
    <row r="136" spans="1:64" ht="13.9" customHeight="1" x14ac:dyDescent="0.25">
      <c r="A136" s="1917">
        <f>Chem!A136</f>
        <v>134</v>
      </c>
      <c r="B136" s="1880" t="str">
        <f>Chem!B136</f>
        <v>n-Nitrosodiphenylamine</v>
      </c>
      <c r="C136" s="394" t="str">
        <f>Param!AK136</f>
        <v>no</v>
      </c>
      <c r="D136" s="317" t="str">
        <f>IF(ISNUMBER(Param!AN136),Param!AN136,Param!AM136)</f>
        <v>na</v>
      </c>
      <c r="E136" s="273" t="s">
        <v>232</v>
      </c>
      <c r="F136" s="643">
        <v>6.8000000000000005E-2</v>
      </c>
      <c r="G136" s="550">
        <v>11</v>
      </c>
      <c r="H136" s="550">
        <v>2.8000000000000001E-2</v>
      </c>
      <c r="I136" s="273">
        <v>11</v>
      </c>
      <c r="J136" s="273">
        <v>0.04</v>
      </c>
      <c r="K136" s="219" t="str">
        <f>IF(C136="YES",'SD-Eq'!V136,"na")</f>
        <v>na</v>
      </c>
      <c r="L136" s="273" t="str">
        <f>IF(C136="YES",'SD-Eq'!Z136,"na")</f>
        <v>na</v>
      </c>
      <c r="M136" s="435" t="str">
        <f t="shared" si="165"/>
        <v>na</v>
      </c>
      <c r="N136" s="273" t="str">
        <f t="shared" si="166"/>
        <v>na</v>
      </c>
      <c r="O136" s="1794">
        <f t="shared" si="215"/>
        <v>2.8000000000000001E-2</v>
      </c>
      <c r="P136" s="1789">
        <f t="shared" si="216"/>
        <v>0.04</v>
      </c>
      <c r="Q136" s="418" t="s">
        <v>232</v>
      </c>
      <c r="R136" s="418" t="s">
        <v>232</v>
      </c>
      <c r="S136" s="418" t="s">
        <v>232</v>
      </c>
      <c r="T136" s="418" t="s">
        <v>232</v>
      </c>
      <c r="U136" s="418" t="s">
        <v>232</v>
      </c>
      <c r="V136" s="418">
        <v>11</v>
      </c>
      <c r="W136" s="418">
        <f t="shared" si="217"/>
        <v>2.8000000000000001E-2</v>
      </c>
      <c r="X136" s="418" t="s">
        <v>232</v>
      </c>
      <c r="Y136" s="1884" t="str">
        <f t="shared" si="170"/>
        <v>na</v>
      </c>
      <c r="Z136" s="1886">
        <f t="shared" si="171"/>
        <v>2.8000000000000001E-2</v>
      </c>
      <c r="AA136" s="1887">
        <f>$H136</f>
        <v>2.8000000000000001E-2</v>
      </c>
      <c r="AB136" s="1887">
        <f>$H136</f>
        <v>2.8000000000000001E-2</v>
      </c>
      <c r="AC136" s="1887">
        <f>2*$H136</f>
        <v>5.6000000000000001E-2</v>
      </c>
      <c r="AD136" s="1887">
        <f>6*$H136</f>
        <v>0.16800000000000001</v>
      </c>
      <c r="AE136" s="298" t="s">
        <v>232</v>
      </c>
      <c r="AF136" s="298" t="s">
        <v>232</v>
      </c>
      <c r="AG136" s="1887">
        <f>$H136</f>
        <v>2.8000000000000001E-2</v>
      </c>
      <c r="AH136" s="1887">
        <f>$H136</f>
        <v>2.8000000000000001E-2</v>
      </c>
      <c r="AI136" s="1887">
        <f>2*$H136</f>
        <v>5.6000000000000001E-2</v>
      </c>
      <c r="AJ136" s="1887">
        <f>6*$H136</f>
        <v>0.16800000000000001</v>
      </c>
      <c r="AK136" s="298" t="s">
        <v>232</v>
      </c>
      <c r="AL136" s="298" t="s">
        <v>232</v>
      </c>
      <c r="AM136" s="1887">
        <f>$H136</f>
        <v>2.8000000000000001E-2</v>
      </c>
      <c r="AN136" s="298">
        <f t="shared" si="230"/>
        <v>2.8000000000000001E-2</v>
      </c>
      <c r="AO136" s="298">
        <f t="shared" si="173"/>
        <v>5.6000000000000001E-2</v>
      </c>
      <c r="AP136" s="298">
        <f t="shared" si="174"/>
        <v>2.8000000000000001E-2</v>
      </c>
      <c r="AQ136" s="298">
        <f t="shared" si="175"/>
        <v>5.6000000000000001E-2</v>
      </c>
      <c r="AR136" s="1887">
        <f t="shared" si="231"/>
        <v>2.8000000000000001E-2</v>
      </c>
      <c r="AS136" s="1051"/>
      <c r="AU136" s="1332" t="str">
        <f t="shared" si="218"/>
        <v/>
      </c>
      <c r="AV136" s="1114" t="str">
        <f t="shared" si="219"/>
        <v/>
      </c>
      <c r="AW136" s="1114" t="str">
        <f t="shared" si="220"/>
        <v>X</v>
      </c>
      <c r="AX136" s="1114" t="str">
        <f t="shared" si="221"/>
        <v/>
      </c>
      <c r="AY136" s="1113" t="str">
        <f t="shared" si="222"/>
        <v/>
      </c>
      <c r="AZ136" s="1114" t="str">
        <f t="shared" si="223"/>
        <v/>
      </c>
      <c r="BA136" s="1114" t="str">
        <f t="shared" si="224"/>
        <v>X</v>
      </c>
      <c r="BB136" s="1704" t="str">
        <f t="shared" si="225"/>
        <v/>
      </c>
      <c r="BC136" s="1113" t="str">
        <f t="shared" si="226"/>
        <v/>
      </c>
      <c r="BD136" s="1114" t="str">
        <f t="shared" si="227"/>
        <v/>
      </c>
      <c r="BE136" s="1114" t="str">
        <f t="shared" si="228"/>
        <v>X</v>
      </c>
      <c r="BF136" s="1114" t="str">
        <f t="shared" si="229"/>
        <v/>
      </c>
      <c r="BG136" s="1114" t="str">
        <f t="shared" si="189"/>
        <v/>
      </c>
      <c r="BH136" s="1114" t="str">
        <f t="shared" si="190"/>
        <v/>
      </c>
      <c r="BI136" s="1114" t="str">
        <f t="shared" si="191"/>
        <v>X</v>
      </c>
      <c r="BJ136" s="1115" t="str">
        <f t="shared" si="192"/>
        <v/>
      </c>
      <c r="BL136" s="1885"/>
    </row>
    <row r="137" spans="1:64" ht="13.9" customHeight="1" x14ac:dyDescent="0.25">
      <c r="A137" s="1917">
        <f>Chem!A137</f>
        <v>135</v>
      </c>
      <c r="B137" s="1880" t="str">
        <f>Chem!B137</f>
        <v>n-Nitrosodi-n-propylamine</v>
      </c>
      <c r="C137" s="394" t="str">
        <f>Param!AK137</f>
        <v>no</v>
      </c>
      <c r="D137" s="317" t="str">
        <f>IF(ISNUMBER(Param!AN137),Param!AN137,Param!AM137)</f>
        <v>na</v>
      </c>
      <c r="E137" s="273" t="s">
        <v>232</v>
      </c>
      <c r="F137" s="643" t="s">
        <v>232</v>
      </c>
      <c r="G137" s="550" t="s">
        <v>232</v>
      </c>
      <c r="H137" s="550" t="s">
        <v>232</v>
      </c>
      <c r="I137" s="273" t="s">
        <v>232</v>
      </c>
      <c r="J137" s="273" t="s">
        <v>232</v>
      </c>
      <c r="K137" s="219" t="str">
        <f>IF(C137="YES",'SD-Eq'!V137,"na")</f>
        <v>na</v>
      </c>
      <c r="L137" s="273" t="str">
        <f>IF(C137="YES",'SD-Eq'!Z137,"na")</f>
        <v>na</v>
      </c>
      <c r="M137" s="435" t="str">
        <f t="shared" si="165"/>
        <v>na</v>
      </c>
      <c r="N137" s="273" t="str">
        <f t="shared" si="166"/>
        <v>na</v>
      </c>
      <c r="O137" s="1794" t="str">
        <f t="shared" si="215"/>
        <v>na</v>
      </c>
      <c r="P137" s="1789" t="str">
        <f t="shared" si="216"/>
        <v>na</v>
      </c>
      <c r="Q137" s="418" t="s">
        <v>232</v>
      </c>
      <c r="R137" s="418" t="s">
        <v>232</v>
      </c>
      <c r="S137" s="418" t="s">
        <v>232</v>
      </c>
      <c r="T137" s="418" t="s">
        <v>232</v>
      </c>
      <c r="U137" s="418" t="s">
        <v>232</v>
      </c>
      <c r="V137" s="418" t="s">
        <v>232</v>
      </c>
      <c r="W137" s="418" t="str">
        <f t="shared" si="217"/>
        <v>na</v>
      </c>
      <c r="X137" s="418" t="s">
        <v>232</v>
      </c>
      <c r="Y137" s="1884" t="str">
        <f t="shared" si="170"/>
        <v>na</v>
      </c>
      <c r="Z137" s="1884" t="str">
        <f t="shared" si="171"/>
        <v>na</v>
      </c>
      <c r="AA137" s="1789" t="s">
        <v>232</v>
      </c>
      <c r="AB137" s="1789" t="s">
        <v>232</v>
      </c>
      <c r="AC137" s="273" t="s">
        <v>232</v>
      </c>
      <c r="AD137" s="273" t="s">
        <v>232</v>
      </c>
      <c r="AE137" s="273" t="s">
        <v>232</v>
      </c>
      <c r="AF137" s="273" t="s">
        <v>232</v>
      </c>
      <c r="AG137" s="1789" t="s">
        <v>232</v>
      </c>
      <c r="AH137" s="1789" t="s">
        <v>232</v>
      </c>
      <c r="AI137" s="273" t="s">
        <v>232</v>
      </c>
      <c r="AJ137" s="273" t="s">
        <v>232</v>
      </c>
      <c r="AK137" s="273" t="s">
        <v>232</v>
      </c>
      <c r="AL137" s="273" t="s">
        <v>232</v>
      </c>
      <c r="AM137" s="1789" t="s">
        <v>232</v>
      </c>
      <c r="AN137" s="273" t="str">
        <f t="shared" si="230"/>
        <v>na</v>
      </c>
      <c r="AO137" s="273" t="str">
        <f t="shared" si="173"/>
        <v>na</v>
      </c>
      <c r="AP137" s="273" t="str">
        <f t="shared" si="174"/>
        <v>na</v>
      </c>
      <c r="AQ137" s="273" t="str">
        <f t="shared" si="175"/>
        <v>na</v>
      </c>
      <c r="AR137" s="1789" t="str">
        <f t="shared" si="231"/>
        <v>na</v>
      </c>
      <c r="AS137" s="1051"/>
      <c r="AU137" s="1332" t="str">
        <f t="shared" si="218"/>
        <v/>
      </c>
      <c r="AV137" s="1114" t="str">
        <f t="shared" si="219"/>
        <v/>
      </c>
      <c r="AW137" s="1114" t="str">
        <f t="shared" si="220"/>
        <v/>
      </c>
      <c r="AX137" s="1114" t="str">
        <f t="shared" si="221"/>
        <v/>
      </c>
      <c r="AY137" s="1113" t="str">
        <f t="shared" si="222"/>
        <v/>
      </c>
      <c r="AZ137" s="1114" t="str">
        <f t="shared" si="223"/>
        <v/>
      </c>
      <c r="BA137" s="1114" t="str">
        <f t="shared" si="224"/>
        <v/>
      </c>
      <c r="BB137" s="1704" t="str">
        <f t="shared" si="225"/>
        <v/>
      </c>
      <c r="BC137" s="1113" t="str">
        <f t="shared" si="226"/>
        <v/>
      </c>
      <c r="BD137" s="1114" t="str">
        <f t="shared" si="227"/>
        <v/>
      </c>
      <c r="BE137" s="1114" t="str">
        <f t="shared" si="228"/>
        <v/>
      </c>
      <c r="BF137" s="1114" t="str">
        <f t="shared" si="229"/>
        <v/>
      </c>
      <c r="BG137" s="1114" t="str">
        <f t="shared" si="189"/>
        <v/>
      </c>
      <c r="BH137" s="1114" t="str">
        <f t="shared" si="190"/>
        <v/>
      </c>
      <c r="BI137" s="1114" t="str">
        <f t="shared" si="191"/>
        <v/>
      </c>
      <c r="BJ137" s="1115" t="str">
        <f t="shared" si="192"/>
        <v/>
      </c>
      <c r="BL137" s="1885"/>
    </row>
    <row r="138" spans="1:64" ht="13.9" customHeight="1" x14ac:dyDescent="0.25">
      <c r="A138" s="1917">
        <f>Chem!A138</f>
        <v>136</v>
      </c>
      <c r="B138" s="1880" t="str">
        <f>Chem!B138</f>
        <v>Pentachlorophenol</v>
      </c>
      <c r="C138" s="394" t="str">
        <f>Param!AK138</f>
        <v>YES</v>
      </c>
      <c r="D138" s="317" t="str">
        <f>IF(ISNUMBER(Param!AN138),Param!AN138,Param!AM138)</f>
        <v>na</v>
      </c>
      <c r="E138" s="273" t="s">
        <v>232</v>
      </c>
      <c r="F138" s="643">
        <v>0.35499999999999998</v>
      </c>
      <c r="G138" s="550" t="s">
        <v>232</v>
      </c>
      <c r="H138" s="550">
        <v>0.36</v>
      </c>
      <c r="I138" s="273" t="s">
        <v>232</v>
      </c>
      <c r="J138" s="273">
        <v>0.69</v>
      </c>
      <c r="K138" s="219">
        <f>IF(C138="YES",'SD-Eq'!V138,"na")</f>
        <v>1.8132603583644278</v>
      </c>
      <c r="L138" s="273">
        <f>IF(C138="YES",'SD-Eq'!Z138,"na")</f>
        <v>18.132603583644279</v>
      </c>
      <c r="M138" s="435">
        <f t="shared" si="165"/>
        <v>0.35499999999999998</v>
      </c>
      <c r="N138" s="273">
        <f t="shared" si="166"/>
        <v>0.35499999999999998</v>
      </c>
      <c r="O138" s="1794">
        <f t="shared" si="215"/>
        <v>0.35499999999999998</v>
      </c>
      <c r="P138" s="1789">
        <f t="shared" si="216"/>
        <v>0.35499999999999998</v>
      </c>
      <c r="Q138" s="418" t="s">
        <v>232</v>
      </c>
      <c r="R138" s="418" t="s">
        <v>232</v>
      </c>
      <c r="S138" s="418" t="s">
        <v>232</v>
      </c>
      <c r="T138" s="418" t="s">
        <v>232</v>
      </c>
      <c r="U138" s="418" t="s">
        <v>232</v>
      </c>
      <c r="V138" s="418" t="s">
        <v>232</v>
      </c>
      <c r="W138" s="418" t="str">
        <f t="shared" si="217"/>
        <v>na</v>
      </c>
      <c r="X138" s="418" t="s">
        <v>232</v>
      </c>
      <c r="Y138" s="1884" t="str">
        <f t="shared" si="170"/>
        <v>na</v>
      </c>
      <c r="Z138" s="1884">
        <f t="shared" si="171"/>
        <v>0.35499999999999998</v>
      </c>
      <c r="AA138" s="1789">
        <v>0.36</v>
      </c>
      <c r="AB138" s="1789">
        <v>0.36</v>
      </c>
      <c r="AC138" s="273">
        <v>0.72</v>
      </c>
      <c r="AD138" s="273">
        <v>2.16</v>
      </c>
      <c r="AE138" s="273" t="s">
        <v>232</v>
      </c>
      <c r="AF138" s="273" t="s">
        <v>232</v>
      </c>
      <c r="AG138" s="1789">
        <v>0.36</v>
      </c>
      <c r="AH138" s="1789">
        <v>0.36</v>
      </c>
      <c r="AI138" s="273">
        <v>0.72</v>
      </c>
      <c r="AJ138" s="273">
        <v>2.16</v>
      </c>
      <c r="AK138" s="273" t="s">
        <v>232</v>
      </c>
      <c r="AL138" s="273" t="s">
        <v>232</v>
      </c>
      <c r="AM138" s="1789">
        <v>0.36</v>
      </c>
      <c r="AN138" s="273">
        <v>0.36</v>
      </c>
      <c r="AO138" s="273">
        <v>0.72</v>
      </c>
      <c r="AP138" s="273">
        <v>0.36</v>
      </c>
      <c r="AQ138" s="273">
        <v>0.72</v>
      </c>
      <c r="AR138" s="1789">
        <v>0.36</v>
      </c>
      <c r="AS138" s="1051"/>
      <c r="AU138" s="1332" t="str">
        <f t="shared" si="218"/>
        <v/>
      </c>
      <c r="AV138" s="1114" t="str">
        <f t="shared" si="219"/>
        <v>X</v>
      </c>
      <c r="AW138" s="1114" t="str">
        <f t="shared" si="220"/>
        <v/>
      </c>
      <c r="AX138" s="1114" t="str">
        <f t="shared" si="221"/>
        <v/>
      </c>
      <c r="AY138" s="1113" t="str">
        <f t="shared" si="222"/>
        <v/>
      </c>
      <c r="AZ138" s="1114" t="str">
        <f t="shared" si="223"/>
        <v>X</v>
      </c>
      <c r="BA138" s="1114" t="str">
        <f t="shared" si="224"/>
        <v/>
      </c>
      <c r="BB138" s="1704" t="str">
        <f t="shared" si="225"/>
        <v/>
      </c>
      <c r="BC138" s="1113" t="str">
        <f t="shared" si="226"/>
        <v/>
      </c>
      <c r="BD138" s="1114" t="str">
        <f t="shared" si="227"/>
        <v>X</v>
      </c>
      <c r="BE138" s="1114" t="str">
        <f t="shared" si="228"/>
        <v/>
      </c>
      <c r="BF138" s="1114" t="str">
        <f t="shared" si="229"/>
        <v/>
      </c>
      <c r="BG138" s="1114" t="str">
        <f t="shared" si="189"/>
        <v/>
      </c>
      <c r="BH138" s="1114" t="str">
        <f t="shared" si="190"/>
        <v/>
      </c>
      <c r="BI138" s="1114" t="str">
        <f t="shared" si="191"/>
        <v/>
      </c>
      <c r="BJ138" s="1115" t="str">
        <f t="shared" si="192"/>
        <v/>
      </c>
      <c r="BL138" s="1885"/>
    </row>
    <row r="139" spans="1:64" ht="13.9" customHeight="1" x14ac:dyDescent="0.25">
      <c r="A139" s="1917">
        <f>Chem!A139</f>
        <v>137</v>
      </c>
      <c r="B139" s="1880" t="str">
        <f>Chem!B139</f>
        <v>Phenol</v>
      </c>
      <c r="C139" s="394" t="str">
        <f>Param!AK139</f>
        <v>no</v>
      </c>
      <c r="D139" s="317" t="str">
        <f>IF(ISNUMBER(Param!AN139),Param!AN139,Param!AM139)</f>
        <v>na</v>
      </c>
      <c r="E139" s="273" t="s">
        <v>232</v>
      </c>
      <c r="F139" s="643">
        <v>7.1999999999999995E-2</v>
      </c>
      <c r="G139" s="550" t="s">
        <v>232</v>
      </c>
      <c r="H139" s="550">
        <v>0.42</v>
      </c>
      <c r="I139" s="273" t="s">
        <v>232</v>
      </c>
      <c r="J139" s="273">
        <v>1.2</v>
      </c>
      <c r="K139" s="219" t="str">
        <f>IF(C139="YES",'SD-Eq'!V139,"na")</f>
        <v>na</v>
      </c>
      <c r="L139" s="273" t="str">
        <f>IF(C139="YES",'SD-Eq'!Z139,"na")</f>
        <v>na</v>
      </c>
      <c r="M139" s="435" t="str">
        <f t="shared" si="165"/>
        <v>na</v>
      </c>
      <c r="N139" s="273" t="str">
        <f t="shared" si="166"/>
        <v>na</v>
      </c>
      <c r="O139" s="1794">
        <f t="shared" si="215"/>
        <v>0.42</v>
      </c>
      <c r="P139" s="1789">
        <f t="shared" si="216"/>
        <v>1.2</v>
      </c>
      <c r="Q139" s="418" t="s">
        <v>232</v>
      </c>
      <c r="R139" s="418" t="s">
        <v>232</v>
      </c>
      <c r="S139" s="418" t="s">
        <v>232</v>
      </c>
      <c r="T139" s="418" t="s">
        <v>232</v>
      </c>
      <c r="U139" s="418">
        <v>0.42</v>
      </c>
      <c r="V139" s="418" t="s">
        <v>232</v>
      </c>
      <c r="W139" s="418" t="str">
        <f t="shared" si="217"/>
        <v>na</v>
      </c>
      <c r="X139" s="418" t="s">
        <v>232</v>
      </c>
      <c r="Y139" s="1884" t="str">
        <f t="shared" si="170"/>
        <v>na</v>
      </c>
      <c r="Z139" s="1884">
        <f t="shared" si="171"/>
        <v>0.42</v>
      </c>
      <c r="AA139" s="1789">
        <v>0.42</v>
      </c>
      <c r="AB139" s="1789">
        <v>0.42</v>
      </c>
      <c r="AC139" s="273">
        <v>0.84</v>
      </c>
      <c r="AD139" s="273">
        <v>2.52</v>
      </c>
      <c r="AE139" s="273" t="s">
        <v>232</v>
      </c>
      <c r="AF139" s="273" t="s">
        <v>232</v>
      </c>
      <c r="AG139" s="1789">
        <v>0.42</v>
      </c>
      <c r="AH139" s="1789">
        <v>0.42</v>
      </c>
      <c r="AI139" s="273">
        <v>0.84</v>
      </c>
      <c r="AJ139" s="273">
        <v>2.52</v>
      </c>
      <c r="AK139" s="273" t="s">
        <v>232</v>
      </c>
      <c r="AL139" s="273" t="s">
        <v>232</v>
      </c>
      <c r="AM139" s="1789">
        <v>0.42</v>
      </c>
      <c r="AN139" s="273">
        <f t="shared" si="230"/>
        <v>0.42</v>
      </c>
      <c r="AO139" s="273">
        <f t="shared" si="173"/>
        <v>0.84</v>
      </c>
      <c r="AP139" s="273">
        <f t="shared" si="174"/>
        <v>0.42</v>
      </c>
      <c r="AQ139" s="273">
        <f t="shared" si="175"/>
        <v>0.84</v>
      </c>
      <c r="AR139" s="1789">
        <f t="shared" si="231"/>
        <v>0.42</v>
      </c>
      <c r="AS139" s="1051"/>
      <c r="AU139" s="1332" t="str">
        <f t="shared" si="218"/>
        <v/>
      </c>
      <c r="AV139" s="1114" t="str">
        <f t="shared" si="219"/>
        <v/>
      </c>
      <c r="AW139" s="1114" t="str">
        <f t="shared" si="220"/>
        <v>X</v>
      </c>
      <c r="AX139" s="1114" t="str">
        <f t="shared" si="221"/>
        <v/>
      </c>
      <c r="AY139" s="1113" t="str">
        <f t="shared" si="222"/>
        <v/>
      </c>
      <c r="AZ139" s="1114" t="str">
        <f t="shared" si="223"/>
        <v/>
      </c>
      <c r="BA139" s="1114" t="str">
        <f t="shared" si="224"/>
        <v>X</v>
      </c>
      <c r="BB139" s="1704" t="str">
        <f t="shared" si="225"/>
        <v/>
      </c>
      <c r="BC139" s="1113" t="str">
        <f t="shared" si="226"/>
        <v/>
      </c>
      <c r="BD139" s="1114" t="str">
        <f t="shared" si="227"/>
        <v/>
      </c>
      <c r="BE139" s="1114" t="str">
        <f t="shared" si="228"/>
        <v>X</v>
      </c>
      <c r="BF139" s="1114" t="str">
        <f t="shared" si="229"/>
        <v/>
      </c>
      <c r="BG139" s="1114" t="str">
        <f t="shared" si="189"/>
        <v/>
      </c>
      <c r="BH139" s="1114" t="str">
        <f t="shared" si="190"/>
        <v/>
      </c>
      <c r="BI139" s="1114" t="str">
        <f t="shared" si="191"/>
        <v>X</v>
      </c>
      <c r="BJ139" s="1115" t="str">
        <f t="shared" si="192"/>
        <v/>
      </c>
      <c r="BL139" s="1885"/>
    </row>
    <row r="140" spans="1:64" ht="13.9" customHeight="1" x14ac:dyDescent="0.25">
      <c r="A140" s="1917">
        <f>Chem!A140</f>
        <v>138</v>
      </c>
      <c r="B140" s="1880" t="str">
        <f>Chem!B140</f>
        <v>Pyridine</v>
      </c>
      <c r="C140" s="394" t="str">
        <f>Param!AK140</f>
        <v>no</v>
      </c>
      <c r="D140" s="317" t="str">
        <f>IF(ISNUMBER(Param!AN140),Param!AN140,Param!AM140)</f>
        <v>na</v>
      </c>
      <c r="E140" s="273" t="s">
        <v>232</v>
      </c>
      <c r="F140" s="643" t="s">
        <v>232</v>
      </c>
      <c r="G140" s="550" t="s">
        <v>232</v>
      </c>
      <c r="H140" s="550" t="s">
        <v>232</v>
      </c>
      <c r="I140" s="273" t="s">
        <v>232</v>
      </c>
      <c r="J140" s="273" t="s">
        <v>232</v>
      </c>
      <c r="K140" s="219" t="str">
        <f>IF(C140="YES",'SD-Eq'!V140,"na")</f>
        <v>na</v>
      </c>
      <c r="L140" s="273" t="str">
        <f>IF(C140="YES",'SD-Eq'!Z140,"na")</f>
        <v>na</v>
      </c>
      <c r="M140" s="435" t="str">
        <f t="shared" si="165"/>
        <v>na</v>
      </c>
      <c r="N140" s="273" t="str">
        <f t="shared" si="166"/>
        <v>na</v>
      </c>
      <c r="O140" s="1794" t="str">
        <f t="shared" si="215"/>
        <v>na</v>
      </c>
      <c r="P140" s="1789" t="str">
        <f t="shared" si="216"/>
        <v>na</v>
      </c>
      <c r="Q140" s="418" t="s">
        <v>232</v>
      </c>
      <c r="R140" s="418" t="s">
        <v>232</v>
      </c>
      <c r="S140" s="418" t="s">
        <v>232</v>
      </c>
      <c r="T140" s="418" t="s">
        <v>232</v>
      </c>
      <c r="U140" s="418" t="s">
        <v>232</v>
      </c>
      <c r="V140" s="418" t="s">
        <v>232</v>
      </c>
      <c r="W140" s="418" t="str">
        <f t="shared" si="217"/>
        <v>na</v>
      </c>
      <c r="X140" s="418" t="s">
        <v>232</v>
      </c>
      <c r="Y140" s="1884" t="str">
        <f t="shared" si="170"/>
        <v>na</v>
      </c>
      <c r="Z140" s="1884" t="str">
        <f t="shared" si="171"/>
        <v>na</v>
      </c>
      <c r="AA140" s="1789" t="s">
        <v>232</v>
      </c>
      <c r="AB140" s="1789" t="s">
        <v>232</v>
      </c>
      <c r="AC140" s="273" t="s">
        <v>232</v>
      </c>
      <c r="AD140" s="273" t="s">
        <v>232</v>
      </c>
      <c r="AE140" s="273" t="s">
        <v>232</v>
      </c>
      <c r="AF140" s="273" t="s">
        <v>232</v>
      </c>
      <c r="AG140" s="1789" t="s">
        <v>232</v>
      </c>
      <c r="AH140" s="1789" t="s">
        <v>232</v>
      </c>
      <c r="AI140" s="273" t="s">
        <v>232</v>
      </c>
      <c r="AJ140" s="273" t="s">
        <v>232</v>
      </c>
      <c r="AK140" s="273" t="s">
        <v>232</v>
      </c>
      <c r="AL140" s="273" t="s">
        <v>232</v>
      </c>
      <c r="AM140" s="1789" t="s">
        <v>232</v>
      </c>
      <c r="AN140" s="273" t="str">
        <f t="shared" si="230"/>
        <v>na</v>
      </c>
      <c r="AO140" s="273" t="str">
        <f t="shared" si="173"/>
        <v>na</v>
      </c>
      <c r="AP140" s="273" t="str">
        <f t="shared" si="174"/>
        <v>na</v>
      </c>
      <c r="AQ140" s="273" t="str">
        <f t="shared" si="175"/>
        <v>na</v>
      </c>
      <c r="AR140" s="1789" t="str">
        <f t="shared" si="231"/>
        <v>na</v>
      </c>
      <c r="AS140" s="1051"/>
      <c r="AU140" s="1332" t="str">
        <f t="shared" si="218"/>
        <v/>
      </c>
      <c r="AV140" s="1114" t="str">
        <f t="shared" si="219"/>
        <v/>
      </c>
      <c r="AW140" s="1114" t="str">
        <f t="shared" si="220"/>
        <v/>
      </c>
      <c r="AX140" s="1114" t="str">
        <f t="shared" si="221"/>
        <v/>
      </c>
      <c r="AY140" s="1113" t="str">
        <f t="shared" si="222"/>
        <v/>
      </c>
      <c r="AZ140" s="1114" t="str">
        <f t="shared" si="223"/>
        <v/>
      </c>
      <c r="BA140" s="1114" t="str">
        <f t="shared" si="224"/>
        <v/>
      </c>
      <c r="BB140" s="1704" t="str">
        <f t="shared" si="225"/>
        <v/>
      </c>
      <c r="BC140" s="1113" t="str">
        <f t="shared" si="226"/>
        <v/>
      </c>
      <c r="BD140" s="1114" t="str">
        <f t="shared" si="227"/>
        <v/>
      </c>
      <c r="BE140" s="1114" t="str">
        <f t="shared" si="228"/>
        <v/>
      </c>
      <c r="BF140" s="1114" t="str">
        <f t="shared" si="229"/>
        <v/>
      </c>
      <c r="BG140" s="1114" t="str">
        <f t="shared" si="189"/>
        <v/>
      </c>
      <c r="BH140" s="1114" t="str">
        <f t="shared" si="190"/>
        <v/>
      </c>
      <c r="BI140" s="1114" t="str">
        <f t="shared" si="191"/>
        <v/>
      </c>
      <c r="BJ140" s="1115" t="str">
        <f t="shared" si="192"/>
        <v/>
      </c>
      <c r="BL140" s="1885"/>
    </row>
    <row r="141" spans="1:64" ht="13.9" customHeight="1" x14ac:dyDescent="0.25">
      <c r="A141" s="1917">
        <f>Chem!A141</f>
        <v>139</v>
      </c>
      <c r="B141" s="1880" t="str">
        <f>Chem!B141</f>
        <v>2,3,4,5-Tetrachlorophenol</v>
      </c>
      <c r="C141" s="394" t="str">
        <f>Param!AK141</f>
        <v>no</v>
      </c>
      <c r="D141" s="317" t="str">
        <f>IF(ISNUMBER(Param!AN141),Param!AN141,Param!AM141)</f>
        <v>na</v>
      </c>
      <c r="E141" s="273" t="s">
        <v>232</v>
      </c>
      <c r="F141" s="643" t="s">
        <v>232</v>
      </c>
      <c r="G141" s="550" t="s">
        <v>232</v>
      </c>
      <c r="H141" s="550" t="s">
        <v>232</v>
      </c>
      <c r="I141" s="273" t="s">
        <v>232</v>
      </c>
      <c r="J141" s="273" t="s">
        <v>232</v>
      </c>
      <c r="K141" s="219" t="str">
        <f>IF(C141="YES",'SD-Eq'!V141,"na")</f>
        <v>na</v>
      </c>
      <c r="L141" s="273" t="str">
        <f>IF(C141="YES",'SD-Eq'!Z141,"na")</f>
        <v>na</v>
      </c>
      <c r="M141" s="435" t="str">
        <f t="shared" si="165"/>
        <v>na</v>
      </c>
      <c r="N141" s="273" t="str">
        <f t="shared" si="166"/>
        <v>na</v>
      </c>
      <c r="O141" s="1794" t="str">
        <f t="shared" si="215"/>
        <v>na</v>
      </c>
      <c r="P141" s="1789" t="str">
        <f t="shared" si="216"/>
        <v>na</v>
      </c>
      <c r="Q141" s="418" t="s">
        <v>232</v>
      </c>
      <c r="R141" s="418" t="s">
        <v>232</v>
      </c>
      <c r="S141" s="418" t="s">
        <v>232</v>
      </c>
      <c r="T141" s="418" t="s">
        <v>232</v>
      </c>
      <c r="U141" s="418" t="s">
        <v>232</v>
      </c>
      <c r="V141" s="418" t="s">
        <v>232</v>
      </c>
      <c r="W141" s="418" t="str">
        <f t="shared" si="217"/>
        <v>na</v>
      </c>
      <c r="X141" s="418" t="s">
        <v>232</v>
      </c>
      <c r="Y141" s="1884" t="str">
        <f t="shared" si="170"/>
        <v>na</v>
      </c>
      <c r="Z141" s="1884" t="str">
        <f t="shared" si="171"/>
        <v>na</v>
      </c>
      <c r="AA141" s="1789" t="s">
        <v>232</v>
      </c>
      <c r="AB141" s="1789" t="s">
        <v>232</v>
      </c>
      <c r="AC141" s="273" t="s">
        <v>232</v>
      </c>
      <c r="AD141" s="273" t="s">
        <v>232</v>
      </c>
      <c r="AE141" s="273" t="s">
        <v>232</v>
      </c>
      <c r="AF141" s="273" t="s">
        <v>232</v>
      </c>
      <c r="AG141" s="1789" t="s">
        <v>232</v>
      </c>
      <c r="AH141" s="1789" t="s">
        <v>232</v>
      </c>
      <c r="AI141" s="273" t="s">
        <v>232</v>
      </c>
      <c r="AJ141" s="273" t="s">
        <v>232</v>
      </c>
      <c r="AK141" s="273" t="s">
        <v>232</v>
      </c>
      <c r="AL141" s="273" t="s">
        <v>232</v>
      </c>
      <c r="AM141" s="1789" t="s">
        <v>232</v>
      </c>
      <c r="AN141" s="273" t="str">
        <f t="shared" ref="AN141" si="237">IF(MIN(AA141,AB141)=0,"na",MIN(AA141,AB141))</f>
        <v>na</v>
      </c>
      <c r="AO141" s="273" t="str">
        <f t="shared" ref="AO141" si="238">IF(MIN(AC141:AF141)=0,"na",MIN(AC141:AF141))</f>
        <v>na</v>
      </c>
      <c r="AP141" s="273" t="str">
        <f t="shared" ref="AP141" si="239">IF(MIN(AG141,AH141)=0,"na",MIN(AG141,AH141))</f>
        <v>na</v>
      </c>
      <c r="AQ141" s="273" t="str">
        <f t="shared" ref="AQ141" si="240">IF(MIN(AI141:AL141)=0,"na",MIN(AI141:AL141))</f>
        <v>na</v>
      </c>
      <c r="AR141" s="1789" t="str">
        <f t="shared" ref="AR141" si="241">IF(MIN(AA141:AM141)=0,"na",MIN(AA141:AM141))</f>
        <v>na</v>
      </c>
      <c r="AS141" s="1051"/>
      <c r="AU141" s="1332" t="str">
        <f t="shared" si="218"/>
        <v/>
      </c>
      <c r="AV141" s="1114" t="str">
        <f t="shared" si="219"/>
        <v/>
      </c>
      <c r="AW141" s="1114" t="str">
        <f t="shared" si="220"/>
        <v/>
      </c>
      <c r="AX141" s="1114" t="str">
        <f t="shared" si="221"/>
        <v/>
      </c>
      <c r="AY141" s="1113" t="str">
        <f t="shared" si="222"/>
        <v/>
      </c>
      <c r="AZ141" s="1114" t="str">
        <f t="shared" si="223"/>
        <v/>
      </c>
      <c r="BA141" s="1114" t="str">
        <f t="shared" si="224"/>
        <v/>
      </c>
      <c r="BB141" s="1704" t="str">
        <f t="shared" si="225"/>
        <v/>
      </c>
      <c r="BC141" s="1113" t="str">
        <f t="shared" si="226"/>
        <v/>
      </c>
      <c r="BD141" s="1114" t="str">
        <f t="shared" si="227"/>
        <v/>
      </c>
      <c r="BE141" s="1114" t="str">
        <f t="shared" si="228"/>
        <v/>
      </c>
      <c r="BF141" s="1114" t="str">
        <f t="shared" si="229"/>
        <v/>
      </c>
      <c r="BG141" s="1114" t="str">
        <f t="shared" si="189"/>
        <v/>
      </c>
      <c r="BH141" s="1114" t="str">
        <f t="shared" si="190"/>
        <v/>
      </c>
      <c r="BI141" s="1114" t="str">
        <f t="shared" si="191"/>
        <v/>
      </c>
      <c r="BJ141" s="1115" t="str">
        <f t="shared" si="192"/>
        <v/>
      </c>
      <c r="BL141" s="1885"/>
    </row>
    <row r="142" spans="1:64" ht="13.9" customHeight="1" x14ac:dyDescent="0.25">
      <c r="A142" s="1917">
        <f>Chem!A142</f>
        <v>140</v>
      </c>
      <c r="B142" s="1880" t="str">
        <f>Chem!B142</f>
        <v>2,3,4,6-Tetrachlorophenol</v>
      </c>
      <c r="C142" s="394" t="str">
        <f>Param!AK142</f>
        <v>no</v>
      </c>
      <c r="D142" s="317" t="str">
        <f>IF(ISNUMBER(Param!AN142),Param!AN142,Param!AM142)</f>
        <v>na</v>
      </c>
      <c r="E142" s="273" t="s">
        <v>232</v>
      </c>
      <c r="F142" s="643" t="s">
        <v>232</v>
      </c>
      <c r="G142" s="550" t="s">
        <v>232</v>
      </c>
      <c r="H142" s="550" t="s">
        <v>232</v>
      </c>
      <c r="I142" s="273" t="s">
        <v>232</v>
      </c>
      <c r="J142" s="273" t="s">
        <v>232</v>
      </c>
      <c r="K142" s="219" t="str">
        <f>IF(C142="YES",'SD-Eq'!V142,"na")</f>
        <v>na</v>
      </c>
      <c r="L142" s="273" t="str">
        <f>IF(C142="YES",'SD-Eq'!Z142,"na")</f>
        <v>na</v>
      </c>
      <c r="M142" s="435" t="str">
        <f t="shared" si="165"/>
        <v>na</v>
      </c>
      <c r="N142" s="273" t="str">
        <f t="shared" si="166"/>
        <v>na</v>
      </c>
      <c r="O142" s="1794" t="str">
        <f t="shared" si="215"/>
        <v>na</v>
      </c>
      <c r="P142" s="1789" t="str">
        <f t="shared" si="216"/>
        <v>na</v>
      </c>
      <c r="Q142" s="418" t="s">
        <v>232</v>
      </c>
      <c r="R142" s="418" t="s">
        <v>232</v>
      </c>
      <c r="S142" s="418" t="s">
        <v>232</v>
      </c>
      <c r="T142" s="418" t="s">
        <v>232</v>
      </c>
      <c r="U142" s="418" t="s">
        <v>232</v>
      </c>
      <c r="V142" s="418" t="s">
        <v>232</v>
      </c>
      <c r="W142" s="418" t="str">
        <f t="shared" si="217"/>
        <v>na</v>
      </c>
      <c r="X142" s="418" t="s">
        <v>232</v>
      </c>
      <c r="Y142" s="1884" t="str">
        <f t="shared" si="170"/>
        <v>na</v>
      </c>
      <c r="Z142" s="1884" t="str">
        <f t="shared" si="171"/>
        <v>na</v>
      </c>
      <c r="AA142" s="1789" t="s">
        <v>232</v>
      </c>
      <c r="AB142" s="1789" t="s">
        <v>232</v>
      </c>
      <c r="AC142" s="273" t="s">
        <v>232</v>
      </c>
      <c r="AD142" s="273" t="s">
        <v>232</v>
      </c>
      <c r="AE142" s="273" t="s">
        <v>232</v>
      </c>
      <c r="AF142" s="273" t="s">
        <v>232</v>
      </c>
      <c r="AG142" s="1789" t="s">
        <v>232</v>
      </c>
      <c r="AH142" s="1789" t="s">
        <v>232</v>
      </c>
      <c r="AI142" s="273" t="s">
        <v>232</v>
      </c>
      <c r="AJ142" s="273" t="s">
        <v>232</v>
      </c>
      <c r="AK142" s="273" t="s">
        <v>232</v>
      </c>
      <c r="AL142" s="273" t="s">
        <v>232</v>
      </c>
      <c r="AM142" s="1789" t="s">
        <v>232</v>
      </c>
      <c r="AN142" s="273" t="str">
        <f t="shared" ref="AN142" si="242">IF(MIN(AA142,AB142)=0,"na",MIN(AA142,AB142))</f>
        <v>na</v>
      </c>
      <c r="AO142" s="273" t="str">
        <f t="shared" ref="AO142" si="243">IF(MIN(AC142:AF142)=0,"na",MIN(AC142:AF142))</f>
        <v>na</v>
      </c>
      <c r="AP142" s="273" t="str">
        <f t="shared" ref="AP142" si="244">IF(MIN(AG142,AH142)=0,"na",MIN(AG142,AH142))</f>
        <v>na</v>
      </c>
      <c r="AQ142" s="273" t="str">
        <f t="shared" ref="AQ142" si="245">IF(MIN(AI142:AL142)=0,"na",MIN(AI142:AL142))</f>
        <v>na</v>
      </c>
      <c r="AR142" s="1789" t="str">
        <f t="shared" ref="AR142" si="246">IF(MIN(AA142:AM142)=0,"na",MIN(AA142:AM142))</f>
        <v>na</v>
      </c>
      <c r="AS142" s="1051"/>
      <c r="AU142" s="1332" t="str">
        <f t="shared" si="218"/>
        <v/>
      </c>
      <c r="AV142" s="1114" t="str">
        <f t="shared" si="219"/>
        <v/>
      </c>
      <c r="AW142" s="1114" t="str">
        <f t="shared" si="220"/>
        <v/>
      </c>
      <c r="AX142" s="1114" t="str">
        <f t="shared" si="221"/>
        <v/>
      </c>
      <c r="AY142" s="1113" t="str">
        <f t="shared" si="222"/>
        <v/>
      </c>
      <c r="AZ142" s="1114" t="str">
        <f t="shared" si="223"/>
        <v/>
      </c>
      <c r="BA142" s="1114" t="str">
        <f t="shared" si="224"/>
        <v/>
      </c>
      <c r="BB142" s="1704" t="str">
        <f t="shared" si="225"/>
        <v/>
      </c>
      <c r="BC142" s="1113" t="str">
        <f t="shared" si="226"/>
        <v/>
      </c>
      <c r="BD142" s="1114" t="str">
        <f t="shared" si="227"/>
        <v/>
      </c>
      <c r="BE142" s="1114" t="str">
        <f t="shared" si="228"/>
        <v/>
      </c>
      <c r="BF142" s="1114" t="str">
        <f t="shared" si="229"/>
        <v/>
      </c>
      <c r="BG142" s="1114" t="str">
        <f t="shared" si="189"/>
        <v/>
      </c>
      <c r="BH142" s="1114" t="str">
        <f t="shared" si="190"/>
        <v/>
      </c>
      <c r="BI142" s="1114" t="str">
        <f t="shared" si="191"/>
        <v/>
      </c>
      <c r="BJ142" s="1115" t="str">
        <f t="shared" si="192"/>
        <v/>
      </c>
      <c r="BL142" s="1885"/>
    </row>
    <row r="143" spans="1:64" ht="13.9" customHeight="1" x14ac:dyDescent="0.25">
      <c r="A143" s="1917">
        <f>Chem!A143</f>
        <v>141</v>
      </c>
      <c r="B143" s="1880" t="str">
        <f>Chem!B143</f>
        <v>1,2,4-Trichlorobenzene</v>
      </c>
      <c r="C143" s="394" t="str">
        <f>Param!AK143</f>
        <v>no</v>
      </c>
      <c r="D143" s="317" t="str">
        <f>IF(ISNUMBER(Param!AN143),Param!AN143,Param!AM143)</f>
        <v>na</v>
      </c>
      <c r="E143" s="273" t="s">
        <v>232</v>
      </c>
      <c r="F143" s="643">
        <v>6.8000000000000005E-2</v>
      </c>
      <c r="G143" s="550">
        <v>0.81</v>
      </c>
      <c r="H143" s="550">
        <v>3.1E-2</v>
      </c>
      <c r="I143" s="273">
        <v>1.8</v>
      </c>
      <c r="J143" s="273">
        <v>5.0999999999999997E-2</v>
      </c>
      <c r="K143" s="219" t="str">
        <f>IF(C143="YES",'SD-Eq'!V143,"na")</f>
        <v>na</v>
      </c>
      <c r="L143" s="273" t="str">
        <f>IF(C143="YES",'SD-Eq'!Z143,"na")</f>
        <v>na</v>
      </c>
      <c r="M143" s="435" t="str">
        <f t="shared" si="165"/>
        <v>na</v>
      </c>
      <c r="N143" s="273" t="str">
        <f t="shared" ref="N143:N145" si="247">IF($C143="YES",IF(OR(ISNUMBER($D143),ISNUMBER($E143),ISNUMBER($F143)),MAX($D143:$F143),"PQL"),"na")</f>
        <v>na</v>
      </c>
      <c r="O143" s="1794">
        <f t="shared" si="215"/>
        <v>3.1E-2</v>
      </c>
      <c r="P143" s="1789">
        <f t="shared" si="216"/>
        <v>5.0999999999999997E-2</v>
      </c>
      <c r="Q143" s="418" t="s">
        <v>232</v>
      </c>
      <c r="R143" s="418" t="s">
        <v>232</v>
      </c>
      <c r="S143" s="418" t="s">
        <v>232</v>
      </c>
      <c r="T143" s="418" t="s">
        <v>232</v>
      </c>
      <c r="U143" s="418" t="s">
        <v>232</v>
      </c>
      <c r="V143" s="418">
        <v>0.81</v>
      </c>
      <c r="W143" s="418">
        <f t="shared" ref="W143:W145" si="248">IF(ISNUMBER(V143),H143,"na")</f>
        <v>3.1E-2</v>
      </c>
      <c r="X143" s="418" t="s">
        <v>232</v>
      </c>
      <c r="Y143" s="1884" t="str">
        <f t="shared" ref="Y143:Y145" si="249">IF(OR(ISNUMBER(Q143),ISNUMBER(R143),ISNUMBER(S143),ISNUMBER(T143),ISNUMBER(X143)),MIN(Q143:T143,X143),"na")</f>
        <v>na</v>
      </c>
      <c r="Z143" s="1886">
        <f t="shared" ref="Z143:Z145" si="250">IF(OR(ISNUMBER(U143),ISNUMBER(W143),ISNUMBER(Y143)),MIN(U143,W143,Y143),O143)</f>
        <v>3.1E-2</v>
      </c>
      <c r="AA143" s="1887">
        <f>$H143</f>
        <v>3.1E-2</v>
      </c>
      <c r="AB143" s="1887">
        <f>$H143</f>
        <v>3.1E-2</v>
      </c>
      <c r="AC143" s="1887">
        <f>2*$H143</f>
        <v>6.2E-2</v>
      </c>
      <c r="AD143" s="1887">
        <f>6*$H143</f>
        <v>0.186</v>
      </c>
      <c r="AE143" s="298" t="s">
        <v>232</v>
      </c>
      <c r="AF143" s="298" t="s">
        <v>232</v>
      </c>
      <c r="AG143" s="1887">
        <f>$H143</f>
        <v>3.1E-2</v>
      </c>
      <c r="AH143" s="1887">
        <f>$H143</f>
        <v>3.1E-2</v>
      </c>
      <c r="AI143" s="1887">
        <f>2*$H143</f>
        <v>6.2E-2</v>
      </c>
      <c r="AJ143" s="1887">
        <f>6*$H143</f>
        <v>0.186</v>
      </c>
      <c r="AK143" s="298" t="s">
        <v>232</v>
      </c>
      <c r="AL143" s="298" t="s">
        <v>232</v>
      </c>
      <c r="AM143" s="1887">
        <f>$H143</f>
        <v>3.1E-2</v>
      </c>
      <c r="AN143" s="298">
        <f t="shared" si="230"/>
        <v>3.1E-2</v>
      </c>
      <c r="AO143" s="298">
        <f t="shared" si="173"/>
        <v>6.2E-2</v>
      </c>
      <c r="AP143" s="298">
        <f t="shared" si="174"/>
        <v>3.1E-2</v>
      </c>
      <c r="AQ143" s="298">
        <f t="shared" si="175"/>
        <v>6.2E-2</v>
      </c>
      <c r="AR143" s="1887">
        <f t="shared" si="231"/>
        <v>3.1E-2</v>
      </c>
      <c r="AS143" s="1051"/>
      <c r="AU143" s="1332" t="str">
        <f t="shared" si="218"/>
        <v/>
      </c>
      <c r="AV143" s="1114" t="str">
        <f t="shared" si="219"/>
        <v/>
      </c>
      <c r="AW143" s="1114" t="str">
        <f t="shared" si="220"/>
        <v>X</v>
      </c>
      <c r="AX143" s="1114" t="str">
        <f t="shared" si="221"/>
        <v/>
      </c>
      <c r="AY143" s="1113" t="str">
        <f t="shared" si="222"/>
        <v/>
      </c>
      <c r="AZ143" s="1114" t="str">
        <f t="shared" si="223"/>
        <v/>
      </c>
      <c r="BA143" s="1114" t="str">
        <f t="shared" si="224"/>
        <v>X</v>
      </c>
      <c r="BB143" s="1704" t="str">
        <f t="shared" si="225"/>
        <v/>
      </c>
      <c r="BC143" s="1113" t="str">
        <f t="shared" si="226"/>
        <v/>
      </c>
      <c r="BD143" s="1114" t="str">
        <f t="shared" si="227"/>
        <v/>
      </c>
      <c r="BE143" s="1114" t="str">
        <f t="shared" si="228"/>
        <v>X</v>
      </c>
      <c r="BF143" s="1114" t="str">
        <f t="shared" si="229"/>
        <v/>
      </c>
      <c r="BG143" s="1114" t="str">
        <f t="shared" ref="BG143:BG145" si="251">IF($Z143="na","",IF($Z143=Q143,"X",""))</f>
        <v/>
      </c>
      <c r="BH143" s="1114" t="str">
        <f t="shared" ref="BH143:BH145" si="252">IF($Z143="na","",IF(OR($Z143=R143,$Z143=S143,$Z143=T143),"X",""))</f>
        <v/>
      </c>
      <c r="BI143" s="1114" t="str">
        <f t="shared" ref="BI143:BI145" si="253">IF($Z143="na","",IF(OR($Z143=U143,$Z143=W143),"X",""))</f>
        <v>X</v>
      </c>
      <c r="BJ143" s="1115" t="str">
        <f t="shared" ref="BJ143:BJ145" si="254">IF($Z143="na","",IF($Z143=X143,"X",""))</f>
        <v/>
      </c>
      <c r="BL143" s="1885"/>
    </row>
    <row r="144" spans="1:64" ht="13.9" customHeight="1" x14ac:dyDescent="0.25">
      <c r="A144" s="1917">
        <f>Chem!A144</f>
        <v>142</v>
      </c>
      <c r="B144" s="1880" t="str">
        <f>Chem!B144</f>
        <v>2,4,5-Trichlorophenol</v>
      </c>
      <c r="C144" s="394" t="str">
        <f>Param!AK144</f>
        <v>no</v>
      </c>
      <c r="D144" s="317" t="str">
        <f>IF(ISNUMBER(Param!AN144),Param!AN144,Param!AM144)</f>
        <v>na</v>
      </c>
      <c r="E144" s="273" t="s">
        <v>232</v>
      </c>
      <c r="F144" s="643" t="s">
        <v>232</v>
      </c>
      <c r="G144" s="550" t="s">
        <v>232</v>
      </c>
      <c r="H144" s="550" t="s">
        <v>232</v>
      </c>
      <c r="I144" s="273" t="s">
        <v>232</v>
      </c>
      <c r="J144" s="273" t="s">
        <v>232</v>
      </c>
      <c r="K144" s="219" t="str">
        <f>IF(C144="YES",'SD-Eq'!V144,"na")</f>
        <v>na</v>
      </c>
      <c r="L144" s="273" t="str">
        <f>IF(C144="YES",'SD-Eq'!Z144,"na")</f>
        <v>na</v>
      </c>
      <c r="M144" s="435" t="str">
        <f t="shared" si="165"/>
        <v>na</v>
      </c>
      <c r="N144" s="273" t="str">
        <f t="shared" si="247"/>
        <v>na</v>
      </c>
      <c r="O144" s="1794" t="str">
        <f t="shared" si="215"/>
        <v>na</v>
      </c>
      <c r="P144" s="1789" t="str">
        <f t="shared" si="216"/>
        <v>na</v>
      </c>
      <c r="Q144" s="418" t="s">
        <v>232</v>
      </c>
      <c r="R144" s="418" t="s">
        <v>232</v>
      </c>
      <c r="S144" s="418" t="s">
        <v>232</v>
      </c>
      <c r="T144" s="418" t="s">
        <v>232</v>
      </c>
      <c r="U144" s="418" t="s">
        <v>232</v>
      </c>
      <c r="V144" s="418" t="s">
        <v>232</v>
      </c>
      <c r="W144" s="418" t="str">
        <f t="shared" si="248"/>
        <v>na</v>
      </c>
      <c r="X144" s="418" t="s">
        <v>232</v>
      </c>
      <c r="Y144" s="1884" t="str">
        <f t="shared" si="249"/>
        <v>na</v>
      </c>
      <c r="Z144" s="1884" t="str">
        <f t="shared" si="250"/>
        <v>na</v>
      </c>
      <c r="AA144" s="1789" t="s">
        <v>232</v>
      </c>
      <c r="AB144" s="1789" t="s">
        <v>232</v>
      </c>
      <c r="AC144" s="273" t="s">
        <v>232</v>
      </c>
      <c r="AD144" s="273" t="s">
        <v>232</v>
      </c>
      <c r="AE144" s="273" t="s">
        <v>232</v>
      </c>
      <c r="AF144" s="273" t="s">
        <v>232</v>
      </c>
      <c r="AG144" s="273" t="s">
        <v>232</v>
      </c>
      <c r="AH144" s="273" t="s">
        <v>232</v>
      </c>
      <c r="AI144" s="273" t="s">
        <v>232</v>
      </c>
      <c r="AJ144" s="273" t="s">
        <v>232</v>
      </c>
      <c r="AK144" s="273" t="s">
        <v>232</v>
      </c>
      <c r="AL144" s="273" t="s">
        <v>232</v>
      </c>
      <c r="AM144" s="273" t="s">
        <v>232</v>
      </c>
      <c r="AN144" s="273" t="str">
        <f t="shared" si="230"/>
        <v>na</v>
      </c>
      <c r="AO144" s="273" t="str">
        <f t="shared" si="173"/>
        <v>na</v>
      </c>
      <c r="AP144" s="273" t="str">
        <f t="shared" si="174"/>
        <v>na</v>
      </c>
      <c r="AQ144" s="273" t="str">
        <f t="shared" si="175"/>
        <v>na</v>
      </c>
      <c r="AR144" s="1789" t="str">
        <f t="shared" si="231"/>
        <v>na</v>
      </c>
      <c r="AS144" s="1051"/>
      <c r="AU144" s="1332" t="str">
        <f t="shared" si="218"/>
        <v/>
      </c>
      <c r="AV144" s="1114" t="str">
        <f t="shared" si="219"/>
        <v/>
      </c>
      <c r="AW144" s="1114" t="str">
        <f t="shared" si="220"/>
        <v/>
      </c>
      <c r="AX144" s="1114" t="str">
        <f t="shared" si="221"/>
        <v/>
      </c>
      <c r="AY144" s="1113" t="str">
        <f t="shared" si="222"/>
        <v/>
      </c>
      <c r="AZ144" s="1114" t="str">
        <f t="shared" si="223"/>
        <v/>
      </c>
      <c r="BA144" s="1114" t="str">
        <f t="shared" si="224"/>
        <v/>
      </c>
      <c r="BB144" s="1704" t="str">
        <f t="shared" si="225"/>
        <v/>
      </c>
      <c r="BC144" s="1113" t="str">
        <f t="shared" si="226"/>
        <v/>
      </c>
      <c r="BD144" s="1114" t="str">
        <f t="shared" si="227"/>
        <v/>
      </c>
      <c r="BE144" s="1114" t="str">
        <f t="shared" si="228"/>
        <v/>
      </c>
      <c r="BF144" s="1114" t="str">
        <f t="shared" si="229"/>
        <v/>
      </c>
      <c r="BG144" s="1114" t="str">
        <f t="shared" si="251"/>
        <v/>
      </c>
      <c r="BH144" s="1114" t="str">
        <f t="shared" si="252"/>
        <v/>
      </c>
      <c r="BI144" s="1114" t="str">
        <f t="shared" si="253"/>
        <v/>
      </c>
      <c r="BJ144" s="1115" t="str">
        <f t="shared" si="254"/>
        <v/>
      </c>
      <c r="BL144" s="1885"/>
    </row>
    <row r="145" spans="1:64" ht="13.9" customHeight="1" x14ac:dyDescent="0.25">
      <c r="A145" s="1908">
        <f>Chem!A145</f>
        <v>143</v>
      </c>
      <c r="B145" s="1880" t="str">
        <f>Chem!B145</f>
        <v>2,4,6-Trichlorophenol</v>
      </c>
      <c r="C145" s="394" t="str">
        <f>Param!AK145</f>
        <v>no</v>
      </c>
      <c r="D145" s="317" t="str">
        <f>IF(ISNUMBER(Param!AN145),Param!AN145,Param!AM145)</f>
        <v>na</v>
      </c>
      <c r="E145" s="273" t="s">
        <v>232</v>
      </c>
      <c r="F145" s="643" t="s">
        <v>232</v>
      </c>
      <c r="G145" s="550" t="s">
        <v>232</v>
      </c>
      <c r="H145" s="550" t="s">
        <v>232</v>
      </c>
      <c r="I145" s="273" t="s">
        <v>232</v>
      </c>
      <c r="J145" s="273" t="s">
        <v>232</v>
      </c>
      <c r="K145" s="219" t="str">
        <f>IF(C145="YES",'SD-Eq'!V145,"na")</f>
        <v>na</v>
      </c>
      <c r="L145" s="273" t="str">
        <f>IF(C145="YES",'SD-Eq'!Z145,"na")</f>
        <v>na</v>
      </c>
      <c r="M145" s="435" t="str">
        <f t="shared" si="165"/>
        <v>na</v>
      </c>
      <c r="N145" s="273" t="str">
        <f t="shared" si="247"/>
        <v>na</v>
      </c>
      <c r="O145" s="1794" t="str">
        <f t="shared" si="215"/>
        <v>na</v>
      </c>
      <c r="P145" s="1789" t="str">
        <f t="shared" si="216"/>
        <v>na</v>
      </c>
      <c r="Q145" s="418" t="s">
        <v>232</v>
      </c>
      <c r="R145" s="418" t="s">
        <v>232</v>
      </c>
      <c r="S145" s="418" t="s">
        <v>232</v>
      </c>
      <c r="T145" s="418" t="s">
        <v>232</v>
      </c>
      <c r="U145" s="418" t="s">
        <v>232</v>
      </c>
      <c r="V145" s="418" t="s">
        <v>232</v>
      </c>
      <c r="W145" s="418" t="str">
        <f t="shared" si="248"/>
        <v>na</v>
      </c>
      <c r="X145" s="418" t="s">
        <v>232</v>
      </c>
      <c r="Y145" s="1884" t="str">
        <f t="shared" si="249"/>
        <v>na</v>
      </c>
      <c r="Z145" s="1884" t="str">
        <f t="shared" si="250"/>
        <v>na</v>
      </c>
      <c r="AA145" s="1789" t="s">
        <v>232</v>
      </c>
      <c r="AB145" s="1789" t="s">
        <v>232</v>
      </c>
      <c r="AC145" s="273" t="s">
        <v>232</v>
      </c>
      <c r="AD145" s="273" t="s">
        <v>232</v>
      </c>
      <c r="AE145" s="273" t="s">
        <v>232</v>
      </c>
      <c r="AF145" s="273" t="s">
        <v>232</v>
      </c>
      <c r="AG145" s="273" t="s">
        <v>232</v>
      </c>
      <c r="AH145" s="273" t="s">
        <v>232</v>
      </c>
      <c r="AI145" s="273" t="s">
        <v>232</v>
      </c>
      <c r="AJ145" s="273" t="s">
        <v>232</v>
      </c>
      <c r="AK145" s="273" t="s">
        <v>232</v>
      </c>
      <c r="AL145" s="273" t="s">
        <v>232</v>
      </c>
      <c r="AM145" s="273" t="s">
        <v>232</v>
      </c>
      <c r="AN145" s="273" t="str">
        <f t="shared" si="230"/>
        <v>na</v>
      </c>
      <c r="AO145" s="273" t="str">
        <f t="shared" si="173"/>
        <v>na</v>
      </c>
      <c r="AP145" s="273" t="str">
        <f t="shared" si="174"/>
        <v>na</v>
      </c>
      <c r="AQ145" s="273" t="str">
        <f t="shared" si="175"/>
        <v>na</v>
      </c>
      <c r="AR145" s="1789" t="str">
        <f t="shared" si="231"/>
        <v>na</v>
      </c>
      <c r="AS145" s="1795"/>
      <c r="AU145" s="1333" t="str">
        <f t="shared" si="218"/>
        <v/>
      </c>
      <c r="AV145" s="1117" t="str">
        <f t="shared" si="219"/>
        <v/>
      </c>
      <c r="AW145" s="1117" t="str">
        <f t="shared" si="220"/>
        <v/>
      </c>
      <c r="AX145" s="1117" t="str">
        <f t="shared" si="221"/>
        <v/>
      </c>
      <c r="AY145" s="1116" t="str">
        <f t="shared" si="222"/>
        <v/>
      </c>
      <c r="AZ145" s="1117" t="str">
        <f t="shared" si="223"/>
        <v/>
      </c>
      <c r="BA145" s="1117" t="str">
        <f t="shared" si="224"/>
        <v/>
      </c>
      <c r="BB145" s="1707" t="str">
        <f t="shared" si="225"/>
        <v/>
      </c>
      <c r="BC145" s="1336" t="str">
        <f t="shared" si="226"/>
        <v/>
      </c>
      <c r="BD145" s="1337" t="str">
        <f t="shared" si="227"/>
        <v/>
      </c>
      <c r="BE145" s="1337" t="str">
        <f t="shared" si="228"/>
        <v/>
      </c>
      <c r="BF145" s="1337" t="str">
        <f t="shared" si="229"/>
        <v/>
      </c>
      <c r="BG145" s="1337" t="str">
        <f t="shared" si="251"/>
        <v/>
      </c>
      <c r="BH145" s="1337" t="str">
        <f t="shared" si="252"/>
        <v/>
      </c>
      <c r="BI145" s="1337" t="str">
        <f t="shared" si="253"/>
        <v/>
      </c>
      <c r="BJ145" s="1338" t="str">
        <f t="shared" si="254"/>
        <v/>
      </c>
      <c r="BL145" s="1885"/>
    </row>
    <row r="146" spans="1:64" ht="13.9" customHeight="1" x14ac:dyDescent="0.25">
      <c r="A146" s="1919">
        <f>Chem!A146</f>
        <v>144</v>
      </c>
      <c r="B146" s="1899" t="str">
        <f>Chem!B146</f>
        <v>Volatile Organic Compounds</v>
      </c>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297"/>
      <c r="AO146" s="297"/>
      <c r="AP146" s="297"/>
      <c r="AQ146" s="297"/>
      <c r="AR146" s="297"/>
      <c r="AS146" s="2366"/>
      <c r="AU146" s="250" t="str">
        <f>B146</f>
        <v>Volatile Organic Compounds</v>
      </c>
      <c r="AV146" s="2375"/>
      <c r="AW146" s="2375"/>
      <c r="AX146" s="2375"/>
      <c r="AY146" s="2375"/>
      <c r="AZ146" s="2375"/>
      <c r="BA146" s="2375"/>
      <c r="BB146" s="2375"/>
      <c r="BC146" s="2372"/>
      <c r="BD146" s="2372"/>
      <c r="BE146" s="2372"/>
      <c r="BF146" s="2372"/>
      <c r="BG146" s="2372"/>
      <c r="BH146" s="2372"/>
      <c r="BI146" s="2372"/>
      <c r="BJ146" s="2373"/>
      <c r="BL146" s="1901"/>
    </row>
    <row r="147" spans="1:64" ht="13.9" customHeight="1" x14ac:dyDescent="0.25">
      <c r="A147" s="1916">
        <f>Chem!A147</f>
        <v>145</v>
      </c>
      <c r="B147" s="1880" t="str">
        <f>Chem!B147</f>
        <v>Acetone</v>
      </c>
      <c r="C147" s="394" t="str">
        <f>Param!AK147</f>
        <v>no</v>
      </c>
      <c r="D147" s="317" t="str">
        <f>IF(ISNUMBER(Param!AN147),Param!AN147,Param!AM147)</f>
        <v>na</v>
      </c>
      <c r="E147" s="273" t="s">
        <v>232</v>
      </c>
      <c r="F147" s="643" t="s">
        <v>232</v>
      </c>
      <c r="G147" s="550" t="s">
        <v>232</v>
      </c>
      <c r="H147" s="550" t="s">
        <v>232</v>
      </c>
      <c r="I147" s="273" t="s">
        <v>232</v>
      </c>
      <c r="J147" s="273" t="s">
        <v>232</v>
      </c>
      <c r="K147" s="219" t="str">
        <f>IF(C147="YES",'SD-Eq'!V147,"na")</f>
        <v>na</v>
      </c>
      <c r="L147" s="273" t="str">
        <f>IF(C147="YES",'SD-Eq'!Z147,"na")</f>
        <v>na</v>
      </c>
      <c r="M147" s="435" t="str">
        <f t="shared" ref="M147:M214" si="255">IF($C147="YES",IF(OR(ISNUMBER($D147),ISNUMBER($F147)),MAX($D147,$F147),"PQL"),"na")</f>
        <v>na</v>
      </c>
      <c r="N147" s="273" t="str">
        <f t="shared" ref="N147:N210" si="256">IF($C147="YES",IF(OR(ISNUMBER($D147),ISNUMBER($E147),ISNUMBER($F147)),MAX($D147:$F147),"PQL"),"na")</f>
        <v>na</v>
      </c>
      <c r="O147" s="1794" t="str">
        <f t="shared" ref="O147:O178" si="257">IF(OR(ISNUMBER(H147),ISNUMBER(K147),ISNUMBER(M147)),MIN(H147,K147,M147),"na")</f>
        <v>na</v>
      </c>
      <c r="P147" s="1789" t="str">
        <f t="shared" ref="P147:P178" si="258">IF(OR(ISNUMBER(J147),ISNUMBER(L147),ISNUMBER(N147)),MIN(J147,L147,N147),"na")</f>
        <v>na</v>
      </c>
      <c r="Q147" s="418" t="s">
        <v>232</v>
      </c>
      <c r="R147" s="418" t="s">
        <v>232</v>
      </c>
      <c r="S147" s="418" t="s">
        <v>232</v>
      </c>
      <c r="T147" s="418" t="s">
        <v>232</v>
      </c>
      <c r="U147" s="418" t="s">
        <v>232</v>
      </c>
      <c r="V147" s="418" t="s">
        <v>232</v>
      </c>
      <c r="W147" s="418" t="str">
        <f t="shared" ref="W147:W178" si="259">IF(ISNUMBER(V147),H147,"na")</f>
        <v>na</v>
      </c>
      <c r="X147" s="418" t="s">
        <v>232</v>
      </c>
      <c r="Y147" s="1884" t="str">
        <f t="shared" ref="Y147:Y210" si="260">IF(OR(ISNUMBER(Q147),ISNUMBER(R147),ISNUMBER(S147),ISNUMBER(T147),ISNUMBER(X147)),MIN(Q147:T147,X147),"na")</f>
        <v>na</v>
      </c>
      <c r="Z147" s="1884" t="str">
        <f t="shared" ref="Z147:Z210" si="261">IF(OR(ISNUMBER(U147),ISNUMBER(W147),ISNUMBER(Y147)),MIN(U147,W147,Y147),O147)</f>
        <v>na</v>
      </c>
      <c r="AA147" s="1789" t="s">
        <v>232</v>
      </c>
      <c r="AB147" s="1789" t="s">
        <v>232</v>
      </c>
      <c r="AC147" s="273" t="s">
        <v>232</v>
      </c>
      <c r="AD147" s="273" t="s">
        <v>232</v>
      </c>
      <c r="AE147" s="273" t="s">
        <v>232</v>
      </c>
      <c r="AF147" s="273" t="s">
        <v>232</v>
      </c>
      <c r="AG147" s="273" t="s">
        <v>232</v>
      </c>
      <c r="AH147" s="273" t="s">
        <v>232</v>
      </c>
      <c r="AI147" s="273" t="s">
        <v>232</v>
      </c>
      <c r="AJ147" s="273" t="s">
        <v>232</v>
      </c>
      <c r="AK147" s="273" t="s">
        <v>232</v>
      </c>
      <c r="AL147" s="273" t="s">
        <v>232</v>
      </c>
      <c r="AM147" s="273" t="s">
        <v>232</v>
      </c>
      <c r="AN147" s="273" t="str">
        <f t="shared" ref="AN147:AN179" si="262">IF(MIN(AA147,AB147)=0,"na",MIN(AA147,AB147))</f>
        <v>na</v>
      </c>
      <c r="AO147" s="273" t="str">
        <f t="shared" ref="AO147:AO215" si="263">IF(MIN(AC147:AF147)=0,"na",MIN(AC147:AF147))</f>
        <v>na</v>
      </c>
      <c r="AP147" s="273" t="str">
        <f t="shared" ref="AP147:AP215" si="264">IF(MIN(AG147,AH147)=0,"na",MIN(AG147,AH147))</f>
        <v>na</v>
      </c>
      <c r="AQ147" s="273" t="str">
        <f t="shared" ref="AQ147:AQ215" si="265">IF(MIN(AI147:AL147)=0,"na",MIN(AI147:AL147))</f>
        <v>na</v>
      </c>
      <c r="AR147" s="1789" t="str">
        <f t="shared" ref="AR147:AR179" si="266">IF(MIN(AA147:AM147)=0,"na",MIN(AA147:AM147))</f>
        <v>na</v>
      </c>
      <c r="AS147" s="1793"/>
      <c r="AU147" s="1331" t="str">
        <f t="shared" ref="AU147:AU178" si="267">IF($O147="na","",IF($O147=D147,"X",""))</f>
        <v/>
      </c>
      <c r="AV147" s="1111" t="str">
        <f t="shared" ref="AV147:AV178" si="268">IF(OR($O147="PQL",AND(ISNUMBER($F147),$O147=F147)),"X","")</f>
        <v/>
      </c>
      <c r="AW147" s="1111" t="str">
        <f t="shared" ref="AW147:AW178" si="269">IF($O147="na","",IF($O147=H147,"X",""))</f>
        <v/>
      </c>
      <c r="AX147" s="1111" t="str">
        <f t="shared" ref="AX147:AX178" si="270">IF($O147="na","",IF($O147=$K147,"X",""))</f>
        <v/>
      </c>
      <c r="AY147" s="1110" t="str">
        <f t="shared" ref="AY147:AY178" si="271">IF($P147="na","",IF($P147=E147,"X",""))</f>
        <v/>
      </c>
      <c r="AZ147" s="1111" t="str">
        <f t="shared" ref="AZ147:AZ178" si="272">IF(OR($P147="PQL",AND(ISNUMBER($F147),$P147=F147)),"X","")</f>
        <v/>
      </c>
      <c r="BA147" s="1111" t="str">
        <f t="shared" ref="BA147:BA178" si="273">IF($P147="na","",IF($P147=J147,"X",""))</f>
        <v/>
      </c>
      <c r="BB147" s="1703" t="str">
        <f t="shared" ref="BB147:BB178" si="274">IF($P147="na","",IF($P147=$L147,"X",""))</f>
        <v/>
      </c>
      <c r="BC147" s="1468" t="str">
        <f t="shared" ref="BC147:BC178" si="275">IF($Z147="na","",IF($Z147=D147,"X",""))</f>
        <v/>
      </c>
      <c r="BD147" s="1469" t="str">
        <f t="shared" ref="BD147:BD178" si="276">IF($Z147="na","",IF($Z147=F147,"X",""))</f>
        <v/>
      </c>
      <c r="BE147" s="1469" t="str">
        <f t="shared" ref="BE147:BE178" si="277">IF($Z147="na","",IF($Z147=H147,"X",""))</f>
        <v/>
      </c>
      <c r="BF147" s="1469" t="str">
        <f t="shared" ref="BF147:BF178" si="278">IF($Z147="na","",IF($Z147=K147,"X",""))</f>
        <v/>
      </c>
      <c r="BG147" s="1469" t="str">
        <f t="shared" ref="BG147:BG210" si="279">IF($Z147="na","",IF($Z147=Q147,"X",""))</f>
        <v/>
      </c>
      <c r="BH147" s="1469" t="str">
        <f t="shared" ref="BH147:BH210" si="280">IF($Z147="na","",IF(OR($Z147=R147,$Z147=S147,$Z147=T147),"X",""))</f>
        <v/>
      </c>
      <c r="BI147" s="1469" t="str">
        <f t="shared" ref="BI147:BI210" si="281">IF($Z147="na","",IF(OR($Z147=U147,$Z147=W147),"X",""))</f>
        <v/>
      </c>
      <c r="BJ147" s="1470" t="str">
        <f t="shared" ref="BJ147:BJ210" si="282">IF($Z147="na","",IF($Z147=X147,"X",""))</f>
        <v/>
      </c>
      <c r="BL147" s="1885"/>
    </row>
    <row r="148" spans="1:64" ht="13.9" customHeight="1" x14ac:dyDescent="0.25">
      <c r="A148" s="1916">
        <f>Chem!A148</f>
        <v>146</v>
      </c>
      <c r="B148" s="1880" t="str">
        <f>Chem!B148</f>
        <v>Acetaldehyde</v>
      </c>
      <c r="C148" s="394" t="str">
        <f>Param!AK148</f>
        <v>no</v>
      </c>
      <c r="D148" s="317" t="str">
        <f>IF(ISNUMBER(Param!AN148),Param!AN148,Param!AM148)</f>
        <v>na</v>
      </c>
      <c r="E148" s="273" t="s">
        <v>232</v>
      </c>
      <c r="F148" s="643" t="s">
        <v>232</v>
      </c>
      <c r="G148" s="550" t="s">
        <v>232</v>
      </c>
      <c r="H148" s="550" t="s">
        <v>232</v>
      </c>
      <c r="I148" s="273" t="s">
        <v>232</v>
      </c>
      <c r="J148" s="273" t="s">
        <v>232</v>
      </c>
      <c r="K148" s="219" t="str">
        <f>IF(C148="YES",'SD-Eq'!V148,"na")</f>
        <v>na</v>
      </c>
      <c r="L148" s="273" t="str">
        <f>IF(C148="YES",'SD-Eq'!Z148,"na")</f>
        <v>na</v>
      </c>
      <c r="M148" s="435" t="str">
        <f t="shared" si="255"/>
        <v>na</v>
      </c>
      <c r="N148" s="273" t="str">
        <f t="shared" si="256"/>
        <v>na</v>
      </c>
      <c r="O148" s="1794" t="str">
        <f t="shared" si="257"/>
        <v>na</v>
      </c>
      <c r="P148" s="1789" t="str">
        <f t="shared" si="258"/>
        <v>na</v>
      </c>
      <c r="Q148" s="418" t="s">
        <v>232</v>
      </c>
      <c r="R148" s="418" t="s">
        <v>232</v>
      </c>
      <c r="S148" s="418" t="s">
        <v>232</v>
      </c>
      <c r="T148" s="418" t="s">
        <v>232</v>
      </c>
      <c r="U148" s="418" t="s">
        <v>232</v>
      </c>
      <c r="V148" s="418" t="s">
        <v>232</v>
      </c>
      <c r="W148" s="418" t="str">
        <f t="shared" si="259"/>
        <v>na</v>
      </c>
      <c r="X148" s="418" t="s">
        <v>232</v>
      </c>
      <c r="Y148" s="1884" t="str">
        <f t="shared" si="260"/>
        <v>na</v>
      </c>
      <c r="Z148" s="1884" t="str">
        <f t="shared" si="261"/>
        <v>na</v>
      </c>
      <c r="AA148" s="1789" t="s">
        <v>232</v>
      </c>
      <c r="AB148" s="1789" t="s">
        <v>232</v>
      </c>
      <c r="AC148" s="273" t="s">
        <v>232</v>
      </c>
      <c r="AD148" s="273" t="s">
        <v>232</v>
      </c>
      <c r="AE148" s="273" t="s">
        <v>232</v>
      </c>
      <c r="AF148" s="273" t="s">
        <v>232</v>
      </c>
      <c r="AG148" s="273" t="s">
        <v>232</v>
      </c>
      <c r="AH148" s="273" t="s">
        <v>232</v>
      </c>
      <c r="AI148" s="273" t="s">
        <v>232</v>
      </c>
      <c r="AJ148" s="273" t="s">
        <v>232</v>
      </c>
      <c r="AK148" s="273" t="s">
        <v>232</v>
      </c>
      <c r="AL148" s="273" t="s">
        <v>232</v>
      </c>
      <c r="AM148" s="273" t="s">
        <v>232</v>
      </c>
      <c r="AN148" s="273" t="str">
        <f t="shared" ref="AN148" si="283">IF(MIN(AA148,AB148)=0,"na",MIN(AA148,AB148))</f>
        <v>na</v>
      </c>
      <c r="AO148" s="273" t="str">
        <f t="shared" ref="AO148" si="284">IF(MIN(AC148:AF148)=0,"na",MIN(AC148:AF148))</f>
        <v>na</v>
      </c>
      <c r="AP148" s="273" t="str">
        <f t="shared" ref="AP148" si="285">IF(MIN(AG148,AH148)=0,"na",MIN(AG148,AH148))</f>
        <v>na</v>
      </c>
      <c r="AQ148" s="273" t="str">
        <f t="shared" ref="AQ148" si="286">IF(MIN(AI148:AL148)=0,"na",MIN(AI148:AL148))</f>
        <v>na</v>
      </c>
      <c r="AR148" s="1789" t="str">
        <f t="shared" ref="AR148" si="287">IF(MIN(AA148:AM148)=0,"na",MIN(AA148:AM148))</f>
        <v>na</v>
      </c>
      <c r="AS148" s="1807"/>
      <c r="AU148" s="1332" t="str">
        <f t="shared" si="267"/>
        <v/>
      </c>
      <c r="AV148" s="1114" t="str">
        <f t="shared" si="268"/>
        <v/>
      </c>
      <c r="AW148" s="1114" t="str">
        <f t="shared" si="269"/>
        <v/>
      </c>
      <c r="AX148" s="1114" t="str">
        <f t="shared" si="270"/>
        <v/>
      </c>
      <c r="AY148" s="1113" t="str">
        <f t="shared" si="271"/>
        <v/>
      </c>
      <c r="AZ148" s="1114" t="str">
        <f t="shared" si="272"/>
        <v/>
      </c>
      <c r="BA148" s="1114" t="str">
        <f t="shared" si="273"/>
        <v/>
      </c>
      <c r="BB148" s="1704" t="str">
        <f t="shared" si="274"/>
        <v/>
      </c>
      <c r="BC148" s="1113" t="str">
        <f t="shared" si="275"/>
        <v/>
      </c>
      <c r="BD148" s="1114" t="str">
        <f t="shared" si="276"/>
        <v/>
      </c>
      <c r="BE148" s="1114" t="str">
        <f t="shared" si="277"/>
        <v/>
      </c>
      <c r="BF148" s="1114" t="str">
        <f t="shared" si="278"/>
        <v/>
      </c>
      <c r="BG148" s="1114" t="str">
        <f t="shared" si="279"/>
        <v/>
      </c>
      <c r="BH148" s="1114" t="str">
        <f t="shared" si="280"/>
        <v/>
      </c>
      <c r="BI148" s="1114" t="str">
        <f t="shared" si="281"/>
        <v/>
      </c>
      <c r="BJ148" s="1115" t="str">
        <f t="shared" si="282"/>
        <v/>
      </c>
      <c r="BL148" s="1885"/>
    </row>
    <row r="149" spans="1:64" ht="13.9" customHeight="1" x14ac:dyDescent="0.25">
      <c r="A149" s="1916">
        <f>Chem!A149</f>
        <v>147</v>
      </c>
      <c r="B149" s="1880" t="str">
        <f>Chem!B149</f>
        <v>Acrolein</v>
      </c>
      <c r="C149" s="394" t="str">
        <f>Param!AK149</f>
        <v>no</v>
      </c>
      <c r="D149" s="317" t="str">
        <f>IF(ISNUMBER(Param!AN149),Param!AN149,Param!AM149)</f>
        <v>na</v>
      </c>
      <c r="E149" s="273" t="s">
        <v>232</v>
      </c>
      <c r="F149" s="643" t="s">
        <v>232</v>
      </c>
      <c r="G149" s="550" t="s">
        <v>232</v>
      </c>
      <c r="H149" s="550" t="s">
        <v>232</v>
      </c>
      <c r="I149" s="273" t="s">
        <v>232</v>
      </c>
      <c r="J149" s="273" t="s">
        <v>232</v>
      </c>
      <c r="K149" s="219" t="str">
        <f>IF(C149="YES",'SD-Eq'!V149,"na")</f>
        <v>na</v>
      </c>
      <c r="L149" s="273" t="str">
        <f>IF(C149="YES",'SD-Eq'!Z149,"na")</f>
        <v>na</v>
      </c>
      <c r="M149" s="435" t="str">
        <f t="shared" si="255"/>
        <v>na</v>
      </c>
      <c r="N149" s="273" t="str">
        <f t="shared" si="256"/>
        <v>na</v>
      </c>
      <c r="O149" s="1794" t="str">
        <f t="shared" si="257"/>
        <v>na</v>
      </c>
      <c r="P149" s="1789" t="str">
        <f t="shared" si="258"/>
        <v>na</v>
      </c>
      <c r="Q149" s="418" t="s">
        <v>232</v>
      </c>
      <c r="R149" s="418" t="s">
        <v>232</v>
      </c>
      <c r="S149" s="418" t="s">
        <v>232</v>
      </c>
      <c r="T149" s="418" t="s">
        <v>232</v>
      </c>
      <c r="U149" s="418" t="s">
        <v>232</v>
      </c>
      <c r="V149" s="418" t="s">
        <v>232</v>
      </c>
      <c r="W149" s="418" t="str">
        <f t="shared" si="259"/>
        <v>na</v>
      </c>
      <c r="X149" s="418" t="s">
        <v>232</v>
      </c>
      <c r="Y149" s="1884" t="str">
        <f t="shared" si="260"/>
        <v>na</v>
      </c>
      <c r="Z149" s="1884" t="str">
        <f t="shared" si="261"/>
        <v>na</v>
      </c>
      <c r="AA149" s="1789" t="s">
        <v>232</v>
      </c>
      <c r="AB149" s="1789" t="s">
        <v>232</v>
      </c>
      <c r="AC149" s="273" t="s">
        <v>232</v>
      </c>
      <c r="AD149" s="273" t="s">
        <v>232</v>
      </c>
      <c r="AE149" s="273" t="s">
        <v>232</v>
      </c>
      <c r="AF149" s="273" t="s">
        <v>232</v>
      </c>
      <c r="AG149" s="273" t="s">
        <v>232</v>
      </c>
      <c r="AH149" s="273" t="s">
        <v>232</v>
      </c>
      <c r="AI149" s="273" t="s">
        <v>232</v>
      </c>
      <c r="AJ149" s="273" t="s">
        <v>232</v>
      </c>
      <c r="AK149" s="273" t="s">
        <v>232</v>
      </c>
      <c r="AL149" s="273" t="s">
        <v>232</v>
      </c>
      <c r="AM149" s="273" t="s">
        <v>232</v>
      </c>
      <c r="AN149" s="273" t="str">
        <f t="shared" si="262"/>
        <v>na</v>
      </c>
      <c r="AO149" s="273" t="str">
        <f t="shared" si="263"/>
        <v>na</v>
      </c>
      <c r="AP149" s="273" t="str">
        <f t="shared" si="264"/>
        <v>na</v>
      </c>
      <c r="AQ149" s="273" t="str">
        <f t="shared" si="265"/>
        <v>na</v>
      </c>
      <c r="AR149" s="1789" t="str">
        <f t="shared" si="266"/>
        <v>na</v>
      </c>
      <c r="AS149" s="1051"/>
      <c r="AU149" s="1332" t="str">
        <f t="shared" si="267"/>
        <v/>
      </c>
      <c r="AV149" s="1114" t="str">
        <f t="shared" si="268"/>
        <v/>
      </c>
      <c r="AW149" s="1114" t="str">
        <f t="shared" si="269"/>
        <v/>
      </c>
      <c r="AX149" s="1114" t="str">
        <f t="shared" si="270"/>
        <v/>
      </c>
      <c r="AY149" s="1113" t="str">
        <f t="shared" si="271"/>
        <v/>
      </c>
      <c r="AZ149" s="1114" t="str">
        <f t="shared" si="272"/>
        <v/>
      </c>
      <c r="BA149" s="1114" t="str">
        <f t="shared" si="273"/>
        <v/>
      </c>
      <c r="BB149" s="1704" t="str">
        <f t="shared" si="274"/>
        <v/>
      </c>
      <c r="BC149" s="1113" t="str">
        <f t="shared" si="275"/>
        <v/>
      </c>
      <c r="BD149" s="1114" t="str">
        <f t="shared" si="276"/>
        <v/>
      </c>
      <c r="BE149" s="1114" t="str">
        <f t="shared" si="277"/>
        <v/>
      </c>
      <c r="BF149" s="1114" t="str">
        <f t="shared" si="278"/>
        <v/>
      </c>
      <c r="BG149" s="1114" t="str">
        <f t="shared" si="279"/>
        <v/>
      </c>
      <c r="BH149" s="1114" t="str">
        <f t="shared" si="280"/>
        <v/>
      </c>
      <c r="BI149" s="1114" t="str">
        <f t="shared" si="281"/>
        <v/>
      </c>
      <c r="BJ149" s="1115" t="str">
        <f t="shared" si="282"/>
        <v/>
      </c>
      <c r="BL149" s="1885"/>
    </row>
    <row r="150" spans="1:64" ht="13.9" customHeight="1" x14ac:dyDescent="0.25">
      <c r="A150" s="1916">
        <f>Chem!A150</f>
        <v>148</v>
      </c>
      <c r="B150" s="1880" t="str">
        <f>Chem!B150</f>
        <v>Acrylonitrile</v>
      </c>
      <c r="C150" s="394" t="str">
        <f>Param!AK150</f>
        <v>no</v>
      </c>
      <c r="D150" s="317" t="str">
        <f>IF(ISNUMBER(Param!AN150),Param!AN150,Param!AM150)</f>
        <v>na</v>
      </c>
      <c r="E150" s="273" t="s">
        <v>232</v>
      </c>
      <c r="F150" s="643" t="s">
        <v>232</v>
      </c>
      <c r="G150" s="550" t="s">
        <v>232</v>
      </c>
      <c r="H150" s="550" t="s">
        <v>232</v>
      </c>
      <c r="I150" s="273" t="s">
        <v>232</v>
      </c>
      <c r="J150" s="273" t="s">
        <v>232</v>
      </c>
      <c r="K150" s="219" t="str">
        <f>IF(C150="YES",'SD-Eq'!V150,"na")</f>
        <v>na</v>
      </c>
      <c r="L150" s="273" t="str">
        <f>IF(C150="YES",'SD-Eq'!Z150,"na")</f>
        <v>na</v>
      </c>
      <c r="M150" s="435" t="str">
        <f t="shared" si="255"/>
        <v>na</v>
      </c>
      <c r="N150" s="273" t="str">
        <f t="shared" si="256"/>
        <v>na</v>
      </c>
      <c r="O150" s="1794" t="str">
        <f t="shared" si="257"/>
        <v>na</v>
      </c>
      <c r="P150" s="1789" t="str">
        <f t="shared" si="258"/>
        <v>na</v>
      </c>
      <c r="Q150" s="418" t="s">
        <v>232</v>
      </c>
      <c r="R150" s="418" t="s">
        <v>232</v>
      </c>
      <c r="S150" s="418" t="s">
        <v>232</v>
      </c>
      <c r="T150" s="418" t="s">
        <v>232</v>
      </c>
      <c r="U150" s="418" t="s">
        <v>232</v>
      </c>
      <c r="V150" s="418" t="s">
        <v>232</v>
      </c>
      <c r="W150" s="418" t="str">
        <f t="shared" si="259"/>
        <v>na</v>
      </c>
      <c r="X150" s="418" t="s">
        <v>232</v>
      </c>
      <c r="Y150" s="1884" t="str">
        <f t="shared" si="260"/>
        <v>na</v>
      </c>
      <c r="Z150" s="1884" t="str">
        <f t="shared" si="261"/>
        <v>na</v>
      </c>
      <c r="AA150" s="1789" t="s">
        <v>232</v>
      </c>
      <c r="AB150" s="1789" t="s">
        <v>232</v>
      </c>
      <c r="AC150" s="273" t="s">
        <v>232</v>
      </c>
      <c r="AD150" s="273" t="s">
        <v>232</v>
      </c>
      <c r="AE150" s="273" t="s">
        <v>232</v>
      </c>
      <c r="AF150" s="273" t="s">
        <v>232</v>
      </c>
      <c r="AG150" s="273" t="s">
        <v>232</v>
      </c>
      <c r="AH150" s="273" t="s">
        <v>232</v>
      </c>
      <c r="AI150" s="273" t="s">
        <v>232</v>
      </c>
      <c r="AJ150" s="273" t="s">
        <v>232</v>
      </c>
      <c r="AK150" s="273" t="s">
        <v>232</v>
      </c>
      <c r="AL150" s="273" t="s">
        <v>232</v>
      </c>
      <c r="AM150" s="273" t="s">
        <v>232</v>
      </c>
      <c r="AN150" s="273" t="str">
        <f t="shared" si="262"/>
        <v>na</v>
      </c>
      <c r="AO150" s="273" t="str">
        <f t="shared" si="263"/>
        <v>na</v>
      </c>
      <c r="AP150" s="273" t="str">
        <f t="shared" si="264"/>
        <v>na</v>
      </c>
      <c r="AQ150" s="273" t="str">
        <f t="shared" si="265"/>
        <v>na</v>
      </c>
      <c r="AR150" s="1789" t="str">
        <f t="shared" si="266"/>
        <v>na</v>
      </c>
      <c r="AS150" s="1051"/>
      <c r="AU150" s="1332" t="str">
        <f t="shared" si="267"/>
        <v/>
      </c>
      <c r="AV150" s="1114" t="str">
        <f t="shared" si="268"/>
        <v/>
      </c>
      <c r="AW150" s="1114" t="str">
        <f t="shared" si="269"/>
        <v/>
      </c>
      <c r="AX150" s="1114" t="str">
        <f t="shared" si="270"/>
        <v/>
      </c>
      <c r="AY150" s="1113" t="str">
        <f t="shared" si="271"/>
        <v/>
      </c>
      <c r="AZ150" s="1114" t="str">
        <f t="shared" si="272"/>
        <v/>
      </c>
      <c r="BA150" s="1114" t="str">
        <f t="shared" si="273"/>
        <v/>
      </c>
      <c r="BB150" s="1704" t="str">
        <f t="shared" si="274"/>
        <v/>
      </c>
      <c r="BC150" s="1113" t="str">
        <f t="shared" si="275"/>
        <v/>
      </c>
      <c r="BD150" s="1114" t="str">
        <f t="shared" si="276"/>
        <v/>
      </c>
      <c r="BE150" s="1114" t="str">
        <f t="shared" si="277"/>
        <v/>
      </c>
      <c r="BF150" s="1114" t="str">
        <f t="shared" si="278"/>
        <v/>
      </c>
      <c r="BG150" s="1114" t="str">
        <f t="shared" si="279"/>
        <v/>
      </c>
      <c r="BH150" s="1114" t="str">
        <f t="shared" si="280"/>
        <v/>
      </c>
      <c r="BI150" s="1114" t="str">
        <f t="shared" si="281"/>
        <v/>
      </c>
      <c r="BJ150" s="1115" t="str">
        <f t="shared" si="282"/>
        <v/>
      </c>
      <c r="BL150" s="1885"/>
    </row>
    <row r="151" spans="1:64" ht="13.9" customHeight="1" x14ac:dyDescent="0.25">
      <c r="A151" s="1916">
        <f>Chem!A151</f>
        <v>149</v>
      </c>
      <c r="B151" s="1880" t="str">
        <f>Chem!B151</f>
        <v>Benzaldehyde</v>
      </c>
      <c r="C151" s="394" t="str">
        <f>Param!AK151</f>
        <v>no</v>
      </c>
      <c r="D151" s="317" t="str">
        <f>IF(ISNUMBER(Param!AN151),Param!AN151,Param!AM151)</f>
        <v>na</v>
      </c>
      <c r="E151" s="273" t="s">
        <v>232</v>
      </c>
      <c r="F151" s="643" t="s">
        <v>232</v>
      </c>
      <c r="G151" s="550" t="s">
        <v>232</v>
      </c>
      <c r="H151" s="550" t="s">
        <v>232</v>
      </c>
      <c r="I151" s="273" t="s">
        <v>232</v>
      </c>
      <c r="J151" s="273" t="s">
        <v>232</v>
      </c>
      <c r="K151" s="219" t="str">
        <f>IF(C151="YES",'SD-Eq'!V151,"na")</f>
        <v>na</v>
      </c>
      <c r="L151" s="273" t="str">
        <f>IF(C151="YES",'SD-Eq'!Z151,"na")</f>
        <v>na</v>
      </c>
      <c r="M151" s="435" t="str">
        <f t="shared" si="255"/>
        <v>na</v>
      </c>
      <c r="N151" s="273" t="str">
        <f t="shared" si="256"/>
        <v>na</v>
      </c>
      <c r="O151" s="1794" t="str">
        <f t="shared" si="257"/>
        <v>na</v>
      </c>
      <c r="P151" s="1789" t="str">
        <f t="shared" si="258"/>
        <v>na</v>
      </c>
      <c r="Q151" s="418" t="s">
        <v>232</v>
      </c>
      <c r="R151" s="418" t="s">
        <v>232</v>
      </c>
      <c r="S151" s="418" t="s">
        <v>232</v>
      </c>
      <c r="T151" s="418" t="s">
        <v>232</v>
      </c>
      <c r="U151" s="418" t="s">
        <v>232</v>
      </c>
      <c r="V151" s="418" t="s">
        <v>232</v>
      </c>
      <c r="W151" s="418" t="str">
        <f t="shared" si="259"/>
        <v>na</v>
      </c>
      <c r="X151" s="418" t="s">
        <v>232</v>
      </c>
      <c r="Y151" s="1884" t="str">
        <f t="shared" si="260"/>
        <v>na</v>
      </c>
      <c r="Z151" s="1884" t="str">
        <f t="shared" si="261"/>
        <v>na</v>
      </c>
      <c r="AA151" s="1789" t="s">
        <v>232</v>
      </c>
      <c r="AB151" s="1789" t="s">
        <v>232</v>
      </c>
      <c r="AC151" s="273" t="s">
        <v>232</v>
      </c>
      <c r="AD151" s="273" t="s">
        <v>232</v>
      </c>
      <c r="AE151" s="273" t="s">
        <v>232</v>
      </c>
      <c r="AF151" s="273" t="s">
        <v>232</v>
      </c>
      <c r="AG151" s="273" t="s">
        <v>232</v>
      </c>
      <c r="AH151" s="273" t="s">
        <v>232</v>
      </c>
      <c r="AI151" s="273" t="s">
        <v>232</v>
      </c>
      <c r="AJ151" s="273" t="s">
        <v>232</v>
      </c>
      <c r="AK151" s="273" t="s">
        <v>232</v>
      </c>
      <c r="AL151" s="273" t="s">
        <v>232</v>
      </c>
      <c r="AM151" s="273" t="s">
        <v>232</v>
      </c>
      <c r="AN151" s="273" t="str">
        <f t="shared" si="262"/>
        <v>na</v>
      </c>
      <c r="AO151" s="273" t="str">
        <f t="shared" si="263"/>
        <v>na</v>
      </c>
      <c r="AP151" s="273" t="str">
        <f t="shared" si="264"/>
        <v>na</v>
      </c>
      <c r="AQ151" s="273" t="str">
        <f t="shared" si="265"/>
        <v>na</v>
      </c>
      <c r="AR151" s="1789" t="str">
        <f t="shared" si="266"/>
        <v>na</v>
      </c>
      <c r="AS151" s="1051"/>
      <c r="AU151" s="1332" t="str">
        <f t="shared" si="267"/>
        <v/>
      </c>
      <c r="AV151" s="1114" t="str">
        <f t="shared" si="268"/>
        <v/>
      </c>
      <c r="AW151" s="1114" t="str">
        <f t="shared" si="269"/>
        <v/>
      </c>
      <c r="AX151" s="1114" t="str">
        <f t="shared" si="270"/>
        <v/>
      </c>
      <c r="AY151" s="1113" t="str">
        <f t="shared" si="271"/>
        <v/>
      </c>
      <c r="AZ151" s="1114" t="str">
        <f t="shared" si="272"/>
        <v/>
      </c>
      <c r="BA151" s="1114" t="str">
        <f t="shared" si="273"/>
        <v/>
      </c>
      <c r="BB151" s="1704" t="str">
        <f t="shared" si="274"/>
        <v/>
      </c>
      <c r="BC151" s="1113" t="str">
        <f t="shared" si="275"/>
        <v/>
      </c>
      <c r="BD151" s="1114" t="str">
        <f t="shared" si="276"/>
        <v/>
      </c>
      <c r="BE151" s="1114" t="str">
        <f t="shared" si="277"/>
        <v/>
      </c>
      <c r="BF151" s="1114" t="str">
        <f t="shared" si="278"/>
        <v/>
      </c>
      <c r="BG151" s="1114" t="str">
        <f t="shared" si="279"/>
        <v/>
      </c>
      <c r="BH151" s="1114" t="str">
        <f t="shared" si="280"/>
        <v/>
      </c>
      <c r="BI151" s="1114" t="str">
        <f t="shared" si="281"/>
        <v/>
      </c>
      <c r="BJ151" s="1115" t="str">
        <f t="shared" si="282"/>
        <v/>
      </c>
      <c r="BL151" s="1885"/>
    </row>
    <row r="152" spans="1:64" ht="13.9" customHeight="1" x14ac:dyDescent="0.25">
      <c r="A152" s="1916">
        <f>Chem!A152</f>
        <v>150</v>
      </c>
      <c r="B152" s="1880" t="str">
        <f>Chem!B152</f>
        <v>Benzene</v>
      </c>
      <c r="C152" s="394" t="str">
        <f>Param!AK152</f>
        <v>no</v>
      </c>
      <c r="D152" s="317" t="str">
        <f>IF(ISNUMBER(Param!AN152),Param!AN152,Param!AM152)</f>
        <v>na</v>
      </c>
      <c r="E152" s="273" t="s">
        <v>232</v>
      </c>
      <c r="F152" s="643">
        <v>4.1000000000000003E-3</v>
      </c>
      <c r="G152" s="550" t="s">
        <v>232</v>
      </c>
      <c r="H152" s="550" t="s">
        <v>232</v>
      </c>
      <c r="I152" s="273" t="s">
        <v>232</v>
      </c>
      <c r="J152" s="273" t="s">
        <v>232</v>
      </c>
      <c r="K152" s="219" t="str">
        <f>IF(C152="YES",'SD-Eq'!V152,"na")</f>
        <v>na</v>
      </c>
      <c r="L152" s="273" t="str">
        <f>IF(C152="YES",'SD-Eq'!Z152,"na")</f>
        <v>na</v>
      </c>
      <c r="M152" s="435" t="str">
        <f t="shared" si="255"/>
        <v>na</v>
      </c>
      <c r="N152" s="273" t="str">
        <f t="shared" si="256"/>
        <v>na</v>
      </c>
      <c r="O152" s="1794" t="str">
        <f t="shared" si="257"/>
        <v>na</v>
      </c>
      <c r="P152" s="1789" t="str">
        <f t="shared" si="258"/>
        <v>na</v>
      </c>
      <c r="Q152" s="418" t="s">
        <v>232</v>
      </c>
      <c r="R152" s="418" t="s">
        <v>232</v>
      </c>
      <c r="S152" s="418" t="s">
        <v>232</v>
      </c>
      <c r="T152" s="418" t="s">
        <v>232</v>
      </c>
      <c r="U152" s="418" t="s">
        <v>232</v>
      </c>
      <c r="V152" s="418" t="s">
        <v>232</v>
      </c>
      <c r="W152" s="418" t="str">
        <f t="shared" si="259"/>
        <v>na</v>
      </c>
      <c r="X152" s="418" t="s">
        <v>232</v>
      </c>
      <c r="Y152" s="1884" t="str">
        <f t="shared" si="260"/>
        <v>na</v>
      </c>
      <c r="Z152" s="1884" t="str">
        <f t="shared" si="261"/>
        <v>na</v>
      </c>
      <c r="AA152" s="1789" t="s">
        <v>232</v>
      </c>
      <c r="AB152" s="1789" t="s">
        <v>232</v>
      </c>
      <c r="AC152" s="273" t="s">
        <v>232</v>
      </c>
      <c r="AD152" s="273" t="s">
        <v>232</v>
      </c>
      <c r="AE152" s="273" t="s">
        <v>232</v>
      </c>
      <c r="AF152" s="273" t="s">
        <v>232</v>
      </c>
      <c r="AG152" s="273" t="s">
        <v>232</v>
      </c>
      <c r="AH152" s="273" t="s">
        <v>232</v>
      </c>
      <c r="AI152" s="273" t="s">
        <v>232</v>
      </c>
      <c r="AJ152" s="273" t="s">
        <v>232</v>
      </c>
      <c r="AK152" s="273" t="s">
        <v>232</v>
      </c>
      <c r="AL152" s="273" t="s">
        <v>232</v>
      </c>
      <c r="AM152" s="273" t="s">
        <v>232</v>
      </c>
      <c r="AN152" s="273" t="str">
        <f t="shared" si="262"/>
        <v>na</v>
      </c>
      <c r="AO152" s="273" t="str">
        <f t="shared" si="263"/>
        <v>na</v>
      </c>
      <c r="AP152" s="273" t="str">
        <f t="shared" si="264"/>
        <v>na</v>
      </c>
      <c r="AQ152" s="273" t="str">
        <f t="shared" si="265"/>
        <v>na</v>
      </c>
      <c r="AR152" s="1789" t="str">
        <f t="shared" si="266"/>
        <v>na</v>
      </c>
      <c r="AS152" s="1051"/>
      <c r="AU152" s="1332" t="str">
        <f t="shared" si="267"/>
        <v/>
      </c>
      <c r="AV152" s="1114" t="str">
        <f t="shared" si="268"/>
        <v/>
      </c>
      <c r="AW152" s="1114" t="str">
        <f t="shared" si="269"/>
        <v/>
      </c>
      <c r="AX152" s="1114" t="str">
        <f t="shared" si="270"/>
        <v/>
      </c>
      <c r="AY152" s="1113" t="str">
        <f t="shared" si="271"/>
        <v/>
      </c>
      <c r="AZ152" s="1114" t="str">
        <f t="shared" si="272"/>
        <v/>
      </c>
      <c r="BA152" s="1114" t="str">
        <f t="shared" si="273"/>
        <v/>
      </c>
      <c r="BB152" s="1704" t="str">
        <f t="shared" si="274"/>
        <v/>
      </c>
      <c r="BC152" s="1113" t="str">
        <f t="shared" si="275"/>
        <v/>
      </c>
      <c r="BD152" s="1114" t="str">
        <f t="shared" si="276"/>
        <v/>
      </c>
      <c r="BE152" s="1114" t="str">
        <f t="shared" si="277"/>
        <v/>
      </c>
      <c r="BF152" s="1114" t="str">
        <f t="shared" si="278"/>
        <v/>
      </c>
      <c r="BG152" s="1114" t="str">
        <f t="shared" si="279"/>
        <v/>
      </c>
      <c r="BH152" s="1114" t="str">
        <f t="shared" si="280"/>
        <v/>
      </c>
      <c r="BI152" s="1114" t="str">
        <f t="shared" si="281"/>
        <v/>
      </c>
      <c r="BJ152" s="1115" t="str">
        <f t="shared" si="282"/>
        <v/>
      </c>
      <c r="BL152" s="1885"/>
    </row>
    <row r="153" spans="1:64" ht="13.9" customHeight="1" x14ac:dyDescent="0.25">
      <c r="A153" s="1916">
        <f>Chem!A153</f>
        <v>151</v>
      </c>
      <c r="B153" s="1880" t="str">
        <f>Chem!B153</f>
        <v>Bromobenzene</v>
      </c>
      <c r="C153" s="394" t="str">
        <f>Param!AK153</f>
        <v>no</v>
      </c>
      <c r="D153" s="317" t="str">
        <f>IF(ISNUMBER(Param!AN153),Param!AN153,Param!AM153)</f>
        <v>na</v>
      </c>
      <c r="E153" s="273" t="s">
        <v>232</v>
      </c>
      <c r="F153" s="643" t="s">
        <v>232</v>
      </c>
      <c r="G153" s="550" t="s">
        <v>232</v>
      </c>
      <c r="H153" s="550" t="s">
        <v>232</v>
      </c>
      <c r="I153" s="273" t="s">
        <v>232</v>
      </c>
      <c r="J153" s="273" t="s">
        <v>232</v>
      </c>
      <c r="K153" s="219" t="str">
        <f>IF(C153="YES",'SD-Eq'!V153,"na")</f>
        <v>na</v>
      </c>
      <c r="L153" s="273" t="str">
        <f>IF(C153="YES",'SD-Eq'!Z153,"na")</f>
        <v>na</v>
      </c>
      <c r="M153" s="435" t="str">
        <f t="shared" si="255"/>
        <v>na</v>
      </c>
      <c r="N153" s="273" t="str">
        <f t="shared" si="256"/>
        <v>na</v>
      </c>
      <c r="O153" s="1794" t="str">
        <f t="shared" si="257"/>
        <v>na</v>
      </c>
      <c r="P153" s="1789" t="str">
        <f t="shared" si="258"/>
        <v>na</v>
      </c>
      <c r="Q153" s="418" t="s">
        <v>232</v>
      </c>
      <c r="R153" s="418" t="s">
        <v>232</v>
      </c>
      <c r="S153" s="418" t="s">
        <v>232</v>
      </c>
      <c r="T153" s="418" t="s">
        <v>232</v>
      </c>
      <c r="U153" s="418" t="s">
        <v>232</v>
      </c>
      <c r="V153" s="418" t="s">
        <v>232</v>
      </c>
      <c r="W153" s="418" t="str">
        <f t="shared" si="259"/>
        <v>na</v>
      </c>
      <c r="X153" s="418" t="s">
        <v>232</v>
      </c>
      <c r="Y153" s="1884" t="str">
        <f t="shared" si="260"/>
        <v>na</v>
      </c>
      <c r="Z153" s="1884" t="str">
        <f t="shared" si="261"/>
        <v>na</v>
      </c>
      <c r="AA153" s="1789" t="s">
        <v>232</v>
      </c>
      <c r="AB153" s="1789" t="s">
        <v>232</v>
      </c>
      <c r="AC153" s="273" t="s">
        <v>232</v>
      </c>
      <c r="AD153" s="273" t="s">
        <v>232</v>
      </c>
      <c r="AE153" s="273" t="s">
        <v>232</v>
      </c>
      <c r="AF153" s="273" t="s">
        <v>232</v>
      </c>
      <c r="AG153" s="273" t="s">
        <v>232</v>
      </c>
      <c r="AH153" s="273" t="s">
        <v>232</v>
      </c>
      <c r="AI153" s="273" t="s">
        <v>232</v>
      </c>
      <c r="AJ153" s="273" t="s">
        <v>232</v>
      </c>
      <c r="AK153" s="273" t="s">
        <v>232</v>
      </c>
      <c r="AL153" s="273" t="s">
        <v>232</v>
      </c>
      <c r="AM153" s="273" t="s">
        <v>232</v>
      </c>
      <c r="AN153" s="273" t="str">
        <f t="shared" si="262"/>
        <v>na</v>
      </c>
      <c r="AO153" s="273" t="str">
        <f t="shared" si="263"/>
        <v>na</v>
      </c>
      <c r="AP153" s="273" t="str">
        <f t="shared" si="264"/>
        <v>na</v>
      </c>
      <c r="AQ153" s="273" t="str">
        <f t="shared" si="265"/>
        <v>na</v>
      </c>
      <c r="AR153" s="1789" t="str">
        <f t="shared" si="266"/>
        <v>na</v>
      </c>
      <c r="AS153" s="1051"/>
      <c r="AU153" s="1332" t="str">
        <f t="shared" si="267"/>
        <v/>
      </c>
      <c r="AV153" s="1114" t="str">
        <f t="shared" si="268"/>
        <v/>
      </c>
      <c r="AW153" s="1114" t="str">
        <f t="shared" si="269"/>
        <v/>
      </c>
      <c r="AX153" s="1114" t="str">
        <f t="shared" si="270"/>
        <v/>
      </c>
      <c r="AY153" s="1113" t="str">
        <f t="shared" si="271"/>
        <v/>
      </c>
      <c r="AZ153" s="1114" t="str">
        <f t="shared" si="272"/>
        <v/>
      </c>
      <c r="BA153" s="1114" t="str">
        <f t="shared" si="273"/>
        <v/>
      </c>
      <c r="BB153" s="1704" t="str">
        <f t="shared" si="274"/>
        <v/>
      </c>
      <c r="BC153" s="1113" t="str">
        <f t="shared" si="275"/>
        <v/>
      </c>
      <c r="BD153" s="1114" t="str">
        <f t="shared" si="276"/>
        <v/>
      </c>
      <c r="BE153" s="1114" t="str">
        <f t="shared" si="277"/>
        <v/>
      </c>
      <c r="BF153" s="1114" t="str">
        <f t="shared" si="278"/>
        <v/>
      </c>
      <c r="BG153" s="1114" t="str">
        <f t="shared" si="279"/>
        <v/>
      </c>
      <c r="BH153" s="1114" t="str">
        <f t="shared" si="280"/>
        <v/>
      </c>
      <c r="BI153" s="1114" t="str">
        <f t="shared" si="281"/>
        <v/>
      </c>
      <c r="BJ153" s="1115" t="str">
        <f t="shared" si="282"/>
        <v/>
      </c>
      <c r="BL153" s="1885"/>
    </row>
    <row r="154" spans="1:64" ht="13.9" customHeight="1" x14ac:dyDescent="0.25">
      <c r="A154" s="1916">
        <f>Chem!A154</f>
        <v>152</v>
      </c>
      <c r="B154" s="1880" t="str">
        <f>Chem!B154</f>
        <v>Bromochloromethane</v>
      </c>
      <c r="C154" s="394" t="str">
        <f>Param!AK154</f>
        <v>no</v>
      </c>
      <c r="D154" s="317" t="str">
        <f>IF(ISNUMBER(Param!AN154),Param!AN154,Param!AM154)</f>
        <v>na</v>
      </c>
      <c r="E154" s="273" t="s">
        <v>232</v>
      </c>
      <c r="F154" s="643" t="s">
        <v>232</v>
      </c>
      <c r="G154" s="550" t="s">
        <v>232</v>
      </c>
      <c r="H154" s="550" t="s">
        <v>232</v>
      </c>
      <c r="I154" s="273" t="s">
        <v>232</v>
      </c>
      <c r="J154" s="273" t="s">
        <v>232</v>
      </c>
      <c r="K154" s="219" t="str">
        <f>IF(C154="YES",'SD-Eq'!V154,"na")</f>
        <v>na</v>
      </c>
      <c r="L154" s="273" t="str">
        <f>IF(C154="YES",'SD-Eq'!Z154,"na")</f>
        <v>na</v>
      </c>
      <c r="M154" s="435" t="str">
        <f t="shared" si="255"/>
        <v>na</v>
      </c>
      <c r="N154" s="273" t="str">
        <f t="shared" si="256"/>
        <v>na</v>
      </c>
      <c r="O154" s="1794" t="str">
        <f t="shared" si="257"/>
        <v>na</v>
      </c>
      <c r="P154" s="1789" t="str">
        <f t="shared" si="258"/>
        <v>na</v>
      </c>
      <c r="Q154" s="418" t="s">
        <v>232</v>
      </c>
      <c r="R154" s="418" t="s">
        <v>232</v>
      </c>
      <c r="S154" s="418" t="s">
        <v>232</v>
      </c>
      <c r="T154" s="418" t="s">
        <v>232</v>
      </c>
      <c r="U154" s="418" t="s">
        <v>232</v>
      </c>
      <c r="V154" s="418" t="s">
        <v>232</v>
      </c>
      <c r="W154" s="418" t="str">
        <f t="shared" si="259"/>
        <v>na</v>
      </c>
      <c r="X154" s="418" t="s">
        <v>232</v>
      </c>
      <c r="Y154" s="1884" t="str">
        <f t="shared" si="260"/>
        <v>na</v>
      </c>
      <c r="Z154" s="1884" t="str">
        <f t="shared" si="261"/>
        <v>na</v>
      </c>
      <c r="AA154" s="1789" t="s">
        <v>232</v>
      </c>
      <c r="AB154" s="1789" t="s">
        <v>232</v>
      </c>
      <c r="AC154" s="273" t="s">
        <v>232</v>
      </c>
      <c r="AD154" s="273" t="s">
        <v>232</v>
      </c>
      <c r="AE154" s="273" t="s">
        <v>232</v>
      </c>
      <c r="AF154" s="273" t="s">
        <v>232</v>
      </c>
      <c r="AG154" s="273" t="s">
        <v>232</v>
      </c>
      <c r="AH154" s="273" t="s">
        <v>232</v>
      </c>
      <c r="AI154" s="273" t="s">
        <v>232</v>
      </c>
      <c r="AJ154" s="273" t="s">
        <v>232</v>
      </c>
      <c r="AK154" s="273" t="s">
        <v>232</v>
      </c>
      <c r="AL154" s="273" t="s">
        <v>232</v>
      </c>
      <c r="AM154" s="273" t="s">
        <v>232</v>
      </c>
      <c r="AN154" s="273" t="str">
        <f t="shared" si="262"/>
        <v>na</v>
      </c>
      <c r="AO154" s="273" t="str">
        <f t="shared" si="263"/>
        <v>na</v>
      </c>
      <c r="AP154" s="273" t="str">
        <f t="shared" si="264"/>
        <v>na</v>
      </c>
      <c r="AQ154" s="273" t="str">
        <f t="shared" si="265"/>
        <v>na</v>
      </c>
      <c r="AR154" s="1789" t="str">
        <f t="shared" si="266"/>
        <v>na</v>
      </c>
      <c r="AS154" s="1051"/>
      <c r="AU154" s="1332" t="str">
        <f t="shared" si="267"/>
        <v/>
      </c>
      <c r="AV154" s="1114" t="str">
        <f t="shared" si="268"/>
        <v/>
      </c>
      <c r="AW154" s="1114" t="str">
        <f t="shared" si="269"/>
        <v/>
      </c>
      <c r="AX154" s="1114" t="str">
        <f t="shared" si="270"/>
        <v/>
      </c>
      <c r="AY154" s="1113" t="str">
        <f t="shared" si="271"/>
        <v/>
      </c>
      <c r="AZ154" s="1114" t="str">
        <f t="shared" si="272"/>
        <v/>
      </c>
      <c r="BA154" s="1114" t="str">
        <f t="shared" si="273"/>
        <v/>
      </c>
      <c r="BB154" s="1704" t="str">
        <f t="shared" si="274"/>
        <v/>
      </c>
      <c r="BC154" s="1113" t="str">
        <f t="shared" si="275"/>
        <v/>
      </c>
      <c r="BD154" s="1114" t="str">
        <f t="shared" si="276"/>
        <v/>
      </c>
      <c r="BE154" s="1114" t="str">
        <f t="shared" si="277"/>
        <v/>
      </c>
      <c r="BF154" s="1114" t="str">
        <f t="shared" si="278"/>
        <v/>
      </c>
      <c r="BG154" s="1114" t="str">
        <f t="shared" si="279"/>
        <v/>
      </c>
      <c r="BH154" s="1114" t="str">
        <f t="shared" si="280"/>
        <v/>
      </c>
      <c r="BI154" s="1114" t="str">
        <f t="shared" si="281"/>
        <v/>
      </c>
      <c r="BJ154" s="1115" t="str">
        <f t="shared" si="282"/>
        <v/>
      </c>
      <c r="BL154" s="1885"/>
    </row>
    <row r="155" spans="1:64" ht="13.9" customHeight="1" x14ac:dyDescent="0.25">
      <c r="A155" s="1916">
        <f>Chem!A155</f>
        <v>153</v>
      </c>
      <c r="B155" s="1880" t="str">
        <f>Chem!B155</f>
        <v>Bromoethane</v>
      </c>
      <c r="C155" s="394" t="str">
        <f>Param!AK155</f>
        <v>no</v>
      </c>
      <c r="D155" s="317" t="str">
        <f>IF(ISNUMBER(Param!AN155),Param!AN155,Param!AM155)</f>
        <v>na</v>
      </c>
      <c r="E155" s="273" t="s">
        <v>232</v>
      </c>
      <c r="F155" s="643" t="s">
        <v>232</v>
      </c>
      <c r="G155" s="550" t="s">
        <v>232</v>
      </c>
      <c r="H155" s="550" t="s">
        <v>232</v>
      </c>
      <c r="I155" s="273" t="s">
        <v>232</v>
      </c>
      <c r="J155" s="273" t="s">
        <v>232</v>
      </c>
      <c r="K155" s="219" t="str">
        <f>IF(C155="YES",'SD-Eq'!V155,"na")</f>
        <v>na</v>
      </c>
      <c r="L155" s="273" t="str">
        <f>IF(C155="YES",'SD-Eq'!Z155,"na")</f>
        <v>na</v>
      </c>
      <c r="M155" s="435" t="str">
        <f t="shared" si="255"/>
        <v>na</v>
      </c>
      <c r="N155" s="273" t="str">
        <f t="shared" si="256"/>
        <v>na</v>
      </c>
      <c r="O155" s="1794" t="str">
        <f t="shared" si="257"/>
        <v>na</v>
      </c>
      <c r="P155" s="1789" t="str">
        <f t="shared" si="258"/>
        <v>na</v>
      </c>
      <c r="Q155" s="418" t="s">
        <v>232</v>
      </c>
      <c r="R155" s="418" t="s">
        <v>232</v>
      </c>
      <c r="S155" s="418" t="s">
        <v>232</v>
      </c>
      <c r="T155" s="418" t="s">
        <v>232</v>
      </c>
      <c r="U155" s="418" t="s">
        <v>232</v>
      </c>
      <c r="V155" s="418" t="s">
        <v>232</v>
      </c>
      <c r="W155" s="418" t="str">
        <f t="shared" si="259"/>
        <v>na</v>
      </c>
      <c r="X155" s="418" t="s">
        <v>232</v>
      </c>
      <c r="Y155" s="1884" t="str">
        <f t="shared" si="260"/>
        <v>na</v>
      </c>
      <c r="Z155" s="1884" t="str">
        <f t="shared" si="261"/>
        <v>na</v>
      </c>
      <c r="AA155" s="1789" t="s">
        <v>232</v>
      </c>
      <c r="AB155" s="1789" t="s">
        <v>232</v>
      </c>
      <c r="AC155" s="273" t="s">
        <v>232</v>
      </c>
      <c r="AD155" s="273" t="s">
        <v>232</v>
      </c>
      <c r="AE155" s="273" t="s">
        <v>232</v>
      </c>
      <c r="AF155" s="273" t="s">
        <v>232</v>
      </c>
      <c r="AG155" s="273" t="s">
        <v>232</v>
      </c>
      <c r="AH155" s="273" t="s">
        <v>232</v>
      </c>
      <c r="AI155" s="273" t="s">
        <v>232</v>
      </c>
      <c r="AJ155" s="273" t="s">
        <v>232</v>
      </c>
      <c r="AK155" s="273" t="s">
        <v>232</v>
      </c>
      <c r="AL155" s="273" t="s">
        <v>232</v>
      </c>
      <c r="AM155" s="273" t="s">
        <v>232</v>
      </c>
      <c r="AN155" s="273" t="str">
        <f t="shared" si="262"/>
        <v>na</v>
      </c>
      <c r="AO155" s="273" t="str">
        <f t="shared" si="263"/>
        <v>na</v>
      </c>
      <c r="AP155" s="273" t="str">
        <f t="shared" si="264"/>
        <v>na</v>
      </c>
      <c r="AQ155" s="273" t="str">
        <f t="shared" si="265"/>
        <v>na</v>
      </c>
      <c r="AR155" s="1789" t="str">
        <f t="shared" si="266"/>
        <v>na</v>
      </c>
      <c r="AS155" s="1051"/>
      <c r="AU155" s="1332" t="str">
        <f t="shared" si="267"/>
        <v/>
      </c>
      <c r="AV155" s="1114" t="str">
        <f t="shared" si="268"/>
        <v/>
      </c>
      <c r="AW155" s="1114" t="str">
        <f t="shared" si="269"/>
        <v/>
      </c>
      <c r="AX155" s="1114" t="str">
        <f t="shared" si="270"/>
        <v/>
      </c>
      <c r="AY155" s="1113" t="str">
        <f t="shared" si="271"/>
        <v/>
      </c>
      <c r="AZ155" s="1114" t="str">
        <f t="shared" si="272"/>
        <v/>
      </c>
      <c r="BA155" s="1114" t="str">
        <f t="shared" si="273"/>
        <v/>
      </c>
      <c r="BB155" s="1704" t="str">
        <f t="shared" si="274"/>
        <v/>
      </c>
      <c r="BC155" s="1113" t="str">
        <f t="shared" si="275"/>
        <v/>
      </c>
      <c r="BD155" s="1114" t="str">
        <f t="shared" si="276"/>
        <v/>
      </c>
      <c r="BE155" s="1114" t="str">
        <f t="shared" si="277"/>
        <v/>
      </c>
      <c r="BF155" s="1114" t="str">
        <f t="shared" si="278"/>
        <v/>
      </c>
      <c r="BG155" s="1114" t="str">
        <f t="shared" si="279"/>
        <v/>
      </c>
      <c r="BH155" s="1114" t="str">
        <f t="shared" si="280"/>
        <v/>
      </c>
      <c r="BI155" s="1114" t="str">
        <f t="shared" si="281"/>
        <v/>
      </c>
      <c r="BJ155" s="1115" t="str">
        <f t="shared" si="282"/>
        <v/>
      </c>
      <c r="BL155" s="1885"/>
    </row>
    <row r="156" spans="1:64" ht="13.9" customHeight="1" x14ac:dyDescent="0.25">
      <c r="A156" s="1916">
        <f>Chem!A156</f>
        <v>154</v>
      </c>
      <c r="B156" s="1880" t="str">
        <f>Chem!B156</f>
        <v>Bromoform</v>
      </c>
      <c r="C156" s="394" t="str">
        <f>Param!AK156</f>
        <v>no</v>
      </c>
      <c r="D156" s="317" t="str">
        <f>IF(ISNUMBER(Param!AN156),Param!AN156,Param!AM156)</f>
        <v>na</v>
      </c>
      <c r="E156" s="273" t="s">
        <v>232</v>
      </c>
      <c r="F156" s="643" t="s">
        <v>232</v>
      </c>
      <c r="G156" s="550" t="s">
        <v>232</v>
      </c>
      <c r="H156" s="550" t="s">
        <v>232</v>
      </c>
      <c r="I156" s="273" t="s">
        <v>232</v>
      </c>
      <c r="J156" s="273" t="s">
        <v>232</v>
      </c>
      <c r="K156" s="219" t="str">
        <f>IF(C156="YES",'SD-Eq'!V156,"na")</f>
        <v>na</v>
      </c>
      <c r="L156" s="273" t="str">
        <f>IF(C156="YES",'SD-Eq'!Z156,"na")</f>
        <v>na</v>
      </c>
      <c r="M156" s="435" t="str">
        <f t="shared" si="255"/>
        <v>na</v>
      </c>
      <c r="N156" s="273" t="str">
        <f t="shared" si="256"/>
        <v>na</v>
      </c>
      <c r="O156" s="1794" t="str">
        <f t="shared" si="257"/>
        <v>na</v>
      </c>
      <c r="P156" s="1789" t="str">
        <f t="shared" si="258"/>
        <v>na</v>
      </c>
      <c r="Q156" s="418" t="s">
        <v>232</v>
      </c>
      <c r="R156" s="418" t="s">
        <v>232</v>
      </c>
      <c r="S156" s="418" t="s">
        <v>232</v>
      </c>
      <c r="T156" s="418" t="s">
        <v>232</v>
      </c>
      <c r="U156" s="418" t="s">
        <v>232</v>
      </c>
      <c r="V156" s="418" t="s">
        <v>232</v>
      </c>
      <c r="W156" s="418" t="str">
        <f t="shared" si="259"/>
        <v>na</v>
      </c>
      <c r="X156" s="418" t="s">
        <v>232</v>
      </c>
      <c r="Y156" s="1884" t="str">
        <f t="shared" si="260"/>
        <v>na</v>
      </c>
      <c r="Z156" s="1884" t="str">
        <f t="shared" si="261"/>
        <v>na</v>
      </c>
      <c r="AA156" s="1789" t="s">
        <v>232</v>
      </c>
      <c r="AB156" s="1789" t="s">
        <v>232</v>
      </c>
      <c r="AC156" s="273" t="s">
        <v>232</v>
      </c>
      <c r="AD156" s="273" t="s">
        <v>232</v>
      </c>
      <c r="AE156" s="273" t="s">
        <v>232</v>
      </c>
      <c r="AF156" s="273" t="s">
        <v>232</v>
      </c>
      <c r="AG156" s="273" t="s">
        <v>232</v>
      </c>
      <c r="AH156" s="273" t="s">
        <v>232</v>
      </c>
      <c r="AI156" s="273" t="s">
        <v>232</v>
      </c>
      <c r="AJ156" s="273" t="s">
        <v>232</v>
      </c>
      <c r="AK156" s="273" t="s">
        <v>232</v>
      </c>
      <c r="AL156" s="273" t="s">
        <v>232</v>
      </c>
      <c r="AM156" s="273" t="s">
        <v>232</v>
      </c>
      <c r="AN156" s="273" t="str">
        <f t="shared" si="262"/>
        <v>na</v>
      </c>
      <c r="AO156" s="273" t="str">
        <f t="shared" si="263"/>
        <v>na</v>
      </c>
      <c r="AP156" s="273" t="str">
        <f t="shared" si="264"/>
        <v>na</v>
      </c>
      <c r="AQ156" s="273" t="str">
        <f t="shared" si="265"/>
        <v>na</v>
      </c>
      <c r="AR156" s="1789" t="str">
        <f t="shared" si="266"/>
        <v>na</v>
      </c>
      <c r="AS156" s="1051"/>
      <c r="AU156" s="1332" t="str">
        <f t="shared" si="267"/>
        <v/>
      </c>
      <c r="AV156" s="1114" t="str">
        <f t="shared" si="268"/>
        <v/>
      </c>
      <c r="AW156" s="1114" t="str">
        <f t="shared" si="269"/>
        <v/>
      </c>
      <c r="AX156" s="1114" t="str">
        <f t="shared" si="270"/>
        <v/>
      </c>
      <c r="AY156" s="1113" t="str">
        <f t="shared" si="271"/>
        <v/>
      </c>
      <c r="AZ156" s="1114" t="str">
        <f t="shared" si="272"/>
        <v/>
      </c>
      <c r="BA156" s="1114" t="str">
        <f t="shared" si="273"/>
        <v/>
      </c>
      <c r="BB156" s="1704" t="str">
        <f t="shared" si="274"/>
        <v/>
      </c>
      <c r="BC156" s="1113" t="str">
        <f t="shared" si="275"/>
        <v/>
      </c>
      <c r="BD156" s="1114" t="str">
        <f t="shared" si="276"/>
        <v/>
      </c>
      <c r="BE156" s="1114" t="str">
        <f t="shared" si="277"/>
        <v/>
      </c>
      <c r="BF156" s="1114" t="str">
        <f t="shared" si="278"/>
        <v/>
      </c>
      <c r="BG156" s="1114" t="str">
        <f t="shared" si="279"/>
        <v/>
      </c>
      <c r="BH156" s="1114" t="str">
        <f t="shared" si="280"/>
        <v/>
      </c>
      <c r="BI156" s="1114" t="str">
        <f t="shared" si="281"/>
        <v/>
      </c>
      <c r="BJ156" s="1115" t="str">
        <f t="shared" si="282"/>
        <v/>
      </c>
      <c r="BL156" s="1885"/>
    </row>
    <row r="157" spans="1:64" ht="13.9" customHeight="1" x14ac:dyDescent="0.25">
      <c r="A157" s="1916">
        <f>Chem!A157</f>
        <v>155</v>
      </c>
      <c r="B157" s="1880" t="str">
        <f>Chem!B157</f>
        <v>Bromomethane</v>
      </c>
      <c r="C157" s="394" t="str">
        <f>Param!AK157</f>
        <v>no</v>
      </c>
      <c r="D157" s="317" t="str">
        <f>IF(ISNUMBER(Param!AN157),Param!AN157,Param!AM157)</f>
        <v>na</v>
      </c>
      <c r="E157" s="273" t="s">
        <v>232</v>
      </c>
      <c r="F157" s="643" t="s">
        <v>232</v>
      </c>
      <c r="G157" s="550" t="s">
        <v>232</v>
      </c>
      <c r="H157" s="550" t="s">
        <v>232</v>
      </c>
      <c r="I157" s="273" t="s">
        <v>232</v>
      </c>
      <c r="J157" s="273" t="s">
        <v>232</v>
      </c>
      <c r="K157" s="219" t="str">
        <f>IF(C157="YES",'SD-Eq'!V157,"na")</f>
        <v>na</v>
      </c>
      <c r="L157" s="273" t="str">
        <f>IF(C157="YES",'SD-Eq'!Z157,"na")</f>
        <v>na</v>
      </c>
      <c r="M157" s="435" t="str">
        <f t="shared" si="255"/>
        <v>na</v>
      </c>
      <c r="N157" s="273" t="str">
        <f t="shared" si="256"/>
        <v>na</v>
      </c>
      <c r="O157" s="1794" t="str">
        <f t="shared" si="257"/>
        <v>na</v>
      </c>
      <c r="P157" s="1789" t="str">
        <f t="shared" si="258"/>
        <v>na</v>
      </c>
      <c r="Q157" s="418" t="s">
        <v>232</v>
      </c>
      <c r="R157" s="418" t="s">
        <v>232</v>
      </c>
      <c r="S157" s="418" t="s">
        <v>232</v>
      </c>
      <c r="T157" s="418" t="s">
        <v>232</v>
      </c>
      <c r="U157" s="418" t="s">
        <v>232</v>
      </c>
      <c r="V157" s="418" t="s">
        <v>232</v>
      </c>
      <c r="W157" s="418" t="str">
        <f t="shared" si="259"/>
        <v>na</v>
      </c>
      <c r="X157" s="418" t="s">
        <v>232</v>
      </c>
      <c r="Y157" s="1884" t="str">
        <f t="shared" si="260"/>
        <v>na</v>
      </c>
      <c r="Z157" s="1884" t="str">
        <f t="shared" si="261"/>
        <v>na</v>
      </c>
      <c r="AA157" s="1789" t="s">
        <v>232</v>
      </c>
      <c r="AB157" s="1789" t="s">
        <v>232</v>
      </c>
      <c r="AC157" s="273" t="s">
        <v>232</v>
      </c>
      <c r="AD157" s="273" t="s">
        <v>232</v>
      </c>
      <c r="AE157" s="273" t="s">
        <v>232</v>
      </c>
      <c r="AF157" s="273" t="s">
        <v>232</v>
      </c>
      <c r="AG157" s="273" t="s">
        <v>232</v>
      </c>
      <c r="AH157" s="273" t="s">
        <v>232</v>
      </c>
      <c r="AI157" s="273" t="s">
        <v>232</v>
      </c>
      <c r="AJ157" s="273" t="s">
        <v>232</v>
      </c>
      <c r="AK157" s="273" t="s">
        <v>232</v>
      </c>
      <c r="AL157" s="273" t="s">
        <v>232</v>
      </c>
      <c r="AM157" s="273" t="s">
        <v>232</v>
      </c>
      <c r="AN157" s="273" t="str">
        <f t="shared" si="262"/>
        <v>na</v>
      </c>
      <c r="AO157" s="273" t="str">
        <f t="shared" si="263"/>
        <v>na</v>
      </c>
      <c r="AP157" s="273" t="str">
        <f t="shared" si="264"/>
        <v>na</v>
      </c>
      <c r="AQ157" s="273" t="str">
        <f t="shared" si="265"/>
        <v>na</v>
      </c>
      <c r="AR157" s="1789" t="str">
        <f t="shared" si="266"/>
        <v>na</v>
      </c>
      <c r="AS157" s="1051"/>
      <c r="AU157" s="1332" t="str">
        <f t="shared" si="267"/>
        <v/>
      </c>
      <c r="AV157" s="1114" t="str">
        <f t="shared" si="268"/>
        <v/>
      </c>
      <c r="AW157" s="1114" t="str">
        <f t="shared" si="269"/>
        <v/>
      </c>
      <c r="AX157" s="1114" t="str">
        <f t="shared" si="270"/>
        <v/>
      </c>
      <c r="AY157" s="1113" t="str">
        <f t="shared" si="271"/>
        <v/>
      </c>
      <c r="AZ157" s="1114" t="str">
        <f t="shared" si="272"/>
        <v/>
      </c>
      <c r="BA157" s="1114" t="str">
        <f t="shared" si="273"/>
        <v/>
      </c>
      <c r="BB157" s="1704" t="str">
        <f t="shared" si="274"/>
        <v/>
      </c>
      <c r="BC157" s="1113" t="str">
        <f t="shared" si="275"/>
        <v/>
      </c>
      <c r="BD157" s="1114" t="str">
        <f t="shared" si="276"/>
        <v/>
      </c>
      <c r="BE157" s="1114" t="str">
        <f t="shared" si="277"/>
        <v/>
      </c>
      <c r="BF157" s="1114" t="str">
        <f t="shared" si="278"/>
        <v/>
      </c>
      <c r="BG157" s="1114" t="str">
        <f t="shared" si="279"/>
        <v/>
      </c>
      <c r="BH157" s="1114" t="str">
        <f t="shared" si="280"/>
        <v/>
      </c>
      <c r="BI157" s="1114" t="str">
        <f t="shared" si="281"/>
        <v/>
      </c>
      <c r="BJ157" s="1115" t="str">
        <f t="shared" si="282"/>
        <v/>
      </c>
      <c r="BL157" s="1885"/>
    </row>
    <row r="158" spans="1:64" ht="13.9" customHeight="1" x14ac:dyDescent="0.25">
      <c r="A158" s="1916">
        <f>Chem!A158</f>
        <v>156</v>
      </c>
      <c r="B158" s="1880" t="str">
        <f>Chem!B158</f>
        <v>2-Butoxyethanol (EGBE)</v>
      </c>
      <c r="C158" s="394" t="str">
        <f>Param!AK158</f>
        <v>no</v>
      </c>
      <c r="D158" s="317" t="str">
        <f>IF(ISNUMBER(Param!AN158),Param!AN158,Param!AM158)</f>
        <v>na</v>
      </c>
      <c r="E158" s="273" t="s">
        <v>232</v>
      </c>
      <c r="F158" s="643" t="s">
        <v>232</v>
      </c>
      <c r="G158" s="550" t="s">
        <v>232</v>
      </c>
      <c r="H158" s="550" t="s">
        <v>232</v>
      </c>
      <c r="I158" s="273" t="s">
        <v>232</v>
      </c>
      <c r="J158" s="273" t="s">
        <v>232</v>
      </c>
      <c r="K158" s="219" t="str">
        <f>IF(C158="YES",'SD-Eq'!V158,"na")</f>
        <v>na</v>
      </c>
      <c r="L158" s="273" t="str">
        <f>IF(C158="YES",'SD-Eq'!Z158,"na")</f>
        <v>na</v>
      </c>
      <c r="M158" s="435" t="str">
        <f t="shared" si="255"/>
        <v>na</v>
      </c>
      <c r="N158" s="273" t="str">
        <f t="shared" si="256"/>
        <v>na</v>
      </c>
      <c r="O158" s="1794" t="str">
        <f t="shared" si="257"/>
        <v>na</v>
      </c>
      <c r="P158" s="1789" t="str">
        <f t="shared" si="258"/>
        <v>na</v>
      </c>
      <c r="Q158" s="418" t="s">
        <v>232</v>
      </c>
      <c r="R158" s="418" t="s">
        <v>232</v>
      </c>
      <c r="S158" s="418" t="s">
        <v>232</v>
      </c>
      <c r="T158" s="418" t="s">
        <v>232</v>
      </c>
      <c r="U158" s="418" t="s">
        <v>232</v>
      </c>
      <c r="V158" s="418" t="s">
        <v>232</v>
      </c>
      <c r="W158" s="418" t="str">
        <f t="shared" si="259"/>
        <v>na</v>
      </c>
      <c r="X158" s="418" t="s">
        <v>232</v>
      </c>
      <c r="Y158" s="1884" t="str">
        <f t="shared" si="260"/>
        <v>na</v>
      </c>
      <c r="Z158" s="1884" t="str">
        <f t="shared" si="261"/>
        <v>na</v>
      </c>
      <c r="AA158" s="1789" t="s">
        <v>232</v>
      </c>
      <c r="AB158" s="1789" t="s">
        <v>232</v>
      </c>
      <c r="AC158" s="273" t="s">
        <v>232</v>
      </c>
      <c r="AD158" s="273" t="s">
        <v>232</v>
      </c>
      <c r="AE158" s="273" t="s">
        <v>232</v>
      </c>
      <c r="AF158" s="273" t="s">
        <v>232</v>
      </c>
      <c r="AG158" s="273" t="s">
        <v>232</v>
      </c>
      <c r="AH158" s="273" t="s">
        <v>232</v>
      </c>
      <c r="AI158" s="273" t="s">
        <v>232</v>
      </c>
      <c r="AJ158" s="273" t="s">
        <v>232</v>
      </c>
      <c r="AK158" s="273" t="s">
        <v>232</v>
      </c>
      <c r="AL158" s="273" t="s">
        <v>232</v>
      </c>
      <c r="AM158" s="273" t="s">
        <v>232</v>
      </c>
      <c r="AN158" s="273" t="str">
        <f t="shared" si="262"/>
        <v>na</v>
      </c>
      <c r="AO158" s="273" t="str">
        <f t="shared" si="263"/>
        <v>na</v>
      </c>
      <c r="AP158" s="273" t="str">
        <f t="shared" si="264"/>
        <v>na</v>
      </c>
      <c r="AQ158" s="273" t="str">
        <f t="shared" si="265"/>
        <v>na</v>
      </c>
      <c r="AR158" s="1789" t="str">
        <f t="shared" si="266"/>
        <v>na</v>
      </c>
      <c r="AS158" s="1051"/>
      <c r="AU158" s="1332" t="str">
        <f t="shared" si="267"/>
        <v/>
      </c>
      <c r="AV158" s="1114" t="str">
        <f t="shared" si="268"/>
        <v/>
      </c>
      <c r="AW158" s="1114" t="str">
        <f t="shared" si="269"/>
        <v/>
      </c>
      <c r="AX158" s="1114" t="str">
        <f t="shared" si="270"/>
        <v/>
      </c>
      <c r="AY158" s="1113" t="str">
        <f t="shared" si="271"/>
        <v/>
      </c>
      <c r="AZ158" s="1114" t="str">
        <f t="shared" si="272"/>
        <v/>
      </c>
      <c r="BA158" s="1114" t="str">
        <f t="shared" si="273"/>
        <v/>
      </c>
      <c r="BB158" s="1704" t="str">
        <f t="shared" si="274"/>
        <v/>
      </c>
      <c r="BC158" s="1113" t="str">
        <f t="shared" si="275"/>
        <v/>
      </c>
      <c r="BD158" s="1114" t="str">
        <f t="shared" si="276"/>
        <v/>
      </c>
      <c r="BE158" s="1114" t="str">
        <f t="shared" si="277"/>
        <v/>
      </c>
      <c r="BF158" s="1114" t="str">
        <f t="shared" si="278"/>
        <v/>
      </c>
      <c r="BG158" s="1114" t="str">
        <f t="shared" si="279"/>
        <v/>
      </c>
      <c r="BH158" s="1114" t="str">
        <f t="shared" si="280"/>
        <v/>
      </c>
      <c r="BI158" s="1114" t="str">
        <f t="shared" si="281"/>
        <v/>
      </c>
      <c r="BJ158" s="1115" t="str">
        <f t="shared" si="282"/>
        <v/>
      </c>
      <c r="BL158" s="1885"/>
    </row>
    <row r="159" spans="1:64" ht="13.9" customHeight="1" x14ac:dyDescent="0.25">
      <c r="A159" s="1916">
        <f>Chem!A159</f>
        <v>157</v>
      </c>
      <c r="B159" s="1880" t="str">
        <f>Chem!B159</f>
        <v>n-Butylbenzene</v>
      </c>
      <c r="C159" s="394" t="str">
        <f>Param!AK159</f>
        <v>no</v>
      </c>
      <c r="D159" s="317" t="str">
        <f>IF(ISNUMBER(Param!AN159),Param!AN159,Param!AM159)</f>
        <v>na</v>
      </c>
      <c r="E159" s="273" t="s">
        <v>232</v>
      </c>
      <c r="F159" s="643" t="s">
        <v>232</v>
      </c>
      <c r="G159" s="550" t="s">
        <v>232</v>
      </c>
      <c r="H159" s="550" t="s">
        <v>232</v>
      </c>
      <c r="I159" s="273" t="s">
        <v>232</v>
      </c>
      <c r="J159" s="273" t="s">
        <v>232</v>
      </c>
      <c r="K159" s="219" t="str">
        <f>IF(C159="YES",'SD-Eq'!V159,"na")</f>
        <v>na</v>
      </c>
      <c r="L159" s="273" t="str">
        <f>IF(C159="YES",'SD-Eq'!Z159,"na")</f>
        <v>na</v>
      </c>
      <c r="M159" s="435" t="str">
        <f t="shared" si="255"/>
        <v>na</v>
      </c>
      <c r="N159" s="273" t="str">
        <f t="shared" si="256"/>
        <v>na</v>
      </c>
      <c r="O159" s="1794" t="str">
        <f t="shared" si="257"/>
        <v>na</v>
      </c>
      <c r="P159" s="1789" t="str">
        <f t="shared" si="258"/>
        <v>na</v>
      </c>
      <c r="Q159" s="418" t="s">
        <v>232</v>
      </c>
      <c r="R159" s="418" t="s">
        <v>232</v>
      </c>
      <c r="S159" s="418" t="s">
        <v>232</v>
      </c>
      <c r="T159" s="418" t="s">
        <v>232</v>
      </c>
      <c r="U159" s="418" t="s">
        <v>232</v>
      </c>
      <c r="V159" s="418" t="s">
        <v>232</v>
      </c>
      <c r="W159" s="418" t="str">
        <f t="shared" si="259"/>
        <v>na</v>
      </c>
      <c r="X159" s="418" t="s">
        <v>232</v>
      </c>
      <c r="Y159" s="1884" t="str">
        <f t="shared" si="260"/>
        <v>na</v>
      </c>
      <c r="Z159" s="1884" t="str">
        <f t="shared" si="261"/>
        <v>na</v>
      </c>
      <c r="AA159" s="1789" t="s">
        <v>232</v>
      </c>
      <c r="AB159" s="1789" t="s">
        <v>232</v>
      </c>
      <c r="AC159" s="273" t="s">
        <v>232</v>
      </c>
      <c r="AD159" s="273" t="s">
        <v>232</v>
      </c>
      <c r="AE159" s="273" t="s">
        <v>232</v>
      </c>
      <c r="AF159" s="273" t="s">
        <v>232</v>
      </c>
      <c r="AG159" s="273" t="s">
        <v>232</v>
      </c>
      <c r="AH159" s="273" t="s">
        <v>232</v>
      </c>
      <c r="AI159" s="273" t="s">
        <v>232</v>
      </c>
      <c r="AJ159" s="273" t="s">
        <v>232</v>
      </c>
      <c r="AK159" s="273" t="s">
        <v>232</v>
      </c>
      <c r="AL159" s="273" t="s">
        <v>232</v>
      </c>
      <c r="AM159" s="273" t="s">
        <v>232</v>
      </c>
      <c r="AN159" s="273" t="str">
        <f t="shared" si="262"/>
        <v>na</v>
      </c>
      <c r="AO159" s="273" t="str">
        <f t="shared" si="263"/>
        <v>na</v>
      </c>
      <c r="AP159" s="273" t="str">
        <f t="shared" si="264"/>
        <v>na</v>
      </c>
      <c r="AQ159" s="273" t="str">
        <f t="shared" si="265"/>
        <v>na</v>
      </c>
      <c r="AR159" s="1789" t="str">
        <f t="shared" si="266"/>
        <v>na</v>
      </c>
      <c r="AS159" s="1051"/>
      <c r="AU159" s="1332" t="str">
        <f t="shared" si="267"/>
        <v/>
      </c>
      <c r="AV159" s="1114" t="str">
        <f t="shared" si="268"/>
        <v/>
      </c>
      <c r="AW159" s="1114" t="str">
        <f t="shared" si="269"/>
        <v/>
      </c>
      <c r="AX159" s="1114" t="str">
        <f t="shared" si="270"/>
        <v/>
      </c>
      <c r="AY159" s="1113" t="str">
        <f t="shared" si="271"/>
        <v/>
      </c>
      <c r="AZ159" s="1114" t="str">
        <f t="shared" si="272"/>
        <v/>
      </c>
      <c r="BA159" s="1114" t="str">
        <f t="shared" si="273"/>
        <v/>
      </c>
      <c r="BB159" s="1704" t="str">
        <f t="shared" si="274"/>
        <v/>
      </c>
      <c r="BC159" s="1113" t="str">
        <f t="shared" si="275"/>
        <v/>
      </c>
      <c r="BD159" s="1114" t="str">
        <f t="shared" si="276"/>
        <v/>
      </c>
      <c r="BE159" s="1114" t="str">
        <f t="shared" si="277"/>
        <v/>
      </c>
      <c r="BF159" s="1114" t="str">
        <f t="shared" si="278"/>
        <v/>
      </c>
      <c r="BG159" s="1114" t="str">
        <f t="shared" si="279"/>
        <v/>
      </c>
      <c r="BH159" s="1114" t="str">
        <f t="shared" si="280"/>
        <v/>
      </c>
      <c r="BI159" s="1114" t="str">
        <f t="shared" si="281"/>
        <v/>
      </c>
      <c r="BJ159" s="1115" t="str">
        <f t="shared" si="282"/>
        <v/>
      </c>
      <c r="BL159" s="1885"/>
    </row>
    <row r="160" spans="1:64" ht="13.9" customHeight="1" x14ac:dyDescent="0.25">
      <c r="A160" s="1916">
        <f>Chem!A160</f>
        <v>158</v>
      </c>
      <c r="B160" s="1880" t="str">
        <f>Chem!B160</f>
        <v>sec-Butylbenzene</v>
      </c>
      <c r="C160" s="394" t="str">
        <f>Param!AK160</f>
        <v>no</v>
      </c>
      <c r="D160" s="317" t="str">
        <f>IF(ISNUMBER(Param!AN160),Param!AN160,Param!AM160)</f>
        <v>na</v>
      </c>
      <c r="E160" s="273" t="s">
        <v>232</v>
      </c>
      <c r="F160" s="643" t="s">
        <v>232</v>
      </c>
      <c r="G160" s="550" t="s">
        <v>232</v>
      </c>
      <c r="H160" s="550" t="s">
        <v>232</v>
      </c>
      <c r="I160" s="273" t="s">
        <v>232</v>
      </c>
      <c r="J160" s="273" t="s">
        <v>232</v>
      </c>
      <c r="K160" s="219" t="str">
        <f>IF(C160="YES",'SD-Eq'!V160,"na")</f>
        <v>na</v>
      </c>
      <c r="L160" s="273" t="str">
        <f>IF(C160="YES",'SD-Eq'!Z160,"na")</f>
        <v>na</v>
      </c>
      <c r="M160" s="435" t="str">
        <f t="shared" si="255"/>
        <v>na</v>
      </c>
      <c r="N160" s="273" t="str">
        <f t="shared" si="256"/>
        <v>na</v>
      </c>
      <c r="O160" s="1794" t="str">
        <f t="shared" si="257"/>
        <v>na</v>
      </c>
      <c r="P160" s="1789" t="str">
        <f t="shared" si="258"/>
        <v>na</v>
      </c>
      <c r="Q160" s="418" t="s">
        <v>232</v>
      </c>
      <c r="R160" s="418" t="s">
        <v>232</v>
      </c>
      <c r="S160" s="418" t="s">
        <v>232</v>
      </c>
      <c r="T160" s="418" t="s">
        <v>232</v>
      </c>
      <c r="U160" s="418" t="s">
        <v>232</v>
      </c>
      <c r="V160" s="418" t="s">
        <v>232</v>
      </c>
      <c r="W160" s="418" t="str">
        <f t="shared" si="259"/>
        <v>na</v>
      </c>
      <c r="X160" s="418" t="s">
        <v>232</v>
      </c>
      <c r="Y160" s="1884" t="str">
        <f t="shared" si="260"/>
        <v>na</v>
      </c>
      <c r="Z160" s="1884" t="str">
        <f t="shared" si="261"/>
        <v>na</v>
      </c>
      <c r="AA160" s="1789" t="s">
        <v>232</v>
      </c>
      <c r="AB160" s="1789" t="s">
        <v>232</v>
      </c>
      <c r="AC160" s="273" t="s">
        <v>232</v>
      </c>
      <c r="AD160" s="273" t="s">
        <v>232</v>
      </c>
      <c r="AE160" s="273" t="s">
        <v>232</v>
      </c>
      <c r="AF160" s="273" t="s">
        <v>232</v>
      </c>
      <c r="AG160" s="273" t="s">
        <v>232</v>
      </c>
      <c r="AH160" s="273" t="s">
        <v>232</v>
      </c>
      <c r="AI160" s="273" t="s">
        <v>232</v>
      </c>
      <c r="AJ160" s="273" t="s">
        <v>232</v>
      </c>
      <c r="AK160" s="273" t="s">
        <v>232</v>
      </c>
      <c r="AL160" s="273" t="s">
        <v>232</v>
      </c>
      <c r="AM160" s="273" t="s">
        <v>232</v>
      </c>
      <c r="AN160" s="273" t="str">
        <f t="shared" si="262"/>
        <v>na</v>
      </c>
      <c r="AO160" s="273" t="str">
        <f t="shared" si="263"/>
        <v>na</v>
      </c>
      <c r="AP160" s="273" t="str">
        <f t="shared" si="264"/>
        <v>na</v>
      </c>
      <c r="AQ160" s="273" t="str">
        <f t="shared" si="265"/>
        <v>na</v>
      </c>
      <c r="AR160" s="1789" t="str">
        <f t="shared" si="266"/>
        <v>na</v>
      </c>
      <c r="AS160" s="1051"/>
      <c r="AU160" s="1332" t="str">
        <f t="shared" si="267"/>
        <v/>
      </c>
      <c r="AV160" s="1114" t="str">
        <f t="shared" si="268"/>
        <v/>
      </c>
      <c r="AW160" s="1114" t="str">
        <f t="shared" si="269"/>
        <v/>
      </c>
      <c r="AX160" s="1114" t="str">
        <f t="shared" si="270"/>
        <v/>
      </c>
      <c r="AY160" s="1113" t="str">
        <f t="shared" si="271"/>
        <v/>
      </c>
      <c r="AZ160" s="1114" t="str">
        <f t="shared" si="272"/>
        <v/>
      </c>
      <c r="BA160" s="1114" t="str">
        <f t="shared" si="273"/>
        <v/>
      </c>
      <c r="BB160" s="1704" t="str">
        <f t="shared" si="274"/>
        <v/>
      </c>
      <c r="BC160" s="1113" t="str">
        <f t="shared" si="275"/>
        <v/>
      </c>
      <c r="BD160" s="1114" t="str">
        <f t="shared" si="276"/>
        <v/>
      </c>
      <c r="BE160" s="1114" t="str">
        <f t="shared" si="277"/>
        <v/>
      </c>
      <c r="BF160" s="1114" t="str">
        <f t="shared" si="278"/>
        <v/>
      </c>
      <c r="BG160" s="1114" t="str">
        <f t="shared" si="279"/>
        <v/>
      </c>
      <c r="BH160" s="1114" t="str">
        <f t="shared" si="280"/>
        <v/>
      </c>
      <c r="BI160" s="1114" t="str">
        <f t="shared" si="281"/>
        <v/>
      </c>
      <c r="BJ160" s="1115" t="str">
        <f t="shared" si="282"/>
        <v/>
      </c>
      <c r="BL160" s="1885"/>
    </row>
    <row r="161" spans="1:64" ht="13.9" customHeight="1" x14ac:dyDescent="0.25">
      <c r="A161" s="1916">
        <f>Chem!A161</f>
        <v>159</v>
      </c>
      <c r="B161" s="1880" t="str">
        <f>Chem!B161</f>
        <v>tert-Butylbenzene</v>
      </c>
      <c r="C161" s="394" t="str">
        <f>Param!AK161</f>
        <v>no</v>
      </c>
      <c r="D161" s="317" t="str">
        <f>IF(ISNUMBER(Param!AN161),Param!AN161,Param!AM161)</f>
        <v>na</v>
      </c>
      <c r="E161" s="273" t="s">
        <v>232</v>
      </c>
      <c r="F161" s="643" t="s">
        <v>232</v>
      </c>
      <c r="G161" s="550" t="s">
        <v>232</v>
      </c>
      <c r="H161" s="550" t="s">
        <v>232</v>
      </c>
      <c r="I161" s="273" t="s">
        <v>232</v>
      </c>
      <c r="J161" s="273" t="s">
        <v>232</v>
      </c>
      <c r="K161" s="219" t="str">
        <f>IF(C161="YES",'SD-Eq'!V161,"na")</f>
        <v>na</v>
      </c>
      <c r="L161" s="273" t="str">
        <f>IF(C161="YES",'SD-Eq'!Z161,"na")</f>
        <v>na</v>
      </c>
      <c r="M161" s="435" t="str">
        <f t="shared" si="255"/>
        <v>na</v>
      </c>
      <c r="N161" s="273" t="str">
        <f t="shared" si="256"/>
        <v>na</v>
      </c>
      <c r="O161" s="1794" t="str">
        <f t="shared" si="257"/>
        <v>na</v>
      </c>
      <c r="P161" s="1789" t="str">
        <f t="shared" si="258"/>
        <v>na</v>
      </c>
      <c r="Q161" s="418" t="s">
        <v>232</v>
      </c>
      <c r="R161" s="418" t="s">
        <v>232</v>
      </c>
      <c r="S161" s="418" t="s">
        <v>232</v>
      </c>
      <c r="T161" s="418" t="s">
        <v>232</v>
      </c>
      <c r="U161" s="418" t="s">
        <v>232</v>
      </c>
      <c r="V161" s="418" t="s">
        <v>232</v>
      </c>
      <c r="W161" s="418" t="str">
        <f t="shared" si="259"/>
        <v>na</v>
      </c>
      <c r="X161" s="418" t="s">
        <v>232</v>
      </c>
      <c r="Y161" s="1884" t="str">
        <f t="shared" si="260"/>
        <v>na</v>
      </c>
      <c r="Z161" s="1884" t="str">
        <f t="shared" si="261"/>
        <v>na</v>
      </c>
      <c r="AA161" s="1789" t="s">
        <v>232</v>
      </c>
      <c r="AB161" s="1789" t="s">
        <v>232</v>
      </c>
      <c r="AC161" s="273" t="s">
        <v>232</v>
      </c>
      <c r="AD161" s="273" t="s">
        <v>232</v>
      </c>
      <c r="AE161" s="273" t="s">
        <v>232</v>
      </c>
      <c r="AF161" s="273" t="s">
        <v>232</v>
      </c>
      <c r="AG161" s="273" t="s">
        <v>232</v>
      </c>
      <c r="AH161" s="273" t="s">
        <v>232</v>
      </c>
      <c r="AI161" s="273" t="s">
        <v>232</v>
      </c>
      <c r="AJ161" s="273" t="s">
        <v>232</v>
      </c>
      <c r="AK161" s="273" t="s">
        <v>232</v>
      </c>
      <c r="AL161" s="273" t="s">
        <v>232</v>
      </c>
      <c r="AM161" s="273" t="s">
        <v>232</v>
      </c>
      <c r="AN161" s="273" t="str">
        <f t="shared" si="262"/>
        <v>na</v>
      </c>
      <c r="AO161" s="273" t="str">
        <f t="shared" si="263"/>
        <v>na</v>
      </c>
      <c r="AP161" s="273" t="str">
        <f t="shared" si="264"/>
        <v>na</v>
      </c>
      <c r="AQ161" s="273" t="str">
        <f t="shared" si="265"/>
        <v>na</v>
      </c>
      <c r="AR161" s="1789" t="str">
        <f t="shared" si="266"/>
        <v>na</v>
      </c>
      <c r="AS161" s="1051"/>
      <c r="AU161" s="1332" t="str">
        <f t="shared" si="267"/>
        <v/>
      </c>
      <c r="AV161" s="1114" t="str">
        <f t="shared" si="268"/>
        <v/>
      </c>
      <c r="AW161" s="1114" t="str">
        <f t="shared" si="269"/>
        <v/>
      </c>
      <c r="AX161" s="1114" t="str">
        <f t="shared" si="270"/>
        <v/>
      </c>
      <c r="AY161" s="1113" t="str">
        <f t="shared" si="271"/>
        <v/>
      </c>
      <c r="AZ161" s="1114" t="str">
        <f t="shared" si="272"/>
        <v/>
      </c>
      <c r="BA161" s="1114" t="str">
        <f t="shared" si="273"/>
        <v/>
      </c>
      <c r="BB161" s="1704" t="str">
        <f t="shared" si="274"/>
        <v/>
      </c>
      <c r="BC161" s="1113" t="str">
        <f t="shared" si="275"/>
        <v/>
      </c>
      <c r="BD161" s="1114" t="str">
        <f t="shared" si="276"/>
        <v/>
      </c>
      <c r="BE161" s="1114" t="str">
        <f t="shared" si="277"/>
        <v/>
      </c>
      <c r="BF161" s="1114" t="str">
        <f t="shared" si="278"/>
        <v/>
      </c>
      <c r="BG161" s="1114" t="str">
        <f t="shared" si="279"/>
        <v/>
      </c>
      <c r="BH161" s="1114" t="str">
        <f t="shared" si="280"/>
        <v/>
      </c>
      <c r="BI161" s="1114" t="str">
        <f t="shared" si="281"/>
        <v/>
      </c>
      <c r="BJ161" s="1115" t="str">
        <f t="shared" si="282"/>
        <v/>
      </c>
      <c r="BL161" s="1885"/>
    </row>
    <row r="162" spans="1:64" ht="13.9" customHeight="1" x14ac:dyDescent="0.25">
      <c r="A162" s="1916">
        <f>Chem!A162</f>
        <v>160</v>
      </c>
      <c r="B162" s="1880" t="str">
        <f>Chem!B162</f>
        <v>Carbon disulfide</v>
      </c>
      <c r="C162" s="394" t="str">
        <f>Param!AK162</f>
        <v>no</v>
      </c>
      <c r="D162" s="317" t="str">
        <f>IF(ISNUMBER(Param!AN162),Param!AN162,Param!AM162)</f>
        <v>na</v>
      </c>
      <c r="E162" s="273" t="s">
        <v>232</v>
      </c>
      <c r="F162" s="643" t="s">
        <v>232</v>
      </c>
      <c r="G162" s="550" t="s">
        <v>232</v>
      </c>
      <c r="H162" s="550" t="s">
        <v>232</v>
      </c>
      <c r="I162" s="273" t="s">
        <v>232</v>
      </c>
      <c r="J162" s="273" t="s">
        <v>232</v>
      </c>
      <c r="K162" s="219" t="str">
        <f>IF(C162="YES",'SD-Eq'!V162,"na")</f>
        <v>na</v>
      </c>
      <c r="L162" s="273" t="str">
        <f>IF(C162="YES",'SD-Eq'!Z162,"na")</f>
        <v>na</v>
      </c>
      <c r="M162" s="435" t="str">
        <f t="shared" si="255"/>
        <v>na</v>
      </c>
      <c r="N162" s="273" t="str">
        <f t="shared" si="256"/>
        <v>na</v>
      </c>
      <c r="O162" s="1794" t="str">
        <f t="shared" si="257"/>
        <v>na</v>
      </c>
      <c r="P162" s="1789" t="str">
        <f t="shared" si="258"/>
        <v>na</v>
      </c>
      <c r="Q162" s="418" t="s">
        <v>232</v>
      </c>
      <c r="R162" s="418" t="s">
        <v>232</v>
      </c>
      <c r="S162" s="418" t="s">
        <v>232</v>
      </c>
      <c r="T162" s="418" t="s">
        <v>232</v>
      </c>
      <c r="U162" s="418" t="s">
        <v>232</v>
      </c>
      <c r="V162" s="418" t="s">
        <v>232</v>
      </c>
      <c r="W162" s="418" t="str">
        <f t="shared" si="259"/>
        <v>na</v>
      </c>
      <c r="X162" s="418" t="s">
        <v>232</v>
      </c>
      <c r="Y162" s="1884" t="str">
        <f t="shared" si="260"/>
        <v>na</v>
      </c>
      <c r="Z162" s="1884" t="str">
        <f t="shared" si="261"/>
        <v>na</v>
      </c>
      <c r="AA162" s="1789" t="s">
        <v>232</v>
      </c>
      <c r="AB162" s="1789" t="s">
        <v>232</v>
      </c>
      <c r="AC162" s="273" t="s">
        <v>232</v>
      </c>
      <c r="AD162" s="273" t="s">
        <v>232</v>
      </c>
      <c r="AE162" s="273" t="s">
        <v>232</v>
      </c>
      <c r="AF162" s="273" t="s">
        <v>232</v>
      </c>
      <c r="AG162" s="273" t="s">
        <v>232</v>
      </c>
      <c r="AH162" s="273" t="s">
        <v>232</v>
      </c>
      <c r="AI162" s="273" t="s">
        <v>232</v>
      </c>
      <c r="AJ162" s="273" t="s">
        <v>232</v>
      </c>
      <c r="AK162" s="273" t="s">
        <v>232</v>
      </c>
      <c r="AL162" s="273" t="s">
        <v>232</v>
      </c>
      <c r="AM162" s="273" t="s">
        <v>232</v>
      </c>
      <c r="AN162" s="273" t="str">
        <f t="shared" si="262"/>
        <v>na</v>
      </c>
      <c r="AO162" s="273" t="str">
        <f t="shared" si="263"/>
        <v>na</v>
      </c>
      <c r="AP162" s="273" t="str">
        <f t="shared" si="264"/>
        <v>na</v>
      </c>
      <c r="AQ162" s="273" t="str">
        <f t="shared" si="265"/>
        <v>na</v>
      </c>
      <c r="AR162" s="1789" t="str">
        <f t="shared" si="266"/>
        <v>na</v>
      </c>
      <c r="AS162" s="1051"/>
      <c r="AU162" s="1332" t="str">
        <f t="shared" si="267"/>
        <v/>
      </c>
      <c r="AV162" s="1114" t="str">
        <f t="shared" si="268"/>
        <v/>
      </c>
      <c r="AW162" s="1114" t="str">
        <f t="shared" si="269"/>
        <v/>
      </c>
      <c r="AX162" s="1114" t="str">
        <f t="shared" si="270"/>
        <v/>
      </c>
      <c r="AY162" s="1113" t="str">
        <f t="shared" si="271"/>
        <v/>
      </c>
      <c r="AZ162" s="1114" t="str">
        <f t="shared" si="272"/>
        <v/>
      </c>
      <c r="BA162" s="1114" t="str">
        <f t="shared" si="273"/>
        <v/>
      </c>
      <c r="BB162" s="1704" t="str">
        <f t="shared" si="274"/>
        <v/>
      </c>
      <c r="BC162" s="1113" t="str">
        <f t="shared" si="275"/>
        <v/>
      </c>
      <c r="BD162" s="1114" t="str">
        <f t="shared" si="276"/>
        <v/>
      </c>
      <c r="BE162" s="1114" t="str">
        <f t="shared" si="277"/>
        <v/>
      </c>
      <c r="BF162" s="1114" t="str">
        <f t="shared" si="278"/>
        <v/>
      </c>
      <c r="BG162" s="1114" t="str">
        <f t="shared" si="279"/>
        <v/>
      </c>
      <c r="BH162" s="1114" t="str">
        <f t="shared" si="280"/>
        <v/>
      </c>
      <c r="BI162" s="1114" t="str">
        <f t="shared" si="281"/>
        <v/>
      </c>
      <c r="BJ162" s="1115" t="str">
        <f t="shared" si="282"/>
        <v/>
      </c>
      <c r="BL162" s="1885"/>
    </row>
    <row r="163" spans="1:64" ht="13.9" customHeight="1" x14ac:dyDescent="0.25">
      <c r="A163" s="1916">
        <f>Chem!A163</f>
        <v>161</v>
      </c>
      <c r="B163" s="1880" t="str">
        <f>Chem!B163</f>
        <v>Carbon tetrachloride</v>
      </c>
      <c r="C163" s="394" t="str">
        <f>Param!AK163</f>
        <v>no</v>
      </c>
      <c r="D163" s="317" t="str">
        <f>IF(ISNUMBER(Param!AN163),Param!AN163,Param!AM163)</f>
        <v>na</v>
      </c>
      <c r="E163" s="273" t="s">
        <v>232</v>
      </c>
      <c r="F163" s="643" t="s">
        <v>232</v>
      </c>
      <c r="G163" s="550" t="s">
        <v>232</v>
      </c>
      <c r="H163" s="550" t="s">
        <v>232</v>
      </c>
      <c r="I163" s="273" t="s">
        <v>232</v>
      </c>
      <c r="J163" s="273" t="s">
        <v>232</v>
      </c>
      <c r="K163" s="219" t="str">
        <f>IF(C163="YES",'SD-Eq'!V163,"na")</f>
        <v>na</v>
      </c>
      <c r="L163" s="273" t="str">
        <f>IF(C163="YES",'SD-Eq'!Z163,"na")</f>
        <v>na</v>
      </c>
      <c r="M163" s="435" t="str">
        <f t="shared" si="255"/>
        <v>na</v>
      </c>
      <c r="N163" s="273" t="str">
        <f t="shared" si="256"/>
        <v>na</v>
      </c>
      <c r="O163" s="1794" t="str">
        <f t="shared" si="257"/>
        <v>na</v>
      </c>
      <c r="P163" s="1789" t="str">
        <f t="shared" si="258"/>
        <v>na</v>
      </c>
      <c r="Q163" s="418" t="s">
        <v>232</v>
      </c>
      <c r="R163" s="418" t="s">
        <v>232</v>
      </c>
      <c r="S163" s="418" t="s">
        <v>232</v>
      </c>
      <c r="T163" s="418" t="s">
        <v>232</v>
      </c>
      <c r="U163" s="418" t="s">
        <v>232</v>
      </c>
      <c r="V163" s="418" t="s">
        <v>232</v>
      </c>
      <c r="W163" s="418" t="str">
        <f t="shared" si="259"/>
        <v>na</v>
      </c>
      <c r="X163" s="418" t="s">
        <v>232</v>
      </c>
      <c r="Y163" s="1884" t="str">
        <f t="shared" si="260"/>
        <v>na</v>
      </c>
      <c r="Z163" s="1884" t="str">
        <f t="shared" si="261"/>
        <v>na</v>
      </c>
      <c r="AA163" s="1789" t="s">
        <v>232</v>
      </c>
      <c r="AB163" s="1789" t="s">
        <v>232</v>
      </c>
      <c r="AC163" s="273" t="s">
        <v>232</v>
      </c>
      <c r="AD163" s="273" t="s">
        <v>232</v>
      </c>
      <c r="AE163" s="273" t="s">
        <v>232</v>
      </c>
      <c r="AF163" s="273" t="s">
        <v>232</v>
      </c>
      <c r="AG163" s="273" t="s">
        <v>232</v>
      </c>
      <c r="AH163" s="273" t="s">
        <v>232</v>
      </c>
      <c r="AI163" s="273" t="s">
        <v>232</v>
      </c>
      <c r="AJ163" s="273" t="s">
        <v>232</v>
      </c>
      <c r="AK163" s="273" t="s">
        <v>232</v>
      </c>
      <c r="AL163" s="273" t="s">
        <v>232</v>
      </c>
      <c r="AM163" s="273" t="s">
        <v>232</v>
      </c>
      <c r="AN163" s="273" t="str">
        <f t="shared" si="262"/>
        <v>na</v>
      </c>
      <c r="AO163" s="273" t="str">
        <f t="shared" si="263"/>
        <v>na</v>
      </c>
      <c r="AP163" s="273" t="str">
        <f t="shared" si="264"/>
        <v>na</v>
      </c>
      <c r="AQ163" s="273" t="str">
        <f t="shared" si="265"/>
        <v>na</v>
      </c>
      <c r="AR163" s="1789" t="str">
        <f t="shared" si="266"/>
        <v>na</v>
      </c>
      <c r="AS163" s="1051"/>
      <c r="AU163" s="1332" t="str">
        <f t="shared" si="267"/>
        <v/>
      </c>
      <c r="AV163" s="1114" t="str">
        <f t="shared" si="268"/>
        <v/>
      </c>
      <c r="AW163" s="1114" t="str">
        <f t="shared" si="269"/>
        <v/>
      </c>
      <c r="AX163" s="1114" t="str">
        <f t="shared" si="270"/>
        <v/>
      </c>
      <c r="AY163" s="1113" t="str">
        <f t="shared" si="271"/>
        <v/>
      </c>
      <c r="AZ163" s="1114" t="str">
        <f t="shared" si="272"/>
        <v/>
      </c>
      <c r="BA163" s="1114" t="str">
        <f t="shared" si="273"/>
        <v/>
      </c>
      <c r="BB163" s="1704" t="str">
        <f t="shared" si="274"/>
        <v/>
      </c>
      <c r="BC163" s="1113" t="str">
        <f t="shared" si="275"/>
        <v/>
      </c>
      <c r="BD163" s="1114" t="str">
        <f t="shared" si="276"/>
        <v/>
      </c>
      <c r="BE163" s="1114" t="str">
        <f t="shared" si="277"/>
        <v/>
      </c>
      <c r="BF163" s="1114" t="str">
        <f t="shared" si="278"/>
        <v/>
      </c>
      <c r="BG163" s="1114" t="str">
        <f t="shared" si="279"/>
        <v/>
      </c>
      <c r="BH163" s="1114" t="str">
        <f t="shared" si="280"/>
        <v/>
      </c>
      <c r="BI163" s="1114" t="str">
        <f t="shared" si="281"/>
        <v/>
      </c>
      <c r="BJ163" s="1115" t="str">
        <f t="shared" si="282"/>
        <v/>
      </c>
      <c r="BL163" s="1885"/>
    </row>
    <row r="164" spans="1:64" ht="13.9" customHeight="1" x14ac:dyDescent="0.25">
      <c r="A164" s="1916">
        <f>Chem!A164</f>
        <v>162</v>
      </c>
      <c r="B164" s="1880" t="str">
        <f>Chem!B164</f>
        <v>Chlorobenzene</v>
      </c>
      <c r="C164" s="394" t="str">
        <f>Param!AK164</f>
        <v>no</v>
      </c>
      <c r="D164" s="317" t="str">
        <f>IF(ISNUMBER(Param!AN164),Param!AN164,Param!AM164)</f>
        <v>na</v>
      </c>
      <c r="E164" s="273" t="s">
        <v>232</v>
      </c>
      <c r="F164" s="643" t="s">
        <v>232</v>
      </c>
      <c r="G164" s="550" t="s">
        <v>232</v>
      </c>
      <c r="H164" s="550" t="s">
        <v>232</v>
      </c>
      <c r="I164" s="273" t="s">
        <v>232</v>
      </c>
      <c r="J164" s="273" t="s">
        <v>232</v>
      </c>
      <c r="K164" s="219" t="str">
        <f>IF(C164="YES",'SD-Eq'!V164,"na")</f>
        <v>na</v>
      </c>
      <c r="L164" s="273" t="str">
        <f>IF(C164="YES",'SD-Eq'!Z164,"na")</f>
        <v>na</v>
      </c>
      <c r="M164" s="435" t="str">
        <f t="shared" si="255"/>
        <v>na</v>
      </c>
      <c r="N164" s="273" t="str">
        <f t="shared" si="256"/>
        <v>na</v>
      </c>
      <c r="O164" s="1794" t="str">
        <f t="shared" si="257"/>
        <v>na</v>
      </c>
      <c r="P164" s="1789" t="str">
        <f t="shared" si="258"/>
        <v>na</v>
      </c>
      <c r="Q164" s="418" t="s">
        <v>232</v>
      </c>
      <c r="R164" s="418" t="s">
        <v>232</v>
      </c>
      <c r="S164" s="418" t="s">
        <v>232</v>
      </c>
      <c r="T164" s="418" t="s">
        <v>232</v>
      </c>
      <c r="U164" s="418" t="s">
        <v>232</v>
      </c>
      <c r="V164" s="418" t="s">
        <v>232</v>
      </c>
      <c r="W164" s="418" t="str">
        <f t="shared" si="259"/>
        <v>na</v>
      </c>
      <c r="X164" s="418" t="s">
        <v>232</v>
      </c>
      <c r="Y164" s="1884" t="str">
        <f t="shared" si="260"/>
        <v>na</v>
      </c>
      <c r="Z164" s="1884" t="str">
        <f t="shared" si="261"/>
        <v>na</v>
      </c>
      <c r="AA164" s="1789" t="s">
        <v>232</v>
      </c>
      <c r="AB164" s="1789" t="s">
        <v>232</v>
      </c>
      <c r="AC164" s="273" t="s">
        <v>232</v>
      </c>
      <c r="AD164" s="273" t="s">
        <v>232</v>
      </c>
      <c r="AE164" s="273" t="s">
        <v>232</v>
      </c>
      <c r="AF164" s="273" t="s">
        <v>232</v>
      </c>
      <c r="AG164" s="273" t="s">
        <v>232</v>
      </c>
      <c r="AH164" s="273" t="s">
        <v>232</v>
      </c>
      <c r="AI164" s="273" t="s">
        <v>232</v>
      </c>
      <c r="AJ164" s="273" t="s">
        <v>232</v>
      </c>
      <c r="AK164" s="273" t="s">
        <v>232</v>
      </c>
      <c r="AL164" s="273" t="s">
        <v>232</v>
      </c>
      <c r="AM164" s="273" t="s">
        <v>232</v>
      </c>
      <c r="AN164" s="273" t="str">
        <f t="shared" si="262"/>
        <v>na</v>
      </c>
      <c r="AO164" s="273" t="str">
        <f t="shared" si="263"/>
        <v>na</v>
      </c>
      <c r="AP164" s="273" t="str">
        <f t="shared" si="264"/>
        <v>na</v>
      </c>
      <c r="AQ164" s="273" t="str">
        <f t="shared" si="265"/>
        <v>na</v>
      </c>
      <c r="AR164" s="1789" t="str">
        <f t="shared" si="266"/>
        <v>na</v>
      </c>
      <c r="AS164" s="1051"/>
      <c r="AU164" s="1332" t="str">
        <f t="shared" si="267"/>
        <v/>
      </c>
      <c r="AV164" s="1114" t="str">
        <f t="shared" si="268"/>
        <v/>
      </c>
      <c r="AW164" s="1114" t="str">
        <f t="shared" si="269"/>
        <v/>
      </c>
      <c r="AX164" s="1114" t="str">
        <f t="shared" si="270"/>
        <v/>
      </c>
      <c r="AY164" s="1113" t="str">
        <f t="shared" si="271"/>
        <v/>
      </c>
      <c r="AZ164" s="1114" t="str">
        <f t="shared" si="272"/>
        <v/>
      </c>
      <c r="BA164" s="1114" t="str">
        <f t="shared" si="273"/>
        <v/>
      </c>
      <c r="BB164" s="1704" t="str">
        <f t="shared" si="274"/>
        <v/>
      </c>
      <c r="BC164" s="1113" t="str">
        <f t="shared" si="275"/>
        <v/>
      </c>
      <c r="BD164" s="1114" t="str">
        <f t="shared" si="276"/>
        <v/>
      </c>
      <c r="BE164" s="1114" t="str">
        <f t="shared" si="277"/>
        <v/>
      </c>
      <c r="BF164" s="1114" t="str">
        <f t="shared" si="278"/>
        <v/>
      </c>
      <c r="BG164" s="1114" t="str">
        <f t="shared" si="279"/>
        <v/>
      </c>
      <c r="BH164" s="1114" t="str">
        <f t="shared" si="280"/>
        <v/>
      </c>
      <c r="BI164" s="1114" t="str">
        <f t="shared" si="281"/>
        <v/>
      </c>
      <c r="BJ164" s="1115" t="str">
        <f t="shared" si="282"/>
        <v/>
      </c>
      <c r="BL164" s="1885"/>
    </row>
    <row r="165" spans="1:64" ht="13.9" customHeight="1" x14ac:dyDescent="0.25">
      <c r="A165" s="1916">
        <f>Chem!A165</f>
        <v>163</v>
      </c>
      <c r="B165" s="1880" t="str">
        <f>Chem!B165</f>
        <v>Chloroethane</v>
      </c>
      <c r="C165" s="394" t="str">
        <f>Param!AK165</f>
        <v>no</v>
      </c>
      <c r="D165" s="317" t="str">
        <f>IF(ISNUMBER(Param!AN165),Param!AN165,Param!AM165)</f>
        <v>na</v>
      </c>
      <c r="E165" s="273" t="s">
        <v>232</v>
      </c>
      <c r="F165" s="643" t="s">
        <v>232</v>
      </c>
      <c r="G165" s="550" t="s">
        <v>232</v>
      </c>
      <c r="H165" s="550" t="s">
        <v>232</v>
      </c>
      <c r="I165" s="273" t="s">
        <v>232</v>
      </c>
      <c r="J165" s="273" t="s">
        <v>232</v>
      </c>
      <c r="K165" s="219" t="str">
        <f>IF(C165="YES",'SD-Eq'!V165,"na")</f>
        <v>na</v>
      </c>
      <c r="L165" s="273" t="str">
        <f>IF(C165="YES",'SD-Eq'!Z165,"na")</f>
        <v>na</v>
      </c>
      <c r="M165" s="435" t="str">
        <f t="shared" si="255"/>
        <v>na</v>
      </c>
      <c r="N165" s="273" t="str">
        <f t="shared" si="256"/>
        <v>na</v>
      </c>
      <c r="O165" s="1794" t="str">
        <f t="shared" si="257"/>
        <v>na</v>
      </c>
      <c r="P165" s="1789" t="str">
        <f t="shared" si="258"/>
        <v>na</v>
      </c>
      <c r="Q165" s="418" t="s">
        <v>232</v>
      </c>
      <c r="R165" s="418" t="s">
        <v>232</v>
      </c>
      <c r="S165" s="418" t="s">
        <v>232</v>
      </c>
      <c r="T165" s="418" t="s">
        <v>232</v>
      </c>
      <c r="U165" s="418" t="s">
        <v>232</v>
      </c>
      <c r="V165" s="418" t="s">
        <v>232</v>
      </c>
      <c r="W165" s="418" t="str">
        <f t="shared" si="259"/>
        <v>na</v>
      </c>
      <c r="X165" s="418" t="s">
        <v>232</v>
      </c>
      <c r="Y165" s="1884" t="str">
        <f t="shared" si="260"/>
        <v>na</v>
      </c>
      <c r="Z165" s="1884" t="str">
        <f t="shared" si="261"/>
        <v>na</v>
      </c>
      <c r="AA165" s="1789" t="s">
        <v>232</v>
      </c>
      <c r="AB165" s="1789" t="s">
        <v>232</v>
      </c>
      <c r="AC165" s="273" t="s">
        <v>232</v>
      </c>
      <c r="AD165" s="273" t="s">
        <v>232</v>
      </c>
      <c r="AE165" s="273" t="s">
        <v>232</v>
      </c>
      <c r="AF165" s="273" t="s">
        <v>232</v>
      </c>
      <c r="AG165" s="273" t="s">
        <v>232</v>
      </c>
      <c r="AH165" s="273" t="s">
        <v>232</v>
      </c>
      <c r="AI165" s="273" t="s">
        <v>232</v>
      </c>
      <c r="AJ165" s="273" t="s">
        <v>232</v>
      </c>
      <c r="AK165" s="273" t="s">
        <v>232</v>
      </c>
      <c r="AL165" s="273" t="s">
        <v>232</v>
      </c>
      <c r="AM165" s="273" t="s">
        <v>232</v>
      </c>
      <c r="AN165" s="273" t="str">
        <f t="shared" si="262"/>
        <v>na</v>
      </c>
      <c r="AO165" s="273" t="str">
        <f t="shared" si="263"/>
        <v>na</v>
      </c>
      <c r="AP165" s="273" t="str">
        <f t="shared" si="264"/>
        <v>na</v>
      </c>
      <c r="AQ165" s="273" t="str">
        <f t="shared" si="265"/>
        <v>na</v>
      </c>
      <c r="AR165" s="1789" t="str">
        <f t="shared" si="266"/>
        <v>na</v>
      </c>
      <c r="AS165" s="1051"/>
      <c r="AU165" s="1332" t="str">
        <f t="shared" si="267"/>
        <v/>
      </c>
      <c r="AV165" s="1114" t="str">
        <f t="shared" si="268"/>
        <v/>
      </c>
      <c r="AW165" s="1114" t="str">
        <f t="shared" si="269"/>
        <v/>
      </c>
      <c r="AX165" s="1114" t="str">
        <f t="shared" si="270"/>
        <v/>
      </c>
      <c r="AY165" s="1113" t="str">
        <f t="shared" si="271"/>
        <v/>
      </c>
      <c r="AZ165" s="1114" t="str">
        <f t="shared" si="272"/>
        <v/>
      </c>
      <c r="BA165" s="1114" t="str">
        <f t="shared" si="273"/>
        <v/>
      </c>
      <c r="BB165" s="1704" t="str">
        <f t="shared" si="274"/>
        <v/>
      </c>
      <c r="BC165" s="1113" t="str">
        <f t="shared" si="275"/>
        <v/>
      </c>
      <c r="BD165" s="1114" t="str">
        <f t="shared" si="276"/>
        <v/>
      </c>
      <c r="BE165" s="1114" t="str">
        <f t="shared" si="277"/>
        <v/>
      </c>
      <c r="BF165" s="1114" t="str">
        <f t="shared" si="278"/>
        <v/>
      </c>
      <c r="BG165" s="1114" t="str">
        <f t="shared" si="279"/>
        <v/>
      </c>
      <c r="BH165" s="1114" t="str">
        <f t="shared" si="280"/>
        <v/>
      </c>
      <c r="BI165" s="1114" t="str">
        <f t="shared" si="281"/>
        <v/>
      </c>
      <c r="BJ165" s="1115" t="str">
        <f t="shared" si="282"/>
        <v/>
      </c>
      <c r="BL165" s="1885"/>
    </row>
    <row r="166" spans="1:64" ht="13.9" customHeight="1" x14ac:dyDescent="0.25">
      <c r="A166" s="1916">
        <f>Chem!A166</f>
        <v>164</v>
      </c>
      <c r="B166" s="1880" t="str">
        <f>Chem!B166</f>
        <v>2-Chloroethyl vinyl ether</v>
      </c>
      <c r="C166" s="394" t="str">
        <f>Param!AK166</f>
        <v>no</v>
      </c>
      <c r="D166" s="317" t="str">
        <f>IF(ISNUMBER(Param!AN166),Param!AN166,Param!AM166)</f>
        <v>na</v>
      </c>
      <c r="E166" s="273" t="s">
        <v>232</v>
      </c>
      <c r="F166" s="643" t="s">
        <v>232</v>
      </c>
      <c r="G166" s="550" t="s">
        <v>232</v>
      </c>
      <c r="H166" s="550" t="s">
        <v>232</v>
      </c>
      <c r="I166" s="273" t="s">
        <v>232</v>
      </c>
      <c r="J166" s="273" t="s">
        <v>232</v>
      </c>
      <c r="K166" s="219" t="str">
        <f>IF(C166="YES",'SD-Eq'!V166,"na")</f>
        <v>na</v>
      </c>
      <c r="L166" s="273" t="str">
        <f>IF(C166="YES",'SD-Eq'!Z166,"na")</f>
        <v>na</v>
      </c>
      <c r="M166" s="435" t="str">
        <f t="shared" si="255"/>
        <v>na</v>
      </c>
      <c r="N166" s="273" t="str">
        <f t="shared" si="256"/>
        <v>na</v>
      </c>
      <c r="O166" s="1794" t="str">
        <f t="shared" si="257"/>
        <v>na</v>
      </c>
      <c r="P166" s="1789" t="str">
        <f t="shared" si="258"/>
        <v>na</v>
      </c>
      <c r="Q166" s="418" t="s">
        <v>232</v>
      </c>
      <c r="R166" s="418" t="s">
        <v>232</v>
      </c>
      <c r="S166" s="418" t="s">
        <v>232</v>
      </c>
      <c r="T166" s="418" t="s">
        <v>232</v>
      </c>
      <c r="U166" s="418" t="s">
        <v>232</v>
      </c>
      <c r="V166" s="418" t="s">
        <v>232</v>
      </c>
      <c r="W166" s="418" t="str">
        <f t="shared" si="259"/>
        <v>na</v>
      </c>
      <c r="X166" s="418" t="s">
        <v>232</v>
      </c>
      <c r="Y166" s="1884" t="str">
        <f t="shared" si="260"/>
        <v>na</v>
      </c>
      <c r="Z166" s="1884" t="str">
        <f t="shared" si="261"/>
        <v>na</v>
      </c>
      <c r="AA166" s="1789" t="s">
        <v>232</v>
      </c>
      <c r="AB166" s="1789" t="s">
        <v>232</v>
      </c>
      <c r="AC166" s="273" t="s">
        <v>232</v>
      </c>
      <c r="AD166" s="273" t="s">
        <v>232</v>
      </c>
      <c r="AE166" s="273" t="s">
        <v>232</v>
      </c>
      <c r="AF166" s="273" t="s">
        <v>232</v>
      </c>
      <c r="AG166" s="273" t="s">
        <v>232</v>
      </c>
      <c r="AH166" s="273" t="s">
        <v>232</v>
      </c>
      <c r="AI166" s="273" t="s">
        <v>232</v>
      </c>
      <c r="AJ166" s="273" t="s">
        <v>232</v>
      </c>
      <c r="AK166" s="273" t="s">
        <v>232</v>
      </c>
      <c r="AL166" s="273" t="s">
        <v>232</v>
      </c>
      <c r="AM166" s="273" t="s">
        <v>232</v>
      </c>
      <c r="AN166" s="273" t="str">
        <f t="shared" si="262"/>
        <v>na</v>
      </c>
      <c r="AO166" s="273" t="str">
        <f t="shared" si="263"/>
        <v>na</v>
      </c>
      <c r="AP166" s="273" t="str">
        <f t="shared" si="264"/>
        <v>na</v>
      </c>
      <c r="AQ166" s="273" t="str">
        <f t="shared" si="265"/>
        <v>na</v>
      </c>
      <c r="AR166" s="1789" t="str">
        <f t="shared" si="266"/>
        <v>na</v>
      </c>
      <c r="AS166" s="1051"/>
      <c r="AU166" s="1332" t="str">
        <f t="shared" si="267"/>
        <v/>
      </c>
      <c r="AV166" s="1114" t="str">
        <f t="shared" si="268"/>
        <v/>
      </c>
      <c r="AW166" s="1114" t="str">
        <f t="shared" si="269"/>
        <v/>
      </c>
      <c r="AX166" s="1114" t="str">
        <f t="shared" si="270"/>
        <v/>
      </c>
      <c r="AY166" s="1113" t="str">
        <f t="shared" si="271"/>
        <v/>
      </c>
      <c r="AZ166" s="1114" t="str">
        <f t="shared" si="272"/>
        <v/>
      </c>
      <c r="BA166" s="1114" t="str">
        <f t="shared" si="273"/>
        <v/>
      </c>
      <c r="BB166" s="1704" t="str">
        <f t="shared" si="274"/>
        <v/>
      </c>
      <c r="BC166" s="1113" t="str">
        <f t="shared" si="275"/>
        <v/>
      </c>
      <c r="BD166" s="1114" t="str">
        <f t="shared" si="276"/>
        <v/>
      </c>
      <c r="BE166" s="1114" t="str">
        <f t="shared" si="277"/>
        <v/>
      </c>
      <c r="BF166" s="1114" t="str">
        <f t="shared" si="278"/>
        <v/>
      </c>
      <c r="BG166" s="1114" t="str">
        <f t="shared" si="279"/>
        <v/>
      </c>
      <c r="BH166" s="1114" t="str">
        <f t="shared" si="280"/>
        <v/>
      </c>
      <c r="BI166" s="1114" t="str">
        <f t="shared" si="281"/>
        <v/>
      </c>
      <c r="BJ166" s="1115" t="str">
        <f t="shared" si="282"/>
        <v/>
      </c>
      <c r="BL166" s="1885"/>
    </row>
    <row r="167" spans="1:64" ht="13.9" customHeight="1" x14ac:dyDescent="0.25">
      <c r="A167" s="1916">
        <f>Chem!A167</f>
        <v>165</v>
      </c>
      <c r="B167" s="1880" t="str">
        <f>Chem!B167</f>
        <v>Chloroform</v>
      </c>
      <c r="C167" s="394" t="str">
        <f>Param!AK167</f>
        <v>no</v>
      </c>
      <c r="D167" s="317" t="str">
        <f>IF(ISNUMBER(Param!AN167),Param!AN167,Param!AM167)</f>
        <v>na</v>
      </c>
      <c r="E167" s="273" t="s">
        <v>232</v>
      </c>
      <c r="F167" s="643" t="s">
        <v>232</v>
      </c>
      <c r="G167" s="550" t="s">
        <v>232</v>
      </c>
      <c r="H167" s="550" t="s">
        <v>232</v>
      </c>
      <c r="I167" s="273" t="s">
        <v>232</v>
      </c>
      <c r="J167" s="273" t="s">
        <v>232</v>
      </c>
      <c r="K167" s="219" t="str">
        <f>IF(C167="YES",'SD-Eq'!V167,"na")</f>
        <v>na</v>
      </c>
      <c r="L167" s="273" t="str">
        <f>IF(C167="YES",'SD-Eq'!Z167,"na")</f>
        <v>na</v>
      </c>
      <c r="M167" s="435" t="str">
        <f t="shared" si="255"/>
        <v>na</v>
      </c>
      <c r="N167" s="273" t="str">
        <f t="shared" si="256"/>
        <v>na</v>
      </c>
      <c r="O167" s="1794" t="str">
        <f t="shared" si="257"/>
        <v>na</v>
      </c>
      <c r="P167" s="1789" t="str">
        <f t="shared" si="258"/>
        <v>na</v>
      </c>
      <c r="Q167" s="418" t="s">
        <v>232</v>
      </c>
      <c r="R167" s="418" t="s">
        <v>232</v>
      </c>
      <c r="S167" s="418" t="s">
        <v>232</v>
      </c>
      <c r="T167" s="418" t="s">
        <v>232</v>
      </c>
      <c r="U167" s="418" t="s">
        <v>232</v>
      </c>
      <c r="V167" s="418" t="s">
        <v>232</v>
      </c>
      <c r="W167" s="418" t="str">
        <f t="shared" si="259"/>
        <v>na</v>
      </c>
      <c r="X167" s="418" t="s">
        <v>232</v>
      </c>
      <c r="Y167" s="1884" t="str">
        <f t="shared" si="260"/>
        <v>na</v>
      </c>
      <c r="Z167" s="1884" t="str">
        <f t="shared" si="261"/>
        <v>na</v>
      </c>
      <c r="AA167" s="1789" t="s">
        <v>232</v>
      </c>
      <c r="AB167" s="1789" t="s">
        <v>232</v>
      </c>
      <c r="AC167" s="273" t="s">
        <v>232</v>
      </c>
      <c r="AD167" s="273" t="s">
        <v>232</v>
      </c>
      <c r="AE167" s="273" t="s">
        <v>232</v>
      </c>
      <c r="AF167" s="273" t="s">
        <v>232</v>
      </c>
      <c r="AG167" s="273" t="s">
        <v>232</v>
      </c>
      <c r="AH167" s="273" t="s">
        <v>232</v>
      </c>
      <c r="AI167" s="273" t="s">
        <v>232</v>
      </c>
      <c r="AJ167" s="273" t="s">
        <v>232</v>
      </c>
      <c r="AK167" s="273" t="s">
        <v>232</v>
      </c>
      <c r="AL167" s="273" t="s">
        <v>232</v>
      </c>
      <c r="AM167" s="273" t="s">
        <v>232</v>
      </c>
      <c r="AN167" s="273" t="str">
        <f t="shared" si="262"/>
        <v>na</v>
      </c>
      <c r="AO167" s="273" t="str">
        <f t="shared" si="263"/>
        <v>na</v>
      </c>
      <c r="AP167" s="273" t="str">
        <f t="shared" si="264"/>
        <v>na</v>
      </c>
      <c r="AQ167" s="273" t="str">
        <f t="shared" si="265"/>
        <v>na</v>
      </c>
      <c r="AR167" s="1789" t="str">
        <f t="shared" si="266"/>
        <v>na</v>
      </c>
      <c r="AS167" s="1051"/>
      <c r="AU167" s="1332" t="str">
        <f t="shared" si="267"/>
        <v/>
      </c>
      <c r="AV167" s="1114" t="str">
        <f t="shared" si="268"/>
        <v/>
      </c>
      <c r="AW167" s="1114" t="str">
        <f t="shared" si="269"/>
        <v/>
      </c>
      <c r="AX167" s="1114" t="str">
        <f t="shared" si="270"/>
        <v/>
      </c>
      <c r="AY167" s="1113" t="str">
        <f t="shared" si="271"/>
        <v/>
      </c>
      <c r="AZ167" s="1114" t="str">
        <f t="shared" si="272"/>
        <v/>
      </c>
      <c r="BA167" s="1114" t="str">
        <f t="shared" si="273"/>
        <v/>
      </c>
      <c r="BB167" s="1704" t="str">
        <f t="shared" si="274"/>
        <v/>
      </c>
      <c r="BC167" s="1113" t="str">
        <f t="shared" si="275"/>
        <v/>
      </c>
      <c r="BD167" s="1114" t="str">
        <f t="shared" si="276"/>
        <v/>
      </c>
      <c r="BE167" s="1114" t="str">
        <f t="shared" si="277"/>
        <v/>
      </c>
      <c r="BF167" s="1114" t="str">
        <f t="shared" si="278"/>
        <v/>
      </c>
      <c r="BG167" s="1114" t="str">
        <f t="shared" si="279"/>
        <v/>
      </c>
      <c r="BH167" s="1114" t="str">
        <f t="shared" si="280"/>
        <v/>
      </c>
      <c r="BI167" s="1114" t="str">
        <f t="shared" si="281"/>
        <v/>
      </c>
      <c r="BJ167" s="1115" t="str">
        <f t="shared" si="282"/>
        <v/>
      </c>
      <c r="BL167" s="1885"/>
    </row>
    <row r="168" spans="1:64" ht="13.9" customHeight="1" x14ac:dyDescent="0.25">
      <c r="A168" s="1916">
        <f>Chem!A168</f>
        <v>166</v>
      </c>
      <c r="B168" s="1880" t="str">
        <f>Chem!B168</f>
        <v>Chloromethane</v>
      </c>
      <c r="C168" s="394" t="str">
        <f>Param!AK168</f>
        <v>no</v>
      </c>
      <c r="D168" s="317" t="str">
        <f>IF(ISNUMBER(Param!AN168),Param!AN168,Param!AM168)</f>
        <v>na</v>
      </c>
      <c r="E168" s="273" t="s">
        <v>232</v>
      </c>
      <c r="F168" s="643" t="s">
        <v>232</v>
      </c>
      <c r="G168" s="550" t="s">
        <v>232</v>
      </c>
      <c r="H168" s="550" t="s">
        <v>232</v>
      </c>
      <c r="I168" s="273" t="s">
        <v>232</v>
      </c>
      <c r="J168" s="273" t="s">
        <v>232</v>
      </c>
      <c r="K168" s="219" t="str">
        <f>IF(C168="YES",'SD-Eq'!V168,"na")</f>
        <v>na</v>
      </c>
      <c r="L168" s="273" t="str">
        <f>IF(C168="YES",'SD-Eq'!Z168,"na")</f>
        <v>na</v>
      </c>
      <c r="M168" s="435" t="str">
        <f t="shared" si="255"/>
        <v>na</v>
      </c>
      <c r="N168" s="273" t="str">
        <f t="shared" si="256"/>
        <v>na</v>
      </c>
      <c r="O168" s="1794" t="str">
        <f t="shared" si="257"/>
        <v>na</v>
      </c>
      <c r="P168" s="1789" t="str">
        <f t="shared" si="258"/>
        <v>na</v>
      </c>
      <c r="Q168" s="418" t="s">
        <v>232</v>
      </c>
      <c r="R168" s="418" t="s">
        <v>232</v>
      </c>
      <c r="S168" s="418" t="s">
        <v>232</v>
      </c>
      <c r="T168" s="418" t="s">
        <v>232</v>
      </c>
      <c r="U168" s="418" t="s">
        <v>232</v>
      </c>
      <c r="V168" s="418" t="s">
        <v>232</v>
      </c>
      <c r="W168" s="418" t="str">
        <f t="shared" si="259"/>
        <v>na</v>
      </c>
      <c r="X168" s="418" t="s">
        <v>232</v>
      </c>
      <c r="Y168" s="1884" t="str">
        <f t="shared" si="260"/>
        <v>na</v>
      </c>
      <c r="Z168" s="1884" t="str">
        <f t="shared" si="261"/>
        <v>na</v>
      </c>
      <c r="AA168" s="1789" t="s">
        <v>232</v>
      </c>
      <c r="AB168" s="1789" t="s">
        <v>232</v>
      </c>
      <c r="AC168" s="273" t="s">
        <v>232</v>
      </c>
      <c r="AD168" s="273" t="s">
        <v>232</v>
      </c>
      <c r="AE168" s="273" t="s">
        <v>232</v>
      </c>
      <c r="AF168" s="273" t="s">
        <v>232</v>
      </c>
      <c r="AG168" s="273" t="s">
        <v>232</v>
      </c>
      <c r="AH168" s="273" t="s">
        <v>232</v>
      </c>
      <c r="AI168" s="273" t="s">
        <v>232</v>
      </c>
      <c r="AJ168" s="273" t="s">
        <v>232</v>
      </c>
      <c r="AK168" s="273" t="s">
        <v>232</v>
      </c>
      <c r="AL168" s="273" t="s">
        <v>232</v>
      </c>
      <c r="AM168" s="273" t="s">
        <v>232</v>
      </c>
      <c r="AN168" s="273" t="str">
        <f t="shared" si="262"/>
        <v>na</v>
      </c>
      <c r="AO168" s="273" t="str">
        <f t="shared" si="263"/>
        <v>na</v>
      </c>
      <c r="AP168" s="273" t="str">
        <f t="shared" si="264"/>
        <v>na</v>
      </c>
      <c r="AQ168" s="273" t="str">
        <f t="shared" si="265"/>
        <v>na</v>
      </c>
      <c r="AR168" s="1789" t="str">
        <f t="shared" si="266"/>
        <v>na</v>
      </c>
      <c r="AS168" s="1051"/>
      <c r="AU168" s="1332" t="str">
        <f t="shared" si="267"/>
        <v/>
      </c>
      <c r="AV168" s="1114" t="str">
        <f t="shared" si="268"/>
        <v/>
      </c>
      <c r="AW168" s="1114" t="str">
        <f t="shared" si="269"/>
        <v/>
      </c>
      <c r="AX168" s="1114" t="str">
        <f t="shared" si="270"/>
        <v/>
      </c>
      <c r="AY168" s="1113" t="str">
        <f t="shared" si="271"/>
        <v/>
      </c>
      <c r="AZ168" s="1114" t="str">
        <f t="shared" si="272"/>
        <v/>
      </c>
      <c r="BA168" s="1114" t="str">
        <f t="shared" si="273"/>
        <v/>
      </c>
      <c r="BB168" s="1704" t="str">
        <f t="shared" si="274"/>
        <v/>
      </c>
      <c r="BC168" s="1113" t="str">
        <f t="shared" si="275"/>
        <v/>
      </c>
      <c r="BD168" s="1114" t="str">
        <f t="shared" si="276"/>
        <v/>
      </c>
      <c r="BE168" s="1114" t="str">
        <f t="shared" si="277"/>
        <v/>
      </c>
      <c r="BF168" s="1114" t="str">
        <f t="shared" si="278"/>
        <v/>
      </c>
      <c r="BG168" s="1114" t="str">
        <f t="shared" si="279"/>
        <v/>
      </c>
      <c r="BH168" s="1114" t="str">
        <f t="shared" si="280"/>
        <v/>
      </c>
      <c r="BI168" s="1114" t="str">
        <f t="shared" si="281"/>
        <v/>
      </c>
      <c r="BJ168" s="1115" t="str">
        <f t="shared" si="282"/>
        <v/>
      </c>
      <c r="BL168" s="1885"/>
    </row>
    <row r="169" spans="1:64" ht="13.9" customHeight="1" x14ac:dyDescent="0.25">
      <c r="A169" s="1916">
        <f>Chem!A169</f>
        <v>167</v>
      </c>
      <c r="B169" s="1880" t="str">
        <f>Chem!B169</f>
        <v>3-Chloro-1-propene (allyl chloride)</v>
      </c>
      <c r="C169" s="394" t="str">
        <f>Param!AK169</f>
        <v>no</v>
      </c>
      <c r="D169" s="317" t="str">
        <f>IF(ISNUMBER(Param!AN169),Param!AN169,Param!AM169)</f>
        <v>na</v>
      </c>
      <c r="E169" s="273" t="s">
        <v>232</v>
      </c>
      <c r="F169" s="643" t="s">
        <v>232</v>
      </c>
      <c r="G169" s="550" t="s">
        <v>232</v>
      </c>
      <c r="H169" s="550" t="s">
        <v>232</v>
      </c>
      <c r="I169" s="273" t="s">
        <v>232</v>
      </c>
      <c r="J169" s="273" t="s">
        <v>232</v>
      </c>
      <c r="K169" s="219" t="str">
        <f>IF(C169="YES",'SD-Eq'!V169,"na")</f>
        <v>na</v>
      </c>
      <c r="L169" s="273" t="str">
        <f>IF(C169="YES",'SD-Eq'!Z169,"na")</f>
        <v>na</v>
      </c>
      <c r="M169" s="435" t="str">
        <f t="shared" si="255"/>
        <v>na</v>
      </c>
      <c r="N169" s="273" t="str">
        <f t="shared" si="256"/>
        <v>na</v>
      </c>
      <c r="O169" s="1794" t="str">
        <f t="shared" si="257"/>
        <v>na</v>
      </c>
      <c r="P169" s="1789" t="str">
        <f t="shared" si="258"/>
        <v>na</v>
      </c>
      <c r="Q169" s="418" t="s">
        <v>232</v>
      </c>
      <c r="R169" s="418" t="s">
        <v>232</v>
      </c>
      <c r="S169" s="418" t="s">
        <v>232</v>
      </c>
      <c r="T169" s="418" t="s">
        <v>232</v>
      </c>
      <c r="U169" s="418" t="s">
        <v>232</v>
      </c>
      <c r="V169" s="418" t="s">
        <v>232</v>
      </c>
      <c r="W169" s="418" t="str">
        <f t="shared" si="259"/>
        <v>na</v>
      </c>
      <c r="X169" s="418" t="s">
        <v>232</v>
      </c>
      <c r="Y169" s="1884" t="str">
        <f t="shared" si="260"/>
        <v>na</v>
      </c>
      <c r="Z169" s="1884" t="str">
        <f t="shared" si="261"/>
        <v>na</v>
      </c>
      <c r="AA169" s="1789" t="s">
        <v>232</v>
      </c>
      <c r="AB169" s="1789" t="s">
        <v>232</v>
      </c>
      <c r="AC169" s="273" t="s">
        <v>232</v>
      </c>
      <c r="AD169" s="273" t="s">
        <v>232</v>
      </c>
      <c r="AE169" s="273" t="s">
        <v>232</v>
      </c>
      <c r="AF169" s="273" t="s">
        <v>232</v>
      </c>
      <c r="AG169" s="273" t="s">
        <v>232</v>
      </c>
      <c r="AH169" s="273" t="s">
        <v>232</v>
      </c>
      <c r="AI169" s="273" t="s">
        <v>232</v>
      </c>
      <c r="AJ169" s="273" t="s">
        <v>232</v>
      </c>
      <c r="AK169" s="273" t="s">
        <v>232</v>
      </c>
      <c r="AL169" s="273" t="s">
        <v>232</v>
      </c>
      <c r="AM169" s="273" t="s">
        <v>232</v>
      </c>
      <c r="AN169" s="273" t="str">
        <f t="shared" si="262"/>
        <v>na</v>
      </c>
      <c r="AO169" s="273" t="str">
        <f t="shared" si="263"/>
        <v>na</v>
      </c>
      <c r="AP169" s="273" t="str">
        <f t="shared" si="264"/>
        <v>na</v>
      </c>
      <c r="AQ169" s="273" t="str">
        <f t="shared" si="265"/>
        <v>na</v>
      </c>
      <c r="AR169" s="1789" t="str">
        <f t="shared" si="266"/>
        <v>na</v>
      </c>
      <c r="AS169" s="1051"/>
      <c r="AU169" s="1332" t="str">
        <f t="shared" si="267"/>
        <v/>
      </c>
      <c r="AV169" s="1114" t="str">
        <f t="shared" si="268"/>
        <v/>
      </c>
      <c r="AW169" s="1114" t="str">
        <f t="shared" si="269"/>
        <v/>
      </c>
      <c r="AX169" s="1114" t="str">
        <f t="shared" si="270"/>
        <v/>
      </c>
      <c r="AY169" s="1113" t="str">
        <f t="shared" si="271"/>
        <v/>
      </c>
      <c r="AZ169" s="1114" t="str">
        <f t="shared" si="272"/>
        <v/>
      </c>
      <c r="BA169" s="1114" t="str">
        <f t="shared" si="273"/>
        <v/>
      </c>
      <c r="BB169" s="1704" t="str">
        <f t="shared" si="274"/>
        <v/>
      </c>
      <c r="BC169" s="1113" t="str">
        <f t="shared" si="275"/>
        <v/>
      </c>
      <c r="BD169" s="1114" t="str">
        <f t="shared" si="276"/>
        <v/>
      </c>
      <c r="BE169" s="1114" t="str">
        <f t="shared" si="277"/>
        <v/>
      </c>
      <c r="BF169" s="1114" t="str">
        <f t="shared" si="278"/>
        <v/>
      </c>
      <c r="BG169" s="1114" t="str">
        <f t="shared" si="279"/>
        <v/>
      </c>
      <c r="BH169" s="1114" t="str">
        <f t="shared" si="280"/>
        <v/>
      </c>
      <c r="BI169" s="1114" t="str">
        <f t="shared" si="281"/>
        <v/>
      </c>
      <c r="BJ169" s="1115" t="str">
        <f t="shared" si="282"/>
        <v/>
      </c>
      <c r="BL169" s="1885"/>
    </row>
    <row r="170" spans="1:64" ht="13.9" customHeight="1" x14ac:dyDescent="0.25">
      <c r="A170" s="1916">
        <f>Chem!A170</f>
        <v>168</v>
      </c>
      <c r="B170" s="1880" t="str">
        <f>Chem!B170</f>
        <v>2-Chlorotoluene</v>
      </c>
      <c r="C170" s="394" t="str">
        <f>Param!AK170</f>
        <v>no</v>
      </c>
      <c r="D170" s="317" t="str">
        <f>IF(ISNUMBER(Param!AN170),Param!AN170,Param!AM170)</f>
        <v>na</v>
      </c>
      <c r="E170" s="273" t="s">
        <v>232</v>
      </c>
      <c r="F170" s="643" t="s">
        <v>232</v>
      </c>
      <c r="G170" s="550" t="s">
        <v>232</v>
      </c>
      <c r="H170" s="550" t="s">
        <v>232</v>
      </c>
      <c r="I170" s="273" t="s">
        <v>232</v>
      </c>
      <c r="J170" s="273" t="s">
        <v>232</v>
      </c>
      <c r="K170" s="219" t="str">
        <f>IF(C170="YES",'SD-Eq'!V170,"na")</f>
        <v>na</v>
      </c>
      <c r="L170" s="273" t="str">
        <f>IF(C170="YES",'SD-Eq'!Z170,"na")</f>
        <v>na</v>
      </c>
      <c r="M170" s="435" t="str">
        <f t="shared" si="255"/>
        <v>na</v>
      </c>
      <c r="N170" s="273" t="str">
        <f t="shared" si="256"/>
        <v>na</v>
      </c>
      <c r="O170" s="1794" t="str">
        <f t="shared" si="257"/>
        <v>na</v>
      </c>
      <c r="P170" s="1789" t="str">
        <f t="shared" si="258"/>
        <v>na</v>
      </c>
      <c r="Q170" s="418" t="s">
        <v>232</v>
      </c>
      <c r="R170" s="418" t="s">
        <v>232</v>
      </c>
      <c r="S170" s="418" t="s">
        <v>232</v>
      </c>
      <c r="T170" s="418" t="s">
        <v>232</v>
      </c>
      <c r="U170" s="418" t="s">
        <v>232</v>
      </c>
      <c r="V170" s="418" t="s">
        <v>232</v>
      </c>
      <c r="W170" s="418" t="str">
        <f t="shared" si="259"/>
        <v>na</v>
      </c>
      <c r="X170" s="418" t="s">
        <v>232</v>
      </c>
      <c r="Y170" s="1884" t="str">
        <f t="shared" si="260"/>
        <v>na</v>
      </c>
      <c r="Z170" s="1884" t="str">
        <f t="shared" si="261"/>
        <v>na</v>
      </c>
      <c r="AA170" s="1789" t="s">
        <v>232</v>
      </c>
      <c r="AB170" s="1789" t="s">
        <v>232</v>
      </c>
      <c r="AC170" s="273" t="s">
        <v>232</v>
      </c>
      <c r="AD170" s="273" t="s">
        <v>232</v>
      </c>
      <c r="AE170" s="273" t="s">
        <v>232</v>
      </c>
      <c r="AF170" s="273" t="s">
        <v>232</v>
      </c>
      <c r="AG170" s="273" t="s">
        <v>232</v>
      </c>
      <c r="AH170" s="273" t="s">
        <v>232</v>
      </c>
      <c r="AI170" s="273" t="s">
        <v>232</v>
      </c>
      <c r="AJ170" s="273" t="s">
        <v>232</v>
      </c>
      <c r="AK170" s="273" t="s">
        <v>232</v>
      </c>
      <c r="AL170" s="273" t="s">
        <v>232</v>
      </c>
      <c r="AM170" s="273" t="s">
        <v>232</v>
      </c>
      <c r="AN170" s="273" t="str">
        <f t="shared" si="262"/>
        <v>na</v>
      </c>
      <c r="AO170" s="273" t="str">
        <f t="shared" si="263"/>
        <v>na</v>
      </c>
      <c r="AP170" s="273" t="str">
        <f t="shared" si="264"/>
        <v>na</v>
      </c>
      <c r="AQ170" s="273" t="str">
        <f t="shared" si="265"/>
        <v>na</v>
      </c>
      <c r="AR170" s="1789" t="str">
        <f t="shared" si="266"/>
        <v>na</v>
      </c>
      <c r="AS170" s="1051"/>
      <c r="AU170" s="1332" t="str">
        <f t="shared" si="267"/>
        <v/>
      </c>
      <c r="AV170" s="1114" t="str">
        <f t="shared" si="268"/>
        <v/>
      </c>
      <c r="AW170" s="1114" t="str">
        <f t="shared" si="269"/>
        <v/>
      </c>
      <c r="AX170" s="1114" t="str">
        <f t="shared" si="270"/>
        <v/>
      </c>
      <c r="AY170" s="1113" t="str">
        <f t="shared" si="271"/>
        <v/>
      </c>
      <c r="AZ170" s="1114" t="str">
        <f t="shared" si="272"/>
        <v/>
      </c>
      <c r="BA170" s="1114" t="str">
        <f t="shared" si="273"/>
        <v/>
      </c>
      <c r="BB170" s="1704" t="str">
        <f t="shared" si="274"/>
        <v/>
      </c>
      <c r="BC170" s="1113" t="str">
        <f t="shared" si="275"/>
        <v/>
      </c>
      <c r="BD170" s="1114" t="str">
        <f t="shared" si="276"/>
        <v/>
      </c>
      <c r="BE170" s="1114" t="str">
        <f t="shared" si="277"/>
        <v/>
      </c>
      <c r="BF170" s="1114" t="str">
        <f t="shared" si="278"/>
        <v/>
      </c>
      <c r="BG170" s="1114" t="str">
        <f t="shared" si="279"/>
        <v/>
      </c>
      <c r="BH170" s="1114" t="str">
        <f t="shared" si="280"/>
        <v/>
      </c>
      <c r="BI170" s="1114" t="str">
        <f t="shared" si="281"/>
        <v/>
      </c>
      <c r="BJ170" s="1115" t="str">
        <f t="shared" si="282"/>
        <v/>
      </c>
      <c r="BL170" s="1885"/>
    </row>
    <row r="171" spans="1:64" ht="13.9" customHeight="1" x14ac:dyDescent="0.25">
      <c r="A171" s="1916">
        <f>Chem!A171</f>
        <v>169</v>
      </c>
      <c r="B171" s="1880" t="str">
        <f>Chem!B171</f>
        <v>4-Chlorotoluene</v>
      </c>
      <c r="C171" s="394" t="str">
        <f>Param!AK171</f>
        <v>no</v>
      </c>
      <c r="D171" s="317" t="str">
        <f>IF(ISNUMBER(Param!AN171),Param!AN171,Param!AM171)</f>
        <v>na</v>
      </c>
      <c r="E171" s="273" t="s">
        <v>232</v>
      </c>
      <c r="F171" s="643" t="s">
        <v>232</v>
      </c>
      <c r="G171" s="550" t="s">
        <v>232</v>
      </c>
      <c r="H171" s="550" t="s">
        <v>232</v>
      </c>
      <c r="I171" s="273" t="s">
        <v>232</v>
      </c>
      <c r="J171" s="273" t="s">
        <v>232</v>
      </c>
      <c r="K171" s="219" t="str">
        <f>IF(C171="YES",'SD-Eq'!V171,"na")</f>
        <v>na</v>
      </c>
      <c r="L171" s="273" t="str">
        <f>IF(C171="YES",'SD-Eq'!Z171,"na")</f>
        <v>na</v>
      </c>
      <c r="M171" s="435" t="str">
        <f t="shared" si="255"/>
        <v>na</v>
      </c>
      <c r="N171" s="273" t="str">
        <f t="shared" si="256"/>
        <v>na</v>
      </c>
      <c r="O171" s="1794" t="str">
        <f t="shared" si="257"/>
        <v>na</v>
      </c>
      <c r="P171" s="1789" t="str">
        <f t="shared" si="258"/>
        <v>na</v>
      </c>
      <c r="Q171" s="418" t="s">
        <v>232</v>
      </c>
      <c r="R171" s="418" t="s">
        <v>232</v>
      </c>
      <c r="S171" s="418" t="s">
        <v>232</v>
      </c>
      <c r="T171" s="418" t="s">
        <v>232</v>
      </c>
      <c r="U171" s="418" t="s">
        <v>232</v>
      </c>
      <c r="V171" s="418" t="s">
        <v>232</v>
      </c>
      <c r="W171" s="418" t="str">
        <f t="shared" si="259"/>
        <v>na</v>
      </c>
      <c r="X171" s="418" t="s">
        <v>232</v>
      </c>
      <c r="Y171" s="1884" t="str">
        <f t="shared" si="260"/>
        <v>na</v>
      </c>
      <c r="Z171" s="1884" t="str">
        <f t="shared" si="261"/>
        <v>na</v>
      </c>
      <c r="AA171" s="1789" t="s">
        <v>232</v>
      </c>
      <c r="AB171" s="1789" t="s">
        <v>232</v>
      </c>
      <c r="AC171" s="273" t="s">
        <v>232</v>
      </c>
      <c r="AD171" s="273" t="s">
        <v>232</v>
      </c>
      <c r="AE171" s="273" t="s">
        <v>232</v>
      </c>
      <c r="AF171" s="273" t="s">
        <v>232</v>
      </c>
      <c r="AG171" s="273" t="s">
        <v>232</v>
      </c>
      <c r="AH171" s="273" t="s">
        <v>232</v>
      </c>
      <c r="AI171" s="273" t="s">
        <v>232</v>
      </c>
      <c r="AJ171" s="273" t="s">
        <v>232</v>
      </c>
      <c r="AK171" s="273" t="s">
        <v>232</v>
      </c>
      <c r="AL171" s="273" t="s">
        <v>232</v>
      </c>
      <c r="AM171" s="273" t="s">
        <v>232</v>
      </c>
      <c r="AN171" s="273" t="str">
        <f t="shared" si="262"/>
        <v>na</v>
      </c>
      <c r="AO171" s="273" t="str">
        <f t="shared" si="263"/>
        <v>na</v>
      </c>
      <c r="AP171" s="273" t="str">
        <f t="shared" si="264"/>
        <v>na</v>
      </c>
      <c r="AQ171" s="273" t="str">
        <f t="shared" si="265"/>
        <v>na</v>
      </c>
      <c r="AR171" s="1789" t="str">
        <f t="shared" si="266"/>
        <v>na</v>
      </c>
      <c r="AS171" s="1051"/>
      <c r="AU171" s="1332" t="str">
        <f t="shared" si="267"/>
        <v/>
      </c>
      <c r="AV171" s="1114" t="str">
        <f t="shared" si="268"/>
        <v/>
      </c>
      <c r="AW171" s="1114" t="str">
        <f t="shared" si="269"/>
        <v/>
      </c>
      <c r="AX171" s="1114" t="str">
        <f t="shared" si="270"/>
        <v/>
      </c>
      <c r="AY171" s="1113" t="str">
        <f t="shared" si="271"/>
        <v/>
      </c>
      <c r="AZ171" s="1114" t="str">
        <f t="shared" si="272"/>
        <v/>
      </c>
      <c r="BA171" s="1114" t="str">
        <f t="shared" si="273"/>
        <v/>
      </c>
      <c r="BB171" s="1704" t="str">
        <f t="shared" si="274"/>
        <v/>
      </c>
      <c r="BC171" s="1113" t="str">
        <f t="shared" si="275"/>
        <v/>
      </c>
      <c r="BD171" s="1114" t="str">
        <f t="shared" si="276"/>
        <v/>
      </c>
      <c r="BE171" s="1114" t="str">
        <f t="shared" si="277"/>
        <v/>
      </c>
      <c r="BF171" s="1114" t="str">
        <f t="shared" si="278"/>
        <v/>
      </c>
      <c r="BG171" s="1114" t="str">
        <f t="shared" si="279"/>
        <v/>
      </c>
      <c r="BH171" s="1114" t="str">
        <f t="shared" si="280"/>
        <v/>
      </c>
      <c r="BI171" s="1114" t="str">
        <f t="shared" si="281"/>
        <v/>
      </c>
      <c r="BJ171" s="1115" t="str">
        <f t="shared" si="282"/>
        <v/>
      </c>
      <c r="BL171" s="1885"/>
    </row>
    <row r="172" spans="1:64" ht="13.9" customHeight="1" x14ac:dyDescent="0.25">
      <c r="A172" s="1916">
        <f>Chem!A172</f>
        <v>170</v>
      </c>
      <c r="B172" s="1880" t="str">
        <f>Chem!B172</f>
        <v>Dibromochloromethane</v>
      </c>
      <c r="C172" s="394" t="str">
        <f>Param!AK172</f>
        <v>no</v>
      </c>
      <c r="D172" s="317" t="str">
        <f>IF(ISNUMBER(Param!AN172),Param!AN172,Param!AM172)</f>
        <v>na</v>
      </c>
      <c r="E172" s="273" t="s">
        <v>232</v>
      </c>
      <c r="F172" s="643" t="s">
        <v>232</v>
      </c>
      <c r="G172" s="550" t="s">
        <v>232</v>
      </c>
      <c r="H172" s="550" t="s">
        <v>232</v>
      </c>
      <c r="I172" s="273" t="s">
        <v>232</v>
      </c>
      <c r="J172" s="273" t="s">
        <v>232</v>
      </c>
      <c r="K172" s="219" t="str">
        <f>IF(C172="YES",'SD-Eq'!V172,"na")</f>
        <v>na</v>
      </c>
      <c r="L172" s="273" t="str">
        <f>IF(C172="YES",'SD-Eq'!Z172,"na")</f>
        <v>na</v>
      </c>
      <c r="M172" s="435" t="str">
        <f t="shared" si="255"/>
        <v>na</v>
      </c>
      <c r="N172" s="273" t="str">
        <f t="shared" si="256"/>
        <v>na</v>
      </c>
      <c r="O172" s="1794" t="str">
        <f t="shared" si="257"/>
        <v>na</v>
      </c>
      <c r="P172" s="1789" t="str">
        <f t="shared" si="258"/>
        <v>na</v>
      </c>
      <c r="Q172" s="418" t="s">
        <v>232</v>
      </c>
      <c r="R172" s="418" t="s">
        <v>232</v>
      </c>
      <c r="S172" s="418" t="s">
        <v>232</v>
      </c>
      <c r="T172" s="418" t="s">
        <v>232</v>
      </c>
      <c r="U172" s="418" t="s">
        <v>232</v>
      </c>
      <c r="V172" s="418" t="s">
        <v>232</v>
      </c>
      <c r="W172" s="418" t="str">
        <f t="shared" si="259"/>
        <v>na</v>
      </c>
      <c r="X172" s="418" t="s">
        <v>232</v>
      </c>
      <c r="Y172" s="1884" t="str">
        <f t="shared" si="260"/>
        <v>na</v>
      </c>
      <c r="Z172" s="1884" t="str">
        <f t="shared" si="261"/>
        <v>na</v>
      </c>
      <c r="AA172" s="1789" t="s">
        <v>232</v>
      </c>
      <c r="AB172" s="1789" t="s">
        <v>232</v>
      </c>
      <c r="AC172" s="273" t="s">
        <v>232</v>
      </c>
      <c r="AD172" s="273" t="s">
        <v>232</v>
      </c>
      <c r="AE172" s="273" t="s">
        <v>232</v>
      </c>
      <c r="AF172" s="273" t="s">
        <v>232</v>
      </c>
      <c r="AG172" s="273" t="s">
        <v>232</v>
      </c>
      <c r="AH172" s="273" t="s">
        <v>232</v>
      </c>
      <c r="AI172" s="273" t="s">
        <v>232</v>
      </c>
      <c r="AJ172" s="273" t="s">
        <v>232</v>
      </c>
      <c r="AK172" s="273" t="s">
        <v>232</v>
      </c>
      <c r="AL172" s="273" t="s">
        <v>232</v>
      </c>
      <c r="AM172" s="273" t="s">
        <v>232</v>
      </c>
      <c r="AN172" s="273" t="str">
        <f t="shared" si="262"/>
        <v>na</v>
      </c>
      <c r="AO172" s="273" t="str">
        <f t="shared" si="263"/>
        <v>na</v>
      </c>
      <c r="AP172" s="273" t="str">
        <f t="shared" si="264"/>
        <v>na</v>
      </c>
      <c r="AQ172" s="273" t="str">
        <f t="shared" si="265"/>
        <v>na</v>
      </c>
      <c r="AR172" s="1789" t="str">
        <f t="shared" si="266"/>
        <v>na</v>
      </c>
      <c r="AS172" s="1051"/>
      <c r="AU172" s="1332" t="str">
        <f t="shared" si="267"/>
        <v/>
      </c>
      <c r="AV172" s="1114" t="str">
        <f t="shared" si="268"/>
        <v/>
      </c>
      <c r="AW172" s="1114" t="str">
        <f t="shared" si="269"/>
        <v/>
      </c>
      <c r="AX172" s="1114" t="str">
        <f t="shared" si="270"/>
        <v/>
      </c>
      <c r="AY172" s="1113" t="str">
        <f t="shared" si="271"/>
        <v/>
      </c>
      <c r="AZ172" s="1114" t="str">
        <f t="shared" si="272"/>
        <v/>
      </c>
      <c r="BA172" s="1114" t="str">
        <f t="shared" si="273"/>
        <v/>
      </c>
      <c r="BB172" s="1704" t="str">
        <f t="shared" si="274"/>
        <v/>
      </c>
      <c r="BC172" s="1113" t="str">
        <f t="shared" si="275"/>
        <v/>
      </c>
      <c r="BD172" s="1114" t="str">
        <f t="shared" si="276"/>
        <v/>
      </c>
      <c r="BE172" s="1114" t="str">
        <f t="shared" si="277"/>
        <v/>
      </c>
      <c r="BF172" s="1114" t="str">
        <f t="shared" si="278"/>
        <v/>
      </c>
      <c r="BG172" s="1114" t="str">
        <f t="shared" si="279"/>
        <v/>
      </c>
      <c r="BH172" s="1114" t="str">
        <f t="shared" si="280"/>
        <v/>
      </c>
      <c r="BI172" s="1114" t="str">
        <f t="shared" si="281"/>
        <v/>
      </c>
      <c r="BJ172" s="1115" t="str">
        <f t="shared" si="282"/>
        <v/>
      </c>
      <c r="BL172" s="1885"/>
    </row>
    <row r="173" spans="1:64" ht="13.9" customHeight="1" x14ac:dyDescent="0.25">
      <c r="A173" s="1916">
        <f>Chem!A173</f>
        <v>171</v>
      </c>
      <c r="B173" s="1880" t="str">
        <f>Chem!B173</f>
        <v>1,2-Dibromo-3-chloropropane</v>
      </c>
      <c r="C173" s="394" t="str">
        <f>Param!AK173</f>
        <v>no</v>
      </c>
      <c r="D173" s="317" t="str">
        <f>IF(ISNUMBER(Param!AN173),Param!AN173,Param!AM173)</f>
        <v>na</v>
      </c>
      <c r="E173" s="273" t="s">
        <v>232</v>
      </c>
      <c r="F173" s="643" t="s">
        <v>232</v>
      </c>
      <c r="G173" s="550" t="s">
        <v>232</v>
      </c>
      <c r="H173" s="550" t="s">
        <v>232</v>
      </c>
      <c r="I173" s="273" t="s">
        <v>232</v>
      </c>
      <c r="J173" s="273" t="s">
        <v>232</v>
      </c>
      <c r="K173" s="219" t="str">
        <f>IF(C173="YES",'SD-Eq'!V173,"na")</f>
        <v>na</v>
      </c>
      <c r="L173" s="273" t="str">
        <f>IF(C173="YES",'SD-Eq'!Z173,"na")</f>
        <v>na</v>
      </c>
      <c r="M173" s="435" t="str">
        <f t="shared" si="255"/>
        <v>na</v>
      </c>
      <c r="N173" s="273" t="str">
        <f t="shared" si="256"/>
        <v>na</v>
      </c>
      <c r="O173" s="1794" t="str">
        <f t="shared" si="257"/>
        <v>na</v>
      </c>
      <c r="P173" s="1789" t="str">
        <f t="shared" si="258"/>
        <v>na</v>
      </c>
      <c r="Q173" s="418" t="s">
        <v>232</v>
      </c>
      <c r="R173" s="418" t="s">
        <v>232</v>
      </c>
      <c r="S173" s="418" t="s">
        <v>232</v>
      </c>
      <c r="T173" s="418" t="s">
        <v>232</v>
      </c>
      <c r="U173" s="418" t="s">
        <v>232</v>
      </c>
      <c r="V173" s="418" t="s">
        <v>232</v>
      </c>
      <c r="W173" s="418" t="str">
        <f t="shared" si="259"/>
        <v>na</v>
      </c>
      <c r="X173" s="418" t="s">
        <v>232</v>
      </c>
      <c r="Y173" s="1884" t="str">
        <f t="shared" si="260"/>
        <v>na</v>
      </c>
      <c r="Z173" s="1884" t="str">
        <f t="shared" si="261"/>
        <v>na</v>
      </c>
      <c r="AA173" s="1789" t="s">
        <v>232</v>
      </c>
      <c r="AB173" s="1789" t="s">
        <v>232</v>
      </c>
      <c r="AC173" s="273" t="s">
        <v>232</v>
      </c>
      <c r="AD173" s="273" t="s">
        <v>232</v>
      </c>
      <c r="AE173" s="273" t="s">
        <v>232</v>
      </c>
      <c r="AF173" s="273" t="s">
        <v>232</v>
      </c>
      <c r="AG173" s="273" t="s">
        <v>232</v>
      </c>
      <c r="AH173" s="273" t="s">
        <v>232</v>
      </c>
      <c r="AI173" s="273" t="s">
        <v>232</v>
      </c>
      <c r="AJ173" s="273" t="s">
        <v>232</v>
      </c>
      <c r="AK173" s="273" t="s">
        <v>232</v>
      </c>
      <c r="AL173" s="273" t="s">
        <v>232</v>
      </c>
      <c r="AM173" s="273" t="s">
        <v>232</v>
      </c>
      <c r="AN173" s="273" t="str">
        <f t="shared" si="262"/>
        <v>na</v>
      </c>
      <c r="AO173" s="273" t="str">
        <f t="shared" si="263"/>
        <v>na</v>
      </c>
      <c r="AP173" s="273" t="str">
        <f t="shared" si="264"/>
        <v>na</v>
      </c>
      <c r="AQ173" s="273" t="str">
        <f t="shared" si="265"/>
        <v>na</v>
      </c>
      <c r="AR173" s="1789" t="str">
        <f t="shared" si="266"/>
        <v>na</v>
      </c>
      <c r="AS173" s="1051"/>
      <c r="AU173" s="1332" t="str">
        <f t="shared" si="267"/>
        <v/>
      </c>
      <c r="AV173" s="1114" t="str">
        <f t="shared" si="268"/>
        <v/>
      </c>
      <c r="AW173" s="1114" t="str">
        <f t="shared" si="269"/>
        <v/>
      </c>
      <c r="AX173" s="1114" t="str">
        <f t="shared" si="270"/>
        <v/>
      </c>
      <c r="AY173" s="1113" t="str">
        <f t="shared" si="271"/>
        <v/>
      </c>
      <c r="AZ173" s="1114" t="str">
        <f t="shared" si="272"/>
        <v/>
      </c>
      <c r="BA173" s="1114" t="str">
        <f t="shared" si="273"/>
        <v/>
      </c>
      <c r="BB173" s="1704" t="str">
        <f t="shared" si="274"/>
        <v/>
      </c>
      <c r="BC173" s="1113" t="str">
        <f t="shared" si="275"/>
        <v/>
      </c>
      <c r="BD173" s="1114" t="str">
        <f t="shared" si="276"/>
        <v/>
      </c>
      <c r="BE173" s="1114" t="str">
        <f t="shared" si="277"/>
        <v/>
      </c>
      <c r="BF173" s="1114" t="str">
        <f t="shared" si="278"/>
        <v/>
      </c>
      <c r="BG173" s="1114" t="str">
        <f t="shared" si="279"/>
        <v/>
      </c>
      <c r="BH173" s="1114" t="str">
        <f t="shared" si="280"/>
        <v/>
      </c>
      <c r="BI173" s="1114" t="str">
        <f t="shared" si="281"/>
        <v/>
      </c>
      <c r="BJ173" s="1115" t="str">
        <f t="shared" si="282"/>
        <v/>
      </c>
      <c r="BL173" s="1885"/>
    </row>
    <row r="174" spans="1:64" ht="13.9" customHeight="1" x14ac:dyDescent="0.25">
      <c r="A174" s="1916">
        <f>Chem!A174</f>
        <v>172</v>
      </c>
      <c r="B174" s="1880" t="str">
        <f>Chem!B174</f>
        <v>Dibromomethane</v>
      </c>
      <c r="C174" s="394" t="str">
        <f>Param!AK174</f>
        <v>no</v>
      </c>
      <c r="D174" s="317" t="str">
        <f>IF(ISNUMBER(Param!AN174),Param!AN174,Param!AM174)</f>
        <v>na</v>
      </c>
      <c r="E174" s="273" t="s">
        <v>232</v>
      </c>
      <c r="F174" s="643" t="s">
        <v>232</v>
      </c>
      <c r="G174" s="550" t="s">
        <v>232</v>
      </c>
      <c r="H174" s="550" t="s">
        <v>232</v>
      </c>
      <c r="I174" s="273" t="s">
        <v>232</v>
      </c>
      <c r="J174" s="273" t="s">
        <v>232</v>
      </c>
      <c r="K174" s="219" t="str">
        <f>IF(C174="YES",'SD-Eq'!V174,"na")</f>
        <v>na</v>
      </c>
      <c r="L174" s="273" t="str">
        <f>IF(C174="YES",'SD-Eq'!Z174,"na")</f>
        <v>na</v>
      </c>
      <c r="M174" s="435" t="str">
        <f t="shared" si="255"/>
        <v>na</v>
      </c>
      <c r="N174" s="273" t="str">
        <f t="shared" si="256"/>
        <v>na</v>
      </c>
      <c r="O174" s="1794" t="str">
        <f t="shared" si="257"/>
        <v>na</v>
      </c>
      <c r="P174" s="1789" t="str">
        <f t="shared" si="258"/>
        <v>na</v>
      </c>
      <c r="Q174" s="418" t="s">
        <v>232</v>
      </c>
      <c r="R174" s="418" t="s">
        <v>232</v>
      </c>
      <c r="S174" s="418" t="s">
        <v>232</v>
      </c>
      <c r="T174" s="418" t="s">
        <v>232</v>
      </c>
      <c r="U174" s="418" t="s">
        <v>232</v>
      </c>
      <c r="V174" s="418" t="s">
        <v>232</v>
      </c>
      <c r="W174" s="418" t="str">
        <f t="shared" si="259"/>
        <v>na</v>
      </c>
      <c r="X174" s="418" t="s">
        <v>232</v>
      </c>
      <c r="Y174" s="1884" t="str">
        <f t="shared" si="260"/>
        <v>na</v>
      </c>
      <c r="Z174" s="1884" t="str">
        <f t="shared" si="261"/>
        <v>na</v>
      </c>
      <c r="AA174" s="1789" t="s">
        <v>232</v>
      </c>
      <c r="AB174" s="1789" t="s">
        <v>232</v>
      </c>
      <c r="AC174" s="273" t="s">
        <v>232</v>
      </c>
      <c r="AD174" s="273" t="s">
        <v>232</v>
      </c>
      <c r="AE174" s="273" t="s">
        <v>232</v>
      </c>
      <c r="AF174" s="273" t="s">
        <v>232</v>
      </c>
      <c r="AG174" s="273" t="s">
        <v>232</v>
      </c>
      <c r="AH174" s="273" t="s">
        <v>232</v>
      </c>
      <c r="AI174" s="273" t="s">
        <v>232</v>
      </c>
      <c r="AJ174" s="273" t="s">
        <v>232</v>
      </c>
      <c r="AK174" s="273" t="s">
        <v>232</v>
      </c>
      <c r="AL174" s="273" t="s">
        <v>232</v>
      </c>
      <c r="AM174" s="273" t="s">
        <v>232</v>
      </c>
      <c r="AN174" s="273" t="str">
        <f t="shared" si="262"/>
        <v>na</v>
      </c>
      <c r="AO174" s="273" t="str">
        <f t="shared" si="263"/>
        <v>na</v>
      </c>
      <c r="AP174" s="273" t="str">
        <f t="shared" si="264"/>
        <v>na</v>
      </c>
      <c r="AQ174" s="273" t="str">
        <f t="shared" si="265"/>
        <v>na</v>
      </c>
      <c r="AR174" s="1789" t="str">
        <f t="shared" si="266"/>
        <v>na</v>
      </c>
      <c r="AS174" s="1051"/>
      <c r="AU174" s="1332" t="str">
        <f t="shared" si="267"/>
        <v/>
      </c>
      <c r="AV174" s="1114" t="str">
        <f t="shared" si="268"/>
        <v/>
      </c>
      <c r="AW174" s="1114" t="str">
        <f t="shared" si="269"/>
        <v/>
      </c>
      <c r="AX174" s="1114" t="str">
        <f t="shared" si="270"/>
        <v/>
      </c>
      <c r="AY174" s="1113" t="str">
        <f t="shared" si="271"/>
        <v/>
      </c>
      <c r="AZ174" s="1114" t="str">
        <f t="shared" si="272"/>
        <v/>
      </c>
      <c r="BA174" s="1114" t="str">
        <f t="shared" si="273"/>
        <v/>
      </c>
      <c r="BB174" s="1704" t="str">
        <f t="shared" si="274"/>
        <v/>
      </c>
      <c r="BC174" s="1113" t="str">
        <f t="shared" si="275"/>
        <v/>
      </c>
      <c r="BD174" s="1114" t="str">
        <f t="shared" si="276"/>
        <v/>
      </c>
      <c r="BE174" s="1114" t="str">
        <f t="shared" si="277"/>
        <v/>
      </c>
      <c r="BF174" s="1114" t="str">
        <f t="shared" si="278"/>
        <v/>
      </c>
      <c r="BG174" s="1114" t="str">
        <f t="shared" si="279"/>
        <v/>
      </c>
      <c r="BH174" s="1114" t="str">
        <f t="shared" si="280"/>
        <v/>
      </c>
      <c r="BI174" s="1114" t="str">
        <f t="shared" si="281"/>
        <v/>
      </c>
      <c r="BJ174" s="1115" t="str">
        <f t="shared" si="282"/>
        <v/>
      </c>
      <c r="BL174" s="1885"/>
    </row>
    <row r="175" spans="1:64" ht="13.9" customHeight="1" x14ac:dyDescent="0.25">
      <c r="A175" s="1916">
        <f>Chem!A175</f>
        <v>173</v>
      </c>
      <c r="B175" s="1880" t="str">
        <f>Chem!B175</f>
        <v>Dichlorobromomethane</v>
      </c>
      <c r="C175" s="394" t="str">
        <f>Param!AK175</f>
        <v>no</v>
      </c>
      <c r="D175" s="317" t="str">
        <f>IF(ISNUMBER(Param!AN175),Param!AN175,Param!AM175)</f>
        <v>na</v>
      </c>
      <c r="E175" s="273" t="s">
        <v>232</v>
      </c>
      <c r="F175" s="643" t="s">
        <v>232</v>
      </c>
      <c r="G175" s="550" t="s">
        <v>232</v>
      </c>
      <c r="H175" s="550" t="s">
        <v>232</v>
      </c>
      <c r="I175" s="273" t="s">
        <v>232</v>
      </c>
      <c r="J175" s="273" t="s">
        <v>232</v>
      </c>
      <c r="K175" s="219" t="str">
        <f>IF(C175="YES",'SD-Eq'!V175,"na")</f>
        <v>na</v>
      </c>
      <c r="L175" s="273" t="str">
        <f>IF(C175="YES",'SD-Eq'!Z175,"na")</f>
        <v>na</v>
      </c>
      <c r="M175" s="435" t="str">
        <f t="shared" si="255"/>
        <v>na</v>
      </c>
      <c r="N175" s="273" t="str">
        <f t="shared" si="256"/>
        <v>na</v>
      </c>
      <c r="O175" s="1794" t="str">
        <f t="shared" si="257"/>
        <v>na</v>
      </c>
      <c r="P175" s="1789" t="str">
        <f t="shared" si="258"/>
        <v>na</v>
      </c>
      <c r="Q175" s="418" t="s">
        <v>232</v>
      </c>
      <c r="R175" s="418" t="s">
        <v>232</v>
      </c>
      <c r="S175" s="418" t="s">
        <v>232</v>
      </c>
      <c r="T175" s="418" t="s">
        <v>232</v>
      </c>
      <c r="U175" s="418" t="s">
        <v>232</v>
      </c>
      <c r="V175" s="418" t="s">
        <v>232</v>
      </c>
      <c r="W175" s="418" t="str">
        <f t="shared" si="259"/>
        <v>na</v>
      </c>
      <c r="X175" s="418" t="s">
        <v>232</v>
      </c>
      <c r="Y175" s="1884" t="str">
        <f t="shared" si="260"/>
        <v>na</v>
      </c>
      <c r="Z175" s="1884" t="str">
        <f t="shared" si="261"/>
        <v>na</v>
      </c>
      <c r="AA175" s="1789" t="s">
        <v>232</v>
      </c>
      <c r="AB175" s="1789" t="s">
        <v>232</v>
      </c>
      <c r="AC175" s="273" t="s">
        <v>232</v>
      </c>
      <c r="AD175" s="273" t="s">
        <v>232</v>
      </c>
      <c r="AE175" s="273" t="s">
        <v>232</v>
      </c>
      <c r="AF175" s="273" t="s">
        <v>232</v>
      </c>
      <c r="AG175" s="273" t="s">
        <v>232</v>
      </c>
      <c r="AH175" s="273" t="s">
        <v>232</v>
      </c>
      <c r="AI175" s="273" t="s">
        <v>232</v>
      </c>
      <c r="AJ175" s="273" t="s">
        <v>232</v>
      </c>
      <c r="AK175" s="273" t="s">
        <v>232</v>
      </c>
      <c r="AL175" s="273" t="s">
        <v>232</v>
      </c>
      <c r="AM175" s="273" t="s">
        <v>232</v>
      </c>
      <c r="AN175" s="273" t="str">
        <f t="shared" si="262"/>
        <v>na</v>
      </c>
      <c r="AO175" s="273" t="str">
        <f t="shared" si="263"/>
        <v>na</v>
      </c>
      <c r="AP175" s="273" t="str">
        <f t="shared" si="264"/>
        <v>na</v>
      </c>
      <c r="AQ175" s="273" t="str">
        <f t="shared" si="265"/>
        <v>na</v>
      </c>
      <c r="AR175" s="1789" t="str">
        <f t="shared" si="266"/>
        <v>na</v>
      </c>
      <c r="AS175" s="1051"/>
      <c r="AU175" s="1332" t="str">
        <f t="shared" si="267"/>
        <v/>
      </c>
      <c r="AV175" s="1114" t="str">
        <f t="shared" si="268"/>
        <v/>
      </c>
      <c r="AW175" s="1114" t="str">
        <f t="shared" si="269"/>
        <v/>
      </c>
      <c r="AX175" s="1114" t="str">
        <f t="shared" si="270"/>
        <v/>
      </c>
      <c r="AY175" s="1113" t="str">
        <f t="shared" si="271"/>
        <v/>
      </c>
      <c r="AZ175" s="1114" t="str">
        <f t="shared" si="272"/>
        <v/>
      </c>
      <c r="BA175" s="1114" t="str">
        <f t="shared" si="273"/>
        <v/>
      </c>
      <c r="BB175" s="1704" t="str">
        <f t="shared" si="274"/>
        <v/>
      </c>
      <c r="BC175" s="1113" t="str">
        <f t="shared" si="275"/>
        <v/>
      </c>
      <c r="BD175" s="1114" t="str">
        <f t="shared" si="276"/>
        <v/>
      </c>
      <c r="BE175" s="1114" t="str">
        <f t="shared" si="277"/>
        <v/>
      </c>
      <c r="BF175" s="1114" t="str">
        <f t="shared" si="278"/>
        <v/>
      </c>
      <c r="BG175" s="1114" t="str">
        <f t="shared" si="279"/>
        <v/>
      </c>
      <c r="BH175" s="1114" t="str">
        <f t="shared" si="280"/>
        <v/>
      </c>
      <c r="BI175" s="1114" t="str">
        <f t="shared" si="281"/>
        <v/>
      </c>
      <c r="BJ175" s="1115" t="str">
        <f t="shared" si="282"/>
        <v/>
      </c>
      <c r="BL175" s="1885"/>
    </row>
    <row r="176" spans="1:64" ht="13.9" customHeight="1" x14ac:dyDescent="0.25">
      <c r="A176" s="1916">
        <f>Chem!A176</f>
        <v>174</v>
      </c>
      <c r="B176" s="1880" t="str">
        <f>Chem!B176</f>
        <v>trans-1,4-Dichloro-2-butene</v>
      </c>
      <c r="C176" s="394" t="str">
        <f>Param!AK176</f>
        <v>no</v>
      </c>
      <c r="D176" s="317" t="str">
        <f>IF(ISNUMBER(Param!AN176),Param!AN176,Param!AM176)</f>
        <v>na</v>
      </c>
      <c r="E176" s="273" t="s">
        <v>232</v>
      </c>
      <c r="F176" s="643" t="s">
        <v>232</v>
      </c>
      <c r="G176" s="550" t="s">
        <v>232</v>
      </c>
      <c r="H176" s="550" t="s">
        <v>232</v>
      </c>
      <c r="I176" s="273" t="s">
        <v>232</v>
      </c>
      <c r="J176" s="273" t="s">
        <v>232</v>
      </c>
      <c r="K176" s="219" t="str">
        <f>IF(C176="YES",'SD-Eq'!V176,"na")</f>
        <v>na</v>
      </c>
      <c r="L176" s="273" t="str">
        <f>IF(C176="YES",'SD-Eq'!Z176,"na")</f>
        <v>na</v>
      </c>
      <c r="M176" s="435" t="str">
        <f t="shared" si="255"/>
        <v>na</v>
      </c>
      <c r="N176" s="273" t="str">
        <f t="shared" si="256"/>
        <v>na</v>
      </c>
      <c r="O176" s="1794" t="str">
        <f t="shared" si="257"/>
        <v>na</v>
      </c>
      <c r="P176" s="1789" t="str">
        <f t="shared" si="258"/>
        <v>na</v>
      </c>
      <c r="Q176" s="418" t="s">
        <v>232</v>
      </c>
      <c r="R176" s="418" t="s">
        <v>232</v>
      </c>
      <c r="S176" s="418" t="s">
        <v>232</v>
      </c>
      <c r="T176" s="418" t="s">
        <v>232</v>
      </c>
      <c r="U176" s="418" t="s">
        <v>232</v>
      </c>
      <c r="V176" s="418" t="s">
        <v>232</v>
      </c>
      <c r="W176" s="418" t="str">
        <f t="shared" si="259"/>
        <v>na</v>
      </c>
      <c r="X176" s="418" t="s">
        <v>232</v>
      </c>
      <c r="Y176" s="1884" t="str">
        <f t="shared" si="260"/>
        <v>na</v>
      </c>
      <c r="Z176" s="1884" t="str">
        <f t="shared" si="261"/>
        <v>na</v>
      </c>
      <c r="AA176" s="1789" t="s">
        <v>232</v>
      </c>
      <c r="AB176" s="1789" t="s">
        <v>232</v>
      </c>
      <c r="AC176" s="273" t="s">
        <v>232</v>
      </c>
      <c r="AD176" s="273" t="s">
        <v>232</v>
      </c>
      <c r="AE176" s="273" t="s">
        <v>232</v>
      </c>
      <c r="AF176" s="273" t="s">
        <v>232</v>
      </c>
      <c r="AG176" s="273" t="s">
        <v>232</v>
      </c>
      <c r="AH176" s="273" t="s">
        <v>232</v>
      </c>
      <c r="AI176" s="273" t="s">
        <v>232</v>
      </c>
      <c r="AJ176" s="273" t="s">
        <v>232</v>
      </c>
      <c r="AK176" s="273" t="s">
        <v>232</v>
      </c>
      <c r="AL176" s="273" t="s">
        <v>232</v>
      </c>
      <c r="AM176" s="273" t="s">
        <v>232</v>
      </c>
      <c r="AN176" s="273" t="str">
        <f t="shared" si="262"/>
        <v>na</v>
      </c>
      <c r="AO176" s="273" t="str">
        <f t="shared" si="263"/>
        <v>na</v>
      </c>
      <c r="AP176" s="273" t="str">
        <f t="shared" si="264"/>
        <v>na</v>
      </c>
      <c r="AQ176" s="273" t="str">
        <f t="shared" si="265"/>
        <v>na</v>
      </c>
      <c r="AR176" s="1789" t="str">
        <f t="shared" si="266"/>
        <v>na</v>
      </c>
      <c r="AS176" s="1051"/>
      <c r="AU176" s="1332" t="str">
        <f t="shared" si="267"/>
        <v/>
      </c>
      <c r="AV176" s="1114" t="str">
        <f t="shared" si="268"/>
        <v/>
      </c>
      <c r="AW176" s="1114" t="str">
        <f t="shared" si="269"/>
        <v/>
      </c>
      <c r="AX176" s="1114" t="str">
        <f t="shared" si="270"/>
        <v/>
      </c>
      <c r="AY176" s="1113" t="str">
        <f t="shared" si="271"/>
        <v/>
      </c>
      <c r="AZ176" s="1114" t="str">
        <f t="shared" si="272"/>
        <v/>
      </c>
      <c r="BA176" s="1114" t="str">
        <f t="shared" si="273"/>
        <v/>
      </c>
      <c r="BB176" s="1704" t="str">
        <f t="shared" si="274"/>
        <v/>
      </c>
      <c r="BC176" s="1113" t="str">
        <f t="shared" si="275"/>
        <v/>
      </c>
      <c r="BD176" s="1114" t="str">
        <f t="shared" si="276"/>
        <v/>
      </c>
      <c r="BE176" s="1114" t="str">
        <f t="shared" si="277"/>
        <v/>
      </c>
      <c r="BF176" s="1114" t="str">
        <f t="shared" si="278"/>
        <v/>
      </c>
      <c r="BG176" s="1114" t="str">
        <f t="shared" si="279"/>
        <v/>
      </c>
      <c r="BH176" s="1114" t="str">
        <f t="shared" si="280"/>
        <v/>
      </c>
      <c r="BI176" s="1114" t="str">
        <f t="shared" si="281"/>
        <v/>
      </c>
      <c r="BJ176" s="1115" t="str">
        <f t="shared" si="282"/>
        <v/>
      </c>
      <c r="BL176" s="1885"/>
    </row>
    <row r="177" spans="1:64" ht="13.9" customHeight="1" x14ac:dyDescent="0.25">
      <c r="A177" s="1916">
        <f>Chem!A177</f>
        <v>175</v>
      </c>
      <c r="B177" s="1880" t="str">
        <f>Chem!B177</f>
        <v>Dichlorodifluoromethane</v>
      </c>
      <c r="C177" s="394" t="str">
        <f>Param!AK177</f>
        <v>no</v>
      </c>
      <c r="D177" s="317" t="str">
        <f>IF(ISNUMBER(Param!AN177),Param!AN177,Param!AM177)</f>
        <v>na</v>
      </c>
      <c r="E177" s="273" t="s">
        <v>232</v>
      </c>
      <c r="F177" s="643" t="s">
        <v>232</v>
      </c>
      <c r="G177" s="550" t="s">
        <v>232</v>
      </c>
      <c r="H177" s="550" t="s">
        <v>232</v>
      </c>
      <c r="I177" s="273" t="s">
        <v>232</v>
      </c>
      <c r="J177" s="273" t="s">
        <v>232</v>
      </c>
      <c r="K177" s="219" t="str">
        <f>IF(C177="YES",'SD-Eq'!V177,"na")</f>
        <v>na</v>
      </c>
      <c r="L177" s="273" t="str">
        <f>IF(C177="YES",'SD-Eq'!Z177,"na")</f>
        <v>na</v>
      </c>
      <c r="M177" s="435" t="str">
        <f t="shared" si="255"/>
        <v>na</v>
      </c>
      <c r="N177" s="273" t="str">
        <f t="shared" si="256"/>
        <v>na</v>
      </c>
      <c r="O177" s="1794" t="str">
        <f t="shared" si="257"/>
        <v>na</v>
      </c>
      <c r="P177" s="1789" t="str">
        <f t="shared" si="258"/>
        <v>na</v>
      </c>
      <c r="Q177" s="418" t="s">
        <v>232</v>
      </c>
      <c r="R177" s="418" t="s">
        <v>232</v>
      </c>
      <c r="S177" s="418" t="s">
        <v>232</v>
      </c>
      <c r="T177" s="418" t="s">
        <v>232</v>
      </c>
      <c r="U177" s="418" t="s">
        <v>232</v>
      </c>
      <c r="V177" s="418" t="s">
        <v>232</v>
      </c>
      <c r="W177" s="418" t="str">
        <f t="shared" si="259"/>
        <v>na</v>
      </c>
      <c r="X177" s="418" t="s">
        <v>232</v>
      </c>
      <c r="Y177" s="1884" t="str">
        <f t="shared" si="260"/>
        <v>na</v>
      </c>
      <c r="Z177" s="1884" t="str">
        <f t="shared" si="261"/>
        <v>na</v>
      </c>
      <c r="AA177" s="1789" t="s">
        <v>232</v>
      </c>
      <c r="AB177" s="1789" t="s">
        <v>232</v>
      </c>
      <c r="AC177" s="273" t="s">
        <v>232</v>
      </c>
      <c r="AD177" s="273" t="s">
        <v>232</v>
      </c>
      <c r="AE177" s="273" t="s">
        <v>232</v>
      </c>
      <c r="AF177" s="273" t="s">
        <v>232</v>
      </c>
      <c r="AG177" s="273" t="s">
        <v>232</v>
      </c>
      <c r="AH177" s="273" t="s">
        <v>232</v>
      </c>
      <c r="AI177" s="273" t="s">
        <v>232</v>
      </c>
      <c r="AJ177" s="273" t="s">
        <v>232</v>
      </c>
      <c r="AK177" s="273" t="s">
        <v>232</v>
      </c>
      <c r="AL177" s="273" t="s">
        <v>232</v>
      </c>
      <c r="AM177" s="273" t="s">
        <v>232</v>
      </c>
      <c r="AN177" s="273" t="str">
        <f t="shared" si="262"/>
        <v>na</v>
      </c>
      <c r="AO177" s="273" t="str">
        <f t="shared" si="263"/>
        <v>na</v>
      </c>
      <c r="AP177" s="273" t="str">
        <f t="shared" si="264"/>
        <v>na</v>
      </c>
      <c r="AQ177" s="273" t="str">
        <f t="shared" si="265"/>
        <v>na</v>
      </c>
      <c r="AR177" s="1789" t="str">
        <f t="shared" si="266"/>
        <v>na</v>
      </c>
      <c r="AS177" s="1051"/>
      <c r="AU177" s="1332" t="str">
        <f t="shared" si="267"/>
        <v/>
      </c>
      <c r="AV177" s="1114" t="str">
        <f t="shared" si="268"/>
        <v/>
      </c>
      <c r="AW177" s="1114" t="str">
        <f t="shared" si="269"/>
        <v/>
      </c>
      <c r="AX177" s="1114" t="str">
        <f t="shared" si="270"/>
        <v/>
      </c>
      <c r="AY177" s="1113" t="str">
        <f t="shared" si="271"/>
        <v/>
      </c>
      <c r="AZ177" s="1114" t="str">
        <f t="shared" si="272"/>
        <v/>
      </c>
      <c r="BA177" s="1114" t="str">
        <f t="shared" si="273"/>
        <v/>
      </c>
      <c r="BB177" s="1704" t="str">
        <f t="shared" si="274"/>
        <v/>
      </c>
      <c r="BC177" s="1113" t="str">
        <f t="shared" si="275"/>
        <v/>
      </c>
      <c r="BD177" s="1114" t="str">
        <f t="shared" si="276"/>
        <v/>
      </c>
      <c r="BE177" s="1114" t="str">
        <f t="shared" si="277"/>
        <v/>
      </c>
      <c r="BF177" s="1114" t="str">
        <f t="shared" si="278"/>
        <v/>
      </c>
      <c r="BG177" s="1114" t="str">
        <f t="shared" si="279"/>
        <v/>
      </c>
      <c r="BH177" s="1114" t="str">
        <f t="shared" si="280"/>
        <v/>
      </c>
      <c r="BI177" s="1114" t="str">
        <f t="shared" si="281"/>
        <v/>
      </c>
      <c r="BJ177" s="1115" t="str">
        <f t="shared" si="282"/>
        <v/>
      </c>
      <c r="BL177" s="1885"/>
    </row>
    <row r="178" spans="1:64" ht="13.9" customHeight="1" x14ac:dyDescent="0.25">
      <c r="A178" s="1916">
        <f>Chem!A178</f>
        <v>176</v>
      </c>
      <c r="B178" s="1880" t="str">
        <f>Chem!B178</f>
        <v>1,1-Dichloroethane</v>
      </c>
      <c r="C178" s="394" t="str">
        <f>Param!AK178</f>
        <v>no</v>
      </c>
      <c r="D178" s="317" t="str">
        <f>IF(ISNUMBER(Param!AN178),Param!AN178,Param!AM178)</f>
        <v>na</v>
      </c>
      <c r="E178" s="273" t="s">
        <v>232</v>
      </c>
      <c r="F178" s="643" t="s">
        <v>232</v>
      </c>
      <c r="G178" s="550" t="s">
        <v>232</v>
      </c>
      <c r="H178" s="550" t="s">
        <v>232</v>
      </c>
      <c r="I178" s="273" t="s">
        <v>232</v>
      </c>
      <c r="J178" s="273" t="s">
        <v>232</v>
      </c>
      <c r="K178" s="219" t="str">
        <f>IF(C178="YES",'SD-Eq'!V178,"na")</f>
        <v>na</v>
      </c>
      <c r="L178" s="273" t="str">
        <f>IF(C178="YES",'SD-Eq'!Z178,"na")</f>
        <v>na</v>
      </c>
      <c r="M178" s="435" t="str">
        <f t="shared" si="255"/>
        <v>na</v>
      </c>
      <c r="N178" s="273" t="str">
        <f t="shared" si="256"/>
        <v>na</v>
      </c>
      <c r="O178" s="1794" t="str">
        <f t="shared" si="257"/>
        <v>na</v>
      </c>
      <c r="P178" s="1789" t="str">
        <f t="shared" si="258"/>
        <v>na</v>
      </c>
      <c r="Q178" s="418" t="s">
        <v>232</v>
      </c>
      <c r="R178" s="418" t="s">
        <v>232</v>
      </c>
      <c r="S178" s="418" t="s">
        <v>232</v>
      </c>
      <c r="T178" s="418" t="s">
        <v>232</v>
      </c>
      <c r="U178" s="418" t="s">
        <v>232</v>
      </c>
      <c r="V178" s="418" t="s">
        <v>232</v>
      </c>
      <c r="W178" s="418" t="str">
        <f t="shared" si="259"/>
        <v>na</v>
      </c>
      <c r="X178" s="418" t="s">
        <v>232</v>
      </c>
      <c r="Y178" s="1884" t="str">
        <f t="shared" si="260"/>
        <v>na</v>
      </c>
      <c r="Z178" s="1884" t="str">
        <f t="shared" si="261"/>
        <v>na</v>
      </c>
      <c r="AA178" s="1789" t="s">
        <v>232</v>
      </c>
      <c r="AB178" s="1789" t="s">
        <v>232</v>
      </c>
      <c r="AC178" s="273" t="s">
        <v>232</v>
      </c>
      <c r="AD178" s="273" t="s">
        <v>232</v>
      </c>
      <c r="AE178" s="273" t="s">
        <v>232</v>
      </c>
      <c r="AF178" s="273" t="s">
        <v>232</v>
      </c>
      <c r="AG178" s="273" t="s">
        <v>232</v>
      </c>
      <c r="AH178" s="273" t="s">
        <v>232</v>
      </c>
      <c r="AI178" s="273" t="s">
        <v>232</v>
      </c>
      <c r="AJ178" s="273" t="s">
        <v>232</v>
      </c>
      <c r="AK178" s="273" t="s">
        <v>232</v>
      </c>
      <c r="AL178" s="273" t="s">
        <v>232</v>
      </c>
      <c r="AM178" s="273" t="s">
        <v>232</v>
      </c>
      <c r="AN178" s="273" t="str">
        <f t="shared" si="262"/>
        <v>na</v>
      </c>
      <c r="AO178" s="273" t="str">
        <f t="shared" si="263"/>
        <v>na</v>
      </c>
      <c r="AP178" s="273" t="str">
        <f t="shared" si="264"/>
        <v>na</v>
      </c>
      <c r="AQ178" s="273" t="str">
        <f t="shared" si="265"/>
        <v>na</v>
      </c>
      <c r="AR178" s="1789" t="str">
        <f t="shared" si="266"/>
        <v>na</v>
      </c>
      <c r="AS178" s="1051"/>
      <c r="AU178" s="1332" t="str">
        <f t="shared" si="267"/>
        <v/>
      </c>
      <c r="AV178" s="1114" t="str">
        <f t="shared" si="268"/>
        <v/>
      </c>
      <c r="AW178" s="1114" t="str">
        <f t="shared" si="269"/>
        <v/>
      </c>
      <c r="AX178" s="1114" t="str">
        <f t="shared" si="270"/>
        <v/>
      </c>
      <c r="AY178" s="1113" t="str">
        <f t="shared" si="271"/>
        <v/>
      </c>
      <c r="AZ178" s="1114" t="str">
        <f t="shared" si="272"/>
        <v/>
      </c>
      <c r="BA178" s="1114" t="str">
        <f t="shared" si="273"/>
        <v/>
      </c>
      <c r="BB178" s="1704" t="str">
        <f t="shared" si="274"/>
        <v/>
      </c>
      <c r="BC178" s="1113" t="str">
        <f t="shared" si="275"/>
        <v/>
      </c>
      <c r="BD178" s="1114" t="str">
        <f t="shared" si="276"/>
        <v/>
      </c>
      <c r="BE178" s="1114" t="str">
        <f t="shared" si="277"/>
        <v/>
      </c>
      <c r="BF178" s="1114" t="str">
        <f t="shared" si="278"/>
        <v/>
      </c>
      <c r="BG178" s="1114" t="str">
        <f t="shared" si="279"/>
        <v/>
      </c>
      <c r="BH178" s="1114" t="str">
        <f t="shared" si="280"/>
        <v/>
      </c>
      <c r="BI178" s="1114" t="str">
        <f t="shared" si="281"/>
        <v/>
      </c>
      <c r="BJ178" s="1115" t="str">
        <f t="shared" si="282"/>
        <v/>
      </c>
      <c r="BL178" s="1885"/>
    </row>
    <row r="179" spans="1:64" ht="13.9" customHeight="1" x14ac:dyDescent="0.25">
      <c r="A179" s="1916">
        <f>Chem!A179</f>
        <v>177</v>
      </c>
      <c r="B179" s="1880" t="str">
        <f>Chem!B179</f>
        <v>1,2-Dichloroethane (EDC)</v>
      </c>
      <c r="C179" s="394" t="str">
        <f>Param!AK179</f>
        <v>no</v>
      </c>
      <c r="D179" s="317" t="str">
        <f>IF(ISNUMBER(Param!AN179),Param!AN179,Param!AM179)</f>
        <v>na</v>
      </c>
      <c r="E179" s="273" t="s">
        <v>232</v>
      </c>
      <c r="F179" s="643" t="s">
        <v>232</v>
      </c>
      <c r="G179" s="550" t="s">
        <v>232</v>
      </c>
      <c r="H179" s="550" t="s">
        <v>232</v>
      </c>
      <c r="I179" s="273" t="s">
        <v>232</v>
      </c>
      <c r="J179" s="273" t="s">
        <v>232</v>
      </c>
      <c r="K179" s="219" t="str">
        <f>IF(C179="YES",'SD-Eq'!V179,"na")</f>
        <v>na</v>
      </c>
      <c r="L179" s="273" t="str">
        <f>IF(C179="YES",'SD-Eq'!Z179,"na")</f>
        <v>na</v>
      </c>
      <c r="M179" s="435" t="str">
        <f t="shared" si="255"/>
        <v>na</v>
      </c>
      <c r="N179" s="273" t="str">
        <f t="shared" si="256"/>
        <v>na</v>
      </c>
      <c r="O179" s="1794" t="str">
        <f t="shared" ref="O179:O210" si="288">IF(OR(ISNUMBER(H179),ISNUMBER(K179),ISNUMBER(M179)),MIN(H179,K179,M179),"na")</f>
        <v>na</v>
      </c>
      <c r="P179" s="1789" t="str">
        <f t="shared" ref="P179:P210" si="289">IF(OR(ISNUMBER(J179),ISNUMBER(L179),ISNUMBER(N179)),MIN(J179,L179,N179),"na")</f>
        <v>na</v>
      </c>
      <c r="Q179" s="418" t="s">
        <v>232</v>
      </c>
      <c r="R179" s="418" t="s">
        <v>232</v>
      </c>
      <c r="S179" s="418" t="s">
        <v>232</v>
      </c>
      <c r="T179" s="418" t="s">
        <v>232</v>
      </c>
      <c r="U179" s="418" t="s">
        <v>232</v>
      </c>
      <c r="V179" s="418" t="s">
        <v>232</v>
      </c>
      <c r="W179" s="418" t="str">
        <f t="shared" ref="W179:W210" si="290">IF(ISNUMBER(V179),H179,"na")</f>
        <v>na</v>
      </c>
      <c r="X179" s="418" t="s">
        <v>232</v>
      </c>
      <c r="Y179" s="1884" t="str">
        <f t="shared" si="260"/>
        <v>na</v>
      </c>
      <c r="Z179" s="1884" t="str">
        <f t="shared" si="261"/>
        <v>na</v>
      </c>
      <c r="AA179" s="1789" t="s">
        <v>232</v>
      </c>
      <c r="AB179" s="1789" t="s">
        <v>232</v>
      </c>
      <c r="AC179" s="273" t="s">
        <v>232</v>
      </c>
      <c r="AD179" s="273" t="s">
        <v>232</v>
      </c>
      <c r="AE179" s="273" t="s">
        <v>232</v>
      </c>
      <c r="AF179" s="273" t="s">
        <v>232</v>
      </c>
      <c r="AG179" s="273" t="s">
        <v>232</v>
      </c>
      <c r="AH179" s="273" t="s">
        <v>232</v>
      </c>
      <c r="AI179" s="273" t="s">
        <v>232</v>
      </c>
      <c r="AJ179" s="273" t="s">
        <v>232</v>
      </c>
      <c r="AK179" s="273" t="s">
        <v>232</v>
      </c>
      <c r="AL179" s="273" t="s">
        <v>232</v>
      </c>
      <c r="AM179" s="273" t="s">
        <v>232</v>
      </c>
      <c r="AN179" s="273" t="str">
        <f t="shared" si="262"/>
        <v>na</v>
      </c>
      <c r="AO179" s="273" t="str">
        <f t="shared" si="263"/>
        <v>na</v>
      </c>
      <c r="AP179" s="273" t="str">
        <f t="shared" si="264"/>
        <v>na</v>
      </c>
      <c r="AQ179" s="273" t="str">
        <f t="shared" si="265"/>
        <v>na</v>
      </c>
      <c r="AR179" s="1789" t="str">
        <f t="shared" si="266"/>
        <v>na</v>
      </c>
      <c r="AS179" s="1051"/>
      <c r="AU179" s="1332" t="str">
        <f t="shared" ref="AU179:AU210" si="291">IF($O179="na","",IF($O179=D179,"X",""))</f>
        <v/>
      </c>
      <c r="AV179" s="1114" t="str">
        <f t="shared" ref="AV179:AV210" si="292">IF(OR($O179="PQL",AND(ISNUMBER($F179),$O179=F179)),"X","")</f>
        <v/>
      </c>
      <c r="AW179" s="1114" t="str">
        <f t="shared" ref="AW179:AW210" si="293">IF($O179="na","",IF($O179=H179,"X",""))</f>
        <v/>
      </c>
      <c r="AX179" s="1114" t="str">
        <f t="shared" ref="AX179:AX210" si="294">IF($O179="na","",IF($O179=$K179,"X",""))</f>
        <v/>
      </c>
      <c r="AY179" s="1113" t="str">
        <f t="shared" ref="AY179:AY210" si="295">IF($P179="na","",IF($P179=E179,"X",""))</f>
        <v/>
      </c>
      <c r="AZ179" s="1114" t="str">
        <f t="shared" ref="AZ179:AZ210" si="296">IF(OR($P179="PQL",AND(ISNUMBER($F179),$P179=F179)),"X","")</f>
        <v/>
      </c>
      <c r="BA179" s="1114" t="str">
        <f t="shared" ref="BA179:BA210" si="297">IF($P179="na","",IF($P179=J179,"X",""))</f>
        <v/>
      </c>
      <c r="BB179" s="1704" t="str">
        <f t="shared" ref="BB179:BB210" si="298">IF($P179="na","",IF($P179=$L179,"X",""))</f>
        <v/>
      </c>
      <c r="BC179" s="1113" t="str">
        <f t="shared" ref="BC179:BC210" si="299">IF($Z179="na","",IF($Z179=D179,"X",""))</f>
        <v/>
      </c>
      <c r="BD179" s="1114" t="str">
        <f t="shared" ref="BD179:BD210" si="300">IF($Z179="na","",IF($Z179=F179,"X",""))</f>
        <v/>
      </c>
      <c r="BE179" s="1114" t="str">
        <f t="shared" ref="BE179:BE210" si="301">IF($Z179="na","",IF($Z179=H179,"X",""))</f>
        <v/>
      </c>
      <c r="BF179" s="1114" t="str">
        <f t="shared" ref="BF179:BF210" si="302">IF($Z179="na","",IF($Z179=K179,"X",""))</f>
        <v/>
      </c>
      <c r="BG179" s="1114" t="str">
        <f t="shared" si="279"/>
        <v/>
      </c>
      <c r="BH179" s="1114" t="str">
        <f t="shared" si="280"/>
        <v/>
      </c>
      <c r="BI179" s="1114" t="str">
        <f t="shared" si="281"/>
        <v/>
      </c>
      <c r="BJ179" s="1115" t="str">
        <f t="shared" si="282"/>
        <v/>
      </c>
      <c r="BL179" s="1885"/>
    </row>
    <row r="180" spans="1:64" ht="13.9" customHeight="1" x14ac:dyDescent="0.25">
      <c r="A180" s="1916">
        <f>Chem!A180</f>
        <v>178</v>
      </c>
      <c r="B180" s="1880" t="str">
        <f>Chem!B180</f>
        <v>1,1-Dichloroethylene</v>
      </c>
      <c r="C180" s="394" t="str">
        <f>Param!AK180</f>
        <v>no</v>
      </c>
      <c r="D180" s="317" t="str">
        <f>IF(ISNUMBER(Param!AN180),Param!AN180,Param!AM180)</f>
        <v>na</v>
      </c>
      <c r="E180" s="273" t="s">
        <v>232</v>
      </c>
      <c r="F180" s="643" t="s">
        <v>232</v>
      </c>
      <c r="G180" s="550" t="s">
        <v>232</v>
      </c>
      <c r="H180" s="550" t="s">
        <v>232</v>
      </c>
      <c r="I180" s="273" t="s">
        <v>232</v>
      </c>
      <c r="J180" s="273" t="s">
        <v>232</v>
      </c>
      <c r="K180" s="219" t="str">
        <f>IF(C180="YES",'SD-Eq'!V180,"na")</f>
        <v>na</v>
      </c>
      <c r="L180" s="273" t="str">
        <f>IF(C180="YES",'SD-Eq'!Z180,"na")</f>
        <v>na</v>
      </c>
      <c r="M180" s="435" t="str">
        <f t="shared" si="255"/>
        <v>na</v>
      </c>
      <c r="N180" s="273" t="str">
        <f t="shared" si="256"/>
        <v>na</v>
      </c>
      <c r="O180" s="1794" t="str">
        <f t="shared" si="288"/>
        <v>na</v>
      </c>
      <c r="P180" s="1789" t="str">
        <f t="shared" si="289"/>
        <v>na</v>
      </c>
      <c r="Q180" s="418" t="s">
        <v>232</v>
      </c>
      <c r="R180" s="418" t="s">
        <v>232</v>
      </c>
      <c r="S180" s="418" t="s">
        <v>232</v>
      </c>
      <c r="T180" s="418" t="s">
        <v>232</v>
      </c>
      <c r="U180" s="418" t="s">
        <v>232</v>
      </c>
      <c r="V180" s="418" t="s">
        <v>232</v>
      </c>
      <c r="W180" s="418" t="str">
        <f t="shared" si="290"/>
        <v>na</v>
      </c>
      <c r="X180" s="418" t="s">
        <v>232</v>
      </c>
      <c r="Y180" s="1884" t="str">
        <f t="shared" si="260"/>
        <v>na</v>
      </c>
      <c r="Z180" s="1884" t="str">
        <f t="shared" si="261"/>
        <v>na</v>
      </c>
      <c r="AA180" s="1789" t="s">
        <v>232</v>
      </c>
      <c r="AB180" s="1789" t="s">
        <v>232</v>
      </c>
      <c r="AC180" s="273" t="s">
        <v>232</v>
      </c>
      <c r="AD180" s="273" t="s">
        <v>232</v>
      </c>
      <c r="AE180" s="273" t="s">
        <v>232</v>
      </c>
      <c r="AF180" s="273" t="s">
        <v>232</v>
      </c>
      <c r="AG180" s="273" t="s">
        <v>232</v>
      </c>
      <c r="AH180" s="273" t="s">
        <v>232</v>
      </c>
      <c r="AI180" s="273" t="s">
        <v>232</v>
      </c>
      <c r="AJ180" s="273" t="s">
        <v>232</v>
      </c>
      <c r="AK180" s="273" t="s">
        <v>232</v>
      </c>
      <c r="AL180" s="273" t="s">
        <v>232</v>
      </c>
      <c r="AM180" s="273" t="s">
        <v>232</v>
      </c>
      <c r="AN180" s="273" t="str">
        <f t="shared" ref="AN180:AN215" si="303">IF(MIN(AA180,AB180)=0,"na",MIN(AA180,AB180))</f>
        <v>na</v>
      </c>
      <c r="AO180" s="273" t="str">
        <f t="shared" si="263"/>
        <v>na</v>
      </c>
      <c r="AP180" s="273" t="str">
        <f t="shared" si="264"/>
        <v>na</v>
      </c>
      <c r="AQ180" s="273" t="str">
        <f t="shared" si="265"/>
        <v>na</v>
      </c>
      <c r="AR180" s="1789" t="str">
        <f t="shared" ref="AR180:AR215" si="304">IF(MIN(AA180:AM180)=0,"na",MIN(AA180:AM180))</f>
        <v>na</v>
      </c>
      <c r="AS180" s="1051"/>
      <c r="AU180" s="1332" t="str">
        <f t="shared" si="291"/>
        <v/>
      </c>
      <c r="AV180" s="1114" t="str">
        <f t="shared" si="292"/>
        <v/>
      </c>
      <c r="AW180" s="1114" t="str">
        <f t="shared" si="293"/>
        <v/>
      </c>
      <c r="AX180" s="1114" t="str">
        <f t="shared" si="294"/>
        <v/>
      </c>
      <c r="AY180" s="1113" t="str">
        <f t="shared" si="295"/>
        <v/>
      </c>
      <c r="AZ180" s="1114" t="str">
        <f t="shared" si="296"/>
        <v/>
      </c>
      <c r="BA180" s="1114" t="str">
        <f t="shared" si="297"/>
        <v/>
      </c>
      <c r="BB180" s="1704" t="str">
        <f t="shared" si="298"/>
        <v/>
      </c>
      <c r="BC180" s="1113" t="str">
        <f t="shared" si="299"/>
        <v/>
      </c>
      <c r="BD180" s="1114" t="str">
        <f t="shared" si="300"/>
        <v/>
      </c>
      <c r="BE180" s="1114" t="str">
        <f t="shared" si="301"/>
        <v/>
      </c>
      <c r="BF180" s="1114" t="str">
        <f t="shared" si="302"/>
        <v/>
      </c>
      <c r="BG180" s="1114" t="str">
        <f t="shared" si="279"/>
        <v/>
      </c>
      <c r="BH180" s="1114" t="str">
        <f t="shared" si="280"/>
        <v/>
      </c>
      <c r="BI180" s="1114" t="str">
        <f t="shared" si="281"/>
        <v/>
      </c>
      <c r="BJ180" s="1115" t="str">
        <f t="shared" si="282"/>
        <v/>
      </c>
      <c r="BL180" s="1885"/>
    </row>
    <row r="181" spans="1:64" ht="13.9" customHeight="1" x14ac:dyDescent="0.25">
      <c r="A181" s="1916">
        <f>Chem!A181</f>
        <v>179</v>
      </c>
      <c r="B181" s="1880" t="str">
        <f>Chem!B181</f>
        <v>cis-1,2-Dichloroethylene</v>
      </c>
      <c r="C181" s="394" t="str">
        <f>Param!AK181</f>
        <v>no</v>
      </c>
      <c r="D181" s="317" t="str">
        <f>IF(ISNUMBER(Param!AN181),Param!AN181,Param!AM181)</f>
        <v>na</v>
      </c>
      <c r="E181" s="273" t="s">
        <v>232</v>
      </c>
      <c r="F181" s="643" t="s">
        <v>232</v>
      </c>
      <c r="G181" s="550" t="s">
        <v>232</v>
      </c>
      <c r="H181" s="550" t="s">
        <v>232</v>
      </c>
      <c r="I181" s="273" t="s">
        <v>232</v>
      </c>
      <c r="J181" s="273" t="s">
        <v>232</v>
      </c>
      <c r="K181" s="219" t="str">
        <f>IF(C181="YES",'SD-Eq'!V181,"na")</f>
        <v>na</v>
      </c>
      <c r="L181" s="273" t="str">
        <f>IF(C181="YES",'SD-Eq'!Z181,"na")</f>
        <v>na</v>
      </c>
      <c r="M181" s="435" t="str">
        <f t="shared" si="255"/>
        <v>na</v>
      </c>
      <c r="N181" s="273" t="str">
        <f t="shared" si="256"/>
        <v>na</v>
      </c>
      <c r="O181" s="1794" t="str">
        <f t="shared" si="288"/>
        <v>na</v>
      </c>
      <c r="P181" s="1789" t="str">
        <f t="shared" si="289"/>
        <v>na</v>
      </c>
      <c r="Q181" s="418" t="s">
        <v>232</v>
      </c>
      <c r="R181" s="418" t="s">
        <v>232</v>
      </c>
      <c r="S181" s="418" t="s">
        <v>232</v>
      </c>
      <c r="T181" s="418" t="s">
        <v>232</v>
      </c>
      <c r="U181" s="418" t="s">
        <v>232</v>
      </c>
      <c r="V181" s="418" t="s">
        <v>232</v>
      </c>
      <c r="W181" s="418" t="str">
        <f t="shared" si="290"/>
        <v>na</v>
      </c>
      <c r="X181" s="418" t="s">
        <v>232</v>
      </c>
      <c r="Y181" s="1884" t="str">
        <f t="shared" si="260"/>
        <v>na</v>
      </c>
      <c r="Z181" s="1884" t="str">
        <f t="shared" si="261"/>
        <v>na</v>
      </c>
      <c r="AA181" s="1789" t="s">
        <v>232</v>
      </c>
      <c r="AB181" s="1789" t="s">
        <v>232</v>
      </c>
      <c r="AC181" s="273" t="s">
        <v>232</v>
      </c>
      <c r="AD181" s="273" t="s">
        <v>232</v>
      </c>
      <c r="AE181" s="273" t="s">
        <v>232</v>
      </c>
      <c r="AF181" s="273" t="s">
        <v>232</v>
      </c>
      <c r="AG181" s="273" t="s">
        <v>232</v>
      </c>
      <c r="AH181" s="273" t="s">
        <v>232</v>
      </c>
      <c r="AI181" s="273" t="s">
        <v>232</v>
      </c>
      <c r="AJ181" s="273" t="s">
        <v>232</v>
      </c>
      <c r="AK181" s="273" t="s">
        <v>232</v>
      </c>
      <c r="AL181" s="273" t="s">
        <v>232</v>
      </c>
      <c r="AM181" s="273" t="s">
        <v>232</v>
      </c>
      <c r="AN181" s="273" t="str">
        <f t="shared" si="303"/>
        <v>na</v>
      </c>
      <c r="AO181" s="273" t="str">
        <f t="shared" si="263"/>
        <v>na</v>
      </c>
      <c r="AP181" s="273" t="str">
        <f t="shared" si="264"/>
        <v>na</v>
      </c>
      <c r="AQ181" s="273" t="str">
        <f t="shared" si="265"/>
        <v>na</v>
      </c>
      <c r="AR181" s="1789" t="str">
        <f t="shared" si="304"/>
        <v>na</v>
      </c>
      <c r="AS181" s="1051"/>
      <c r="AU181" s="1332" t="str">
        <f t="shared" si="291"/>
        <v/>
      </c>
      <c r="AV181" s="1114" t="str">
        <f t="shared" si="292"/>
        <v/>
      </c>
      <c r="AW181" s="1114" t="str">
        <f t="shared" si="293"/>
        <v/>
      </c>
      <c r="AX181" s="1114" t="str">
        <f t="shared" si="294"/>
        <v/>
      </c>
      <c r="AY181" s="1113" t="str">
        <f t="shared" si="295"/>
        <v/>
      </c>
      <c r="AZ181" s="1114" t="str">
        <f t="shared" si="296"/>
        <v/>
      </c>
      <c r="BA181" s="1114" t="str">
        <f t="shared" si="297"/>
        <v/>
      </c>
      <c r="BB181" s="1704" t="str">
        <f t="shared" si="298"/>
        <v/>
      </c>
      <c r="BC181" s="1113" t="str">
        <f t="shared" si="299"/>
        <v/>
      </c>
      <c r="BD181" s="1114" t="str">
        <f t="shared" si="300"/>
        <v/>
      </c>
      <c r="BE181" s="1114" t="str">
        <f t="shared" si="301"/>
        <v/>
      </c>
      <c r="BF181" s="1114" t="str">
        <f t="shared" si="302"/>
        <v/>
      </c>
      <c r="BG181" s="1114" t="str">
        <f t="shared" si="279"/>
        <v/>
      </c>
      <c r="BH181" s="1114" t="str">
        <f t="shared" si="280"/>
        <v/>
      </c>
      <c r="BI181" s="1114" t="str">
        <f t="shared" si="281"/>
        <v/>
      </c>
      <c r="BJ181" s="1115" t="str">
        <f t="shared" si="282"/>
        <v/>
      </c>
      <c r="BL181" s="1885"/>
    </row>
    <row r="182" spans="1:64" ht="13.9" customHeight="1" x14ac:dyDescent="0.25">
      <c r="A182" s="1916">
        <f>Chem!A182</f>
        <v>180</v>
      </c>
      <c r="B182" s="1880" t="str">
        <f>Chem!B182</f>
        <v>trans-1,2-Dichloroethylene</v>
      </c>
      <c r="C182" s="394" t="str">
        <f>Param!AK182</f>
        <v>no</v>
      </c>
      <c r="D182" s="317" t="str">
        <f>IF(ISNUMBER(Param!AN182),Param!AN182,Param!AM182)</f>
        <v>na</v>
      </c>
      <c r="E182" s="273" t="s">
        <v>232</v>
      </c>
      <c r="F182" s="643" t="s">
        <v>232</v>
      </c>
      <c r="G182" s="550" t="s">
        <v>232</v>
      </c>
      <c r="H182" s="550" t="s">
        <v>232</v>
      </c>
      <c r="I182" s="273" t="s">
        <v>232</v>
      </c>
      <c r="J182" s="273" t="s">
        <v>232</v>
      </c>
      <c r="K182" s="219" t="str">
        <f>IF(C182="YES",'SD-Eq'!V182,"na")</f>
        <v>na</v>
      </c>
      <c r="L182" s="273" t="str">
        <f>IF(C182="YES",'SD-Eq'!Z182,"na")</f>
        <v>na</v>
      </c>
      <c r="M182" s="435" t="str">
        <f t="shared" si="255"/>
        <v>na</v>
      </c>
      <c r="N182" s="273" t="str">
        <f t="shared" si="256"/>
        <v>na</v>
      </c>
      <c r="O182" s="1794" t="str">
        <f t="shared" si="288"/>
        <v>na</v>
      </c>
      <c r="P182" s="1789" t="str">
        <f t="shared" si="289"/>
        <v>na</v>
      </c>
      <c r="Q182" s="418" t="s">
        <v>232</v>
      </c>
      <c r="R182" s="418" t="s">
        <v>232</v>
      </c>
      <c r="S182" s="418" t="s">
        <v>232</v>
      </c>
      <c r="T182" s="418" t="s">
        <v>232</v>
      </c>
      <c r="U182" s="418" t="s">
        <v>232</v>
      </c>
      <c r="V182" s="418" t="s">
        <v>232</v>
      </c>
      <c r="W182" s="418" t="str">
        <f t="shared" si="290"/>
        <v>na</v>
      </c>
      <c r="X182" s="418" t="s">
        <v>232</v>
      </c>
      <c r="Y182" s="1884" t="str">
        <f t="shared" si="260"/>
        <v>na</v>
      </c>
      <c r="Z182" s="1884" t="str">
        <f t="shared" si="261"/>
        <v>na</v>
      </c>
      <c r="AA182" s="1789" t="s">
        <v>232</v>
      </c>
      <c r="AB182" s="1789" t="s">
        <v>232</v>
      </c>
      <c r="AC182" s="273" t="s">
        <v>232</v>
      </c>
      <c r="AD182" s="273" t="s">
        <v>232</v>
      </c>
      <c r="AE182" s="273" t="s">
        <v>232</v>
      </c>
      <c r="AF182" s="273" t="s">
        <v>232</v>
      </c>
      <c r="AG182" s="273" t="s">
        <v>232</v>
      </c>
      <c r="AH182" s="273" t="s">
        <v>232</v>
      </c>
      <c r="AI182" s="273" t="s">
        <v>232</v>
      </c>
      <c r="AJ182" s="273" t="s">
        <v>232</v>
      </c>
      <c r="AK182" s="273" t="s">
        <v>232</v>
      </c>
      <c r="AL182" s="273" t="s">
        <v>232</v>
      </c>
      <c r="AM182" s="273" t="s">
        <v>232</v>
      </c>
      <c r="AN182" s="273" t="str">
        <f t="shared" si="303"/>
        <v>na</v>
      </c>
      <c r="AO182" s="273" t="str">
        <f t="shared" si="263"/>
        <v>na</v>
      </c>
      <c r="AP182" s="273" t="str">
        <f t="shared" si="264"/>
        <v>na</v>
      </c>
      <c r="AQ182" s="273" t="str">
        <f t="shared" si="265"/>
        <v>na</v>
      </c>
      <c r="AR182" s="1789" t="str">
        <f t="shared" si="304"/>
        <v>na</v>
      </c>
      <c r="AS182" s="1051"/>
      <c r="AU182" s="1332" t="str">
        <f t="shared" si="291"/>
        <v/>
      </c>
      <c r="AV182" s="1114" t="str">
        <f t="shared" si="292"/>
        <v/>
      </c>
      <c r="AW182" s="1114" t="str">
        <f t="shared" si="293"/>
        <v/>
      </c>
      <c r="AX182" s="1114" t="str">
        <f t="shared" si="294"/>
        <v/>
      </c>
      <c r="AY182" s="1113" t="str">
        <f t="shared" si="295"/>
        <v/>
      </c>
      <c r="AZ182" s="1114" t="str">
        <f t="shared" si="296"/>
        <v/>
      </c>
      <c r="BA182" s="1114" t="str">
        <f t="shared" si="297"/>
        <v/>
      </c>
      <c r="BB182" s="1704" t="str">
        <f t="shared" si="298"/>
        <v/>
      </c>
      <c r="BC182" s="1113" t="str">
        <f t="shared" si="299"/>
        <v/>
      </c>
      <c r="BD182" s="1114" t="str">
        <f t="shared" si="300"/>
        <v/>
      </c>
      <c r="BE182" s="1114" t="str">
        <f t="shared" si="301"/>
        <v/>
      </c>
      <c r="BF182" s="1114" t="str">
        <f t="shared" si="302"/>
        <v/>
      </c>
      <c r="BG182" s="1114" t="str">
        <f t="shared" si="279"/>
        <v/>
      </c>
      <c r="BH182" s="1114" t="str">
        <f t="shared" si="280"/>
        <v/>
      </c>
      <c r="BI182" s="1114" t="str">
        <f t="shared" si="281"/>
        <v/>
      </c>
      <c r="BJ182" s="1115" t="str">
        <f t="shared" si="282"/>
        <v/>
      </c>
      <c r="BL182" s="1885"/>
    </row>
    <row r="183" spans="1:64" ht="13.9" customHeight="1" x14ac:dyDescent="0.25">
      <c r="A183" s="1916">
        <f>Chem!A183</f>
        <v>181</v>
      </c>
      <c r="B183" s="1880" t="str">
        <f>Chem!B183</f>
        <v>1,2-Dichloroethylene (mixed isomers)</v>
      </c>
      <c r="C183" s="394" t="str">
        <f>Param!AK183</f>
        <v>no</v>
      </c>
      <c r="D183" s="317" t="str">
        <f>IF(ISNUMBER(Param!AN183),Param!AN183,Param!AM183)</f>
        <v>na</v>
      </c>
      <c r="E183" s="273" t="s">
        <v>232</v>
      </c>
      <c r="F183" s="643" t="s">
        <v>232</v>
      </c>
      <c r="G183" s="550" t="s">
        <v>232</v>
      </c>
      <c r="H183" s="550" t="s">
        <v>232</v>
      </c>
      <c r="I183" s="273" t="s">
        <v>232</v>
      </c>
      <c r="J183" s="273" t="s">
        <v>232</v>
      </c>
      <c r="K183" s="219" t="str">
        <f>IF(C183="YES",'SD-Eq'!V183,"na")</f>
        <v>na</v>
      </c>
      <c r="L183" s="273" t="str">
        <f>IF(C183="YES",'SD-Eq'!Z183,"na")</f>
        <v>na</v>
      </c>
      <c r="M183" s="435" t="str">
        <f t="shared" si="255"/>
        <v>na</v>
      </c>
      <c r="N183" s="273" t="str">
        <f t="shared" si="256"/>
        <v>na</v>
      </c>
      <c r="O183" s="1794" t="str">
        <f t="shared" si="288"/>
        <v>na</v>
      </c>
      <c r="P183" s="1789" t="str">
        <f t="shared" si="289"/>
        <v>na</v>
      </c>
      <c r="Q183" s="418" t="s">
        <v>232</v>
      </c>
      <c r="R183" s="418" t="s">
        <v>232</v>
      </c>
      <c r="S183" s="418" t="s">
        <v>232</v>
      </c>
      <c r="T183" s="418" t="s">
        <v>232</v>
      </c>
      <c r="U183" s="418" t="s">
        <v>232</v>
      </c>
      <c r="V183" s="418" t="s">
        <v>232</v>
      </c>
      <c r="W183" s="418" t="str">
        <f t="shared" si="290"/>
        <v>na</v>
      </c>
      <c r="X183" s="418" t="s">
        <v>232</v>
      </c>
      <c r="Y183" s="1884" t="str">
        <f t="shared" si="260"/>
        <v>na</v>
      </c>
      <c r="Z183" s="1884" t="str">
        <f t="shared" si="261"/>
        <v>na</v>
      </c>
      <c r="AA183" s="1789" t="s">
        <v>232</v>
      </c>
      <c r="AB183" s="1789" t="s">
        <v>232</v>
      </c>
      <c r="AC183" s="273" t="s">
        <v>232</v>
      </c>
      <c r="AD183" s="273" t="s">
        <v>232</v>
      </c>
      <c r="AE183" s="273" t="s">
        <v>232</v>
      </c>
      <c r="AF183" s="273" t="s">
        <v>232</v>
      </c>
      <c r="AG183" s="273" t="s">
        <v>232</v>
      </c>
      <c r="AH183" s="273" t="s">
        <v>232</v>
      </c>
      <c r="AI183" s="273" t="s">
        <v>232</v>
      </c>
      <c r="AJ183" s="273" t="s">
        <v>232</v>
      </c>
      <c r="AK183" s="273" t="s">
        <v>232</v>
      </c>
      <c r="AL183" s="273" t="s">
        <v>232</v>
      </c>
      <c r="AM183" s="273" t="s">
        <v>232</v>
      </c>
      <c r="AN183" s="273" t="str">
        <f t="shared" si="303"/>
        <v>na</v>
      </c>
      <c r="AO183" s="273" t="str">
        <f t="shared" si="263"/>
        <v>na</v>
      </c>
      <c r="AP183" s="273" t="str">
        <f t="shared" si="264"/>
        <v>na</v>
      </c>
      <c r="AQ183" s="273" t="str">
        <f t="shared" si="265"/>
        <v>na</v>
      </c>
      <c r="AR183" s="1789" t="str">
        <f t="shared" si="304"/>
        <v>na</v>
      </c>
      <c r="AS183" s="1051"/>
      <c r="AU183" s="1332" t="str">
        <f t="shared" si="291"/>
        <v/>
      </c>
      <c r="AV183" s="1114" t="str">
        <f t="shared" si="292"/>
        <v/>
      </c>
      <c r="AW183" s="1114" t="str">
        <f t="shared" si="293"/>
        <v/>
      </c>
      <c r="AX183" s="1114" t="str">
        <f t="shared" si="294"/>
        <v/>
      </c>
      <c r="AY183" s="1113" t="str">
        <f t="shared" si="295"/>
        <v/>
      </c>
      <c r="AZ183" s="1114" t="str">
        <f t="shared" si="296"/>
        <v/>
      </c>
      <c r="BA183" s="1114" t="str">
        <f t="shared" si="297"/>
        <v/>
      </c>
      <c r="BB183" s="1704" t="str">
        <f t="shared" si="298"/>
        <v/>
      </c>
      <c r="BC183" s="1113" t="str">
        <f t="shared" si="299"/>
        <v/>
      </c>
      <c r="BD183" s="1114" t="str">
        <f t="shared" si="300"/>
        <v/>
      </c>
      <c r="BE183" s="1114" t="str">
        <f t="shared" si="301"/>
        <v/>
      </c>
      <c r="BF183" s="1114" t="str">
        <f t="shared" si="302"/>
        <v/>
      </c>
      <c r="BG183" s="1114" t="str">
        <f t="shared" si="279"/>
        <v/>
      </c>
      <c r="BH183" s="1114" t="str">
        <f t="shared" si="280"/>
        <v/>
      </c>
      <c r="BI183" s="1114" t="str">
        <f t="shared" si="281"/>
        <v/>
      </c>
      <c r="BJ183" s="1115" t="str">
        <f t="shared" si="282"/>
        <v/>
      </c>
      <c r="BL183" s="1885"/>
    </row>
    <row r="184" spans="1:64" ht="13.9" customHeight="1" x14ac:dyDescent="0.25">
      <c r="A184" s="1916">
        <f>Chem!A184</f>
        <v>182</v>
      </c>
      <c r="B184" s="1880" t="str">
        <f>Chem!B184</f>
        <v>1,2-Dichloropropane</v>
      </c>
      <c r="C184" s="394" t="str">
        <f>Param!AK184</f>
        <v>no</v>
      </c>
      <c r="D184" s="317" t="str">
        <f>IF(ISNUMBER(Param!AN184),Param!AN184,Param!AM184)</f>
        <v>na</v>
      </c>
      <c r="E184" s="273" t="s">
        <v>232</v>
      </c>
      <c r="F184" s="643" t="s">
        <v>232</v>
      </c>
      <c r="G184" s="550" t="s">
        <v>232</v>
      </c>
      <c r="H184" s="550" t="s">
        <v>232</v>
      </c>
      <c r="I184" s="273" t="s">
        <v>232</v>
      </c>
      <c r="J184" s="273" t="s">
        <v>232</v>
      </c>
      <c r="K184" s="219" t="str">
        <f>IF(C184="YES",'SD-Eq'!V184,"na")</f>
        <v>na</v>
      </c>
      <c r="L184" s="273" t="str">
        <f>IF(C184="YES",'SD-Eq'!Z184,"na")</f>
        <v>na</v>
      </c>
      <c r="M184" s="435" t="str">
        <f t="shared" si="255"/>
        <v>na</v>
      </c>
      <c r="N184" s="273" t="str">
        <f t="shared" si="256"/>
        <v>na</v>
      </c>
      <c r="O184" s="1794" t="str">
        <f t="shared" si="288"/>
        <v>na</v>
      </c>
      <c r="P184" s="1789" t="str">
        <f t="shared" si="289"/>
        <v>na</v>
      </c>
      <c r="Q184" s="418" t="s">
        <v>232</v>
      </c>
      <c r="R184" s="418" t="s">
        <v>232</v>
      </c>
      <c r="S184" s="418" t="s">
        <v>232</v>
      </c>
      <c r="T184" s="418" t="s">
        <v>232</v>
      </c>
      <c r="U184" s="418" t="s">
        <v>232</v>
      </c>
      <c r="V184" s="418" t="s">
        <v>232</v>
      </c>
      <c r="W184" s="418" t="str">
        <f t="shared" si="290"/>
        <v>na</v>
      </c>
      <c r="X184" s="418" t="s">
        <v>232</v>
      </c>
      <c r="Y184" s="1884" t="str">
        <f t="shared" si="260"/>
        <v>na</v>
      </c>
      <c r="Z184" s="1884" t="str">
        <f t="shared" si="261"/>
        <v>na</v>
      </c>
      <c r="AA184" s="1789" t="s">
        <v>232</v>
      </c>
      <c r="AB184" s="1789" t="s">
        <v>232</v>
      </c>
      <c r="AC184" s="273" t="s">
        <v>232</v>
      </c>
      <c r="AD184" s="273" t="s">
        <v>232</v>
      </c>
      <c r="AE184" s="273" t="s">
        <v>232</v>
      </c>
      <c r="AF184" s="273" t="s">
        <v>232</v>
      </c>
      <c r="AG184" s="273" t="s">
        <v>232</v>
      </c>
      <c r="AH184" s="273" t="s">
        <v>232</v>
      </c>
      <c r="AI184" s="273" t="s">
        <v>232</v>
      </c>
      <c r="AJ184" s="273" t="s">
        <v>232</v>
      </c>
      <c r="AK184" s="273" t="s">
        <v>232</v>
      </c>
      <c r="AL184" s="273" t="s">
        <v>232</v>
      </c>
      <c r="AM184" s="273" t="s">
        <v>232</v>
      </c>
      <c r="AN184" s="273" t="str">
        <f t="shared" si="303"/>
        <v>na</v>
      </c>
      <c r="AO184" s="273" t="str">
        <f t="shared" si="263"/>
        <v>na</v>
      </c>
      <c r="AP184" s="273" t="str">
        <f t="shared" si="264"/>
        <v>na</v>
      </c>
      <c r="AQ184" s="273" t="str">
        <f t="shared" si="265"/>
        <v>na</v>
      </c>
      <c r="AR184" s="1789" t="str">
        <f t="shared" si="304"/>
        <v>na</v>
      </c>
      <c r="AS184" s="1051"/>
      <c r="AU184" s="1332" t="str">
        <f t="shared" si="291"/>
        <v/>
      </c>
      <c r="AV184" s="1114" t="str">
        <f t="shared" si="292"/>
        <v/>
      </c>
      <c r="AW184" s="1114" t="str">
        <f t="shared" si="293"/>
        <v/>
      </c>
      <c r="AX184" s="1114" t="str">
        <f t="shared" si="294"/>
        <v/>
      </c>
      <c r="AY184" s="1113" t="str">
        <f t="shared" si="295"/>
        <v/>
      </c>
      <c r="AZ184" s="1114" t="str">
        <f t="shared" si="296"/>
        <v/>
      </c>
      <c r="BA184" s="1114" t="str">
        <f t="shared" si="297"/>
        <v/>
      </c>
      <c r="BB184" s="1704" t="str">
        <f t="shared" si="298"/>
        <v/>
      </c>
      <c r="BC184" s="1113" t="str">
        <f t="shared" si="299"/>
        <v/>
      </c>
      <c r="BD184" s="1114" t="str">
        <f t="shared" si="300"/>
        <v/>
      </c>
      <c r="BE184" s="1114" t="str">
        <f t="shared" si="301"/>
        <v/>
      </c>
      <c r="BF184" s="1114" t="str">
        <f t="shared" si="302"/>
        <v/>
      </c>
      <c r="BG184" s="1114" t="str">
        <f t="shared" si="279"/>
        <v/>
      </c>
      <c r="BH184" s="1114" t="str">
        <f t="shared" si="280"/>
        <v/>
      </c>
      <c r="BI184" s="1114" t="str">
        <f t="shared" si="281"/>
        <v/>
      </c>
      <c r="BJ184" s="1115" t="str">
        <f t="shared" si="282"/>
        <v/>
      </c>
      <c r="BL184" s="1885"/>
    </row>
    <row r="185" spans="1:64" ht="13.9" customHeight="1" x14ac:dyDescent="0.25">
      <c r="A185" s="1916">
        <f>Chem!A185</f>
        <v>183</v>
      </c>
      <c r="B185" s="1880" t="str">
        <f>Chem!B185</f>
        <v>1,3-Dichloropropane</v>
      </c>
      <c r="C185" s="394" t="str">
        <f>Param!AK185</f>
        <v>no</v>
      </c>
      <c r="D185" s="317" t="str">
        <f>IF(ISNUMBER(Param!AN185),Param!AN185,Param!AM185)</f>
        <v>na</v>
      </c>
      <c r="E185" s="273" t="s">
        <v>232</v>
      </c>
      <c r="F185" s="643" t="s">
        <v>232</v>
      </c>
      <c r="G185" s="550" t="s">
        <v>232</v>
      </c>
      <c r="H185" s="550" t="s">
        <v>232</v>
      </c>
      <c r="I185" s="273" t="s">
        <v>232</v>
      </c>
      <c r="J185" s="273" t="s">
        <v>232</v>
      </c>
      <c r="K185" s="219" t="str">
        <f>IF(C185="YES",'SD-Eq'!V185,"na")</f>
        <v>na</v>
      </c>
      <c r="L185" s="273" t="str">
        <f>IF(C185="YES",'SD-Eq'!Z185,"na")</f>
        <v>na</v>
      </c>
      <c r="M185" s="435" t="str">
        <f t="shared" si="255"/>
        <v>na</v>
      </c>
      <c r="N185" s="273" t="str">
        <f t="shared" si="256"/>
        <v>na</v>
      </c>
      <c r="O185" s="1794" t="str">
        <f t="shared" si="288"/>
        <v>na</v>
      </c>
      <c r="P185" s="1789" t="str">
        <f t="shared" si="289"/>
        <v>na</v>
      </c>
      <c r="Q185" s="418" t="s">
        <v>232</v>
      </c>
      <c r="R185" s="418" t="s">
        <v>232</v>
      </c>
      <c r="S185" s="418" t="s">
        <v>232</v>
      </c>
      <c r="T185" s="418" t="s">
        <v>232</v>
      </c>
      <c r="U185" s="418" t="s">
        <v>232</v>
      </c>
      <c r="V185" s="418" t="s">
        <v>232</v>
      </c>
      <c r="W185" s="418" t="str">
        <f t="shared" si="290"/>
        <v>na</v>
      </c>
      <c r="X185" s="418" t="s">
        <v>232</v>
      </c>
      <c r="Y185" s="1884" t="str">
        <f t="shared" si="260"/>
        <v>na</v>
      </c>
      <c r="Z185" s="1884" t="str">
        <f t="shared" si="261"/>
        <v>na</v>
      </c>
      <c r="AA185" s="1789" t="s">
        <v>232</v>
      </c>
      <c r="AB185" s="1789" t="s">
        <v>232</v>
      </c>
      <c r="AC185" s="273" t="s">
        <v>232</v>
      </c>
      <c r="AD185" s="273" t="s">
        <v>232</v>
      </c>
      <c r="AE185" s="273" t="s">
        <v>232</v>
      </c>
      <c r="AF185" s="273" t="s">
        <v>232</v>
      </c>
      <c r="AG185" s="273" t="s">
        <v>232</v>
      </c>
      <c r="AH185" s="273" t="s">
        <v>232</v>
      </c>
      <c r="AI185" s="273" t="s">
        <v>232</v>
      </c>
      <c r="AJ185" s="273" t="s">
        <v>232</v>
      </c>
      <c r="AK185" s="273" t="s">
        <v>232</v>
      </c>
      <c r="AL185" s="273" t="s">
        <v>232</v>
      </c>
      <c r="AM185" s="273" t="s">
        <v>232</v>
      </c>
      <c r="AN185" s="273" t="str">
        <f t="shared" si="303"/>
        <v>na</v>
      </c>
      <c r="AO185" s="273" t="str">
        <f t="shared" si="263"/>
        <v>na</v>
      </c>
      <c r="AP185" s="273" t="str">
        <f t="shared" si="264"/>
        <v>na</v>
      </c>
      <c r="AQ185" s="273" t="str">
        <f t="shared" si="265"/>
        <v>na</v>
      </c>
      <c r="AR185" s="1789" t="str">
        <f t="shared" si="304"/>
        <v>na</v>
      </c>
      <c r="AS185" s="1051"/>
      <c r="AU185" s="1332" t="str">
        <f t="shared" si="291"/>
        <v/>
      </c>
      <c r="AV185" s="1114" t="str">
        <f t="shared" si="292"/>
        <v/>
      </c>
      <c r="AW185" s="1114" t="str">
        <f t="shared" si="293"/>
        <v/>
      </c>
      <c r="AX185" s="1114" t="str">
        <f t="shared" si="294"/>
        <v/>
      </c>
      <c r="AY185" s="1113" t="str">
        <f t="shared" si="295"/>
        <v/>
      </c>
      <c r="AZ185" s="1114" t="str">
        <f t="shared" si="296"/>
        <v/>
      </c>
      <c r="BA185" s="1114" t="str">
        <f t="shared" si="297"/>
        <v/>
      </c>
      <c r="BB185" s="1704" t="str">
        <f t="shared" si="298"/>
        <v/>
      </c>
      <c r="BC185" s="1113" t="str">
        <f t="shared" si="299"/>
        <v/>
      </c>
      <c r="BD185" s="1114" t="str">
        <f t="shared" si="300"/>
        <v/>
      </c>
      <c r="BE185" s="1114" t="str">
        <f t="shared" si="301"/>
        <v/>
      </c>
      <c r="BF185" s="1114" t="str">
        <f t="shared" si="302"/>
        <v/>
      </c>
      <c r="BG185" s="1114" t="str">
        <f t="shared" si="279"/>
        <v/>
      </c>
      <c r="BH185" s="1114" t="str">
        <f t="shared" si="280"/>
        <v/>
      </c>
      <c r="BI185" s="1114" t="str">
        <f t="shared" si="281"/>
        <v/>
      </c>
      <c r="BJ185" s="1115" t="str">
        <f t="shared" si="282"/>
        <v/>
      </c>
      <c r="BL185" s="1885"/>
    </row>
    <row r="186" spans="1:64" ht="13.9" customHeight="1" x14ac:dyDescent="0.25">
      <c r="A186" s="1916">
        <f>Chem!A186</f>
        <v>184</v>
      </c>
      <c r="B186" s="1880" t="str">
        <f>Chem!B186</f>
        <v>2,2-Dichloropropane</v>
      </c>
      <c r="C186" s="394" t="str">
        <f>Param!AK186</f>
        <v>no</v>
      </c>
      <c r="D186" s="317" t="str">
        <f>IF(ISNUMBER(Param!AN186),Param!AN186,Param!AM186)</f>
        <v>na</v>
      </c>
      <c r="E186" s="273" t="s">
        <v>232</v>
      </c>
      <c r="F186" s="643" t="s">
        <v>232</v>
      </c>
      <c r="G186" s="550" t="s">
        <v>232</v>
      </c>
      <c r="H186" s="550" t="s">
        <v>232</v>
      </c>
      <c r="I186" s="273" t="s">
        <v>232</v>
      </c>
      <c r="J186" s="273" t="s">
        <v>232</v>
      </c>
      <c r="K186" s="219" t="str">
        <f>IF(C186="YES",'SD-Eq'!V186,"na")</f>
        <v>na</v>
      </c>
      <c r="L186" s="273" t="str">
        <f>IF(C186="YES",'SD-Eq'!Z186,"na")</f>
        <v>na</v>
      </c>
      <c r="M186" s="435" t="str">
        <f t="shared" si="255"/>
        <v>na</v>
      </c>
      <c r="N186" s="273" t="str">
        <f t="shared" si="256"/>
        <v>na</v>
      </c>
      <c r="O186" s="1794" t="str">
        <f t="shared" si="288"/>
        <v>na</v>
      </c>
      <c r="P186" s="1789" t="str">
        <f t="shared" si="289"/>
        <v>na</v>
      </c>
      <c r="Q186" s="418" t="s">
        <v>232</v>
      </c>
      <c r="R186" s="418" t="s">
        <v>232</v>
      </c>
      <c r="S186" s="418" t="s">
        <v>232</v>
      </c>
      <c r="T186" s="418" t="s">
        <v>232</v>
      </c>
      <c r="U186" s="418" t="s">
        <v>232</v>
      </c>
      <c r="V186" s="418" t="s">
        <v>232</v>
      </c>
      <c r="W186" s="418" t="str">
        <f t="shared" si="290"/>
        <v>na</v>
      </c>
      <c r="X186" s="418" t="s">
        <v>232</v>
      </c>
      <c r="Y186" s="1884" t="str">
        <f t="shared" si="260"/>
        <v>na</v>
      </c>
      <c r="Z186" s="1884" t="str">
        <f t="shared" si="261"/>
        <v>na</v>
      </c>
      <c r="AA186" s="1789" t="s">
        <v>232</v>
      </c>
      <c r="AB186" s="1789" t="s">
        <v>232</v>
      </c>
      <c r="AC186" s="273" t="s">
        <v>232</v>
      </c>
      <c r="AD186" s="273" t="s">
        <v>232</v>
      </c>
      <c r="AE186" s="273" t="s">
        <v>232</v>
      </c>
      <c r="AF186" s="273" t="s">
        <v>232</v>
      </c>
      <c r="AG186" s="273" t="s">
        <v>232</v>
      </c>
      <c r="AH186" s="273" t="s">
        <v>232</v>
      </c>
      <c r="AI186" s="273" t="s">
        <v>232</v>
      </c>
      <c r="AJ186" s="273" t="s">
        <v>232</v>
      </c>
      <c r="AK186" s="273" t="s">
        <v>232</v>
      </c>
      <c r="AL186" s="273" t="s">
        <v>232</v>
      </c>
      <c r="AM186" s="273" t="s">
        <v>232</v>
      </c>
      <c r="AN186" s="273" t="str">
        <f t="shared" si="303"/>
        <v>na</v>
      </c>
      <c r="AO186" s="273" t="str">
        <f t="shared" si="263"/>
        <v>na</v>
      </c>
      <c r="AP186" s="273" t="str">
        <f t="shared" si="264"/>
        <v>na</v>
      </c>
      <c r="AQ186" s="273" t="str">
        <f t="shared" si="265"/>
        <v>na</v>
      </c>
      <c r="AR186" s="1789" t="str">
        <f t="shared" si="304"/>
        <v>na</v>
      </c>
      <c r="AS186" s="1051"/>
      <c r="AU186" s="1332" t="str">
        <f t="shared" si="291"/>
        <v/>
      </c>
      <c r="AV186" s="1114" t="str">
        <f t="shared" si="292"/>
        <v/>
      </c>
      <c r="AW186" s="1114" t="str">
        <f t="shared" si="293"/>
        <v/>
      </c>
      <c r="AX186" s="1114" t="str">
        <f t="shared" si="294"/>
        <v/>
      </c>
      <c r="AY186" s="1113" t="str">
        <f t="shared" si="295"/>
        <v/>
      </c>
      <c r="AZ186" s="1114" t="str">
        <f t="shared" si="296"/>
        <v/>
      </c>
      <c r="BA186" s="1114" t="str">
        <f t="shared" si="297"/>
        <v/>
      </c>
      <c r="BB186" s="1704" t="str">
        <f t="shared" si="298"/>
        <v/>
      </c>
      <c r="BC186" s="1113" t="str">
        <f t="shared" si="299"/>
        <v/>
      </c>
      <c r="BD186" s="1114" t="str">
        <f t="shared" si="300"/>
        <v/>
      </c>
      <c r="BE186" s="1114" t="str">
        <f t="shared" si="301"/>
        <v/>
      </c>
      <c r="BF186" s="1114" t="str">
        <f t="shared" si="302"/>
        <v/>
      </c>
      <c r="BG186" s="1114" t="str">
        <f t="shared" si="279"/>
        <v/>
      </c>
      <c r="BH186" s="1114" t="str">
        <f t="shared" si="280"/>
        <v/>
      </c>
      <c r="BI186" s="1114" t="str">
        <f t="shared" si="281"/>
        <v/>
      </c>
      <c r="BJ186" s="1115" t="str">
        <f t="shared" si="282"/>
        <v/>
      </c>
      <c r="BL186" s="1885"/>
    </row>
    <row r="187" spans="1:64" ht="13.9" customHeight="1" x14ac:dyDescent="0.25">
      <c r="A187" s="1916">
        <f>Chem!A187</f>
        <v>185</v>
      </c>
      <c r="B187" s="1880" t="str">
        <f>Chem!B187</f>
        <v>1,1-Dichloropropene</v>
      </c>
      <c r="C187" s="394" t="str">
        <f>Param!AK187</f>
        <v>no</v>
      </c>
      <c r="D187" s="317" t="str">
        <f>IF(ISNUMBER(Param!AN187),Param!AN187,Param!AM187)</f>
        <v>na</v>
      </c>
      <c r="E187" s="273" t="s">
        <v>232</v>
      </c>
      <c r="F187" s="643" t="s">
        <v>232</v>
      </c>
      <c r="G187" s="550" t="s">
        <v>232</v>
      </c>
      <c r="H187" s="550" t="s">
        <v>232</v>
      </c>
      <c r="I187" s="273" t="s">
        <v>232</v>
      </c>
      <c r="J187" s="273" t="s">
        <v>232</v>
      </c>
      <c r="K187" s="219" t="str">
        <f>IF(C187="YES",'SD-Eq'!V187,"na")</f>
        <v>na</v>
      </c>
      <c r="L187" s="273" t="str">
        <f>IF(C187="YES",'SD-Eq'!Z187,"na")</f>
        <v>na</v>
      </c>
      <c r="M187" s="435" t="str">
        <f t="shared" si="255"/>
        <v>na</v>
      </c>
      <c r="N187" s="273" t="str">
        <f t="shared" si="256"/>
        <v>na</v>
      </c>
      <c r="O187" s="1794" t="str">
        <f t="shared" si="288"/>
        <v>na</v>
      </c>
      <c r="P187" s="1789" t="str">
        <f t="shared" si="289"/>
        <v>na</v>
      </c>
      <c r="Q187" s="418" t="s">
        <v>232</v>
      </c>
      <c r="R187" s="418" t="s">
        <v>232</v>
      </c>
      <c r="S187" s="418" t="s">
        <v>232</v>
      </c>
      <c r="T187" s="418" t="s">
        <v>232</v>
      </c>
      <c r="U187" s="418" t="s">
        <v>232</v>
      </c>
      <c r="V187" s="418" t="s">
        <v>232</v>
      </c>
      <c r="W187" s="418" t="str">
        <f t="shared" si="290"/>
        <v>na</v>
      </c>
      <c r="X187" s="418" t="s">
        <v>232</v>
      </c>
      <c r="Y187" s="1884" t="str">
        <f t="shared" si="260"/>
        <v>na</v>
      </c>
      <c r="Z187" s="1884" t="str">
        <f t="shared" si="261"/>
        <v>na</v>
      </c>
      <c r="AA187" s="1789" t="s">
        <v>232</v>
      </c>
      <c r="AB187" s="1789" t="s">
        <v>232</v>
      </c>
      <c r="AC187" s="273" t="s">
        <v>232</v>
      </c>
      <c r="AD187" s="273" t="s">
        <v>232</v>
      </c>
      <c r="AE187" s="273" t="s">
        <v>232</v>
      </c>
      <c r="AF187" s="273" t="s">
        <v>232</v>
      </c>
      <c r="AG187" s="273" t="s">
        <v>232</v>
      </c>
      <c r="AH187" s="273" t="s">
        <v>232</v>
      </c>
      <c r="AI187" s="273" t="s">
        <v>232</v>
      </c>
      <c r="AJ187" s="273" t="s">
        <v>232</v>
      </c>
      <c r="AK187" s="273" t="s">
        <v>232</v>
      </c>
      <c r="AL187" s="273" t="s">
        <v>232</v>
      </c>
      <c r="AM187" s="273" t="s">
        <v>232</v>
      </c>
      <c r="AN187" s="273" t="str">
        <f t="shared" si="303"/>
        <v>na</v>
      </c>
      <c r="AO187" s="273" t="str">
        <f t="shared" si="263"/>
        <v>na</v>
      </c>
      <c r="AP187" s="273" t="str">
        <f t="shared" si="264"/>
        <v>na</v>
      </c>
      <c r="AQ187" s="273" t="str">
        <f t="shared" si="265"/>
        <v>na</v>
      </c>
      <c r="AR187" s="1789" t="str">
        <f t="shared" si="304"/>
        <v>na</v>
      </c>
      <c r="AS187" s="1051"/>
      <c r="AU187" s="1332" t="str">
        <f t="shared" si="291"/>
        <v/>
      </c>
      <c r="AV187" s="1114" t="str">
        <f t="shared" si="292"/>
        <v/>
      </c>
      <c r="AW187" s="1114" t="str">
        <f t="shared" si="293"/>
        <v/>
      </c>
      <c r="AX187" s="1114" t="str">
        <f t="shared" si="294"/>
        <v/>
      </c>
      <c r="AY187" s="1113" t="str">
        <f t="shared" si="295"/>
        <v/>
      </c>
      <c r="AZ187" s="1114" t="str">
        <f t="shared" si="296"/>
        <v/>
      </c>
      <c r="BA187" s="1114" t="str">
        <f t="shared" si="297"/>
        <v/>
      </c>
      <c r="BB187" s="1704" t="str">
        <f t="shared" si="298"/>
        <v/>
      </c>
      <c r="BC187" s="1113" t="str">
        <f t="shared" si="299"/>
        <v/>
      </c>
      <c r="BD187" s="1114" t="str">
        <f t="shared" si="300"/>
        <v/>
      </c>
      <c r="BE187" s="1114" t="str">
        <f t="shared" si="301"/>
        <v/>
      </c>
      <c r="BF187" s="1114" t="str">
        <f t="shared" si="302"/>
        <v/>
      </c>
      <c r="BG187" s="1114" t="str">
        <f t="shared" si="279"/>
        <v/>
      </c>
      <c r="BH187" s="1114" t="str">
        <f t="shared" si="280"/>
        <v/>
      </c>
      <c r="BI187" s="1114" t="str">
        <f t="shared" si="281"/>
        <v/>
      </c>
      <c r="BJ187" s="1115" t="str">
        <f t="shared" si="282"/>
        <v/>
      </c>
      <c r="BL187" s="1885"/>
    </row>
    <row r="188" spans="1:64" ht="13.9" customHeight="1" x14ac:dyDescent="0.25">
      <c r="A188" s="1916">
        <f>Chem!A188</f>
        <v>186</v>
      </c>
      <c r="B188" s="1880" t="str">
        <f>Chem!B188</f>
        <v>cis-1,3-Dichloropropene</v>
      </c>
      <c r="C188" s="394" t="str">
        <f>Param!AK188</f>
        <v>no</v>
      </c>
      <c r="D188" s="317" t="str">
        <f>IF(ISNUMBER(Param!AN188),Param!AN188,Param!AM188)</f>
        <v>na</v>
      </c>
      <c r="E188" s="273" t="s">
        <v>232</v>
      </c>
      <c r="F188" s="643" t="s">
        <v>232</v>
      </c>
      <c r="G188" s="550" t="s">
        <v>232</v>
      </c>
      <c r="H188" s="550" t="s">
        <v>232</v>
      </c>
      <c r="I188" s="273" t="s">
        <v>232</v>
      </c>
      <c r="J188" s="273" t="s">
        <v>232</v>
      </c>
      <c r="K188" s="219" t="str">
        <f>IF(C188="YES",'SD-Eq'!V188,"na")</f>
        <v>na</v>
      </c>
      <c r="L188" s="273" t="str">
        <f>IF(C188="YES",'SD-Eq'!Z188,"na")</f>
        <v>na</v>
      </c>
      <c r="M188" s="435" t="str">
        <f t="shared" si="255"/>
        <v>na</v>
      </c>
      <c r="N188" s="273" t="str">
        <f t="shared" si="256"/>
        <v>na</v>
      </c>
      <c r="O188" s="1794" t="str">
        <f t="shared" si="288"/>
        <v>na</v>
      </c>
      <c r="P188" s="1789" t="str">
        <f t="shared" si="289"/>
        <v>na</v>
      </c>
      <c r="Q188" s="418" t="s">
        <v>232</v>
      </c>
      <c r="R188" s="418" t="s">
        <v>232</v>
      </c>
      <c r="S188" s="418" t="s">
        <v>232</v>
      </c>
      <c r="T188" s="418" t="s">
        <v>232</v>
      </c>
      <c r="U188" s="418" t="s">
        <v>232</v>
      </c>
      <c r="V188" s="418" t="s">
        <v>232</v>
      </c>
      <c r="W188" s="418" t="str">
        <f t="shared" si="290"/>
        <v>na</v>
      </c>
      <c r="X188" s="418" t="s">
        <v>232</v>
      </c>
      <c r="Y188" s="1884" t="str">
        <f t="shared" si="260"/>
        <v>na</v>
      </c>
      <c r="Z188" s="1884" t="str">
        <f t="shared" si="261"/>
        <v>na</v>
      </c>
      <c r="AA188" s="1789" t="s">
        <v>232</v>
      </c>
      <c r="AB188" s="1789" t="s">
        <v>232</v>
      </c>
      <c r="AC188" s="273" t="s">
        <v>232</v>
      </c>
      <c r="AD188" s="273" t="s">
        <v>232</v>
      </c>
      <c r="AE188" s="273" t="s">
        <v>232</v>
      </c>
      <c r="AF188" s="273" t="s">
        <v>232</v>
      </c>
      <c r="AG188" s="273" t="s">
        <v>232</v>
      </c>
      <c r="AH188" s="273" t="s">
        <v>232</v>
      </c>
      <c r="AI188" s="273" t="s">
        <v>232</v>
      </c>
      <c r="AJ188" s="273" t="s">
        <v>232</v>
      </c>
      <c r="AK188" s="273" t="s">
        <v>232</v>
      </c>
      <c r="AL188" s="273" t="s">
        <v>232</v>
      </c>
      <c r="AM188" s="273" t="s">
        <v>232</v>
      </c>
      <c r="AN188" s="273" t="str">
        <f t="shared" si="303"/>
        <v>na</v>
      </c>
      <c r="AO188" s="273" t="str">
        <f t="shared" si="263"/>
        <v>na</v>
      </c>
      <c r="AP188" s="273" t="str">
        <f t="shared" si="264"/>
        <v>na</v>
      </c>
      <c r="AQ188" s="273" t="str">
        <f t="shared" si="265"/>
        <v>na</v>
      </c>
      <c r="AR188" s="1789" t="str">
        <f t="shared" si="304"/>
        <v>na</v>
      </c>
      <c r="AS188" s="1051"/>
      <c r="AU188" s="1332" t="str">
        <f t="shared" si="291"/>
        <v/>
      </c>
      <c r="AV188" s="1114" t="str">
        <f t="shared" si="292"/>
        <v/>
      </c>
      <c r="AW188" s="1114" t="str">
        <f t="shared" si="293"/>
        <v/>
      </c>
      <c r="AX188" s="1114" t="str">
        <f t="shared" si="294"/>
        <v/>
      </c>
      <c r="AY188" s="1113" t="str">
        <f t="shared" si="295"/>
        <v/>
      </c>
      <c r="AZ188" s="1114" t="str">
        <f t="shared" si="296"/>
        <v/>
      </c>
      <c r="BA188" s="1114" t="str">
        <f t="shared" si="297"/>
        <v/>
      </c>
      <c r="BB188" s="1704" t="str">
        <f t="shared" si="298"/>
        <v/>
      </c>
      <c r="BC188" s="1113" t="str">
        <f t="shared" si="299"/>
        <v/>
      </c>
      <c r="BD188" s="1114" t="str">
        <f t="shared" si="300"/>
        <v/>
      </c>
      <c r="BE188" s="1114" t="str">
        <f t="shared" si="301"/>
        <v/>
      </c>
      <c r="BF188" s="1114" t="str">
        <f t="shared" si="302"/>
        <v/>
      </c>
      <c r="BG188" s="1114" t="str">
        <f t="shared" si="279"/>
        <v/>
      </c>
      <c r="BH188" s="1114" t="str">
        <f t="shared" si="280"/>
        <v/>
      </c>
      <c r="BI188" s="1114" t="str">
        <f t="shared" si="281"/>
        <v/>
      </c>
      <c r="BJ188" s="1115" t="str">
        <f t="shared" si="282"/>
        <v/>
      </c>
      <c r="BL188" s="1885"/>
    </row>
    <row r="189" spans="1:64" ht="13.9" customHeight="1" x14ac:dyDescent="0.25">
      <c r="A189" s="1916">
        <f>Chem!A189</f>
        <v>187</v>
      </c>
      <c r="B189" s="1880" t="str">
        <f>Chem!B189</f>
        <v>trans-1,3-Dichloropropene</v>
      </c>
      <c r="C189" s="394" t="str">
        <f>Param!AK189</f>
        <v>no</v>
      </c>
      <c r="D189" s="317" t="str">
        <f>IF(ISNUMBER(Param!AN189),Param!AN189,Param!AM189)</f>
        <v>na</v>
      </c>
      <c r="E189" s="273" t="s">
        <v>232</v>
      </c>
      <c r="F189" s="643" t="s">
        <v>232</v>
      </c>
      <c r="G189" s="550" t="s">
        <v>232</v>
      </c>
      <c r="H189" s="550" t="s">
        <v>232</v>
      </c>
      <c r="I189" s="273" t="s">
        <v>232</v>
      </c>
      <c r="J189" s="273" t="s">
        <v>232</v>
      </c>
      <c r="K189" s="219" t="str">
        <f>IF(C189="YES",'SD-Eq'!V189,"na")</f>
        <v>na</v>
      </c>
      <c r="L189" s="273" t="str">
        <f>IF(C189="YES",'SD-Eq'!Z189,"na")</f>
        <v>na</v>
      </c>
      <c r="M189" s="435" t="str">
        <f t="shared" si="255"/>
        <v>na</v>
      </c>
      <c r="N189" s="273" t="str">
        <f t="shared" si="256"/>
        <v>na</v>
      </c>
      <c r="O189" s="1794" t="str">
        <f t="shared" si="288"/>
        <v>na</v>
      </c>
      <c r="P189" s="1789" t="str">
        <f t="shared" si="289"/>
        <v>na</v>
      </c>
      <c r="Q189" s="418" t="s">
        <v>232</v>
      </c>
      <c r="R189" s="418" t="s">
        <v>232</v>
      </c>
      <c r="S189" s="418" t="s">
        <v>232</v>
      </c>
      <c r="T189" s="418" t="s">
        <v>232</v>
      </c>
      <c r="U189" s="418" t="s">
        <v>232</v>
      </c>
      <c r="V189" s="418" t="s">
        <v>232</v>
      </c>
      <c r="W189" s="418" t="str">
        <f t="shared" si="290"/>
        <v>na</v>
      </c>
      <c r="X189" s="418" t="s">
        <v>232</v>
      </c>
      <c r="Y189" s="1884" t="str">
        <f t="shared" si="260"/>
        <v>na</v>
      </c>
      <c r="Z189" s="1884" t="str">
        <f t="shared" si="261"/>
        <v>na</v>
      </c>
      <c r="AA189" s="1789" t="s">
        <v>232</v>
      </c>
      <c r="AB189" s="1789" t="s">
        <v>232</v>
      </c>
      <c r="AC189" s="273" t="s">
        <v>232</v>
      </c>
      <c r="AD189" s="273" t="s">
        <v>232</v>
      </c>
      <c r="AE189" s="273" t="s">
        <v>232</v>
      </c>
      <c r="AF189" s="273" t="s">
        <v>232</v>
      </c>
      <c r="AG189" s="273" t="s">
        <v>232</v>
      </c>
      <c r="AH189" s="273" t="s">
        <v>232</v>
      </c>
      <c r="AI189" s="273" t="s">
        <v>232</v>
      </c>
      <c r="AJ189" s="273" t="s">
        <v>232</v>
      </c>
      <c r="AK189" s="273" t="s">
        <v>232</v>
      </c>
      <c r="AL189" s="273" t="s">
        <v>232</v>
      </c>
      <c r="AM189" s="273" t="s">
        <v>232</v>
      </c>
      <c r="AN189" s="273" t="str">
        <f t="shared" si="303"/>
        <v>na</v>
      </c>
      <c r="AO189" s="273" t="str">
        <f t="shared" si="263"/>
        <v>na</v>
      </c>
      <c r="AP189" s="273" t="str">
        <f t="shared" si="264"/>
        <v>na</v>
      </c>
      <c r="AQ189" s="273" t="str">
        <f t="shared" si="265"/>
        <v>na</v>
      </c>
      <c r="AR189" s="1789" t="str">
        <f t="shared" si="304"/>
        <v>na</v>
      </c>
      <c r="AS189" s="1051"/>
      <c r="AU189" s="1332" t="str">
        <f t="shared" si="291"/>
        <v/>
      </c>
      <c r="AV189" s="1114" t="str">
        <f t="shared" si="292"/>
        <v/>
      </c>
      <c r="AW189" s="1114" t="str">
        <f t="shared" si="293"/>
        <v/>
      </c>
      <c r="AX189" s="1114" t="str">
        <f t="shared" si="294"/>
        <v/>
      </c>
      <c r="AY189" s="1113" t="str">
        <f t="shared" si="295"/>
        <v/>
      </c>
      <c r="AZ189" s="1114" t="str">
        <f t="shared" si="296"/>
        <v/>
      </c>
      <c r="BA189" s="1114" t="str">
        <f t="shared" si="297"/>
        <v/>
      </c>
      <c r="BB189" s="1704" t="str">
        <f t="shared" si="298"/>
        <v/>
      </c>
      <c r="BC189" s="1113" t="str">
        <f t="shared" si="299"/>
        <v/>
      </c>
      <c r="BD189" s="1114" t="str">
        <f t="shared" si="300"/>
        <v/>
      </c>
      <c r="BE189" s="1114" t="str">
        <f t="shared" si="301"/>
        <v/>
      </c>
      <c r="BF189" s="1114" t="str">
        <f t="shared" si="302"/>
        <v/>
      </c>
      <c r="BG189" s="1114" t="str">
        <f t="shared" si="279"/>
        <v/>
      </c>
      <c r="BH189" s="1114" t="str">
        <f t="shared" si="280"/>
        <v/>
      </c>
      <c r="BI189" s="1114" t="str">
        <f t="shared" si="281"/>
        <v/>
      </c>
      <c r="BJ189" s="1115" t="str">
        <f t="shared" si="282"/>
        <v/>
      </c>
      <c r="BL189" s="1885"/>
    </row>
    <row r="190" spans="1:64" ht="13.9" customHeight="1" x14ac:dyDescent="0.25">
      <c r="A190" s="1916">
        <f>Chem!A190</f>
        <v>188</v>
      </c>
      <c r="B190" s="1880" t="str">
        <f>Chem!B190</f>
        <v>Diisopropyl ether</v>
      </c>
      <c r="C190" s="394" t="str">
        <f>Param!AK190</f>
        <v>no</v>
      </c>
      <c r="D190" s="317" t="str">
        <f>IF(ISNUMBER(Param!AN190),Param!AN190,Param!AM190)</f>
        <v>na</v>
      </c>
      <c r="E190" s="273" t="s">
        <v>232</v>
      </c>
      <c r="F190" s="643" t="s">
        <v>232</v>
      </c>
      <c r="G190" s="550" t="s">
        <v>232</v>
      </c>
      <c r="H190" s="550" t="s">
        <v>232</v>
      </c>
      <c r="I190" s="273" t="s">
        <v>232</v>
      </c>
      <c r="J190" s="273" t="s">
        <v>232</v>
      </c>
      <c r="K190" s="219" t="str">
        <f>IF(C190="YES",'SD-Eq'!V190,"na")</f>
        <v>na</v>
      </c>
      <c r="L190" s="273" t="str">
        <f>IF(C190="YES",'SD-Eq'!Z190,"na")</f>
        <v>na</v>
      </c>
      <c r="M190" s="435" t="str">
        <f t="shared" si="255"/>
        <v>na</v>
      </c>
      <c r="N190" s="273" t="str">
        <f t="shared" si="256"/>
        <v>na</v>
      </c>
      <c r="O190" s="1794" t="str">
        <f t="shared" si="288"/>
        <v>na</v>
      </c>
      <c r="P190" s="1789" t="str">
        <f t="shared" si="289"/>
        <v>na</v>
      </c>
      <c r="Q190" s="418" t="s">
        <v>232</v>
      </c>
      <c r="R190" s="418" t="s">
        <v>232</v>
      </c>
      <c r="S190" s="418" t="s">
        <v>232</v>
      </c>
      <c r="T190" s="418" t="s">
        <v>232</v>
      </c>
      <c r="U190" s="418" t="s">
        <v>232</v>
      </c>
      <c r="V190" s="418" t="s">
        <v>232</v>
      </c>
      <c r="W190" s="418" t="str">
        <f t="shared" si="290"/>
        <v>na</v>
      </c>
      <c r="X190" s="418" t="s">
        <v>232</v>
      </c>
      <c r="Y190" s="1884" t="str">
        <f t="shared" si="260"/>
        <v>na</v>
      </c>
      <c r="Z190" s="1884" t="str">
        <f t="shared" si="261"/>
        <v>na</v>
      </c>
      <c r="AA190" s="1789" t="s">
        <v>232</v>
      </c>
      <c r="AB190" s="1789" t="s">
        <v>232</v>
      </c>
      <c r="AC190" s="273" t="s">
        <v>232</v>
      </c>
      <c r="AD190" s="273" t="s">
        <v>232</v>
      </c>
      <c r="AE190" s="273" t="s">
        <v>232</v>
      </c>
      <c r="AF190" s="273" t="s">
        <v>232</v>
      </c>
      <c r="AG190" s="273" t="s">
        <v>232</v>
      </c>
      <c r="AH190" s="273" t="s">
        <v>232</v>
      </c>
      <c r="AI190" s="273" t="s">
        <v>232</v>
      </c>
      <c r="AJ190" s="273" t="s">
        <v>232</v>
      </c>
      <c r="AK190" s="273" t="s">
        <v>232</v>
      </c>
      <c r="AL190" s="273" t="s">
        <v>232</v>
      </c>
      <c r="AM190" s="273" t="s">
        <v>232</v>
      </c>
      <c r="AN190" s="273" t="str">
        <f t="shared" ref="AN190" si="305">IF(MIN(AA190,AB190)=0,"na",MIN(AA190,AB190))</f>
        <v>na</v>
      </c>
      <c r="AO190" s="273" t="str">
        <f t="shared" ref="AO190" si="306">IF(MIN(AC190:AF190)=0,"na",MIN(AC190:AF190))</f>
        <v>na</v>
      </c>
      <c r="AP190" s="273" t="str">
        <f t="shared" ref="AP190" si="307">IF(MIN(AG190,AH190)=0,"na",MIN(AG190,AH190))</f>
        <v>na</v>
      </c>
      <c r="AQ190" s="273" t="str">
        <f t="shared" ref="AQ190" si="308">IF(MIN(AI190:AL190)=0,"na",MIN(AI190:AL190))</f>
        <v>na</v>
      </c>
      <c r="AR190" s="1789" t="str">
        <f t="shared" ref="AR190" si="309">IF(MIN(AA190:AM190)=0,"na",MIN(AA190:AM190))</f>
        <v>na</v>
      </c>
      <c r="AS190" s="1051"/>
      <c r="AU190" s="1332" t="str">
        <f t="shared" si="291"/>
        <v/>
      </c>
      <c r="AV190" s="1114" t="str">
        <f t="shared" si="292"/>
        <v/>
      </c>
      <c r="AW190" s="1114" t="str">
        <f t="shared" si="293"/>
        <v/>
      </c>
      <c r="AX190" s="1114" t="str">
        <f t="shared" si="294"/>
        <v/>
      </c>
      <c r="AY190" s="1113" t="str">
        <f t="shared" si="295"/>
        <v/>
      </c>
      <c r="AZ190" s="1114" t="str">
        <f t="shared" si="296"/>
        <v/>
      </c>
      <c r="BA190" s="1114" t="str">
        <f t="shared" si="297"/>
        <v/>
      </c>
      <c r="BB190" s="1704" t="str">
        <f t="shared" si="298"/>
        <v/>
      </c>
      <c r="BC190" s="1113" t="str">
        <f t="shared" si="299"/>
        <v/>
      </c>
      <c r="BD190" s="1114" t="str">
        <f t="shared" si="300"/>
        <v/>
      </c>
      <c r="BE190" s="1114" t="str">
        <f t="shared" si="301"/>
        <v/>
      </c>
      <c r="BF190" s="1114" t="str">
        <f t="shared" si="302"/>
        <v/>
      </c>
      <c r="BG190" s="1114" t="str">
        <f t="shared" si="279"/>
        <v/>
      </c>
      <c r="BH190" s="1114" t="str">
        <f t="shared" si="280"/>
        <v/>
      </c>
      <c r="BI190" s="1114" t="str">
        <f t="shared" si="281"/>
        <v/>
      </c>
      <c r="BJ190" s="1115" t="str">
        <f t="shared" si="282"/>
        <v/>
      </c>
      <c r="BL190" s="1885"/>
    </row>
    <row r="191" spans="1:64" ht="13.9" customHeight="1" x14ac:dyDescent="0.25">
      <c r="A191" s="1916">
        <f>Chem!A191</f>
        <v>189</v>
      </c>
      <c r="B191" s="1880" t="str">
        <f>Chem!B191</f>
        <v>Ethane</v>
      </c>
      <c r="C191" s="394" t="str">
        <f>Param!AK191</f>
        <v>no</v>
      </c>
      <c r="D191" s="317" t="str">
        <f>IF(ISNUMBER(Param!AN191),Param!AN191,Param!AM191)</f>
        <v>na</v>
      </c>
      <c r="E191" s="273" t="s">
        <v>232</v>
      </c>
      <c r="F191" s="643" t="s">
        <v>232</v>
      </c>
      <c r="G191" s="550" t="s">
        <v>232</v>
      </c>
      <c r="H191" s="550" t="s">
        <v>232</v>
      </c>
      <c r="I191" s="273" t="s">
        <v>232</v>
      </c>
      <c r="J191" s="273" t="s">
        <v>232</v>
      </c>
      <c r="K191" s="219" t="str">
        <f>IF(C191="YES",'SD-Eq'!V191,"na")</f>
        <v>na</v>
      </c>
      <c r="L191" s="273" t="str">
        <f>IF(C191="YES",'SD-Eq'!Z191,"na")</f>
        <v>na</v>
      </c>
      <c r="M191" s="435" t="str">
        <f t="shared" si="255"/>
        <v>na</v>
      </c>
      <c r="N191" s="273" t="str">
        <f t="shared" si="256"/>
        <v>na</v>
      </c>
      <c r="O191" s="1794" t="str">
        <f t="shared" si="288"/>
        <v>na</v>
      </c>
      <c r="P191" s="1789" t="str">
        <f t="shared" si="289"/>
        <v>na</v>
      </c>
      <c r="Q191" s="418" t="s">
        <v>232</v>
      </c>
      <c r="R191" s="418" t="s">
        <v>232</v>
      </c>
      <c r="S191" s="418" t="s">
        <v>232</v>
      </c>
      <c r="T191" s="418" t="s">
        <v>232</v>
      </c>
      <c r="U191" s="418" t="s">
        <v>232</v>
      </c>
      <c r="V191" s="418" t="s">
        <v>232</v>
      </c>
      <c r="W191" s="418" t="str">
        <f t="shared" si="290"/>
        <v>na</v>
      </c>
      <c r="X191" s="418" t="s">
        <v>232</v>
      </c>
      <c r="Y191" s="1884" t="str">
        <f t="shared" si="260"/>
        <v>na</v>
      </c>
      <c r="Z191" s="1884" t="str">
        <f t="shared" si="261"/>
        <v>na</v>
      </c>
      <c r="AA191" s="1789" t="s">
        <v>232</v>
      </c>
      <c r="AB191" s="1789" t="s">
        <v>232</v>
      </c>
      <c r="AC191" s="273" t="s">
        <v>232</v>
      </c>
      <c r="AD191" s="273" t="s">
        <v>232</v>
      </c>
      <c r="AE191" s="273" t="s">
        <v>232</v>
      </c>
      <c r="AF191" s="273" t="s">
        <v>232</v>
      </c>
      <c r="AG191" s="273" t="s">
        <v>232</v>
      </c>
      <c r="AH191" s="273" t="s">
        <v>232</v>
      </c>
      <c r="AI191" s="273" t="s">
        <v>232</v>
      </c>
      <c r="AJ191" s="273" t="s">
        <v>232</v>
      </c>
      <c r="AK191" s="273" t="s">
        <v>232</v>
      </c>
      <c r="AL191" s="273" t="s">
        <v>232</v>
      </c>
      <c r="AM191" s="273" t="s">
        <v>232</v>
      </c>
      <c r="AN191" s="273" t="str">
        <f t="shared" si="303"/>
        <v>na</v>
      </c>
      <c r="AO191" s="273" t="str">
        <f t="shared" si="263"/>
        <v>na</v>
      </c>
      <c r="AP191" s="273" t="str">
        <f t="shared" si="264"/>
        <v>na</v>
      </c>
      <c r="AQ191" s="273" t="str">
        <f t="shared" si="265"/>
        <v>na</v>
      </c>
      <c r="AR191" s="1789" t="str">
        <f t="shared" si="304"/>
        <v>na</v>
      </c>
      <c r="AS191" s="1051"/>
      <c r="AU191" s="1332" t="str">
        <f t="shared" si="291"/>
        <v/>
      </c>
      <c r="AV191" s="1114" t="str">
        <f t="shared" si="292"/>
        <v/>
      </c>
      <c r="AW191" s="1114" t="str">
        <f t="shared" si="293"/>
        <v/>
      </c>
      <c r="AX191" s="1114" t="str">
        <f t="shared" si="294"/>
        <v/>
      </c>
      <c r="AY191" s="1113" t="str">
        <f t="shared" si="295"/>
        <v/>
      </c>
      <c r="AZ191" s="1114" t="str">
        <f t="shared" si="296"/>
        <v/>
      </c>
      <c r="BA191" s="1114" t="str">
        <f t="shared" si="297"/>
        <v/>
      </c>
      <c r="BB191" s="1704" t="str">
        <f t="shared" si="298"/>
        <v/>
      </c>
      <c r="BC191" s="1113" t="str">
        <f t="shared" si="299"/>
        <v/>
      </c>
      <c r="BD191" s="1114" t="str">
        <f t="shared" si="300"/>
        <v/>
      </c>
      <c r="BE191" s="1114" t="str">
        <f t="shared" si="301"/>
        <v/>
      </c>
      <c r="BF191" s="1114" t="str">
        <f t="shared" si="302"/>
        <v/>
      </c>
      <c r="BG191" s="1114" t="str">
        <f t="shared" si="279"/>
        <v/>
      </c>
      <c r="BH191" s="1114" t="str">
        <f t="shared" si="280"/>
        <v/>
      </c>
      <c r="BI191" s="1114" t="str">
        <f t="shared" si="281"/>
        <v/>
      </c>
      <c r="BJ191" s="1115" t="str">
        <f t="shared" si="282"/>
        <v/>
      </c>
      <c r="BL191" s="1885"/>
    </row>
    <row r="192" spans="1:64" ht="13.9" customHeight="1" x14ac:dyDescent="0.25">
      <c r="A192" s="1916">
        <f>Chem!A192</f>
        <v>190</v>
      </c>
      <c r="B192" s="1880" t="str">
        <f>Chem!B192</f>
        <v>Ethylbenzene</v>
      </c>
      <c r="C192" s="394" t="str">
        <f>Param!AK192</f>
        <v>no</v>
      </c>
      <c r="D192" s="317" t="str">
        <f>IF(ISNUMBER(Param!AN192),Param!AN192,Param!AM192)</f>
        <v>na</v>
      </c>
      <c r="E192" s="273" t="s">
        <v>232</v>
      </c>
      <c r="F192" s="643">
        <v>6.6E-3</v>
      </c>
      <c r="G192" s="550" t="s">
        <v>232</v>
      </c>
      <c r="H192" s="550" t="s">
        <v>232</v>
      </c>
      <c r="I192" s="273" t="s">
        <v>232</v>
      </c>
      <c r="J192" s="273" t="s">
        <v>232</v>
      </c>
      <c r="K192" s="219" t="str">
        <f>IF(C192="YES",'SD-Eq'!V192,"na")</f>
        <v>na</v>
      </c>
      <c r="L192" s="273" t="str">
        <f>IF(C192="YES",'SD-Eq'!Z192,"na")</f>
        <v>na</v>
      </c>
      <c r="M192" s="435" t="str">
        <f t="shared" si="255"/>
        <v>na</v>
      </c>
      <c r="N192" s="273" t="str">
        <f t="shared" si="256"/>
        <v>na</v>
      </c>
      <c r="O192" s="1794" t="str">
        <f t="shared" si="288"/>
        <v>na</v>
      </c>
      <c r="P192" s="1789" t="str">
        <f t="shared" si="289"/>
        <v>na</v>
      </c>
      <c r="Q192" s="418" t="s">
        <v>232</v>
      </c>
      <c r="R192" s="418" t="s">
        <v>232</v>
      </c>
      <c r="S192" s="418" t="s">
        <v>232</v>
      </c>
      <c r="T192" s="418" t="s">
        <v>232</v>
      </c>
      <c r="U192" s="418" t="s">
        <v>232</v>
      </c>
      <c r="V192" s="418" t="s">
        <v>232</v>
      </c>
      <c r="W192" s="418" t="str">
        <f t="shared" si="290"/>
        <v>na</v>
      </c>
      <c r="X192" s="418" t="s">
        <v>232</v>
      </c>
      <c r="Y192" s="1884" t="str">
        <f t="shared" si="260"/>
        <v>na</v>
      </c>
      <c r="Z192" s="1884" t="str">
        <f t="shared" si="261"/>
        <v>na</v>
      </c>
      <c r="AA192" s="1789" t="s">
        <v>232</v>
      </c>
      <c r="AB192" s="1789" t="s">
        <v>232</v>
      </c>
      <c r="AC192" s="273" t="s">
        <v>232</v>
      </c>
      <c r="AD192" s="273" t="s">
        <v>232</v>
      </c>
      <c r="AE192" s="273" t="s">
        <v>232</v>
      </c>
      <c r="AF192" s="273" t="s">
        <v>232</v>
      </c>
      <c r="AG192" s="273" t="s">
        <v>232</v>
      </c>
      <c r="AH192" s="273" t="s">
        <v>232</v>
      </c>
      <c r="AI192" s="273" t="s">
        <v>232</v>
      </c>
      <c r="AJ192" s="273" t="s">
        <v>232</v>
      </c>
      <c r="AK192" s="273" t="s">
        <v>232</v>
      </c>
      <c r="AL192" s="273" t="s">
        <v>232</v>
      </c>
      <c r="AM192" s="273" t="s">
        <v>232</v>
      </c>
      <c r="AN192" s="273" t="str">
        <f t="shared" si="303"/>
        <v>na</v>
      </c>
      <c r="AO192" s="273" t="str">
        <f t="shared" si="263"/>
        <v>na</v>
      </c>
      <c r="AP192" s="273" t="str">
        <f t="shared" si="264"/>
        <v>na</v>
      </c>
      <c r="AQ192" s="273" t="str">
        <f t="shared" si="265"/>
        <v>na</v>
      </c>
      <c r="AR192" s="1789" t="str">
        <f t="shared" si="304"/>
        <v>na</v>
      </c>
      <c r="AS192" s="1051"/>
      <c r="AU192" s="1332" t="str">
        <f t="shared" si="291"/>
        <v/>
      </c>
      <c r="AV192" s="1114" t="str">
        <f t="shared" si="292"/>
        <v/>
      </c>
      <c r="AW192" s="1114" t="str">
        <f t="shared" si="293"/>
        <v/>
      </c>
      <c r="AX192" s="1114" t="str">
        <f t="shared" si="294"/>
        <v/>
      </c>
      <c r="AY192" s="1113" t="str">
        <f t="shared" si="295"/>
        <v/>
      </c>
      <c r="AZ192" s="1114" t="str">
        <f t="shared" si="296"/>
        <v/>
      </c>
      <c r="BA192" s="1114" t="str">
        <f t="shared" si="297"/>
        <v/>
      </c>
      <c r="BB192" s="1704" t="str">
        <f t="shared" si="298"/>
        <v/>
      </c>
      <c r="BC192" s="1113" t="str">
        <f t="shared" si="299"/>
        <v/>
      </c>
      <c r="BD192" s="1114" t="str">
        <f t="shared" si="300"/>
        <v/>
      </c>
      <c r="BE192" s="1114" t="str">
        <f t="shared" si="301"/>
        <v/>
      </c>
      <c r="BF192" s="1114" t="str">
        <f t="shared" si="302"/>
        <v/>
      </c>
      <c r="BG192" s="1114" t="str">
        <f t="shared" si="279"/>
        <v/>
      </c>
      <c r="BH192" s="1114" t="str">
        <f t="shared" si="280"/>
        <v/>
      </c>
      <c r="BI192" s="1114" t="str">
        <f t="shared" si="281"/>
        <v/>
      </c>
      <c r="BJ192" s="1115" t="str">
        <f t="shared" si="282"/>
        <v/>
      </c>
      <c r="BL192" s="1885"/>
    </row>
    <row r="193" spans="1:64" ht="13.9" customHeight="1" x14ac:dyDescent="0.25">
      <c r="A193" s="1916">
        <f>Chem!A193</f>
        <v>191</v>
      </c>
      <c r="B193" s="1880" t="str">
        <f>Chem!B193</f>
        <v>Ethylene oxide</v>
      </c>
      <c r="C193" s="394" t="str">
        <f>Param!AK193</f>
        <v>no</v>
      </c>
      <c r="D193" s="317" t="str">
        <f>IF(ISNUMBER(Param!AN193),Param!AN193,Param!AM193)</f>
        <v>na</v>
      </c>
      <c r="E193" s="273" t="s">
        <v>232</v>
      </c>
      <c r="F193" s="643" t="s">
        <v>232</v>
      </c>
      <c r="G193" s="550" t="s">
        <v>232</v>
      </c>
      <c r="H193" s="550" t="s">
        <v>232</v>
      </c>
      <c r="I193" s="273" t="s">
        <v>232</v>
      </c>
      <c r="J193" s="273" t="s">
        <v>232</v>
      </c>
      <c r="K193" s="219" t="str">
        <f>IF(C193="YES",'SD-Eq'!V193,"na")</f>
        <v>na</v>
      </c>
      <c r="L193" s="273" t="str">
        <f>IF(C193="YES",'SD-Eq'!Z193,"na")</f>
        <v>na</v>
      </c>
      <c r="M193" s="435" t="str">
        <f t="shared" si="255"/>
        <v>na</v>
      </c>
      <c r="N193" s="273" t="str">
        <f t="shared" si="256"/>
        <v>na</v>
      </c>
      <c r="O193" s="1794" t="str">
        <f t="shared" si="288"/>
        <v>na</v>
      </c>
      <c r="P193" s="1789" t="str">
        <f t="shared" si="289"/>
        <v>na</v>
      </c>
      <c r="Q193" s="418" t="s">
        <v>232</v>
      </c>
      <c r="R193" s="418" t="s">
        <v>232</v>
      </c>
      <c r="S193" s="418" t="s">
        <v>232</v>
      </c>
      <c r="T193" s="418" t="s">
        <v>232</v>
      </c>
      <c r="U193" s="418" t="s">
        <v>232</v>
      </c>
      <c r="V193" s="418" t="s">
        <v>232</v>
      </c>
      <c r="W193" s="418" t="str">
        <f t="shared" si="290"/>
        <v>na</v>
      </c>
      <c r="X193" s="418" t="s">
        <v>232</v>
      </c>
      <c r="Y193" s="1884" t="str">
        <f t="shared" si="260"/>
        <v>na</v>
      </c>
      <c r="Z193" s="1884" t="str">
        <f t="shared" si="261"/>
        <v>na</v>
      </c>
      <c r="AA193" s="1789" t="s">
        <v>232</v>
      </c>
      <c r="AB193" s="1789" t="s">
        <v>232</v>
      </c>
      <c r="AC193" s="273" t="s">
        <v>232</v>
      </c>
      <c r="AD193" s="273" t="s">
        <v>232</v>
      </c>
      <c r="AE193" s="273" t="s">
        <v>232</v>
      </c>
      <c r="AF193" s="273" t="s">
        <v>232</v>
      </c>
      <c r="AG193" s="273" t="s">
        <v>232</v>
      </c>
      <c r="AH193" s="273" t="s">
        <v>232</v>
      </c>
      <c r="AI193" s="273" t="s">
        <v>232</v>
      </c>
      <c r="AJ193" s="273" t="s">
        <v>232</v>
      </c>
      <c r="AK193" s="273" t="s">
        <v>232</v>
      </c>
      <c r="AL193" s="273" t="s">
        <v>232</v>
      </c>
      <c r="AM193" s="273" t="s">
        <v>232</v>
      </c>
      <c r="AN193" s="273" t="str">
        <f t="shared" si="303"/>
        <v>na</v>
      </c>
      <c r="AO193" s="273" t="str">
        <f t="shared" si="263"/>
        <v>na</v>
      </c>
      <c r="AP193" s="273" t="str">
        <f t="shared" si="264"/>
        <v>na</v>
      </c>
      <c r="AQ193" s="273" t="str">
        <f t="shared" si="265"/>
        <v>na</v>
      </c>
      <c r="AR193" s="1789" t="str">
        <f t="shared" si="304"/>
        <v>na</v>
      </c>
      <c r="AS193" s="1051"/>
      <c r="AU193" s="1332" t="str">
        <f t="shared" si="291"/>
        <v/>
      </c>
      <c r="AV193" s="1114" t="str">
        <f t="shared" si="292"/>
        <v/>
      </c>
      <c r="AW193" s="1114" t="str">
        <f t="shared" si="293"/>
        <v/>
      </c>
      <c r="AX193" s="1114" t="str">
        <f t="shared" si="294"/>
        <v/>
      </c>
      <c r="AY193" s="1113" t="str">
        <f t="shared" si="295"/>
        <v/>
      </c>
      <c r="AZ193" s="1114" t="str">
        <f t="shared" si="296"/>
        <v/>
      </c>
      <c r="BA193" s="1114" t="str">
        <f t="shared" si="297"/>
        <v/>
      </c>
      <c r="BB193" s="1704" t="str">
        <f t="shared" si="298"/>
        <v/>
      </c>
      <c r="BC193" s="1113" t="str">
        <f t="shared" si="299"/>
        <v/>
      </c>
      <c r="BD193" s="1114" t="str">
        <f t="shared" si="300"/>
        <v/>
      </c>
      <c r="BE193" s="1114" t="str">
        <f t="shared" si="301"/>
        <v/>
      </c>
      <c r="BF193" s="1114" t="str">
        <f t="shared" si="302"/>
        <v/>
      </c>
      <c r="BG193" s="1114" t="str">
        <f t="shared" si="279"/>
        <v/>
      </c>
      <c r="BH193" s="1114" t="str">
        <f t="shared" si="280"/>
        <v/>
      </c>
      <c r="BI193" s="1114" t="str">
        <f t="shared" si="281"/>
        <v/>
      </c>
      <c r="BJ193" s="1115" t="str">
        <f t="shared" si="282"/>
        <v/>
      </c>
      <c r="BL193" s="1885"/>
    </row>
    <row r="194" spans="1:64" ht="13.9" customHeight="1" x14ac:dyDescent="0.25">
      <c r="A194" s="1916">
        <f>Chem!A194</f>
        <v>192</v>
      </c>
      <c r="B194" s="1880" t="str">
        <f>Chem!B194</f>
        <v>Ethyl ether</v>
      </c>
      <c r="C194" s="394" t="str">
        <f>Param!AK194</f>
        <v>no</v>
      </c>
      <c r="D194" s="317" t="str">
        <f>IF(ISNUMBER(Param!AN194),Param!AN194,Param!AM194)</f>
        <v>na</v>
      </c>
      <c r="E194" s="273" t="s">
        <v>232</v>
      </c>
      <c r="F194" s="643" t="s">
        <v>232</v>
      </c>
      <c r="G194" s="550" t="s">
        <v>232</v>
      </c>
      <c r="H194" s="550" t="s">
        <v>232</v>
      </c>
      <c r="I194" s="273" t="s">
        <v>232</v>
      </c>
      <c r="J194" s="273" t="s">
        <v>232</v>
      </c>
      <c r="K194" s="219" t="str">
        <f>IF(C194="YES",'SD-Eq'!V194,"na")</f>
        <v>na</v>
      </c>
      <c r="L194" s="273" t="str">
        <f>IF(C194="YES",'SD-Eq'!Z194,"na")</f>
        <v>na</v>
      </c>
      <c r="M194" s="435" t="str">
        <f t="shared" si="255"/>
        <v>na</v>
      </c>
      <c r="N194" s="273" t="str">
        <f t="shared" si="256"/>
        <v>na</v>
      </c>
      <c r="O194" s="1794" t="str">
        <f t="shared" si="288"/>
        <v>na</v>
      </c>
      <c r="P194" s="1789" t="str">
        <f t="shared" si="289"/>
        <v>na</v>
      </c>
      <c r="Q194" s="418" t="s">
        <v>232</v>
      </c>
      <c r="R194" s="418" t="s">
        <v>232</v>
      </c>
      <c r="S194" s="418" t="s">
        <v>232</v>
      </c>
      <c r="T194" s="418" t="s">
        <v>232</v>
      </c>
      <c r="U194" s="418" t="s">
        <v>232</v>
      </c>
      <c r="V194" s="418" t="s">
        <v>232</v>
      </c>
      <c r="W194" s="418" t="str">
        <f t="shared" si="290"/>
        <v>na</v>
      </c>
      <c r="X194" s="418" t="s">
        <v>232</v>
      </c>
      <c r="Y194" s="1884" t="str">
        <f t="shared" si="260"/>
        <v>na</v>
      </c>
      <c r="Z194" s="1884" t="str">
        <f t="shared" si="261"/>
        <v>na</v>
      </c>
      <c r="AA194" s="1789" t="s">
        <v>232</v>
      </c>
      <c r="AB194" s="1789" t="s">
        <v>232</v>
      </c>
      <c r="AC194" s="273" t="s">
        <v>232</v>
      </c>
      <c r="AD194" s="273" t="s">
        <v>232</v>
      </c>
      <c r="AE194" s="273" t="s">
        <v>232</v>
      </c>
      <c r="AF194" s="273" t="s">
        <v>232</v>
      </c>
      <c r="AG194" s="273" t="s">
        <v>232</v>
      </c>
      <c r="AH194" s="273" t="s">
        <v>232</v>
      </c>
      <c r="AI194" s="273" t="s">
        <v>232</v>
      </c>
      <c r="AJ194" s="273" t="s">
        <v>232</v>
      </c>
      <c r="AK194" s="273" t="s">
        <v>232</v>
      </c>
      <c r="AL194" s="273" t="s">
        <v>232</v>
      </c>
      <c r="AM194" s="273" t="s">
        <v>232</v>
      </c>
      <c r="AN194" s="273" t="str">
        <f t="shared" si="303"/>
        <v>na</v>
      </c>
      <c r="AO194" s="273" t="str">
        <f t="shared" si="263"/>
        <v>na</v>
      </c>
      <c r="AP194" s="273" t="str">
        <f t="shared" si="264"/>
        <v>na</v>
      </c>
      <c r="AQ194" s="273" t="str">
        <f t="shared" si="265"/>
        <v>na</v>
      </c>
      <c r="AR194" s="1789" t="str">
        <f t="shared" si="304"/>
        <v>na</v>
      </c>
      <c r="AS194" s="1051"/>
      <c r="AU194" s="1332" t="str">
        <f t="shared" si="291"/>
        <v/>
      </c>
      <c r="AV194" s="1114" t="str">
        <f t="shared" si="292"/>
        <v/>
      </c>
      <c r="AW194" s="1114" t="str">
        <f t="shared" si="293"/>
        <v/>
      </c>
      <c r="AX194" s="1114" t="str">
        <f t="shared" si="294"/>
        <v/>
      </c>
      <c r="AY194" s="1113" t="str">
        <f t="shared" si="295"/>
        <v/>
      </c>
      <c r="AZ194" s="1114" t="str">
        <f t="shared" si="296"/>
        <v/>
      </c>
      <c r="BA194" s="1114" t="str">
        <f t="shared" si="297"/>
        <v/>
      </c>
      <c r="BB194" s="1704" t="str">
        <f t="shared" si="298"/>
        <v/>
      </c>
      <c r="BC194" s="1113" t="str">
        <f t="shared" si="299"/>
        <v/>
      </c>
      <c r="BD194" s="1114" t="str">
        <f t="shared" si="300"/>
        <v/>
      </c>
      <c r="BE194" s="1114" t="str">
        <f t="shared" si="301"/>
        <v/>
      </c>
      <c r="BF194" s="1114" t="str">
        <f t="shared" si="302"/>
        <v/>
      </c>
      <c r="BG194" s="1114" t="str">
        <f t="shared" si="279"/>
        <v/>
      </c>
      <c r="BH194" s="1114" t="str">
        <f t="shared" si="280"/>
        <v/>
      </c>
      <c r="BI194" s="1114" t="str">
        <f t="shared" si="281"/>
        <v/>
      </c>
      <c r="BJ194" s="1115" t="str">
        <f t="shared" si="282"/>
        <v/>
      </c>
      <c r="BL194" s="1885"/>
    </row>
    <row r="195" spans="1:64" ht="13.9" customHeight="1" x14ac:dyDescent="0.25">
      <c r="A195" s="1916">
        <f>Chem!A195</f>
        <v>193</v>
      </c>
      <c r="B195" s="1880" t="str">
        <f>Chem!B195</f>
        <v>Ethylene dibromide (EDB)</v>
      </c>
      <c r="C195" s="394" t="str">
        <f>Param!AK195</f>
        <v>no</v>
      </c>
      <c r="D195" s="317" t="str">
        <f>IF(ISNUMBER(Param!AN195),Param!AN195,Param!AM195)</f>
        <v>na</v>
      </c>
      <c r="E195" s="273" t="s">
        <v>232</v>
      </c>
      <c r="F195" s="643" t="s">
        <v>232</v>
      </c>
      <c r="G195" s="550" t="s">
        <v>232</v>
      </c>
      <c r="H195" s="550" t="s">
        <v>232</v>
      </c>
      <c r="I195" s="273" t="s">
        <v>232</v>
      </c>
      <c r="J195" s="273" t="s">
        <v>232</v>
      </c>
      <c r="K195" s="219" t="str">
        <f>IF(C195="YES",'SD-Eq'!V195,"na")</f>
        <v>na</v>
      </c>
      <c r="L195" s="273" t="str">
        <f>IF(C195="YES",'SD-Eq'!Z195,"na")</f>
        <v>na</v>
      </c>
      <c r="M195" s="435" t="str">
        <f t="shared" si="255"/>
        <v>na</v>
      </c>
      <c r="N195" s="273" t="str">
        <f t="shared" si="256"/>
        <v>na</v>
      </c>
      <c r="O195" s="1794" t="str">
        <f t="shared" si="288"/>
        <v>na</v>
      </c>
      <c r="P195" s="1789" t="str">
        <f t="shared" si="289"/>
        <v>na</v>
      </c>
      <c r="Q195" s="418" t="s">
        <v>232</v>
      </c>
      <c r="R195" s="418" t="s">
        <v>232</v>
      </c>
      <c r="S195" s="418" t="s">
        <v>232</v>
      </c>
      <c r="T195" s="418" t="s">
        <v>232</v>
      </c>
      <c r="U195" s="418" t="s">
        <v>232</v>
      </c>
      <c r="V195" s="418" t="s">
        <v>232</v>
      </c>
      <c r="W195" s="418" t="str">
        <f t="shared" si="290"/>
        <v>na</v>
      </c>
      <c r="X195" s="418" t="s">
        <v>232</v>
      </c>
      <c r="Y195" s="1884" t="str">
        <f t="shared" si="260"/>
        <v>na</v>
      </c>
      <c r="Z195" s="1884" t="str">
        <f t="shared" si="261"/>
        <v>na</v>
      </c>
      <c r="AA195" s="1789" t="s">
        <v>232</v>
      </c>
      <c r="AB195" s="1789" t="s">
        <v>232</v>
      </c>
      <c r="AC195" s="273" t="s">
        <v>232</v>
      </c>
      <c r="AD195" s="273" t="s">
        <v>232</v>
      </c>
      <c r="AE195" s="273" t="s">
        <v>232</v>
      </c>
      <c r="AF195" s="273" t="s">
        <v>232</v>
      </c>
      <c r="AG195" s="273" t="s">
        <v>232</v>
      </c>
      <c r="AH195" s="273" t="s">
        <v>232</v>
      </c>
      <c r="AI195" s="273" t="s">
        <v>232</v>
      </c>
      <c r="AJ195" s="273" t="s">
        <v>232</v>
      </c>
      <c r="AK195" s="273" t="s">
        <v>232</v>
      </c>
      <c r="AL195" s="273" t="s">
        <v>232</v>
      </c>
      <c r="AM195" s="273" t="s">
        <v>232</v>
      </c>
      <c r="AN195" s="273" t="str">
        <f t="shared" si="303"/>
        <v>na</v>
      </c>
      <c r="AO195" s="273" t="str">
        <f t="shared" si="263"/>
        <v>na</v>
      </c>
      <c r="AP195" s="273" t="str">
        <f t="shared" si="264"/>
        <v>na</v>
      </c>
      <c r="AQ195" s="273" t="str">
        <f t="shared" si="265"/>
        <v>na</v>
      </c>
      <c r="AR195" s="1789" t="str">
        <f t="shared" si="304"/>
        <v>na</v>
      </c>
      <c r="AS195" s="1051"/>
      <c r="AU195" s="1332" t="str">
        <f t="shared" si="291"/>
        <v/>
      </c>
      <c r="AV195" s="1114" t="str">
        <f t="shared" si="292"/>
        <v/>
      </c>
      <c r="AW195" s="1114" t="str">
        <f t="shared" si="293"/>
        <v/>
      </c>
      <c r="AX195" s="1114" t="str">
        <f t="shared" si="294"/>
        <v/>
      </c>
      <c r="AY195" s="1113" t="str">
        <f t="shared" si="295"/>
        <v/>
      </c>
      <c r="AZ195" s="1114" t="str">
        <f t="shared" si="296"/>
        <v/>
      </c>
      <c r="BA195" s="1114" t="str">
        <f t="shared" si="297"/>
        <v/>
      </c>
      <c r="BB195" s="1704" t="str">
        <f t="shared" si="298"/>
        <v/>
      </c>
      <c r="BC195" s="1113" t="str">
        <f t="shared" si="299"/>
        <v/>
      </c>
      <c r="BD195" s="1114" t="str">
        <f t="shared" si="300"/>
        <v/>
      </c>
      <c r="BE195" s="1114" t="str">
        <f t="shared" si="301"/>
        <v/>
      </c>
      <c r="BF195" s="1114" t="str">
        <f t="shared" si="302"/>
        <v/>
      </c>
      <c r="BG195" s="1114" t="str">
        <f t="shared" si="279"/>
        <v/>
      </c>
      <c r="BH195" s="1114" t="str">
        <f t="shared" si="280"/>
        <v/>
      </c>
      <c r="BI195" s="1114" t="str">
        <f t="shared" si="281"/>
        <v/>
      </c>
      <c r="BJ195" s="1115" t="str">
        <f t="shared" si="282"/>
        <v/>
      </c>
      <c r="BL195" s="1885"/>
    </row>
    <row r="196" spans="1:64" ht="13.9" customHeight="1" x14ac:dyDescent="0.25">
      <c r="A196" s="1916">
        <f>Chem!A196</f>
        <v>194</v>
      </c>
      <c r="B196" s="1880" t="str">
        <f>Chem!B196</f>
        <v>Formaldehyde</v>
      </c>
      <c r="C196" s="394" t="str">
        <f>Param!AK196</f>
        <v>no</v>
      </c>
      <c r="D196" s="317" t="str">
        <f>IF(ISNUMBER(Param!AN196),Param!AN196,Param!AM196)</f>
        <v>na</v>
      </c>
      <c r="E196" s="273" t="s">
        <v>232</v>
      </c>
      <c r="F196" s="643" t="s">
        <v>232</v>
      </c>
      <c r="G196" s="550" t="s">
        <v>232</v>
      </c>
      <c r="H196" s="550" t="s">
        <v>232</v>
      </c>
      <c r="I196" s="273" t="s">
        <v>232</v>
      </c>
      <c r="J196" s="273" t="s">
        <v>232</v>
      </c>
      <c r="K196" s="219" t="str">
        <f>IF(C196="YES",'SD-Eq'!V196,"na")</f>
        <v>na</v>
      </c>
      <c r="L196" s="273" t="str">
        <f>IF(C196="YES",'SD-Eq'!Z196,"na")</f>
        <v>na</v>
      </c>
      <c r="M196" s="435" t="str">
        <f t="shared" si="255"/>
        <v>na</v>
      </c>
      <c r="N196" s="273" t="str">
        <f t="shared" si="256"/>
        <v>na</v>
      </c>
      <c r="O196" s="1794" t="str">
        <f t="shared" si="288"/>
        <v>na</v>
      </c>
      <c r="P196" s="1789" t="str">
        <f t="shared" si="289"/>
        <v>na</v>
      </c>
      <c r="Q196" s="418" t="s">
        <v>232</v>
      </c>
      <c r="R196" s="418" t="s">
        <v>232</v>
      </c>
      <c r="S196" s="418" t="s">
        <v>232</v>
      </c>
      <c r="T196" s="418" t="s">
        <v>232</v>
      </c>
      <c r="U196" s="418" t="s">
        <v>232</v>
      </c>
      <c r="V196" s="418" t="s">
        <v>232</v>
      </c>
      <c r="W196" s="418" t="str">
        <f t="shared" si="290"/>
        <v>na</v>
      </c>
      <c r="X196" s="418" t="s">
        <v>232</v>
      </c>
      <c r="Y196" s="1884" t="str">
        <f t="shared" si="260"/>
        <v>na</v>
      </c>
      <c r="Z196" s="1884" t="str">
        <f t="shared" si="261"/>
        <v>na</v>
      </c>
      <c r="AA196" s="1789" t="s">
        <v>232</v>
      </c>
      <c r="AB196" s="1789" t="s">
        <v>232</v>
      </c>
      <c r="AC196" s="273" t="s">
        <v>232</v>
      </c>
      <c r="AD196" s="273" t="s">
        <v>232</v>
      </c>
      <c r="AE196" s="273" t="s">
        <v>232</v>
      </c>
      <c r="AF196" s="273" t="s">
        <v>232</v>
      </c>
      <c r="AG196" s="273" t="s">
        <v>232</v>
      </c>
      <c r="AH196" s="273" t="s">
        <v>232</v>
      </c>
      <c r="AI196" s="273" t="s">
        <v>232</v>
      </c>
      <c r="AJ196" s="273" t="s">
        <v>232</v>
      </c>
      <c r="AK196" s="273" t="s">
        <v>232</v>
      </c>
      <c r="AL196" s="273" t="s">
        <v>232</v>
      </c>
      <c r="AM196" s="273" t="s">
        <v>232</v>
      </c>
      <c r="AN196" s="273" t="str">
        <f t="shared" ref="AN196" si="310">IF(MIN(AA196,AB196)=0,"na",MIN(AA196,AB196))</f>
        <v>na</v>
      </c>
      <c r="AO196" s="273" t="str">
        <f t="shared" ref="AO196" si="311">IF(MIN(AC196:AF196)=0,"na",MIN(AC196:AF196))</f>
        <v>na</v>
      </c>
      <c r="AP196" s="273" t="str">
        <f t="shared" ref="AP196" si="312">IF(MIN(AG196,AH196)=0,"na",MIN(AG196,AH196))</f>
        <v>na</v>
      </c>
      <c r="AQ196" s="273" t="str">
        <f t="shared" ref="AQ196" si="313">IF(MIN(AI196:AL196)=0,"na",MIN(AI196:AL196))</f>
        <v>na</v>
      </c>
      <c r="AR196" s="1789" t="str">
        <f t="shared" ref="AR196" si="314">IF(MIN(AA196:AM196)=0,"na",MIN(AA196:AM196))</f>
        <v>na</v>
      </c>
      <c r="AS196" s="1051"/>
      <c r="AU196" s="1332" t="str">
        <f t="shared" si="291"/>
        <v/>
      </c>
      <c r="AV196" s="1114" t="str">
        <f t="shared" si="292"/>
        <v/>
      </c>
      <c r="AW196" s="1114" t="str">
        <f t="shared" si="293"/>
        <v/>
      </c>
      <c r="AX196" s="1114" t="str">
        <f t="shared" si="294"/>
        <v/>
      </c>
      <c r="AY196" s="1113" t="str">
        <f t="shared" si="295"/>
        <v/>
      </c>
      <c r="AZ196" s="1114" t="str">
        <f t="shared" si="296"/>
        <v/>
      </c>
      <c r="BA196" s="1114" t="str">
        <f t="shared" si="297"/>
        <v/>
      </c>
      <c r="BB196" s="1704" t="str">
        <f t="shared" si="298"/>
        <v/>
      </c>
      <c r="BC196" s="1113" t="str">
        <f t="shared" si="299"/>
        <v/>
      </c>
      <c r="BD196" s="1114" t="str">
        <f t="shared" si="300"/>
        <v/>
      </c>
      <c r="BE196" s="1114" t="str">
        <f t="shared" si="301"/>
        <v/>
      </c>
      <c r="BF196" s="1114" t="str">
        <f t="shared" si="302"/>
        <v/>
      </c>
      <c r="BG196" s="1114" t="str">
        <f t="shared" si="279"/>
        <v/>
      </c>
      <c r="BH196" s="1114" t="str">
        <f t="shared" si="280"/>
        <v/>
      </c>
      <c r="BI196" s="1114" t="str">
        <f t="shared" si="281"/>
        <v/>
      </c>
      <c r="BJ196" s="1115" t="str">
        <f t="shared" si="282"/>
        <v/>
      </c>
      <c r="BL196" s="1885"/>
    </row>
    <row r="197" spans="1:64" ht="13.9" customHeight="1" x14ac:dyDescent="0.25">
      <c r="A197" s="1916">
        <f>Chem!A197</f>
        <v>195</v>
      </c>
      <c r="B197" s="1880" t="str">
        <f>Chem!B197</f>
        <v>n-Hexane</v>
      </c>
      <c r="C197" s="394" t="str">
        <f>Param!AK197</f>
        <v>no</v>
      </c>
      <c r="D197" s="317" t="str">
        <f>IF(ISNUMBER(Param!AN197),Param!AN197,Param!AM197)</f>
        <v>na</v>
      </c>
      <c r="E197" s="273" t="s">
        <v>232</v>
      </c>
      <c r="F197" s="643" t="s">
        <v>232</v>
      </c>
      <c r="G197" s="550" t="s">
        <v>232</v>
      </c>
      <c r="H197" s="550" t="s">
        <v>232</v>
      </c>
      <c r="I197" s="273" t="s">
        <v>232</v>
      </c>
      <c r="J197" s="273" t="s">
        <v>232</v>
      </c>
      <c r="K197" s="219" t="str">
        <f>IF(C197="YES",'SD-Eq'!V197,"na")</f>
        <v>na</v>
      </c>
      <c r="L197" s="273" t="str">
        <f>IF(C197="YES",'SD-Eq'!Z197,"na")</f>
        <v>na</v>
      </c>
      <c r="M197" s="435" t="str">
        <f t="shared" si="255"/>
        <v>na</v>
      </c>
      <c r="N197" s="273" t="str">
        <f t="shared" si="256"/>
        <v>na</v>
      </c>
      <c r="O197" s="1794" t="str">
        <f t="shared" si="288"/>
        <v>na</v>
      </c>
      <c r="P197" s="1789" t="str">
        <f t="shared" si="289"/>
        <v>na</v>
      </c>
      <c r="Q197" s="418" t="s">
        <v>232</v>
      </c>
      <c r="R197" s="418" t="s">
        <v>232</v>
      </c>
      <c r="S197" s="418" t="s">
        <v>232</v>
      </c>
      <c r="T197" s="418" t="s">
        <v>232</v>
      </c>
      <c r="U197" s="418" t="s">
        <v>232</v>
      </c>
      <c r="V197" s="418" t="s">
        <v>232</v>
      </c>
      <c r="W197" s="418" t="str">
        <f t="shared" si="290"/>
        <v>na</v>
      </c>
      <c r="X197" s="418" t="s">
        <v>232</v>
      </c>
      <c r="Y197" s="1884" t="str">
        <f t="shared" si="260"/>
        <v>na</v>
      </c>
      <c r="Z197" s="1884" t="str">
        <f t="shared" si="261"/>
        <v>na</v>
      </c>
      <c r="AA197" s="1789" t="s">
        <v>232</v>
      </c>
      <c r="AB197" s="1789" t="s">
        <v>232</v>
      </c>
      <c r="AC197" s="273" t="s">
        <v>232</v>
      </c>
      <c r="AD197" s="273" t="s">
        <v>232</v>
      </c>
      <c r="AE197" s="273" t="s">
        <v>232</v>
      </c>
      <c r="AF197" s="273" t="s">
        <v>232</v>
      </c>
      <c r="AG197" s="273" t="s">
        <v>232</v>
      </c>
      <c r="AH197" s="273" t="s">
        <v>232</v>
      </c>
      <c r="AI197" s="273" t="s">
        <v>232</v>
      </c>
      <c r="AJ197" s="273" t="s">
        <v>232</v>
      </c>
      <c r="AK197" s="273" t="s">
        <v>232</v>
      </c>
      <c r="AL197" s="273" t="s">
        <v>232</v>
      </c>
      <c r="AM197" s="273" t="s">
        <v>232</v>
      </c>
      <c r="AN197" s="273" t="str">
        <f t="shared" ref="AN197" si="315">IF(MIN(AA197,AB197)=0,"na",MIN(AA197,AB197))</f>
        <v>na</v>
      </c>
      <c r="AO197" s="273" t="str">
        <f t="shared" ref="AO197" si="316">IF(MIN(AC197:AF197)=0,"na",MIN(AC197:AF197))</f>
        <v>na</v>
      </c>
      <c r="AP197" s="273" t="str">
        <f t="shared" ref="AP197" si="317">IF(MIN(AG197,AH197)=0,"na",MIN(AG197,AH197))</f>
        <v>na</v>
      </c>
      <c r="AQ197" s="273" t="str">
        <f t="shared" ref="AQ197" si="318">IF(MIN(AI197:AL197)=0,"na",MIN(AI197:AL197))</f>
        <v>na</v>
      </c>
      <c r="AR197" s="1789" t="str">
        <f t="shared" ref="AR197" si="319">IF(MIN(AA197:AM197)=0,"na",MIN(AA197:AM197))</f>
        <v>na</v>
      </c>
      <c r="AS197" s="1051"/>
      <c r="AU197" s="1332" t="str">
        <f t="shared" si="291"/>
        <v/>
      </c>
      <c r="AV197" s="1114" t="str">
        <f t="shared" si="292"/>
        <v/>
      </c>
      <c r="AW197" s="1114" t="str">
        <f t="shared" si="293"/>
        <v/>
      </c>
      <c r="AX197" s="1114" t="str">
        <f t="shared" si="294"/>
        <v/>
      </c>
      <c r="AY197" s="1113" t="str">
        <f t="shared" si="295"/>
        <v/>
      </c>
      <c r="AZ197" s="1114" t="str">
        <f t="shared" si="296"/>
        <v/>
      </c>
      <c r="BA197" s="1114" t="str">
        <f t="shared" si="297"/>
        <v/>
      </c>
      <c r="BB197" s="1704" t="str">
        <f t="shared" si="298"/>
        <v/>
      </c>
      <c r="BC197" s="1113" t="str">
        <f t="shared" si="299"/>
        <v/>
      </c>
      <c r="BD197" s="1114" t="str">
        <f t="shared" si="300"/>
        <v/>
      </c>
      <c r="BE197" s="1114" t="str">
        <f t="shared" si="301"/>
        <v/>
      </c>
      <c r="BF197" s="1114" t="str">
        <f t="shared" si="302"/>
        <v/>
      </c>
      <c r="BG197" s="1114" t="str">
        <f t="shared" si="279"/>
        <v/>
      </c>
      <c r="BH197" s="1114" t="str">
        <f t="shared" si="280"/>
        <v/>
      </c>
      <c r="BI197" s="1114" t="str">
        <f t="shared" si="281"/>
        <v/>
      </c>
      <c r="BJ197" s="1115" t="str">
        <f t="shared" si="282"/>
        <v/>
      </c>
      <c r="BL197" s="1885"/>
    </row>
    <row r="198" spans="1:64" ht="13.9" customHeight="1" x14ac:dyDescent="0.25">
      <c r="A198" s="1916">
        <f>Chem!A198</f>
        <v>196</v>
      </c>
      <c r="B198" s="1880" t="str">
        <f>Chem!B198</f>
        <v>2-Hexanone</v>
      </c>
      <c r="C198" s="394" t="str">
        <f>Param!AK198</f>
        <v>no</v>
      </c>
      <c r="D198" s="317" t="str">
        <f>IF(ISNUMBER(Param!AN198),Param!AN198,Param!AM198)</f>
        <v>na</v>
      </c>
      <c r="E198" s="273" t="s">
        <v>232</v>
      </c>
      <c r="F198" s="643" t="s">
        <v>232</v>
      </c>
      <c r="G198" s="550" t="s">
        <v>232</v>
      </c>
      <c r="H198" s="550" t="s">
        <v>232</v>
      </c>
      <c r="I198" s="273" t="s">
        <v>232</v>
      </c>
      <c r="J198" s="273" t="s">
        <v>232</v>
      </c>
      <c r="K198" s="219" t="str">
        <f>IF(C198="YES",'SD-Eq'!V198,"na")</f>
        <v>na</v>
      </c>
      <c r="L198" s="273" t="str">
        <f>IF(C198="YES",'SD-Eq'!Z198,"na")</f>
        <v>na</v>
      </c>
      <c r="M198" s="435" t="str">
        <f t="shared" si="255"/>
        <v>na</v>
      </c>
      <c r="N198" s="273" t="str">
        <f t="shared" si="256"/>
        <v>na</v>
      </c>
      <c r="O198" s="1794" t="str">
        <f t="shared" si="288"/>
        <v>na</v>
      </c>
      <c r="P198" s="1789" t="str">
        <f t="shared" si="289"/>
        <v>na</v>
      </c>
      <c r="Q198" s="418" t="s">
        <v>232</v>
      </c>
      <c r="R198" s="418" t="s">
        <v>232</v>
      </c>
      <c r="S198" s="418" t="s">
        <v>232</v>
      </c>
      <c r="T198" s="418" t="s">
        <v>232</v>
      </c>
      <c r="U198" s="418" t="s">
        <v>232</v>
      </c>
      <c r="V198" s="418" t="s">
        <v>232</v>
      </c>
      <c r="W198" s="418" t="str">
        <f t="shared" si="290"/>
        <v>na</v>
      </c>
      <c r="X198" s="418" t="s">
        <v>232</v>
      </c>
      <c r="Y198" s="1884" t="str">
        <f t="shared" si="260"/>
        <v>na</v>
      </c>
      <c r="Z198" s="1884" t="str">
        <f t="shared" si="261"/>
        <v>na</v>
      </c>
      <c r="AA198" s="1789" t="s">
        <v>232</v>
      </c>
      <c r="AB198" s="1789" t="s">
        <v>232</v>
      </c>
      <c r="AC198" s="273" t="s">
        <v>232</v>
      </c>
      <c r="AD198" s="273" t="s">
        <v>232</v>
      </c>
      <c r="AE198" s="273" t="s">
        <v>232</v>
      </c>
      <c r="AF198" s="273" t="s">
        <v>232</v>
      </c>
      <c r="AG198" s="273" t="s">
        <v>232</v>
      </c>
      <c r="AH198" s="273" t="s">
        <v>232</v>
      </c>
      <c r="AI198" s="273" t="s">
        <v>232</v>
      </c>
      <c r="AJ198" s="273" t="s">
        <v>232</v>
      </c>
      <c r="AK198" s="273" t="s">
        <v>232</v>
      </c>
      <c r="AL198" s="273" t="s">
        <v>232</v>
      </c>
      <c r="AM198" s="273" t="s">
        <v>232</v>
      </c>
      <c r="AN198" s="273" t="str">
        <f t="shared" si="303"/>
        <v>na</v>
      </c>
      <c r="AO198" s="273" t="str">
        <f t="shared" si="263"/>
        <v>na</v>
      </c>
      <c r="AP198" s="273" t="str">
        <f t="shared" si="264"/>
        <v>na</v>
      </c>
      <c r="AQ198" s="273" t="str">
        <f t="shared" si="265"/>
        <v>na</v>
      </c>
      <c r="AR198" s="1789" t="str">
        <f t="shared" si="304"/>
        <v>na</v>
      </c>
      <c r="AS198" s="1051"/>
      <c r="AU198" s="1332" t="str">
        <f t="shared" si="291"/>
        <v/>
      </c>
      <c r="AV198" s="1114" t="str">
        <f t="shared" si="292"/>
        <v/>
      </c>
      <c r="AW198" s="1114" t="str">
        <f t="shared" si="293"/>
        <v/>
      </c>
      <c r="AX198" s="1114" t="str">
        <f t="shared" si="294"/>
        <v/>
      </c>
      <c r="AY198" s="1113" t="str">
        <f t="shared" si="295"/>
        <v/>
      </c>
      <c r="AZ198" s="1114" t="str">
        <f t="shared" si="296"/>
        <v/>
      </c>
      <c r="BA198" s="1114" t="str">
        <f t="shared" si="297"/>
        <v/>
      </c>
      <c r="BB198" s="1704" t="str">
        <f t="shared" si="298"/>
        <v/>
      </c>
      <c r="BC198" s="1113" t="str">
        <f t="shared" si="299"/>
        <v/>
      </c>
      <c r="BD198" s="1114" t="str">
        <f t="shared" si="300"/>
        <v/>
      </c>
      <c r="BE198" s="1114" t="str">
        <f t="shared" si="301"/>
        <v/>
      </c>
      <c r="BF198" s="1114" t="str">
        <f t="shared" si="302"/>
        <v/>
      </c>
      <c r="BG198" s="1114" t="str">
        <f t="shared" si="279"/>
        <v/>
      </c>
      <c r="BH198" s="1114" t="str">
        <f t="shared" si="280"/>
        <v/>
      </c>
      <c r="BI198" s="1114" t="str">
        <f t="shared" si="281"/>
        <v/>
      </c>
      <c r="BJ198" s="1115" t="str">
        <f t="shared" si="282"/>
        <v/>
      </c>
      <c r="BL198" s="1885"/>
    </row>
    <row r="199" spans="1:64" ht="13.9" customHeight="1" x14ac:dyDescent="0.25">
      <c r="A199" s="1916">
        <f>Chem!A199</f>
        <v>197</v>
      </c>
      <c r="B199" s="1880" t="str">
        <f>Chem!B199</f>
        <v>Isopropylbenzene (cumene)</v>
      </c>
      <c r="C199" s="394" t="str">
        <f>Param!AK199</f>
        <v>no</v>
      </c>
      <c r="D199" s="317" t="str">
        <f>IF(ISNUMBER(Param!AN199),Param!AN199,Param!AM199)</f>
        <v>na</v>
      </c>
      <c r="E199" s="273" t="s">
        <v>232</v>
      </c>
      <c r="F199" s="643" t="s">
        <v>232</v>
      </c>
      <c r="G199" s="550" t="s">
        <v>232</v>
      </c>
      <c r="H199" s="550" t="s">
        <v>232</v>
      </c>
      <c r="I199" s="273" t="s">
        <v>232</v>
      </c>
      <c r="J199" s="273" t="s">
        <v>232</v>
      </c>
      <c r="K199" s="219" t="str">
        <f>IF(C199="YES",'SD-Eq'!V199,"na")</f>
        <v>na</v>
      </c>
      <c r="L199" s="273" t="str">
        <f>IF(C199="YES",'SD-Eq'!Z199,"na")</f>
        <v>na</v>
      </c>
      <c r="M199" s="435" t="str">
        <f t="shared" si="255"/>
        <v>na</v>
      </c>
      <c r="N199" s="273" t="str">
        <f t="shared" si="256"/>
        <v>na</v>
      </c>
      <c r="O199" s="1794" t="str">
        <f t="shared" si="288"/>
        <v>na</v>
      </c>
      <c r="P199" s="1789" t="str">
        <f t="shared" si="289"/>
        <v>na</v>
      </c>
      <c r="Q199" s="418" t="s">
        <v>232</v>
      </c>
      <c r="R199" s="418" t="s">
        <v>232</v>
      </c>
      <c r="S199" s="418" t="s">
        <v>232</v>
      </c>
      <c r="T199" s="418" t="s">
        <v>232</v>
      </c>
      <c r="U199" s="418" t="s">
        <v>232</v>
      </c>
      <c r="V199" s="418" t="s">
        <v>232</v>
      </c>
      <c r="W199" s="418" t="str">
        <f t="shared" si="290"/>
        <v>na</v>
      </c>
      <c r="X199" s="418" t="s">
        <v>232</v>
      </c>
      <c r="Y199" s="1884" t="str">
        <f t="shared" si="260"/>
        <v>na</v>
      </c>
      <c r="Z199" s="1884" t="str">
        <f t="shared" si="261"/>
        <v>na</v>
      </c>
      <c r="AA199" s="1789" t="s">
        <v>232</v>
      </c>
      <c r="AB199" s="1789" t="s">
        <v>232</v>
      </c>
      <c r="AC199" s="273" t="s">
        <v>232</v>
      </c>
      <c r="AD199" s="273" t="s">
        <v>232</v>
      </c>
      <c r="AE199" s="273" t="s">
        <v>232</v>
      </c>
      <c r="AF199" s="273" t="s">
        <v>232</v>
      </c>
      <c r="AG199" s="273" t="s">
        <v>232</v>
      </c>
      <c r="AH199" s="273" t="s">
        <v>232</v>
      </c>
      <c r="AI199" s="273" t="s">
        <v>232</v>
      </c>
      <c r="AJ199" s="273" t="s">
        <v>232</v>
      </c>
      <c r="AK199" s="273" t="s">
        <v>232</v>
      </c>
      <c r="AL199" s="273" t="s">
        <v>232</v>
      </c>
      <c r="AM199" s="273" t="s">
        <v>232</v>
      </c>
      <c r="AN199" s="273" t="str">
        <f t="shared" si="303"/>
        <v>na</v>
      </c>
      <c r="AO199" s="273" t="str">
        <f t="shared" si="263"/>
        <v>na</v>
      </c>
      <c r="AP199" s="273" t="str">
        <f t="shared" si="264"/>
        <v>na</v>
      </c>
      <c r="AQ199" s="273" t="str">
        <f t="shared" si="265"/>
        <v>na</v>
      </c>
      <c r="AR199" s="1789" t="str">
        <f t="shared" si="304"/>
        <v>na</v>
      </c>
      <c r="AS199" s="1051"/>
      <c r="AU199" s="1332" t="str">
        <f t="shared" si="291"/>
        <v/>
      </c>
      <c r="AV199" s="1114" t="str">
        <f t="shared" si="292"/>
        <v/>
      </c>
      <c r="AW199" s="1114" t="str">
        <f t="shared" si="293"/>
        <v/>
      </c>
      <c r="AX199" s="1114" t="str">
        <f t="shared" si="294"/>
        <v/>
      </c>
      <c r="AY199" s="1113" t="str">
        <f t="shared" si="295"/>
        <v/>
      </c>
      <c r="AZ199" s="1114" t="str">
        <f t="shared" si="296"/>
        <v/>
      </c>
      <c r="BA199" s="1114" t="str">
        <f t="shared" si="297"/>
        <v/>
      </c>
      <c r="BB199" s="1704" t="str">
        <f t="shared" si="298"/>
        <v/>
      </c>
      <c r="BC199" s="1113" t="str">
        <f t="shared" si="299"/>
        <v/>
      </c>
      <c r="BD199" s="1114" t="str">
        <f t="shared" si="300"/>
        <v/>
      </c>
      <c r="BE199" s="1114" t="str">
        <f t="shared" si="301"/>
        <v/>
      </c>
      <c r="BF199" s="1114" t="str">
        <f t="shared" si="302"/>
        <v/>
      </c>
      <c r="BG199" s="1114" t="str">
        <f t="shared" si="279"/>
        <v/>
      </c>
      <c r="BH199" s="1114" t="str">
        <f t="shared" si="280"/>
        <v/>
      </c>
      <c r="BI199" s="1114" t="str">
        <f t="shared" si="281"/>
        <v/>
      </c>
      <c r="BJ199" s="1115" t="str">
        <f t="shared" si="282"/>
        <v/>
      </c>
      <c r="BL199" s="1885"/>
    </row>
    <row r="200" spans="1:64" ht="13.9" customHeight="1" x14ac:dyDescent="0.25">
      <c r="A200" s="1916">
        <f>Chem!A200</f>
        <v>198</v>
      </c>
      <c r="B200" s="1880" t="str">
        <f>Chem!B200</f>
        <v>4-Isopropyltoluene (p-isopropyltoluene)</v>
      </c>
      <c r="C200" s="394" t="str">
        <f>Param!AK200</f>
        <v>no</v>
      </c>
      <c r="D200" s="317" t="str">
        <f>IF(ISNUMBER(Param!AN200),Param!AN200,Param!AM200)</f>
        <v>na</v>
      </c>
      <c r="E200" s="273" t="s">
        <v>232</v>
      </c>
      <c r="F200" s="643" t="s">
        <v>232</v>
      </c>
      <c r="G200" s="550" t="s">
        <v>232</v>
      </c>
      <c r="H200" s="550" t="s">
        <v>232</v>
      </c>
      <c r="I200" s="273" t="s">
        <v>232</v>
      </c>
      <c r="J200" s="273" t="s">
        <v>232</v>
      </c>
      <c r="K200" s="219" t="str">
        <f>IF(C200="YES",'SD-Eq'!V200,"na")</f>
        <v>na</v>
      </c>
      <c r="L200" s="273" t="str">
        <f>IF(C200="YES",'SD-Eq'!Z200,"na")</f>
        <v>na</v>
      </c>
      <c r="M200" s="435" t="str">
        <f t="shared" si="255"/>
        <v>na</v>
      </c>
      <c r="N200" s="273" t="str">
        <f t="shared" si="256"/>
        <v>na</v>
      </c>
      <c r="O200" s="1794" t="str">
        <f t="shared" si="288"/>
        <v>na</v>
      </c>
      <c r="P200" s="1789" t="str">
        <f t="shared" si="289"/>
        <v>na</v>
      </c>
      <c r="Q200" s="418" t="s">
        <v>232</v>
      </c>
      <c r="R200" s="418" t="s">
        <v>232</v>
      </c>
      <c r="S200" s="418" t="s">
        <v>232</v>
      </c>
      <c r="T200" s="418" t="s">
        <v>232</v>
      </c>
      <c r="U200" s="418" t="s">
        <v>232</v>
      </c>
      <c r="V200" s="418" t="s">
        <v>232</v>
      </c>
      <c r="W200" s="418" t="str">
        <f t="shared" si="290"/>
        <v>na</v>
      </c>
      <c r="X200" s="418" t="s">
        <v>232</v>
      </c>
      <c r="Y200" s="1884" t="str">
        <f t="shared" si="260"/>
        <v>na</v>
      </c>
      <c r="Z200" s="1884" t="str">
        <f t="shared" si="261"/>
        <v>na</v>
      </c>
      <c r="AA200" s="1789" t="s">
        <v>232</v>
      </c>
      <c r="AB200" s="1789" t="s">
        <v>232</v>
      </c>
      <c r="AC200" s="273" t="s">
        <v>232</v>
      </c>
      <c r="AD200" s="273" t="s">
        <v>232</v>
      </c>
      <c r="AE200" s="273" t="s">
        <v>232</v>
      </c>
      <c r="AF200" s="273" t="s">
        <v>232</v>
      </c>
      <c r="AG200" s="273" t="s">
        <v>232</v>
      </c>
      <c r="AH200" s="273" t="s">
        <v>232</v>
      </c>
      <c r="AI200" s="273" t="s">
        <v>232</v>
      </c>
      <c r="AJ200" s="273" t="s">
        <v>232</v>
      </c>
      <c r="AK200" s="273" t="s">
        <v>232</v>
      </c>
      <c r="AL200" s="273" t="s">
        <v>232</v>
      </c>
      <c r="AM200" s="273" t="s">
        <v>232</v>
      </c>
      <c r="AN200" s="273" t="str">
        <f t="shared" si="303"/>
        <v>na</v>
      </c>
      <c r="AO200" s="273" t="str">
        <f t="shared" si="263"/>
        <v>na</v>
      </c>
      <c r="AP200" s="273" t="str">
        <f t="shared" si="264"/>
        <v>na</v>
      </c>
      <c r="AQ200" s="273" t="str">
        <f t="shared" si="265"/>
        <v>na</v>
      </c>
      <c r="AR200" s="1789" t="str">
        <f t="shared" si="304"/>
        <v>na</v>
      </c>
      <c r="AS200" s="1051"/>
      <c r="AU200" s="1332" t="str">
        <f t="shared" si="291"/>
        <v/>
      </c>
      <c r="AV200" s="1114" t="str">
        <f t="shared" si="292"/>
        <v/>
      </c>
      <c r="AW200" s="1114" t="str">
        <f t="shared" si="293"/>
        <v/>
      </c>
      <c r="AX200" s="1114" t="str">
        <f t="shared" si="294"/>
        <v/>
      </c>
      <c r="AY200" s="1113" t="str">
        <f t="shared" si="295"/>
        <v/>
      </c>
      <c r="AZ200" s="1114" t="str">
        <f t="shared" si="296"/>
        <v/>
      </c>
      <c r="BA200" s="1114" t="str">
        <f t="shared" si="297"/>
        <v/>
      </c>
      <c r="BB200" s="1704" t="str">
        <f t="shared" si="298"/>
        <v/>
      </c>
      <c r="BC200" s="1113" t="str">
        <f t="shared" si="299"/>
        <v/>
      </c>
      <c r="BD200" s="1114" t="str">
        <f t="shared" si="300"/>
        <v/>
      </c>
      <c r="BE200" s="1114" t="str">
        <f t="shared" si="301"/>
        <v/>
      </c>
      <c r="BF200" s="1114" t="str">
        <f t="shared" si="302"/>
        <v/>
      </c>
      <c r="BG200" s="1114" t="str">
        <f t="shared" si="279"/>
        <v/>
      </c>
      <c r="BH200" s="1114" t="str">
        <f t="shared" si="280"/>
        <v/>
      </c>
      <c r="BI200" s="1114" t="str">
        <f t="shared" si="281"/>
        <v/>
      </c>
      <c r="BJ200" s="1115" t="str">
        <f t="shared" si="282"/>
        <v/>
      </c>
      <c r="BL200" s="1885"/>
    </row>
    <row r="201" spans="1:64" ht="13.9" customHeight="1" x14ac:dyDescent="0.25">
      <c r="A201" s="1916">
        <f>Chem!A201</f>
        <v>199</v>
      </c>
      <c r="B201" s="1880" t="str">
        <f>Chem!B201</f>
        <v>Methane</v>
      </c>
      <c r="C201" s="394" t="str">
        <f>Param!AK201</f>
        <v>no</v>
      </c>
      <c r="D201" s="317" t="str">
        <f>IF(ISNUMBER(Param!AN201),Param!AN201,Param!AM201)</f>
        <v>na</v>
      </c>
      <c r="E201" s="273" t="s">
        <v>232</v>
      </c>
      <c r="F201" s="643" t="s">
        <v>232</v>
      </c>
      <c r="G201" s="550" t="s">
        <v>232</v>
      </c>
      <c r="H201" s="550" t="s">
        <v>232</v>
      </c>
      <c r="I201" s="273" t="s">
        <v>232</v>
      </c>
      <c r="J201" s="273" t="s">
        <v>232</v>
      </c>
      <c r="K201" s="219" t="str">
        <f>IF(C201="YES",'SD-Eq'!V201,"na")</f>
        <v>na</v>
      </c>
      <c r="L201" s="273" t="str">
        <f>IF(C201="YES",'SD-Eq'!Z201,"na")</f>
        <v>na</v>
      </c>
      <c r="M201" s="435" t="str">
        <f t="shared" si="255"/>
        <v>na</v>
      </c>
      <c r="N201" s="273" t="str">
        <f t="shared" si="256"/>
        <v>na</v>
      </c>
      <c r="O201" s="1794" t="str">
        <f t="shared" si="288"/>
        <v>na</v>
      </c>
      <c r="P201" s="1789" t="str">
        <f t="shared" si="289"/>
        <v>na</v>
      </c>
      <c r="Q201" s="418" t="s">
        <v>232</v>
      </c>
      <c r="R201" s="418" t="s">
        <v>232</v>
      </c>
      <c r="S201" s="418" t="s">
        <v>232</v>
      </c>
      <c r="T201" s="418" t="s">
        <v>232</v>
      </c>
      <c r="U201" s="418" t="s">
        <v>232</v>
      </c>
      <c r="V201" s="418" t="s">
        <v>232</v>
      </c>
      <c r="W201" s="418" t="str">
        <f t="shared" si="290"/>
        <v>na</v>
      </c>
      <c r="X201" s="418" t="s">
        <v>232</v>
      </c>
      <c r="Y201" s="1884" t="str">
        <f t="shared" si="260"/>
        <v>na</v>
      </c>
      <c r="Z201" s="1884" t="str">
        <f t="shared" si="261"/>
        <v>na</v>
      </c>
      <c r="AA201" s="1789" t="s">
        <v>232</v>
      </c>
      <c r="AB201" s="1789" t="s">
        <v>232</v>
      </c>
      <c r="AC201" s="273" t="s">
        <v>232</v>
      </c>
      <c r="AD201" s="273" t="s">
        <v>232</v>
      </c>
      <c r="AE201" s="273" t="s">
        <v>232</v>
      </c>
      <c r="AF201" s="273" t="s">
        <v>232</v>
      </c>
      <c r="AG201" s="273" t="s">
        <v>232</v>
      </c>
      <c r="AH201" s="273" t="s">
        <v>232</v>
      </c>
      <c r="AI201" s="273" t="s">
        <v>232</v>
      </c>
      <c r="AJ201" s="273" t="s">
        <v>232</v>
      </c>
      <c r="AK201" s="273" t="s">
        <v>232</v>
      </c>
      <c r="AL201" s="273" t="s">
        <v>232</v>
      </c>
      <c r="AM201" s="273" t="s">
        <v>232</v>
      </c>
      <c r="AN201" s="273" t="str">
        <f t="shared" si="303"/>
        <v>na</v>
      </c>
      <c r="AO201" s="273" t="str">
        <f t="shared" si="263"/>
        <v>na</v>
      </c>
      <c r="AP201" s="273" t="str">
        <f t="shared" si="264"/>
        <v>na</v>
      </c>
      <c r="AQ201" s="273" t="str">
        <f t="shared" si="265"/>
        <v>na</v>
      </c>
      <c r="AR201" s="1789" t="str">
        <f t="shared" si="304"/>
        <v>na</v>
      </c>
      <c r="AS201" s="1051"/>
      <c r="AU201" s="1332" t="str">
        <f t="shared" si="291"/>
        <v/>
      </c>
      <c r="AV201" s="1114" t="str">
        <f t="shared" si="292"/>
        <v/>
      </c>
      <c r="AW201" s="1114" t="str">
        <f t="shared" si="293"/>
        <v/>
      </c>
      <c r="AX201" s="1114" t="str">
        <f t="shared" si="294"/>
        <v/>
      </c>
      <c r="AY201" s="1113" t="str">
        <f t="shared" si="295"/>
        <v/>
      </c>
      <c r="AZ201" s="1114" t="str">
        <f t="shared" si="296"/>
        <v/>
      </c>
      <c r="BA201" s="1114" t="str">
        <f t="shared" si="297"/>
        <v/>
      </c>
      <c r="BB201" s="1704" t="str">
        <f t="shared" si="298"/>
        <v/>
      </c>
      <c r="BC201" s="1113" t="str">
        <f t="shared" si="299"/>
        <v/>
      </c>
      <c r="BD201" s="1114" t="str">
        <f t="shared" si="300"/>
        <v/>
      </c>
      <c r="BE201" s="1114" t="str">
        <f t="shared" si="301"/>
        <v/>
      </c>
      <c r="BF201" s="1114" t="str">
        <f t="shared" si="302"/>
        <v/>
      </c>
      <c r="BG201" s="1114" t="str">
        <f t="shared" si="279"/>
        <v/>
      </c>
      <c r="BH201" s="1114" t="str">
        <f t="shared" si="280"/>
        <v/>
      </c>
      <c r="BI201" s="1114" t="str">
        <f t="shared" si="281"/>
        <v/>
      </c>
      <c r="BJ201" s="1115" t="str">
        <f t="shared" si="282"/>
        <v/>
      </c>
      <c r="BL201" s="1885"/>
    </row>
    <row r="202" spans="1:64" ht="13.9" customHeight="1" x14ac:dyDescent="0.25">
      <c r="A202" s="1916">
        <f>Chem!A202</f>
        <v>200</v>
      </c>
      <c r="B202" s="1880" t="str">
        <f>Chem!B202</f>
        <v>Methyl ethyl ketone (2-butanone)</v>
      </c>
      <c r="C202" s="394" t="str">
        <f>Param!AK202</f>
        <v>no</v>
      </c>
      <c r="D202" s="317" t="str">
        <f>IF(ISNUMBER(Param!AN202),Param!AN202,Param!AM202)</f>
        <v>na</v>
      </c>
      <c r="E202" s="273" t="s">
        <v>232</v>
      </c>
      <c r="F202" s="643" t="s">
        <v>232</v>
      </c>
      <c r="G202" s="550" t="s">
        <v>232</v>
      </c>
      <c r="H202" s="550" t="s">
        <v>232</v>
      </c>
      <c r="I202" s="273" t="s">
        <v>232</v>
      </c>
      <c r="J202" s="273" t="s">
        <v>232</v>
      </c>
      <c r="K202" s="219" t="str">
        <f>IF(C202="YES",'SD-Eq'!V202,"na")</f>
        <v>na</v>
      </c>
      <c r="L202" s="273" t="str">
        <f>IF(C202="YES",'SD-Eq'!Z202,"na")</f>
        <v>na</v>
      </c>
      <c r="M202" s="435" t="str">
        <f t="shared" si="255"/>
        <v>na</v>
      </c>
      <c r="N202" s="273" t="str">
        <f t="shared" si="256"/>
        <v>na</v>
      </c>
      <c r="O202" s="1794" t="str">
        <f t="shared" si="288"/>
        <v>na</v>
      </c>
      <c r="P202" s="1789" t="str">
        <f t="shared" si="289"/>
        <v>na</v>
      </c>
      <c r="Q202" s="418" t="s">
        <v>232</v>
      </c>
      <c r="R202" s="418" t="s">
        <v>232</v>
      </c>
      <c r="S202" s="418" t="s">
        <v>232</v>
      </c>
      <c r="T202" s="418" t="s">
        <v>232</v>
      </c>
      <c r="U202" s="418" t="s">
        <v>232</v>
      </c>
      <c r="V202" s="418" t="s">
        <v>232</v>
      </c>
      <c r="W202" s="418" t="str">
        <f t="shared" si="290"/>
        <v>na</v>
      </c>
      <c r="X202" s="418" t="s">
        <v>232</v>
      </c>
      <c r="Y202" s="1884" t="str">
        <f t="shared" si="260"/>
        <v>na</v>
      </c>
      <c r="Z202" s="1884" t="str">
        <f t="shared" si="261"/>
        <v>na</v>
      </c>
      <c r="AA202" s="1789" t="s">
        <v>232</v>
      </c>
      <c r="AB202" s="1789" t="s">
        <v>232</v>
      </c>
      <c r="AC202" s="273" t="s">
        <v>232</v>
      </c>
      <c r="AD202" s="273" t="s">
        <v>232</v>
      </c>
      <c r="AE202" s="273" t="s">
        <v>232</v>
      </c>
      <c r="AF202" s="273" t="s">
        <v>232</v>
      </c>
      <c r="AG202" s="273" t="s">
        <v>232</v>
      </c>
      <c r="AH202" s="273" t="s">
        <v>232</v>
      </c>
      <c r="AI202" s="273" t="s">
        <v>232</v>
      </c>
      <c r="AJ202" s="273" t="s">
        <v>232</v>
      </c>
      <c r="AK202" s="273" t="s">
        <v>232</v>
      </c>
      <c r="AL202" s="273" t="s">
        <v>232</v>
      </c>
      <c r="AM202" s="273" t="s">
        <v>232</v>
      </c>
      <c r="AN202" s="273" t="str">
        <f t="shared" si="303"/>
        <v>na</v>
      </c>
      <c r="AO202" s="273" t="str">
        <f t="shared" si="263"/>
        <v>na</v>
      </c>
      <c r="AP202" s="273" t="str">
        <f t="shared" si="264"/>
        <v>na</v>
      </c>
      <c r="AQ202" s="273" t="str">
        <f t="shared" si="265"/>
        <v>na</v>
      </c>
      <c r="AR202" s="1789" t="str">
        <f t="shared" si="304"/>
        <v>na</v>
      </c>
      <c r="AS202" s="1051"/>
      <c r="AU202" s="1332" t="str">
        <f t="shared" si="291"/>
        <v/>
      </c>
      <c r="AV202" s="1114" t="str">
        <f t="shared" si="292"/>
        <v/>
      </c>
      <c r="AW202" s="1114" t="str">
        <f t="shared" si="293"/>
        <v/>
      </c>
      <c r="AX202" s="1114" t="str">
        <f t="shared" si="294"/>
        <v/>
      </c>
      <c r="AY202" s="1113" t="str">
        <f t="shared" si="295"/>
        <v/>
      </c>
      <c r="AZ202" s="1114" t="str">
        <f t="shared" si="296"/>
        <v/>
      </c>
      <c r="BA202" s="1114" t="str">
        <f t="shared" si="297"/>
        <v/>
      </c>
      <c r="BB202" s="1704" t="str">
        <f t="shared" si="298"/>
        <v/>
      </c>
      <c r="BC202" s="1113" t="str">
        <f t="shared" si="299"/>
        <v/>
      </c>
      <c r="BD202" s="1114" t="str">
        <f t="shared" si="300"/>
        <v/>
      </c>
      <c r="BE202" s="1114" t="str">
        <f t="shared" si="301"/>
        <v/>
      </c>
      <c r="BF202" s="1114" t="str">
        <f t="shared" si="302"/>
        <v/>
      </c>
      <c r="BG202" s="1114" t="str">
        <f t="shared" si="279"/>
        <v/>
      </c>
      <c r="BH202" s="1114" t="str">
        <f t="shared" si="280"/>
        <v/>
      </c>
      <c r="BI202" s="1114" t="str">
        <f t="shared" si="281"/>
        <v/>
      </c>
      <c r="BJ202" s="1115" t="str">
        <f t="shared" si="282"/>
        <v/>
      </c>
      <c r="BL202" s="1885"/>
    </row>
    <row r="203" spans="1:64" ht="13.9" customHeight="1" x14ac:dyDescent="0.25">
      <c r="A203" s="1916">
        <f>Chem!A203</f>
        <v>201</v>
      </c>
      <c r="B203" s="1880" t="str">
        <f>Chem!B203</f>
        <v>Methyl iodide</v>
      </c>
      <c r="C203" s="394" t="str">
        <f>Param!AK203</f>
        <v>no</v>
      </c>
      <c r="D203" s="317" t="str">
        <f>IF(ISNUMBER(Param!AN203),Param!AN203,Param!AM203)</f>
        <v>na</v>
      </c>
      <c r="E203" s="273" t="s">
        <v>232</v>
      </c>
      <c r="F203" s="643" t="s">
        <v>232</v>
      </c>
      <c r="G203" s="550" t="s">
        <v>232</v>
      </c>
      <c r="H203" s="550" t="s">
        <v>232</v>
      </c>
      <c r="I203" s="273" t="s">
        <v>232</v>
      </c>
      <c r="J203" s="273" t="s">
        <v>232</v>
      </c>
      <c r="K203" s="219" t="str">
        <f>IF(C203="YES",'SD-Eq'!V203,"na")</f>
        <v>na</v>
      </c>
      <c r="L203" s="273" t="str">
        <f>IF(C203="YES",'SD-Eq'!Z203,"na")</f>
        <v>na</v>
      </c>
      <c r="M203" s="435" t="str">
        <f t="shared" si="255"/>
        <v>na</v>
      </c>
      <c r="N203" s="273" t="str">
        <f t="shared" si="256"/>
        <v>na</v>
      </c>
      <c r="O203" s="1794" t="str">
        <f t="shared" si="288"/>
        <v>na</v>
      </c>
      <c r="P203" s="1789" t="str">
        <f t="shared" si="289"/>
        <v>na</v>
      </c>
      <c r="Q203" s="418" t="s">
        <v>232</v>
      </c>
      <c r="R203" s="418" t="s">
        <v>232</v>
      </c>
      <c r="S203" s="418" t="s">
        <v>232</v>
      </c>
      <c r="T203" s="418" t="s">
        <v>232</v>
      </c>
      <c r="U203" s="418" t="s">
        <v>232</v>
      </c>
      <c r="V203" s="418" t="s">
        <v>232</v>
      </c>
      <c r="W203" s="418" t="str">
        <f t="shared" si="290"/>
        <v>na</v>
      </c>
      <c r="X203" s="418" t="s">
        <v>232</v>
      </c>
      <c r="Y203" s="1884" t="str">
        <f t="shared" si="260"/>
        <v>na</v>
      </c>
      <c r="Z203" s="1884" t="str">
        <f t="shared" si="261"/>
        <v>na</v>
      </c>
      <c r="AA203" s="1789" t="s">
        <v>232</v>
      </c>
      <c r="AB203" s="1789" t="s">
        <v>232</v>
      </c>
      <c r="AC203" s="273" t="s">
        <v>232</v>
      </c>
      <c r="AD203" s="273" t="s">
        <v>232</v>
      </c>
      <c r="AE203" s="273" t="s">
        <v>232</v>
      </c>
      <c r="AF203" s="273" t="s">
        <v>232</v>
      </c>
      <c r="AG203" s="273" t="s">
        <v>232</v>
      </c>
      <c r="AH203" s="273" t="s">
        <v>232</v>
      </c>
      <c r="AI203" s="273" t="s">
        <v>232</v>
      </c>
      <c r="AJ203" s="273" t="s">
        <v>232</v>
      </c>
      <c r="AK203" s="273" t="s">
        <v>232</v>
      </c>
      <c r="AL203" s="273" t="s">
        <v>232</v>
      </c>
      <c r="AM203" s="273" t="s">
        <v>232</v>
      </c>
      <c r="AN203" s="273" t="str">
        <f t="shared" si="303"/>
        <v>na</v>
      </c>
      <c r="AO203" s="273" t="str">
        <f t="shared" si="263"/>
        <v>na</v>
      </c>
      <c r="AP203" s="273" t="str">
        <f t="shared" si="264"/>
        <v>na</v>
      </c>
      <c r="AQ203" s="273" t="str">
        <f t="shared" si="265"/>
        <v>na</v>
      </c>
      <c r="AR203" s="1789" t="str">
        <f t="shared" si="304"/>
        <v>na</v>
      </c>
      <c r="AS203" s="1051"/>
      <c r="AU203" s="1332" t="str">
        <f t="shared" si="291"/>
        <v/>
      </c>
      <c r="AV203" s="1114" t="str">
        <f t="shared" si="292"/>
        <v/>
      </c>
      <c r="AW203" s="1114" t="str">
        <f t="shared" si="293"/>
        <v/>
      </c>
      <c r="AX203" s="1114" t="str">
        <f t="shared" si="294"/>
        <v/>
      </c>
      <c r="AY203" s="1113" t="str">
        <f t="shared" si="295"/>
        <v/>
      </c>
      <c r="AZ203" s="1114" t="str">
        <f t="shared" si="296"/>
        <v/>
      </c>
      <c r="BA203" s="1114" t="str">
        <f t="shared" si="297"/>
        <v/>
      </c>
      <c r="BB203" s="1704" t="str">
        <f t="shared" si="298"/>
        <v/>
      </c>
      <c r="BC203" s="1113" t="str">
        <f t="shared" si="299"/>
        <v/>
      </c>
      <c r="BD203" s="1114" t="str">
        <f t="shared" si="300"/>
        <v/>
      </c>
      <c r="BE203" s="1114" t="str">
        <f t="shared" si="301"/>
        <v/>
      </c>
      <c r="BF203" s="1114" t="str">
        <f t="shared" si="302"/>
        <v/>
      </c>
      <c r="BG203" s="1114" t="str">
        <f t="shared" si="279"/>
        <v/>
      </c>
      <c r="BH203" s="1114" t="str">
        <f t="shared" si="280"/>
        <v/>
      </c>
      <c r="BI203" s="1114" t="str">
        <f t="shared" si="281"/>
        <v/>
      </c>
      <c r="BJ203" s="1115" t="str">
        <f t="shared" si="282"/>
        <v/>
      </c>
      <c r="BL203" s="1885"/>
    </row>
    <row r="204" spans="1:64" ht="13.9" customHeight="1" x14ac:dyDescent="0.25">
      <c r="A204" s="1916">
        <f>Chem!A204</f>
        <v>202</v>
      </c>
      <c r="B204" s="1880" t="str">
        <f>Chem!B204</f>
        <v>Methyl isobutyl ketone</v>
      </c>
      <c r="C204" s="394" t="str">
        <f>Param!AK204</f>
        <v>no</v>
      </c>
      <c r="D204" s="317" t="str">
        <f>IF(ISNUMBER(Param!AN204),Param!AN204,Param!AM204)</f>
        <v>na</v>
      </c>
      <c r="E204" s="273" t="s">
        <v>232</v>
      </c>
      <c r="F204" s="643" t="s">
        <v>232</v>
      </c>
      <c r="G204" s="550" t="s">
        <v>232</v>
      </c>
      <c r="H204" s="550" t="s">
        <v>232</v>
      </c>
      <c r="I204" s="273" t="s">
        <v>232</v>
      </c>
      <c r="J204" s="273" t="s">
        <v>232</v>
      </c>
      <c r="K204" s="219" t="str">
        <f>IF(C204="YES",'SD-Eq'!V204,"na")</f>
        <v>na</v>
      </c>
      <c r="L204" s="273" t="str">
        <f>IF(C204="YES",'SD-Eq'!Z204,"na")</f>
        <v>na</v>
      </c>
      <c r="M204" s="435" t="str">
        <f t="shared" si="255"/>
        <v>na</v>
      </c>
      <c r="N204" s="273" t="str">
        <f t="shared" si="256"/>
        <v>na</v>
      </c>
      <c r="O204" s="1794" t="str">
        <f t="shared" si="288"/>
        <v>na</v>
      </c>
      <c r="P204" s="1789" t="str">
        <f t="shared" si="289"/>
        <v>na</v>
      </c>
      <c r="Q204" s="418" t="s">
        <v>232</v>
      </c>
      <c r="R204" s="418" t="s">
        <v>232</v>
      </c>
      <c r="S204" s="418" t="s">
        <v>232</v>
      </c>
      <c r="T204" s="418" t="s">
        <v>232</v>
      </c>
      <c r="U204" s="418" t="s">
        <v>232</v>
      </c>
      <c r="V204" s="418" t="s">
        <v>232</v>
      </c>
      <c r="W204" s="418" t="str">
        <f t="shared" si="290"/>
        <v>na</v>
      </c>
      <c r="X204" s="418" t="s">
        <v>232</v>
      </c>
      <c r="Y204" s="1884" t="str">
        <f t="shared" si="260"/>
        <v>na</v>
      </c>
      <c r="Z204" s="1884" t="str">
        <f t="shared" si="261"/>
        <v>na</v>
      </c>
      <c r="AA204" s="1789" t="s">
        <v>232</v>
      </c>
      <c r="AB204" s="1789" t="s">
        <v>232</v>
      </c>
      <c r="AC204" s="273" t="s">
        <v>232</v>
      </c>
      <c r="AD204" s="273" t="s">
        <v>232</v>
      </c>
      <c r="AE204" s="273" t="s">
        <v>232</v>
      </c>
      <c r="AF204" s="273" t="s">
        <v>232</v>
      </c>
      <c r="AG204" s="273" t="s">
        <v>232</v>
      </c>
      <c r="AH204" s="273" t="s">
        <v>232</v>
      </c>
      <c r="AI204" s="273" t="s">
        <v>232</v>
      </c>
      <c r="AJ204" s="273" t="s">
        <v>232</v>
      </c>
      <c r="AK204" s="273" t="s">
        <v>232</v>
      </c>
      <c r="AL204" s="273" t="s">
        <v>232</v>
      </c>
      <c r="AM204" s="273" t="s">
        <v>232</v>
      </c>
      <c r="AN204" s="273" t="str">
        <f t="shared" si="303"/>
        <v>na</v>
      </c>
      <c r="AO204" s="273" t="str">
        <f t="shared" si="263"/>
        <v>na</v>
      </c>
      <c r="AP204" s="273" t="str">
        <f t="shared" si="264"/>
        <v>na</v>
      </c>
      <c r="AQ204" s="273" t="str">
        <f t="shared" si="265"/>
        <v>na</v>
      </c>
      <c r="AR204" s="1789" t="str">
        <f t="shared" si="304"/>
        <v>na</v>
      </c>
      <c r="AS204" s="1051"/>
      <c r="AU204" s="1332" t="str">
        <f t="shared" si="291"/>
        <v/>
      </c>
      <c r="AV204" s="1114" t="str">
        <f t="shared" si="292"/>
        <v/>
      </c>
      <c r="AW204" s="1114" t="str">
        <f t="shared" si="293"/>
        <v/>
      </c>
      <c r="AX204" s="1114" t="str">
        <f t="shared" si="294"/>
        <v/>
      </c>
      <c r="AY204" s="1113" t="str">
        <f t="shared" si="295"/>
        <v/>
      </c>
      <c r="AZ204" s="1114" t="str">
        <f t="shared" si="296"/>
        <v/>
      </c>
      <c r="BA204" s="1114" t="str">
        <f t="shared" si="297"/>
        <v/>
      </c>
      <c r="BB204" s="1704" t="str">
        <f t="shared" si="298"/>
        <v/>
      </c>
      <c r="BC204" s="1113" t="str">
        <f t="shared" si="299"/>
        <v/>
      </c>
      <c r="BD204" s="1114" t="str">
        <f t="shared" si="300"/>
        <v/>
      </c>
      <c r="BE204" s="1114" t="str">
        <f t="shared" si="301"/>
        <v/>
      </c>
      <c r="BF204" s="1114" t="str">
        <f t="shared" si="302"/>
        <v/>
      </c>
      <c r="BG204" s="1114" t="str">
        <f t="shared" si="279"/>
        <v/>
      </c>
      <c r="BH204" s="1114" t="str">
        <f t="shared" si="280"/>
        <v/>
      </c>
      <c r="BI204" s="1114" t="str">
        <f t="shared" si="281"/>
        <v/>
      </c>
      <c r="BJ204" s="1115" t="str">
        <f t="shared" si="282"/>
        <v/>
      </c>
      <c r="BL204" s="1885"/>
    </row>
    <row r="205" spans="1:64" ht="13.9" customHeight="1" x14ac:dyDescent="0.25">
      <c r="A205" s="1916">
        <f>Chem!A205</f>
        <v>203</v>
      </c>
      <c r="B205" s="1880" t="str">
        <f>Chem!B205</f>
        <v>Methyl tert-butyl ether (MTBE)</v>
      </c>
      <c r="C205" s="394" t="str">
        <f>Param!AK205</f>
        <v>no</v>
      </c>
      <c r="D205" s="317" t="str">
        <f>IF(ISNUMBER(Param!AN205),Param!AN205,Param!AM205)</f>
        <v>na</v>
      </c>
      <c r="E205" s="273" t="s">
        <v>232</v>
      </c>
      <c r="F205" s="643" t="s">
        <v>232</v>
      </c>
      <c r="G205" s="550" t="s">
        <v>232</v>
      </c>
      <c r="H205" s="550" t="s">
        <v>232</v>
      </c>
      <c r="I205" s="273" t="s">
        <v>232</v>
      </c>
      <c r="J205" s="273" t="s">
        <v>232</v>
      </c>
      <c r="K205" s="219" t="str">
        <f>IF(C205="YES",'SD-Eq'!V205,"na")</f>
        <v>na</v>
      </c>
      <c r="L205" s="273" t="str">
        <f>IF(C205="YES",'SD-Eq'!Z205,"na")</f>
        <v>na</v>
      </c>
      <c r="M205" s="435" t="str">
        <f t="shared" si="255"/>
        <v>na</v>
      </c>
      <c r="N205" s="273" t="str">
        <f t="shared" si="256"/>
        <v>na</v>
      </c>
      <c r="O205" s="1794" t="str">
        <f t="shared" si="288"/>
        <v>na</v>
      </c>
      <c r="P205" s="1789" t="str">
        <f t="shared" si="289"/>
        <v>na</v>
      </c>
      <c r="Q205" s="418" t="s">
        <v>232</v>
      </c>
      <c r="R205" s="418" t="s">
        <v>232</v>
      </c>
      <c r="S205" s="418" t="s">
        <v>232</v>
      </c>
      <c r="T205" s="418" t="s">
        <v>232</v>
      </c>
      <c r="U205" s="418" t="s">
        <v>232</v>
      </c>
      <c r="V205" s="418" t="s">
        <v>232</v>
      </c>
      <c r="W205" s="418" t="str">
        <f t="shared" si="290"/>
        <v>na</v>
      </c>
      <c r="X205" s="418" t="s">
        <v>232</v>
      </c>
      <c r="Y205" s="1884" t="str">
        <f t="shared" si="260"/>
        <v>na</v>
      </c>
      <c r="Z205" s="1884" t="str">
        <f t="shared" si="261"/>
        <v>na</v>
      </c>
      <c r="AA205" s="1789" t="s">
        <v>232</v>
      </c>
      <c r="AB205" s="1789" t="s">
        <v>232</v>
      </c>
      <c r="AC205" s="273" t="s">
        <v>232</v>
      </c>
      <c r="AD205" s="273" t="s">
        <v>232</v>
      </c>
      <c r="AE205" s="273" t="s">
        <v>232</v>
      </c>
      <c r="AF205" s="273" t="s">
        <v>232</v>
      </c>
      <c r="AG205" s="273" t="s">
        <v>232</v>
      </c>
      <c r="AH205" s="273" t="s">
        <v>232</v>
      </c>
      <c r="AI205" s="273" t="s">
        <v>232</v>
      </c>
      <c r="AJ205" s="273" t="s">
        <v>232</v>
      </c>
      <c r="AK205" s="273" t="s">
        <v>232</v>
      </c>
      <c r="AL205" s="273" t="s">
        <v>232</v>
      </c>
      <c r="AM205" s="273" t="s">
        <v>232</v>
      </c>
      <c r="AN205" s="273" t="str">
        <f t="shared" si="303"/>
        <v>na</v>
      </c>
      <c r="AO205" s="273" t="str">
        <f t="shared" si="263"/>
        <v>na</v>
      </c>
      <c r="AP205" s="273" t="str">
        <f t="shared" si="264"/>
        <v>na</v>
      </c>
      <c r="AQ205" s="273" t="str">
        <f t="shared" si="265"/>
        <v>na</v>
      </c>
      <c r="AR205" s="1789" t="str">
        <f t="shared" si="304"/>
        <v>na</v>
      </c>
      <c r="AS205" s="1051"/>
      <c r="AU205" s="1332" t="str">
        <f t="shared" si="291"/>
        <v/>
      </c>
      <c r="AV205" s="1114" t="str">
        <f t="shared" si="292"/>
        <v/>
      </c>
      <c r="AW205" s="1114" t="str">
        <f t="shared" si="293"/>
        <v/>
      </c>
      <c r="AX205" s="1114" t="str">
        <f t="shared" si="294"/>
        <v/>
      </c>
      <c r="AY205" s="1113" t="str">
        <f t="shared" si="295"/>
        <v/>
      </c>
      <c r="AZ205" s="1114" t="str">
        <f t="shared" si="296"/>
        <v/>
      </c>
      <c r="BA205" s="1114" t="str">
        <f t="shared" si="297"/>
        <v/>
      </c>
      <c r="BB205" s="1704" t="str">
        <f t="shared" si="298"/>
        <v/>
      </c>
      <c r="BC205" s="1113" t="str">
        <f t="shared" si="299"/>
        <v/>
      </c>
      <c r="BD205" s="1114" t="str">
        <f t="shared" si="300"/>
        <v/>
      </c>
      <c r="BE205" s="1114" t="str">
        <f t="shared" si="301"/>
        <v/>
      </c>
      <c r="BF205" s="1114" t="str">
        <f t="shared" si="302"/>
        <v/>
      </c>
      <c r="BG205" s="1114" t="str">
        <f t="shared" si="279"/>
        <v/>
      </c>
      <c r="BH205" s="1114" t="str">
        <f t="shared" si="280"/>
        <v/>
      </c>
      <c r="BI205" s="1114" t="str">
        <f t="shared" si="281"/>
        <v/>
      </c>
      <c r="BJ205" s="1115" t="str">
        <f t="shared" si="282"/>
        <v/>
      </c>
      <c r="BL205" s="1885"/>
    </row>
    <row r="206" spans="1:64" ht="13.9" customHeight="1" x14ac:dyDescent="0.25">
      <c r="A206" s="1916">
        <f>Chem!A206</f>
        <v>204</v>
      </c>
      <c r="B206" s="1880" t="str">
        <f>Chem!B206</f>
        <v>Methylene chloride</v>
      </c>
      <c r="C206" s="394" t="str">
        <f>Param!AK206</f>
        <v>no</v>
      </c>
      <c r="D206" s="317" t="str">
        <f>IF(ISNUMBER(Param!AN206),Param!AN206,Param!AM206)</f>
        <v>na</v>
      </c>
      <c r="E206" s="273" t="s">
        <v>232</v>
      </c>
      <c r="F206" s="643" t="s">
        <v>232</v>
      </c>
      <c r="G206" s="550" t="s">
        <v>232</v>
      </c>
      <c r="H206" s="550" t="s">
        <v>232</v>
      </c>
      <c r="I206" s="273" t="s">
        <v>232</v>
      </c>
      <c r="J206" s="273" t="s">
        <v>232</v>
      </c>
      <c r="K206" s="219" t="str">
        <f>IF(C206="YES",'SD-Eq'!V206,"na")</f>
        <v>na</v>
      </c>
      <c r="L206" s="273" t="str">
        <f>IF(C206="YES",'SD-Eq'!Z206,"na")</f>
        <v>na</v>
      </c>
      <c r="M206" s="435" t="str">
        <f t="shared" si="255"/>
        <v>na</v>
      </c>
      <c r="N206" s="273" t="str">
        <f t="shared" si="256"/>
        <v>na</v>
      </c>
      <c r="O206" s="1794" t="str">
        <f t="shared" si="288"/>
        <v>na</v>
      </c>
      <c r="P206" s="1789" t="str">
        <f t="shared" si="289"/>
        <v>na</v>
      </c>
      <c r="Q206" s="418" t="s">
        <v>232</v>
      </c>
      <c r="R206" s="418" t="s">
        <v>232</v>
      </c>
      <c r="S206" s="418" t="s">
        <v>232</v>
      </c>
      <c r="T206" s="418" t="s">
        <v>232</v>
      </c>
      <c r="U206" s="418" t="s">
        <v>232</v>
      </c>
      <c r="V206" s="418" t="s">
        <v>232</v>
      </c>
      <c r="W206" s="418" t="str">
        <f t="shared" si="290"/>
        <v>na</v>
      </c>
      <c r="X206" s="418" t="s">
        <v>232</v>
      </c>
      <c r="Y206" s="1884" t="str">
        <f t="shared" si="260"/>
        <v>na</v>
      </c>
      <c r="Z206" s="1884" t="str">
        <f t="shared" si="261"/>
        <v>na</v>
      </c>
      <c r="AA206" s="1789" t="s">
        <v>232</v>
      </c>
      <c r="AB206" s="1789" t="s">
        <v>232</v>
      </c>
      <c r="AC206" s="273" t="s">
        <v>232</v>
      </c>
      <c r="AD206" s="273" t="s">
        <v>232</v>
      </c>
      <c r="AE206" s="273" t="s">
        <v>232</v>
      </c>
      <c r="AF206" s="273" t="s">
        <v>232</v>
      </c>
      <c r="AG206" s="273" t="s">
        <v>232</v>
      </c>
      <c r="AH206" s="273" t="s">
        <v>232</v>
      </c>
      <c r="AI206" s="273" t="s">
        <v>232</v>
      </c>
      <c r="AJ206" s="273" t="s">
        <v>232</v>
      </c>
      <c r="AK206" s="273" t="s">
        <v>232</v>
      </c>
      <c r="AL206" s="273" t="s">
        <v>232</v>
      </c>
      <c r="AM206" s="273" t="s">
        <v>232</v>
      </c>
      <c r="AN206" s="273" t="str">
        <f t="shared" si="303"/>
        <v>na</v>
      </c>
      <c r="AO206" s="273" t="str">
        <f t="shared" si="263"/>
        <v>na</v>
      </c>
      <c r="AP206" s="273" t="str">
        <f t="shared" si="264"/>
        <v>na</v>
      </c>
      <c r="AQ206" s="273" t="str">
        <f t="shared" si="265"/>
        <v>na</v>
      </c>
      <c r="AR206" s="1789" t="str">
        <f t="shared" si="304"/>
        <v>na</v>
      </c>
      <c r="AS206" s="1051"/>
      <c r="AU206" s="1332" t="str">
        <f t="shared" si="291"/>
        <v/>
      </c>
      <c r="AV206" s="1114" t="str">
        <f t="shared" si="292"/>
        <v/>
      </c>
      <c r="AW206" s="1114" t="str">
        <f t="shared" si="293"/>
        <v/>
      </c>
      <c r="AX206" s="1114" t="str">
        <f t="shared" si="294"/>
        <v/>
      </c>
      <c r="AY206" s="1113" t="str">
        <f t="shared" si="295"/>
        <v/>
      </c>
      <c r="AZ206" s="1114" t="str">
        <f t="shared" si="296"/>
        <v/>
      </c>
      <c r="BA206" s="1114" t="str">
        <f t="shared" si="297"/>
        <v/>
      </c>
      <c r="BB206" s="1704" t="str">
        <f t="shared" si="298"/>
        <v/>
      </c>
      <c r="BC206" s="1113" t="str">
        <f t="shared" si="299"/>
        <v/>
      </c>
      <c r="BD206" s="1114" t="str">
        <f t="shared" si="300"/>
        <v/>
      </c>
      <c r="BE206" s="1114" t="str">
        <f t="shared" si="301"/>
        <v/>
      </c>
      <c r="BF206" s="1114" t="str">
        <f t="shared" si="302"/>
        <v/>
      </c>
      <c r="BG206" s="1114" t="str">
        <f t="shared" si="279"/>
        <v/>
      </c>
      <c r="BH206" s="1114" t="str">
        <f t="shared" si="280"/>
        <v/>
      </c>
      <c r="BI206" s="1114" t="str">
        <f t="shared" si="281"/>
        <v/>
      </c>
      <c r="BJ206" s="1115" t="str">
        <f t="shared" si="282"/>
        <v/>
      </c>
      <c r="BL206" s="1885"/>
    </row>
    <row r="207" spans="1:64" ht="13.9" customHeight="1" x14ac:dyDescent="0.25">
      <c r="A207" s="1916">
        <f>Chem!A207</f>
        <v>205</v>
      </c>
      <c r="B207" s="1880" t="str">
        <f>Chem!B207</f>
        <v>2-Pentanone</v>
      </c>
      <c r="C207" s="394" t="str">
        <f>Param!AK207</f>
        <v>no</v>
      </c>
      <c r="D207" s="317" t="str">
        <f>IF(ISNUMBER(Param!AN207),Param!AN207,Param!AM207)</f>
        <v>na</v>
      </c>
      <c r="E207" s="273" t="s">
        <v>232</v>
      </c>
      <c r="F207" s="643" t="s">
        <v>232</v>
      </c>
      <c r="G207" s="550" t="s">
        <v>232</v>
      </c>
      <c r="H207" s="550" t="s">
        <v>232</v>
      </c>
      <c r="I207" s="273" t="s">
        <v>232</v>
      </c>
      <c r="J207" s="273" t="s">
        <v>232</v>
      </c>
      <c r="K207" s="219" t="str">
        <f>IF(C207="YES",'SD-Eq'!V207,"na")</f>
        <v>na</v>
      </c>
      <c r="L207" s="273" t="str">
        <f>IF(C207="YES",'SD-Eq'!Z207,"na")</f>
        <v>na</v>
      </c>
      <c r="M207" s="435" t="str">
        <f t="shared" si="255"/>
        <v>na</v>
      </c>
      <c r="N207" s="273" t="str">
        <f t="shared" si="256"/>
        <v>na</v>
      </c>
      <c r="O207" s="1794" t="str">
        <f t="shared" si="288"/>
        <v>na</v>
      </c>
      <c r="P207" s="1789" t="str">
        <f t="shared" si="289"/>
        <v>na</v>
      </c>
      <c r="Q207" s="418" t="s">
        <v>232</v>
      </c>
      <c r="R207" s="418" t="s">
        <v>232</v>
      </c>
      <c r="S207" s="418" t="s">
        <v>232</v>
      </c>
      <c r="T207" s="418" t="s">
        <v>232</v>
      </c>
      <c r="U207" s="418" t="s">
        <v>232</v>
      </c>
      <c r="V207" s="418" t="s">
        <v>232</v>
      </c>
      <c r="W207" s="418" t="str">
        <f t="shared" si="290"/>
        <v>na</v>
      </c>
      <c r="X207" s="418" t="s">
        <v>232</v>
      </c>
      <c r="Y207" s="1884" t="str">
        <f t="shared" si="260"/>
        <v>na</v>
      </c>
      <c r="Z207" s="1884" t="str">
        <f t="shared" si="261"/>
        <v>na</v>
      </c>
      <c r="AA207" s="1789" t="s">
        <v>232</v>
      </c>
      <c r="AB207" s="1789" t="s">
        <v>232</v>
      </c>
      <c r="AC207" s="273" t="s">
        <v>232</v>
      </c>
      <c r="AD207" s="273" t="s">
        <v>232</v>
      </c>
      <c r="AE207" s="273" t="s">
        <v>232</v>
      </c>
      <c r="AF207" s="273" t="s">
        <v>232</v>
      </c>
      <c r="AG207" s="273" t="s">
        <v>232</v>
      </c>
      <c r="AH207" s="273" t="s">
        <v>232</v>
      </c>
      <c r="AI207" s="273" t="s">
        <v>232</v>
      </c>
      <c r="AJ207" s="273" t="s">
        <v>232</v>
      </c>
      <c r="AK207" s="273" t="s">
        <v>232</v>
      </c>
      <c r="AL207" s="273" t="s">
        <v>232</v>
      </c>
      <c r="AM207" s="273" t="s">
        <v>232</v>
      </c>
      <c r="AN207" s="273" t="str">
        <f t="shared" si="303"/>
        <v>na</v>
      </c>
      <c r="AO207" s="273" t="str">
        <f t="shared" si="263"/>
        <v>na</v>
      </c>
      <c r="AP207" s="273" t="str">
        <f t="shared" si="264"/>
        <v>na</v>
      </c>
      <c r="AQ207" s="273" t="str">
        <f t="shared" si="265"/>
        <v>na</v>
      </c>
      <c r="AR207" s="1789" t="str">
        <f t="shared" si="304"/>
        <v>na</v>
      </c>
      <c r="AS207" s="1051"/>
      <c r="AU207" s="1332" t="str">
        <f t="shared" si="291"/>
        <v/>
      </c>
      <c r="AV207" s="1114" t="str">
        <f t="shared" si="292"/>
        <v/>
      </c>
      <c r="AW207" s="1114" t="str">
        <f t="shared" si="293"/>
        <v/>
      </c>
      <c r="AX207" s="1114" t="str">
        <f t="shared" si="294"/>
        <v/>
      </c>
      <c r="AY207" s="1113" t="str">
        <f t="shared" si="295"/>
        <v/>
      </c>
      <c r="AZ207" s="1114" t="str">
        <f t="shared" si="296"/>
        <v/>
      </c>
      <c r="BA207" s="1114" t="str">
        <f t="shared" si="297"/>
        <v/>
      </c>
      <c r="BB207" s="1704" t="str">
        <f t="shared" si="298"/>
        <v/>
      </c>
      <c r="BC207" s="1113" t="str">
        <f t="shared" si="299"/>
        <v/>
      </c>
      <c r="BD207" s="1114" t="str">
        <f t="shared" si="300"/>
        <v/>
      </c>
      <c r="BE207" s="1114" t="str">
        <f t="shared" si="301"/>
        <v/>
      </c>
      <c r="BF207" s="1114" t="str">
        <f t="shared" si="302"/>
        <v/>
      </c>
      <c r="BG207" s="1114" t="str">
        <f t="shared" si="279"/>
        <v/>
      </c>
      <c r="BH207" s="1114" t="str">
        <f t="shared" si="280"/>
        <v/>
      </c>
      <c r="BI207" s="1114" t="str">
        <f t="shared" si="281"/>
        <v/>
      </c>
      <c r="BJ207" s="1115" t="str">
        <f t="shared" si="282"/>
        <v/>
      </c>
      <c r="BL207" s="1885"/>
    </row>
    <row r="208" spans="1:64" ht="13.9" customHeight="1" x14ac:dyDescent="0.25">
      <c r="A208" s="1916">
        <f>Chem!A208</f>
        <v>206</v>
      </c>
      <c r="B208" s="1880" t="str">
        <f>Chem!B208</f>
        <v>n-Propylbenzene</v>
      </c>
      <c r="C208" s="394" t="str">
        <f>Param!AK208</f>
        <v>no</v>
      </c>
      <c r="D208" s="317" t="str">
        <f>IF(ISNUMBER(Param!AN208),Param!AN208,Param!AM208)</f>
        <v>na</v>
      </c>
      <c r="E208" s="273" t="s">
        <v>232</v>
      </c>
      <c r="F208" s="643" t="s">
        <v>232</v>
      </c>
      <c r="G208" s="550" t="s">
        <v>232</v>
      </c>
      <c r="H208" s="550" t="s">
        <v>232</v>
      </c>
      <c r="I208" s="273" t="s">
        <v>232</v>
      </c>
      <c r="J208" s="273" t="s">
        <v>232</v>
      </c>
      <c r="K208" s="219" t="str">
        <f>IF(C208="YES",'SD-Eq'!V208,"na")</f>
        <v>na</v>
      </c>
      <c r="L208" s="273" t="str">
        <f>IF(C208="YES",'SD-Eq'!Z208,"na")</f>
        <v>na</v>
      </c>
      <c r="M208" s="435" t="str">
        <f t="shared" si="255"/>
        <v>na</v>
      </c>
      <c r="N208" s="273" t="str">
        <f t="shared" si="256"/>
        <v>na</v>
      </c>
      <c r="O208" s="1794" t="str">
        <f t="shared" si="288"/>
        <v>na</v>
      </c>
      <c r="P208" s="1789" t="str">
        <f t="shared" si="289"/>
        <v>na</v>
      </c>
      <c r="Q208" s="418" t="s">
        <v>232</v>
      </c>
      <c r="R208" s="418" t="s">
        <v>232</v>
      </c>
      <c r="S208" s="418" t="s">
        <v>232</v>
      </c>
      <c r="T208" s="418" t="s">
        <v>232</v>
      </c>
      <c r="U208" s="418" t="s">
        <v>232</v>
      </c>
      <c r="V208" s="418" t="s">
        <v>232</v>
      </c>
      <c r="W208" s="418" t="str">
        <f t="shared" si="290"/>
        <v>na</v>
      </c>
      <c r="X208" s="418" t="s">
        <v>232</v>
      </c>
      <c r="Y208" s="1884" t="str">
        <f t="shared" si="260"/>
        <v>na</v>
      </c>
      <c r="Z208" s="1884" t="str">
        <f t="shared" si="261"/>
        <v>na</v>
      </c>
      <c r="AA208" s="1789" t="s">
        <v>232</v>
      </c>
      <c r="AB208" s="1789" t="s">
        <v>232</v>
      </c>
      <c r="AC208" s="273" t="s">
        <v>232</v>
      </c>
      <c r="AD208" s="273" t="s">
        <v>232</v>
      </c>
      <c r="AE208" s="273" t="s">
        <v>232</v>
      </c>
      <c r="AF208" s="273" t="s">
        <v>232</v>
      </c>
      <c r="AG208" s="273" t="s">
        <v>232</v>
      </c>
      <c r="AH208" s="273" t="s">
        <v>232</v>
      </c>
      <c r="AI208" s="273" t="s">
        <v>232</v>
      </c>
      <c r="AJ208" s="273" t="s">
        <v>232</v>
      </c>
      <c r="AK208" s="273" t="s">
        <v>232</v>
      </c>
      <c r="AL208" s="273" t="s">
        <v>232</v>
      </c>
      <c r="AM208" s="273" t="s">
        <v>232</v>
      </c>
      <c r="AN208" s="273" t="str">
        <f t="shared" si="303"/>
        <v>na</v>
      </c>
      <c r="AO208" s="273" t="str">
        <f t="shared" si="263"/>
        <v>na</v>
      </c>
      <c r="AP208" s="273" t="str">
        <f t="shared" si="264"/>
        <v>na</v>
      </c>
      <c r="AQ208" s="273" t="str">
        <f t="shared" si="265"/>
        <v>na</v>
      </c>
      <c r="AR208" s="1789" t="str">
        <f t="shared" si="304"/>
        <v>na</v>
      </c>
      <c r="AS208" s="1051"/>
      <c r="AU208" s="1332" t="str">
        <f t="shared" si="291"/>
        <v/>
      </c>
      <c r="AV208" s="1114" t="str">
        <f t="shared" si="292"/>
        <v/>
      </c>
      <c r="AW208" s="1114" t="str">
        <f t="shared" si="293"/>
        <v/>
      </c>
      <c r="AX208" s="1114" t="str">
        <f t="shared" si="294"/>
        <v/>
      </c>
      <c r="AY208" s="1113" t="str">
        <f t="shared" si="295"/>
        <v/>
      </c>
      <c r="AZ208" s="1114" t="str">
        <f t="shared" si="296"/>
        <v/>
      </c>
      <c r="BA208" s="1114" t="str">
        <f t="shared" si="297"/>
        <v/>
      </c>
      <c r="BB208" s="1704" t="str">
        <f t="shared" si="298"/>
        <v/>
      </c>
      <c r="BC208" s="1113" t="str">
        <f t="shared" si="299"/>
        <v/>
      </c>
      <c r="BD208" s="1114" t="str">
        <f t="shared" si="300"/>
        <v/>
      </c>
      <c r="BE208" s="1114" t="str">
        <f t="shared" si="301"/>
        <v/>
      </c>
      <c r="BF208" s="1114" t="str">
        <f t="shared" si="302"/>
        <v/>
      </c>
      <c r="BG208" s="1114" t="str">
        <f t="shared" si="279"/>
        <v/>
      </c>
      <c r="BH208" s="1114" t="str">
        <f t="shared" si="280"/>
        <v/>
      </c>
      <c r="BI208" s="1114" t="str">
        <f t="shared" si="281"/>
        <v/>
      </c>
      <c r="BJ208" s="1115" t="str">
        <f t="shared" si="282"/>
        <v/>
      </c>
      <c r="BL208" s="1885"/>
    </row>
    <row r="209" spans="1:64" ht="13.9" customHeight="1" x14ac:dyDescent="0.25">
      <c r="A209" s="1916">
        <f>Chem!A209</f>
        <v>207</v>
      </c>
      <c r="B209" s="1880" t="str">
        <f>Chem!B209</f>
        <v>Styrene</v>
      </c>
      <c r="C209" s="394" t="str">
        <f>Param!AK209</f>
        <v>no</v>
      </c>
      <c r="D209" s="317" t="str">
        <f>IF(ISNUMBER(Param!AN209),Param!AN209,Param!AM209)</f>
        <v>na</v>
      </c>
      <c r="E209" s="273" t="s">
        <v>232</v>
      </c>
      <c r="F209" s="643" t="s">
        <v>232</v>
      </c>
      <c r="G209" s="550" t="s">
        <v>232</v>
      </c>
      <c r="H209" s="550" t="s">
        <v>232</v>
      </c>
      <c r="I209" s="273" t="s">
        <v>232</v>
      </c>
      <c r="J209" s="273" t="s">
        <v>232</v>
      </c>
      <c r="K209" s="219" t="str">
        <f>IF(C209="YES",'SD-Eq'!V209,"na")</f>
        <v>na</v>
      </c>
      <c r="L209" s="273" t="str">
        <f>IF(C209="YES",'SD-Eq'!Z209,"na")</f>
        <v>na</v>
      </c>
      <c r="M209" s="435" t="str">
        <f t="shared" si="255"/>
        <v>na</v>
      </c>
      <c r="N209" s="273" t="str">
        <f t="shared" si="256"/>
        <v>na</v>
      </c>
      <c r="O209" s="1794" t="str">
        <f t="shared" si="288"/>
        <v>na</v>
      </c>
      <c r="P209" s="1789" t="str">
        <f t="shared" si="289"/>
        <v>na</v>
      </c>
      <c r="Q209" s="418" t="s">
        <v>232</v>
      </c>
      <c r="R209" s="418" t="s">
        <v>232</v>
      </c>
      <c r="S209" s="418" t="s">
        <v>232</v>
      </c>
      <c r="T209" s="418" t="s">
        <v>232</v>
      </c>
      <c r="U209" s="418" t="s">
        <v>232</v>
      </c>
      <c r="V209" s="418" t="s">
        <v>232</v>
      </c>
      <c r="W209" s="418" t="str">
        <f t="shared" si="290"/>
        <v>na</v>
      </c>
      <c r="X209" s="418" t="s">
        <v>232</v>
      </c>
      <c r="Y209" s="1884" t="str">
        <f t="shared" si="260"/>
        <v>na</v>
      </c>
      <c r="Z209" s="1884" t="str">
        <f t="shared" si="261"/>
        <v>na</v>
      </c>
      <c r="AA209" s="1789" t="s">
        <v>232</v>
      </c>
      <c r="AB209" s="1789" t="s">
        <v>232</v>
      </c>
      <c r="AC209" s="273" t="s">
        <v>232</v>
      </c>
      <c r="AD209" s="273" t="s">
        <v>232</v>
      </c>
      <c r="AE209" s="273" t="s">
        <v>232</v>
      </c>
      <c r="AF209" s="273" t="s">
        <v>232</v>
      </c>
      <c r="AG209" s="273" t="s">
        <v>232</v>
      </c>
      <c r="AH209" s="273" t="s">
        <v>232</v>
      </c>
      <c r="AI209" s="273" t="s">
        <v>232</v>
      </c>
      <c r="AJ209" s="273" t="s">
        <v>232</v>
      </c>
      <c r="AK209" s="273" t="s">
        <v>232</v>
      </c>
      <c r="AL209" s="273" t="s">
        <v>232</v>
      </c>
      <c r="AM209" s="273" t="s">
        <v>232</v>
      </c>
      <c r="AN209" s="273" t="str">
        <f t="shared" si="303"/>
        <v>na</v>
      </c>
      <c r="AO209" s="273" t="str">
        <f t="shared" si="263"/>
        <v>na</v>
      </c>
      <c r="AP209" s="273" t="str">
        <f t="shared" si="264"/>
        <v>na</v>
      </c>
      <c r="AQ209" s="273" t="str">
        <f t="shared" si="265"/>
        <v>na</v>
      </c>
      <c r="AR209" s="1789" t="str">
        <f t="shared" si="304"/>
        <v>na</v>
      </c>
      <c r="AS209" s="1051"/>
      <c r="AU209" s="1332" t="str">
        <f t="shared" si="291"/>
        <v/>
      </c>
      <c r="AV209" s="1114" t="str">
        <f t="shared" si="292"/>
        <v/>
      </c>
      <c r="AW209" s="1114" t="str">
        <f t="shared" si="293"/>
        <v/>
      </c>
      <c r="AX209" s="1114" t="str">
        <f t="shared" si="294"/>
        <v/>
      </c>
      <c r="AY209" s="1113" t="str">
        <f t="shared" si="295"/>
        <v/>
      </c>
      <c r="AZ209" s="1114" t="str">
        <f t="shared" si="296"/>
        <v/>
      </c>
      <c r="BA209" s="1114" t="str">
        <f t="shared" si="297"/>
        <v/>
      </c>
      <c r="BB209" s="1704" t="str">
        <f t="shared" si="298"/>
        <v/>
      </c>
      <c r="BC209" s="1113" t="str">
        <f t="shared" si="299"/>
        <v/>
      </c>
      <c r="BD209" s="1114" t="str">
        <f t="shared" si="300"/>
        <v/>
      </c>
      <c r="BE209" s="1114" t="str">
        <f t="shared" si="301"/>
        <v/>
      </c>
      <c r="BF209" s="1114" t="str">
        <f t="shared" si="302"/>
        <v/>
      </c>
      <c r="BG209" s="1114" t="str">
        <f t="shared" si="279"/>
        <v/>
      </c>
      <c r="BH209" s="1114" t="str">
        <f t="shared" si="280"/>
        <v/>
      </c>
      <c r="BI209" s="1114" t="str">
        <f t="shared" si="281"/>
        <v/>
      </c>
      <c r="BJ209" s="1115" t="str">
        <f t="shared" si="282"/>
        <v/>
      </c>
      <c r="BL209" s="1885"/>
    </row>
    <row r="210" spans="1:64" ht="13.9" customHeight="1" x14ac:dyDescent="0.25">
      <c r="A210" s="1916">
        <f>Chem!A210</f>
        <v>208</v>
      </c>
      <c r="B210" s="1880" t="str">
        <f>Chem!B210</f>
        <v>1,1,1,2-Tetrachloroethane</v>
      </c>
      <c r="C210" s="394" t="str">
        <f>Param!AK210</f>
        <v>no</v>
      </c>
      <c r="D210" s="317" t="str">
        <f>IF(ISNUMBER(Param!AN210),Param!AN210,Param!AM210)</f>
        <v>na</v>
      </c>
      <c r="E210" s="273" t="s">
        <v>232</v>
      </c>
      <c r="F210" s="643" t="s">
        <v>232</v>
      </c>
      <c r="G210" s="550" t="s">
        <v>232</v>
      </c>
      <c r="H210" s="550" t="s">
        <v>232</v>
      </c>
      <c r="I210" s="273" t="s">
        <v>232</v>
      </c>
      <c r="J210" s="273" t="s">
        <v>232</v>
      </c>
      <c r="K210" s="219" t="str">
        <f>IF(C210="YES",'SD-Eq'!V210,"na")</f>
        <v>na</v>
      </c>
      <c r="L210" s="273" t="str">
        <f>IF(C210="YES",'SD-Eq'!Z210,"na")</f>
        <v>na</v>
      </c>
      <c r="M210" s="435" t="str">
        <f>IF($C210="YES",IF(OR(ISNUMBER($D210),ISNUMBER($F210)),MAX($D210,$F210),"PQL"),"na")</f>
        <v>na</v>
      </c>
      <c r="N210" s="273" t="str">
        <f t="shared" si="256"/>
        <v>na</v>
      </c>
      <c r="O210" s="1794" t="str">
        <f t="shared" si="288"/>
        <v>na</v>
      </c>
      <c r="P210" s="1789" t="str">
        <f t="shared" si="289"/>
        <v>na</v>
      </c>
      <c r="Q210" s="418" t="s">
        <v>232</v>
      </c>
      <c r="R210" s="418" t="s">
        <v>232</v>
      </c>
      <c r="S210" s="418" t="s">
        <v>232</v>
      </c>
      <c r="T210" s="418" t="s">
        <v>232</v>
      </c>
      <c r="U210" s="418" t="s">
        <v>232</v>
      </c>
      <c r="V210" s="418" t="s">
        <v>232</v>
      </c>
      <c r="W210" s="418" t="str">
        <f t="shared" si="290"/>
        <v>na</v>
      </c>
      <c r="X210" s="418" t="s">
        <v>232</v>
      </c>
      <c r="Y210" s="1884" t="str">
        <f t="shared" si="260"/>
        <v>na</v>
      </c>
      <c r="Z210" s="1884" t="str">
        <f t="shared" si="261"/>
        <v>na</v>
      </c>
      <c r="AA210" s="1789" t="s">
        <v>232</v>
      </c>
      <c r="AB210" s="1789" t="s">
        <v>232</v>
      </c>
      <c r="AC210" s="273" t="s">
        <v>232</v>
      </c>
      <c r="AD210" s="273" t="s">
        <v>232</v>
      </c>
      <c r="AE210" s="273" t="s">
        <v>232</v>
      </c>
      <c r="AF210" s="273" t="s">
        <v>232</v>
      </c>
      <c r="AG210" s="273" t="s">
        <v>232</v>
      </c>
      <c r="AH210" s="273" t="s">
        <v>232</v>
      </c>
      <c r="AI210" s="273" t="s">
        <v>232</v>
      </c>
      <c r="AJ210" s="273" t="s">
        <v>232</v>
      </c>
      <c r="AK210" s="273" t="s">
        <v>232</v>
      </c>
      <c r="AL210" s="273" t="s">
        <v>232</v>
      </c>
      <c r="AM210" s="273" t="s">
        <v>232</v>
      </c>
      <c r="AN210" s="273" t="str">
        <f t="shared" si="303"/>
        <v>na</v>
      </c>
      <c r="AO210" s="273" t="str">
        <f t="shared" si="263"/>
        <v>na</v>
      </c>
      <c r="AP210" s="273" t="str">
        <f t="shared" si="264"/>
        <v>na</v>
      </c>
      <c r="AQ210" s="273" t="str">
        <f t="shared" si="265"/>
        <v>na</v>
      </c>
      <c r="AR210" s="1789" t="str">
        <f t="shared" si="304"/>
        <v>na</v>
      </c>
      <c r="AS210" s="1051"/>
      <c r="AU210" s="1332" t="str">
        <f t="shared" si="291"/>
        <v/>
      </c>
      <c r="AV210" s="1114" t="str">
        <f t="shared" si="292"/>
        <v/>
      </c>
      <c r="AW210" s="1114" t="str">
        <f t="shared" si="293"/>
        <v/>
      </c>
      <c r="AX210" s="1114" t="str">
        <f t="shared" si="294"/>
        <v/>
      </c>
      <c r="AY210" s="1113" t="str">
        <f t="shared" si="295"/>
        <v/>
      </c>
      <c r="AZ210" s="1114" t="str">
        <f t="shared" si="296"/>
        <v/>
      </c>
      <c r="BA210" s="1114" t="str">
        <f t="shared" si="297"/>
        <v/>
      </c>
      <c r="BB210" s="1704" t="str">
        <f t="shared" si="298"/>
        <v/>
      </c>
      <c r="BC210" s="1113" t="str">
        <f t="shared" si="299"/>
        <v/>
      </c>
      <c r="BD210" s="1114" t="str">
        <f t="shared" si="300"/>
        <v/>
      </c>
      <c r="BE210" s="1114" t="str">
        <f t="shared" si="301"/>
        <v/>
      </c>
      <c r="BF210" s="1114" t="str">
        <f t="shared" si="302"/>
        <v/>
      </c>
      <c r="BG210" s="1114" t="str">
        <f t="shared" si="279"/>
        <v/>
      </c>
      <c r="BH210" s="1114" t="str">
        <f t="shared" si="280"/>
        <v/>
      </c>
      <c r="BI210" s="1114" t="str">
        <f t="shared" si="281"/>
        <v/>
      </c>
      <c r="BJ210" s="1115" t="str">
        <f t="shared" si="282"/>
        <v/>
      </c>
      <c r="BL210" s="1885"/>
    </row>
    <row r="211" spans="1:64" ht="13.9" customHeight="1" x14ac:dyDescent="0.25">
      <c r="A211" s="1916">
        <f>Chem!A211</f>
        <v>209</v>
      </c>
      <c r="B211" s="1880" t="str">
        <f>Chem!B211</f>
        <v>1,1,2,2-Tetrachloroethane</v>
      </c>
      <c r="C211" s="394" t="str">
        <f>Param!AK211</f>
        <v>no</v>
      </c>
      <c r="D211" s="317" t="str">
        <f>IF(ISNUMBER(Param!AN211),Param!AN211,Param!AM211)</f>
        <v>na</v>
      </c>
      <c r="E211" s="273" t="s">
        <v>232</v>
      </c>
      <c r="F211" s="643" t="s">
        <v>232</v>
      </c>
      <c r="G211" s="550" t="s">
        <v>232</v>
      </c>
      <c r="H211" s="550" t="s">
        <v>232</v>
      </c>
      <c r="I211" s="273" t="s">
        <v>232</v>
      </c>
      <c r="J211" s="273" t="s">
        <v>232</v>
      </c>
      <c r="K211" s="219" t="str">
        <f>IF(C211="YES",'SD-Eq'!V211,"na")</f>
        <v>na</v>
      </c>
      <c r="L211" s="273" t="str">
        <f>IF(C211="YES",'SD-Eq'!Z211,"na")</f>
        <v>na</v>
      </c>
      <c r="M211" s="435" t="str">
        <f>IF($C211="YES",IF(OR(ISNUMBER($D211),ISNUMBER($F211)),MAX($D211,$F211),"PQL"),"na")</f>
        <v>na</v>
      </c>
      <c r="N211" s="273" t="str">
        <f t="shared" ref="N211:N228" si="320">IF($C211="YES",IF(OR(ISNUMBER($D211),ISNUMBER($E211),ISNUMBER($F211)),MAX($D211:$F211),"PQL"),"na")</f>
        <v>na</v>
      </c>
      <c r="O211" s="1794" t="str">
        <f t="shared" ref="O211:O228" si="321">IF(OR(ISNUMBER(H211),ISNUMBER(K211),ISNUMBER(M211)),MIN(H211,K211,M211),"na")</f>
        <v>na</v>
      </c>
      <c r="P211" s="1789" t="str">
        <f t="shared" ref="P211:P228" si="322">IF(OR(ISNUMBER(J211),ISNUMBER(L211),ISNUMBER(N211)),MIN(J211,L211,N211),"na")</f>
        <v>na</v>
      </c>
      <c r="Q211" s="418" t="s">
        <v>232</v>
      </c>
      <c r="R211" s="418" t="s">
        <v>232</v>
      </c>
      <c r="S211" s="418" t="s">
        <v>232</v>
      </c>
      <c r="T211" s="418" t="s">
        <v>232</v>
      </c>
      <c r="U211" s="418" t="s">
        <v>232</v>
      </c>
      <c r="V211" s="418" t="s">
        <v>232</v>
      </c>
      <c r="W211" s="418" t="str">
        <f t="shared" ref="W211:W228" si="323">IF(ISNUMBER(V211),H211,"na")</f>
        <v>na</v>
      </c>
      <c r="X211" s="418" t="s">
        <v>232</v>
      </c>
      <c r="Y211" s="1884" t="str">
        <f t="shared" ref="Y211:Y228" si="324">IF(OR(ISNUMBER(Q211),ISNUMBER(R211),ISNUMBER(S211),ISNUMBER(T211),ISNUMBER(X211)),MIN(Q211:T211,X211),"na")</f>
        <v>na</v>
      </c>
      <c r="Z211" s="1884" t="str">
        <f t="shared" ref="Z211:Z228" si="325">IF(OR(ISNUMBER(U211),ISNUMBER(W211),ISNUMBER(Y211)),MIN(U211,W211,Y211),O211)</f>
        <v>na</v>
      </c>
      <c r="AA211" s="1789" t="s">
        <v>232</v>
      </c>
      <c r="AB211" s="1789" t="s">
        <v>232</v>
      </c>
      <c r="AC211" s="273" t="s">
        <v>232</v>
      </c>
      <c r="AD211" s="273" t="s">
        <v>232</v>
      </c>
      <c r="AE211" s="273" t="s">
        <v>232</v>
      </c>
      <c r="AF211" s="273" t="s">
        <v>232</v>
      </c>
      <c r="AG211" s="273" t="s">
        <v>232</v>
      </c>
      <c r="AH211" s="273" t="s">
        <v>232</v>
      </c>
      <c r="AI211" s="273" t="s">
        <v>232</v>
      </c>
      <c r="AJ211" s="273" t="s">
        <v>232</v>
      </c>
      <c r="AK211" s="273" t="s">
        <v>232</v>
      </c>
      <c r="AL211" s="273" t="s">
        <v>232</v>
      </c>
      <c r="AM211" s="273" t="s">
        <v>232</v>
      </c>
      <c r="AN211" s="273" t="str">
        <f t="shared" si="303"/>
        <v>na</v>
      </c>
      <c r="AO211" s="273" t="str">
        <f t="shared" si="263"/>
        <v>na</v>
      </c>
      <c r="AP211" s="273" t="str">
        <f t="shared" si="264"/>
        <v>na</v>
      </c>
      <c r="AQ211" s="273" t="str">
        <f t="shared" si="265"/>
        <v>na</v>
      </c>
      <c r="AR211" s="1789" t="str">
        <f t="shared" si="304"/>
        <v>na</v>
      </c>
      <c r="AS211" s="1051"/>
      <c r="AU211" s="1332" t="str">
        <f t="shared" ref="AU211:AU228" si="326">IF($O211="na","",IF($O211=D211,"X",""))</f>
        <v/>
      </c>
      <c r="AV211" s="1114" t="str">
        <f t="shared" ref="AV211:AV228" si="327">IF(OR($O211="PQL",AND(ISNUMBER($F211),$O211=F211)),"X","")</f>
        <v/>
      </c>
      <c r="AW211" s="1114" t="str">
        <f t="shared" ref="AW211:AW228" si="328">IF($O211="na","",IF($O211=H211,"X",""))</f>
        <v/>
      </c>
      <c r="AX211" s="1114" t="str">
        <f t="shared" ref="AX211:AX228" si="329">IF($O211="na","",IF($O211=$K211,"X",""))</f>
        <v/>
      </c>
      <c r="AY211" s="1113" t="str">
        <f t="shared" ref="AY211:AY228" si="330">IF($P211="na","",IF($P211=E211,"X",""))</f>
        <v/>
      </c>
      <c r="AZ211" s="1114" t="str">
        <f t="shared" ref="AZ211:AZ228" si="331">IF(OR($P211="PQL",AND(ISNUMBER($F211),$P211=F211)),"X","")</f>
        <v/>
      </c>
      <c r="BA211" s="1114" t="str">
        <f t="shared" ref="BA211:BA228" si="332">IF($P211="na","",IF($P211=J211,"X",""))</f>
        <v/>
      </c>
      <c r="BB211" s="1704" t="str">
        <f t="shared" ref="BB211:BB228" si="333">IF($P211="na","",IF($P211=$L211,"X",""))</f>
        <v/>
      </c>
      <c r="BC211" s="1113" t="str">
        <f t="shared" ref="BC211:BC228" si="334">IF($Z211="na","",IF($Z211=D211,"X",""))</f>
        <v/>
      </c>
      <c r="BD211" s="1114" t="str">
        <f t="shared" ref="BD211:BD228" si="335">IF($Z211="na","",IF($Z211=F211,"X",""))</f>
        <v/>
      </c>
      <c r="BE211" s="1114" t="str">
        <f t="shared" ref="BE211:BE228" si="336">IF($Z211="na","",IF($Z211=H211,"X",""))</f>
        <v/>
      </c>
      <c r="BF211" s="1114" t="str">
        <f t="shared" ref="BF211:BF228" si="337">IF($Z211="na","",IF($Z211=K211,"X",""))</f>
        <v/>
      </c>
      <c r="BG211" s="1114" t="str">
        <f t="shared" ref="BG211:BG228" si="338">IF($Z211="na","",IF($Z211=Q211,"X",""))</f>
        <v/>
      </c>
      <c r="BH211" s="1114" t="str">
        <f t="shared" ref="BH211:BH228" si="339">IF($Z211="na","",IF(OR($Z211=R211,$Z211=S211,$Z211=T211),"X",""))</f>
        <v/>
      </c>
      <c r="BI211" s="1114" t="str">
        <f t="shared" ref="BI211:BI228" si="340">IF($Z211="na","",IF(OR($Z211=U211,$Z211=W211),"X",""))</f>
        <v/>
      </c>
      <c r="BJ211" s="1115" t="str">
        <f t="shared" ref="BJ211:BJ228" si="341">IF($Z211="na","",IF($Z211=X211,"X",""))</f>
        <v/>
      </c>
      <c r="BL211" s="1885"/>
    </row>
    <row r="212" spans="1:64" ht="13.9" customHeight="1" x14ac:dyDescent="0.25">
      <c r="A212" s="1916">
        <f>Chem!A212</f>
        <v>210</v>
      </c>
      <c r="B212" s="1880" t="str">
        <f>Chem!B212</f>
        <v>Tetrachloroethylene (PCE)</v>
      </c>
      <c r="C212" s="394" t="str">
        <f>Param!AK212</f>
        <v>no</v>
      </c>
      <c r="D212" s="317" t="str">
        <f>IF(ISNUMBER(Param!AN212),Param!AN212,Param!AM212)</f>
        <v>na</v>
      </c>
      <c r="E212" s="273" t="s">
        <v>232</v>
      </c>
      <c r="F212" s="643">
        <v>6.6E-3</v>
      </c>
      <c r="G212" s="550" t="s">
        <v>232</v>
      </c>
      <c r="H212" s="550" t="s">
        <v>232</v>
      </c>
      <c r="I212" s="273" t="s">
        <v>232</v>
      </c>
      <c r="J212" s="273" t="s">
        <v>232</v>
      </c>
      <c r="K212" s="219" t="str">
        <f>IF(C212="YES",'SD-Eq'!V212,"na")</f>
        <v>na</v>
      </c>
      <c r="L212" s="273" t="str">
        <f>IF(C212="YES",'SD-Eq'!Z212,"na")</f>
        <v>na</v>
      </c>
      <c r="M212" s="435" t="str">
        <f t="shared" si="255"/>
        <v>na</v>
      </c>
      <c r="N212" s="273" t="str">
        <f t="shared" si="320"/>
        <v>na</v>
      </c>
      <c r="O212" s="1794" t="str">
        <f t="shared" si="321"/>
        <v>na</v>
      </c>
      <c r="P212" s="1789" t="str">
        <f t="shared" si="322"/>
        <v>na</v>
      </c>
      <c r="Q212" s="418" t="s">
        <v>232</v>
      </c>
      <c r="R212" s="418" t="s">
        <v>232</v>
      </c>
      <c r="S212" s="418" t="s">
        <v>232</v>
      </c>
      <c r="T212" s="418" t="s">
        <v>232</v>
      </c>
      <c r="U212" s="418" t="s">
        <v>232</v>
      </c>
      <c r="V212" s="418" t="s">
        <v>232</v>
      </c>
      <c r="W212" s="418" t="str">
        <f t="shared" si="323"/>
        <v>na</v>
      </c>
      <c r="X212" s="418" t="s">
        <v>232</v>
      </c>
      <c r="Y212" s="1884" t="str">
        <f t="shared" si="324"/>
        <v>na</v>
      </c>
      <c r="Z212" s="1884" t="str">
        <f t="shared" si="325"/>
        <v>na</v>
      </c>
      <c r="AA212" s="1789" t="s">
        <v>232</v>
      </c>
      <c r="AB212" s="1789" t="s">
        <v>232</v>
      </c>
      <c r="AC212" s="273" t="s">
        <v>232</v>
      </c>
      <c r="AD212" s="273" t="s">
        <v>232</v>
      </c>
      <c r="AE212" s="273" t="s">
        <v>232</v>
      </c>
      <c r="AF212" s="273" t="s">
        <v>232</v>
      </c>
      <c r="AG212" s="273" t="s">
        <v>232</v>
      </c>
      <c r="AH212" s="273" t="s">
        <v>232</v>
      </c>
      <c r="AI212" s="273" t="s">
        <v>232</v>
      </c>
      <c r="AJ212" s="273" t="s">
        <v>232</v>
      </c>
      <c r="AK212" s="273" t="s">
        <v>232</v>
      </c>
      <c r="AL212" s="273" t="s">
        <v>232</v>
      </c>
      <c r="AM212" s="273" t="s">
        <v>232</v>
      </c>
      <c r="AN212" s="273" t="str">
        <f t="shared" si="303"/>
        <v>na</v>
      </c>
      <c r="AO212" s="273" t="str">
        <f t="shared" si="263"/>
        <v>na</v>
      </c>
      <c r="AP212" s="273" t="str">
        <f t="shared" si="264"/>
        <v>na</v>
      </c>
      <c r="AQ212" s="273" t="str">
        <f t="shared" si="265"/>
        <v>na</v>
      </c>
      <c r="AR212" s="1789" t="str">
        <f t="shared" si="304"/>
        <v>na</v>
      </c>
      <c r="AS212" s="1051"/>
      <c r="AU212" s="1332" t="str">
        <f t="shared" si="326"/>
        <v/>
      </c>
      <c r="AV212" s="1114" t="str">
        <f t="shared" si="327"/>
        <v/>
      </c>
      <c r="AW212" s="1114" t="str">
        <f t="shared" si="328"/>
        <v/>
      </c>
      <c r="AX212" s="1114" t="str">
        <f t="shared" si="329"/>
        <v/>
      </c>
      <c r="AY212" s="1113" t="str">
        <f t="shared" si="330"/>
        <v/>
      </c>
      <c r="AZ212" s="1114" t="str">
        <f t="shared" si="331"/>
        <v/>
      </c>
      <c r="BA212" s="1114" t="str">
        <f t="shared" si="332"/>
        <v/>
      </c>
      <c r="BB212" s="1704" t="str">
        <f t="shared" si="333"/>
        <v/>
      </c>
      <c r="BC212" s="1113" t="str">
        <f t="shared" si="334"/>
        <v/>
      </c>
      <c r="BD212" s="1114" t="str">
        <f t="shared" si="335"/>
        <v/>
      </c>
      <c r="BE212" s="1114" t="str">
        <f t="shared" si="336"/>
        <v/>
      </c>
      <c r="BF212" s="1114" t="str">
        <f t="shared" si="337"/>
        <v/>
      </c>
      <c r="BG212" s="1114" t="str">
        <f t="shared" si="338"/>
        <v/>
      </c>
      <c r="BH212" s="1114" t="str">
        <f t="shared" si="339"/>
        <v/>
      </c>
      <c r="BI212" s="1114" t="str">
        <f t="shared" si="340"/>
        <v/>
      </c>
      <c r="BJ212" s="1115" t="str">
        <f t="shared" si="341"/>
        <v/>
      </c>
      <c r="BL212" s="1885"/>
    </row>
    <row r="213" spans="1:64" ht="13.9" customHeight="1" x14ac:dyDescent="0.25">
      <c r="A213" s="1916">
        <f>Chem!A213</f>
        <v>211</v>
      </c>
      <c r="B213" s="1880" t="str">
        <f>Chem!B213</f>
        <v>Tetrahydrofuran</v>
      </c>
      <c r="C213" s="394" t="str">
        <f>Param!AK213</f>
        <v>no</v>
      </c>
      <c r="D213" s="317" t="str">
        <f>IF(ISNUMBER(Param!AN213),Param!AN213,Param!AM213)</f>
        <v>na</v>
      </c>
      <c r="E213" s="273" t="s">
        <v>232</v>
      </c>
      <c r="F213" s="643">
        <v>1.0065999999999999</v>
      </c>
      <c r="G213" s="550" t="s">
        <v>232</v>
      </c>
      <c r="H213" s="550" t="s">
        <v>232</v>
      </c>
      <c r="I213" s="273" t="s">
        <v>232</v>
      </c>
      <c r="J213" s="273" t="s">
        <v>232</v>
      </c>
      <c r="K213" s="219" t="str">
        <f>IF(C213="YES",'SD-Eq'!V213,"na")</f>
        <v>na</v>
      </c>
      <c r="L213" s="273" t="str">
        <f>IF(C213="YES",'SD-Eq'!Z213,"na")</f>
        <v>na</v>
      </c>
      <c r="M213" s="435" t="str">
        <f t="shared" si="255"/>
        <v>na</v>
      </c>
      <c r="N213" s="273" t="str">
        <f t="shared" si="320"/>
        <v>na</v>
      </c>
      <c r="O213" s="1794" t="str">
        <f t="shared" si="321"/>
        <v>na</v>
      </c>
      <c r="P213" s="1789" t="str">
        <f t="shared" si="322"/>
        <v>na</v>
      </c>
      <c r="Q213" s="418" t="s">
        <v>232</v>
      </c>
      <c r="R213" s="418" t="s">
        <v>232</v>
      </c>
      <c r="S213" s="418" t="s">
        <v>232</v>
      </c>
      <c r="T213" s="418" t="s">
        <v>232</v>
      </c>
      <c r="U213" s="418" t="s">
        <v>232</v>
      </c>
      <c r="V213" s="418" t="s">
        <v>232</v>
      </c>
      <c r="W213" s="418" t="str">
        <f t="shared" si="323"/>
        <v>na</v>
      </c>
      <c r="X213" s="418" t="s">
        <v>232</v>
      </c>
      <c r="Y213" s="1884" t="str">
        <f t="shared" si="324"/>
        <v>na</v>
      </c>
      <c r="Z213" s="1884" t="str">
        <f t="shared" si="325"/>
        <v>na</v>
      </c>
      <c r="AA213" s="1789" t="s">
        <v>232</v>
      </c>
      <c r="AB213" s="1789" t="s">
        <v>232</v>
      </c>
      <c r="AC213" s="273" t="s">
        <v>232</v>
      </c>
      <c r="AD213" s="273" t="s">
        <v>232</v>
      </c>
      <c r="AE213" s="273" t="s">
        <v>232</v>
      </c>
      <c r="AF213" s="273" t="s">
        <v>232</v>
      </c>
      <c r="AG213" s="273" t="s">
        <v>232</v>
      </c>
      <c r="AH213" s="273" t="s">
        <v>232</v>
      </c>
      <c r="AI213" s="273" t="s">
        <v>232</v>
      </c>
      <c r="AJ213" s="273" t="s">
        <v>232</v>
      </c>
      <c r="AK213" s="273" t="s">
        <v>232</v>
      </c>
      <c r="AL213" s="273" t="s">
        <v>232</v>
      </c>
      <c r="AM213" s="273" t="s">
        <v>232</v>
      </c>
      <c r="AN213" s="273" t="str">
        <f t="shared" ref="AN213" si="342">IF(MIN(AA213,AB213)=0,"na",MIN(AA213,AB213))</f>
        <v>na</v>
      </c>
      <c r="AO213" s="273" t="str">
        <f t="shared" ref="AO213" si="343">IF(MIN(AC213:AF213)=0,"na",MIN(AC213:AF213))</f>
        <v>na</v>
      </c>
      <c r="AP213" s="273" t="str">
        <f t="shared" ref="AP213" si="344">IF(MIN(AG213,AH213)=0,"na",MIN(AG213,AH213))</f>
        <v>na</v>
      </c>
      <c r="AQ213" s="273" t="str">
        <f t="shared" ref="AQ213" si="345">IF(MIN(AI213:AL213)=0,"na",MIN(AI213:AL213))</f>
        <v>na</v>
      </c>
      <c r="AR213" s="1789" t="str">
        <f t="shared" ref="AR213" si="346">IF(MIN(AA213:AM213)=0,"na",MIN(AA213:AM213))</f>
        <v>na</v>
      </c>
      <c r="AS213" s="1051"/>
      <c r="AU213" s="1332" t="str">
        <f t="shared" si="326"/>
        <v/>
      </c>
      <c r="AV213" s="1114" t="str">
        <f t="shared" si="327"/>
        <v/>
      </c>
      <c r="AW213" s="1114" t="str">
        <f t="shared" si="328"/>
        <v/>
      </c>
      <c r="AX213" s="1114" t="str">
        <f t="shared" si="329"/>
        <v/>
      </c>
      <c r="AY213" s="1113" t="str">
        <f t="shared" si="330"/>
        <v/>
      </c>
      <c r="AZ213" s="1114" t="str">
        <f t="shared" si="331"/>
        <v/>
      </c>
      <c r="BA213" s="1114" t="str">
        <f t="shared" si="332"/>
        <v/>
      </c>
      <c r="BB213" s="1704" t="str">
        <f t="shared" si="333"/>
        <v/>
      </c>
      <c r="BC213" s="1113" t="str">
        <f t="shared" si="334"/>
        <v/>
      </c>
      <c r="BD213" s="1114" t="str">
        <f t="shared" si="335"/>
        <v/>
      </c>
      <c r="BE213" s="1114" t="str">
        <f t="shared" si="336"/>
        <v/>
      </c>
      <c r="BF213" s="1114" t="str">
        <f t="shared" si="337"/>
        <v/>
      </c>
      <c r="BG213" s="1114" t="str">
        <f t="shared" si="338"/>
        <v/>
      </c>
      <c r="BH213" s="1114" t="str">
        <f t="shared" si="339"/>
        <v/>
      </c>
      <c r="BI213" s="1114" t="str">
        <f t="shared" si="340"/>
        <v/>
      </c>
      <c r="BJ213" s="1115" t="str">
        <f t="shared" si="341"/>
        <v/>
      </c>
      <c r="BL213" s="1885"/>
    </row>
    <row r="214" spans="1:64" ht="13.9" customHeight="1" x14ac:dyDescent="0.25">
      <c r="A214" s="1916">
        <f>Chem!A214</f>
        <v>212</v>
      </c>
      <c r="B214" s="1880" t="str">
        <f>Chem!B214</f>
        <v>Toluene</v>
      </c>
      <c r="C214" s="394" t="str">
        <f>Param!AK214</f>
        <v>no</v>
      </c>
      <c r="D214" s="317" t="str">
        <f>IF(ISNUMBER(Param!AN214),Param!AN214,Param!AM214)</f>
        <v>na</v>
      </c>
      <c r="E214" s="273" t="s">
        <v>232</v>
      </c>
      <c r="F214" s="643" t="s">
        <v>232</v>
      </c>
      <c r="G214" s="550" t="s">
        <v>232</v>
      </c>
      <c r="H214" s="550" t="s">
        <v>232</v>
      </c>
      <c r="I214" s="273" t="s">
        <v>232</v>
      </c>
      <c r="J214" s="273" t="s">
        <v>232</v>
      </c>
      <c r="K214" s="219" t="str">
        <f>IF(C214="YES",'SD-Eq'!V214,"na")</f>
        <v>na</v>
      </c>
      <c r="L214" s="273" t="str">
        <f>IF(C214="YES",'SD-Eq'!Z214,"na")</f>
        <v>na</v>
      </c>
      <c r="M214" s="435" t="str">
        <f t="shared" si="255"/>
        <v>na</v>
      </c>
      <c r="N214" s="273" t="str">
        <f t="shared" si="320"/>
        <v>na</v>
      </c>
      <c r="O214" s="1794" t="str">
        <f t="shared" si="321"/>
        <v>na</v>
      </c>
      <c r="P214" s="1789" t="str">
        <f t="shared" si="322"/>
        <v>na</v>
      </c>
      <c r="Q214" s="418" t="s">
        <v>232</v>
      </c>
      <c r="R214" s="418" t="s">
        <v>232</v>
      </c>
      <c r="S214" s="418" t="s">
        <v>232</v>
      </c>
      <c r="T214" s="418" t="s">
        <v>232</v>
      </c>
      <c r="U214" s="418" t="s">
        <v>232</v>
      </c>
      <c r="V214" s="418" t="s">
        <v>232</v>
      </c>
      <c r="W214" s="418" t="str">
        <f t="shared" si="323"/>
        <v>na</v>
      </c>
      <c r="X214" s="418" t="s">
        <v>232</v>
      </c>
      <c r="Y214" s="1884" t="str">
        <f t="shared" si="324"/>
        <v>na</v>
      </c>
      <c r="Z214" s="1884" t="str">
        <f t="shared" si="325"/>
        <v>na</v>
      </c>
      <c r="AA214" s="1789" t="s">
        <v>232</v>
      </c>
      <c r="AB214" s="1789" t="s">
        <v>232</v>
      </c>
      <c r="AC214" s="273" t="s">
        <v>232</v>
      </c>
      <c r="AD214" s="273" t="s">
        <v>232</v>
      </c>
      <c r="AE214" s="273" t="s">
        <v>232</v>
      </c>
      <c r="AF214" s="273" t="s">
        <v>232</v>
      </c>
      <c r="AG214" s="273" t="s">
        <v>232</v>
      </c>
      <c r="AH214" s="273" t="s">
        <v>232</v>
      </c>
      <c r="AI214" s="273" t="s">
        <v>232</v>
      </c>
      <c r="AJ214" s="273" t="s">
        <v>232</v>
      </c>
      <c r="AK214" s="273" t="s">
        <v>232</v>
      </c>
      <c r="AL214" s="273" t="s">
        <v>232</v>
      </c>
      <c r="AM214" s="273" t="s">
        <v>232</v>
      </c>
      <c r="AN214" s="273" t="str">
        <f t="shared" si="303"/>
        <v>na</v>
      </c>
      <c r="AO214" s="273" t="str">
        <f t="shared" si="263"/>
        <v>na</v>
      </c>
      <c r="AP214" s="273" t="str">
        <f t="shared" si="264"/>
        <v>na</v>
      </c>
      <c r="AQ214" s="273" t="str">
        <f t="shared" si="265"/>
        <v>na</v>
      </c>
      <c r="AR214" s="1789" t="str">
        <f t="shared" si="304"/>
        <v>na</v>
      </c>
      <c r="AS214" s="1051"/>
      <c r="AU214" s="1332" t="str">
        <f t="shared" si="326"/>
        <v/>
      </c>
      <c r="AV214" s="1114" t="str">
        <f t="shared" si="327"/>
        <v/>
      </c>
      <c r="AW214" s="1114" t="str">
        <f t="shared" si="328"/>
        <v/>
      </c>
      <c r="AX214" s="1114" t="str">
        <f t="shared" si="329"/>
        <v/>
      </c>
      <c r="AY214" s="1113" t="str">
        <f t="shared" si="330"/>
        <v/>
      </c>
      <c r="AZ214" s="1114" t="str">
        <f t="shared" si="331"/>
        <v/>
      </c>
      <c r="BA214" s="1114" t="str">
        <f t="shared" si="332"/>
        <v/>
      </c>
      <c r="BB214" s="1704" t="str">
        <f t="shared" si="333"/>
        <v/>
      </c>
      <c r="BC214" s="1113" t="str">
        <f t="shared" si="334"/>
        <v/>
      </c>
      <c r="BD214" s="1114" t="str">
        <f t="shared" si="335"/>
        <v/>
      </c>
      <c r="BE214" s="1114" t="str">
        <f t="shared" si="336"/>
        <v/>
      </c>
      <c r="BF214" s="1114" t="str">
        <f t="shared" si="337"/>
        <v/>
      </c>
      <c r="BG214" s="1114" t="str">
        <f t="shared" si="338"/>
        <v/>
      </c>
      <c r="BH214" s="1114" t="str">
        <f t="shared" si="339"/>
        <v/>
      </c>
      <c r="BI214" s="1114" t="str">
        <f t="shared" si="340"/>
        <v/>
      </c>
      <c r="BJ214" s="1115" t="str">
        <f t="shared" si="341"/>
        <v/>
      </c>
      <c r="BL214" s="1885"/>
    </row>
    <row r="215" spans="1:64" ht="13.9" customHeight="1" x14ac:dyDescent="0.25">
      <c r="A215" s="1916">
        <f>Chem!A215</f>
        <v>213</v>
      </c>
      <c r="B215" s="1880" t="str">
        <f>Chem!B215</f>
        <v>1,2,3-Trichlorobenzene</v>
      </c>
      <c r="C215" s="394" t="str">
        <f>Param!AK215</f>
        <v>no</v>
      </c>
      <c r="D215" s="317" t="str">
        <f>IF(ISNUMBER(Param!AN215),Param!AN215,Param!AM215)</f>
        <v>na</v>
      </c>
      <c r="E215" s="273" t="s">
        <v>232</v>
      </c>
      <c r="F215" s="643" t="s">
        <v>232</v>
      </c>
      <c r="G215" s="550" t="s">
        <v>232</v>
      </c>
      <c r="H215" s="550" t="s">
        <v>232</v>
      </c>
      <c r="I215" s="273" t="s">
        <v>232</v>
      </c>
      <c r="J215" s="273" t="s">
        <v>232</v>
      </c>
      <c r="K215" s="219" t="str">
        <f>IF(C215="YES",'SD-Eq'!V215,"na")</f>
        <v>na</v>
      </c>
      <c r="L215" s="273" t="str">
        <f>IF(C215="YES",'SD-Eq'!Z215,"na")</f>
        <v>na</v>
      </c>
      <c r="M215" s="435" t="str">
        <f t="shared" ref="M215:M239" si="347">IF($C215="YES",IF(OR(ISNUMBER($D215),ISNUMBER($F215)),MAX($D215,$F215),"PQL"),"na")</f>
        <v>na</v>
      </c>
      <c r="N215" s="273" t="str">
        <f t="shared" si="320"/>
        <v>na</v>
      </c>
      <c r="O215" s="1794" t="str">
        <f t="shared" si="321"/>
        <v>na</v>
      </c>
      <c r="P215" s="1789" t="str">
        <f t="shared" si="322"/>
        <v>na</v>
      </c>
      <c r="Q215" s="418" t="s">
        <v>232</v>
      </c>
      <c r="R215" s="418" t="s">
        <v>232</v>
      </c>
      <c r="S215" s="418" t="s">
        <v>232</v>
      </c>
      <c r="T215" s="418" t="s">
        <v>232</v>
      </c>
      <c r="U215" s="418" t="s">
        <v>232</v>
      </c>
      <c r="V215" s="418" t="s">
        <v>232</v>
      </c>
      <c r="W215" s="418" t="str">
        <f t="shared" si="323"/>
        <v>na</v>
      </c>
      <c r="X215" s="418" t="s">
        <v>232</v>
      </c>
      <c r="Y215" s="1884" t="str">
        <f t="shared" si="324"/>
        <v>na</v>
      </c>
      <c r="Z215" s="1884" t="str">
        <f t="shared" si="325"/>
        <v>na</v>
      </c>
      <c r="AA215" s="1789" t="s">
        <v>232</v>
      </c>
      <c r="AB215" s="1789" t="s">
        <v>232</v>
      </c>
      <c r="AC215" s="273" t="s">
        <v>232</v>
      </c>
      <c r="AD215" s="273" t="s">
        <v>232</v>
      </c>
      <c r="AE215" s="273" t="s">
        <v>232</v>
      </c>
      <c r="AF215" s="273" t="s">
        <v>232</v>
      </c>
      <c r="AG215" s="273" t="s">
        <v>232</v>
      </c>
      <c r="AH215" s="273" t="s">
        <v>232</v>
      </c>
      <c r="AI215" s="273" t="s">
        <v>232</v>
      </c>
      <c r="AJ215" s="273" t="s">
        <v>232</v>
      </c>
      <c r="AK215" s="273" t="s">
        <v>232</v>
      </c>
      <c r="AL215" s="273" t="s">
        <v>232</v>
      </c>
      <c r="AM215" s="273" t="s">
        <v>232</v>
      </c>
      <c r="AN215" s="273" t="str">
        <f t="shared" si="303"/>
        <v>na</v>
      </c>
      <c r="AO215" s="273" t="str">
        <f t="shared" si="263"/>
        <v>na</v>
      </c>
      <c r="AP215" s="273" t="str">
        <f t="shared" si="264"/>
        <v>na</v>
      </c>
      <c r="AQ215" s="273" t="str">
        <f t="shared" si="265"/>
        <v>na</v>
      </c>
      <c r="AR215" s="1789" t="str">
        <f t="shared" si="304"/>
        <v>na</v>
      </c>
      <c r="AS215" s="1051"/>
      <c r="AU215" s="1332" t="str">
        <f t="shared" si="326"/>
        <v/>
      </c>
      <c r="AV215" s="1114" t="str">
        <f t="shared" si="327"/>
        <v/>
      </c>
      <c r="AW215" s="1114" t="str">
        <f t="shared" si="328"/>
        <v/>
      </c>
      <c r="AX215" s="1114" t="str">
        <f t="shared" si="329"/>
        <v/>
      </c>
      <c r="AY215" s="1113" t="str">
        <f t="shared" si="330"/>
        <v/>
      </c>
      <c r="AZ215" s="1114" t="str">
        <f t="shared" si="331"/>
        <v/>
      </c>
      <c r="BA215" s="1114" t="str">
        <f t="shared" si="332"/>
        <v/>
      </c>
      <c r="BB215" s="1704" t="str">
        <f t="shared" si="333"/>
        <v/>
      </c>
      <c r="BC215" s="1113" t="str">
        <f t="shared" si="334"/>
        <v/>
      </c>
      <c r="BD215" s="1114" t="str">
        <f t="shared" si="335"/>
        <v/>
      </c>
      <c r="BE215" s="1114" t="str">
        <f t="shared" si="336"/>
        <v/>
      </c>
      <c r="BF215" s="1114" t="str">
        <f t="shared" si="337"/>
        <v/>
      </c>
      <c r="BG215" s="1114" t="str">
        <f t="shared" si="338"/>
        <v/>
      </c>
      <c r="BH215" s="1114" t="str">
        <f t="shared" si="339"/>
        <v/>
      </c>
      <c r="BI215" s="1114" t="str">
        <f t="shared" si="340"/>
        <v/>
      </c>
      <c r="BJ215" s="1115" t="str">
        <f t="shared" si="341"/>
        <v/>
      </c>
      <c r="BL215" s="1885"/>
    </row>
    <row r="216" spans="1:64" ht="13.9" customHeight="1" x14ac:dyDescent="0.25">
      <c r="A216" s="1916">
        <f>Chem!A216</f>
        <v>214</v>
      </c>
      <c r="B216" s="1880" t="str">
        <f>Chem!B216</f>
        <v>1,1,1-Trichloroethane</v>
      </c>
      <c r="C216" s="394" t="str">
        <f>Param!AK216</f>
        <v>no</v>
      </c>
      <c r="D216" s="317" t="str">
        <f>IF(ISNUMBER(Param!AN216),Param!AN216,Param!AM216)</f>
        <v>na</v>
      </c>
      <c r="E216" s="273" t="s">
        <v>232</v>
      </c>
      <c r="F216" s="643" t="s">
        <v>232</v>
      </c>
      <c r="G216" s="550" t="s">
        <v>232</v>
      </c>
      <c r="H216" s="550" t="s">
        <v>232</v>
      </c>
      <c r="I216" s="273" t="s">
        <v>232</v>
      </c>
      <c r="J216" s="273" t="s">
        <v>232</v>
      </c>
      <c r="K216" s="219" t="str">
        <f>IF(C216="YES",'SD-Eq'!V216,"na")</f>
        <v>na</v>
      </c>
      <c r="L216" s="273" t="str">
        <f>IF(C216="YES",'SD-Eq'!Z216,"na")</f>
        <v>na</v>
      </c>
      <c r="M216" s="435" t="str">
        <f t="shared" si="347"/>
        <v>na</v>
      </c>
      <c r="N216" s="273" t="str">
        <f t="shared" si="320"/>
        <v>na</v>
      </c>
      <c r="O216" s="1794" t="str">
        <f t="shared" si="321"/>
        <v>na</v>
      </c>
      <c r="P216" s="1789" t="str">
        <f t="shared" si="322"/>
        <v>na</v>
      </c>
      <c r="Q216" s="418" t="s">
        <v>232</v>
      </c>
      <c r="R216" s="418" t="s">
        <v>232</v>
      </c>
      <c r="S216" s="418" t="s">
        <v>232</v>
      </c>
      <c r="T216" s="418" t="s">
        <v>232</v>
      </c>
      <c r="U216" s="418" t="s">
        <v>232</v>
      </c>
      <c r="V216" s="418" t="s">
        <v>232</v>
      </c>
      <c r="W216" s="418" t="str">
        <f t="shared" si="323"/>
        <v>na</v>
      </c>
      <c r="X216" s="418" t="s">
        <v>232</v>
      </c>
      <c r="Y216" s="1884" t="str">
        <f t="shared" si="324"/>
        <v>na</v>
      </c>
      <c r="Z216" s="1884" t="str">
        <f t="shared" si="325"/>
        <v>na</v>
      </c>
      <c r="AA216" s="1789" t="s">
        <v>232</v>
      </c>
      <c r="AB216" s="1789" t="s">
        <v>232</v>
      </c>
      <c r="AC216" s="273" t="s">
        <v>232</v>
      </c>
      <c r="AD216" s="273" t="s">
        <v>232</v>
      </c>
      <c r="AE216" s="273" t="s">
        <v>232</v>
      </c>
      <c r="AF216" s="273" t="s">
        <v>232</v>
      </c>
      <c r="AG216" s="273" t="s">
        <v>232</v>
      </c>
      <c r="AH216" s="273" t="s">
        <v>232</v>
      </c>
      <c r="AI216" s="273" t="s">
        <v>232</v>
      </c>
      <c r="AJ216" s="273" t="s">
        <v>232</v>
      </c>
      <c r="AK216" s="273" t="s">
        <v>232</v>
      </c>
      <c r="AL216" s="273" t="s">
        <v>232</v>
      </c>
      <c r="AM216" s="273" t="s">
        <v>232</v>
      </c>
      <c r="AN216" s="273" t="str">
        <f t="shared" ref="AN216:AN228" si="348">IF(MIN(AA216,AB216)=0,"na",MIN(AA216,AB216))</f>
        <v>na</v>
      </c>
      <c r="AO216" s="273" t="str">
        <f t="shared" ref="AO216:AO228" si="349">IF(MIN(AC216:AF216)=0,"na",MIN(AC216:AF216))</f>
        <v>na</v>
      </c>
      <c r="AP216" s="273" t="str">
        <f t="shared" ref="AP216:AP228" si="350">IF(MIN(AG216,AH216)=0,"na",MIN(AG216,AH216))</f>
        <v>na</v>
      </c>
      <c r="AQ216" s="273" t="str">
        <f t="shared" ref="AQ216:AQ228" si="351">IF(MIN(AI216:AL216)=0,"na",MIN(AI216:AL216))</f>
        <v>na</v>
      </c>
      <c r="AR216" s="1789" t="str">
        <f t="shared" ref="AR216:AR228" si="352">IF(MIN(AA216:AM216)=0,"na",MIN(AA216:AM216))</f>
        <v>na</v>
      </c>
      <c r="AS216" s="1051"/>
      <c r="AU216" s="1332" t="str">
        <f t="shared" si="326"/>
        <v/>
      </c>
      <c r="AV216" s="1114" t="str">
        <f t="shared" si="327"/>
        <v/>
      </c>
      <c r="AW216" s="1114" t="str">
        <f t="shared" si="328"/>
        <v/>
      </c>
      <c r="AX216" s="1114" t="str">
        <f t="shared" si="329"/>
        <v/>
      </c>
      <c r="AY216" s="1113" t="str">
        <f t="shared" si="330"/>
        <v/>
      </c>
      <c r="AZ216" s="1114" t="str">
        <f t="shared" si="331"/>
        <v/>
      </c>
      <c r="BA216" s="1114" t="str">
        <f t="shared" si="332"/>
        <v/>
      </c>
      <c r="BB216" s="1704" t="str">
        <f t="shared" si="333"/>
        <v/>
      </c>
      <c r="BC216" s="1113" t="str">
        <f t="shared" si="334"/>
        <v/>
      </c>
      <c r="BD216" s="1114" t="str">
        <f t="shared" si="335"/>
        <v/>
      </c>
      <c r="BE216" s="1114" t="str">
        <f t="shared" si="336"/>
        <v/>
      </c>
      <c r="BF216" s="1114" t="str">
        <f t="shared" si="337"/>
        <v/>
      </c>
      <c r="BG216" s="1114" t="str">
        <f t="shared" si="338"/>
        <v/>
      </c>
      <c r="BH216" s="1114" t="str">
        <f t="shared" si="339"/>
        <v/>
      </c>
      <c r="BI216" s="1114" t="str">
        <f t="shared" si="340"/>
        <v/>
      </c>
      <c r="BJ216" s="1115" t="str">
        <f t="shared" si="341"/>
        <v/>
      </c>
      <c r="BL216" s="1885"/>
    </row>
    <row r="217" spans="1:64" ht="13.9" customHeight="1" x14ac:dyDescent="0.25">
      <c r="A217" s="1916">
        <f>Chem!A217</f>
        <v>215</v>
      </c>
      <c r="B217" s="1880" t="str">
        <f>Chem!B217</f>
        <v>1,1,2-Trichloroethane</v>
      </c>
      <c r="C217" s="394" t="str">
        <f>Param!AK217</f>
        <v>no</v>
      </c>
      <c r="D217" s="317" t="str">
        <f>IF(ISNUMBER(Param!AN217),Param!AN217,Param!AM217)</f>
        <v>na</v>
      </c>
      <c r="E217" s="273" t="s">
        <v>232</v>
      </c>
      <c r="F217" s="643" t="s">
        <v>232</v>
      </c>
      <c r="G217" s="550" t="s">
        <v>232</v>
      </c>
      <c r="H217" s="550" t="s">
        <v>232</v>
      </c>
      <c r="I217" s="273" t="s">
        <v>232</v>
      </c>
      <c r="J217" s="273" t="s">
        <v>232</v>
      </c>
      <c r="K217" s="219" t="str">
        <f>IF(C217="YES",'SD-Eq'!V217,"na")</f>
        <v>na</v>
      </c>
      <c r="L217" s="273" t="str">
        <f>IF(C217="YES",'SD-Eq'!Z217,"na")</f>
        <v>na</v>
      </c>
      <c r="M217" s="435" t="str">
        <f t="shared" si="347"/>
        <v>na</v>
      </c>
      <c r="N217" s="273" t="str">
        <f t="shared" si="320"/>
        <v>na</v>
      </c>
      <c r="O217" s="1794" t="str">
        <f t="shared" si="321"/>
        <v>na</v>
      </c>
      <c r="P217" s="1789" t="str">
        <f t="shared" si="322"/>
        <v>na</v>
      </c>
      <c r="Q217" s="418" t="s">
        <v>232</v>
      </c>
      <c r="R217" s="418" t="s">
        <v>232</v>
      </c>
      <c r="S217" s="418" t="s">
        <v>232</v>
      </c>
      <c r="T217" s="418" t="s">
        <v>232</v>
      </c>
      <c r="U217" s="418" t="s">
        <v>232</v>
      </c>
      <c r="V217" s="418" t="s">
        <v>232</v>
      </c>
      <c r="W217" s="418" t="str">
        <f t="shared" si="323"/>
        <v>na</v>
      </c>
      <c r="X217" s="418" t="s">
        <v>232</v>
      </c>
      <c r="Y217" s="1884" t="str">
        <f t="shared" si="324"/>
        <v>na</v>
      </c>
      <c r="Z217" s="1884" t="str">
        <f t="shared" si="325"/>
        <v>na</v>
      </c>
      <c r="AA217" s="1789" t="s">
        <v>232</v>
      </c>
      <c r="AB217" s="1789" t="s">
        <v>232</v>
      </c>
      <c r="AC217" s="273" t="s">
        <v>232</v>
      </c>
      <c r="AD217" s="273" t="s">
        <v>232</v>
      </c>
      <c r="AE217" s="273" t="s">
        <v>232</v>
      </c>
      <c r="AF217" s="273" t="s">
        <v>232</v>
      </c>
      <c r="AG217" s="273" t="s">
        <v>232</v>
      </c>
      <c r="AH217" s="273" t="s">
        <v>232</v>
      </c>
      <c r="AI217" s="273" t="s">
        <v>232</v>
      </c>
      <c r="AJ217" s="273" t="s">
        <v>232</v>
      </c>
      <c r="AK217" s="273" t="s">
        <v>232</v>
      </c>
      <c r="AL217" s="273" t="s">
        <v>232</v>
      </c>
      <c r="AM217" s="273" t="s">
        <v>232</v>
      </c>
      <c r="AN217" s="273" t="str">
        <f t="shared" si="348"/>
        <v>na</v>
      </c>
      <c r="AO217" s="273" t="str">
        <f t="shared" si="349"/>
        <v>na</v>
      </c>
      <c r="AP217" s="273" t="str">
        <f t="shared" si="350"/>
        <v>na</v>
      </c>
      <c r="AQ217" s="273" t="str">
        <f t="shared" si="351"/>
        <v>na</v>
      </c>
      <c r="AR217" s="1789" t="str">
        <f t="shared" si="352"/>
        <v>na</v>
      </c>
      <c r="AS217" s="1051"/>
      <c r="AU217" s="1332" t="str">
        <f t="shared" si="326"/>
        <v/>
      </c>
      <c r="AV217" s="1114" t="str">
        <f t="shared" si="327"/>
        <v/>
      </c>
      <c r="AW217" s="1114" t="str">
        <f t="shared" si="328"/>
        <v/>
      </c>
      <c r="AX217" s="1114" t="str">
        <f t="shared" si="329"/>
        <v/>
      </c>
      <c r="AY217" s="1113" t="str">
        <f t="shared" si="330"/>
        <v/>
      </c>
      <c r="AZ217" s="1114" t="str">
        <f t="shared" si="331"/>
        <v/>
      </c>
      <c r="BA217" s="1114" t="str">
        <f t="shared" si="332"/>
        <v/>
      </c>
      <c r="BB217" s="1704" t="str">
        <f t="shared" si="333"/>
        <v/>
      </c>
      <c r="BC217" s="1113" t="str">
        <f t="shared" si="334"/>
        <v/>
      </c>
      <c r="BD217" s="1114" t="str">
        <f t="shared" si="335"/>
        <v/>
      </c>
      <c r="BE217" s="1114" t="str">
        <f t="shared" si="336"/>
        <v/>
      </c>
      <c r="BF217" s="1114" t="str">
        <f t="shared" si="337"/>
        <v/>
      </c>
      <c r="BG217" s="1114" t="str">
        <f t="shared" si="338"/>
        <v/>
      </c>
      <c r="BH217" s="1114" t="str">
        <f t="shared" si="339"/>
        <v/>
      </c>
      <c r="BI217" s="1114" t="str">
        <f t="shared" si="340"/>
        <v/>
      </c>
      <c r="BJ217" s="1115" t="str">
        <f t="shared" si="341"/>
        <v/>
      </c>
      <c r="BL217" s="1885"/>
    </row>
    <row r="218" spans="1:64" ht="13.9" customHeight="1" x14ac:dyDescent="0.25">
      <c r="A218" s="1916">
        <f>Chem!A218</f>
        <v>216</v>
      </c>
      <c r="B218" s="1880" t="str">
        <f>Chem!B218</f>
        <v>Trichloroethylene (TCE)</v>
      </c>
      <c r="C218" s="394" t="str">
        <f>Param!AK218</f>
        <v>no</v>
      </c>
      <c r="D218" s="317" t="str">
        <f>IF(ISNUMBER(Param!AN218),Param!AN218,Param!AM218)</f>
        <v>na</v>
      </c>
      <c r="E218" s="273" t="s">
        <v>232</v>
      </c>
      <c r="F218" s="643">
        <v>6.6E-3</v>
      </c>
      <c r="G218" s="550" t="s">
        <v>232</v>
      </c>
      <c r="H218" s="550" t="s">
        <v>232</v>
      </c>
      <c r="I218" s="273" t="s">
        <v>232</v>
      </c>
      <c r="J218" s="273" t="s">
        <v>232</v>
      </c>
      <c r="K218" s="219" t="str">
        <f>IF(C218="YES",'SD-Eq'!V218,"na")</f>
        <v>na</v>
      </c>
      <c r="L218" s="273" t="str">
        <f>IF(C218="YES",'SD-Eq'!Z218,"na")</f>
        <v>na</v>
      </c>
      <c r="M218" s="435" t="str">
        <f t="shared" si="347"/>
        <v>na</v>
      </c>
      <c r="N218" s="273" t="str">
        <f t="shared" si="320"/>
        <v>na</v>
      </c>
      <c r="O218" s="1794" t="str">
        <f t="shared" si="321"/>
        <v>na</v>
      </c>
      <c r="P218" s="1789" t="str">
        <f t="shared" si="322"/>
        <v>na</v>
      </c>
      <c r="Q218" s="418" t="s">
        <v>232</v>
      </c>
      <c r="R218" s="418" t="s">
        <v>232</v>
      </c>
      <c r="S218" s="418" t="s">
        <v>232</v>
      </c>
      <c r="T218" s="418" t="s">
        <v>232</v>
      </c>
      <c r="U218" s="418" t="s">
        <v>232</v>
      </c>
      <c r="V218" s="418" t="s">
        <v>232</v>
      </c>
      <c r="W218" s="418" t="str">
        <f t="shared" si="323"/>
        <v>na</v>
      </c>
      <c r="X218" s="418" t="s">
        <v>232</v>
      </c>
      <c r="Y218" s="1884" t="str">
        <f t="shared" si="324"/>
        <v>na</v>
      </c>
      <c r="Z218" s="1884" t="str">
        <f t="shared" si="325"/>
        <v>na</v>
      </c>
      <c r="AA218" s="1789" t="s">
        <v>232</v>
      </c>
      <c r="AB218" s="1789" t="s">
        <v>232</v>
      </c>
      <c r="AC218" s="273" t="s">
        <v>232</v>
      </c>
      <c r="AD218" s="273" t="s">
        <v>232</v>
      </c>
      <c r="AE218" s="273" t="s">
        <v>232</v>
      </c>
      <c r="AF218" s="273" t="s">
        <v>232</v>
      </c>
      <c r="AG218" s="273" t="s">
        <v>232</v>
      </c>
      <c r="AH218" s="273" t="s">
        <v>232</v>
      </c>
      <c r="AI218" s="273" t="s">
        <v>232</v>
      </c>
      <c r="AJ218" s="273" t="s">
        <v>232</v>
      </c>
      <c r="AK218" s="273" t="s">
        <v>232</v>
      </c>
      <c r="AL218" s="273" t="s">
        <v>232</v>
      </c>
      <c r="AM218" s="273" t="s">
        <v>232</v>
      </c>
      <c r="AN218" s="273" t="str">
        <f t="shared" si="348"/>
        <v>na</v>
      </c>
      <c r="AO218" s="273" t="str">
        <f t="shared" si="349"/>
        <v>na</v>
      </c>
      <c r="AP218" s="273" t="str">
        <f t="shared" si="350"/>
        <v>na</v>
      </c>
      <c r="AQ218" s="273" t="str">
        <f t="shared" si="351"/>
        <v>na</v>
      </c>
      <c r="AR218" s="1789" t="str">
        <f t="shared" si="352"/>
        <v>na</v>
      </c>
      <c r="AS218" s="1051"/>
      <c r="AU218" s="1332" t="str">
        <f t="shared" si="326"/>
        <v/>
      </c>
      <c r="AV218" s="1114" t="str">
        <f t="shared" si="327"/>
        <v/>
      </c>
      <c r="AW218" s="1114" t="str">
        <f t="shared" si="328"/>
        <v/>
      </c>
      <c r="AX218" s="1114" t="str">
        <f t="shared" si="329"/>
        <v/>
      </c>
      <c r="AY218" s="1113" t="str">
        <f t="shared" si="330"/>
        <v/>
      </c>
      <c r="AZ218" s="1114" t="str">
        <f t="shared" si="331"/>
        <v/>
      </c>
      <c r="BA218" s="1114" t="str">
        <f t="shared" si="332"/>
        <v/>
      </c>
      <c r="BB218" s="1704" t="str">
        <f t="shared" si="333"/>
        <v/>
      </c>
      <c r="BC218" s="1113" t="str">
        <f t="shared" si="334"/>
        <v/>
      </c>
      <c r="BD218" s="1114" t="str">
        <f t="shared" si="335"/>
        <v/>
      </c>
      <c r="BE218" s="1114" t="str">
        <f t="shared" si="336"/>
        <v/>
      </c>
      <c r="BF218" s="1114" t="str">
        <f t="shared" si="337"/>
        <v/>
      </c>
      <c r="BG218" s="1114" t="str">
        <f t="shared" si="338"/>
        <v/>
      </c>
      <c r="BH218" s="1114" t="str">
        <f t="shared" si="339"/>
        <v/>
      </c>
      <c r="BI218" s="1114" t="str">
        <f t="shared" si="340"/>
        <v/>
      </c>
      <c r="BJ218" s="1115" t="str">
        <f t="shared" si="341"/>
        <v/>
      </c>
      <c r="BL218" s="1885"/>
    </row>
    <row r="219" spans="1:64" ht="13.9" customHeight="1" x14ac:dyDescent="0.25">
      <c r="A219" s="1916">
        <f>Chem!A219</f>
        <v>217</v>
      </c>
      <c r="B219" s="1880" t="str">
        <f>Chem!B219</f>
        <v>Trichlorofluoroethane</v>
      </c>
      <c r="C219" s="394" t="str">
        <f>Param!AK219</f>
        <v>no</v>
      </c>
      <c r="D219" s="317" t="str">
        <f>IF(ISNUMBER(Param!AN219),Param!AN219,Param!AM219)</f>
        <v>na</v>
      </c>
      <c r="E219" s="273" t="s">
        <v>232</v>
      </c>
      <c r="F219" s="643" t="s">
        <v>232</v>
      </c>
      <c r="G219" s="550" t="s">
        <v>232</v>
      </c>
      <c r="H219" s="550" t="s">
        <v>232</v>
      </c>
      <c r="I219" s="273" t="s">
        <v>232</v>
      </c>
      <c r="J219" s="273" t="s">
        <v>232</v>
      </c>
      <c r="K219" s="219" t="str">
        <f>IF(C219="YES",'SD-Eq'!V219,"na")</f>
        <v>na</v>
      </c>
      <c r="L219" s="273" t="str">
        <f>IF(C219="YES",'SD-Eq'!Z219,"na")</f>
        <v>na</v>
      </c>
      <c r="M219" s="435" t="str">
        <f t="shared" si="347"/>
        <v>na</v>
      </c>
      <c r="N219" s="273" t="str">
        <f t="shared" si="320"/>
        <v>na</v>
      </c>
      <c r="O219" s="1794" t="str">
        <f t="shared" si="321"/>
        <v>na</v>
      </c>
      <c r="P219" s="1789" t="str">
        <f t="shared" si="322"/>
        <v>na</v>
      </c>
      <c r="Q219" s="418" t="s">
        <v>232</v>
      </c>
      <c r="R219" s="418" t="s">
        <v>232</v>
      </c>
      <c r="S219" s="418" t="s">
        <v>232</v>
      </c>
      <c r="T219" s="418" t="s">
        <v>232</v>
      </c>
      <c r="U219" s="418" t="s">
        <v>232</v>
      </c>
      <c r="V219" s="418" t="s">
        <v>232</v>
      </c>
      <c r="W219" s="418" t="str">
        <f t="shared" si="323"/>
        <v>na</v>
      </c>
      <c r="X219" s="418" t="s">
        <v>232</v>
      </c>
      <c r="Y219" s="1884" t="str">
        <f t="shared" si="324"/>
        <v>na</v>
      </c>
      <c r="Z219" s="1884" t="str">
        <f t="shared" si="325"/>
        <v>na</v>
      </c>
      <c r="AA219" s="1789" t="s">
        <v>232</v>
      </c>
      <c r="AB219" s="1789" t="s">
        <v>232</v>
      </c>
      <c r="AC219" s="273" t="s">
        <v>232</v>
      </c>
      <c r="AD219" s="273" t="s">
        <v>232</v>
      </c>
      <c r="AE219" s="273" t="s">
        <v>232</v>
      </c>
      <c r="AF219" s="273" t="s">
        <v>232</v>
      </c>
      <c r="AG219" s="273" t="s">
        <v>232</v>
      </c>
      <c r="AH219" s="273" t="s">
        <v>232</v>
      </c>
      <c r="AI219" s="273" t="s">
        <v>232</v>
      </c>
      <c r="AJ219" s="273" t="s">
        <v>232</v>
      </c>
      <c r="AK219" s="273" t="s">
        <v>232</v>
      </c>
      <c r="AL219" s="273" t="s">
        <v>232</v>
      </c>
      <c r="AM219" s="273" t="s">
        <v>232</v>
      </c>
      <c r="AN219" s="273" t="str">
        <f t="shared" si="348"/>
        <v>na</v>
      </c>
      <c r="AO219" s="273" t="str">
        <f t="shared" si="349"/>
        <v>na</v>
      </c>
      <c r="AP219" s="273" t="str">
        <f t="shared" si="350"/>
        <v>na</v>
      </c>
      <c r="AQ219" s="273" t="str">
        <f t="shared" si="351"/>
        <v>na</v>
      </c>
      <c r="AR219" s="1789" t="str">
        <f t="shared" si="352"/>
        <v>na</v>
      </c>
      <c r="AS219" s="1051"/>
      <c r="AU219" s="1332" t="str">
        <f t="shared" si="326"/>
        <v/>
      </c>
      <c r="AV219" s="1114" t="str">
        <f t="shared" si="327"/>
        <v/>
      </c>
      <c r="AW219" s="1114" t="str">
        <f t="shared" si="328"/>
        <v/>
      </c>
      <c r="AX219" s="1114" t="str">
        <f t="shared" si="329"/>
        <v/>
      </c>
      <c r="AY219" s="1113" t="str">
        <f t="shared" si="330"/>
        <v/>
      </c>
      <c r="AZ219" s="1114" t="str">
        <f t="shared" si="331"/>
        <v/>
      </c>
      <c r="BA219" s="1114" t="str">
        <f t="shared" si="332"/>
        <v/>
      </c>
      <c r="BB219" s="1704" t="str">
        <f t="shared" si="333"/>
        <v/>
      </c>
      <c r="BC219" s="1113" t="str">
        <f t="shared" si="334"/>
        <v/>
      </c>
      <c r="BD219" s="1114" t="str">
        <f t="shared" si="335"/>
        <v/>
      </c>
      <c r="BE219" s="1114" t="str">
        <f t="shared" si="336"/>
        <v/>
      </c>
      <c r="BF219" s="1114" t="str">
        <f t="shared" si="337"/>
        <v/>
      </c>
      <c r="BG219" s="1114" t="str">
        <f t="shared" si="338"/>
        <v/>
      </c>
      <c r="BH219" s="1114" t="str">
        <f t="shared" si="339"/>
        <v/>
      </c>
      <c r="BI219" s="1114" t="str">
        <f t="shared" si="340"/>
        <v/>
      </c>
      <c r="BJ219" s="1115" t="str">
        <f t="shared" si="341"/>
        <v/>
      </c>
      <c r="BL219" s="1885"/>
    </row>
    <row r="220" spans="1:64" ht="13.9" customHeight="1" x14ac:dyDescent="0.25">
      <c r="A220" s="1916">
        <f>Chem!A220</f>
        <v>218</v>
      </c>
      <c r="B220" s="1880" t="str">
        <f>Chem!B220</f>
        <v>Trichlorofluoromethane</v>
      </c>
      <c r="C220" s="394" t="str">
        <f>Param!AK220</f>
        <v>no</v>
      </c>
      <c r="D220" s="317" t="str">
        <f>IF(ISNUMBER(Param!AN220),Param!AN220,Param!AM220)</f>
        <v>na</v>
      </c>
      <c r="E220" s="273" t="s">
        <v>232</v>
      </c>
      <c r="F220" s="643" t="s">
        <v>232</v>
      </c>
      <c r="G220" s="550" t="s">
        <v>232</v>
      </c>
      <c r="H220" s="550" t="s">
        <v>232</v>
      </c>
      <c r="I220" s="273" t="s">
        <v>232</v>
      </c>
      <c r="J220" s="273" t="s">
        <v>232</v>
      </c>
      <c r="K220" s="219" t="str">
        <f>IF(C220="YES",'SD-Eq'!V220,"na")</f>
        <v>na</v>
      </c>
      <c r="L220" s="273" t="str">
        <f>IF(C220="YES",'SD-Eq'!Z220,"na")</f>
        <v>na</v>
      </c>
      <c r="M220" s="435" t="str">
        <f t="shared" si="347"/>
        <v>na</v>
      </c>
      <c r="N220" s="273" t="str">
        <f t="shared" si="320"/>
        <v>na</v>
      </c>
      <c r="O220" s="1794" t="str">
        <f t="shared" si="321"/>
        <v>na</v>
      </c>
      <c r="P220" s="1789" t="str">
        <f t="shared" si="322"/>
        <v>na</v>
      </c>
      <c r="Q220" s="418" t="s">
        <v>232</v>
      </c>
      <c r="R220" s="418" t="s">
        <v>232</v>
      </c>
      <c r="S220" s="418" t="s">
        <v>232</v>
      </c>
      <c r="T220" s="418" t="s">
        <v>232</v>
      </c>
      <c r="U220" s="418" t="s">
        <v>232</v>
      </c>
      <c r="V220" s="418" t="s">
        <v>232</v>
      </c>
      <c r="W220" s="418" t="str">
        <f t="shared" si="323"/>
        <v>na</v>
      </c>
      <c r="X220" s="418" t="s">
        <v>232</v>
      </c>
      <c r="Y220" s="1884" t="str">
        <f t="shared" si="324"/>
        <v>na</v>
      </c>
      <c r="Z220" s="1884" t="str">
        <f t="shared" si="325"/>
        <v>na</v>
      </c>
      <c r="AA220" s="1789" t="s">
        <v>232</v>
      </c>
      <c r="AB220" s="1789" t="s">
        <v>232</v>
      </c>
      <c r="AC220" s="273" t="s">
        <v>232</v>
      </c>
      <c r="AD220" s="273" t="s">
        <v>232</v>
      </c>
      <c r="AE220" s="273" t="s">
        <v>232</v>
      </c>
      <c r="AF220" s="273" t="s">
        <v>232</v>
      </c>
      <c r="AG220" s="273" t="s">
        <v>232</v>
      </c>
      <c r="AH220" s="273" t="s">
        <v>232</v>
      </c>
      <c r="AI220" s="273" t="s">
        <v>232</v>
      </c>
      <c r="AJ220" s="273" t="s">
        <v>232</v>
      </c>
      <c r="AK220" s="273" t="s">
        <v>232</v>
      </c>
      <c r="AL220" s="273" t="s">
        <v>232</v>
      </c>
      <c r="AM220" s="273" t="s">
        <v>232</v>
      </c>
      <c r="AN220" s="273" t="str">
        <f t="shared" si="348"/>
        <v>na</v>
      </c>
      <c r="AO220" s="273" t="str">
        <f t="shared" si="349"/>
        <v>na</v>
      </c>
      <c r="AP220" s="273" t="str">
        <f t="shared" si="350"/>
        <v>na</v>
      </c>
      <c r="AQ220" s="273" t="str">
        <f t="shared" si="351"/>
        <v>na</v>
      </c>
      <c r="AR220" s="1789" t="str">
        <f t="shared" si="352"/>
        <v>na</v>
      </c>
      <c r="AS220" s="1051"/>
      <c r="AU220" s="1332" t="str">
        <f t="shared" si="326"/>
        <v/>
      </c>
      <c r="AV220" s="1114" t="str">
        <f t="shared" si="327"/>
        <v/>
      </c>
      <c r="AW220" s="1114" t="str">
        <f t="shared" si="328"/>
        <v/>
      </c>
      <c r="AX220" s="1114" t="str">
        <f t="shared" si="329"/>
        <v/>
      </c>
      <c r="AY220" s="1113" t="str">
        <f t="shared" si="330"/>
        <v/>
      </c>
      <c r="AZ220" s="1114" t="str">
        <f t="shared" si="331"/>
        <v/>
      </c>
      <c r="BA220" s="1114" t="str">
        <f t="shared" si="332"/>
        <v/>
      </c>
      <c r="BB220" s="1704" t="str">
        <f t="shared" si="333"/>
        <v/>
      </c>
      <c r="BC220" s="1113" t="str">
        <f t="shared" si="334"/>
        <v/>
      </c>
      <c r="BD220" s="1114" t="str">
        <f t="shared" si="335"/>
        <v/>
      </c>
      <c r="BE220" s="1114" t="str">
        <f t="shared" si="336"/>
        <v/>
      </c>
      <c r="BF220" s="1114" t="str">
        <f t="shared" si="337"/>
        <v/>
      </c>
      <c r="BG220" s="1114" t="str">
        <f t="shared" si="338"/>
        <v/>
      </c>
      <c r="BH220" s="1114" t="str">
        <f t="shared" si="339"/>
        <v/>
      </c>
      <c r="BI220" s="1114" t="str">
        <f t="shared" si="340"/>
        <v/>
      </c>
      <c r="BJ220" s="1115" t="str">
        <f t="shared" si="341"/>
        <v/>
      </c>
      <c r="BL220" s="1885"/>
    </row>
    <row r="221" spans="1:64" ht="13.9" customHeight="1" x14ac:dyDescent="0.25">
      <c r="A221" s="1916">
        <f>Chem!A221</f>
        <v>219</v>
      </c>
      <c r="B221" s="1880" t="str">
        <f>Chem!B221</f>
        <v>1,2,3-Trichloropropane</v>
      </c>
      <c r="C221" s="394" t="str">
        <f>Param!AK221</f>
        <v>no</v>
      </c>
      <c r="D221" s="317" t="str">
        <f>IF(ISNUMBER(Param!AN221),Param!AN221,Param!AM221)</f>
        <v>na</v>
      </c>
      <c r="E221" s="273" t="s">
        <v>232</v>
      </c>
      <c r="F221" s="643" t="s">
        <v>232</v>
      </c>
      <c r="G221" s="550" t="s">
        <v>232</v>
      </c>
      <c r="H221" s="550" t="s">
        <v>232</v>
      </c>
      <c r="I221" s="273" t="s">
        <v>232</v>
      </c>
      <c r="J221" s="273" t="s">
        <v>232</v>
      </c>
      <c r="K221" s="219" t="str">
        <f>IF(C221="YES",'SD-Eq'!V221,"na")</f>
        <v>na</v>
      </c>
      <c r="L221" s="273" t="str">
        <f>IF(C221="YES",'SD-Eq'!Z221,"na")</f>
        <v>na</v>
      </c>
      <c r="M221" s="435" t="str">
        <f t="shared" si="347"/>
        <v>na</v>
      </c>
      <c r="N221" s="273" t="str">
        <f t="shared" si="320"/>
        <v>na</v>
      </c>
      <c r="O221" s="1794" t="str">
        <f t="shared" si="321"/>
        <v>na</v>
      </c>
      <c r="P221" s="1789" t="str">
        <f t="shared" si="322"/>
        <v>na</v>
      </c>
      <c r="Q221" s="418" t="s">
        <v>232</v>
      </c>
      <c r="R221" s="418" t="s">
        <v>232</v>
      </c>
      <c r="S221" s="418" t="s">
        <v>232</v>
      </c>
      <c r="T221" s="418" t="s">
        <v>232</v>
      </c>
      <c r="U221" s="418" t="s">
        <v>232</v>
      </c>
      <c r="V221" s="418" t="s">
        <v>232</v>
      </c>
      <c r="W221" s="418" t="str">
        <f t="shared" si="323"/>
        <v>na</v>
      </c>
      <c r="X221" s="418" t="s">
        <v>232</v>
      </c>
      <c r="Y221" s="1884" t="str">
        <f t="shared" si="324"/>
        <v>na</v>
      </c>
      <c r="Z221" s="1884" t="str">
        <f t="shared" si="325"/>
        <v>na</v>
      </c>
      <c r="AA221" s="1789" t="s">
        <v>232</v>
      </c>
      <c r="AB221" s="1789" t="s">
        <v>232</v>
      </c>
      <c r="AC221" s="273" t="s">
        <v>232</v>
      </c>
      <c r="AD221" s="273" t="s">
        <v>232</v>
      </c>
      <c r="AE221" s="273" t="s">
        <v>232</v>
      </c>
      <c r="AF221" s="273" t="s">
        <v>232</v>
      </c>
      <c r="AG221" s="273" t="s">
        <v>232</v>
      </c>
      <c r="AH221" s="273" t="s">
        <v>232</v>
      </c>
      <c r="AI221" s="273" t="s">
        <v>232</v>
      </c>
      <c r="AJ221" s="273" t="s">
        <v>232</v>
      </c>
      <c r="AK221" s="273" t="s">
        <v>232</v>
      </c>
      <c r="AL221" s="273" t="s">
        <v>232</v>
      </c>
      <c r="AM221" s="273" t="s">
        <v>232</v>
      </c>
      <c r="AN221" s="273" t="str">
        <f t="shared" si="348"/>
        <v>na</v>
      </c>
      <c r="AO221" s="273" t="str">
        <f t="shared" si="349"/>
        <v>na</v>
      </c>
      <c r="AP221" s="273" t="str">
        <f t="shared" si="350"/>
        <v>na</v>
      </c>
      <c r="AQ221" s="273" t="str">
        <f t="shared" si="351"/>
        <v>na</v>
      </c>
      <c r="AR221" s="1789" t="str">
        <f t="shared" si="352"/>
        <v>na</v>
      </c>
      <c r="AS221" s="1051"/>
      <c r="AU221" s="1332" t="str">
        <f t="shared" si="326"/>
        <v/>
      </c>
      <c r="AV221" s="1114" t="str">
        <f t="shared" si="327"/>
        <v/>
      </c>
      <c r="AW221" s="1114" t="str">
        <f t="shared" si="328"/>
        <v/>
      </c>
      <c r="AX221" s="1114" t="str">
        <f t="shared" si="329"/>
        <v/>
      </c>
      <c r="AY221" s="1113" t="str">
        <f t="shared" si="330"/>
        <v/>
      </c>
      <c r="AZ221" s="1114" t="str">
        <f t="shared" si="331"/>
        <v/>
      </c>
      <c r="BA221" s="1114" t="str">
        <f t="shared" si="332"/>
        <v/>
      </c>
      <c r="BB221" s="1704" t="str">
        <f t="shared" si="333"/>
        <v/>
      </c>
      <c r="BC221" s="1113" t="str">
        <f t="shared" si="334"/>
        <v/>
      </c>
      <c r="BD221" s="1114" t="str">
        <f t="shared" si="335"/>
        <v/>
      </c>
      <c r="BE221" s="1114" t="str">
        <f t="shared" si="336"/>
        <v/>
      </c>
      <c r="BF221" s="1114" t="str">
        <f t="shared" si="337"/>
        <v/>
      </c>
      <c r="BG221" s="1114" t="str">
        <f t="shared" si="338"/>
        <v/>
      </c>
      <c r="BH221" s="1114" t="str">
        <f t="shared" si="339"/>
        <v/>
      </c>
      <c r="BI221" s="1114" t="str">
        <f t="shared" si="340"/>
        <v/>
      </c>
      <c r="BJ221" s="1115" t="str">
        <f t="shared" si="341"/>
        <v/>
      </c>
      <c r="BL221" s="1885"/>
    </row>
    <row r="222" spans="1:64" ht="13.9" customHeight="1" x14ac:dyDescent="0.25">
      <c r="A222" s="1916">
        <f>Chem!A222</f>
        <v>220</v>
      </c>
      <c r="B222" s="1880" t="str">
        <f>Chem!B222</f>
        <v>Trichlorotrifluoroethane</v>
      </c>
      <c r="C222" s="394" t="str">
        <f>Param!AK222</f>
        <v>no</v>
      </c>
      <c r="D222" s="317" t="str">
        <f>IF(ISNUMBER(Param!AN222),Param!AN222,Param!AM222)</f>
        <v>na</v>
      </c>
      <c r="E222" s="273" t="s">
        <v>232</v>
      </c>
      <c r="F222" s="643" t="s">
        <v>232</v>
      </c>
      <c r="G222" s="550" t="s">
        <v>232</v>
      </c>
      <c r="H222" s="550" t="s">
        <v>232</v>
      </c>
      <c r="I222" s="273" t="s">
        <v>232</v>
      </c>
      <c r="J222" s="273" t="s">
        <v>232</v>
      </c>
      <c r="K222" s="219" t="str">
        <f>IF(C222="YES",'SD-Eq'!V222,"na")</f>
        <v>na</v>
      </c>
      <c r="L222" s="273" t="str">
        <f>IF(C222="YES",'SD-Eq'!Z222,"na")</f>
        <v>na</v>
      </c>
      <c r="M222" s="435" t="str">
        <f t="shared" si="347"/>
        <v>na</v>
      </c>
      <c r="N222" s="273" t="str">
        <f t="shared" si="320"/>
        <v>na</v>
      </c>
      <c r="O222" s="1794" t="str">
        <f t="shared" si="321"/>
        <v>na</v>
      </c>
      <c r="P222" s="1789" t="str">
        <f t="shared" si="322"/>
        <v>na</v>
      </c>
      <c r="Q222" s="418" t="s">
        <v>232</v>
      </c>
      <c r="R222" s="418" t="s">
        <v>232</v>
      </c>
      <c r="S222" s="418" t="s">
        <v>232</v>
      </c>
      <c r="T222" s="418" t="s">
        <v>232</v>
      </c>
      <c r="U222" s="418" t="s">
        <v>232</v>
      </c>
      <c r="V222" s="418" t="s">
        <v>232</v>
      </c>
      <c r="W222" s="418" t="str">
        <f t="shared" si="323"/>
        <v>na</v>
      </c>
      <c r="X222" s="418" t="s">
        <v>232</v>
      </c>
      <c r="Y222" s="1884" t="str">
        <f t="shared" si="324"/>
        <v>na</v>
      </c>
      <c r="Z222" s="1884" t="str">
        <f t="shared" si="325"/>
        <v>na</v>
      </c>
      <c r="AA222" s="1789" t="s">
        <v>232</v>
      </c>
      <c r="AB222" s="1789" t="s">
        <v>232</v>
      </c>
      <c r="AC222" s="273" t="s">
        <v>232</v>
      </c>
      <c r="AD222" s="273" t="s">
        <v>232</v>
      </c>
      <c r="AE222" s="273" t="s">
        <v>232</v>
      </c>
      <c r="AF222" s="273" t="s">
        <v>232</v>
      </c>
      <c r="AG222" s="273" t="s">
        <v>232</v>
      </c>
      <c r="AH222" s="273" t="s">
        <v>232</v>
      </c>
      <c r="AI222" s="273" t="s">
        <v>232</v>
      </c>
      <c r="AJ222" s="273" t="s">
        <v>232</v>
      </c>
      <c r="AK222" s="273" t="s">
        <v>232</v>
      </c>
      <c r="AL222" s="273" t="s">
        <v>232</v>
      </c>
      <c r="AM222" s="273" t="s">
        <v>232</v>
      </c>
      <c r="AN222" s="273" t="str">
        <f t="shared" si="348"/>
        <v>na</v>
      </c>
      <c r="AO222" s="273" t="str">
        <f t="shared" si="349"/>
        <v>na</v>
      </c>
      <c r="AP222" s="273" t="str">
        <f t="shared" si="350"/>
        <v>na</v>
      </c>
      <c r="AQ222" s="273" t="str">
        <f t="shared" si="351"/>
        <v>na</v>
      </c>
      <c r="AR222" s="1789" t="str">
        <f t="shared" si="352"/>
        <v>na</v>
      </c>
      <c r="AS222" s="1051"/>
      <c r="AU222" s="1332" t="str">
        <f t="shared" si="326"/>
        <v/>
      </c>
      <c r="AV222" s="1114" t="str">
        <f t="shared" si="327"/>
        <v/>
      </c>
      <c r="AW222" s="1114" t="str">
        <f t="shared" si="328"/>
        <v/>
      </c>
      <c r="AX222" s="1114" t="str">
        <f t="shared" si="329"/>
        <v/>
      </c>
      <c r="AY222" s="1113" t="str">
        <f t="shared" si="330"/>
        <v/>
      </c>
      <c r="AZ222" s="1114" t="str">
        <f t="shared" si="331"/>
        <v/>
      </c>
      <c r="BA222" s="1114" t="str">
        <f t="shared" si="332"/>
        <v/>
      </c>
      <c r="BB222" s="1704" t="str">
        <f t="shared" si="333"/>
        <v/>
      </c>
      <c r="BC222" s="1113" t="str">
        <f t="shared" si="334"/>
        <v/>
      </c>
      <c r="BD222" s="1114" t="str">
        <f t="shared" si="335"/>
        <v/>
      </c>
      <c r="BE222" s="1114" t="str">
        <f t="shared" si="336"/>
        <v/>
      </c>
      <c r="BF222" s="1114" t="str">
        <f t="shared" si="337"/>
        <v/>
      </c>
      <c r="BG222" s="1114" t="str">
        <f t="shared" si="338"/>
        <v/>
      </c>
      <c r="BH222" s="1114" t="str">
        <f t="shared" si="339"/>
        <v/>
      </c>
      <c r="BI222" s="1114" t="str">
        <f t="shared" si="340"/>
        <v/>
      </c>
      <c r="BJ222" s="1115" t="str">
        <f t="shared" si="341"/>
        <v/>
      </c>
      <c r="BL222" s="1885"/>
    </row>
    <row r="223" spans="1:64" ht="13.9" customHeight="1" x14ac:dyDescent="0.25">
      <c r="A223" s="1916">
        <f>Chem!A223</f>
        <v>221</v>
      </c>
      <c r="B223" s="1880" t="str">
        <f>Chem!B223</f>
        <v>1,2,3-Trimethylbenzene</v>
      </c>
      <c r="C223" s="394" t="str">
        <f>Param!AK223</f>
        <v>no</v>
      </c>
      <c r="D223" s="317" t="str">
        <f>IF(ISNUMBER(Param!AN223),Param!AN223,Param!AM223)</f>
        <v>na</v>
      </c>
      <c r="E223" s="273" t="s">
        <v>232</v>
      </c>
      <c r="F223" s="643" t="s">
        <v>232</v>
      </c>
      <c r="G223" s="550" t="s">
        <v>232</v>
      </c>
      <c r="H223" s="550" t="s">
        <v>232</v>
      </c>
      <c r="I223" s="273" t="s">
        <v>232</v>
      </c>
      <c r="J223" s="273" t="s">
        <v>232</v>
      </c>
      <c r="K223" s="219" t="str">
        <f>IF(C223="YES",'SD-Eq'!V223,"na")</f>
        <v>na</v>
      </c>
      <c r="L223" s="273" t="str">
        <f>IF(C223="YES",'SD-Eq'!Z223,"na")</f>
        <v>na</v>
      </c>
      <c r="M223" s="435" t="str">
        <f t="shared" si="347"/>
        <v>na</v>
      </c>
      <c r="N223" s="273" t="str">
        <f t="shared" si="320"/>
        <v>na</v>
      </c>
      <c r="O223" s="1794" t="str">
        <f t="shared" si="321"/>
        <v>na</v>
      </c>
      <c r="P223" s="1789" t="str">
        <f t="shared" si="322"/>
        <v>na</v>
      </c>
      <c r="Q223" s="418" t="s">
        <v>232</v>
      </c>
      <c r="R223" s="418" t="s">
        <v>232</v>
      </c>
      <c r="S223" s="418" t="s">
        <v>232</v>
      </c>
      <c r="T223" s="418" t="s">
        <v>232</v>
      </c>
      <c r="U223" s="418" t="s">
        <v>232</v>
      </c>
      <c r="V223" s="418" t="s">
        <v>232</v>
      </c>
      <c r="W223" s="418" t="str">
        <f t="shared" si="323"/>
        <v>na</v>
      </c>
      <c r="X223" s="418" t="s">
        <v>232</v>
      </c>
      <c r="Y223" s="1884" t="str">
        <f t="shared" si="324"/>
        <v>na</v>
      </c>
      <c r="Z223" s="1884" t="str">
        <f t="shared" si="325"/>
        <v>na</v>
      </c>
      <c r="AA223" s="1789" t="s">
        <v>232</v>
      </c>
      <c r="AB223" s="1789" t="s">
        <v>232</v>
      </c>
      <c r="AC223" s="273" t="s">
        <v>232</v>
      </c>
      <c r="AD223" s="273" t="s">
        <v>232</v>
      </c>
      <c r="AE223" s="273" t="s">
        <v>232</v>
      </c>
      <c r="AF223" s="273" t="s">
        <v>232</v>
      </c>
      <c r="AG223" s="273" t="s">
        <v>232</v>
      </c>
      <c r="AH223" s="273" t="s">
        <v>232</v>
      </c>
      <c r="AI223" s="273" t="s">
        <v>232</v>
      </c>
      <c r="AJ223" s="273" t="s">
        <v>232</v>
      </c>
      <c r="AK223" s="273" t="s">
        <v>232</v>
      </c>
      <c r="AL223" s="273" t="s">
        <v>232</v>
      </c>
      <c r="AM223" s="273" t="s">
        <v>232</v>
      </c>
      <c r="AN223" s="273" t="str">
        <f t="shared" si="348"/>
        <v>na</v>
      </c>
      <c r="AO223" s="273" t="str">
        <f t="shared" si="349"/>
        <v>na</v>
      </c>
      <c r="AP223" s="273" t="str">
        <f t="shared" si="350"/>
        <v>na</v>
      </c>
      <c r="AQ223" s="273" t="str">
        <f t="shared" si="351"/>
        <v>na</v>
      </c>
      <c r="AR223" s="1789" t="str">
        <f t="shared" si="352"/>
        <v>na</v>
      </c>
      <c r="AS223" s="1051"/>
      <c r="AU223" s="1332" t="str">
        <f t="shared" si="326"/>
        <v/>
      </c>
      <c r="AV223" s="1114" t="str">
        <f t="shared" si="327"/>
        <v/>
      </c>
      <c r="AW223" s="1114" t="str">
        <f t="shared" si="328"/>
        <v/>
      </c>
      <c r="AX223" s="1114" t="str">
        <f t="shared" si="329"/>
        <v/>
      </c>
      <c r="AY223" s="1113" t="str">
        <f t="shared" si="330"/>
        <v/>
      </c>
      <c r="AZ223" s="1114" t="str">
        <f t="shared" si="331"/>
        <v/>
      </c>
      <c r="BA223" s="1114" t="str">
        <f t="shared" si="332"/>
        <v/>
      </c>
      <c r="BB223" s="1704" t="str">
        <f t="shared" si="333"/>
        <v/>
      </c>
      <c r="BC223" s="1113" t="str">
        <f t="shared" si="334"/>
        <v/>
      </c>
      <c r="BD223" s="1114" t="str">
        <f t="shared" si="335"/>
        <v/>
      </c>
      <c r="BE223" s="1114" t="str">
        <f t="shared" si="336"/>
        <v/>
      </c>
      <c r="BF223" s="1114" t="str">
        <f t="shared" si="337"/>
        <v/>
      </c>
      <c r="BG223" s="1114" t="str">
        <f t="shared" si="338"/>
        <v/>
      </c>
      <c r="BH223" s="1114" t="str">
        <f t="shared" si="339"/>
        <v/>
      </c>
      <c r="BI223" s="1114" t="str">
        <f t="shared" si="340"/>
        <v/>
      </c>
      <c r="BJ223" s="1115" t="str">
        <f t="shared" si="341"/>
        <v/>
      </c>
      <c r="BL223" s="1885"/>
    </row>
    <row r="224" spans="1:64" ht="13.9" customHeight="1" x14ac:dyDescent="0.25">
      <c r="A224" s="1916">
        <f>Chem!A224</f>
        <v>222</v>
      </c>
      <c r="B224" s="1880" t="str">
        <f>Chem!B224</f>
        <v>1,2,4-Trimethylbenzene</v>
      </c>
      <c r="C224" s="394" t="str">
        <f>Param!AK224</f>
        <v>no</v>
      </c>
      <c r="D224" s="317" t="str">
        <f>IF(ISNUMBER(Param!AN224),Param!AN224,Param!AM224)</f>
        <v>na</v>
      </c>
      <c r="E224" s="273" t="s">
        <v>232</v>
      </c>
      <c r="F224" s="643" t="s">
        <v>232</v>
      </c>
      <c r="G224" s="550" t="s">
        <v>232</v>
      </c>
      <c r="H224" s="550" t="s">
        <v>232</v>
      </c>
      <c r="I224" s="273" t="s">
        <v>232</v>
      </c>
      <c r="J224" s="273" t="s">
        <v>232</v>
      </c>
      <c r="K224" s="219" t="str">
        <f>IF(C224="YES",'SD-Eq'!V224,"na")</f>
        <v>na</v>
      </c>
      <c r="L224" s="273" t="str">
        <f>IF(C224="YES",'SD-Eq'!Z224,"na")</f>
        <v>na</v>
      </c>
      <c r="M224" s="435" t="str">
        <f t="shared" si="347"/>
        <v>na</v>
      </c>
      <c r="N224" s="273" t="str">
        <f t="shared" si="320"/>
        <v>na</v>
      </c>
      <c r="O224" s="1794" t="str">
        <f t="shared" si="321"/>
        <v>na</v>
      </c>
      <c r="P224" s="1789" t="str">
        <f t="shared" si="322"/>
        <v>na</v>
      </c>
      <c r="Q224" s="418" t="s">
        <v>232</v>
      </c>
      <c r="R224" s="418" t="s">
        <v>232</v>
      </c>
      <c r="S224" s="418" t="s">
        <v>232</v>
      </c>
      <c r="T224" s="418" t="s">
        <v>232</v>
      </c>
      <c r="U224" s="418" t="s">
        <v>232</v>
      </c>
      <c r="V224" s="418" t="s">
        <v>232</v>
      </c>
      <c r="W224" s="418" t="str">
        <f t="shared" si="323"/>
        <v>na</v>
      </c>
      <c r="X224" s="418" t="s">
        <v>232</v>
      </c>
      <c r="Y224" s="1884" t="str">
        <f t="shared" si="324"/>
        <v>na</v>
      </c>
      <c r="Z224" s="1884" t="str">
        <f t="shared" si="325"/>
        <v>na</v>
      </c>
      <c r="AA224" s="1789" t="s">
        <v>232</v>
      </c>
      <c r="AB224" s="1789" t="s">
        <v>232</v>
      </c>
      <c r="AC224" s="273" t="s">
        <v>232</v>
      </c>
      <c r="AD224" s="273" t="s">
        <v>232</v>
      </c>
      <c r="AE224" s="273" t="s">
        <v>232</v>
      </c>
      <c r="AF224" s="273" t="s">
        <v>232</v>
      </c>
      <c r="AG224" s="273" t="s">
        <v>232</v>
      </c>
      <c r="AH224" s="273" t="s">
        <v>232</v>
      </c>
      <c r="AI224" s="273" t="s">
        <v>232</v>
      </c>
      <c r="AJ224" s="273" t="s">
        <v>232</v>
      </c>
      <c r="AK224" s="273" t="s">
        <v>232</v>
      </c>
      <c r="AL224" s="273" t="s">
        <v>232</v>
      </c>
      <c r="AM224" s="273" t="s">
        <v>232</v>
      </c>
      <c r="AN224" s="273" t="str">
        <f t="shared" si="348"/>
        <v>na</v>
      </c>
      <c r="AO224" s="273" t="str">
        <f t="shared" si="349"/>
        <v>na</v>
      </c>
      <c r="AP224" s="273" t="str">
        <f t="shared" si="350"/>
        <v>na</v>
      </c>
      <c r="AQ224" s="273" t="str">
        <f t="shared" si="351"/>
        <v>na</v>
      </c>
      <c r="AR224" s="1789" t="str">
        <f t="shared" si="352"/>
        <v>na</v>
      </c>
      <c r="AS224" s="1051"/>
      <c r="AU224" s="1332" t="str">
        <f t="shared" si="326"/>
        <v/>
      </c>
      <c r="AV224" s="1114" t="str">
        <f t="shared" si="327"/>
        <v/>
      </c>
      <c r="AW224" s="1114" t="str">
        <f t="shared" si="328"/>
        <v/>
      </c>
      <c r="AX224" s="1114" t="str">
        <f t="shared" si="329"/>
        <v/>
      </c>
      <c r="AY224" s="1113" t="str">
        <f t="shared" si="330"/>
        <v/>
      </c>
      <c r="AZ224" s="1114" t="str">
        <f t="shared" si="331"/>
        <v/>
      </c>
      <c r="BA224" s="1114" t="str">
        <f t="shared" si="332"/>
        <v/>
      </c>
      <c r="BB224" s="1704" t="str">
        <f t="shared" si="333"/>
        <v/>
      </c>
      <c r="BC224" s="1113" t="str">
        <f t="shared" si="334"/>
        <v/>
      </c>
      <c r="BD224" s="1114" t="str">
        <f t="shared" si="335"/>
        <v/>
      </c>
      <c r="BE224" s="1114" t="str">
        <f t="shared" si="336"/>
        <v/>
      </c>
      <c r="BF224" s="1114" t="str">
        <f t="shared" si="337"/>
        <v/>
      </c>
      <c r="BG224" s="1114" t="str">
        <f t="shared" si="338"/>
        <v/>
      </c>
      <c r="BH224" s="1114" t="str">
        <f t="shared" si="339"/>
        <v/>
      </c>
      <c r="BI224" s="1114" t="str">
        <f t="shared" si="340"/>
        <v/>
      </c>
      <c r="BJ224" s="1115" t="str">
        <f t="shared" si="341"/>
        <v/>
      </c>
      <c r="BL224" s="1885"/>
    </row>
    <row r="225" spans="1:64" ht="13.9" customHeight="1" x14ac:dyDescent="0.25">
      <c r="A225" s="1916">
        <f>Chem!A225</f>
        <v>223</v>
      </c>
      <c r="B225" s="1880" t="str">
        <f>Chem!B225</f>
        <v>1,3,5-Trimethylbenzene</v>
      </c>
      <c r="C225" s="394" t="str">
        <f>Param!AK225</f>
        <v>no</v>
      </c>
      <c r="D225" s="317" t="str">
        <f>IF(ISNUMBER(Param!AN225),Param!AN225,Param!AM225)</f>
        <v>na</v>
      </c>
      <c r="E225" s="273" t="s">
        <v>232</v>
      </c>
      <c r="F225" s="643" t="s">
        <v>232</v>
      </c>
      <c r="G225" s="550" t="s">
        <v>232</v>
      </c>
      <c r="H225" s="550" t="s">
        <v>232</v>
      </c>
      <c r="I225" s="273" t="s">
        <v>232</v>
      </c>
      <c r="J225" s="273" t="s">
        <v>232</v>
      </c>
      <c r="K225" s="219" t="str">
        <f>IF(C225="YES",'SD-Eq'!V225,"na")</f>
        <v>na</v>
      </c>
      <c r="L225" s="273" t="str">
        <f>IF(C225="YES",'SD-Eq'!Z225,"na")</f>
        <v>na</v>
      </c>
      <c r="M225" s="435" t="str">
        <f t="shared" si="347"/>
        <v>na</v>
      </c>
      <c r="N225" s="273" t="str">
        <f t="shared" si="320"/>
        <v>na</v>
      </c>
      <c r="O225" s="1794" t="str">
        <f t="shared" si="321"/>
        <v>na</v>
      </c>
      <c r="P225" s="1789" t="str">
        <f t="shared" si="322"/>
        <v>na</v>
      </c>
      <c r="Q225" s="418" t="s">
        <v>232</v>
      </c>
      <c r="R225" s="418" t="s">
        <v>232</v>
      </c>
      <c r="S225" s="418" t="s">
        <v>232</v>
      </c>
      <c r="T225" s="418" t="s">
        <v>232</v>
      </c>
      <c r="U225" s="418" t="s">
        <v>232</v>
      </c>
      <c r="V225" s="418" t="s">
        <v>232</v>
      </c>
      <c r="W225" s="418" t="str">
        <f t="shared" si="323"/>
        <v>na</v>
      </c>
      <c r="X225" s="418" t="s">
        <v>232</v>
      </c>
      <c r="Y225" s="1884" t="str">
        <f t="shared" si="324"/>
        <v>na</v>
      </c>
      <c r="Z225" s="1884" t="str">
        <f t="shared" si="325"/>
        <v>na</v>
      </c>
      <c r="AA225" s="1789" t="s">
        <v>232</v>
      </c>
      <c r="AB225" s="1789" t="s">
        <v>232</v>
      </c>
      <c r="AC225" s="273" t="s">
        <v>232</v>
      </c>
      <c r="AD225" s="273" t="s">
        <v>232</v>
      </c>
      <c r="AE225" s="273" t="s">
        <v>232</v>
      </c>
      <c r="AF225" s="273" t="s">
        <v>232</v>
      </c>
      <c r="AG225" s="273" t="s">
        <v>232</v>
      </c>
      <c r="AH225" s="273" t="s">
        <v>232</v>
      </c>
      <c r="AI225" s="273" t="s">
        <v>232</v>
      </c>
      <c r="AJ225" s="273" t="s">
        <v>232</v>
      </c>
      <c r="AK225" s="273" t="s">
        <v>232</v>
      </c>
      <c r="AL225" s="273" t="s">
        <v>232</v>
      </c>
      <c r="AM225" s="273" t="s">
        <v>232</v>
      </c>
      <c r="AN225" s="273" t="str">
        <f t="shared" si="348"/>
        <v>na</v>
      </c>
      <c r="AO225" s="273" t="str">
        <f t="shared" si="349"/>
        <v>na</v>
      </c>
      <c r="AP225" s="273" t="str">
        <f t="shared" si="350"/>
        <v>na</v>
      </c>
      <c r="AQ225" s="273" t="str">
        <f t="shared" si="351"/>
        <v>na</v>
      </c>
      <c r="AR225" s="1789" t="str">
        <f t="shared" si="352"/>
        <v>na</v>
      </c>
      <c r="AS225" s="1051"/>
      <c r="AU225" s="1332" t="str">
        <f t="shared" si="326"/>
        <v/>
      </c>
      <c r="AV225" s="1114" t="str">
        <f t="shared" si="327"/>
        <v/>
      </c>
      <c r="AW225" s="1114" t="str">
        <f t="shared" si="328"/>
        <v/>
      </c>
      <c r="AX225" s="1114" t="str">
        <f t="shared" si="329"/>
        <v/>
      </c>
      <c r="AY225" s="1113" t="str">
        <f t="shared" si="330"/>
        <v/>
      </c>
      <c r="AZ225" s="1114" t="str">
        <f t="shared" si="331"/>
        <v/>
      </c>
      <c r="BA225" s="1114" t="str">
        <f t="shared" si="332"/>
        <v/>
      </c>
      <c r="BB225" s="1704" t="str">
        <f t="shared" si="333"/>
        <v/>
      </c>
      <c r="BC225" s="1113" t="str">
        <f t="shared" si="334"/>
        <v/>
      </c>
      <c r="BD225" s="1114" t="str">
        <f t="shared" si="335"/>
        <v/>
      </c>
      <c r="BE225" s="1114" t="str">
        <f t="shared" si="336"/>
        <v/>
      </c>
      <c r="BF225" s="1114" t="str">
        <f t="shared" si="337"/>
        <v/>
      </c>
      <c r="BG225" s="1114" t="str">
        <f t="shared" si="338"/>
        <v/>
      </c>
      <c r="BH225" s="1114" t="str">
        <f t="shared" si="339"/>
        <v/>
      </c>
      <c r="BI225" s="1114" t="str">
        <f t="shared" si="340"/>
        <v/>
      </c>
      <c r="BJ225" s="1115" t="str">
        <f t="shared" si="341"/>
        <v/>
      </c>
      <c r="BL225" s="1885"/>
    </row>
    <row r="226" spans="1:64" ht="13.9" customHeight="1" x14ac:dyDescent="0.25">
      <c r="A226" s="1916">
        <f>Chem!A226</f>
        <v>224</v>
      </c>
      <c r="B226" s="1880" t="str">
        <f>Chem!B226</f>
        <v>Vinyl acetate</v>
      </c>
      <c r="C226" s="394" t="str">
        <f>Param!AK226</f>
        <v>no</v>
      </c>
      <c r="D226" s="317" t="str">
        <f>IF(ISNUMBER(Param!AN226),Param!AN226,Param!AM226)</f>
        <v>na</v>
      </c>
      <c r="E226" s="273" t="s">
        <v>232</v>
      </c>
      <c r="F226" s="643" t="s">
        <v>232</v>
      </c>
      <c r="G226" s="550" t="s">
        <v>232</v>
      </c>
      <c r="H226" s="550" t="s">
        <v>232</v>
      </c>
      <c r="I226" s="273" t="s">
        <v>232</v>
      </c>
      <c r="J226" s="273" t="s">
        <v>232</v>
      </c>
      <c r="K226" s="219" t="str">
        <f>IF(C226="YES",'SD-Eq'!V226,"na")</f>
        <v>na</v>
      </c>
      <c r="L226" s="273" t="str">
        <f>IF(C226="YES",'SD-Eq'!Z226,"na")</f>
        <v>na</v>
      </c>
      <c r="M226" s="435" t="str">
        <f t="shared" si="347"/>
        <v>na</v>
      </c>
      <c r="N226" s="273" t="str">
        <f t="shared" si="320"/>
        <v>na</v>
      </c>
      <c r="O226" s="1794" t="str">
        <f t="shared" si="321"/>
        <v>na</v>
      </c>
      <c r="P226" s="1789" t="str">
        <f t="shared" si="322"/>
        <v>na</v>
      </c>
      <c r="Q226" s="418" t="s">
        <v>232</v>
      </c>
      <c r="R226" s="418" t="s">
        <v>232</v>
      </c>
      <c r="S226" s="418" t="s">
        <v>232</v>
      </c>
      <c r="T226" s="418" t="s">
        <v>232</v>
      </c>
      <c r="U226" s="418" t="s">
        <v>232</v>
      </c>
      <c r="V226" s="418" t="s">
        <v>232</v>
      </c>
      <c r="W226" s="418" t="str">
        <f t="shared" si="323"/>
        <v>na</v>
      </c>
      <c r="X226" s="418" t="s">
        <v>232</v>
      </c>
      <c r="Y226" s="1884" t="str">
        <f t="shared" si="324"/>
        <v>na</v>
      </c>
      <c r="Z226" s="1884" t="str">
        <f t="shared" si="325"/>
        <v>na</v>
      </c>
      <c r="AA226" s="1789" t="s">
        <v>232</v>
      </c>
      <c r="AB226" s="1789" t="s">
        <v>232</v>
      </c>
      <c r="AC226" s="273" t="s">
        <v>232</v>
      </c>
      <c r="AD226" s="273" t="s">
        <v>232</v>
      </c>
      <c r="AE226" s="273" t="s">
        <v>232</v>
      </c>
      <c r="AF226" s="273" t="s">
        <v>232</v>
      </c>
      <c r="AG226" s="273" t="s">
        <v>232</v>
      </c>
      <c r="AH226" s="273" t="s">
        <v>232</v>
      </c>
      <c r="AI226" s="273" t="s">
        <v>232</v>
      </c>
      <c r="AJ226" s="273" t="s">
        <v>232</v>
      </c>
      <c r="AK226" s="273" t="s">
        <v>232</v>
      </c>
      <c r="AL226" s="273" t="s">
        <v>232</v>
      </c>
      <c r="AM226" s="273" t="s">
        <v>232</v>
      </c>
      <c r="AN226" s="273" t="str">
        <f t="shared" si="348"/>
        <v>na</v>
      </c>
      <c r="AO226" s="273" t="str">
        <f t="shared" si="349"/>
        <v>na</v>
      </c>
      <c r="AP226" s="273" t="str">
        <f t="shared" si="350"/>
        <v>na</v>
      </c>
      <c r="AQ226" s="273" t="str">
        <f t="shared" si="351"/>
        <v>na</v>
      </c>
      <c r="AR226" s="1789" t="str">
        <f t="shared" si="352"/>
        <v>na</v>
      </c>
      <c r="AS226" s="1051"/>
      <c r="AU226" s="1332" t="str">
        <f t="shared" si="326"/>
        <v/>
      </c>
      <c r="AV226" s="1114" t="str">
        <f t="shared" si="327"/>
        <v/>
      </c>
      <c r="AW226" s="1114" t="str">
        <f t="shared" si="328"/>
        <v/>
      </c>
      <c r="AX226" s="1114" t="str">
        <f t="shared" si="329"/>
        <v/>
      </c>
      <c r="AY226" s="1113" t="str">
        <f t="shared" si="330"/>
        <v/>
      </c>
      <c r="AZ226" s="1114" t="str">
        <f t="shared" si="331"/>
        <v/>
      </c>
      <c r="BA226" s="1114" t="str">
        <f t="shared" si="332"/>
        <v/>
      </c>
      <c r="BB226" s="1704" t="str">
        <f t="shared" si="333"/>
        <v/>
      </c>
      <c r="BC226" s="1113" t="str">
        <f t="shared" si="334"/>
        <v/>
      </c>
      <c r="BD226" s="1114" t="str">
        <f t="shared" si="335"/>
        <v/>
      </c>
      <c r="BE226" s="1114" t="str">
        <f t="shared" si="336"/>
        <v/>
      </c>
      <c r="BF226" s="1114" t="str">
        <f t="shared" si="337"/>
        <v/>
      </c>
      <c r="BG226" s="1114" t="str">
        <f t="shared" si="338"/>
        <v/>
      </c>
      <c r="BH226" s="1114" t="str">
        <f t="shared" si="339"/>
        <v/>
      </c>
      <c r="BI226" s="1114" t="str">
        <f t="shared" si="340"/>
        <v/>
      </c>
      <c r="BJ226" s="1115" t="str">
        <f t="shared" si="341"/>
        <v/>
      </c>
      <c r="BL226" s="1885"/>
    </row>
    <row r="227" spans="1:64" ht="13.9" customHeight="1" x14ac:dyDescent="0.25">
      <c r="A227" s="1916">
        <f>Chem!A227</f>
        <v>225</v>
      </c>
      <c r="B227" s="1880" t="str">
        <f>Chem!B227</f>
        <v>Vinyl chloride</v>
      </c>
      <c r="C227" s="394" t="str">
        <f>Param!AK227</f>
        <v>no</v>
      </c>
      <c r="D227" s="317" t="str">
        <f>IF(ISNUMBER(Param!AN227),Param!AN227,Param!AM227)</f>
        <v>na</v>
      </c>
      <c r="E227" s="273" t="s">
        <v>232</v>
      </c>
      <c r="F227" s="643" t="s">
        <v>232</v>
      </c>
      <c r="G227" s="550" t="s">
        <v>232</v>
      </c>
      <c r="H227" s="550" t="s">
        <v>232</v>
      </c>
      <c r="I227" s="273" t="s">
        <v>232</v>
      </c>
      <c r="J227" s="273" t="s">
        <v>232</v>
      </c>
      <c r="K227" s="219" t="str">
        <f>IF(C227="YES",'SD-Eq'!V227,"na")</f>
        <v>na</v>
      </c>
      <c r="L227" s="273" t="str">
        <f>IF(C227="YES",'SD-Eq'!Z227,"na")</f>
        <v>na</v>
      </c>
      <c r="M227" s="435" t="str">
        <f t="shared" si="347"/>
        <v>na</v>
      </c>
      <c r="N227" s="273" t="str">
        <f t="shared" si="320"/>
        <v>na</v>
      </c>
      <c r="O227" s="1794" t="str">
        <f t="shared" si="321"/>
        <v>na</v>
      </c>
      <c r="P227" s="1789" t="str">
        <f t="shared" si="322"/>
        <v>na</v>
      </c>
      <c r="Q227" s="418" t="s">
        <v>232</v>
      </c>
      <c r="R227" s="418" t="s">
        <v>232</v>
      </c>
      <c r="S227" s="418" t="s">
        <v>232</v>
      </c>
      <c r="T227" s="418" t="s">
        <v>232</v>
      </c>
      <c r="U227" s="418" t="s">
        <v>232</v>
      </c>
      <c r="V227" s="418" t="s">
        <v>232</v>
      </c>
      <c r="W227" s="418" t="str">
        <f t="shared" si="323"/>
        <v>na</v>
      </c>
      <c r="X227" s="418" t="s">
        <v>232</v>
      </c>
      <c r="Y227" s="1884" t="str">
        <f t="shared" si="324"/>
        <v>na</v>
      </c>
      <c r="Z227" s="1884" t="str">
        <f t="shared" si="325"/>
        <v>na</v>
      </c>
      <c r="AA227" s="1789" t="s">
        <v>232</v>
      </c>
      <c r="AB227" s="1789" t="s">
        <v>232</v>
      </c>
      <c r="AC227" s="273" t="s">
        <v>232</v>
      </c>
      <c r="AD227" s="273" t="s">
        <v>232</v>
      </c>
      <c r="AE227" s="273" t="s">
        <v>232</v>
      </c>
      <c r="AF227" s="273" t="s">
        <v>232</v>
      </c>
      <c r="AG227" s="273" t="s">
        <v>232</v>
      </c>
      <c r="AH227" s="273" t="s">
        <v>232</v>
      </c>
      <c r="AI227" s="273" t="s">
        <v>232</v>
      </c>
      <c r="AJ227" s="273" t="s">
        <v>232</v>
      </c>
      <c r="AK227" s="273" t="s">
        <v>232</v>
      </c>
      <c r="AL227" s="273" t="s">
        <v>232</v>
      </c>
      <c r="AM227" s="273" t="s">
        <v>232</v>
      </c>
      <c r="AN227" s="273" t="str">
        <f t="shared" si="348"/>
        <v>na</v>
      </c>
      <c r="AO227" s="273" t="str">
        <f t="shared" si="349"/>
        <v>na</v>
      </c>
      <c r="AP227" s="273" t="str">
        <f t="shared" si="350"/>
        <v>na</v>
      </c>
      <c r="AQ227" s="273" t="str">
        <f t="shared" si="351"/>
        <v>na</v>
      </c>
      <c r="AR227" s="1789" t="str">
        <f t="shared" si="352"/>
        <v>na</v>
      </c>
      <c r="AS227" s="1051"/>
      <c r="AU227" s="1332" t="str">
        <f t="shared" si="326"/>
        <v/>
      </c>
      <c r="AV227" s="1114" t="str">
        <f t="shared" si="327"/>
        <v/>
      </c>
      <c r="AW227" s="1114" t="str">
        <f t="shared" si="328"/>
        <v/>
      </c>
      <c r="AX227" s="1114" t="str">
        <f t="shared" si="329"/>
        <v/>
      </c>
      <c r="AY227" s="1113" t="str">
        <f t="shared" si="330"/>
        <v/>
      </c>
      <c r="AZ227" s="1114" t="str">
        <f t="shared" si="331"/>
        <v/>
      </c>
      <c r="BA227" s="1114" t="str">
        <f t="shared" si="332"/>
        <v/>
      </c>
      <c r="BB227" s="1704" t="str">
        <f t="shared" si="333"/>
        <v/>
      </c>
      <c r="BC227" s="1113" t="str">
        <f t="shared" si="334"/>
        <v/>
      </c>
      <c r="BD227" s="1114" t="str">
        <f t="shared" si="335"/>
        <v/>
      </c>
      <c r="BE227" s="1114" t="str">
        <f t="shared" si="336"/>
        <v/>
      </c>
      <c r="BF227" s="1114" t="str">
        <f t="shared" si="337"/>
        <v/>
      </c>
      <c r="BG227" s="1114" t="str">
        <f t="shared" si="338"/>
        <v/>
      </c>
      <c r="BH227" s="1114" t="str">
        <f t="shared" si="339"/>
        <v/>
      </c>
      <c r="BI227" s="1114" t="str">
        <f t="shared" si="340"/>
        <v/>
      </c>
      <c r="BJ227" s="1115" t="str">
        <f t="shared" si="341"/>
        <v/>
      </c>
      <c r="BL227" s="1885"/>
    </row>
    <row r="228" spans="1:64" ht="13.9" customHeight="1" x14ac:dyDescent="0.25">
      <c r="A228" s="1920">
        <f>Chem!A228</f>
        <v>226</v>
      </c>
      <c r="B228" s="1880" t="str">
        <f>Chem!B228</f>
        <v>Total xylenes</v>
      </c>
      <c r="C228" s="394" t="str">
        <f>Param!AK228</f>
        <v>no</v>
      </c>
      <c r="D228" s="317" t="str">
        <f>IF(ISNUMBER(Param!AN228),Param!AN228,Param!AM228)</f>
        <v>na</v>
      </c>
      <c r="E228" s="273" t="s">
        <v>232</v>
      </c>
      <c r="F228" s="643" t="s">
        <v>232</v>
      </c>
      <c r="G228" s="550" t="s">
        <v>232</v>
      </c>
      <c r="H228" s="550" t="s">
        <v>232</v>
      </c>
      <c r="I228" s="273" t="s">
        <v>232</v>
      </c>
      <c r="J228" s="273" t="s">
        <v>232</v>
      </c>
      <c r="K228" s="219" t="str">
        <f>IF(C228="YES",'SD-Eq'!V228,"na")</f>
        <v>na</v>
      </c>
      <c r="L228" s="273" t="str">
        <f>IF(C228="YES",'SD-Eq'!Z228,"na")</f>
        <v>na</v>
      </c>
      <c r="M228" s="435" t="str">
        <f t="shared" si="347"/>
        <v>na</v>
      </c>
      <c r="N228" s="273" t="str">
        <f t="shared" si="320"/>
        <v>na</v>
      </c>
      <c r="O228" s="1794" t="str">
        <f t="shared" si="321"/>
        <v>na</v>
      </c>
      <c r="P228" s="1789" t="str">
        <f t="shared" si="322"/>
        <v>na</v>
      </c>
      <c r="Q228" s="418" t="s">
        <v>232</v>
      </c>
      <c r="R228" s="418" t="s">
        <v>232</v>
      </c>
      <c r="S228" s="418" t="s">
        <v>232</v>
      </c>
      <c r="T228" s="418" t="s">
        <v>232</v>
      </c>
      <c r="U228" s="418" t="s">
        <v>232</v>
      </c>
      <c r="V228" s="418" t="s">
        <v>232</v>
      </c>
      <c r="W228" s="418" t="str">
        <f t="shared" si="323"/>
        <v>na</v>
      </c>
      <c r="X228" s="418" t="s">
        <v>232</v>
      </c>
      <c r="Y228" s="1884" t="str">
        <f t="shared" si="324"/>
        <v>na</v>
      </c>
      <c r="Z228" s="1884" t="str">
        <f t="shared" si="325"/>
        <v>na</v>
      </c>
      <c r="AA228" s="1789" t="s">
        <v>232</v>
      </c>
      <c r="AB228" s="1789" t="s">
        <v>232</v>
      </c>
      <c r="AC228" s="273" t="s">
        <v>232</v>
      </c>
      <c r="AD228" s="273" t="s">
        <v>232</v>
      </c>
      <c r="AE228" s="273" t="s">
        <v>232</v>
      </c>
      <c r="AF228" s="273" t="s">
        <v>232</v>
      </c>
      <c r="AG228" s="273" t="s">
        <v>232</v>
      </c>
      <c r="AH228" s="273" t="s">
        <v>232</v>
      </c>
      <c r="AI228" s="273" t="s">
        <v>232</v>
      </c>
      <c r="AJ228" s="273" t="s">
        <v>232</v>
      </c>
      <c r="AK228" s="273" t="s">
        <v>232</v>
      </c>
      <c r="AL228" s="273" t="s">
        <v>232</v>
      </c>
      <c r="AM228" s="273" t="s">
        <v>232</v>
      </c>
      <c r="AN228" s="273" t="str">
        <f t="shared" si="348"/>
        <v>na</v>
      </c>
      <c r="AO228" s="273" t="str">
        <f t="shared" si="349"/>
        <v>na</v>
      </c>
      <c r="AP228" s="273" t="str">
        <f t="shared" si="350"/>
        <v>na</v>
      </c>
      <c r="AQ228" s="273" t="str">
        <f t="shared" si="351"/>
        <v>na</v>
      </c>
      <c r="AR228" s="1789" t="str">
        <f t="shared" si="352"/>
        <v>na</v>
      </c>
      <c r="AS228" s="1795"/>
      <c r="AU228" s="1333" t="str">
        <f t="shared" si="326"/>
        <v/>
      </c>
      <c r="AV228" s="1117" t="str">
        <f t="shared" si="327"/>
        <v/>
      </c>
      <c r="AW228" s="1117" t="str">
        <f t="shared" si="328"/>
        <v/>
      </c>
      <c r="AX228" s="1117" t="str">
        <f t="shared" si="329"/>
        <v/>
      </c>
      <c r="AY228" s="1116" t="str">
        <f t="shared" si="330"/>
        <v/>
      </c>
      <c r="AZ228" s="1117" t="str">
        <f t="shared" si="331"/>
        <v/>
      </c>
      <c r="BA228" s="1117" t="str">
        <f t="shared" si="332"/>
        <v/>
      </c>
      <c r="BB228" s="1707" t="str">
        <f t="shared" si="333"/>
        <v/>
      </c>
      <c r="BC228" s="1336" t="str">
        <f t="shared" si="334"/>
        <v/>
      </c>
      <c r="BD228" s="1337" t="str">
        <f t="shared" si="335"/>
        <v/>
      </c>
      <c r="BE228" s="1337" t="str">
        <f t="shared" si="336"/>
        <v/>
      </c>
      <c r="BF228" s="1337" t="str">
        <f t="shared" si="337"/>
        <v/>
      </c>
      <c r="BG228" s="1337" t="str">
        <f t="shared" si="338"/>
        <v/>
      </c>
      <c r="BH228" s="1337" t="str">
        <f t="shared" si="339"/>
        <v/>
      </c>
      <c r="BI228" s="1337" t="str">
        <f t="shared" si="340"/>
        <v/>
      </c>
      <c r="BJ228" s="1338" t="str">
        <f t="shared" si="341"/>
        <v/>
      </c>
      <c r="BL228" s="1885"/>
    </row>
    <row r="229" spans="1:64" ht="13.9" customHeight="1" x14ac:dyDescent="0.25">
      <c r="A229" s="1919">
        <f>Chem!A229</f>
        <v>227</v>
      </c>
      <c r="B229" s="1899" t="str">
        <f>Chem!B229</f>
        <v>PFAS</v>
      </c>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297"/>
      <c r="AO229" s="297"/>
      <c r="AP229" s="297"/>
      <c r="AQ229" s="297"/>
      <c r="AR229" s="297"/>
      <c r="AS229" s="2366"/>
      <c r="AU229" s="250" t="str">
        <f>B229</f>
        <v>PFAS</v>
      </c>
      <c r="AV229" s="2375"/>
      <c r="AW229" s="2375"/>
      <c r="AX229" s="2375"/>
      <c r="AY229" s="2375"/>
      <c r="AZ229" s="2375"/>
      <c r="BA229" s="2375"/>
      <c r="BB229" s="2375"/>
      <c r="BC229" s="2372"/>
      <c r="BD229" s="2372"/>
      <c r="BE229" s="2372"/>
      <c r="BF229" s="2372"/>
      <c r="BG229" s="2372"/>
      <c r="BH229" s="2372"/>
      <c r="BI229" s="2372"/>
      <c r="BJ229" s="2373"/>
      <c r="BL229" s="1901"/>
    </row>
    <row r="230" spans="1:64" s="380" customFormat="1" ht="13.9" customHeight="1" x14ac:dyDescent="0.25">
      <c r="A230" s="1916">
        <f>Chem!A230</f>
        <v>228</v>
      </c>
      <c r="B230" s="1888" t="str">
        <f>Chem!B230</f>
        <v>6:2 Fluorotelomer sulfonic acid (6:2 FTS)</v>
      </c>
      <c r="C230" s="1801" t="str">
        <f>Param!AK230</f>
        <v>no</v>
      </c>
      <c r="D230" s="1802" t="str">
        <f>IF(ISNUMBER(Param!AN230),Param!AN230,Param!AM230)</f>
        <v>na</v>
      </c>
      <c r="E230" s="2050" t="s">
        <v>232</v>
      </c>
      <c r="F230" s="1803" t="s">
        <v>232</v>
      </c>
      <c r="G230" s="1106" t="s">
        <v>232</v>
      </c>
      <c r="H230" s="1106" t="s">
        <v>232</v>
      </c>
      <c r="I230" s="2050" t="s">
        <v>232</v>
      </c>
      <c r="J230" s="2050" t="s">
        <v>232</v>
      </c>
      <c r="K230" s="1804" t="str">
        <f>IF(C230="YES",'SD-Eq'!V230,"na")</f>
        <v>na</v>
      </c>
      <c r="L230" s="2050" t="str">
        <f>IF(C230="YES",'SD-Eq'!Z230,"na")</f>
        <v>na</v>
      </c>
      <c r="M230" s="1536" t="str">
        <f t="shared" si="347"/>
        <v>na</v>
      </c>
      <c r="N230" s="2050" t="str">
        <f t="shared" ref="N230:N239" si="353">IF($C230="YES",IF(OR(ISNUMBER($D230),ISNUMBER($E230),ISNUMBER($F230)),MAX($D230:$F230),"PQL"),"na")</f>
        <v>na</v>
      </c>
      <c r="O230" s="1805" t="str">
        <f t="shared" ref="O230" si="354">IF(OR(ISNUMBER(H230),ISNUMBER(K230),ISNUMBER(M230)),MIN(H230,K230,M230),"na")</f>
        <v>na</v>
      </c>
      <c r="P230" s="2050" t="str">
        <f t="shared" ref="P230" si="355">IF(OR(ISNUMBER(J230),ISNUMBER(L230),ISNUMBER(N230)),MIN(J230,L230,N230),"na")</f>
        <v>na</v>
      </c>
      <c r="Q230" s="1450" t="s">
        <v>232</v>
      </c>
      <c r="R230" s="1450" t="s">
        <v>232</v>
      </c>
      <c r="S230" s="1450" t="s">
        <v>232</v>
      </c>
      <c r="T230" s="1450" t="s">
        <v>232</v>
      </c>
      <c r="U230" s="1450" t="s">
        <v>232</v>
      </c>
      <c r="V230" s="1450" t="s">
        <v>232</v>
      </c>
      <c r="W230" s="1450" t="str">
        <f t="shared" ref="W230" si="356">IF(ISNUMBER(V230),H230,"na")</f>
        <v>na</v>
      </c>
      <c r="X230" s="1450" t="s">
        <v>232</v>
      </c>
      <c r="Y230" s="1805" t="str">
        <f t="shared" ref="Y230" si="357">IF(OR(ISNUMBER(Q230),ISNUMBER(R230),ISNUMBER(S230),ISNUMBER(T230),ISNUMBER(X230)),MIN(Q230:T230,X230),"na")</f>
        <v>na</v>
      </c>
      <c r="Z230" s="1805" t="str">
        <f t="shared" ref="Z230" si="358">IF(OR(ISNUMBER(U230),ISNUMBER(W230),ISNUMBER(Y230)),MIN(U230,W230,Y230),O230)</f>
        <v>na</v>
      </c>
      <c r="AA230" s="2050" t="s">
        <v>232</v>
      </c>
      <c r="AB230" s="2050" t="s">
        <v>232</v>
      </c>
      <c r="AC230" s="2050" t="s">
        <v>232</v>
      </c>
      <c r="AD230" s="2050" t="s">
        <v>232</v>
      </c>
      <c r="AE230" s="2050" t="s">
        <v>232</v>
      </c>
      <c r="AF230" s="2050" t="s">
        <v>232</v>
      </c>
      <c r="AG230" s="2050" t="s">
        <v>232</v>
      </c>
      <c r="AH230" s="2050" t="s">
        <v>232</v>
      </c>
      <c r="AI230" s="2050" t="s">
        <v>232</v>
      </c>
      <c r="AJ230" s="2050" t="s">
        <v>232</v>
      </c>
      <c r="AK230" s="2050" t="s">
        <v>232</v>
      </c>
      <c r="AL230" s="2050" t="s">
        <v>232</v>
      </c>
      <c r="AM230" s="2050" t="s">
        <v>232</v>
      </c>
      <c r="AN230" s="2050" t="str">
        <f t="shared" ref="AN230" si="359">IF(MIN(AA230,AB230)=0,"na",MIN(AA230,AB230))</f>
        <v>na</v>
      </c>
      <c r="AO230" s="2050" t="str">
        <f t="shared" ref="AO230" si="360">IF(MIN(AC230:AF230)=0,"na",MIN(AC230:AF230))</f>
        <v>na</v>
      </c>
      <c r="AP230" s="2050" t="str">
        <f t="shared" ref="AP230" si="361">IF(MIN(AG230,AH230)=0,"na",MIN(AG230,AH230))</f>
        <v>na</v>
      </c>
      <c r="AQ230" s="2050" t="str">
        <f t="shared" ref="AQ230" si="362">IF(MIN(AI230:AL230)=0,"na",MIN(AI230:AL230))</f>
        <v>na</v>
      </c>
      <c r="AR230" s="2050" t="str">
        <f t="shared" ref="AR230" si="363">IF(MIN(AA230:AM230)=0,"na",MIN(AA230:AM230))</f>
        <v>na</v>
      </c>
      <c r="AS230" s="1798"/>
      <c r="AU230" s="1996" t="str">
        <f t="shared" ref="AU230" si="364">IF($O230="na","",IF($O230=D230,"X",""))</f>
        <v/>
      </c>
      <c r="AV230" s="2265" t="str">
        <f t="shared" ref="AV230" si="365">IF(OR($O230="PQL",AND(ISNUMBER($F230),$O230=F230)),"X","")</f>
        <v/>
      </c>
      <c r="AW230" s="2265" t="str">
        <f t="shared" ref="AW230" si="366">IF($O230="na","",IF($O230=H230,"X",""))</f>
        <v/>
      </c>
      <c r="AX230" s="2269" t="str">
        <f t="shared" ref="AX230:AX239" si="367">IF($O230="na","",IF($O230=$K230,"X",""))</f>
        <v/>
      </c>
      <c r="AY230" s="2270" t="str">
        <f t="shared" ref="AY230" si="368">IF($P230="na","",IF($P230=E230,"X",""))</f>
        <v/>
      </c>
      <c r="AZ230" s="2265" t="str">
        <f t="shared" ref="AZ230" si="369">IF(OR($P230="PQL",AND(ISNUMBER($F230),$P230=F230)),"X","")</f>
        <v/>
      </c>
      <c r="BA230" s="2265" t="str">
        <f t="shared" ref="BA230" si="370">IF($P230="na","",IF($P230=J230,"X",""))</f>
        <v/>
      </c>
      <c r="BB230" s="2269" t="str">
        <f t="shared" ref="BB230:BB239" si="371">IF($P230="na","",IF($P230=$L230,"X",""))</f>
        <v/>
      </c>
      <c r="BC230" s="2270" t="str">
        <f t="shared" ref="BC230" si="372">IF($Z230="na","",IF($Z230=D230,"X",""))</f>
        <v/>
      </c>
      <c r="BD230" s="2265" t="str">
        <f t="shared" ref="BD230" si="373">IF($Z230="na","",IF($Z230=F230,"X",""))</f>
        <v/>
      </c>
      <c r="BE230" s="2265" t="str">
        <f t="shared" ref="BE230" si="374">IF($Z230="na","",IF($Z230=H230,"X",""))</f>
        <v/>
      </c>
      <c r="BF230" s="2265" t="str">
        <f t="shared" ref="BF230" si="375">IF($Z230="na","",IF($Z230=K230,"X",""))</f>
        <v/>
      </c>
      <c r="BG230" s="2265" t="str">
        <f t="shared" ref="BG230" si="376">IF($Z230="na","",IF($Z230=Q230,"X",""))</f>
        <v/>
      </c>
      <c r="BH230" s="2265" t="str">
        <f t="shared" ref="BH230" si="377">IF($Z230="na","",IF(OR($Z230=R230,$Z230=S230,$Z230=T230),"X",""))</f>
        <v/>
      </c>
      <c r="BI230" s="2265" t="str">
        <f t="shared" ref="BI230" si="378">IF($Z230="na","",IF(OR($Z230=U230,$Z230=W230),"X",""))</f>
        <v/>
      </c>
      <c r="BJ230" s="2266" t="str">
        <f t="shared" ref="BJ230" si="379">IF($Z230="na","",IF($Z230=X230,"X",""))</f>
        <v/>
      </c>
      <c r="BL230" s="2181"/>
    </row>
    <row r="231" spans="1:64" ht="13.9" customHeight="1" x14ac:dyDescent="0.25">
      <c r="A231" s="1916">
        <f>Chem!A231</f>
        <v>229</v>
      </c>
      <c r="B231" s="1889" t="str">
        <f>Chem!B231</f>
        <v>GenX (HFPO-DA)</v>
      </c>
      <c r="C231" s="337" t="str">
        <f>Param!AK231</f>
        <v>no</v>
      </c>
      <c r="D231" s="316" t="str">
        <f>IF(ISNUMBER(Param!AN231),Param!AN231,Param!AM231)</f>
        <v>na</v>
      </c>
      <c r="E231" s="298" t="s">
        <v>232</v>
      </c>
      <c r="F231" s="642" t="s">
        <v>232</v>
      </c>
      <c r="G231" s="567" t="s">
        <v>232</v>
      </c>
      <c r="H231" s="567" t="s">
        <v>232</v>
      </c>
      <c r="I231" s="298" t="s">
        <v>232</v>
      </c>
      <c r="J231" s="298" t="s">
        <v>232</v>
      </c>
      <c r="K231" s="218" t="str">
        <f>IF(C231="YES",'SD-Eq'!V231,"na")</f>
        <v>na</v>
      </c>
      <c r="L231" s="298" t="str">
        <f>IF(C231="YES",'SD-Eq'!Z231,"na")</f>
        <v>na</v>
      </c>
      <c r="M231" s="436" t="str">
        <f t="shared" si="347"/>
        <v>na</v>
      </c>
      <c r="N231" s="298" t="str">
        <f t="shared" si="353"/>
        <v>na</v>
      </c>
      <c r="O231" s="1792" t="str">
        <f t="shared" ref="O231:O239" si="380">IF(OR(ISNUMBER(H231),ISNUMBER(K231),ISNUMBER(M231)),MIN(H231,K231,M231),"na")</f>
        <v>na</v>
      </c>
      <c r="P231" s="298" t="str">
        <f t="shared" ref="P231:P239" si="381">IF(OR(ISNUMBER(J231),ISNUMBER(L231),ISNUMBER(N231)),MIN(J231,L231,N231),"na")</f>
        <v>na</v>
      </c>
      <c r="Q231" s="419" t="s">
        <v>232</v>
      </c>
      <c r="R231" s="419" t="s">
        <v>232</v>
      </c>
      <c r="S231" s="419" t="s">
        <v>232</v>
      </c>
      <c r="T231" s="419" t="s">
        <v>232</v>
      </c>
      <c r="U231" s="419" t="s">
        <v>232</v>
      </c>
      <c r="V231" s="419" t="s">
        <v>232</v>
      </c>
      <c r="W231" s="419" t="str">
        <f t="shared" ref="W231:W239" si="382">IF(ISNUMBER(V231),H231,"na")</f>
        <v>na</v>
      </c>
      <c r="X231" s="419" t="s">
        <v>232</v>
      </c>
      <c r="Y231" s="1792" t="str">
        <f t="shared" ref="Y231:Y239" si="383">IF(OR(ISNUMBER(Q231),ISNUMBER(R231),ISNUMBER(S231),ISNUMBER(T231),ISNUMBER(X231)),MIN(Q231:T231,X231),"na")</f>
        <v>na</v>
      </c>
      <c r="Z231" s="1792" t="str">
        <f t="shared" ref="Z231:Z239" si="384">IF(OR(ISNUMBER(U231),ISNUMBER(W231),ISNUMBER(Y231)),MIN(U231,W231,Y231),O231)</f>
        <v>na</v>
      </c>
      <c r="AA231" s="298" t="s">
        <v>232</v>
      </c>
      <c r="AB231" s="298" t="s">
        <v>232</v>
      </c>
      <c r="AC231" s="298" t="s">
        <v>232</v>
      </c>
      <c r="AD231" s="298" t="s">
        <v>232</v>
      </c>
      <c r="AE231" s="298" t="s">
        <v>232</v>
      </c>
      <c r="AF231" s="298" t="s">
        <v>232</v>
      </c>
      <c r="AG231" s="298" t="s">
        <v>232</v>
      </c>
      <c r="AH231" s="298" t="s">
        <v>232</v>
      </c>
      <c r="AI231" s="298" t="s">
        <v>232</v>
      </c>
      <c r="AJ231" s="298" t="s">
        <v>232</v>
      </c>
      <c r="AK231" s="298" t="s">
        <v>232</v>
      </c>
      <c r="AL231" s="298" t="s">
        <v>232</v>
      </c>
      <c r="AM231" s="298" t="s">
        <v>232</v>
      </c>
      <c r="AN231" s="298" t="str">
        <f t="shared" ref="AN231:AN239" si="385">IF(MIN(AA231,AB231)=0,"na",MIN(AA231,AB231))</f>
        <v>na</v>
      </c>
      <c r="AO231" s="298" t="str">
        <f t="shared" ref="AO231:AO239" si="386">IF(MIN(AC231:AF231)=0,"na",MIN(AC231:AF231))</f>
        <v>na</v>
      </c>
      <c r="AP231" s="298" t="str">
        <f t="shared" ref="AP231:AP239" si="387">IF(MIN(AG231,AH231)=0,"na",MIN(AG231,AH231))</f>
        <v>na</v>
      </c>
      <c r="AQ231" s="298" t="str">
        <f t="shared" ref="AQ231:AQ239" si="388">IF(MIN(AI231:AL231)=0,"na",MIN(AI231:AL231))</f>
        <v>na</v>
      </c>
      <c r="AR231" s="298" t="str">
        <f t="shared" ref="AR231:AR239" si="389">IF(MIN(AA231:AM231)=0,"na",MIN(AA231:AM231))</f>
        <v>na</v>
      </c>
      <c r="AS231" s="1807"/>
      <c r="AU231" s="1468" t="str">
        <f t="shared" ref="AU231:AU239" si="390">IF($O231="na","",IF($O231=D231,"X",""))</f>
        <v/>
      </c>
      <c r="AV231" s="1469" t="str">
        <f t="shared" ref="AV231:AV239" si="391">IF(OR($O231="PQL",AND(ISNUMBER($F231),$O231=F231)),"X","")</f>
        <v/>
      </c>
      <c r="AW231" s="1469" t="str">
        <f t="shared" ref="AW231:AW239" si="392">IF($O231="na","",IF($O231=H231,"X",""))</f>
        <v/>
      </c>
      <c r="AX231" s="1706" t="str">
        <f t="shared" si="367"/>
        <v/>
      </c>
      <c r="AY231" s="1468" t="str">
        <f t="shared" ref="AY231:AY239" si="393">IF($P231="na","",IF($P231=E231,"X",""))</f>
        <v/>
      </c>
      <c r="AZ231" s="1469" t="str">
        <f t="shared" ref="AZ231:AZ239" si="394">IF(OR($P231="PQL",AND(ISNUMBER($F231),$P231=F231)),"X","")</f>
        <v/>
      </c>
      <c r="BA231" s="1469" t="str">
        <f t="shared" ref="BA231:BA239" si="395">IF($P231="na","",IF($P231=J231,"X",""))</f>
        <v/>
      </c>
      <c r="BB231" s="1706" t="str">
        <f t="shared" si="371"/>
        <v/>
      </c>
      <c r="BC231" s="1468" t="str">
        <f t="shared" ref="BC231:BC239" si="396">IF($Z231="na","",IF($Z231=D231,"X",""))</f>
        <v/>
      </c>
      <c r="BD231" s="1469" t="str">
        <f t="shared" ref="BD231:BD239" si="397">IF($Z231="na","",IF($Z231=F231,"X",""))</f>
        <v/>
      </c>
      <c r="BE231" s="1469" t="str">
        <f t="shared" ref="BE231:BE239" si="398">IF($Z231="na","",IF($Z231=H231,"X",""))</f>
        <v/>
      </c>
      <c r="BF231" s="1469" t="str">
        <f t="shared" ref="BF231:BF239" si="399">IF($Z231="na","",IF($Z231=K231,"X",""))</f>
        <v/>
      </c>
      <c r="BG231" s="1469" t="str">
        <f t="shared" ref="BG231:BG239" si="400">IF($Z231="na","",IF($Z231=Q231,"X",""))</f>
        <v/>
      </c>
      <c r="BH231" s="1469" t="str">
        <f t="shared" ref="BH231:BH239" si="401">IF($Z231="na","",IF(OR($Z231=R231,$Z231=S231,$Z231=T231),"X",""))</f>
        <v/>
      </c>
      <c r="BI231" s="1469" t="str">
        <f t="shared" ref="BI231:BI239" si="402">IF($Z231="na","",IF(OR($Z231=U231,$Z231=W231),"X",""))</f>
        <v/>
      </c>
      <c r="BJ231" s="1470" t="str">
        <f t="shared" ref="BJ231:BJ239" si="403">IF($Z231="na","",IF($Z231=X231,"X",""))</f>
        <v/>
      </c>
      <c r="BL231" s="1885"/>
    </row>
    <row r="232" spans="1:64" ht="13.9" customHeight="1" x14ac:dyDescent="0.25">
      <c r="A232" s="1916">
        <f>Chem!A232</f>
        <v>230</v>
      </c>
      <c r="B232" s="1889" t="str">
        <f>Chem!B232</f>
        <v>Perfluorobutanoic acid (PFBA)</v>
      </c>
      <c r="C232" s="337" t="str">
        <f>Param!AK232</f>
        <v>no</v>
      </c>
      <c r="D232" s="316" t="str">
        <f>IF(ISNUMBER(Param!AN232),Param!AN232,Param!AM232)</f>
        <v>na</v>
      </c>
      <c r="E232" s="298" t="s">
        <v>232</v>
      </c>
      <c r="F232" s="642" t="s">
        <v>232</v>
      </c>
      <c r="G232" s="567" t="s">
        <v>232</v>
      </c>
      <c r="H232" s="567" t="s">
        <v>232</v>
      </c>
      <c r="I232" s="298" t="s">
        <v>232</v>
      </c>
      <c r="J232" s="298" t="s">
        <v>232</v>
      </c>
      <c r="K232" s="218" t="str">
        <f>IF(C232="YES",'SD-Eq'!V232,"na")</f>
        <v>na</v>
      </c>
      <c r="L232" s="298" t="str">
        <f>IF(C232="YES",'SD-Eq'!Z232,"na")</f>
        <v>na</v>
      </c>
      <c r="M232" s="436" t="str">
        <f t="shared" si="347"/>
        <v>na</v>
      </c>
      <c r="N232" s="298" t="str">
        <f t="shared" si="353"/>
        <v>na</v>
      </c>
      <c r="O232" s="1792" t="str">
        <f t="shared" si="380"/>
        <v>na</v>
      </c>
      <c r="P232" s="298" t="str">
        <f t="shared" si="381"/>
        <v>na</v>
      </c>
      <c r="Q232" s="419" t="s">
        <v>232</v>
      </c>
      <c r="R232" s="419" t="s">
        <v>232</v>
      </c>
      <c r="S232" s="419" t="s">
        <v>232</v>
      </c>
      <c r="T232" s="419" t="s">
        <v>232</v>
      </c>
      <c r="U232" s="419" t="s">
        <v>232</v>
      </c>
      <c r="V232" s="419" t="s">
        <v>232</v>
      </c>
      <c r="W232" s="419" t="str">
        <f t="shared" si="382"/>
        <v>na</v>
      </c>
      <c r="X232" s="419" t="s">
        <v>232</v>
      </c>
      <c r="Y232" s="1792" t="str">
        <f t="shared" si="383"/>
        <v>na</v>
      </c>
      <c r="Z232" s="1792" t="str">
        <f t="shared" si="384"/>
        <v>na</v>
      </c>
      <c r="AA232" s="298" t="s">
        <v>232</v>
      </c>
      <c r="AB232" s="298" t="s">
        <v>232</v>
      </c>
      <c r="AC232" s="298" t="s">
        <v>232</v>
      </c>
      <c r="AD232" s="298" t="s">
        <v>232</v>
      </c>
      <c r="AE232" s="298" t="s">
        <v>232</v>
      </c>
      <c r="AF232" s="298" t="s">
        <v>232</v>
      </c>
      <c r="AG232" s="298" t="s">
        <v>232</v>
      </c>
      <c r="AH232" s="298" t="s">
        <v>232</v>
      </c>
      <c r="AI232" s="298" t="s">
        <v>232</v>
      </c>
      <c r="AJ232" s="298" t="s">
        <v>232</v>
      </c>
      <c r="AK232" s="298" t="s">
        <v>232</v>
      </c>
      <c r="AL232" s="298" t="s">
        <v>232</v>
      </c>
      <c r="AM232" s="298" t="s">
        <v>232</v>
      </c>
      <c r="AN232" s="298" t="str">
        <f t="shared" ref="AN232" si="404">IF(MIN(AA232,AB232)=0,"na",MIN(AA232,AB232))</f>
        <v>na</v>
      </c>
      <c r="AO232" s="298" t="str">
        <f t="shared" ref="AO232" si="405">IF(MIN(AC232:AF232)=0,"na",MIN(AC232:AF232))</f>
        <v>na</v>
      </c>
      <c r="AP232" s="298" t="str">
        <f t="shared" ref="AP232" si="406">IF(MIN(AG232,AH232)=0,"na",MIN(AG232,AH232))</f>
        <v>na</v>
      </c>
      <c r="AQ232" s="298" t="str">
        <f t="shared" ref="AQ232" si="407">IF(MIN(AI232:AL232)=0,"na",MIN(AI232:AL232))</f>
        <v>na</v>
      </c>
      <c r="AR232" s="298" t="str">
        <f t="shared" ref="AR232" si="408">IF(MIN(AA232:AM232)=0,"na",MIN(AA232:AM232))</f>
        <v>na</v>
      </c>
      <c r="AS232" s="1807"/>
      <c r="AU232" s="1468" t="str">
        <f t="shared" si="390"/>
        <v/>
      </c>
      <c r="AV232" s="1469" t="str">
        <f t="shared" si="391"/>
        <v/>
      </c>
      <c r="AW232" s="1469" t="str">
        <f t="shared" si="392"/>
        <v/>
      </c>
      <c r="AX232" s="1706" t="str">
        <f t="shared" si="367"/>
        <v/>
      </c>
      <c r="AY232" s="1468" t="str">
        <f t="shared" si="393"/>
        <v/>
      </c>
      <c r="AZ232" s="1469" t="str">
        <f t="shared" si="394"/>
        <v/>
      </c>
      <c r="BA232" s="1469" t="str">
        <f t="shared" si="395"/>
        <v/>
      </c>
      <c r="BB232" s="1706" t="str">
        <f t="shared" si="371"/>
        <v/>
      </c>
      <c r="BC232" s="1113" t="str">
        <f t="shared" si="396"/>
        <v/>
      </c>
      <c r="BD232" s="1114" t="str">
        <f t="shared" si="397"/>
        <v/>
      </c>
      <c r="BE232" s="1114" t="str">
        <f t="shared" si="398"/>
        <v/>
      </c>
      <c r="BF232" s="1114" t="str">
        <f t="shared" si="399"/>
        <v/>
      </c>
      <c r="BG232" s="1114" t="str">
        <f t="shared" si="400"/>
        <v/>
      </c>
      <c r="BH232" s="1114" t="str">
        <f t="shared" si="401"/>
        <v/>
      </c>
      <c r="BI232" s="1114" t="str">
        <f t="shared" si="402"/>
        <v/>
      </c>
      <c r="BJ232" s="1115" t="str">
        <f t="shared" si="403"/>
        <v/>
      </c>
      <c r="BL232" s="1885"/>
    </row>
    <row r="233" spans="1:64" ht="13.9" customHeight="1" x14ac:dyDescent="0.25">
      <c r="A233" s="1916">
        <f>Chem!A233</f>
        <v>231</v>
      </c>
      <c r="B233" s="1880" t="str">
        <f>Chem!B233</f>
        <v>Perfluorobutanesulfonic acid (PFBS)</v>
      </c>
      <c r="C233" s="338" t="str">
        <f>Param!AK233</f>
        <v>no</v>
      </c>
      <c r="D233" s="317" t="str">
        <f>IF(ISNUMBER(Param!AN233),Param!AN233,Param!AM233)</f>
        <v>na</v>
      </c>
      <c r="E233" s="273" t="s">
        <v>232</v>
      </c>
      <c r="F233" s="643" t="s">
        <v>232</v>
      </c>
      <c r="G233" s="550" t="s">
        <v>232</v>
      </c>
      <c r="H233" s="550" t="s">
        <v>232</v>
      </c>
      <c r="I233" s="273" t="s">
        <v>232</v>
      </c>
      <c r="J233" s="273" t="s">
        <v>232</v>
      </c>
      <c r="K233" s="219" t="str">
        <f>IF(C233="YES",'SD-Eq'!V233,"na")</f>
        <v>na</v>
      </c>
      <c r="L233" s="273" t="str">
        <f>IF(C233="YES",'SD-Eq'!Z233,"na")</f>
        <v>na</v>
      </c>
      <c r="M233" s="435" t="str">
        <f t="shared" si="347"/>
        <v>na</v>
      </c>
      <c r="N233" s="273" t="str">
        <f t="shared" si="353"/>
        <v>na</v>
      </c>
      <c r="O233" s="1794" t="str">
        <f t="shared" si="380"/>
        <v>na</v>
      </c>
      <c r="P233" s="273" t="str">
        <f t="shared" si="381"/>
        <v>na</v>
      </c>
      <c r="Q233" s="418" t="s">
        <v>232</v>
      </c>
      <c r="R233" s="418" t="s">
        <v>232</v>
      </c>
      <c r="S233" s="418" t="s">
        <v>232</v>
      </c>
      <c r="T233" s="418" t="s">
        <v>232</v>
      </c>
      <c r="U233" s="418" t="s">
        <v>232</v>
      </c>
      <c r="V233" s="418" t="s">
        <v>232</v>
      </c>
      <c r="W233" s="418" t="str">
        <f t="shared" si="382"/>
        <v>na</v>
      </c>
      <c r="X233" s="418" t="s">
        <v>232</v>
      </c>
      <c r="Y233" s="1794" t="str">
        <f t="shared" si="383"/>
        <v>na</v>
      </c>
      <c r="Z233" s="1794" t="str">
        <f t="shared" si="384"/>
        <v>na</v>
      </c>
      <c r="AA233" s="273" t="s">
        <v>232</v>
      </c>
      <c r="AB233" s="273" t="s">
        <v>232</v>
      </c>
      <c r="AC233" s="273" t="s">
        <v>232</v>
      </c>
      <c r="AD233" s="273" t="s">
        <v>232</v>
      </c>
      <c r="AE233" s="273" t="s">
        <v>232</v>
      </c>
      <c r="AF233" s="273" t="s">
        <v>232</v>
      </c>
      <c r="AG233" s="273" t="s">
        <v>232</v>
      </c>
      <c r="AH233" s="273" t="s">
        <v>232</v>
      </c>
      <c r="AI233" s="273" t="s">
        <v>232</v>
      </c>
      <c r="AJ233" s="273" t="s">
        <v>232</v>
      </c>
      <c r="AK233" s="273" t="s">
        <v>232</v>
      </c>
      <c r="AL233" s="273" t="s">
        <v>232</v>
      </c>
      <c r="AM233" s="273" t="s">
        <v>232</v>
      </c>
      <c r="AN233" s="273" t="str">
        <f t="shared" si="385"/>
        <v>na</v>
      </c>
      <c r="AO233" s="273" t="str">
        <f t="shared" si="386"/>
        <v>na</v>
      </c>
      <c r="AP233" s="273" t="str">
        <f t="shared" si="387"/>
        <v>na</v>
      </c>
      <c r="AQ233" s="273" t="str">
        <f t="shared" si="388"/>
        <v>na</v>
      </c>
      <c r="AR233" s="273" t="str">
        <f t="shared" si="389"/>
        <v>na</v>
      </c>
      <c r="AS233" s="1051"/>
      <c r="AU233" s="1113" t="str">
        <f t="shared" si="390"/>
        <v/>
      </c>
      <c r="AV233" s="1114" t="str">
        <f t="shared" si="391"/>
        <v/>
      </c>
      <c r="AW233" s="1114" t="str">
        <f t="shared" si="392"/>
        <v/>
      </c>
      <c r="AX233" s="1704" t="str">
        <f t="shared" si="367"/>
        <v/>
      </c>
      <c r="AY233" s="1113" t="str">
        <f t="shared" si="393"/>
        <v/>
      </c>
      <c r="AZ233" s="1114" t="str">
        <f t="shared" si="394"/>
        <v/>
      </c>
      <c r="BA233" s="1114" t="str">
        <f t="shared" si="395"/>
        <v/>
      </c>
      <c r="BB233" s="1704" t="str">
        <f t="shared" si="371"/>
        <v/>
      </c>
      <c r="BC233" s="1113" t="str">
        <f t="shared" si="396"/>
        <v/>
      </c>
      <c r="BD233" s="1114" t="str">
        <f t="shared" si="397"/>
        <v/>
      </c>
      <c r="BE233" s="1114" t="str">
        <f t="shared" si="398"/>
        <v/>
      </c>
      <c r="BF233" s="1114" t="str">
        <f t="shared" si="399"/>
        <v/>
      </c>
      <c r="BG233" s="1114" t="str">
        <f t="shared" si="400"/>
        <v/>
      </c>
      <c r="BH233" s="1114" t="str">
        <f t="shared" si="401"/>
        <v/>
      </c>
      <c r="BI233" s="1114" t="str">
        <f t="shared" si="402"/>
        <v/>
      </c>
      <c r="BJ233" s="1115" t="str">
        <f t="shared" si="403"/>
        <v/>
      </c>
      <c r="BL233" s="1885"/>
    </row>
    <row r="234" spans="1:64" ht="13.9" customHeight="1" x14ac:dyDescent="0.25">
      <c r="A234" s="1916">
        <f>Chem!A234</f>
        <v>232</v>
      </c>
      <c r="B234" s="1880" t="str">
        <f>Chem!B234</f>
        <v>Perfluorodecanoic acid (PFDA)</v>
      </c>
      <c r="C234" s="338" t="str">
        <f>Param!AK234</f>
        <v>no</v>
      </c>
      <c r="D234" s="317" t="str">
        <f>IF(ISNUMBER(Param!AN234),Param!AN234,Param!AM234)</f>
        <v>na</v>
      </c>
      <c r="E234" s="273" t="s">
        <v>232</v>
      </c>
      <c r="F234" s="643" t="s">
        <v>232</v>
      </c>
      <c r="G234" s="550" t="s">
        <v>232</v>
      </c>
      <c r="H234" s="550" t="s">
        <v>232</v>
      </c>
      <c r="I234" s="273" t="s">
        <v>232</v>
      </c>
      <c r="J234" s="273" t="s">
        <v>232</v>
      </c>
      <c r="K234" s="219" t="str">
        <f>IF(C234="YES",'SD-Eq'!V234,"na")</f>
        <v>na</v>
      </c>
      <c r="L234" s="273" t="str">
        <f>IF(C234="YES",'SD-Eq'!Z234,"na")</f>
        <v>na</v>
      </c>
      <c r="M234" s="435" t="str">
        <f t="shared" si="347"/>
        <v>na</v>
      </c>
      <c r="N234" s="273" t="str">
        <f t="shared" si="353"/>
        <v>na</v>
      </c>
      <c r="O234" s="1794" t="str">
        <f t="shared" ref="O234" si="409">IF(OR(ISNUMBER(H234),ISNUMBER(K234),ISNUMBER(M234)),MIN(H234,K234,M234),"na")</f>
        <v>na</v>
      </c>
      <c r="P234" s="273" t="str">
        <f t="shared" ref="P234" si="410">IF(OR(ISNUMBER(J234),ISNUMBER(L234),ISNUMBER(N234)),MIN(J234,L234,N234),"na")</f>
        <v>na</v>
      </c>
      <c r="Q234" s="418" t="s">
        <v>232</v>
      </c>
      <c r="R234" s="418" t="s">
        <v>232</v>
      </c>
      <c r="S234" s="418" t="s">
        <v>232</v>
      </c>
      <c r="T234" s="418" t="s">
        <v>232</v>
      </c>
      <c r="U234" s="418" t="s">
        <v>232</v>
      </c>
      <c r="V234" s="418" t="s">
        <v>232</v>
      </c>
      <c r="W234" s="418" t="str">
        <f t="shared" ref="W234" si="411">IF(ISNUMBER(V234),H234,"na")</f>
        <v>na</v>
      </c>
      <c r="X234" s="418" t="s">
        <v>232</v>
      </c>
      <c r="Y234" s="1794" t="str">
        <f t="shared" ref="Y234" si="412">IF(OR(ISNUMBER(Q234),ISNUMBER(R234),ISNUMBER(S234),ISNUMBER(T234),ISNUMBER(X234)),MIN(Q234:T234,X234),"na")</f>
        <v>na</v>
      </c>
      <c r="Z234" s="1794" t="str">
        <f t="shared" ref="Z234" si="413">IF(OR(ISNUMBER(U234),ISNUMBER(W234),ISNUMBER(Y234)),MIN(U234,W234,Y234),O234)</f>
        <v>na</v>
      </c>
      <c r="AA234" s="273" t="s">
        <v>232</v>
      </c>
      <c r="AB234" s="273" t="s">
        <v>232</v>
      </c>
      <c r="AC234" s="273" t="s">
        <v>232</v>
      </c>
      <c r="AD234" s="273" t="s">
        <v>232</v>
      </c>
      <c r="AE234" s="273" t="s">
        <v>232</v>
      </c>
      <c r="AF234" s="273" t="s">
        <v>232</v>
      </c>
      <c r="AG234" s="273" t="s">
        <v>232</v>
      </c>
      <c r="AH234" s="273" t="s">
        <v>232</v>
      </c>
      <c r="AI234" s="273" t="s">
        <v>232</v>
      </c>
      <c r="AJ234" s="273" t="s">
        <v>232</v>
      </c>
      <c r="AK234" s="273" t="s">
        <v>232</v>
      </c>
      <c r="AL234" s="273" t="s">
        <v>232</v>
      </c>
      <c r="AM234" s="273" t="s">
        <v>232</v>
      </c>
      <c r="AN234" s="273" t="str">
        <f t="shared" ref="AN234" si="414">IF(MIN(AA234,AB234)=0,"na",MIN(AA234,AB234))</f>
        <v>na</v>
      </c>
      <c r="AO234" s="273" t="str">
        <f t="shared" ref="AO234" si="415">IF(MIN(AC234:AF234)=0,"na",MIN(AC234:AF234))</f>
        <v>na</v>
      </c>
      <c r="AP234" s="273" t="str">
        <f t="shared" ref="AP234" si="416">IF(MIN(AG234,AH234)=0,"na",MIN(AG234,AH234))</f>
        <v>na</v>
      </c>
      <c r="AQ234" s="273" t="str">
        <f t="shared" ref="AQ234" si="417">IF(MIN(AI234:AL234)=0,"na",MIN(AI234:AL234))</f>
        <v>na</v>
      </c>
      <c r="AR234" s="273" t="str">
        <f t="shared" ref="AR234" si="418">IF(MIN(AA234:AM234)=0,"na",MIN(AA234:AM234))</f>
        <v>na</v>
      </c>
      <c r="AS234" s="1051"/>
      <c r="AU234" s="1113" t="str">
        <f t="shared" ref="AU234" si="419">IF($O234="na","",IF($O234=D234,"X",""))</f>
        <v/>
      </c>
      <c r="AV234" s="1114" t="str">
        <f t="shared" ref="AV234" si="420">IF(OR($O234="PQL",AND(ISNUMBER($F234),$O234=F234)),"X","")</f>
        <v/>
      </c>
      <c r="AW234" s="1114" t="str">
        <f t="shared" ref="AW234" si="421">IF($O234="na","",IF($O234=H234,"X",""))</f>
        <v/>
      </c>
      <c r="AX234" s="1704" t="str">
        <f t="shared" si="367"/>
        <v/>
      </c>
      <c r="AY234" s="1113" t="str">
        <f t="shared" ref="AY234" si="422">IF($P234="na","",IF($P234=E234,"X",""))</f>
        <v/>
      </c>
      <c r="AZ234" s="1114" t="str">
        <f t="shared" ref="AZ234" si="423">IF(OR($P234="PQL",AND(ISNUMBER($F234),$P234=F234)),"X","")</f>
        <v/>
      </c>
      <c r="BA234" s="1114" t="str">
        <f t="shared" ref="BA234" si="424">IF($P234="na","",IF($P234=J234,"X",""))</f>
        <v/>
      </c>
      <c r="BB234" s="1704" t="str">
        <f t="shared" si="371"/>
        <v/>
      </c>
      <c r="BC234" s="1113" t="str">
        <f t="shared" ref="BC234" si="425">IF($Z234="na","",IF($Z234=D234,"X",""))</f>
        <v/>
      </c>
      <c r="BD234" s="1114" t="str">
        <f t="shared" ref="BD234" si="426">IF($Z234="na","",IF($Z234=F234,"X",""))</f>
        <v/>
      </c>
      <c r="BE234" s="1114" t="str">
        <f t="shared" ref="BE234" si="427">IF($Z234="na","",IF($Z234=H234,"X",""))</f>
        <v/>
      </c>
      <c r="BF234" s="1114" t="str">
        <f t="shared" ref="BF234" si="428">IF($Z234="na","",IF($Z234=K234,"X",""))</f>
        <v/>
      </c>
      <c r="BG234" s="1114" t="str">
        <f t="shared" ref="BG234" si="429">IF($Z234="na","",IF($Z234=Q234,"X",""))</f>
        <v/>
      </c>
      <c r="BH234" s="1114" t="str">
        <f t="shared" ref="BH234" si="430">IF($Z234="na","",IF(OR($Z234=R234,$Z234=S234,$Z234=T234),"X",""))</f>
        <v/>
      </c>
      <c r="BI234" s="1114" t="str">
        <f t="shared" ref="BI234" si="431">IF($Z234="na","",IF(OR($Z234=U234,$Z234=W234),"X",""))</f>
        <v/>
      </c>
      <c r="BJ234" s="1115" t="str">
        <f t="shared" ref="BJ234" si="432">IF($Z234="na","",IF($Z234=X234,"X",""))</f>
        <v/>
      </c>
      <c r="BL234" s="1885"/>
    </row>
    <row r="235" spans="1:64" ht="13.9" customHeight="1" x14ac:dyDescent="0.25">
      <c r="A235" s="1916">
        <f>Chem!A235</f>
        <v>233</v>
      </c>
      <c r="B235" s="1880" t="str">
        <f>Chem!B235</f>
        <v>Perfluorohexanoic acid (PFHxA)</v>
      </c>
      <c r="C235" s="338" t="str">
        <f>Param!AK235</f>
        <v>no</v>
      </c>
      <c r="D235" s="317" t="str">
        <f>IF(ISNUMBER(Param!AN235),Param!AN235,Param!AM235)</f>
        <v>na</v>
      </c>
      <c r="E235" s="273" t="s">
        <v>232</v>
      </c>
      <c r="F235" s="643" t="s">
        <v>232</v>
      </c>
      <c r="G235" s="550" t="s">
        <v>232</v>
      </c>
      <c r="H235" s="550" t="s">
        <v>232</v>
      </c>
      <c r="I235" s="273" t="s">
        <v>232</v>
      </c>
      <c r="J235" s="273" t="s">
        <v>232</v>
      </c>
      <c r="K235" s="219" t="str">
        <f>IF(C235="YES",'SD-Eq'!V235,"na")</f>
        <v>na</v>
      </c>
      <c r="L235" s="273" t="str">
        <f>IF(C235="YES",'SD-Eq'!Z235,"na")</f>
        <v>na</v>
      </c>
      <c r="M235" s="435" t="str">
        <f t="shared" si="347"/>
        <v>na</v>
      </c>
      <c r="N235" s="273" t="str">
        <f t="shared" si="353"/>
        <v>na</v>
      </c>
      <c r="O235" s="1794" t="str">
        <f t="shared" si="380"/>
        <v>na</v>
      </c>
      <c r="P235" s="273" t="str">
        <f t="shared" si="381"/>
        <v>na</v>
      </c>
      <c r="Q235" s="418" t="s">
        <v>232</v>
      </c>
      <c r="R235" s="418" t="s">
        <v>232</v>
      </c>
      <c r="S235" s="418" t="s">
        <v>232</v>
      </c>
      <c r="T235" s="418" t="s">
        <v>232</v>
      </c>
      <c r="U235" s="418" t="s">
        <v>232</v>
      </c>
      <c r="V235" s="418" t="s">
        <v>232</v>
      </c>
      <c r="W235" s="418" t="str">
        <f t="shared" si="382"/>
        <v>na</v>
      </c>
      <c r="X235" s="418" t="s">
        <v>232</v>
      </c>
      <c r="Y235" s="1794" t="str">
        <f t="shared" si="383"/>
        <v>na</v>
      </c>
      <c r="Z235" s="1794" t="str">
        <f t="shared" si="384"/>
        <v>na</v>
      </c>
      <c r="AA235" s="273" t="s">
        <v>232</v>
      </c>
      <c r="AB235" s="273" t="s">
        <v>232</v>
      </c>
      <c r="AC235" s="273" t="s">
        <v>232</v>
      </c>
      <c r="AD235" s="273" t="s">
        <v>232</v>
      </c>
      <c r="AE235" s="273" t="s">
        <v>232</v>
      </c>
      <c r="AF235" s="273" t="s">
        <v>232</v>
      </c>
      <c r="AG235" s="273" t="s">
        <v>232</v>
      </c>
      <c r="AH235" s="273" t="s">
        <v>232</v>
      </c>
      <c r="AI235" s="273" t="s">
        <v>232</v>
      </c>
      <c r="AJ235" s="273" t="s">
        <v>232</v>
      </c>
      <c r="AK235" s="273" t="s">
        <v>232</v>
      </c>
      <c r="AL235" s="273" t="s">
        <v>232</v>
      </c>
      <c r="AM235" s="273" t="s">
        <v>232</v>
      </c>
      <c r="AN235" s="273" t="str">
        <f t="shared" ref="AN235" si="433">IF(MIN(AA235,AB235)=0,"na",MIN(AA235,AB235))</f>
        <v>na</v>
      </c>
      <c r="AO235" s="273" t="str">
        <f t="shared" ref="AO235" si="434">IF(MIN(AC235:AF235)=0,"na",MIN(AC235:AF235))</f>
        <v>na</v>
      </c>
      <c r="AP235" s="273" t="str">
        <f t="shared" ref="AP235" si="435">IF(MIN(AG235,AH235)=0,"na",MIN(AG235,AH235))</f>
        <v>na</v>
      </c>
      <c r="AQ235" s="273" t="str">
        <f t="shared" ref="AQ235" si="436">IF(MIN(AI235:AL235)=0,"na",MIN(AI235:AL235))</f>
        <v>na</v>
      </c>
      <c r="AR235" s="273" t="str">
        <f t="shared" ref="AR235" si="437">IF(MIN(AA235:AM235)=0,"na",MIN(AA235:AM235))</f>
        <v>na</v>
      </c>
      <c r="AS235" s="1051"/>
      <c r="AU235" s="1113" t="str">
        <f t="shared" si="390"/>
        <v/>
      </c>
      <c r="AV235" s="1114" t="str">
        <f t="shared" si="391"/>
        <v/>
      </c>
      <c r="AW235" s="1114" t="str">
        <f t="shared" si="392"/>
        <v/>
      </c>
      <c r="AX235" s="1704" t="str">
        <f t="shared" si="367"/>
        <v/>
      </c>
      <c r="AY235" s="1113" t="str">
        <f t="shared" si="393"/>
        <v/>
      </c>
      <c r="AZ235" s="1114" t="str">
        <f t="shared" si="394"/>
        <v/>
      </c>
      <c r="BA235" s="1114" t="str">
        <f t="shared" si="395"/>
        <v/>
      </c>
      <c r="BB235" s="1704" t="str">
        <f t="shared" si="371"/>
        <v/>
      </c>
      <c r="BC235" s="1113" t="str">
        <f t="shared" si="396"/>
        <v/>
      </c>
      <c r="BD235" s="1114" t="str">
        <f t="shared" si="397"/>
        <v/>
      </c>
      <c r="BE235" s="1114" t="str">
        <f t="shared" si="398"/>
        <v/>
      </c>
      <c r="BF235" s="1114" t="str">
        <f t="shared" si="399"/>
        <v/>
      </c>
      <c r="BG235" s="1114" t="str">
        <f t="shared" si="400"/>
        <v/>
      </c>
      <c r="BH235" s="1114" t="str">
        <f t="shared" si="401"/>
        <v/>
      </c>
      <c r="BI235" s="1114" t="str">
        <f t="shared" si="402"/>
        <v/>
      </c>
      <c r="BJ235" s="1115" t="str">
        <f t="shared" si="403"/>
        <v/>
      </c>
      <c r="BL235" s="1885"/>
    </row>
    <row r="236" spans="1:64" ht="13.9" customHeight="1" x14ac:dyDescent="0.25">
      <c r="A236" s="1916">
        <f>Chem!A236</f>
        <v>234</v>
      </c>
      <c r="B236" s="1880" t="str">
        <f>Chem!B236</f>
        <v>Perfluorohexanesulfonic acid (PFHxS)</v>
      </c>
      <c r="C236" s="338" t="str">
        <f>Param!AK236</f>
        <v>no</v>
      </c>
      <c r="D236" s="317" t="str">
        <f>IF(ISNUMBER(Param!AN236),Param!AN236,Param!AM236)</f>
        <v>na</v>
      </c>
      <c r="E236" s="273" t="s">
        <v>232</v>
      </c>
      <c r="F236" s="643" t="s">
        <v>232</v>
      </c>
      <c r="G236" s="550" t="s">
        <v>232</v>
      </c>
      <c r="H236" s="550" t="s">
        <v>232</v>
      </c>
      <c r="I236" s="273" t="s">
        <v>232</v>
      </c>
      <c r="J236" s="273" t="s">
        <v>232</v>
      </c>
      <c r="K236" s="219" t="str">
        <f>IF(C236="YES",'SD-Eq'!V236,"na")</f>
        <v>na</v>
      </c>
      <c r="L236" s="273" t="str">
        <f>IF(C236="YES",'SD-Eq'!Z236,"na")</f>
        <v>na</v>
      </c>
      <c r="M236" s="435" t="str">
        <f t="shared" si="347"/>
        <v>na</v>
      </c>
      <c r="N236" s="273" t="str">
        <f t="shared" si="353"/>
        <v>na</v>
      </c>
      <c r="O236" s="1794" t="str">
        <f t="shared" si="380"/>
        <v>na</v>
      </c>
      <c r="P236" s="273" t="str">
        <f t="shared" si="381"/>
        <v>na</v>
      </c>
      <c r="Q236" s="418" t="s">
        <v>232</v>
      </c>
      <c r="R236" s="418" t="s">
        <v>232</v>
      </c>
      <c r="S236" s="418" t="s">
        <v>232</v>
      </c>
      <c r="T236" s="418" t="s">
        <v>232</v>
      </c>
      <c r="U236" s="418" t="s">
        <v>232</v>
      </c>
      <c r="V236" s="418" t="s">
        <v>232</v>
      </c>
      <c r="W236" s="418" t="str">
        <f t="shared" si="382"/>
        <v>na</v>
      </c>
      <c r="X236" s="418" t="s">
        <v>232</v>
      </c>
      <c r="Y236" s="1794" t="str">
        <f t="shared" si="383"/>
        <v>na</v>
      </c>
      <c r="Z236" s="1794" t="str">
        <f t="shared" si="384"/>
        <v>na</v>
      </c>
      <c r="AA236" s="273" t="s">
        <v>232</v>
      </c>
      <c r="AB236" s="273" t="s">
        <v>232</v>
      </c>
      <c r="AC236" s="273" t="s">
        <v>232</v>
      </c>
      <c r="AD236" s="273" t="s">
        <v>232</v>
      </c>
      <c r="AE236" s="273" t="s">
        <v>232</v>
      </c>
      <c r="AF236" s="273" t="s">
        <v>232</v>
      </c>
      <c r="AG236" s="273" t="s">
        <v>232</v>
      </c>
      <c r="AH236" s="273" t="s">
        <v>232</v>
      </c>
      <c r="AI236" s="273" t="s">
        <v>232</v>
      </c>
      <c r="AJ236" s="273" t="s">
        <v>232</v>
      </c>
      <c r="AK236" s="273" t="s">
        <v>232</v>
      </c>
      <c r="AL236" s="273" t="s">
        <v>232</v>
      </c>
      <c r="AM236" s="273" t="s">
        <v>232</v>
      </c>
      <c r="AN236" s="273" t="str">
        <f t="shared" si="385"/>
        <v>na</v>
      </c>
      <c r="AO236" s="273" t="str">
        <f t="shared" si="386"/>
        <v>na</v>
      </c>
      <c r="AP236" s="273" t="str">
        <f t="shared" si="387"/>
        <v>na</v>
      </c>
      <c r="AQ236" s="273" t="str">
        <f t="shared" si="388"/>
        <v>na</v>
      </c>
      <c r="AR236" s="273" t="str">
        <f t="shared" si="389"/>
        <v>na</v>
      </c>
      <c r="AS236" s="1051"/>
      <c r="AU236" s="1113" t="str">
        <f t="shared" si="390"/>
        <v/>
      </c>
      <c r="AV236" s="1114" t="str">
        <f t="shared" si="391"/>
        <v/>
      </c>
      <c r="AW236" s="1114" t="str">
        <f t="shared" si="392"/>
        <v/>
      </c>
      <c r="AX236" s="1704" t="str">
        <f t="shared" si="367"/>
        <v/>
      </c>
      <c r="AY236" s="1113" t="str">
        <f t="shared" si="393"/>
        <v/>
      </c>
      <c r="AZ236" s="1114" t="str">
        <f t="shared" si="394"/>
        <v/>
      </c>
      <c r="BA236" s="1114" t="str">
        <f t="shared" si="395"/>
        <v/>
      </c>
      <c r="BB236" s="1704" t="str">
        <f t="shared" si="371"/>
        <v/>
      </c>
      <c r="BC236" s="1113" t="str">
        <f t="shared" si="396"/>
        <v/>
      </c>
      <c r="BD236" s="1114" t="str">
        <f t="shared" si="397"/>
        <v/>
      </c>
      <c r="BE236" s="1114" t="str">
        <f t="shared" si="398"/>
        <v/>
      </c>
      <c r="BF236" s="1114" t="str">
        <f t="shared" si="399"/>
        <v/>
      </c>
      <c r="BG236" s="1114" t="str">
        <f t="shared" si="400"/>
        <v/>
      </c>
      <c r="BH236" s="1114" t="str">
        <f t="shared" si="401"/>
        <v/>
      </c>
      <c r="BI236" s="1114" t="str">
        <f t="shared" si="402"/>
        <v/>
      </c>
      <c r="BJ236" s="1115" t="str">
        <f t="shared" si="403"/>
        <v/>
      </c>
      <c r="BL236" s="1885"/>
    </row>
    <row r="237" spans="1:64" ht="13.9" customHeight="1" x14ac:dyDescent="0.25">
      <c r="A237" s="1916">
        <f>Chem!A237</f>
        <v>235</v>
      </c>
      <c r="B237" s="1880" t="str">
        <f>Chem!B237</f>
        <v>Perfluorononanoic acid (PFNA)</v>
      </c>
      <c r="C237" s="338" t="str">
        <f>Param!AK237</f>
        <v>no</v>
      </c>
      <c r="D237" s="317" t="str">
        <f>IF(ISNUMBER(Param!AN237),Param!AN237,Param!AM237)</f>
        <v>na</v>
      </c>
      <c r="E237" s="273" t="s">
        <v>232</v>
      </c>
      <c r="F237" s="643" t="s">
        <v>232</v>
      </c>
      <c r="G237" s="550" t="s">
        <v>232</v>
      </c>
      <c r="H237" s="550" t="s">
        <v>232</v>
      </c>
      <c r="I237" s="273" t="s">
        <v>232</v>
      </c>
      <c r="J237" s="273" t="s">
        <v>232</v>
      </c>
      <c r="K237" s="219" t="str">
        <f>IF(C237="YES",'SD-Eq'!V237,"na")</f>
        <v>na</v>
      </c>
      <c r="L237" s="273" t="str">
        <f>IF(C237="YES",'SD-Eq'!Z237,"na")</f>
        <v>na</v>
      </c>
      <c r="M237" s="435" t="str">
        <f t="shared" si="347"/>
        <v>na</v>
      </c>
      <c r="N237" s="273" t="str">
        <f t="shared" si="353"/>
        <v>na</v>
      </c>
      <c r="O237" s="1794" t="str">
        <f t="shared" si="380"/>
        <v>na</v>
      </c>
      <c r="P237" s="273" t="str">
        <f t="shared" si="381"/>
        <v>na</v>
      </c>
      <c r="Q237" s="418" t="s">
        <v>232</v>
      </c>
      <c r="R237" s="418" t="s">
        <v>232</v>
      </c>
      <c r="S237" s="418" t="s">
        <v>232</v>
      </c>
      <c r="T237" s="418" t="s">
        <v>232</v>
      </c>
      <c r="U237" s="418" t="s">
        <v>232</v>
      </c>
      <c r="V237" s="418" t="s">
        <v>232</v>
      </c>
      <c r="W237" s="418" t="str">
        <f t="shared" si="382"/>
        <v>na</v>
      </c>
      <c r="X237" s="418" t="s">
        <v>232</v>
      </c>
      <c r="Y237" s="1794" t="str">
        <f t="shared" si="383"/>
        <v>na</v>
      </c>
      <c r="Z237" s="1794" t="str">
        <f t="shared" si="384"/>
        <v>na</v>
      </c>
      <c r="AA237" s="273" t="s">
        <v>232</v>
      </c>
      <c r="AB237" s="273" t="s">
        <v>232</v>
      </c>
      <c r="AC237" s="273" t="s">
        <v>232</v>
      </c>
      <c r="AD237" s="273" t="s">
        <v>232</v>
      </c>
      <c r="AE237" s="273" t="s">
        <v>232</v>
      </c>
      <c r="AF237" s="273" t="s">
        <v>232</v>
      </c>
      <c r="AG237" s="273" t="s">
        <v>232</v>
      </c>
      <c r="AH237" s="273" t="s">
        <v>232</v>
      </c>
      <c r="AI237" s="273" t="s">
        <v>232</v>
      </c>
      <c r="AJ237" s="273" t="s">
        <v>232</v>
      </c>
      <c r="AK237" s="273" t="s">
        <v>232</v>
      </c>
      <c r="AL237" s="273" t="s">
        <v>232</v>
      </c>
      <c r="AM237" s="273" t="s">
        <v>232</v>
      </c>
      <c r="AN237" s="273" t="str">
        <f t="shared" si="385"/>
        <v>na</v>
      </c>
      <c r="AO237" s="273" t="str">
        <f t="shared" si="386"/>
        <v>na</v>
      </c>
      <c r="AP237" s="273" t="str">
        <f t="shared" si="387"/>
        <v>na</v>
      </c>
      <c r="AQ237" s="273" t="str">
        <f t="shared" si="388"/>
        <v>na</v>
      </c>
      <c r="AR237" s="273" t="str">
        <f t="shared" si="389"/>
        <v>na</v>
      </c>
      <c r="AS237" s="1051"/>
      <c r="AU237" s="1113" t="str">
        <f t="shared" si="390"/>
        <v/>
      </c>
      <c r="AV237" s="1114" t="str">
        <f t="shared" si="391"/>
        <v/>
      </c>
      <c r="AW237" s="1114" t="str">
        <f t="shared" si="392"/>
        <v/>
      </c>
      <c r="AX237" s="1704" t="str">
        <f t="shared" si="367"/>
        <v/>
      </c>
      <c r="AY237" s="1113" t="str">
        <f t="shared" si="393"/>
        <v/>
      </c>
      <c r="AZ237" s="1114" t="str">
        <f t="shared" si="394"/>
        <v/>
      </c>
      <c r="BA237" s="1114" t="str">
        <f t="shared" si="395"/>
        <v/>
      </c>
      <c r="BB237" s="1704" t="str">
        <f t="shared" si="371"/>
        <v/>
      </c>
      <c r="BC237" s="1113" t="str">
        <f t="shared" si="396"/>
        <v/>
      </c>
      <c r="BD237" s="1114" t="str">
        <f t="shared" si="397"/>
        <v/>
      </c>
      <c r="BE237" s="1114" t="str">
        <f t="shared" si="398"/>
        <v/>
      </c>
      <c r="BF237" s="1114" t="str">
        <f t="shared" si="399"/>
        <v/>
      </c>
      <c r="BG237" s="1114" t="str">
        <f t="shared" si="400"/>
        <v/>
      </c>
      <c r="BH237" s="1114" t="str">
        <f t="shared" si="401"/>
        <v/>
      </c>
      <c r="BI237" s="1114" t="str">
        <f t="shared" si="402"/>
        <v/>
      </c>
      <c r="BJ237" s="1115" t="str">
        <f t="shared" si="403"/>
        <v/>
      </c>
      <c r="BL237" s="1885"/>
    </row>
    <row r="238" spans="1:64" ht="13.9" customHeight="1" x14ac:dyDescent="0.25">
      <c r="A238" s="1916">
        <f>Chem!A238</f>
        <v>236</v>
      </c>
      <c r="B238" s="1880" t="str">
        <f>Chem!B238</f>
        <v>Perfluorooctanesulfonic acid (PFOS)</v>
      </c>
      <c r="C238" s="338" t="str">
        <f>Param!AK238</f>
        <v>no</v>
      </c>
      <c r="D238" s="317" t="str">
        <f>IF(ISNUMBER(Param!AN238),Param!AN238,Param!AM238)</f>
        <v>na</v>
      </c>
      <c r="E238" s="273" t="s">
        <v>232</v>
      </c>
      <c r="F238" s="643" t="s">
        <v>232</v>
      </c>
      <c r="G238" s="550" t="s">
        <v>232</v>
      </c>
      <c r="H238" s="550" t="s">
        <v>232</v>
      </c>
      <c r="I238" s="273" t="s">
        <v>232</v>
      </c>
      <c r="J238" s="273" t="s">
        <v>232</v>
      </c>
      <c r="K238" s="219" t="str">
        <f>IF(C238="YES",'SD-Eq'!V238,"na")</f>
        <v>na</v>
      </c>
      <c r="L238" s="273" t="str">
        <f>IF(C238="YES",'SD-Eq'!Z238,"na")</f>
        <v>na</v>
      </c>
      <c r="M238" s="435" t="str">
        <f t="shared" si="347"/>
        <v>na</v>
      </c>
      <c r="N238" s="273" t="str">
        <f t="shared" si="353"/>
        <v>na</v>
      </c>
      <c r="O238" s="1794" t="str">
        <f t="shared" si="380"/>
        <v>na</v>
      </c>
      <c r="P238" s="273" t="str">
        <f t="shared" si="381"/>
        <v>na</v>
      </c>
      <c r="Q238" s="418" t="s">
        <v>232</v>
      </c>
      <c r="R238" s="418" t="s">
        <v>232</v>
      </c>
      <c r="S238" s="418" t="s">
        <v>232</v>
      </c>
      <c r="T238" s="418" t="s">
        <v>232</v>
      </c>
      <c r="U238" s="418" t="s">
        <v>232</v>
      </c>
      <c r="V238" s="418" t="s">
        <v>232</v>
      </c>
      <c r="W238" s="418" t="str">
        <f t="shared" si="382"/>
        <v>na</v>
      </c>
      <c r="X238" s="418" t="s">
        <v>232</v>
      </c>
      <c r="Y238" s="1794" t="str">
        <f t="shared" si="383"/>
        <v>na</v>
      </c>
      <c r="Z238" s="1794" t="str">
        <f t="shared" si="384"/>
        <v>na</v>
      </c>
      <c r="AA238" s="273" t="s">
        <v>232</v>
      </c>
      <c r="AB238" s="273" t="s">
        <v>232</v>
      </c>
      <c r="AC238" s="273" t="s">
        <v>232</v>
      </c>
      <c r="AD238" s="273" t="s">
        <v>232</v>
      </c>
      <c r="AE238" s="273" t="s">
        <v>232</v>
      </c>
      <c r="AF238" s="273" t="s">
        <v>232</v>
      </c>
      <c r="AG238" s="273" t="s">
        <v>232</v>
      </c>
      <c r="AH238" s="273" t="s">
        <v>232</v>
      </c>
      <c r="AI238" s="273" t="s">
        <v>232</v>
      </c>
      <c r="AJ238" s="273" t="s">
        <v>232</v>
      </c>
      <c r="AK238" s="273" t="s">
        <v>232</v>
      </c>
      <c r="AL238" s="273" t="s">
        <v>232</v>
      </c>
      <c r="AM238" s="273" t="s">
        <v>232</v>
      </c>
      <c r="AN238" s="273" t="str">
        <f t="shared" si="385"/>
        <v>na</v>
      </c>
      <c r="AO238" s="273" t="str">
        <f t="shared" si="386"/>
        <v>na</v>
      </c>
      <c r="AP238" s="273" t="str">
        <f t="shared" si="387"/>
        <v>na</v>
      </c>
      <c r="AQ238" s="273" t="str">
        <f t="shared" si="388"/>
        <v>na</v>
      </c>
      <c r="AR238" s="273" t="str">
        <f t="shared" si="389"/>
        <v>na</v>
      </c>
      <c r="AS238" s="1051"/>
      <c r="AU238" s="1113" t="str">
        <f t="shared" si="390"/>
        <v/>
      </c>
      <c r="AV238" s="1114" t="str">
        <f t="shared" si="391"/>
        <v/>
      </c>
      <c r="AW238" s="1114" t="str">
        <f t="shared" si="392"/>
        <v/>
      </c>
      <c r="AX238" s="1704" t="str">
        <f t="shared" si="367"/>
        <v/>
      </c>
      <c r="AY238" s="1113" t="str">
        <f t="shared" si="393"/>
        <v/>
      </c>
      <c r="AZ238" s="1114" t="str">
        <f t="shared" si="394"/>
        <v/>
      </c>
      <c r="BA238" s="1114" t="str">
        <f t="shared" si="395"/>
        <v/>
      </c>
      <c r="BB238" s="1704" t="str">
        <f t="shared" si="371"/>
        <v/>
      </c>
      <c r="BC238" s="1113" t="str">
        <f t="shared" si="396"/>
        <v/>
      </c>
      <c r="BD238" s="1114" t="str">
        <f t="shared" si="397"/>
        <v/>
      </c>
      <c r="BE238" s="1114" t="str">
        <f t="shared" si="398"/>
        <v/>
      </c>
      <c r="BF238" s="1114" t="str">
        <f t="shared" si="399"/>
        <v/>
      </c>
      <c r="BG238" s="1114" t="str">
        <f t="shared" si="400"/>
        <v/>
      </c>
      <c r="BH238" s="1114" t="str">
        <f t="shared" si="401"/>
        <v/>
      </c>
      <c r="BI238" s="1114" t="str">
        <f t="shared" si="402"/>
        <v/>
      </c>
      <c r="BJ238" s="1115" t="str">
        <f t="shared" si="403"/>
        <v/>
      </c>
      <c r="BL238" s="1885"/>
    </row>
    <row r="239" spans="1:64" ht="13.9" customHeight="1" x14ac:dyDescent="0.25">
      <c r="A239" s="1920">
        <f>Chem!A239</f>
        <v>237</v>
      </c>
      <c r="B239" s="1883" t="str">
        <f>Chem!B239</f>
        <v>Perfluorooctanoic acid (PFOA)</v>
      </c>
      <c r="C239" s="344" t="str">
        <f>Param!AK239</f>
        <v>no</v>
      </c>
      <c r="D239" s="1156" t="str">
        <f>IF(ISNUMBER(Param!AN239),Param!AN239,Param!AM239)</f>
        <v>na</v>
      </c>
      <c r="E239" s="732" t="s">
        <v>232</v>
      </c>
      <c r="F239" s="1157" t="s">
        <v>232</v>
      </c>
      <c r="G239" s="563" t="s">
        <v>232</v>
      </c>
      <c r="H239" s="563" t="s">
        <v>232</v>
      </c>
      <c r="I239" s="732" t="s">
        <v>232</v>
      </c>
      <c r="J239" s="732" t="s">
        <v>232</v>
      </c>
      <c r="K239" s="290" t="str">
        <f>IF(C239="YES",'SD-Eq'!V239,"na")</f>
        <v>na</v>
      </c>
      <c r="L239" s="732" t="str">
        <f>IF(C239="YES",'SD-Eq'!Z239,"na")</f>
        <v>na</v>
      </c>
      <c r="M239" s="587" t="str">
        <f t="shared" si="347"/>
        <v>na</v>
      </c>
      <c r="N239" s="732" t="str">
        <f t="shared" si="353"/>
        <v>na</v>
      </c>
      <c r="O239" s="1808" t="str">
        <f t="shared" si="380"/>
        <v>na</v>
      </c>
      <c r="P239" s="732" t="str">
        <f t="shared" si="381"/>
        <v>na</v>
      </c>
      <c r="Q239" s="1890" t="s">
        <v>232</v>
      </c>
      <c r="R239" s="1890" t="s">
        <v>232</v>
      </c>
      <c r="S239" s="1890" t="s">
        <v>232</v>
      </c>
      <c r="T239" s="1890" t="s">
        <v>232</v>
      </c>
      <c r="U239" s="1890" t="s">
        <v>232</v>
      </c>
      <c r="V239" s="1890" t="s">
        <v>232</v>
      </c>
      <c r="W239" s="1890" t="str">
        <f t="shared" si="382"/>
        <v>na</v>
      </c>
      <c r="X239" s="1890" t="s">
        <v>232</v>
      </c>
      <c r="Y239" s="1808" t="str">
        <f t="shared" si="383"/>
        <v>na</v>
      </c>
      <c r="Z239" s="1808" t="str">
        <f t="shared" si="384"/>
        <v>na</v>
      </c>
      <c r="AA239" s="732" t="s">
        <v>232</v>
      </c>
      <c r="AB239" s="732" t="s">
        <v>232</v>
      </c>
      <c r="AC239" s="732" t="s">
        <v>232</v>
      </c>
      <c r="AD239" s="732" t="s">
        <v>232</v>
      </c>
      <c r="AE239" s="732" t="s">
        <v>232</v>
      </c>
      <c r="AF239" s="732" t="s">
        <v>232</v>
      </c>
      <c r="AG239" s="732" t="s">
        <v>232</v>
      </c>
      <c r="AH239" s="732" t="s">
        <v>232</v>
      </c>
      <c r="AI239" s="732" t="s">
        <v>232</v>
      </c>
      <c r="AJ239" s="732" t="s">
        <v>232</v>
      </c>
      <c r="AK239" s="732" t="s">
        <v>232</v>
      </c>
      <c r="AL239" s="732" t="s">
        <v>232</v>
      </c>
      <c r="AM239" s="732" t="s">
        <v>232</v>
      </c>
      <c r="AN239" s="732" t="str">
        <f t="shared" si="385"/>
        <v>na</v>
      </c>
      <c r="AO239" s="732" t="str">
        <f t="shared" si="386"/>
        <v>na</v>
      </c>
      <c r="AP239" s="732" t="str">
        <f t="shared" si="387"/>
        <v>na</v>
      </c>
      <c r="AQ239" s="732" t="str">
        <f t="shared" si="388"/>
        <v>na</v>
      </c>
      <c r="AR239" s="732" t="str">
        <f t="shared" si="389"/>
        <v>na</v>
      </c>
      <c r="AS239" s="1795"/>
      <c r="AU239" s="1116" t="str">
        <f t="shared" si="390"/>
        <v/>
      </c>
      <c r="AV239" s="1117" t="str">
        <f t="shared" si="391"/>
        <v/>
      </c>
      <c r="AW239" s="1117" t="str">
        <f t="shared" si="392"/>
        <v/>
      </c>
      <c r="AX239" s="1707" t="str">
        <f t="shared" si="367"/>
        <v/>
      </c>
      <c r="AY239" s="1116" t="str">
        <f t="shared" si="393"/>
        <v/>
      </c>
      <c r="AZ239" s="1117" t="str">
        <f t="shared" si="394"/>
        <v/>
      </c>
      <c r="BA239" s="1117" t="str">
        <f t="shared" si="395"/>
        <v/>
      </c>
      <c r="BB239" s="1707" t="str">
        <f t="shared" si="371"/>
        <v/>
      </c>
      <c r="BC239" s="1336" t="str">
        <f t="shared" si="396"/>
        <v/>
      </c>
      <c r="BD239" s="1337" t="str">
        <f t="shared" si="397"/>
        <v/>
      </c>
      <c r="BE239" s="1337" t="str">
        <f t="shared" si="398"/>
        <v/>
      </c>
      <c r="BF239" s="1337" t="str">
        <f t="shared" si="399"/>
        <v/>
      </c>
      <c r="BG239" s="1337" t="str">
        <f t="shared" si="400"/>
        <v/>
      </c>
      <c r="BH239" s="1337" t="str">
        <f t="shared" si="401"/>
        <v/>
      </c>
      <c r="BI239" s="1337" t="str">
        <f t="shared" si="402"/>
        <v/>
      </c>
      <c r="BJ239" s="1338" t="str">
        <f t="shared" si="403"/>
        <v/>
      </c>
      <c r="BL239" s="1885"/>
    </row>
    <row r="240" spans="1:64" ht="13.9" customHeight="1" x14ac:dyDescent="0.25">
      <c r="A240" s="1919">
        <f>Chem!A240</f>
        <v>238</v>
      </c>
      <c r="B240" s="1899" t="str">
        <f>Chem!B240</f>
        <v>Petroleum Hydrocarbons</v>
      </c>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c r="AA240" s="297"/>
      <c r="AB240" s="297"/>
      <c r="AC240" s="297"/>
      <c r="AD240" s="297"/>
      <c r="AE240" s="297"/>
      <c r="AF240" s="297"/>
      <c r="AG240" s="297"/>
      <c r="AH240" s="297"/>
      <c r="AI240" s="297"/>
      <c r="AJ240" s="297"/>
      <c r="AK240" s="297"/>
      <c r="AL240" s="297"/>
      <c r="AM240" s="297"/>
      <c r="AN240" s="297"/>
      <c r="AO240" s="297"/>
      <c r="AP240" s="297"/>
      <c r="AQ240" s="297"/>
      <c r="AR240" s="297"/>
      <c r="AS240" s="2366"/>
      <c r="AU240" s="250" t="str">
        <f>B240</f>
        <v>Petroleum Hydrocarbons</v>
      </c>
      <c r="AV240" s="2375"/>
      <c r="AW240" s="2375"/>
      <c r="AX240" s="2375"/>
      <c r="AY240" s="2375"/>
      <c r="AZ240" s="2375"/>
      <c r="BA240" s="2375"/>
      <c r="BB240" s="2375"/>
      <c r="BC240" s="2372"/>
      <c r="BD240" s="2372"/>
      <c r="BE240" s="2372"/>
      <c r="BF240" s="2372"/>
      <c r="BG240" s="2372"/>
      <c r="BH240" s="2372"/>
      <c r="BI240" s="2372"/>
      <c r="BJ240" s="2373"/>
      <c r="BL240" s="1901"/>
    </row>
    <row r="241" spans="1:64" ht="13.9" customHeight="1" x14ac:dyDescent="0.25">
      <c r="A241" s="1916">
        <f>Chem!A241</f>
        <v>239</v>
      </c>
      <c r="B241" s="1880" t="str">
        <f>Chem!B241</f>
        <v>Gasoline range hydrocarbons, fresh</v>
      </c>
      <c r="C241" s="394" t="str">
        <f>Param!AK241</f>
        <v>no</v>
      </c>
      <c r="D241" s="317" t="str">
        <f>IF(ISNUMBER(Param!AN241),Param!AN241,Param!AM241)</f>
        <v>na</v>
      </c>
      <c r="E241" s="273" t="s">
        <v>232</v>
      </c>
      <c r="F241" s="643" t="s">
        <v>232</v>
      </c>
      <c r="G241" s="550" t="s">
        <v>232</v>
      </c>
      <c r="H241" s="550" t="s">
        <v>232</v>
      </c>
      <c r="I241" s="273" t="s">
        <v>232</v>
      </c>
      <c r="J241" s="273" t="s">
        <v>232</v>
      </c>
      <c r="K241" s="219" t="str">
        <f>IF(C241="YES",'SD-Eq'!V241,"na")</f>
        <v>na</v>
      </c>
      <c r="L241" s="273" t="str">
        <f>IF(C241="YES",'SD-Eq'!Z241,"na")</f>
        <v>na</v>
      </c>
      <c r="M241" s="435" t="str">
        <f t="shared" ref="M241:M246" si="438">IF($C241="YES",IF(OR(ISNUMBER($D241),ISNUMBER($F241)),MAX($D241,$F241),"PQL"),"na")</f>
        <v>na</v>
      </c>
      <c r="N241" s="273" t="str">
        <f t="shared" ref="N241:N246" si="439">IF($C241="YES",IF(OR(ISNUMBER($D241),ISNUMBER($E241),ISNUMBER($F241)),MAX($D241:$F241),"PQL"),"na")</f>
        <v>na</v>
      </c>
      <c r="O241" s="1794" t="str">
        <f t="shared" ref="O241:O246" si="440">IF(OR(ISNUMBER(H241),ISNUMBER(K241),ISNUMBER(M241)),MIN(H241,K241,M241),"na")</f>
        <v>na</v>
      </c>
      <c r="P241" s="1789" t="str">
        <f t="shared" ref="P241:P246" si="441">IF(OR(ISNUMBER(J241),ISNUMBER(L241),ISNUMBER(N241)),MIN(J241,L241,N241),"na")</f>
        <v>na</v>
      </c>
      <c r="Q241" s="418" t="s">
        <v>232</v>
      </c>
      <c r="R241" s="418" t="s">
        <v>232</v>
      </c>
      <c r="S241" s="418" t="s">
        <v>232</v>
      </c>
      <c r="T241" s="418" t="s">
        <v>232</v>
      </c>
      <c r="U241" s="418" t="s">
        <v>232</v>
      </c>
      <c r="V241" s="418" t="s">
        <v>232</v>
      </c>
      <c r="W241" s="418" t="str">
        <f t="shared" ref="W241:W246" si="442">IF(ISNUMBER(V241),H241,"na")</f>
        <v>na</v>
      </c>
      <c r="X241" s="418" t="s">
        <v>232</v>
      </c>
      <c r="Y241" s="1884" t="str">
        <f t="shared" ref="Y241:Y246" si="443">IF(OR(ISNUMBER(Q241),ISNUMBER(R241),ISNUMBER(S241),ISNUMBER(T241),ISNUMBER(X241)),MIN(Q241:T241,X241),"na")</f>
        <v>na</v>
      </c>
      <c r="Z241" s="1884" t="str">
        <f t="shared" ref="Z241:Z246" si="444">IF(OR(ISNUMBER(U241),ISNUMBER(W241),ISNUMBER(Y241)),MIN(U241,W241,Y241),O241)</f>
        <v>na</v>
      </c>
      <c r="AA241" s="1789" t="s">
        <v>232</v>
      </c>
      <c r="AB241" s="1789" t="s">
        <v>232</v>
      </c>
      <c r="AC241" s="273" t="s">
        <v>232</v>
      </c>
      <c r="AD241" s="273" t="s">
        <v>232</v>
      </c>
      <c r="AE241" s="273" t="s">
        <v>232</v>
      </c>
      <c r="AF241" s="273" t="s">
        <v>232</v>
      </c>
      <c r="AG241" s="273" t="s">
        <v>232</v>
      </c>
      <c r="AH241" s="273" t="s">
        <v>232</v>
      </c>
      <c r="AI241" s="273" t="s">
        <v>232</v>
      </c>
      <c r="AJ241" s="273" t="s">
        <v>232</v>
      </c>
      <c r="AK241" s="273" t="s">
        <v>232</v>
      </c>
      <c r="AL241" s="273" t="s">
        <v>232</v>
      </c>
      <c r="AM241" s="273" t="s">
        <v>232</v>
      </c>
      <c r="AN241" s="273" t="str">
        <f t="shared" ref="AN241:AN246" si="445">IF(MIN(AA241,AB241)=0,"na",MIN(AA241,AB241))</f>
        <v>na</v>
      </c>
      <c r="AO241" s="273" t="str">
        <f t="shared" ref="AO241:AO245" si="446">IF(MIN(AC241:AF241)=0,"na",MIN(AC241:AF241))</f>
        <v>na</v>
      </c>
      <c r="AP241" s="273" t="str">
        <f t="shared" ref="AP241:AP245" si="447">IF(MIN(AG241,AH241)=0,"na",MIN(AG241,AH241))</f>
        <v>na</v>
      </c>
      <c r="AQ241" s="273" t="str">
        <f t="shared" ref="AQ241:AQ245" si="448">IF(MIN(AI241:AL241)=0,"na",MIN(AI241:AL241))</f>
        <v>na</v>
      </c>
      <c r="AR241" s="1789" t="str">
        <f t="shared" ref="AR241:AR246" si="449">IF(MIN(AA241:AM241)=0,"na",MIN(AA241:AM241))</f>
        <v>na</v>
      </c>
      <c r="AS241" s="1793"/>
      <c r="AU241" s="1331" t="str">
        <f t="shared" ref="AU241:AU246" si="450">IF($O241="na","",IF($O241=D241,"X",""))</f>
        <v/>
      </c>
      <c r="AV241" s="1111" t="str">
        <f t="shared" ref="AV241:AV246" si="451">IF(OR($O241="PQL",AND(ISNUMBER($F241),$O241=F241)),"X","")</f>
        <v/>
      </c>
      <c r="AW241" s="1111" t="str">
        <f t="shared" ref="AW241:AW246" si="452">IF($O241="na","",IF($O241=H241,"X",""))</f>
        <v/>
      </c>
      <c r="AX241" s="1111" t="str">
        <f t="shared" ref="AX241:AX246" si="453">IF($O241="na","",IF($O241=$K241,"X",""))</f>
        <v/>
      </c>
      <c r="AY241" s="1110" t="str">
        <f t="shared" ref="AY241:AY246" si="454">IF($P241="na","",IF($P241=E241,"X",""))</f>
        <v/>
      </c>
      <c r="AZ241" s="1111" t="str">
        <f t="shared" ref="AZ241:AZ246" si="455">IF(OR($P241="PQL",AND(ISNUMBER($F241),$P241=F241)),"X","")</f>
        <v/>
      </c>
      <c r="BA241" s="1111" t="str">
        <f t="shared" ref="BA241:BA246" si="456">IF($P241="na","",IF($P241=J241,"X",""))</f>
        <v/>
      </c>
      <c r="BB241" s="1703" t="str">
        <f t="shared" ref="BB241:BB246" si="457">IF($P241="na","",IF($P241=$L241,"X",""))</f>
        <v/>
      </c>
      <c r="BC241" s="1468" t="str">
        <f t="shared" ref="BC241:BC246" si="458">IF($Z241="na","",IF($Z241=D241,"X",""))</f>
        <v/>
      </c>
      <c r="BD241" s="1469" t="str">
        <f t="shared" ref="BD241:BD246" si="459">IF($Z241="na","",IF($Z241=F241,"X",""))</f>
        <v/>
      </c>
      <c r="BE241" s="1469" t="str">
        <f t="shared" ref="BE241:BE246" si="460">IF($Z241="na","",IF($Z241=H241,"X",""))</f>
        <v/>
      </c>
      <c r="BF241" s="1469" t="str">
        <f t="shared" ref="BF241:BF246" si="461">IF($Z241="na","",IF($Z241=K241,"X",""))</f>
        <v/>
      </c>
      <c r="BG241" s="1469" t="str">
        <f t="shared" ref="BG241:BG246" si="462">IF($Z241="na","",IF($Z241=Q241,"X",""))</f>
        <v/>
      </c>
      <c r="BH241" s="1469" t="str">
        <f t="shared" ref="BH241:BH246" si="463">IF($Z241="na","",IF(OR($Z241=R241,$Z241=S241,$Z241=T241),"X",""))</f>
        <v/>
      </c>
      <c r="BI241" s="1469" t="str">
        <f t="shared" ref="BI241:BI246" si="464">IF($Z241="na","",IF(OR($Z241=U241,$Z241=W241),"X",""))</f>
        <v/>
      </c>
      <c r="BJ241" s="1470" t="str">
        <f t="shared" ref="BJ241:BJ246" si="465">IF($Z241="na","",IF($Z241=X241,"X",""))</f>
        <v/>
      </c>
      <c r="BL241" s="1885"/>
    </row>
    <row r="242" spans="1:64" ht="13.9" customHeight="1" x14ac:dyDescent="0.25">
      <c r="A242" s="1916">
        <f>Chem!A242</f>
        <v>240</v>
      </c>
      <c r="B242" s="1880" t="str">
        <f>Chem!B242</f>
        <v>Gasoline range hydrocarbons, weathered</v>
      </c>
      <c r="C242" s="394" t="str">
        <f>Param!AK242</f>
        <v>no</v>
      </c>
      <c r="D242" s="317" t="str">
        <f>IF(ISNUMBER(Param!AN242),Param!AN242,Param!AM242)</f>
        <v>na</v>
      </c>
      <c r="E242" s="273" t="s">
        <v>232</v>
      </c>
      <c r="F242" s="643" t="s">
        <v>232</v>
      </c>
      <c r="G242" s="550" t="s">
        <v>232</v>
      </c>
      <c r="H242" s="550" t="s">
        <v>232</v>
      </c>
      <c r="I242" s="273" t="s">
        <v>232</v>
      </c>
      <c r="J242" s="273" t="s">
        <v>232</v>
      </c>
      <c r="K242" s="219" t="str">
        <f>IF(C242="YES",'SD-Eq'!V242,"na")</f>
        <v>na</v>
      </c>
      <c r="L242" s="273" t="str">
        <f>IF(C242="YES",'SD-Eq'!Z242,"na")</f>
        <v>na</v>
      </c>
      <c r="M242" s="435" t="str">
        <f t="shared" si="438"/>
        <v>na</v>
      </c>
      <c r="N242" s="273" t="str">
        <f t="shared" si="439"/>
        <v>na</v>
      </c>
      <c r="O242" s="1794" t="str">
        <f t="shared" si="440"/>
        <v>na</v>
      </c>
      <c r="P242" s="1789" t="str">
        <f t="shared" si="441"/>
        <v>na</v>
      </c>
      <c r="Q242" s="418" t="s">
        <v>232</v>
      </c>
      <c r="R242" s="418" t="s">
        <v>232</v>
      </c>
      <c r="S242" s="418" t="s">
        <v>232</v>
      </c>
      <c r="T242" s="418" t="s">
        <v>232</v>
      </c>
      <c r="U242" s="418" t="s">
        <v>232</v>
      </c>
      <c r="V242" s="418" t="s">
        <v>232</v>
      </c>
      <c r="W242" s="418" t="str">
        <f t="shared" si="442"/>
        <v>na</v>
      </c>
      <c r="X242" s="418" t="s">
        <v>232</v>
      </c>
      <c r="Y242" s="1884" t="str">
        <f t="shared" si="443"/>
        <v>na</v>
      </c>
      <c r="Z242" s="1884" t="str">
        <f t="shared" si="444"/>
        <v>na</v>
      </c>
      <c r="AA242" s="1789" t="s">
        <v>232</v>
      </c>
      <c r="AB242" s="1789" t="s">
        <v>232</v>
      </c>
      <c r="AC242" s="273" t="s">
        <v>232</v>
      </c>
      <c r="AD242" s="273" t="s">
        <v>232</v>
      </c>
      <c r="AE242" s="273" t="s">
        <v>232</v>
      </c>
      <c r="AF242" s="273" t="s">
        <v>232</v>
      </c>
      <c r="AG242" s="273" t="s">
        <v>232</v>
      </c>
      <c r="AH242" s="273" t="s">
        <v>232</v>
      </c>
      <c r="AI242" s="273" t="s">
        <v>232</v>
      </c>
      <c r="AJ242" s="273" t="s">
        <v>232</v>
      </c>
      <c r="AK242" s="273" t="s">
        <v>232</v>
      </c>
      <c r="AL242" s="273" t="s">
        <v>232</v>
      </c>
      <c r="AM242" s="273" t="s">
        <v>232</v>
      </c>
      <c r="AN242" s="273" t="str">
        <f t="shared" si="445"/>
        <v>na</v>
      </c>
      <c r="AO242" s="273" t="str">
        <f t="shared" ref="AO242" si="466">IF(MIN(AC242:AF242)=0,"na",MIN(AC242:AF242))</f>
        <v>na</v>
      </c>
      <c r="AP242" s="273" t="str">
        <f t="shared" ref="AP242" si="467">IF(MIN(AG242,AH242)=0,"na",MIN(AG242,AH242))</f>
        <v>na</v>
      </c>
      <c r="AQ242" s="273" t="str">
        <f t="shared" ref="AQ242" si="468">IF(MIN(AI242:AL242)=0,"na",MIN(AI242:AL242))</f>
        <v>na</v>
      </c>
      <c r="AR242" s="1789" t="str">
        <f t="shared" si="449"/>
        <v>na</v>
      </c>
      <c r="AS242" s="1807"/>
      <c r="AU242" s="1332" t="str">
        <f t="shared" si="450"/>
        <v/>
      </c>
      <c r="AV242" s="1114" t="str">
        <f t="shared" si="451"/>
        <v/>
      </c>
      <c r="AW242" s="1114" t="str">
        <f t="shared" si="452"/>
        <v/>
      </c>
      <c r="AX242" s="1114" t="str">
        <f t="shared" si="453"/>
        <v/>
      </c>
      <c r="AY242" s="1113" t="str">
        <f t="shared" si="454"/>
        <v/>
      </c>
      <c r="AZ242" s="1114" t="str">
        <f t="shared" si="455"/>
        <v/>
      </c>
      <c r="BA242" s="1114" t="str">
        <f t="shared" si="456"/>
        <v/>
      </c>
      <c r="BB242" s="1704" t="str">
        <f t="shared" si="457"/>
        <v/>
      </c>
      <c r="BC242" s="1113" t="str">
        <f t="shared" si="458"/>
        <v/>
      </c>
      <c r="BD242" s="1114" t="str">
        <f t="shared" si="459"/>
        <v/>
      </c>
      <c r="BE242" s="1114" t="str">
        <f t="shared" si="460"/>
        <v/>
      </c>
      <c r="BF242" s="1114" t="str">
        <f t="shared" si="461"/>
        <v/>
      </c>
      <c r="BG242" s="1114" t="str">
        <f t="shared" si="462"/>
        <v/>
      </c>
      <c r="BH242" s="1114" t="str">
        <f t="shared" si="463"/>
        <v/>
      </c>
      <c r="BI242" s="1114" t="str">
        <f t="shared" si="464"/>
        <v/>
      </c>
      <c r="BJ242" s="1115" t="str">
        <f t="shared" si="465"/>
        <v/>
      </c>
      <c r="BL242" s="1885"/>
    </row>
    <row r="243" spans="1:64" ht="13.9" customHeight="1" x14ac:dyDescent="0.25">
      <c r="A243" s="1916">
        <f>Chem!A243</f>
        <v>241</v>
      </c>
      <c r="B243" s="1880" t="str">
        <f>Chem!B243</f>
        <v>Diesel range hydrocarbons, fresh</v>
      </c>
      <c r="C243" s="394" t="str">
        <f>Param!AK243</f>
        <v>no</v>
      </c>
      <c r="D243" s="317" t="str">
        <f>IF(ISNUMBER(Param!AN243),Param!AN243,Param!AM243)</f>
        <v>na</v>
      </c>
      <c r="E243" s="273" t="s">
        <v>232</v>
      </c>
      <c r="F243" s="643">
        <v>18.3</v>
      </c>
      <c r="G243" s="550" t="s">
        <v>232</v>
      </c>
      <c r="H243" s="550" t="s">
        <v>232</v>
      </c>
      <c r="I243" s="273" t="s">
        <v>232</v>
      </c>
      <c r="J243" s="273" t="s">
        <v>232</v>
      </c>
      <c r="K243" s="219" t="str">
        <f>IF(C243="YES",'SD-Eq'!V243,"na")</f>
        <v>na</v>
      </c>
      <c r="L243" s="273" t="str">
        <f>IF(C243="YES",'SD-Eq'!Z243,"na")</f>
        <v>na</v>
      </c>
      <c r="M243" s="435" t="str">
        <f t="shared" si="438"/>
        <v>na</v>
      </c>
      <c r="N243" s="273" t="str">
        <f t="shared" si="439"/>
        <v>na</v>
      </c>
      <c r="O243" s="1794" t="str">
        <f t="shared" si="440"/>
        <v>na</v>
      </c>
      <c r="P243" s="1789" t="str">
        <f t="shared" si="441"/>
        <v>na</v>
      </c>
      <c r="Q243" s="418" t="s">
        <v>232</v>
      </c>
      <c r="R243" s="418" t="s">
        <v>232</v>
      </c>
      <c r="S243" s="418" t="s">
        <v>232</v>
      </c>
      <c r="T243" s="418" t="s">
        <v>232</v>
      </c>
      <c r="U243" s="418" t="s">
        <v>232</v>
      </c>
      <c r="V243" s="418" t="s">
        <v>232</v>
      </c>
      <c r="W243" s="418" t="str">
        <f t="shared" si="442"/>
        <v>na</v>
      </c>
      <c r="X243" s="418" t="s">
        <v>232</v>
      </c>
      <c r="Y243" s="1884" t="str">
        <f t="shared" si="443"/>
        <v>na</v>
      </c>
      <c r="Z243" s="1884" t="str">
        <f t="shared" si="444"/>
        <v>na</v>
      </c>
      <c r="AA243" s="1789" t="s">
        <v>232</v>
      </c>
      <c r="AB243" s="1789" t="s">
        <v>232</v>
      </c>
      <c r="AC243" s="273" t="s">
        <v>232</v>
      </c>
      <c r="AD243" s="273" t="s">
        <v>232</v>
      </c>
      <c r="AE243" s="273" t="s">
        <v>232</v>
      </c>
      <c r="AF243" s="273" t="s">
        <v>232</v>
      </c>
      <c r="AG243" s="273" t="s">
        <v>232</v>
      </c>
      <c r="AH243" s="273" t="s">
        <v>232</v>
      </c>
      <c r="AI243" s="273" t="s">
        <v>232</v>
      </c>
      <c r="AJ243" s="273" t="s">
        <v>232</v>
      </c>
      <c r="AK243" s="273" t="s">
        <v>232</v>
      </c>
      <c r="AL243" s="273" t="s">
        <v>232</v>
      </c>
      <c r="AM243" s="273" t="s">
        <v>232</v>
      </c>
      <c r="AN243" s="273" t="str">
        <f t="shared" si="445"/>
        <v>na</v>
      </c>
      <c r="AO243" s="273" t="str">
        <f t="shared" si="446"/>
        <v>na</v>
      </c>
      <c r="AP243" s="273" t="str">
        <f t="shared" si="447"/>
        <v>na</v>
      </c>
      <c r="AQ243" s="273" t="str">
        <f t="shared" si="448"/>
        <v>na</v>
      </c>
      <c r="AR243" s="1789" t="str">
        <f t="shared" si="449"/>
        <v>na</v>
      </c>
      <c r="AS243" s="1051"/>
      <c r="AU243" s="1332" t="str">
        <f t="shared" si="450"/>
        <v/>
      </c>
      <c r="AV243" s="1114" t="str">
        <f t="shared" si="451"/>
        <v/>
      </c>
      <c r="AW243" s="1114" t="str">
        <f t="shared" si="452"/>
        <v/>
      </c>
      <c r="AX243" s="1114" t="str">
        <f t="shared" si="453"/>
        <v/>
      </c>
      <c r="AY243" s="1113" t="str">
        <f t="shared" si="454"/>
        <v/>
      </c>
      <c r="AZ243" s="1114" t="str">
        <f t="shared" si="455"/>
        <v/>
      </c>
      <c r="BA243" s="1114" t="str">
        <f t="shared" si="456"/>
        <v/>
      </c>
      <c r="BB243" s="1704" t="str">
        <f t="shared" si="457"/>
        <v/>
      </c>
      <c r="BC243" s="1113" t="str">
        <f t="shared" si="458"/>
        <v/>
      </c>
      <c r="BD243" s="1114" t="str">
        <f t="shared" si="459"/>
        <v/>
      </c>
      <c r="BE243" s="1114" t="str">
        <f t="shared" si="460"/>
        <v/>
      </c>
      <c r="BF243" s="1114" t="str">
        <f t="shared" si="461"/>
        <v/>
      </c>
      <c r="BG243" s="1114" t="str">
        <f t="shared" si="462"/>
        <v/>
      </c>
      <c r="BH243" s="1114" t="str">
        <f t="shared" si="463"/>
        <v/>
      </c>
      <c r="BI243" s="1114" t="str">
        <f t="shared" si="464"/>
        <v/>
      </c>
      <c r="BJ243" s="1115" t="str">
        <f t="shared" si="465"/>
        <v/>
      </c>
      <c r="BL243" s="1885"/>
    </row>
    <row r="244" spans="1:64" ht="13.9" customHeight="1" x14ac:dyDescent="0.25">
      <c r="A244" s="1916">
        <f>Chem!A244</f>
        <v>242</v>
      </c>
      <c r="B244" s="1880" t="str">
        <f>Chem!B244</f>
        <v>Diesel range hydrocarbons, weathered</v>
      </c>
      <c r="C244" s="394" t="str">
        <f>Param!AK244</f>
        <v>no</v>
      </c>
      <c r="D244" s="317" t="str">
        <f>IF(ISNUMBER(Param!AN244),Param!AN244,Param!AM244)</f>
        <v>na</v>
      </c>
      <c r="E244" s="273" t="s">
        <v>232</v>
      </c>
      <c r="F244" s="643">
        <v>18.3</v>
      </c>
      <c r="G244" s="550" t="s">
        <v>232</v>
      </c>
      <c r="H244" s="550" t="s">
        <v>232</v>
      </c>
      <c r="I244" s="273" t="s">
        <v>232</v>
      </c>
      <c r="J244" s="273" t="s">
        <v>232</v>
      </c>
      <c r="K244" s="219" t="str">
        <f>IF(C244="YES",'SD-Eq'!V244,"na")</f>
        <v>na</v>
      </c>
      <c r="L244" s="273" t="str">
        <f>IF(C244="YES",'SD-Eq'!Z244,"na")</f>
        <v>na</v>
      </c>
      <c r="M244" s="435" t="str">
        <f t="shared" si="438"/>
        <v>na</v>
      </c>
      <c r="N244" s="273" t="str">
        <f t="shared" si="439"/>
        <v>na</v>
      </c>
      <c r="O244" s="1794" t="str">
        <f t="shared" si="440"/>
        <v>na</v>
      </c>
      <c r="P244" s="1789" t="str">
        <f t="shared" si="441"/>
        <v>na</v>
      </c>
      <c r="Q244" s="418" t="s">
        <v>232</v>
      </c>
      <c r="R244" s="418" t="s">
        <v>232</v>
      </c>
      <c r="S244" s="418" t="s">
        <v>232</v>
      </c>
      <c r="T244" s="418" t="s">
        <v>232</v>
      </c>
      <c r="U244" s="418" t="s">
        <v>232</v>
      </c>
      <c r="V244" s="418" t="s">
        <v>232</v>
      </c>
      <c r="W244" s="418" t="str">
        <f t="shared" si="442"/>
        <v>na</v>
      </c>
      <c r="X244" s="418" t="s">
        <v>232</v>
      </c>
      <c r="Y244" s="1884" t="str">
        <f t="shared" si="443"/>
        <v>na</v>
      </c>
      <c r="Z244" s="1884" t="str">
        <f t="shared" si="444"/>
        <v>na</v>
      </c>
      <c r="AA244" s="1789" t="s">
        <v>232</v>
      </c>
      <c r="AB244" s="1789" t="s">
        <v>232</v>
      </c>
      <c r="AC244" s="273" t="s">
        <v>232</v>
      </c>
      <c r="AD244" s="273" t="s">
        <v>232</v>
      </c>
      <c r="AE244" s="273" t="s">
        <v>232</v>
      </c>
      <c r="AF244" s="273" t="s">
        <v>232</v>
      </c>
      <c r="AG244" s="273" t="s">
        <v>232</v>
      </c>
      <c r="AH244" s="273" t="s">
        <v>232</v>
      </c>
      <c r="AI244" s="273" t="s">
        <v>232</v>
      </c>
      <c r="AJ244" s="273" t="s">
        <v>232</v>
      </c>
      <c r="AK244" s="273" t="s">
        <v>232</v>
      </c>
      <c r="AL244" s="273" t="s">
        <v>232</v>
      </c>
      <c r="AM244" s="273" t="s">
        <v>232</v>
      </c>
      <c r="AN244" s="273" t="str">
        <f t="shared" si="445"/>
        <v>na</v>
      </c>
      <c r="AO244" s="273" t="str">
        <f t="shared" ref="AO244" si="469">IF(MIN(AC244:AF244)=0,"na",MIN(AC244:AF244))</f>
        <v>na</v>
      </c>
      <c r="AP244" s="273" t="str">
        <f t="shared" ref="AP244" si="470">IF(MIN(AG244,AH244)=0,"na",MIN(AG244,AH244))</f>
        <v>na</v>
      </c>
      <c r="AQ244" s="273" t="str">
        <f t="shared" ref="AQ244" si="471">IF(MIN(AI244:AL244)=0,"na",MIN(AI244:AL244))</f>
        <v>na</v>
      </c>
      <c r="AR244" s="1789" t="str">
        <f t="shared" si="449"/>
        <v>na</v>
      </c>
      <c r="AS244" s="1051"/>
      <c r="AU244" s="1332" t="str">
        <f t="shared" si="450"/>
        <v/>
      </c>
      <c r="AV244" s="1114" t="str">
        <f t="shared" si="451"/>
        <v/>
      </c>
      <c r="AW244" s="1114" t="str">
        <f t="shared" si="452"/>
        <v/>
      </c>
      <c r="AX244" s="1114" t="str">
        <f t="shared" si="453"/>
        <v/>
      </c>
      <c r="AY244" s="1113" t="str">
        <f t="shared" si="454"/>
        <v/>
      </c>
      <c r="AZ244" s="1114" t="str">
        <f t="shared" si="455"/>
        <v/>
      </c>
      <c r="BA244" s="1114" t="str">
        <f t="shared" si="456"/>
        <v/>
      </c>
      <c r="BB244" s="1704" t="str">
        <f t="shared" si="457"/>
        <v/>
      </c>
      <c r="BC244" s="1113" t="str">
        <f t="shared" si="458"/>
        <v/>
      </c>
      <c r="BD244" s="1114" t="str">
        <f t="shared" si="459"/>
        <v/>
      </c>
      <c r="BE244" s="1114" t="str">
        <f t="shared" si="460"/>
        <v/>
      </c>
      <c r="BF244" s="1114" t="str">
        <f t="shared" si="461"/>
        <v/>
      </c>
      <c r="BG244" s="1114" t="str">
        <f t="shared" si="462"/>
        <v/>
      </c>
      <c r="BH244" s="1114" t="str">
        <f t="shared" si="463"/>
        <v/>
      </c>
      <c r="BI244" s="1114" t="str">
        <f t="shared" si="464"/>
        <v/>
      </c>
      <c r="BJ244" s="1115" t="str">
        <f t="shared" si="465"/>
        <v/>
      </c>
      <c r="BL244" s="1885"/>
    </row>
    <row r="245" spans="1:64" ht="13.9" customHeight="1" x14ac:dyDescent="0.25">
      <c r="A245" s="1916">
        <f>Chem!A245</f>
        <v>243</v>
      </c>
      <c r="B245" s="1891" t="str">
        <f>Chem!B245</f>
        <v>Oil range hydrocarbons</v>
      </c>
      <c r="C245" s="394" t="str">
        <f>Param!AK245</f>
        <v>no</v>
      </c>
      <c r="D245" s="317" t="str">
        <f>IF(ISNUMBER(Param!AN245),Param!AN245,Param!AM245)</f>
        <v>na</v>
      </c>
      <c r="E245" s="273" t="s">
        <v>232</v>
      </c>
      <c r="F245" s="643">
        <v>37.5</v>
      </c>
      <c r="G245" s="550" t="s">
        <v>232</v>
      </c>
      <c r="H245" s="550" t="s">
        <v>232</v>
      </c>
      <c r="I245" s="273" t="s">
        <v>232</v>
      </c>
      <c r="J245" s="273" t="s">
        <v>232</v>
      </c>
      <c r="K245" s="219" t="str">
        <f>IF(C245="YES",'SD-Eq'!V245,"na")</f>
        <v>na</v>
      </c>
      <c r="L245" s="273" t="str">
        <f>IF(C245="YES",'SD-Eq'!Z245,"na")</f>
        <v>na</v>
      </c>
      <c r="M245" s="435" t="str">
        <f t="shared" si="438"/>
        <v>na</v>
      </c>
      <c r="N245" s="273" t="str">
        <f t="shared" si="439"/>
        <v>na</v>
      </c>
      <c r="O245" s="1794" t="str">
        <f t="shared" si="440"/>
        <v>na</v>
      </c>
      <c r="P245" s="1789" t="str">
        <f t="shared" si="441"/>
        <v>na</v>
      </c>
      <c r="Q245" s="418" t="s">
        <v>232</v>
      </c>
      <c r="R245" s="418" t="s">
        <v>232</v>
      </c>
      <c r="S245" s="418" t="s">
        <v>232</v>
      </c>
      <c r="T245" s="418" t="s">
        <v>232</v>
      </c>
      <c r="U245" s="418" t="s">
        <v>232</v>
      </c>
      <c r="V245" s="418" t="s">
        <v>232</v>
      </c>
      <c r="W245" s="418" t="str">
        <f t="shared" si="442"/>
        <v>na</v>
      </c>
      <c r="X245" s="418" t="s">
        <v>232</v>
      </c>
      <c r="Y245" s="1884" t="str">
        <f t="shared" si="443"/>
        <v>na</v>
      </c>
      <c r="Z245" s="1884" t="str">
        <f t="shared" si="444"/>
        <v>na</v>
      </c>
      <c r="AA245" s="1789" t="s">
        <v>232</v>
      </c>
      <c r="AB245" s="1789" t="s">
        <v>232</v>
      </c>
      <c r="AC245" s="273" t="s">
        <v>232</v>
      </c>
      <c r="AD245" s="273" t="s">
        <v>232</v>
      </c>
      <c r="AE245" s="273" t="s">
        <v>232</v>
      </c>
      <c r="AF245" s="273" t="s">
        <v>232</v>
      </c>
      <c r="AG245" s="273" t="s">
        <v>232</v>
      </c>
      <c r="AH245" s="273" t="s">
        <v>232</v>
      </c>
      <c r="AI245" s="273" t="s">
        <v>232</v>
      </c>
      <c r="AJ245" s="273" t="s">
        <v>232</v>
      </c>
      <c r="AK245" s="273" t="s">
        <v>232</v>
      </c>
      <c r="AL245" s="273" t="s">
        <v>232</v>
      </c>
      <c r="AM245" s="273" t="s">
        <v>232</v>
      </c>
      <c r="AN245" s="273" t="str">
        <f t="shared" si="445"/>
        <v>na</v>
      </c>
      <c r="AO245" s="273" t="str">
        <f t="shared" si="446"/>
        <v>na</v>
      </c>
      <c r="AP245" s="273" t="str">
        <f t="shared" si="447"/>
        <v>na</v>
      </c>
      <c r="AQ245" s="273" t="str">
        <f t="shared" si="448"/>
        <v>na</v>
      </c>
      <c r="AR245" s="1789" t="str">
        <f t="shared" si="449"/>
        <v>na</v>
      </c>
      <c r="AS245" s="1051"/>
      <c r="AU245" s="1332" t="str">
        <f t="shared" si="450"/>
        <v/>
      </c>
      <c r="AV245" s="1114" t="str">
        <f t="shared" si="451"/>
        <v/>
      </c>
      <c r="AW245" s="1114" t="str">
        <f t="shared" si="452"/>
        <v/>
      </c>
      <c r="AX245" s="1114" t="str">
        <f t="shared" si="453"/>
        <v/>
      </c>
      <c r="AY245" s="1113" t="str">
        <f t="shared" si="454"/>
        <v/>
      </c>
      <c r="AZ245" s="1114" t="str">
        <f t="shared" si="455"/>
        <v/>
      </c>
      <c r="BA245" s="1114" t="str">
        <f t="shared" si="456"/>
        <v/>
      </c>
      <c r="BB245" s="1704" t="str">
        <f t="shared" si="457"/>
        <v/>
      </c>
      <c r="BC245" s="1113" t="str">
        <f t="shared" si="458"/>
        <v/>
      </c>
      <c r="BD245" s="1114" t="str">
        <f t="shared" si="459"/>
        <v/>
      </c>
      <c r="BE245" s="1114" t="str">
        <f t="shared" si="460"/>
        <v/>
      </c>
      <c r="BF245" s="1114" t="str">
        <f t="shared" si="461"/>
        <v/>
      </c>
      <c r="BG245" s="1114" t="str">
        <f t="shared" si="462"/>
        <v/>
      </c>
      <c r="BH245" s="1114" t="str">
        <f t="shared" si="463"/>
        <v/>
      </c>
      <c r="BI245" s="1114" t="str">
        <f t="shared" si="464"/>
        <v/>
      </c>
      <c r="BJ245" s="1115" t="str">
        <f t="shared" si="465"/>
        <v/>
      </c>
      <c r="BL245" s="1885"/>
    </row>
    <row r="246" spans="1:64" ht="13.9" customHeight="1" x14ac:dyDescent="0.25">
      <c r="A246" s="1920">
        <f>Chem!A246</f>
        <v>244</v>
      </c>
      <c r="B246" s="1891" t="str">
        <f>Chem!B246</f>
        <v>Total diesel &amp; oil range hydrocarbons</v>
      </c>
      <c r="C246" s="394" t="str">
        <f>Param!AK246</f>
        <v>no</v>
      </c>
      <c r="D246" s="317" t="str">
        <f>IF(ISNUMBER(Param!AN246),Param!AN246,Param!AM246)</f>
        <v>na</v>
      </c>
      <c r="E246" s="273" t="s">
        <v>232</v>
      </c>
      <c r="F246" s="643">
        <v>37.5</v>
      </c>
      <c r="G246" s="550" t="s">
        <v>232</v>
      </c>
      <c r="H246" s="550" t="s">
        <v>232</v>
      </c>
      <c r="I246" s="273" t="s">
        <v>232</v>
      </c>
      <c r="J246" s="273" t="s">
        <v>232</v>
      </c>
      <c r="K246" s="219" t="str">
        <f>IF(C246="YES",'SD-Eq'!V246,"na")</f>
        <v>na</v>
      </c>
      <c r="L246" s="273" t="str">
        <f>IF(C246="YES",'SD-Eq'!Z246,"na")</f>
        <v>na</v>
      </c>
      <c r="M246" s="435" t="str">
        <f t="shared" si="438"/>
        <v>na</v>
      </c>
      <c r="N246" s="273" t="str">
        <f t="shared" si="439"/>
        <v>na</v>
      </c>
      <c r="O246" s="1794" t="str">
        <f t="shared" si="440"/>
        <v>na</v>
      </c>
      <c r="P246" s="1789" t="str">
        <f t="shared" si="441"/>
        <v>na</v>
      </c>
      <c r="Q246" s="418" t="s">
        <v>232</v>
      </c>
      <c r="R246" s="418" t="s">
        <v>232</v>
      </c>
      <c r="S246" s="418" t="s">
        <v>232</v>
      </c>
      <c r="T246" s="418" t="s">
        <v>232</v>
      </c>
      <c r="U246" s="418" t="s">
        <v>232</v>
      </c>
      <c r="V246" s="418" t="s">
        <v>232</v>
      </c>
      <c r="W246" s="418" t="str">
        <f t="shared" si="442"/>
        <v>na</v>
      </c>
      <c r="X246" s="418" t="s">
        <v>232</v>
      </c>
      <c r="Y246" s="1884" t="str">
        <f t="shared" si="443"/>
        <v>na</v>
      </c>
      <c r="Z246" s="1884" t="str">
        <f t="shared" si="444"/>
        <v>na</v>
      </c>
      <c r="AA246" s="1789" t="s">
        <v>232</v>
      </c>
      <c r="AB246" s="1789" t="s">
        <v>232</v>
      </c>
      <c r="AC246" s="273" t="s">
        <v>232</v>
      </c>
      <c r="AD246" s="273" t="s">
        <v>232</v>
      </c>
      <c r="AE246" s="273" t="s">
        <v>232</v>
      </c>
      <c r="AF246" s="273" t="s">
        <v>232</v>
      </c>
      <c r="AG246" s="273" t="s">
        <v>232</v>
      </c>
      <c r="AH246" s="273" t="s">
        <v>232</v>
      </c>
      <c r="AI246" s="273" t="s">
        <v>232</v>
      </c>
      <c r="AJ246" s="273" t="s">
        <v>232</v>
      </c>
      <c r="AK246" s="273" t="s">
        <v>232</v>
      </c>
      <c r="AL246" s="273" t="s">
        <v>232</v>
      </c>
      <c r="AM246" s="273" t="s">
        <v>232</v>
      </c>
      <c r="AN246" s="273" t="str">
        <f t="shared" si="445"/>
        <v>na</v>
      </c>
      <c r="AO246" s="273" t="str">
        <f t="shared" ref="AO246" si="472">IF(MIN(AC246:AF246)=0,"na",MIN(AC246:AF246))</f>
        <v>na</v>
      </c>
      <c r="AP246" s="273" t="str">
        <f t="shared" ref="AP246" si="473">IF(MIN(AG246,AH246)=0,"na",MIN(AG246,AH246))</f>
        <v>na</v>
      </c>
      <c r="AQ246" s="273" t="str">
        <f t="shared" ref="AQ246" si="474">IF(MIN(AI246:AL246)=0,"na",MIN(AI246:AL246))</f>
        <v>na</v>
      </c>
      <c r="AR246" s="1789" t="str">
        <f t="shared" si="449"/>
        <v>na</v>
      </c>
      <c r="AS246" s="1795"/>
      <c r="AU246" s="1333" t="str">
        <f t="shared" si="450"/>
        <v/>
      </c>
      <c r="AV246" s="1117" t="str">
        <f t="shared" si="451"/>
        <v/>
      </c>
      <c r="AW246" s="1117" t="str">
        <f t="shared" si="452"/>
        <v/>
      </c>
      <c r="AX246" s="1117" t="str">
        <f t="shared" si="453"/>
        <v/>
      </c>
      <c r="AY246" s="1116" t="str">
        <f t="shared" si="454"/>
        <v/>
      </c>
      <c r="AZ246" s="1117" t="str">
        <f t="shared" si="455"/>
        <v/>
      </c>
      <c r="BA246" s="1117" t="str">
        <f t="shared" si="456"/>
        <v/>
      </c>
      <c r="BB246" s="1707" t="str">
        <f t="shared" si="457"/>
        <v/>
      </c>
      <c r="BC246" s="1336" t="str">
        <f t="shared" si="458"/>
        <v/>
      </c>
      <c r="BD246" s="1337" t="str">
        <f t="shared" si="459"/>
        <v/>
      </c>
      <c r="BE246" s="1337" t="str">
        <f t="shared" si="460"/>
        <v/>
      </c>
      <c r="BF246" s="1337" t="str">
        <f t="shared" si="461"/>
        <v/>
      </c>
      <c r="BG246" s="1337" t="str">
        <f t="shared" si="462"/>
        <v/>
      </c>
      <c r="BH246" s="1337" t="str">
        <f t="shared" si="463"/>
        <v/>
      </c>
      <c r="BI246" s="1337" t="str">
        <f t="shared" si="464"/>
        <v/>
      </c>
      <c r="BJ246" s="1338" t="str">
        <f t="shared" si="465"/>
        <v/>
      </c>
      <c r="BL246" s="1885"/>
    </row>
    <row r="247" spans="1:64" ht="13.9" customHeight="1" x14ac:dyDescent="0.25">
      <c r="A247" s="1919">
        <f>Chem!A247</f>
        <v>245</v>
      </c>
      <c r="B247" s="1899" t="str">
        <f>Chem!B247</f>
        <v>Pesticides</v>
      </c>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297"/>
      <c r="AO247" s="297"/>
      <c r="AP247" s="297"/>
      <c r="AQ247" s="297"/>
      <c r="AR247" s="297"/>
      <c r="AS247" s="2366"/>
      <c r="AU247" s="250" t="str">
        <f>B247</f>
        <v>Pesticides</v>
      </c>
      <c r="AV247" s="2375"/>
      <c r="AW247" s="2375"/>
      <c r="AX247" s="2375"/>
      <c r="AY247" s="2375"/>
      <c r="AZ247" s="2375"/>
      <c r="BA247" s="2375"/>
      <c r="BB247" s="2375"/>
      <c r="BC247" s="2372"/>
      <c r="BD247" s="2372"/>
      <c r="BE247" s="2372"/>
      <c r="BF247" s="2372"/>
      <c r="BG247" s="2372"/>
      <c r="BH247" s="2372"/>
      <c r="BI247" s="2372"/>
      <c r="BJ247" s="2373"/>
      <c r="BL247" s="1901"/>
    </row>
    <row r="248" spans="1:64" ht="13.9" customHeight="1" x14ac:dyDescent="0.25">
      <c r="A248" s="1916">
        <f>Chem!A248</f>
        <v>246</v>
      </c>
      <c r="B248" s="1889" t="str">
        <f>Chem!B248</f>
        <v>Aldrin</v>
      </c>
      <c r="C248" s="394" t="str">
        <f>Param!AK248</f>
        <v>YES</v>
      </c>
      <c r="D248" s="317" t="str">
        <f>IF(ISNUMBER(Param!AN248),Param!AN248,Param!AM248)</f>
        <v>na</v>
      </c>
      <c r="E248" s="273" t="s">
        <v>232</v>
      </c>
      <c r="F248" s="643">
        <v>1E-4</v>
      </c>
      <c r="G248" s="550" t="s">
        <v>232</v>
      </c>
      <c r="H248" s="550" t="s">
        <v>232</v>
      </c>
      <c r="I248" s="273" t="s">
        <v>232</v>
      </c>
      <c r="J248" s="273" t="s">
        <v>232</v>
      </c>
      <c r="K248" s="219">
        <f>IF(C248="YES",'SD-Eq'!V248,"na")</f>
        <v>0.17151309742647058</v>
      </c>
      <c r="L248" s="273">
        <f>IF(C248="YES",'SD-Eq'!Z248,"na")</f>
        <v>1.7151309742647061</v>
      </c>
      <c r="M248" s="435">
        <f t="shared" ref="M248:M291" si="475">IF($C248="YES",IF(OR(ISNUMBER($D248),ISNUMBER($F248)),MAX($D248,$F248),"PQL"),"na")</f>
        <v>1E-4</v>
      </c>
      <c r="N248" s="273">
        <f t="shared" ref="N248:N280" si="476">IF($C248="YES",IF(OR(ISNUMBER($D248),ISNUMBER($E248),ISNUMBER($F248)),MAX($D248:$F248),"PQL"),"na")</f>
        <v>1E-4</v>
      </c>
      <c r="O248" s="1794">
        <f t="shared" ref="O248:O280" si="477">IF(OR(ISNUMBER(H248),ISNUMBER(K248),ISNUMBER(M248)),MIN(H248,K248,M248),"na")</f>
        <v>1E-4</v>
      </c>
      <c r="P248" s="1789">
        <f t="shared" ref="P248:P280" si="478">IF(OR(ISNUMBER(J248),ISNUMBER(L248),ISNUMBER(N248)),MIN(J248,L248,N248),"na")</f>
        <v>1E-4</v>
      </c>
      <c r="Q248" s="418" t="s">
        <v>232</v>
      </c>
      <c r="R248" s="418" t="s">
        <v>232</v>
      </c>
      <c r="S248" s="418" t="s">
        <v>232</v>
      </c>
      <c r="T248" s="418" t="s">
        <v>232</v>
      </c>
      <c r="U248" s="418" t="s">
        <v>232</v>
      </c>
      <c r="V248" s="418" t="s">
        <v>232</v>
      </c>
      <c r="W248" s="418" t="str">
        <f t="shared" ref="W248:W280" si="479">IF(ISNUMBER(V248),H248,"na")</f>
        <v>na</v>
      </c>
      <c r="X248" s="418" t="s">
        <v>232</v>
      </c>
      <c r="Y248" s="1884" t="str">
        <f t="shared" ref="Y248:Y280" si="480">IF(OR(ISNUMBER(Q248),ISNUMBER(R248),ISNUMBER(S248),ISNUMBER(T248),ISNUMBER(X248)),MIN(Q248:T248,X248),"na")</f>
        <v>na</v>
      </c>
      <c r="Z248" s="1884">
        <f t="shared" ref="Z248:Z280" si="481">IF(OR(ISNUMBER(U248),ISNUMBER(W248),ISNUMBER(Y248)),MIN(U248,W248,Y248),O248)</f>
        <v>1E-4</v>
      </c>
      <c r="AA248" s="1789" t="s">
        <v>232</v>
      </c>
      <c r="AB248" s="1789" t="s">
        <v>232</v>
      </c>
      <c r="AC248" s="273" t="s">
        <v>232</v>
      </c>
      <c r="AD248" s="273" t="s">
        <v>232</v>
      </c>
      <c r="AE248" s="273" t="s">
        <v>232</v>
      </c>
      <c r="AF248" s="273" t="s">
        <v>232</v>
      </c>
      <c r="AG248" s="273" t="s">
        <v>232</v>
      </c>
      <c r="AH248" s="273" t="s">
        <v>232</v>
      </c>
      <c r="AI248" s="273" t="s">
        <v>232</v>
      </c>
      <c r="AJ248" s="273" t="s">
        <v>232</v>
      </c>
      <c r="AK248" s="273" t="s">
        <v>232</v>
      </c>
      <c r="AL248" s="273" t="s">
        <v>232</v>
      </c>
      <c r="AM248" s="273" t="s">
        <v>232</v>
      </c>
      <c r="AN248" s="273" t="str">
        <f t="shared" ref="AN248:AN291" si="482">IF(MIN(AA248,AB248)=0,"na",MIN(AA248,AB248))</f>
        <v>na</v>
      </c>
      <c r="AO248" s="273" t="str">
        <f t="shared" ref="AO248:AO291" si="483">IF(MIN(AC248:AF248)=0,"na",MIN(AC248:AF248))</f>
        <v>na</v>
      </c>
      <c r="AP248" s="273" t="str">
        <f t="shared" ref="AP248:AP291" si="484">IF(MIN(AG248,AH248)=0,"na",MIN(AG248,AH248))</f>
        <v>na</v>
      </c>
      <c r="AQ248" s="273" t="str">
        <f t="shared" ref="AQ248:AQ291" si="485">IF(MIN(AI248:AL248)=0,"na",MIN(AI248:AL248))</f>
        <v>na</v>
      </c>
      <c r="AR248" s="1789" t="str">
        <f t="shared" ref="AR248:AR291" si="486">IF(MIN(AA248:AM248)=0,"na",MIN(AA248:AM248))</f>
        <v>na</v>
      </c>
      <c r="AS248" s="1793"/>
      <c r="AU248" s="1331" t="str">
        <f t="shared" ref="AU248:AU280" si="487">IF($O248="na","",IF($O248=D248,"X",""))</f>
        <v/>
      </c>
      <c r="AV248" s="1111" t="str">
        <f t="shared" ref="AV248:AV280" si="488">IF(OR($O248="PQL",AND(ISNUMBER($F248),$O248=F248)),"X","")</f>
        <v>X</v>
      </c>
      <c r="AW248" s="1111" t="str">
        <f t="shared" ref="AW248:AW280" si="489">IF($O248="na","",IF($O248=H248,"X",""))</f>
        <v/>
      </c>
      <c r="AX248" s="1111" t="str">
        <f t="shared" ref="AX248:AX280" si="490">IF($O248="na","",IF($O248=$K248,"X",""))</f>
        <v/>
      </c>
      <c r="AY248" s="1110" t="str">
        <f t="shared" ref="AY248:AY280" si="491">IF($P248="na","",IF($P248=E248,"X",""))</f>
        <v/>
      </c>
      <c r="AZ248" s="1111" t="str">
        <f t="shared" ref="AZ248:AZ280" si="492">IF(OR($P248="PQL",AND(ISNUMBER($F248),$P248=F248)),"X","")</f>
        <v>X</v>
      </c>
      <c r="BA248" s="1111" t="str">
        <f t="shared" ref="BA248:BA280" si="493">IF($P248="na","",IF($P248=J248,"X",""))</f>
        <v/>
      </c>
      <c r="BB248" s="1703" t="str">
        <f t="shared" ref="BB248:BB280" si="494">IF($P248="na","",IF($P248=$L248,"X",""))</f>
        <v/>
      </c>
      <c r="BC248" s="1468" t="str">
        <f t="shared" ref="BC248:BC280" si="495">IF($Z248="na","",IF($Z248=D248,"X",""))</f>
        <v/>
      </c>
      <c r="BD248" s="1469" t="str">
        <f t="shared" ref="BD248:BD280" si="496">IF($Z248="na","",IF($Z248=F248,"X",""))</f>
        <v>X</v>
      </c>
      <c r="BE248" s="1469" t="str">
        <f t="shared" ref="BE248:BE280" si="497">IF($Z248="na","",IF($Z248=H248,"X",""))</f>
        <v/>
      </c>
      <c r="BF248" s="1469" t="str">
        <f t="shared" ref="BF248:BF280" si="498">IF($Z248="na","",IF($Z248=K248,"X",""))</f>
        <v/>
      </c>
      <c r="BG248" s="1469" t="str">
        <f t="shared" ref="BG248:BG280" si="499">IF($Z248="na","",IF($Z248=Q248,"X",""))</f>
        <v/>
      </c>
      <c r="BH248" s="1469" t="str">
        <f t="shared" ref="BH248:BH280" si="500">IF($Z248="na","",IF(OR($Z248=R248,$Z248=S248,$Z248=T248),"X",""))</f>
        <v/>
      </c>
      <c r="BI248" s="1469" t="str">
        <f t="shared" ref="BI248:BI280" si="501">IF($Z248="na","",IF(OR($Z248=U248,$Z248=W248),"X",""))</f>
        <v/>
      </c>
      <c r="BJ248" s="1470" t="str">
        <f t="shared" ref="BJ248:BJ280" si="502">IF($Z248="na","",IF($Z248=X248,"X",""))</f>
        <v/>
      </c>
      <c r="BL248" s="1885"/>
    </row>
    <row r="249" spans="1:64" ht="13.9" customHeight="1" x14ac:dyDescent="0.25">
      <c r="A249" s="1916">
        <f>Chem!A249</f>
        <v>247</v>
      </c>
      <c r="B249" s="1880" t="str">
        <f>Chem!B249</f>
        <v>alpha-BHC (alpha-HCH)</v>
      </c>
      <c r="C249" s="394" t="str">
        <f>Param!AK249</f>
        <v>no</v>
      </c>
      <c r="D249" s="317" t="str">
        <f>IF(ISNUMBER(Param!AN249),Param!AN249,Param!AM249)</f>
        <v>na</v>
      </c>
      <c r="E249" s="273" t="s">
        <v>232</v>
      </c>
      <c r="F249" s="643" t="s">
        <v>232</v>
      </c>
      <c r="G249" s="550" t="s">
        <v>232</v>
      </c>
      <c r="H249" s="550" t="s">
        <v>232</v>
      </c>
      <c r="I249" s="273" t="s">
        <v>232</v>
      </c>
      <c r="J249" s="273" t="s">
        <v>232</v>
      </c>
      <c r="K249" s="219" t="str">
        <f>IF(C249="YES",'SD-Eq'!V249,"na")</f>
        <v>na</v>
      </c>
      <c r="L249" s="273" t="str">
        <f>IF(C249="YES",'SD-Eq'!Z249,"na")</f>
        <v>na</v>
      </c>
      <c r="M249" s="435" t="str">
        <f t="shared" si="475"/>
        <v>na</v>
      </c>
      <c r="N249" s="273" t="str">
        <f t="shared" si="476"/>
        <v>na</v>
      </c>
      <c r="O249" s="1794" t="str">
        <f t="shared" si="477"/>
        <v>na</v>
      </c>
      <c r="P249" s="1789" t="str">
        <f t="shared" si="478"/>
        <v>na</v>
      </c>
      <c r="Q249" s="418" t="s">
        <v>232</v>
      </c>
      <c r="R249" s="418" t="s">
        <v>232</v>
      </c>
      <c r="S249" s="418" t="s">
        <v>232</v>
      </c>
      <c r="T249" s="418" t="s">
        <v>232</v>
      </c>
      <c r="U249" s="418" t="s">
        <v>232</v>
      </c>
      <c r="V249" s="418" t="s">
        <v>232</v>
      </c>
      <c r="W249" s="418" t="str">
        <f t="shared" si="479"/>
        <v>na</v>
      </c>
      <c r="X249" s="418" t="s">
        <v>232</v>
      </c>
      <c r="Y249" s="1884" t="str">
        <f t="shared" si="480"/>
        <v>na</v>
      </c>
      <c r="Z249" s="1884" t="str">
        <f t="shared" si="481"/>
        <v>na</v>
      </c>
      <c r="AA249" s="1789" t="s">
        <v>232</v>
      </c>
      <c r="AB249" s="1789" t="s">
        <v>232</v>
      </c>
      <c r="AC249" s="273" t="s">
        <v>232</v>
      </c>
      <c r="AD249" s="273" t="s">
        <v>232</v>
      </c>
      <c r="AE249" s="273" t="s">
        <v>232</v>
      </c>
      <c r="AF249" s="273" t="s">
        <v>232</v>
      </c>
      <c r="AG249" s="273" t="s">
        <v>232</v>
      </c>
      <c r="AH249" s="273" t="s">
        <v>232</v>
      </c>
      <c r="AI249" s="273" t="s">
        <v>232</v>
      </c>
      <c r="AJ249" s="273" t="s">
        <v>232</v>
      </c>
      <c r="AK249" s="273" t="s">
        <v>232</v>
      </c>
      <c r="AL249" s="273" t="s">
        <v>232</v>
      </c>
      <c r="AM249" s="273" t="s">
        <v>232</v>
      </c>
      <c r="AN249" s="273" t="str">
        <f t="shared" si="482"/>
        <v>na</v>
      </c>
      <c r="AO249" s="273" t="str">
        <f t="shared" si="483"/>
        <v>na</v>
      </c>
      <c r="AP249" s="273" t="str">
        <f t="shared" si="484"/>
        <v>na</v>
      </c>
      <c r="AQ249" s="273" t="str">
        <f t="shared" si="485"/>
        <v>na</v>
      </c>
      <c r="AR249" s="1789" t="str">
        <f t="shared" si="486"/>
        <v>na</v>
      </c>
      <c r="AS249" s="1051"/>
      <c r="AU249" s="1332" t="str">
        <f t="shared" si="487"/>
        <v/>
      </c>
      <c r="AV249" s="1114" t="str">
        <f t="shared" si="488"/>
        <v/>
      </c>
      <c r="AW249" s="1114" t="str">
        <f t="shared" si="489"/>
        <v/>
      </c>
      <c r="AX249" s="1114" t="str">
        <f t="shared" si="490"/>
        <v/>
      </c>
      <c r="AY249" s="1113" t="str">
        <f t="shared" si="491"/>
        <v/>
      </c>
      <c r="AZ249" s="1114" t="str">
        <f t="shared" si="492"/>
        <v/>
      </c>
      <c r="BA249" s="1114" t="str">
        <f t="shared" si="493"/>
        <v/>
      </c>
      <c r="BB249" s="1704" t="str">
        <f t="shared" si="494"/>
        <v/>
      </c>
      <c r="BC249" s="1113" t="str">
        <f t="shared" si="495"/>
        <v/>
      </c>
      <c r="BD249" s="1114" t="str">
        <f t="shared" si="496"/>
        <v/>
      </c>
      <c r="BE249" s="1114" t="str">
        <f t="shared" si="497"/>
        <v/>
      </c>
      <c r="BF249" s="1114" t="str">
        <f t="shared" si="498"/>
        <v/>
      </c>
      <c r="BG249" s="1114" t="str">
        <f t="shared" si="499"/>
        <v/>
      </c>
      <c r="BH249" s="1114" t="str">
        <f t="shared" si="500"/>
        <v/>
      </c>
      <c r="BI249" s="1114" t="str">
        <f t="shared" si="501"/>
        <v/>
      </c>
      <c r="BJ249" s="1115" t="str">
        <f t="shared" si="502"/>
        <v/>
      </c>
      <c r="BL249" s="1885"/>
    </row>
    <row r="250" spans="1:64" ht="13.9" customHeight="1" x14ac:dyDescent="0.25">
      <c r="A250" s="1916">
        <f>Chem!A250</f>
        <v>248</v>
      </c>
      <c r="B250" s="1880" t="str">
        <f>Chem!B250</f>
        <v>beta-BHC (beta-HCH)</v>
      </c>
      <c r="C250" s="394" t="str">
        <f>Param!AK250</f>
        <v>no</v>
      </c>
      <c r="D250" s="317" t="str">
        <f>IF(ISNUMBER(Param!AN250),Param!AN250,Param!AM250)</f>
        <v>na</v>
      </c>
      <c r="E250" s="273" t="s">
        <v>232</v>
      </c>
      <c r="F250" s="643" t="s">
        <v>232</v>
      </c>
      <c r="G250" s="550" t="s">
        <v>232</v>
      </c>
      <c r="H250" s="550" t="s">
        <v>232</v>
      </c>
      <c r="I250" s="273" t="s">
        <v>232</v>
      </c>
      <c r="J250" s="273" t="s">
        <v>232</v>
      </c>
      <c r="K250" s="219" t="str">
        <f>IF(C250="YES",'SD-Eq'!V250,"na")</f>
        <v>na</v>
      </c>
      <c r="L250" s="273" t="str">
        <f>IF(C250="YES",'SD-Eq'!Z250,"na")</f>
        <v>na</v>
      </c>
      <c r="M250" s="435" t="str">
        <f t="shared" si="475"/>
        <v>na</v>
      </c>
      <c r="N250" s="273" t="str">
        <f t="shared" si="476"/>
        <v>na</v>
      </c>
      <c r="O250" s="1794" t="str">
        <f t="shared" si="477"/>
        <v>na</v>
      </c>
      <c r="P250" s="1789" t="str">
        <f t="shared" si="478"/>
        <v>na</v>
      </c>
      <c r="Q250" s="418" t="s">
        <v>232</v>
      </c>
      <c r="R250" s="418" t="s">
        <v>232</v>
      </c>
      <c r="S250" s="418" t="s">
        <v>232</v>
      </c>
      <c r="T250" s="418" t="s">
        <v>232</v>
      </c>
      <c r="U250" s="418" t="s">
        <v>232</v>
      </c>
      <c r="V250" s="418" t="s">
        <v>232</v>
      </c>
      <c r="W250" s="418" t="str">
        <f t="shared" si="479"/>
        <v>na</v>
      </c>
      <c r="X250" s="418" t="s">
        <v>232</v>
      </c>
      <c r="Y250" s="1884" t="str">
        <f t="shared" si="480"/>
        <v>na</v>
      </c>
      <c r="Z250" s="1884" t="str">
        <f t="shared" si="481"/>
        <v>na</v>
      </c>
      <c r="AA250" s="1789" t="s">
        <v>232</v>
      </c>
      <c r="AB250" s="1789" t="s">
        <v>232</v>
      </c>
      <c r="AC250" s="273" t="s">
        <v>232</v>
      </c>
      <c r="AD250" s="273" t="s">
        <v>232</v>
      </c>
      <c r="AE250" s="273" t="s">
        <v>232</v>
      </c>
      <c r="AF250" s="273" t="s">
        <v>232</v>
      </c>
      <c r="AG250" s="273" t="s">
        <v>232</v>
      </c>
      <c r="AH250" s="273" t="s">
        <v>232</v>
      </c>
      <c r="AI250" s="273" t="s">
        <v>232</v>
      </c>
      <c r="AJ250" s="273" t="s">
        <v>232</v>
      </c>
      <c r="AK250" s="273" t="s">
        <v>232</v>
      </c>
      <c r="AL250" s="273" t="s">
        <v>232</v>
      </c>
      <c r="AM250" s="273" t="s">
        <v>232</v>
      </c>
      <c r="AN250" s="273" t="str">
        <f t="shared" si="482"/>
        <v>na</v>
      </c>
      <c r="AO250" s="273" t="str">
        <f t="shared" si="483"/>
        <v>na</v>
      </c>
      <c r="AP250" s="273" t="str">
        <f t="shared" si="484"/>
        <v>na</v>
      </c>
      <c r="AQ250" s="273" t="str">
        <f t="shared" si="485"/>
        <v>na</v>
      </c>
      <c r="AR250" s="1789" t="str">
        <f t="shared" si="486"/>
        <v>na</v>
      </c>
      <c r="AS250" s="1051"/>
      <c r="AU250" s="1332" t="str">
        <f t="shared" si="487"/>
        <v/>
      </c>
      <c r="AV250" s="1114" t="str">
        <f t="shared" si="488"/>
        <v/>
      </c>
      <c r="AW250" s="1114" t="str">
        <f t="shared" si="489"/>
        <v/>
      </c>
      <c r="AX250" s="1114" t="str">
        <f t="shared" si="490"/>
        <v/>
      </c>
      <c r="AY250" s="1113" t="str">
        <f t="shared" si="491"/>
        <v/>
      </c>
      <c r="AZ250" s="1114" t="str">
        <f t="shared" si="492"/>
        <v/>
      </c>
      <c r="BA250" s="1114" t="str">
        <f t="shared" si="493"/>
        <v/>
      </c>
      <c r="BB250" s="1704" t="str">
        <f t="shared" si="494"/>
        <v/>
      </c>
      <c r="BC250" s="1113" t="str">
        <f t="shared" si="495"/>
        <v/>
      </c>
      <c r="BD250" s="1114" t="str">
        <f t="shared" si="496"/>
        <v/>
      </c>
      <c r="BE250" s="1114" t="str">
        <f t="shared" si="497"/>
        <v/>
      </c>
      <c r="BF250" s="1114" t="str">
        <f t="shared" si="498"/>
        <v/>
      </c>
      <c r="BG250" s="1114" t="str">
        <f t="shared" si="499"/>
        <v/>
      </c>
      <c r="BH250" s="1114" t="str">
        <f t="shared" si="500"/>
        <v/>
      </c>
      <c r="BI250" s="1114" t="str">
        <f t="shared" si="501"/>
        <v/>
      </c>
      <c r="BJ250" s="1115" t="str">
        <f t="shared" si="502"/>
        <v/>
      </c>
      <c r="BL250" s="1885"/>
    </row>
    <row r="251" spans="1:64" ht="13.9" customHeight="1" x14ac:dyDescent="0.25">
      <c r="A251" s="1916">
        <f>Chem!A251</f>
        <v>249</v>
      </c>
      <c r="B251" s="1880" t="str">
        <f>Chem!B251</f>
        <v>delta-BHC (delta-HCH)</v>
      </c>
      <c r="C251" s="394" t="str">
        <f>Param!AK251</f>
        <v>no</v>
      </c>
      <c r="D251" s="317" t="str">
        <f>IF(ISNUMBER(Param!AN251),Param!AN251,Param!AM251)</f>
        <v>na</v>
      </c>
      <c r="E251" s="273" t="s">
        <v>232</v>
      </c>
      <c r="F251" s="643" t="s">
        <v>232</v>
      </c>
      <c r="G251" s="550" t="s">
        <v>232</v>
      </c>
      <c r="H251" s="550" t="s">
        <v>232</v>
      </c>
      <c r="I251" s="273" t="s">
        <v>232</v>
      </c>
      <c r="J251" s="273" t="s">
        <v>232</v>
      </c>
      <c r="K251" s="219" t="str">
        <f>IF(C251="YES",'SD-Eq'!V251,"na")</f>
        <v>na</v>
      </c>
      <c r="L251" s="273" t="str">
        <f>IF(C251="YES",'SD-Eq'!Z251,"na")</f>
        <v>na</v>
      </c>
      <c r="M251" s="435" t="str">
        <f t="shared" si="475"/>
        <v>na</v>
      </c>
      <c r="N251" s="273" t="str">
        <f t="shared" si="476"/>
        <v>na</v>
      </c>
      <c r="O251" s="1794" t="str">
        <f t="shared" si="477"/>
        <v>na</v>
      </c>
      <c r="P251" s="1789" t="str">
        <f t="shared" si="478"/>
        <v>na</v>
      </c>
      <c r="Q251" s="418" t="s">
        <v>232</v>
      </c>
      <c r="R251" s="418" t="s">
        <v>232</v>
      </c>
      <c r="S251" s="418" t="s">
        <v>232</v>
      </c>
      <c r="T251" s="418" t="s">
        <v>232</v>
      </c>
      <c r="U251" s="418" t="s">
        <v>232</v>
      </c>
      <c r="V251" s="418" t="s">
        <v>232</v>
      </c>
      <c r="W251" s="418" t="str">
        <f t="shared" si="479"/>
        <v>na</v>
      </c>
      <c r="X251" s="418" t="s">
        <v>232</v>
      </c>
      <c r="Y251" s="1884" t="str">
        <f t="shared" si="480"/>
        <v>na</v>
      </c>
      <c r="Z251" s="1884" t="str">
        <f t="shared" si="481"/>
        <v>na</v>
      </c>
      <c r="AA251" s="1789" t="s">
        <v>232</v>
      </c>
      <c r="AB251" s="1789" t="s">
        <v>232</v>
      </c>
      <c r="AC251" s="273" t="s">
        <v>232</v>
      </c>
      <c r="AD251" s="273" t="s">
        <v>232</v>
      </c>
      <c r="AE251" s="273" t="s">
        <v>232</v>
      </c>
      <c r="AF251" s="273" t="s">
        <v>232</v>
      </c>
      <c r="AG251" s="273" t="s">
        <v>232</v>
      </c>
      <c r="AH251" s="273" t="s">
        <v>232</v>
      </c>
      <c r="AI251" s="273" t="s">
        <v>232</v>
      </c>
      <c r="AJ251" s="273" t="s">
        <v>232</v>
      </c>
      <c r="AK251" s="273" t="s">
        <v>232</v>
      </c>
      <c r="AL251" s="273" t="s">
        <v>232</v>
      </c>
      <c r="AM251" s="273" t="s">
        <v>232</v>
      </c>
      <c r="AN251" s="273" t="str">
        <f t="shared" si="482"/>
        <v>na</v>
      </c>
      <c r="AO251" s="273" t="str">
        <f t="shared" si="483"/>
        <v>na</v>
      </c>
      <c r="AP251" s="273" t="str">
        <f t="shared" si="484"/>
        <v>na</v>
      </c>
      <c r="AQ251" s="273" t="str">
        <f t="shared" si="485"/>
        <v>na</v>
      </c>
      <c r="AR251" s="1789" t="str">
        <f t="shared" si="486"/>
        <v>na</v>
      </c>
      <c r="AS251" s="1051"/>
      <c r="AU251" s="1332" t="str">
        <f t="shared" si="487"/>
        <v/>
      </c>
      <c r="AV251" s="1114" t="str">
        <f t="shared" si="488"/>
        <v/>
      </c>
      <c r="AW251" s="1114" t="str">
        <f t="shared" si="489"/>
        <v/>
      </c>
      <c r="AX251" s="1114" t="str">
        <f t="shared" si="490"/>
        <v/>
      </c>
      <c r="AY251" s="1113" t="str">
        <f t="shared" si="491"/>
        <v/>
      </c>
      <c r="AZ251" s="1114" t="str">
        <f t="shared" si="492"/>
        <v/>
      </c>
      <c r="BA251" s="1114" t="str">
        <f t="shared" si="493"/>
        <v/>
      </c>
      <c r="BB251" s="1704" t="str">
        <f t="shared" si="494"/>
        <v/>
      </c>
      <c r="BC251" s="1113" t="str">
        <f t="shared" si="495"/>
        <v/>
      </c>
      <c r="BD251" s="1114" t="str">
        <f t="shared" si="496"/>
        <v/>
      </c>
      <c r="BE251" s="1114" t="str">
        <f t="shared" si="497"/>
        <v/>
      </c>
      <c r="BF251" s="1114" t="str">
        <f t="shared" si="498"/>
        <v/>
      </c>
      <c r="BG251" s="1114" t="str">
        <f t="shared" si="499"/>
        <v/>
      </c>
      <c r="BH251" s="1114" t="str">
        <f t="shared" si="500"/>
        <v/>
      </c>
      <c r="BI251" s="1114" t="str">
        <f t="shared" si="501"/>
        <v/>
      </c>
      <c r="BJ251" s="1115" t="str">
        <f t="shared" si="502"/>
        <v/>
      </c>
      <c r="BL251" s="1885"/>
    </row>
    <row r="252" spans="1:64" ht="13.9" customHeight="1" x14ac:dyDescent="0.25">
      <c r="A252" s="1916">
        <f>Chem!A252</f>
        <v>250</v>
      </c>
      <c r="B252" s="1880" t="str">
        <f>Chem!B252</f>
        <v>Carbaryl</v>
      </c>
      <c r="C252" s="394" t="str">
        <f>Param!AK252</f>
        <v>no</v>
      </c>
      <c r="D252" s="317" t="str">
        <f>IF(ISNUMBER(Param!AN252),Param!AN252,Param!AM252)</f>
        <v>na</v>
      </c>
      <c r="E252" s="273" t="s">
        <v>232</v>
      </c>
      <c r="F252" s="643" t="s">
        <v>232</v>
      </c>
      <c r="G252" s="550" t="s">
        <v>232</v>
      </c>
      <c r="H252" s="550" t="s">
        <v>232</v>
      </c>
      <c r="I252" s="273" t="s">
        <v>232</v>
      </c>
      <c r="J252" s="273" t="s">
        <v>232</v>
      </c>
      <c r="K252" s="219" t="str">
        <f>IF(C252="YES",'SD-Eq'!V252,"na")</f>
        <v>na</v>
      </c>
      <c r="L252" s="273" t="str">
        <f>IF(C252="YES",'SD-Eq'!Z252,"na")</f>
        <v>na</v>
      </c>
      <c r="M252" s="435" t="str">
        <f t="shared" si="475"/>
        <v>na</v>
      </c>
      <c r="N252" s="273" t="str">
        <f t="shared" si="476"/>
        <v>na</v>
      </c>
      <c r="O252" s="1794" t="str">
        <f t="shared" si="477"/>
        <v>na</v>
      </c>
      <c r="P252" s="1789" t="str">
        <f t="shared" si="478"/>
        <v>na</v>
      </c>
      <c r="Q252" s="418" t="s">
        <v>232</v>
      </c>
      <c r="R252" s="418" t="s">
        <v>232</v>
      </c>
      <c r="S252" s="418" t="s">
        <v>232</v>
      </c>
      <c r="T252" s="418" t="s">
        <v>232</v>
      </c>
      <c r="U252" s="418" t="s">
        <v>232</v>
      </c>
      <c r="V252" s="418" t="s">
        <v>232</v>
      </c>
      <c r="W252" s="418" t="str">
        <f t="shared" si="479"/>
        <v>na</v>
      </c>
      <c r="X252" s="418" t="s">
        <v>232</v>
      </c>
      <c r="Y252" s="1884" t="str">
        <f t="shared" si="480"/>
        <v>na</v>
      </c>
      <c r="Z252" s="1884" t="str">
        <f t="shared" si="481"/>
        <v>na</v>
      </c>
      <c r="AA252" s="1789" t="s">
        <v>232</v>
      </c>
      <c r="AB252" s="1789" t="s">
        <v>232</v>
      </c>
      <c r="AC252" s="273" t="s">
        <v>232</v>
      </c>
      <c r="AD252" s="273" t="s">
        <v>232</v>
      </c>
      <c r="AE252" s="273" t="s">
        <v>232</v>
      </c>
      <c r="AF252" s="273" t="s">
        <v>232</v>
      </c>
      <c r="AG252" s="273" t="s">
        <v>232</v>
      </c>
      <c r="AH252" s="273" t="s">
        <v>232</v>
      </c>
      <c r="AI252" s="273" t="s">
        <v>232</v>
      </c>
      <c r="AJ252" s="273" t="s">
        <v>232</v>
      </c>
      <c r="AK252" s="273" t="s">
        <v>232</v>
      </c>
      <c r="AL252" s="273" t="s">
        <v>232</v>
      </c>
      <c r="AM252" s="273" t="s">
        <v>232</v>
      </c>
      <c r="AN252" s="273" t="str">
        <f t="shared" si="482"/>
        <v>na</v>
      </c>
      <c r="AO252" s="273" t="str">
        <f t="shared" si="483"/>
        <v>na</v>
      </c>
      <c r="AP252" s="273" t="str">
        <f t="shared" si="484"/>
        <v>na</v>
      </c>
      <c r="AQ252" s="273" t="str">
        <f t="shared" si="485"/>
        <v>na</v>
      </c>
      <c r="AR252" s="1789" t="str">
        <f t="shared" si="486"/>
        <v>na</v>
      </c>
      <c r="AS252" s="1051"/>
      <c r="AU252" s="1332" t="str">
        <f t="shared" si="487"/>
        <v/>
      </c>
      <c r="AV252" s="1114" t="str">
        <f t="shared" si="488"/>
        <v/>
      </c>
      <c r="AW252" s="1114" t="str">
        <f t="shared" si="489"/>
        <v/>
      </c>
      <c r="AX252" s="1114" t="str">
        <f t="shared" si="490"/>
        <v/>
      </c>
      <c r="AY252" s="1113" t="str">
        <f t="shared" si="491"/>
        <v/>
      </c>
      <c r="AZ252" s="1114" t="str">
        <f t="shared" si="492"/>
        <v/>
      </c>
      <c r="BA252" s="1114" t="str">
        <f t="shared" si="493"/>
        <v/>
      </c>
      <c r="BB252" s="1704" t="str">
        <f t="shared" si="494"/>
        <v/>
      </c>
      <c r="BC252" s="1113" t="str">
        <f t="shared" si="495"/>
        <v/>
      </c>
      <c r="BD252" s="1114" t="str">
        <f t="shared" si="496"/>
        <v/>
      </c>
      <c r="BE252" s="1114" t="str">
        <f t="shared" si="497"/>
        <v/>
      </c>
      <c r="BF252" s="1114" t="str">
        <f t="shared" si="498"/>
        <v/>
      </c>
      <c r="BG252" s="1114" t="str">
        <f t="shared" si="499"/>
        <v/>
      </c>
      <c r="BH252" s="1114" t="str">
        <f t="shared" si="500"/>
        <v/>
      </c>
      <c r="BI252" s="1114" t="str">
        <f t="shared" si="501"/>
        <v/>
      </c>
      <c r="BJ252" s="1115" t="str">
        <f t="shared" si="502"/>
        <v/>
      </c>
      <c r="BL252" s="1885"/>
    </row>
    <row r="253" spans="1:64" ht="13.9" customHeight="1" x14ac:dyDescent="0.25">
      <c r="A253" s="1916">
        <f>Chem!A253</f>
        <v>251</v>
      </c>
      <c r="B253" s="1880" t="str">
        <f>Chem!B253</f>
        <v>cis-Chlordane (alpha)</v>
      </c>
      <c r="C253" s="394" t="str">
        <f>Param!AK253</f>
        <v>YES</v>
      </c>
      <c r="D253" s="317" t="str">
        <f>IF(ISNUMBER(Param!AN253),Param!AN253,Param!AM253)</f>
        <v>na</v>
      </c>
      <c r="E253" s="273" t="s">
        <v>232</v>
      </c>
      <c r="F253" s="643">
        <v>1E-4</v>
      </c>
      <c r="G253" s="550" t="s">
        <v>232</v>
      </c>
      <c r="H253" s="550" t="s">
        <v>232</v>
      </c>
      <c r="I253" s="273" t="s">
        <v>232</v>
      </c>
      <c r="J253" s="273" t="s">
        <v>232</v>
      </c>
      <c r="K253" s="219">
        <f>IF(C253="YES",'SD-Eq'!V253,"na")</f>
        <v>111.82598039215685</v>
      </c>
      <c r="L253" s="273">
        <f>IF(C253="YES",'SD-Eq'!Z253,"na")</f>
        <v>111.82598039215685</v>
      </c>
      <c r="M253" s="435">
        <f t="shared" si="475"/>
        <v>1E-4</v>
      </c>
      <c r="N253" s="273">
        <f t="shared" si="476"/>
        <v>1E-4</v>
      </c>
      <c r="O253" s="1794">
        <f t="shared" si="477"/>
        <v>1E-4</v>
      </c>
      <c r="P253" s="1789">
        <f t="shared" si="478"/>
        <v>1E-4</v>
      </c>
      <c r="Q253" s="418" t="s">
        <v>232</v>
      </c>
      <c r="R253" s="418" t="s">
        <v>232</v>
      </c>
      <c r="S253" s="418" t="s">
        <v>232</v>
      </c>
      <c r="T253" s="418" t="s">
        <v>232</v>
      </c>
      <c r="U253" s="418" t="s">
        <v>232</v>
      </c>
      <c r="V253" s="418" t="s">
        <v>232</v>
      </c>
      <c r="W253" s="418" t="str">
        <f t="shared" si="479"/>
        <v>na</v>
      </c>
      <c r="X253" s="418" t="s">
        <v>232</v>
      </c>
      <c r="Y253" s="1884" t="str">
        <f t="shared" si="480"/>
        <v>na</v>
      </c>
      <c r="Z253" s="1884">
        <f t="shared" si="481"/>
        <v>1E-4</v>
      </c>
      <c r="AA253" s="1789" t="s">
        <v>232</v>
      </c>
      <c r="AB253" s="1789" t="s">
        <v>232</v>
      </c>
      <c r="AC253" s="273" t="s">
        <v>232</v>
      </c>
      <c r="AD253" s="273" t="s">
        <v>232</v>
      </c>
      <c r="AE253" s="273" t="s">
        <v>232</v>
      </c>
      <c r="AF253" s="273" t="s">
        <v>232</v>
      </c>
      <c r="AG253" s="273" t="s">
        <v>232</v>
      </c>
      <c r="AH253" s="273" t="s">
        <v>232</v>
      </c>
      <c r="AI253" s="273" t="s">
        <v>232</v>
      </c>
      <c r="AJ253" s="273" t="s">
        <v>232</v>
      </c>
      <c r="AK253" s="273" t="s">
        <v>232</v>
      </c>
      <c r="AL253" s="273" t="s">
        <v>232</v>
      </c>
      <c r="AM253" s="273" t="s">
        <v>232</v>
      </c>
      <c r="AN253" s="273" t="str">
        <f t="shared" si="482"/>
        <v>na</v>
      </c>
      <c r="AO253" s="273" t="str">
        <f t="shared" si="483"/>
        <v>na</v>
      </c>
      <c r="AP253" s="273" t="str">
        <f t="shared" si="484"/>
        <v>na</v>
      </c>
      <c r="AQ253" s="273" t="str">
        <f t="shared" si="485"/>
        <v>na</v>
      </c>
      <c r="AR253" s="1789" t="str">
        <f t="shared" si="486"/>
        <v>na</v>
      </c>
      <c r="AS253" s="1051"/>
      <c r="AU253" s="1332" t="str">
        <f t="shared" si="487"/>
        <v/>
      </c>
      <c r="AV253" s="1114" t="str">
        <f t="shared" si="488"/>
        <v>X</v>
      </c>
      <c r="AW253" s="1114" t="str">
        <f t="shared" si="489"/>
        <v/>
      </c>
      <c r="AX253" s="1114" t="str">
        <f t="shared" si="490"/>
        <v/>
      </c>
      <c r="AY253" s="1113" t="str">
        <f t="shared" si="491"/>
        <v/>
      </c>
      <c r="AZ253" s="1114" t="str">
        <f t="shared" si="492"/>
        <v>X</v>
      </c>
      <c r="BA253" s="1114" t="str">
        <f t="shared" si="493"/>
        <v/>
      </c>
      <c r="BB253" s="1704" t="str">
        <f t="shared" si="494"/>
        <v/>
      </c>
      <c r="BC253" s="1113" t="str">
        <f t="shared" si="495"/>
        <v/>
      </c>
      <c r="BD253" s="1114" t="str">
        <f t="shared" si="496"/>
        <v>X</v>
      </c>
      <c r="BE253" s="1114" t="str">
        <f t="shared" si="497"/>
        <v/>
      </c>
      <c r="BF253" s="1114" t="str">
        <f t="shared" si="498"/>
        <v/>
      </c>
      <c r="BG253" s="1114" t="str">
        <f t="shared" si="499"/>
        <v/>
      </c>
      <c r="BH253" s="1114" t="str">
        <f t="shared" si="500"/>
        <v/>
      </c>
      <c r="BI253" s="1114" t="str">
        <f t="shared" si="501"/>
        <v/>
      </c>
      <c r="BJ253" s="1115" t="str">
        <f t="shared" si="502"/>
        <v/>
      </c>
      <c r="BL253" s="1885"/>
    </row>
    <row r="254" spans="1:64" ht="13.9" customHeight="1" x14ac:dyDescent="0.25">
      <c r="A254" s="1916">
        <f>Chem!A254</f>
        <v>252</v>
      </c>
      <c r="B254" s="1880" t="str">
        <f>Chem!B254</f>
        <v>trans-Chlordane (gamma)</v>
      </c>
      <c r="C254" s="394" t="str">
        <f>Param!AK254</f>
        <v>YES</v>
      </c>
      <c r="D254" s="317" t="str">
        <f>IF(ISNUMBER(Param!AN254),Param!AN254,Param!AM254)</f>
        <v>na</v>
      </c>
      <c r="E254" s="273" t="s">
        <v>232</v>
      </c>
      <c r="F254" s="643">
        <v>1E-4</v>
      </c>
      <c r="G254" s="550" t="s">
        <v>232</v>
      </c>
      <c r="H254" s="550" t="s">
        <v>232</v>
      </c>
      <c r="I254" s="273" t="s">
        <v>232</v>
      </c>
      <c r="J254" s="273" t="s">
        <v>232</v>
      </c>
      <c r="K254" s="219">
        <f>IF(C254="YES",'SD-Eq'!V254,"na")</f>
        <v>111.82598039215685</v>
      </c>
      <c r="L254" s="273">
        <f>IF(C254="YES",'SD-Eq'!Z254,"na")</f>
        <v>111.82598039215685</v>
      </c>
      <c r="M254" s="435">
        <f t="shared" si="475"/>
        <v>1E-4</v>
      </c>
      <c r="N254" s="273">
        <f t="shared" si="476"/>
        <v>1E-4</v>
      </c>
      <c r="O254" s="1794">
        <f t="shared" si="477"/>
        <v>1E-4</v>
      </c>
      <c r="P254" s="1789">
        <f t="shared" si="478"/>
        <v>1E-4</v>
      </c>
      <c r="Q254" s="418" t="s">
        <v>232</v>
      </c>
      <c r="R254" s="418" t="s">
        <v>232</v>
      </c>
      <c r="S254" s="418" t="s">
        <v>232</v>
      </c>
      <c r="T254" s="418" t="s">
        <v>232</v>
      </c>
      <c r="U254" s="418" t="s">
        <v>232</v>
      </c>
      <c r="V254" s="418" t="s">
        <v>232</v>
      </c>
      <c r="W254" s="418" t="str">
        <f t="shared" si="479"/>
        <v>na</v>
      </c>
      <c r="X254" s="418" t="s">
        <v>232</v>
      </c>
      <c r="Y254" s="1884" t="str">
        <f t="shared" si="480"/>
        <v>na</v>
      </c>
      <c r="Z254" s="1884">
        <f t="shared" si="481"/>
        <v>1E-4</v>
      </c>
      <c r="AA254" s="1789" t="s">
        <v>232</v>
      </c>
      <c r="AB254" s="1789" t="s">
        <v>232</v>
      </c>
      <c r="AC254" s="273" t="s">
        <v>232</v>
      </c>
      <c r="AD254" s="273" t="s">
        <v>232</v>
      </c>
      <c r="AE254" s="273" t="s">
        <v>232</v>
      </c>
      <c r="AF254" s="273" t="s">
        <v>232</v>
      </c>
      <c r="AG254" s="273" t="s">
        <v>232</v>
      </c>
      <c r="AH254" s="273" t="s">
        <v>232</v>
      </c>
      <c r="AI254" s="273" t="s">
        <v>232</v>
      </c>
      <c r="AJ254" s="273" t="s">
        <v>232</v>
      </c>
      <c r="AK254" s="273" t="s">
        <v>232</v>
      </c>
      <c r="AL254" s="273" t="s">
        <v>232</v>
      </c>
      <c r="AM254" s="273" t="s">
        <v>232</v>
      </c>
      <c r="AN254" s="273" t="str">
        <f t="shared" si="482"/>
        <v>na</v>
      </c>
      <c r="AO254" s="273" t="str">
        <f t="shared" si="483"/>
        <v>na</v>
      </c>
      <c r="AP254" s="273" t="str">
        <f t="shared" si="484"/>
        <v>na</v>
      </c>
      <c r="AQ254" s="273" t="str">
        <f t="shared" si="485"/>
        <v>na</v>
      </c>
      <c r="AR254" s="1789" t="str">
        <f t="shared" si="486"/>
        <v>na</v>
      </c>
      <c r="AS254" s="1051"/>
      <c r="AU254" s="1332" t="str">
        <f t="shared" si="487"/>
        <v/>
      </c>
      <c r="AV254" s="1114" t="str">
        <f t="shared" si="488"/>
        <v>X</v>
      </c>
      <c r="AW254" s="1114" t="str">
        <f t="shared" si="489"/>
        <v/>
      </c>
      <c r="AX254" s="1114" t="str">
        <f t="shared" si="490"/>
        <v/>
      </c>
      <c r="AY254" s="1113" t="str">
        <f t="shared" si="491"/>
        <v/>
      </c>
      <c r="AZ254" s="1114" t="str">
        <f t="shared" si="492"/>
        <v>X</v>
      </c>
      <c r="BA254" s="1114" t="str">
        <f t="shared" si="493"/>
        <v/>
      </c>
      <c r="BB254" s="1704" t="str">
        <f t="shared" si="494"/>
        <v/>
      </c>
      <c r="BC254" s="1113" t="str">
        <f t="shared" si="495"/>
        <v/>
      </c>
      <c r="BD254" s="1114" t="str">
        <f t="shared" si="496"/>
        <v>X</v>
      </c>
      <c r="BE254" s="1114" t="str">
        <f t="shared" si="497"/>
        <v/>
      </c>
      <c r="BF254" s="1114" t="str">
        <f t="shared" si="498"/>
        <v/>
      </c>
      <c r="BG254" s="1114" t="str">
        <f t="shared" si="499"/>
        <v/>
      </c>
      <c r="BH254" s="1114" t="str">
        <f t="shared" si="500"/>
        <v/>
      </c>
      <c r="BI254" s="1114" t="str">
        <f t="shared" si="501"/>
        <v/>
      </c>
      <c r="BJ254" s="1115" t="str">
        <f t="shared" si="502"/>
        <v/>
      </c>
      <c r="BL254" s="1885"/>
    </row>
    <row r="255" spans="1:64" ht="13.9" customHeight="1" x14ac:dyDescent="0.25">
      <c r="A255" s="1916">
        <f>Chem!A255</f>
        <v>253</v>
      </c>
      <c r="B255" s="1880" t="str">
        <f>Chem!B255</f>
        <v>Chlordane</v>
      </c>
      <c r="C255" s="394" t="str">
        <f>Param!AK255</f>
        <v>YES</v>
      </c>
      <c r="D255" s="317" t="str">
        <f>IF(ISNUMBER(Param!AN255),Param!AN255,Param!AM255)</f>
        <v>na</v>
      </c>
      <c r="E255" s="273" t="s">
        <v>232</v>
      </c>
      <c r="F255" s="643" t="s">
        <v>232</v>
      </c>
      <c r="G255" s="550" t="s">
        <v>232</v>
      </c>
      <c r="H255" s="550" t="s">
        <v>232</v>
      </c>
      <c r="I255" s="273" t="s">
        <v>232</v>
      </c>
      <c r="J255" s="273" t="s">
        <v>232</v>
      </c>
      <c r="K255" s="219">
        <f>IF(C255="YES",'SD-Eq'!V255,"na")</f>
        <v>5.6166640781514872</v>
      </c>
      <c r="L255" s="273">
        <f>IF(C255="YES",'SD-Eq'!Z255,"na")</f>
        <v>56.166640781514879</v>
      </c>
      <c r="M255" s="435" t="str">
        <f t="shared" si="475"/>
        <v>PQL</v>
      </c>
      <c r="N255" s="273" t="str">
        <f t="shared" si="476"/>
        <v>PQL</v>
      </c>
      <c r="O255" s="1794">
        <f t="shared" si="477"/>
        <v>5.6166640781514872</v>
      </c>
      <c r="P255" s="1789">
        <f t="shared" si="478"/>
        <v>56.166640781514879</v>
      </c>
      <c r="Q255" s="418" t="s">
        <v>232</v>
      </c>
      <c r="R255" s="418" t="s">
        <v>232</v>
      </c>
      <c r="S255" s="418" t="s">
        <v>232</v>
      </c>
      <c r="T255" s="418" t="s">
        <v>232</v>
      </c>
      <c r="U255" s="418" t="s">
        <v>232</v>
      </c>
      <c r="V255" s="418" t="s">
        <v>232</v>
      </c>
      <c r="W255" s="418" t="str">
        <f t="shared" si="479"/>
        <v>na</v>
      </c>
      <c r="X255" s="418" t="s">
        <v>232</v>
      </c>
      <c r="Y255" s="1884" t="str">
        <f t="shared" si="480"/>
        <v>na</v>
      </c>
      <c r="Z255" s="1884">
        <f t="shared" si="481"/>
        <v>5.6166640781514872</v>
      </c>
      <c r="AA255" s="1789" t="s">
        <v>232</v>
      </c>
      <c r="AB255" s="1789" t="s">
        <v>232</v>
      </c>
      <c r="AC255" s="273" t="s">
        <v>232</v>
      </c>
      <c r="AD255" s="273" t="s">
        <v>232</v>
      </c>
      <c r="AE255" s="273" t="s">
        <v>232</v>
      </c>
      <c r="AF255" s="273" t="s">
        <v>232</v>
      </c>
      <c r="AG255" s="273" t="s">
        <v>232</v>
      </c>
      <c r="AH255" s="273" t="s">
        <v>232</v>
      </c>
      <c r="AI255" s="273" t="s">
        <v>232</v>
      </c>
      <c r="AJ255" s="273" t="s">
        <v>232</v>
      </c>
      <c r="AK255" s="273" t="s">
        <v>232</v>
      </c>
      <c r="AL255" s="273" t="s">
        <v>232</v>
      </c>
      <c r="AM255" s="273" t="s">
        <v>232</v>
      </c>
      <c r="AN255" s="273" t="str">
        <f t="shared" si="482"/>
        <v>na</v>
      </c>
      <c r="AO255" s="273" t="str">
        <f t="shared" si="483"/>
        <v>na</v>
      </c>
      <c r="AP255" s="273" t="str">
        <f t="shared" si="484"/>
        <v>na</v>
      </c>
      <c r="AQ255" s="273" t="str">
        <f t="shared" si="485"/>
        <v>na</v>
      </c>
      <c r="AR255" s="1789" t="str">
        <f t="shared" si="486"/>
        <v>na</v>
      </c>
      <c r="AS255" s="1051"/>
      <c r="AU255" s="1332" t="str">
        <f t="shared" si="487"/>
        <v/>
      </c>
      <c r="AV255" s="1114" t="str">
        <f t="shared" si="488"/>
        <v/>
      </c>
      <c r="AW255" s="1114" t="str">
        <f t="shared" si="489"/>
        <v/>
      </c>
      <c r="AX255" s="1114" t="str">
        <f t="shared" si="490"/>
        <v>X</v>
      </c>
      <c r="AY255" s="1113" t="str">
        <f t="shared" si="491"/>
        <v/>
      </c>
      <c r="AZ255" s="1114" t="str">
        <f t="shared" si="492"/>
        <v/>
      </c>
      <c r="BA255" s="1114" t="str">
        <f t="shared" si="493"/>
        <v/>
      </c>
      <c r="BB255" s="1704" t="str">
        <f t="shared" si="494"/>
        <v>X</v>
      </c>
      <c r="BC255" s="1113" t="str">
        <f t="shared" si="495"/>
        <v/>
      </c>
      <c r="BD255" s="1114" t="str">
        <f t="shared" si="496"/>
        <v/>
      </c>
      <c r="BE255" s="1114" t="str">
        <f t="shared" si="497"/>
        <v/>
      </c>
      <c r="BF255" s="1114" t="str">
        <f t="shared" si="498"/>
        <v>X</v>
      </c>
      <c r="BG255" s="1114" t="str">
        <f t="shared" si="499"/>
        <v/>
      </c>
      <c r="BH255" s="1114" t="str">
        <f t="shared" si="500"/>
        <v/>
      </c>
      <c r="BI255" s="1114" t="str">
        <f t="shared" si="501"/>
        <v/>
      </c>
      <c r="BJ255" s="1115" t="str">
        <f t="shared" si="502"/>
        <v/>
      </c>
      <c r="BL255" s="1885"/>
    </row>
    <row r="256" spans="1:64" ht="13.9" customHeight="1" x14ac:dyDescent="0.25">
      <c r="A256" s="1916">
        <f>Chem!A256</f>
        <v>254</v>
      </c>
      <c r="B256" s="1880" t="str">
        <f>Chem!B256</f>
        <v>Chlorpyrifos</v>
      </c>
      <c r="C256" s="384" t="str">
        <f>Param!AK256</f>
        <v>no</v>
      </c>
      <c r="D256" s="317" t="str">
        <f>IF(ISNUMBER(Param!AN256),Param!AN256,Param!AM256)</f>
        <v>na</v>
      </c>
      <c r="E256" s="273" t="s">
        <v>232</v>
      </c>
      <c r="F256" s="643" t="s">
        <v>232</v>
      </c>
      <c r="G256" s="550" t="s">
        <v>232</v>
      </c>
      <c r="H256" s="550" t="s">
        <v>232</v>
      </c>
      <c r="I256" s="273" t="s">
        <v>232</v>
      </c>
      <c r="J256" s="273" t="s">
        <v>232</v>
      </c>
      <c r="K256" s="219" t="str">
        <f>IF(C256="YES",'SD-Eq'!V256,"na")</f>
        <v>na</v>
      </c>
      <c r="L256" s="273" t="str">
        <f>IF(C256="YES",'SD-Eq'!Z256,"na")</f>
        <v>na</v>
      </c>
      <c r="M256" s="435" t="str">
        <f t="shared" si="475"/>
        <v>na</v>
      </c>
      <c r="N256" s="273" t="str">
        <f t="shared" si="476"/>
        <v>na</v>
      </c>
      <c r="O256" s="300" t="str">
        <f t="shared" si="477"/>
        <v>na</v>
      </c>
      <c r="P256" s="1788" t="str">
        <f t="shared" si="478"/>
        <v>na</v>
      </c>
      <c r="Q256" s="418" t="s">
        <v>232</v>
      </c>
      <c r="R256" s="418" t="s">
        <v>232</v>
      </c>
      <c r="S256" s="418" t="s">
        <v>232</v>
      </c>
      <c r="T256" s="418" t="s">
        <v>232</v>
      </c>
      <c r="U256" s="418" t="s">
        <v>232</v>
      </c>
      <c r="V256" s="418" t="s">
        <v>232</v>
      </c>
      <c r="W256" s="418" t="str">
        <f t="shared" si="479"/>
        <v>na</v>
      </c>
      <c r="X256" s="418" t="s">
        <v>232</v>
      </c>
      <c r="Y256" s="1884" t="str">
        <f t="shared" si="480"/>
        <v>na</v>
      </c>
      <c r="Z256" s="1884" t="str">
        <f t="shared" si="481"/>
        <v>na</v>
      </c>
      <c r="AA256" s="1789" t="s">
        <v>232</v>
      </c>
      <c r="AB256" s="1789" t="s">
        <v>232</v>
      </c>
      <c r="AC256" s="273" t="s">
        <v>232</v>
      </c>
      <c r="AD256" s="273" t="s">
        <v>232</v>
      </c>
      <c r="AE256" s="273" t="s">
        <v>232</v>
      </c>
      <c r="AF256" s="273" t="s">
        <v>232</v>
      </c>
      <c r="AG256" s="273" t="s">
        <v>232</v>
      </c>
      <c r="AH256" s="273" t="s">
        <v>232</v>
      </c>
      <c r="AI256" s="273" t="s">
        <v>232</v>
      </c>
      <c r="AJ256" s="273" t="s">
        <v>232</v>
      </c>
      <c r="AK256" s="273" t="s">
        <v>232</v>
      </c>
      <c r="AL256" s="273" t="s">
        <v>232</v>
      </c>
      <c r="AM256" s="273" t="s">
        <v>232</v>
      </c>
      <c r="AN256" s="273" t="str">
        <f t="shared" si="482"/>
        <v>na</v>
      </c>
      <c r="AO256" s="273" t="str">
        <f t="shared" si="483"/>
        <v>na</v>
      </c>
      <c r="AP256" s="273" t="str">
        <f t="shared" si="484"/>
        <v>na</v>
      </c>
      <c r="AQ256" s="273" t="str">
        <f t="shared" si="485"/>
        <v>na</v>
      </c>
      <c r="AR256" s="1789" t="str">
        <f t="shared" si="486"/>
        <v>na</v>
      </c>
      <c r="AS256" s="1051"/>
      <c r="AU256" s="1332" t="str">
        <f t="shared" si="487"/>
        <v/>
      </c>
      <c r="AV256" s="1114" t="str">
        <f t="shared" si="488"/>
        <v/>
      </c>
      <c r="AW256" s="1114" t="str">
        <f t="shared" si="489"/>
        <v/>
      </c>
      <c r="AX256" s="1114" t="str">
        <f t="shared" si="490"/>
        <v/>
      </c>
      <c r="AY256" s="1113" t="str">
        <f t="shared" si="491"/>
        <v/>
      </c>
      <c r="AZ256" s="1114" t="str">
        <f t="shared" si="492"/>
        <v/>
      </c>
      <c r="BA256" s="1114" t="str">
        <f t="shared" si="493"/>
        <v/>
      </c>
      <c r="BB256" s="1704" t="str">
        <f t="shared" si="494"/>
        <v/>
      </c>
      <c r="BC256" s="1113" t="str">
        <f t="shared" si="495"/>
        <v/>
      </c>
      <c r="BD256" s="1114" t="str">
        <f t="shared" si="496"/>
        <v/>
      </c>
      <c r="BE256" s="1114" t="str">
        <f t="shared" si="497"/>
        <v/>
      </c>
      <c r="BF256" s="1114" t="str">
        <f t="shared" si="498"/>
        <v/>
      </c>
      <c r="BG256" s="1114" t="str">
        <f t="shared" si="499"/>
        <v/>
      </c>
      <c r="BH256" s="1114" t="str">
        <f t="shared" si="500"/>
        <v/>
      </c>
      <c r="BI256" s="1114" t="str">
        <f t="shared" si="501"/>
        <v/>
      </c>
      <c r="BJ256" s="1115" t="str">
        <f t="shared" si="502"/>
        <v/>
      </c>
      <c r="BL256" s="1885"/>
    </row>
    <row r="257" spans="1:64" ht="13.9" customHeight="1" x14ac:dyDescent="0.25">
      <c r="A257" s="1916">
        <f>Chem!A257</f>
        <v>255</v>
      </c>
      <c r="B257" s="1880" t="str">
        <f>Chem!B257</f>
        <v>4,4'-DDD</v>
      </c>
      <c r="C257" s="394" t="str">
        <f>Param!AK257</f>
        <v>no</v>
      </c>
      <c r="D257" s="317" t="str">
        <f>IF(ISNUMBER(Param!AN257),Param!AN257,Param!AM257)</f>
        <v>na</v>
      </c>
      <c r="E257" s="273" t="s">
        <v>232</v>
      </c>
      <c r="F257" s="643">
        <v>1E-4</v>
      </c>
      <c r="G257" s="550" t="s">
        <v>232</v>
      </c>
      <c r="H257" s="550" t="s">
        <v>232</v>
      </c>
      <c r="I257" s="273" t="s">
        <v>232</v>
      </c>
      <c r="J257" s="273" t="s">
        <v>232</v>
      </c>
      <c r="K257" s="219" t="str">
        <f>IF(C257="YES",'SD-Eq'!V257,"na")</f>
        <v>na</v>
      </c>
      <c r="L257" s="273" t="str">
        <f>IF(C257="YES",'SD-Eq'!Z257,"na")</f>
        <v>na</v>
      </c>
      <c r="M257" s="435" t="str">
        <f t="shared" si="475"/>
        <v>na</v>
      </c>
      <c r="N257" s="273" t="str">
        <f t="shared" si="476"/>
        <v>na</v>
      </c>
      <c r="O257" s="1794" t="str">
        <f t="shared" si="477"/>
        <v>na</v>
      </c>
      <c r="P257" s="1789" t="str">
        <f t="shared" si="478"/>
        <v>na</v>
      </c>
      <c r="Q257" s="418" t="s">
        <v>232</v>
      </c>
      <c r="R257" s="418" t="s">
        <v>232</v>
      </c>
      <c r="S257" s="418" t="s">
        <v>232</v>
      </c>
      <c r="T257" s="418" t="s">
        <v>232</v>
      </c>
      <c r="U257" s="418" t="s">
        <v>232</v>
      </c>
      <c r="V257" s="418" t="s">
        <v>232</v>
      </c>
      <c r="W257" s="418" t="str">
        <f t="shared" si="479"/>
        <v>na</v>
      </c>
      <c r="X257" s="418" t="s">
        <v>232</v>
      </c>
      <c r="Y257" s="1884" t="str">
        <f t="shared" si="480"/>
        <v>na</v>
      </c>
      <c r="Z257" s="1884" t="str">
        <f t="shared" si="481"/>
        <v>na</v>
      </c>
      <c r="AA257" s="1789" t="s">
        <v>232</v>
      </c>
      <c r="AB257" s="1789" t="s">
        <v>232</v>
      </c>
      <c r="AC257" s="273" t="s">
        <v>232</v>
      </c>
      <c r="AD257" s="273" t="s">
        <v>232</v>
      </c>
      <c r="AE257" s="273" t="s">
        <v>232</v>
      </c>
      <c r="AF257" s="273" t="s">
        <v>232</v>
      </c>
      <c r="AG257" s="273" t="s">
        <v>232</v>
      </c>
      <c r="AH257" s="273" t="s">
        <v>232</v>
      </c>
      <c r="AI257" s="273" t="s">
        <v>232</v>
      </c>
      <c r="AJ257" s="273" t="s">
        <v>232</v>
      </c>
      <c r="AK257" s="273" t="s">
        <v>232</v>
      </c>
      <c r="AL257" s="273" t="s">
        <v>232</v>
      </c>
      <c r="AM257" s="273" t="s">
        <v>232</v>
      </c>
      <c r="AN257" s="273" t="str">
        <f t="shared" si="482"/>
        <v>na</v>
      </c>
      <c r="AO257" s="273" t="str">
        <f t="shared" si="483"/>
        <v>na</v>
      </c>
      <c r="AP257" s="273" t="str">
        <f t="shared" si="484"/>
        <v>na</v>
      </c>
      <c r="AQ257" s="273" t="str">
        <f t="shared" si="485"/>
        <v>na</v>
      </c>
      <c r="AR257" s="1789" t="str">
        <f t="shared" si="486"/>
        <v>na</v>
      </c>
      <c r="AS257" s="1051"/>
      <c r="AU257" s="1332" t="str">
        <f t="shared" si="487"/>
        <v/>
      </c>
      <c r="AV257" s="1114" t="str">
        <f t="shared" si="488"/>
        <v/>
      </c>
      <c r="AW257" s="1114" t="str">
        <f t="shared" si="489"/>
        <v/>
      </c>
      <c r="AX257" s="1114" t="str">
        <f t="shared" si="490"/>
        <v/>
      </c>
      <c r="AY257" s="1113" t="str">
        <f t="shared" si="491"/>
        <v/>
      </c>
      <c r="AZ257" s="1114" t="str">
        <f t="shared" si="492"/>
        <v/>
      </c>
      <c r="BA257" s="1114" t="str">
        <f t="shared" si="493"/>
        <v/>
      </c>
      <c r="BB257" s="1704" t="str">
        <f t="shared" si="494"/>
        <v/>
      </c>
      <c r="BC257" s="1113" t="str">
        <f t="shared" si="495"/>
        <v/>
      </c>
      <c r="BD257" s="1114" t="str">
        <f t="shared" si="496"/>
        <v/>
      </c>
      <c r="BE257" s="1114" t="str">
        <f t="shared" si="497"/>
        <v/>
      </c>
      <c r="BF257" s="1114" t="str">
        <f t="shared" si="498"/>
        <v/>
      </c>
      <c r="BG257" s="1114" t="str">
        <f t="shared" si="499"/>
        <v/>
      </c>
      <c r="BH257" s="1114" t="str">
        <f t="shared" si="500"/>
        <v/>
      </c>
      <c r="BI257" s="1114" t="str">
        <f t="shared" si="501"/>
        <v/>
      </c>
      <c r="BJ257" s="1115" t="str">
        <f t="shared" si="502"/>
        <v/>
      </c>
      <c r="BL257" s="1885"/>
    </row>
    <row r="258" spans="1:64" ht="13.9" customHeight="1" x14ac:dyDescent="0.25">
      <c r="A258" s="1916">
        <f>Chem!A258</f>
        <v>256</v>
      </c>
      <c r="B258" s="1880" t="str">
        <f>Chem!B258</f>
        <v>4,4'-DDE</v>
      </c>
      <c r="C258" s="394" t="str">
        <f>Param!AK258</f>
        <v>no</v>
      </c>
      <c r="D258" s="317" t="str">
        <f>IF(ISNUMBER(Param!AN258),Param!AN258,Param!AM258)</f>
        <v>na</v>
      </c>
      <c r="E258" s="273" t="s">
        <v>232</v>
      </c>
      <c r="F258" s="643">
        <v>1E-4</v>
      </c>
      <c r="G258" s="550" t="s">
        <v>232</v>
      </c>
      <c r="H258" s="550" t="s">
        <v>232</v>
      </c>
      <c r="I258" s="273" t="s">
        <v>232</v>
      </c>
      <c r="J258" s="273" t="s">
        <v>232</v>
      </c>
      <c r="K258" s="219" t="str">
        <f>IF(C258="YES",'SD-Eq'!V258,"na")</f>
        <v>na</v>
      </c>
      <c r="L258" s="273" t="str">
        <f>IF(C258="YES",'SD-Eq'!Z258,"na")</f>
        <v>na</v>
      </c>
      <c r="M258" s="435" t="str">
        <f t="shared" si="475"/>
        <v>na</v>
      </c>
      <c r="N258" s="273" t="str">
        <f t="shared" si="476"/>
        <v>na</v>
      </c>
      <c r="O258" s="1794" t="str">
        <f t="shared" si="477"/>
        <v>na</v>
      </c>
      <c r="P258" s="1789" t="str">
        <f t="shared" si="478"/>
        <v>na</v>
      </c>
      <c r="Q258" s="418" t="s">
        <v>232</v>
      </c>
      <c r="R258" s="418" t="s">
        <v>232</v>
      </c>
      <c r="S258" s="418" t="s">
        <v>232</v>
      </c>
      <c r="T258" s="418" t="s">
        <v>232</v>
      </c>
      <c r="U258" s="418" t="s">
        <v>232</v>
      </c>
      <c r="V258" s="418" t="s">
        <v>232</v>
      </c>
      <c r="W258" s="418" t="str">
        <f t="shared" si="479"/>
        <v>na</v>
      </c>
      <c r="X258" s="418" t="s">
        <v>232</v>
      </c>
      <c r="Y258" s="1884" t="str">
        <f t="shared" si="480"/>
        <v>na</v>
      </c>
      <c r="Z258" s="1884" t="str">
        <f t="shared" si="481"/>
        <v>na</v>
      </c>
      <c r="AA258" s="1789" t="s">
        <v>232</v>
      </c>
      <c r="AB258" s="1789" t="s">
        <v>232</v>
      </c>
      <c r="AC258" s="273" t="s">
        <v>232</v>
      </c>
      <c r="AD258" s="273" t="s">
        <v>232</v>
      </c>
      <c r="AE258" s="273" t="s">
        <v>232</v>
      </c>
      <c r="AF258" s="273" t="s">
        <v>232</v>
      </c>
      <c r="AG258" s="273" t="s">
        <v>232</v>
      </c>
      <c r="AH258" s="273" t="s">
        <v>232</v>
      </c>
      <c r="AI258" s="273" t="s">
        <v>232</v>
      </c>
      <c r="AJ258" s="273" t="s">
        <v>232</v>
      </c>
      <c r="AK258" s="273" t="s">
        <v>232</v>
      </c>
      <c r="AL258" s="273" t="s">
        <v>232</v>
      </c>
      <c r="AM258" s="273" t="s">
        <v>232</v>
      </c>
      <c r="AN258" s="273" t="str">
        <f t="shared" si="482"/>
        <v>na</v>
      </c>
      <c r="AO258" s="273" t="str">
        <f t="shared" si="483"/>
        <v>na</v>
      </c>
      <c r="AP258" s="273" t="str">
        <f t="shared" si="484"/>
        <v>na</v>
      </c>
      <c r="AQ258" s="273" t="str">
        <f t="shared" si="485"/>
        <v>na</v>
      </c>
      <c r="AR258" s="1789" t="str">
        <f t="shared" si="486"/>
        <v>na</v>
      </c>
      <c r="AS258" s="1051"/>
      <c r="AU258" s="1332" t="str">
        <f t="shared" si="487"/>
        <v/>
      </c>
      <c r="AV258" s="1114" t="str">
        <f t="shared" si="488"/>
        <v/>
      </c>
      <c r="AW258" s="1114" t="str">
        <f t="shared" si="489"/>
        <v/>
      </c>
      <c r="AX258" s="1114" t="str">
        <f t="shared" si="490"/>
        <v/>
      </c>
      <c r="AY258" s="1113" t="str">
        <f t="shared" si="491"/>
        <v/>
      </c>
      <c r="AZ258" s="1114" t="str">
        <f t="shared" si="492"/>
        <v/>
      </c>
      <c r="BA258" s="1114" t="str">
        <f t="shared" si="493"/>
        <v/>
      </c>
      <c r="BB258" s="1704" t="str">
        <f t="shared" si="494"/>
        <v/>
      </c>
      <c r="BC258" s="1113" t="str">
        <f t="shared" si="495"/>
        <v/>
      </c>
      <c r="BD258" s="1114" t="str">
        <f t="shared" si="496"/>
        <v/>
      </c>
      <c r="BE258" s="1114" t="str">
        <f t="shared" si="497"/>
        <v/>
      </c>
      <c r="BF258" s="1114" t="str">
        <f t="shared" si="498"/>
        <v/>
      </c>
      <c r="BG258" s="1114" t="str">
        <f t="shared" si="499"/>
        <v/>
      </c>
      <c r="BH258" s="1114" t="str">
        <f t="shared" si="500"/>
        <v/>
      </c>
      <c r="BI258" s="1114" t="str">
        <f t="shared" si="501"/>
        <v/>
      </c>
      <c r="BJ258" s="1115" t="str">
        <f t="shared" si="502"/>
        <v/>
      </c>
      <c r="BL258" s="1885"/>
    </row>
    <row r="259" spans="1:64" ht="13.9" customHeight="1" x14ac:dyDescent="0.25">
      <c r="A259" s="1916">
        <f>Chem!A259</f>
        <v>257</v>
      </c>
      <c r="B259" s="1880" t="str">
        <f>Chem!B259</f>
        <v>4,4'-DDT</v>
      </c>
      <c r="C259" s="394" t="str">
        <f>Param!AK259</f>
        <v>YES</v>
      </c>
      <c r="D259" s="317" t="str">
        <f>IF(ISNUMBER(Param!AN259),Param!AN259,Param!AM259)</f>
        <v>na</v>
      </c>
      <c r="E259" s="273" t="s">
        <v>232</v>
      </c>
      <c r="F259" s="643">
        <v>1E-4</v>
      </c>
      <c r="G259" s="550" t="s">
        <v>232</v>
      </c>
      <c r="H259" s="550" t="s">
        <v>232</v>
      </c>
      <c r="I259" s="273" t="s">
        <v>232</v>
      </c>
      <c r="J259" s="273" t="s">
        <v>232</v>
      </c>
      <c r="K259" s="219">
        <f>IF(C259="YES",'SD-Eq'!V259,"na")</f>
        <v>6.2945206043185031</v>
      </c>
      <c r="L259" s="273">
        <f>IF(C259="YES",'SD-Eq'!Z259,"na")</f>
        <v>62.945206043185038</v>
      </c>
      <c r="M259" s="435">
        <f t="shared" si="475"/>
        <v>1E-4</v>
      </c>
      <c r="N259" s="273">
        <f t="shared" si="476"/>
        <v>1E-4</v>
      </c>
      <c r="O259" s="1794">
        <f t="shared" si="477"/>
        <v>1E-4</v>
      </c>
      <c r="P259" s="1789">
        <f t="shared" si="478"/>
        <v>1E-4</v>
      </c>
      <c r="Q259" s="418" t="s">
        <v>232</v>
      </c>
      <c r="R259" s="418" t="s">
        <v>232</v>
      </c>
      <c r="S259" s="418" t="s">
        <v>232</v>
      </c>
      <c r="T259" s="418" t="s">
        <v>232</v>
      </c>
      <c r="U259" s="418" t="s">
        <v>232</v>
      </c>
      <c r="V259" s="418" t="s">
        <v>232</v>
      </c>
      <c r="W259" s="418" t="str">
        <f t="shared" si="479"/>
        <v>na</v>
      </c>
      <c r="X259" s="418" t="s">
        <v>232</v>
      </c>
      <c r="Y259" s="1884" t="str">
        <f t="shared" si="480"/>
        <v>na</v>
      </c>
      <c r="Z259" s="1884">
        <f t="shared" si="481"/>
        <v>1E-4</v>
      </c>
      <c r="AA259" s="1789" t="s">
        <v>232</v>
      </c>
      <c r="AB259" s="1789" t="s">
        <v>232</v>
      </c>
      <c r="AC259" s="273" t="s">
        <v>232</v>
      </c>
      <c r="AD259" s="273" t="s">
        <v>232</v>
      </c>
      <c r="AE259" s="273" t="s">
        <v>232</v>
      </c>
      <c r="AF259" s="273" t="s">
        <v>232</v>
      </c>
      <c r="AG259" s="273" t="s">
        <v>232</v>
      </c>
      <c r="AH259" s="273" t="s">
        <v>232</v>
      </c>
      <c r="AI259" s="273" t="s">
        <v>232</v>
      </c>
      <c r="AJ259" s="273" t="s">
        <v>232</v>
      </c>
      <c r="AK259" s="273" t="s">
        <v>232</v>
      </c>
      <c r="AL259" s="273" t="s">
        <v>232</v>
      </c>
      <c r="AM259" s="273" t="s">
        <v>232</v>
      </c>
      <c r="AN259" s="273" t="str">
        <f t="shared" si="482"/>
        <v>na</v>
      </c>
      <c r="AO259" s="273" t="str">
        <f t="shared" si="483"/>
        <v>na</v>
      </c>
      <c r="AP259" s="273" t="str">
        <f t="shared" si="484"/>
        <v>na</v>
      </c>
      <c r="AQ259" s="273" t="str">
        <f t="shared" si="485"/>
        <v>na</v>
      </c>
      <c r="AR259" s="1789" t="str">
        <f t="shared" si="486"/>
        <v>na</v>
      </c>
      <c r="AS259" s="1051"/>
      <c r="AU259" s="1332" t="str">
        <f t="shared" si="487"/>
        <v/>
      </c>
      <c r="AV259" s="1114" t="str">
        <f t="shared" si="488"/>
        <v>X</v>
      </c>
      <c r="AW259" s="1114" t="str">
        <f t="shared" si="489"/>
        <v/>
      </c>
      <c r="AX259" s="1114" t="str">
        <f t="shared" si="490"/>
        <v/>
      </c>
      <c r="AY259" s="1113" t="str">
        <f t="shared" si="491"/>
        <v/>
      </c>
      <c r="AZ259" s="1114" t="str">
        <f t="shared" si="492"/>
        <v>X</v>
      </c>
      <c r="BA259" s="1114" t="str">
        <f t="shared" si="493"/>
        <v/>
      </c>
      <c r="BB259" s="1704" t="str">
        <f t="shared" si="494"/>
        <v/>
      </c>
      <c r="BC259" s="1113" t="str">
        <f t="shared" si="495"/>
        <v/>
      </c>
      <c r="BD259" s="1114" t="str">
        <f t="shared" si="496"/>
        <v>X</v>
      </c>
      <c r="BE259" s="1114" t="str">
        <f t="shared" si="497"/>
        <v/>
      </c>
      <c r="BF259" s="1114" t="str">
        <f t="shared" si="498"/>
        <v/>
      </c>
      <c r="BG259" s="1114" t="str">
        <f t="shared" si="499"/>
        <v/>
      </c>
      <c r="BH259" s="1114" t="str">
        <f t="shared" si="500"/>
        <v/>
      </c>
      <c r="BI259" s="1114" t="str">
        <f t="shared" si="501"/>
        <v/>
      </c>
      <c r="BJ259" s="1115" t="str">
        <f t="shared" si="502"/>
        <v/>
      </c>
      <c r="BL259" s="1885"/>
    </row>
    <row r="260" spans="1:64" ht="13.9" customHeight="1" x14ac:dyDescent="0.25">
      <c r="A260" s="1916">
        <f>Chem!A260</f>
        <v>258</v>
      </c>
      <c r="B260" s="1880" t="str">
        <f>Chem!B260</f>
        <v xml:space="preserve">Total DDD </v>
      </c>
      <c r="C260" s="394" t="str">
        <f>Param!AK260</f>
        <v>no</v>
      </c>
      <c r="D260" s="317" t="str">
        <f>IF(ISNUMBER(Param!AN260),Param!AN260,Param!AM260)</f>
        <v>na</v>
      </c>
      <c r="E260" s="273" t="s">
        <v>232</v>
      </c>
      <c r="F260" s="643" t="s">
        <v>232</v>
      </c>
      <c r="G260" s="550" t="s">
        <v>232</v>
      </c>
      <c r="H260" s="550" t="s">
        <v>232</v>
      </c>
      <c r="I260" s="273" t="s">
        <v>232</v>
      </c>
      <c r="J260" s="273" t="s">
        <v>232</v>
      </c>
      <c r="K260" s="219" t="str">
        <f>IF(C260="YES",'SD-Eq'!V260,"na")</f>
        <v>na</v>
      </c>
      <c r="L260" s="273" t="str">
        <f>IF(C260="YES",'SD-Eq'!Z260,"na")</f>
        <v>na</v>
      </c>
      <c r="M260" s="435" t="str">
        <f t="shared" si="475"/>
        <v>na</v>
      </c>
      <c r="N260" s="273" t="str">
        <f t="shared" si="476"/>
        <v>na</v>
      </c>
      <c r="O260" s="300" t="str">
        <f t="shared" si="477"/>
        <v>na</v>
      </c>
      <c r="P260" s="1788" t="str">
        <f t="shared" si="478"/>
        <v>na</v>
      </c>
      <c r="Q260" s="418" t="s">
        <v>232</v>
      </c>
      <c r="R260" s="418" t="s">
        <v>232</v>
      </c>
      <c r="S260" s="418" t="s">
        <v>232</v>
      </c>
      <c r="T260" s="418" t="s">
        <v>232</v>
      </c>
      <c r="U260" s="418" t="s">
        <v>232</v>
      </c>
      <c r="V260" s="418" t="s">
        <v>232</v>
      </c>
      <c r="W260" s="418" t="str">
        <f t="shared" si="479"/>
        <v>na</v>
      </c>
      <c r="X260" s="418" t="s">
        <v>232</v>
      </c>
      <c r="Y260" s="1884" t="str">
        <f t="shared" si="480"/>
        <v>na</v>
      </c>
      <c r="Z260" s="1884" t="str">
        <f t="shared" si="481"/>
        <v>na</v>
      </c>
      <c r="AA260" s="1789" t="s">
        <v>232</v>
      </c>
      <c r="AB260" s="1789" t="s">
        <v>232</v>
      </c>
      <c r="AC260" s="273" t="s">
        <v>232</v>
      </c>
      <c r="AD260" s="273" t="s">
        <v>232</v>
      </c>
      <c r="AE260" s="273" t="s">
        <v>232</v>
      </c>
      <c r="AF260" s="273" t="s">
        <v>232</v>
      </c>
      <c r="AG260" s="273" t="s">
        <v>232</v>
      </c>
      <c r="AH260" s="273" t="s">
        <v>232</v>
      </c>
      <c r="AI260" s="273" t="s">
        <v>232</v>
      </c>
      <c r="AJ260" s="273" t="s">
        <v>232</v>
      </c>
      <c r="AK260" s="273" t="s">
        <v>232</v>
      </c>
      <c r="AL260" s="273" t="s">
        <v>232</v>
      </c>
      <c r="AM260" s="273" t="s">
        <v>232</v>
      </c>
      <c r="AN260" s="273" t="str">
        <f t="shared" si="482"/>
        <v>na</v>
      </c>
      <c r="AO260" s="273" t="str">
        <f t="shared" si="483"/>
        <v>na</v>
      </c>
      <c r="AP260" s="273" t="str">
        <f t="shared" si="484"/>
        <v>na</v>
      </c>
      <c r="AQ260" s="273" t="str">
        <f t="shared" si="485"/>
        <v>na</v>
      </c>
      <c r="AR260" s="1789" t="str">
        <f t="shared" si="486"/>
        <v>na</v>
      </c>
      <c r="AS260" s="1051"/>
      <c r="AU260" s="1332" t="str">
        <f t="shared" si="487"/>
        <v/>
      </c>
      <c r="AV260" s="1114" t="str">
        <f t="shared" si="488"/>
        <v/>
      </c>
      <c r="AW260" s="1114" t="str">
        <f t="shared" si="489"/>
        <v/>
      </c>
      <c r="AX260" s="1114" t="str">
        <f t="shared" si="490"/>
        <v/>
      </c>
      <c r="AY260" s="1113" t="str">
        <f t="shared" si="491"/>
        <v/>
      </c>
      <c r="AZ260" s="1114" t="str">
        <f t="shared" si="492"/>
        <v/>
      </c>
      <c r="BA260" s="1114" t="str">
        <f t="shared" si="493"/>
        <v/>
      </c>
      <c r="BB260" s="1704" t="str">
        <f t="shared" si="494"/>
        <v/>
      </c>
      <c r="BC260" s="1113" t="str">
        <f t="shared" si="495"/>
        <v/>
      </c>
      <c r="BD260" s="1114" t="str">
        <f t="shared" si="496"/>
        <v/>
      </c>
      <c r="BE260" s="1114" t="str">
        <f t="shared" si="497"/>
        <v/>
      </c>
      <c r="BF260" s="1114" t="str">
        <f t="shared" si="498"/>
        <v/>
      </c>
      <c r="BG260" s="1114" t="str">
        <f t="shared" si="499"/>
        <v/>
      </c>
      <c r="BH260" s="1114" t="str">
        <f t="shared" si="500"/>
        <v/>
      </c>
      <c r="BI260" s="1114" t="str">
        <f t="shared" si="501"/>
        <v/>
      </c>
      <c r="BJ260" s="1115" t="str">
        <f t="shared" si="502"/>
        <v/>
      </c>
      <c r="BL260" s="1885"/>
    </row>
    <row r="261" spans="1:64" ht="13.9" customHeight="1" x14ac:dyDescent="0.25">
      <c r="A261" s="1916">
        <f>Chem!A261</f>
        <v>259</v>
      </c>
      <c r="B261" s="1880" t="str">
        <f>Chem!B261</f>
        <v>Total DDE</v>
      </c>
      <c r="C261" s="394" t="str">
        <f>Param!AK261</f>
        <v>no</v>
      </c>
      <c r="D261" s="317" t="str">
        <f>IF(ISNUMBER(Param!AN261),Param!AN261,Param!AM261)</f>
        <v>na</v>
      </c>
      <c r="E261" s="273" t="s">
        <v>232</v>
      </c>
      <c r="F261" s="643" t="s">
        <v>232</v>
      </c>
      <c r="G261" s="550" t="s">
        <v>232</v>
      </c>
      <c r="H261" s="550" t="s">
        <v>232</v>
      </c>
      <c r="I261" s="273" t="s">
        <v>232</v>
      </c>
      <c r="J261" s="273" t="s">
        <v>232</v>
      </c>
      <c r="K261" s="219" t="str">
        <f>IF(C261="YES",'SD-Eq'!V261,"na")</f>
        <v>na</v>
      </c>
      <c r="L261" s="273" t="str">
        <f>IF(C261="YES",'SD-Eq'!Z261,"na")</f>
        <v>na</v>
      </c>
      <c r="M261" s="435" t="str">
        <f t="shared" si="475"/>
        <v>na</v>
      </c>
      <c r="N261" s="273" t="str">
        <f t="shared" si="476"/>
        <v>na</v>
      </c>
      <c r="O261" s="300" t="str">
        <f t="shared" si="477"/>
        <v>na</v>
      </c>
      <c r="P261" s="1788" t="str">
        <f t="shared" si="478"/>
        <v>na</v>
      </c>
      <c r="Q261" s="418" t="s">
        <v>232</v>
      </c>
      <c r="R261" s="418" t="s">
        <v>232</v>
      </c>
      <c r="S261" s="418" t="s">
        <v>232</v>
      </c>
      <c r="T261" s="418" t="s">
        <v>232</v>
      </c>
      <c r="U261" s="418" t="s">
        <v>232</v>
      </c>
      <c r="V261" s="418" t="s">
        <v>232</v>
      </c>
      <c r="W261" s="418" t="str">
        <f t="shared" si="479"/>
        <v>na</v>
      </c>
      <c r="X261" s="418" t="s">
        <v>232</v>
      </c>
      <c r="Y261" s="1884" t="str">
        <f t="shared" si="480"/>
        <v>na</v>
      </c>
      <c r="Z261" s="1884" t="str">
        <f t="shared" si="481"/>
        <v>na</v>
      </c>
      <c r="AA261" s="1789" t="s">
        <v>232</v>
      </c>
      <c r="AB261" s="1789" t="s">
        <v>232</v>
      </c>
      <c r="AC261" s="273" t="s">
        <v>232</v>
      </c>
      <c r="AD261" s="273" t="s">
        <v>232</v>
      </c>
      <c r="AE261" s="273" t="s">
        <v>232</v>
      </c>
      <c r="AF261" s="273" t="s">
        <v>232</v>
      </c>
      <c r="AG261" s="273" t="s">
        <v>232</v>
      </c>
      <c r="AH261" s="273" t="s">
        <v>232</v>
      </c>
      <c r="AI261" s="273" t="s">
        <v>232</v>
      </c>
      <c r="AJ261" s="273" t="s">
        <v>232</v>
      </c>
      <c r="AK261" s="273" t="s">
        <v>232</v>
      </c>
      <c r="AL261" s="273" t="s">
        <v>232</v>
      </c>
      <c r="AM261" s="273" t="s">
        <v>232</v>
      </c>
      <c r="AN261" s="273" t="str">
        <f t="shared" si="482"/>
        <v>na</v>
      </c>
      <c r="AO261" s="273" t="str">
        <f t="shared" si="483"/>
        <v>na</v>
      </c>
      <c r="AP261" s="273" t="str">
        <f t="shared" si="484"/>
        <v>na</v>
      </c>
      <c r="AQ261" s="273" t="str">
        <f t="shared" si="485"/>
        <v>na</v>
      </c>
      <c r="AR261" s="1789" t="str">
        <f t="shared" si="486"/>
        <v>na</v>
      </c>
      <c r="AS261" s="1051"/>
      <c r="AU261" s="1332" t="str">
        <f t="shared" si="487"/>
        <v/>
      </c>
      <c r="AV261" s="1114" t="str">
        <f t="shared" si="488"/>
        <v/>
      </c>
      <c r="AW261" s="1114" t="str">
        <f t="shared" si="489"/>
        <v/>
      </c>
      <c r="AX261" s="1114" t="str">
        <f t="shared" si="490"/>
        <v/>
      </c>
      <c r="AY261" s="1113" t="str">
        <f t="shared" si="491"/>
        <v/>
      </c>
      <c r="AZ261" s="1114" t="str">
        <f t="shared" si="492"/>
        <v/>
      </c>
      <c r="BA261" s="1114" t="str">
        <f t="shared" si="493"/>
        <v/>
      </c>
      <c r="BB261" s="1704" t="str">
        <f t="shared" si="494"/>
        <v/>
      </c>
      <c r="BC261" s="1113" t="str">
        <f t="shared" si="495"/>
        <v/>
      </c>
      <c r="BD261" s="1114" t="str">
        <f t="shared" si="496"/>
        <v/>
      </c>
      <c r="BE261" s="1114" t="str">
        <f t="shared" si="497"/>
        <v/>
      </c>
      <c r="BF261" s="1114" t="str">
        <f t="shared" si="498"/>
        <v/>
      </c>
      <c r="BG261" s="1114" t="str">
        <f t="shared" si="499"/>
        <v/>
      </c>
      <c r="BH261" s="1114" t="str">
        <f t="shared" si="500"/>
        <v/>
      </c>
      <c r="BI261" s="1114" t="str">
        <f t="shared" si="501"/>
        <v/>
      </c>
      <c r="BJ261" s="1115" t="str">
        <f t="shared" si="502"/>
        <v/>
      </c>
      <c r="BL261" s="1885"/>
    </row>
    <row r="262" spans="1:64" ht="13.9" customHeight="1" x14ac:dyDescent="0.25">
      <c r="A262" s="1916">
        <f>Chem!A262</f>
        <v>260</v>
      </c>
      <c r="B262" s="1880" t="str">
        <f>Chem!B262</f>
        <v>Total DDT</v>
      </c>
      <c r="C262" s="394" t="str">
        <f>Param!AK262</f>
        <v>YES</v>
      </c>
      <c r="D262" s="317" t="str">
        <f>IF(ISNUMBER(Param!AN262),Param!AN262,Param!AM262)</f>
        <v>na</v>
      </c>
      <c r="E262" s="273" t="s">
        <v>232</v>
      </c>
      <c r="F262" s="643" t="s">
        <v>232</v>
      </c>
      <c r="G262" s="550" t="s">
        <v>232</v>
      </c>
      <c r="H262" s="550" t="s">
        <v>232</v>
      </c>
      <c r="I262" s="273" t="s">
        <v>232</v>
      </c>
      <c r="J262" s="273" t="s">
        <v>232</v>
      </c>
      <c r="K262" s="219">
        <f>IF(C262="YES",'SD-Eq'!V262,"na")</f>
        <v>6.2945206043185031</v>
      </c>
      <c r="L262" s="273">
        <f>IF(C262="YES",'SD-Eq'!Z262,"na")</f>
        <v>62.945206043185038</v>
      </c>
      <c r="M262" s="435" t="str">
        <f t="shared" si="475"/>
        <v>PQL</v>
      </c>
      <c r="N262" s="273" t="str">
        <f t="shared" si="476"/>
        <v>PQL</v>
      </c>
      <c r="O262" s="300">
        <f t="shared" si="477"/>
        <v>6.2945206043185031</v>
      </c>
      <c r="P262" s="1788">
        <f t="shared" si="478"/>
        <v>62.945206043185038</v>
      </c>
      <c r="Q262" s="418" t="s">
        <v>232</v>
      </c>
      <c r="R262" s="418" t="s">
        <v>232</v>
      </c>
      <c r="S262" s="418" t="s">
        <v>232</v>
      </c>
      <c r="T262" s="418" t="s">
        <v>232</v>
      </c>
      <c r="U262" s="418" t="s">
        <v>232</v>
      </c>
      <c r="V262" s="418" t="s">
        <v>232</v>
      </c>
      <c r="W262" s="418" t="str">
        <f t="shared" si="479"/>
        <v>na</v>
      </c>
      <c r="X262" s="418" t="s">
        <v>232</v>
      </c>
      <c r="Y262" s="1884" t="str">
        <f t="shared" si="480"/>
        <v>na</v>
      </c>
      <c r="Z262" s="1884">
        <f t="shared" si="481"/>
        <v>6.2945206043185031</v>
      </c>
      <c r="AA262" s="1789" t="s">
        <v>232</v>
      </c>
      <c r="AB262" s="1789" t="s">
        <v>232</v>
      </c>
      <c r="AC262" s="273" t="s">
        <v>232</v>
      </c>
      <c r="AD262" s="273" t="s">
        <v>232</v>
      </c>
      <c r="AE262" s="273" t="s">
        <v>232</v>
      </c>
      <c r="AF262" s="273" t="s">
        <v>232</v>
      </c>
      <c r="AG262" s="273" t="s">
        <v>232</v>
      </c>
      <c r="AH262" s="273" t="s">
        <v>232</v>
      </c>
      <c r="AI262" s="273" t="s">
        <v>232</v>
      </c>
      <c r="AJ262" s="273" t="s">
        <v>232</v>
      </c>
      <c r="AK262" s="273" t="s">
        <v>232</v>
      </c>
      <c r="AL262" s="273" t="s">
        <v>232</v>
      </c>
      <c r="AM262" s="273" t="s">
        <v>232</v>
      </c>
      <c r="AN262" s="273" t="str">
        <f t="shared" si="482"/>
        <v>na</v>
      </c>
      <c r="AO262" s="273" t="str">
        <f t="shared" si="483"/>
        <v>na</v>
      </c>
      <c r="AP262" s="273" t="str">
        <f t="shared" si="484"/>
        <v>na</v>
      </c>
      <c r="AQ262" s="273" t="str">
        <f t="shared" si="485"/>
        <v>na</v>
      </c>
      <c r="AR262" s="1789" t="str">
        <f t="shared" si="486"/>
        <v>na</v>
      </c>
      <c r="AS262" s="1051"/>
      <c r="AU262" s="1332" t="str">
        <f t="shared" si="487"/>
        <v/>
      </c>
      <c r="AV262" s="1114" t="str">
        <f t="shared" si="488"/>
        <v/>
      </c>
      <c r="AW262" s="1114" t="str">
        <f t="shared" si="489"/>
        <v/>
      </c>
      <c r="AX262" s="1114" t="str">
        <f t="shared" si="490"/>
        <v>X</v>
      </c>
      <c r="AY262" s="1113" t="str">
        <f t="shared" si="491"/>
        <v/>
      </c>
      <c r="AZ262" s="1114" t="str">
        <f t="shared" si="492"/>
        <v/>
      </c>
      <c r="BA262" s="1114" t="str">
        <f t="shared" si="493"/>
        <v/>
      </c>
      <c r="BB262" s="1704" t="str">
        <f t="shared" si="494"/>
        <v>X</v>
      </c>
      <c r="BC262" s="1113" t="str">
        <f t="shared" si="495"/>
        <v/>
      </c>
      <c r="BD262" s="1114" t="str">
        <f t="shared" si="496"/>
        <v/>
      </c>
      <c r="BE262" s="1114" t="str">
        <f t="shared" si="497"/>
        <v/>
      </c>
      <c r="BF262" s="1114" t="str">
        <f t="shared" si="498"/>
        <v>X</v>
      </c>
      <c r="BG262" s="1114" t="str">
        <f t="shared" si="499"/>
        <v/>
      </c>
      <c r="BH262" s="1114" t="str">
        <f t="shared" si="500"/>
        <v/>
      </c>
      <c r="BI262" s="1114" t="str">
        <f t="shared" si="501"/>
        <v/>
      </c>
      <c r="BJ262" s="1115" t="str">
        <f t="shared" si="502"/>
        <v/>
      </c>
      <c r="BL262" s="1885"/>
    </row>
    <row r="263" spans="1:64" ht="13.9" customHeight="1" x14ac:dyDescent="0.25">
      <c r="A263" s="1916">
        <f>Chem!A263</f>
        <v>261</v>
      </c>
      <c r="B263" s="1880" t="str">
        <f>Chem!B263</f>
        <v>Diazinon</v>
      </c>
      <c r="C263" s="384" t="str">
        <f>Param!AK263</f>
        <v>no</v>
      </c>
      <c r="D263" s="317" t="str">
        <f>IF(ISNUMBER(Param!AN263),Param!AN263,Param!AM263)</f>
        <v>na</v>
      </c>
      <c r="E263" s="273" t="s">
        <v>232</v>
      </c>
      <c r="F263" s="643" t="s">
        <v>232</v>
      </c>
      <c r="G263" s="550" t="s">
        <v>232</v>
      </c>
      <c r="H263" s="550" t="s">
        <v>232</v>
      </c>
      <c r="I263" s="273" t="s">
        <v>232</v>
      </c>
      <c r="J263" s="273" t="s">
        <v>232</v>
      </c>
      <c r="K263" s="219" t="str">
        <f>IF(C263="YES",'SD-Eq'!V263,"na")</f>
        <v>na</v>
      </c>
      <c r="L263" s="273" t="str">
        <f>IF(C263="YES",'SD-Eq'!Z263,"na")</f>
        <v>na</v>
      </c>
      <c r="M263" s="435" t="str">
        <f t="shared" si="475"/>
        <v>na</v>
      </c>
      <c r="N263" s="273" t="str">
        <f t="shared" si="476"/>
        <v>na</v>
      </c>
      <c r="O263" s="300" t="str">
        <f t="shared" si="477"/>
        <v>na</v>
      </c>
      <c r="P263" s="1788" t="str">
        <f t="shared" si="478"/>
        <v>na</v>
      </c>
      <c r="Q263" s="418" t="s">
        <v>232</v>
      </c>
      <c r="R263" s="418" t="s">
        <v>232</v>
      </c>
      <c r="S263" s="418" t="s">
        <v>232</v>
      </c>
      <c r="T263" s="418" t="s">
        <v>232</v>
      </c>
      <c r="U263" s="418" t="s">
        <v>232</v>
      </c>
      <c r="V263" s="418" t="s">
        <v>232</v>
      </c>
      <c r="W263" s="418" t="str">
        <f t="shared" si="479"/>
        <v>na</v>
      </c>
      <c r="X263" s="418" t="s">
        <v>232</v>
      </c>
      <c r="Y263" s="1884" t="str">
        <f t="shared" si="480"/>
        <v>na</v>
      </c>
      <c r="Z263" s="1884" t="str">
        <f t="shared" si="481"/>
        <v>na</v>
      </c>
      <c r="AA263" s="1789" t="s">
        <v>232</v>
      </c>
      <c r="AB263" s="1789" t="s">
        <v>232</v>
      </c>
      <c r="AC263" s="273" t="s">
        <v>232</v>
      </c>
      <c r="AD263" s="273" t="s">
        <v>232</v>
      </c>
      <c r="AE263" s="273" t="s">
        <v>232</v>
      </c>
      <c r="AF263" s="273" t="s">
        <v>232</v>
      </c>
      <c r="AG263" s="273" t="s">
        <v>232</v>
      </c>
      <c r="AH263" s="273" t="s">
        <v>232</v>
      </c>
      <c r="AI263" s="273" t="s">
        <v>232</v>
      </c>
      <c r="AJ263" s="273" t="s">
        <v>232</v>
      </c>
      <c r="AK263" s="273" t="s">
        <v>232</v>
      </c>
      <c r="AL263" s="273" t="s">
        <v>232</v>
      </c>
      <c r="AM263" s="273" t="s">
        <v>232</v>
      </c>
      <c r="AN263" s="273" t="str">
        <f t="shared" si="482"/>
        <v>na</v>
      </c>
      <c r="AO263" s="273" t="str">
        <f t="shared" si="483"/>
        <v>na</v>
      </c>
      <c r="AP263" s="273" t="str">
        <f t="shared" si="484"/>
        <v>na</v>
      </c>
      <c r="AQ263" s="273" t="str">
        <f t="shared" si="485"/>
        <v>na</v>
      </c>
      <c r="AR263" s="1789" t="str">
        <f t="shared" si="486"/>
        <v>na</v>
      </c>
      <c r="AS263" s="1051"/>
      <c r="AU263" s="1332" t="str">
        <f t="shared" si="487"/>
        <v/>
      </c>
      <c r="AV263" s="1114" t="str">
        <f t="shared" si="488"/>
        <v/>
      </c>
      <c r="AW263" s="1114" t="str">
        <f t="shared" si="489"/>
        <v/>
      </c>
      <c r="AX263" s="1114" t="str">
        <f t="shared" si="490"/>
        <v/>
      </c>
      <c r="AY263" s="1113" t="str">
        <f t="shared" si="491"/>
        <v/>
      </c>
      <c r="AZ263" s="1114" t="str">
        <f t="shared" si="492"/>
        <v/>
      </c>
      <c r="BA263" s="1114" t="str">
        <f t="shared" si="493"/>
        <v/>
      </c>
      <c r="BB263" s="1704" t="str">
        <f t="shared" si="494"/>
        <v/>
      </c>
      <c r="BC263" s="1113" t="str">
        <f t="shared" si="495"/>
        <v/>
      </c>
      <c r="BD263" s="1114" t="str">
        <f t="shared" si="496"/>
        <v/>
      </c>
      <c r="BE263" s="1114" t="str">
        <f t="shared" si="497"/>
        <v/>
      </c>
      <c r="BF263" s="1114" t="str">
        <f t="shared" si="498"/>
        <v/>
      </c>
      <c r="BG263" s="1114" t="str">
        <f t="shared" si="499"/>
        <v/>
      </c>
      <c r="BH263" s="1114" t="str">
        <f t="shared" si="500"/>
        <v/>
      </c>
      <c r="BI263" s="1114" t="str">
        <f t="shared" si="501"/>
        <v/>
      </c>
      <c r="BJ263" s="1115" t="str">
        <f t="shared" si="502"/>
        <v/>
      </c>
      <c r="BL263" s="1885"/>
    </row>
    <row r="264" spans="1:64" ht="13.9" customHeight="1" x14ac:dyDescent="0.25">
      <c r="A264" s="1916">
        <f>Chem!A264</f>
        <v>262</v>
      </c>
      <c r="B264" s="1880" t="str">
        <f>Chem!B264</f>
        <v>Dieldrin</v>
      </c>
      <c r="C264" s="394" t="str">
        <f>Param!AK264</f>
        <v>YES</v>
      </c>
      <c r="D264" s="317" t="str">
        <f>IF(ISNUMBER(Param!AN264),Param!AN264,Param!AM264)</f>
        <v>na</v>
      </c>
      <c r="E264" s="273" t="s">
        <v>232</v>
      </c>
      <c r="F264" s="643">
        <v>1E-4</v>
      </c>
      <c r="G264" s="550" t="s">
        <v>232</v>
      </c>
      <c r="H264" s="550" t="s">
        <v>232</v>
      </c>
      <c r="I264" s="273" t="s">
        <v>232</v>
      </c>
      <c r="J264" s="273" t="s">
        <v>232</v>
      </c>
      <c r="K264" s="219">
        <f>IF(C264="YES",'SD-Eq'!V264,"na")</f>
        <v>8.2532910333163498E-2</v>
      </c>
      <c r="L264" s="273">
        <f>IF(C264="YES",'SD-Eq'!Z264,"na")</f>
        <v>0.82532910333163501</v>
      </c>
      <c r="M264" s="435">
        <f t="shared" si="475"/>
        <v>1E-4</v>
      </c>
      <c r="N264" s="273">
        <f t="shared" si="476"/>
        <v>1E-4</v>
      </c>
      <c r="O264" s="1794">
        <f t="shared" si="477"/>
        <v>1E-4</v>
      </c>
      <c r="P264" s="1789">
        <f t="shared" si="478"/>
        <v>1E-4</v>
      </c>
      <c r="Q264" s="418" t="s">
        <v>232</v>
      </c>
      <c r="R264" s="418" t="s">
        <v>232</v>
      </c>
      <c r="S264" s="418" t="s">
        <v>232</v>
      </c>
      <c r="T264" s="418" t="s">
        <v>232</v>
      </c>
      <c r="U264" s="418" t="s">
        <v>232</v>
      </c>
      <c r="V264" s="418" t="s">
        <v>232</v>
      </c>
      <c r="W264" s="418" t="str">
        <f t="shared" si="479"/>
        <v>na</v>
      </c>
      <c r="X264" s="418" t="s">
        <v>232</v>
      </c>
      <c r="Y264" s="1884" t="str">
        <f t="shared" si="480"/>
        <v>na</v>
      </c>
      <c r="Z264" s="1884">
        <f t="shared" si="481"/>
        <v>1E-4</v>
      </c>
      <c r="AA264" s="1789" t="s">
        <v>232</v>
      </c>
      <c r="AB264" s="1789" t="s">
        <v>232</v>
      </c>
      <c r="AC264" s="273" t="s">
        <v>232</v>
      </c>
      <c r="AD264" s="273" t="s">
        <v>232</v>
      </c>
      <c r="AE264" s="273" t="s">
        <v>232</v>
      </c>
      <c r="AF264" s="273" t="s">
        <v>232</v>
      </c>
      <c r="AG264" s="273" t="s">
        <v>232</v>
      </c>
      <c r="AH264" s="273" t="s">
        <v>232</v>
      </c>
      <c r="AI264" s="273" t="s">
        <v>232</v>
      </c>
      <c r="AJ264" s="273" t="s">
        <v>232</v>
      </c>
      <c r="AK264" s="273" t="s">
        <v>232</v>
      </c>
      <c r="AL264" s="273" t="s">
        <v>232</v>
      </c>
      <c r="AM264" s="273" t="s">
        <v>232</v>
      </c>
      <c r="AN264" s="273" t="str">
        <f t="shared" si="482"/>
        <v>na</v>
      </c>
      <c r="AO264" s="273" t="str">
        <f t="shared" si="483"/>
        <v>na</v>
      </c>
      <c r="AP264" s="273" t="str">
        <f t="shared" si="484"/>
        <v>na</v>
      </c>
      <c r="AQ264" s="273" t="str">
        <f t="shared" si="485"/>
        <v>na</v>
      </c>
      <c r="AR264" s="1789" t="str">
        <f t="shared" si="486"/>
        <v>na</v>
      </c>
      <c r="AS264" s="1051"/>
      <c r="AU264" s="1332" t="str">
        <f t="shared" si="487"/>
        <v/>
      </c>
      <c r="AV264" s="1114" t="str">
        <f t="shared" si="488"/>
        <v>X</v>
      </c>
      <c r="AW264" s="1114" t="str">
        <f t="shared" si="489"/>
        <v/>
      </c>
      <c r="AX264" s="1114" t="str">
        <f t="shared" si="490"/>
        <v/>
      </c>
      <c r="AY264" s="1113" t="str">
        <f t="shared" si="491"/>
        <v/>
      </c>
      <c r="AZ264" s="1114" t="str">
        <f t="shared" si="492"/>
        <v>X</v>
      </c>
      <c r="BA264" s="1114" t="str">
        <f t="shared" si="493"/>
        <v/>
      </c>
      <c r="BB264" s="1704" t="str">
        <f t="shared" si="494"/>
        <v/>
      </c>
      <c r="BC264" s="1113" t="str">
        <f t="shared" si="495"/>
        <v/>
      </c>
      <c r="BD264" s="1114" t="str">
        <f t="shared" si="496"/>
        <v>X</v>
      </c>
      <c r="BE264" s="1114" t="str">
        <f t="shared" si="497"/>
        <v/>
      </c>
      <c r="BF264" s="1114" t="str">
        <f t="shared" si="498"/>
        <v/>
      </c>
      <c r="BG264" s="1114" t="str">
        <f t="shared" si="499"/>
        <v/>
      </c>
      <c r="BH264" s="1114" t="str">
        <f t="shared" si="500"/>
        <v/>
      </c>
      <c r="BI264" s="1114" t="str">
        <f t="shared" si="501"/>
        <v/>
      </c>
      <c r="BJ264" s="1115" t="str">
        <f t="shared" si="502"/>
        <v/>
      </c>
      <c r="BL264" s="1885"/>
    </row>
    <row r="265" spans="1:64" ht="13.9" customHeight="1" x14ac:dyDescent="0.25">
      <c r="A265" s="1916">
        <f>Chem!A265</f>
        <v>263</v>
      </c>
      <c r="B265" s="1880" t="str">
        <f>Chem!B265</f>
        <v>alpha-Endosulfan</v>
      </c>
      <c r="C265" s="394" t="str">
        <f>Param!AK265</f>
        <v>no</v>
      </c>
      <c r="D265" s="317" t="str">
        <f>IF(ISNUMBER(Param!AN265),Param!AN265,Param!AM265)</f>
        <v>na</v>
      </c>
      <c r="E265" s="273" t="s">
        <v>232</v>
      </c>
      <c r="F265" s="643" t="s">
        <v>232</v>
      </c>
      <c r="G265" s="550" t="s">
        <v>232</v>
      </c>
      <c r="H265" s="550" t="s">
        <v>232</v>
      </c>
      <c r="I265" s="273" t="s">
        <v>232</v>
      </c>
      <c r="J265" s="273" t="s">
        <v>232</v>
      </c>
      <c r="K265" s="219" t="str">
        <f>IF(C265="YES",'SD-Eq'!V265,"na")</f>
        <v>na</v>
      </c>
      <c r="L265" s="273" t="str">
        <f>IF(C265="YES",'SD-Eq'!Z265,"na")</f>
        <v>na</v>
      </c>
      <c r="M265" s="435" t="str">
        <f t="shared" si="475"/>
        <v>na</v>
      </c>
      <c r="N265" s="273" t="str">
        <f t="shared" si="476"/>
        <v>na</v>
      </c>
      <c r="O265" s="1794" t="str">
        <f t="shared" ref="O265:O269" si="503">IF(OR(ISNUMBER(H265),ISNUMBER(K265),ISNUMBER(M265)),MIN(H265,K265,M265),"na")</f>
        <v>na</v>
      </c>
      <c r="P265" s="1789" t="str">
        <f t="shared" ref="P265:P269" si="504">IF(OR(ISNUMBER(J265),ISNUMBER(L265),ISNUMBER(N265)),MIN(J265,L265,N265),"na")</f>
        <v>na</v>
      </c>
      <c r="Q265" s="418" t="s">
        <v>232</v>
      </c>
      <c r="R265" s="418" t="s">
        <v>232</v>
      </c>
      <c r="S265" s="418" t="s">
        <v>232</v>
      </c>
      <c r="T265" s="418" t="s">
        <v>232</v>
      </c>
      <c r="U265" s="418" t="s">
        <v>232</v>
      </c>
      <c r="V265" s="418" t="s">
        <v>232</v>
      </c>
      <c r="W265" s="418" t="str">
        <f t="shared" ref="W265:W269" si="505">IF(ISNUMBER(V265),H265,"na")</f>
        <v>na</v>
      </c>
      <c r="X265" s="418" t="s">
        <v>232</v>
      </c>
      <c r="Y265" s="1884" t="str">
        <f t="shared" ref="Y265:Y269" si="506">IF(OR(ISNUMBER(Q265),ISNUMBER(R265),ISNUMBER(S265),ISNUMBER(T265),ISNUMBER(X265)),MIN(Q265:T265,X265),"na")</f>
        <v>na</v>
      </c>
      <c r="Z265" s="1884" t="str">
        <f t="shared" ref="Z265:Z269" si="507">IF(OR(ISNUMBER(U265),ISNUMBER(W265),ISNUMBER(Y265)),MIN(U265,W265,Y265),O265)</f>
        <v>na</v>
      </c>
      <c r="AA265" s="1789" t="s">
        <v>232</v>
      </c>
      <c r="AB265" s="1789" t="s">
        <v>232</v>
      </c>
      <c r="AC265" s="273" t="s">
        <v>232</v>
      </c>
      <c r="AD265" s="273" t="s">
        <v>232</v>
      </c>
      <c r="AE265" s="273" t="s">
        <v>232</v>
      </c>
      <c r="AF265" s="273" t="s">
        <v>232</v>
      </c>
      <c r="AG265" s="273" t="s">
        <v>232</v>
      </c>
      <c r="AH265" s="273" t="s">
        <v>232</v>
      </c>
      <c r="AI265" s="273" t="s">
        <v>232</v>
      </c>
      <c r="AJ265" s="273" t="s">
        <v>232</v>
      </c>
      <c r="AK265" s="273" t="s">
        <v>232</v>
      </c>
      <c r="AL265" s="273" t="s">
        <v>232</v>
      </c>
      <c r="AM265" s="273" t="s">
        <v>232</v>
      </c>
      <c r="AN265" s="273" t="str">
        <f t="shared" ref="AN265:AN269" si="508">IF(MIN(AA265,AB265)=0,"na",MIN(AA265,AB265))</f>
        <v>na</v>
      </c>
      <c r="AO265" s="273" t="str">
        <f t="shared" ref="AO265:AO269" si="509">IF(MIN(AC265:AF265)=0,"na",MIN(AC265:AF265))</f>
        <v>na</v>
      </c>
      <c r="AP265" s="273" t="str">
        <f t="shared" ref="AP265:AP269" si="510">IF(MIN(AG265,AH265)=0,"na",MIN(AG265,AH265))</f>
        <v>na</v>
      </c>
      <c r="AQ265" s="273" t="str">
        <f t="shared" ref="AQ265:AQ269" si="511">IF(MIN(AI265:AL265)=0,"na",MIN(AI265:AL265))</f>
        <v>na</v>
      </c>
      <c r="AR265" s="1789" t="str">
        <f t="shared" ref="AR265:AR269" si="512">IF(MIN(AA265:AM265)=0,"na",MIN(AA265:AM265))</f>
        <v>na</v>
      </c>
      <c r="AS265" s="1051"/>
      <c r="AU265" s="1332" t="str">
        <f t="shared" ref="AU265:AU269" si="513">IF($O265="na","",IF($O265=D265,"X",""))</f>
        <v/>
      </c>
      <c r="AV265" s="1114" t="str">
        <f t="shared" ref="AV265:AV269" si="514">IF(OR($O265="PQL",AND(ISNUMBER($F265),$O265=F265)),"X","")</f>
        <v/>
      </c>
      <c r="AW265" s="1114" t="str">
        <f t="shared" ref="AW265:AW269" si="515">IF($O265="na","",IF($O265=H265,"X",""))</f>
        <v/>
      </c>
      <c r="AX265" s="1114" t="str">
        <f t="shared" si="490"/>
        <v/>
      </c>
      <c r="AY265" s="1113" t="str">
        <f t="shared" ref="AY265:AY269" si="516">IF($P265="na","",IF($P265=E265,"X",""))</f>
        <v/>
      </c>
      <c r="AZ265" s="1114" t="str">
        <f t="shared" ref="AZ265:AZ269" si="517">IF(OR($P265="PQL",AND(ISNUMBER($F265),$P265=F265)),"X","")</f>
        <v/>
      </c>
      <c r="BA265" s="1114" t="str">
        <f t="shared" ref="BA265:BA269" si="518">IF($P265="na","",IF($P265=J265,"X",""))</f>
        <v/>
      </c>
      <c r="BB265" s="1704" t="str">
        <f t="shared" si="494"/>
        <v/>
      </c>
      <c r="BC265" s="1113" t="str">
        <f t="shared" ref="BC265:BC269" si="519">IF($Z265="na","",IF($Z265=D265,"X",""))</f>
        <v/>
      </c>
      <c r="BD265" s="1114" t="str">
        <f t="shared" ref="BD265:BD269" si="520">IF($Z265="na","",IF($Z265=F265,"X",""))</f>
        <v/>
      </c>
      <c r="BE265" s="1114" t="str">
        <f t="shared" ref="BE265:BE269" si="521">IF($Z265="na","",IF($Z265=H265,"X",""))</f>
        <v/>
      </c>
      <c r="BF265" s="1114" t="str">
        <f t="shared" ref="BF265:BF269" si="522">IF($Z265="na","",IF($Z265=K265,"X",""))</f>
        <v/>
      </c>
      <c r="BG265" s="1114" t="str">
        <f t="shared" ref="BG265:BG269" si="523">IF($Z265="na","",IF($Z265=Q265,"X",""))</f>
        <v/>
      </c>
      <c r="BH265" s="1114" t="str">
        <f t="shared" ref="BH265:BH269" si="524">IF($Z265="na","",IF(OR($Z265=R265,$Z265=S265,$Z265=T265),"X",""))</f>
        <v/>
      </c>
      <c r="BI265" s="1114" t="str">
        <f t="shared" ref="BI265:BI269" si="525">IF($Z265="na","",IF(OR($Z265=U265,$Z265=W265),"X",""))</f>
        <v/>
      </c>
      <c r="BJ265" s="1115" t="str">
        <f t="shared" ref="BJ265:BJ269" si="526">IF($Z265="na","",IF($Z265=X265,"X",""))</f>
        <v/>
      </c>
      <c r="BL265" s="1885"/>
    </row>
    <row r="266" spans="1:64" ht="13.9" customHeight="1" x14ac:dyDescent="0.25">
      <c r="A266" s="1916">
        <f>Chem!A266</f>
        <v>264</v>
      </c>
      <c r="B266" s="1880" t="str">
        <f>Chem!B266</f>
        <v>beta-Endosulfan</v>
      </c>
      <c r="C266" s="394" t="str">
        <f>Param!AK266</f>
        <v>no</v>
      </c>
      <c r="D266" s="317" t="str">
        <f>IF(ISNUMBER(Param!AN266),Param!AN266,Param!AM266)</f>
        <v>na</v>
      </c>
      <c r="E266" s="273" t="s">
        <v>232</v>
      </c>
      <c r="F266" s="643" t="s">
        <v>232</v>
      </c>
      <c r="G266" s="550" t="s">
        <v>232</v>
      </c>
      <c r="H266" s="550" t="s">
        <v>232</v>
      </c>
      <c r="I266" s="273" t="s">
        <v>232</v>
      </c>
      <c r="J266" s="273" t="s">
        <v>232</v>
      </c>
      <c r="K266" s="219" t="str">
        <f>IF(C266="YES",'SD-Eq'!V266,"na")</f>
        <v>na</v>
      </c>
      <c r="L266" s="273" t="str">
        <f>IF(C266="YES",'SD-Eq'!Z266,"na")</f>
        <v>na</v>
      </c>
      <c r="M266" s="435" t="str">
        <f t="shared" si="475"/>
        <v>na</v>
      </c>
      <c r="N266" s="273" t="str">
        <f t="shared" si="476"/>
        <v>na</v>
      </c>
      <c r="O266" s="1794" t="str">
        <f t="shared" si="503"/>
        <v>na</v>
      </c>
      <c r="P266" s="1789" t="str">
        <f t="shared" si="504"/>
        <v>na</v>
      </c>
      <c r="Q266" s="418" t="s">
        <v>232</v>
      </c>
      <c r="R266" s="418" t="s">
        <v>232</v>
      </c>
      <c r="S266" s="418" t="s">
        <v>232</v>
      </c>
      <c r="T266" s="418" t="s">
        <v>232</v>
      </c>
      <c r="U266" s="418" t="s">
        <v>232</v>
      </c>
      <c r="V266" s="418" t="s">
        <v>232</v>
      </c>
      <c r="W266" s="418" t="str">
        <f t="shared" si="505"/>
        <v>na</v>
      </c>
      <c r="X266" s="418" t="s">
        <v>232</v>
      </c>
      <c r="Y266" s="1884" t="str">
        <f t="shared" si="506"/>
        <v>na</v>
      </c>
      <c r="Z266" s="1884" t="str">
        <f t="shared" si="507"/>
        <v>na</v>
      </c>
      <c r="AA266" s="1789" t="s">
        <v>232</v>
      </c>
      <c r="AB266" s="1789" t="s">
        <v>232</v>
      </c>
      <c r="AC266" s="273" t="s">
        <v>232</v>
      </c>
      <c r="AD266" s="273" t="s">
        <v>232</v>
      </c>
      <c r="AE266" s="273" t="s">
        <v>232</v>
      </c>
      <c r="AF266" s="273" t="s">
        <v>232</v>
      </c>
      <c r="AG266" s="273" t="s">
        <v>232</v>
      </c>
      <c r="AH266" s="273" t="s">
        <v>232</v>
      </c>
      <c r="AI266" s="273" t="s">
        <v>232</v>
      </c>
      <c r="AJ266" s="273" t="s">
        <v>232</v>
      </c>
      <c r="AK266" s="273" t="s">
        <v>232</v>
      </c>
      <c r="AL266" s="273" t="s">
        <v>232</v>
      </c>
      <c r="AM266" s="273" t="s">
        <v>232</v>
      </c>
      <c r="AN266" s="273" t="str">
        <f t="shared" si="508"/>
        <v>na</v>
      </c>
      <c r="AO266" s="273" t="str">
        <f t="shared" si="509"/>
        <v>na</v>
      </c>
      <c r="AP266" s="273" t="str">
        <f t="shared" si="510"/>
        <v>na</v>
      </c>
      <c r="AQ266" s="273" t="str">
        <f t="shared" si="511"/>
        <v>na</v>
      </c>
      <c r="AR266" s="1789" t="str">
        <f t="shared" si="512"/>
        <v>na</v>
      </c>
      <c r="AS266" s="1051"/>
      <c r="AU266" s="1332" t="str">
        <f t="shared" si="513"/>
        <v/>
      </c>
      <c r="AV266" s="1114" t="str">
        <f t="shared" si="514"/>
        <v/>
      </c>
      <c r="AW266" s="1114" t="str">
        <f t="shared" si="515"/>
        <v/>
      </c>
      <c r="AX266" s="1114" t="str">
        <f t="shared" si="490"/>
        <v/>
      </c>
      <c r="AY266" s="1113" t="str">
        <f t="shared" si="516"/>
        <v/>
      </c>
      <c r="AZ266" s="1114" t="str">
        <f t="shared" si="517"/>
        <v/>
      </c>
      <c r="BA266" s="1114" t="str">
        <f t="shared" si="518"/>
        <v/>
      </c>
      <c r="BB266" s="1704" t="str">
        <f t="shared" si="494"/>
        <v/>
      </c>
      <c r="BC266" s="1113" t="str">
        <f t="shared" si="519"/>
        <v/>
      </c>
      <c r="BD266" s="1114" t="str">
        <f t="shared" si="520"/>
        <v/>
      </c>
      <c r="BE266" s="1114" t="str">
        <f t="shared" si="521"/>
        <v/>
      </c>
      <c r="BF266" s="1114" t="str">
        <f t="shared" si="522"/>
        <v/>
      </c>
      <c r="BG266" s="1114" t="str">
        <f t="shared" si="523"/>
        <v/>
      </c>
      <c r="BH266" s="1114" t="str">
        <f t="shared" si="524"/>
        <v/>
      </c>
      <c r="BI266" s="1114" t="str">
        <f t="shared" si="525"/>
        <v/>
      </c>
      <c r="BJ266" s="1115" t="str">
        <f t="shared" si="526"/>
        <v/>
      </c>
      <c r="BL266" s="1885"/>
    </row>
    <row r="267" spans="1:64" ht="13.9" customHeight="1" x14ac:dyDescent="0.25">
      <c r="A267" s="1916">
        <f>Chem!A267</f>
        <v>265</v>
      </c>
      <c r="B267" s="1880" t="str">
        <f>Chem!B267</f>
        <v>Sum of alpha and beta endosuflan</v>
      </c>
      <c r="C267" s="394" t="str">
        <f>Param!AK267</f>
        <v>no</v>
      </c>
      <c r="D267" s="317" t="str">
        <f>IF(ISNUMBER(Param!AN267),Param!AN267,Param!AM267)</f>
        <v>na</v>
      </c>
      <c r="E267" s="273" t="s">
        <v>232</v>
      </c>
      <c r="F267" s="643" t="s">
        <v>232</v>
      </c>
      <c r="G267" s="550" t="s">
        <v>232</v>
      </c>
      <c r="H267" s="550" t="s">
        <v>232</v>
      </c>
      <c r="I267" s="273" t="s">
        <v>232</v>
      </c>
      <c r="J267" s="273" t="s">
        <v>232</v>
      </c>
      <c r="K267" s="219" t="str">
        <f>IF(C267="YES",'SD-Eq'!V267,"na")</f>
        <v>na</v>
      </c>
      <c r="L267" s="273" t="str">
        <f>IF(C267="YES",'SD-Eq'!Z267,"na")</f>
        <v>na</v>
      </c>
      <c r="M267" s="435" t="str">
        <f t="shared" si="475"/>
        <v>na</v>
      </c>
      <c r="N267" s="273" t="str">
        <f t="shared" si="476"/>
        <v>na</v>
      </c>
      <c r="O267" s="1794" t="str">
        <f t="shared" si="503"/>
        <v>na</v>
      </c>
      <c r="P267" s="1789" t="str">
        <f t="shared" si="504"/>
        <v>na</v>
      </c>
      <c r="Q267" s="418" t="s">
        <v>232</v>
      </c>
      <c r="R267" s="418" t="s">
        <v>232</v>
      </c>
      <c r="S267" s="418" t="s">
        <v>232</v>
      </c>
      <c r="T267" s="418" t="s">
        <v>232</v>
      </c>
      <c r="U267" s="418" t="s">
        <v>232</v>
      </c>
      <c r="V267" s="418" t="s">
        <v>232</v>
      </c>
      <c r="W267" s="418" t="str">
        <f t="shared" si="505"/>
        <v>na</v>
      </c>
      <c r="X267" s="418" t="s">
        <v>232</v>
      </c>
      <c r="Y267" s="1884" t="str">
        <f t="shared" si="506"/>
        <v>na</v>
      </c>
      <c r="Z267" s="1884" t="str">
        <f t="shared" si="507"/>
        <v>na</v>
      </c>
      <c r="AA267" s="1789" t="s">
        <v>232</v>
      </c>
      <c r="AB267" s="1789" t="s">
        <v>232</v>
      </c>
      <c r="AC267" s="273" t="s">
        <v>232</v>
      </c>
      <c r="AD267" s="273" t="s">
        <v>232</v>
      </c>
      <c r="AE267" s="273" t="s">
        <v>232</v>
      </c>
      <c r="AF267" s="273" t="s">
        <v>232</v>
      </c>
      <c r="AG267" s="273" t="s">
        <v>232</v>
      </c>
      <c r="AH267" s="273" t="s">
        <v>232</v>
      </c>
      <c r="AI267" s="273" t="s">
        <v>232</v>
      </c>
      <c r="AJ267" s="273" t="s">
        <v>232</v>
      </c>
      <c r="AK267" s="273" t="s">
        <v>232</v>
      </c>
      <c r="AL267" s="273" t="s">
        <v>232</v>
      </c>
      <c r="AM267" s="273" t="s">
        <v>232</v>
      </c>
      <c r="AN267" s="273" t="str">
        <f t="shared" si="508"/>
        <v>na</v>
      </c>
      <c r="AO267" s="273" t="str">
        <f t="shared" si="509"/>
        <v>na</v>
      </c>
      <c r="AP267" s="273" t="str">
        <f t="shared" si="510"/>
        <v>na</v>
      </c>
      <c r="AQ267" s="273" t="str">
        <f t="shared" si="511"/>
        <v>na</v>
      </c>
      <c r="AR267" s="1789" t="str">
        <f t="shared" si="512"/>
        <v>na</v>
      </c>
      <c r="AS267" s="1051"/>
      <c r="AU267" s="1332" t="str">
        <f t="shared" si="513"/>
        <v/>
      </c>
      <c r="AV267" s="1114" t="str">
        <f t="shared" si="514"/>
        <v/>
      </c>
      <c r="AW267" s="1114" t="str">
        <f t="shared" si="515"/>
        <v/>
      </c>
      <c r="AX267" s="1114" t="str">
        <f t="shared" si="490"/>
        <v/>
      </c>
      <c r="AY267" s="1113" t="str">
        <f t="shared" si="516"/>
        <v/>
      </c>
      <c r="AZ267" s="1114" t="str">
        <f t="shared" si="517"/>
        <v/>
      </c>
      <c r="BA267" s="1114" t="str">
        <f t="shared" si="518"/>
        <v/>
      </c>
      <c r="BB267" s="1704" t="str">
        <f t="shared" si="494"/>
        <v/>
      </c>
      <c r="BC267" s="1113" t="str">
        <f t="shared" si="519"/>
        <v/>
      </c>
      <c r="BD267" s="1114" t="str">
        <f t="shared" si="520"/>
        <v/>
      </c>
      <c r="BE267" s="1114" t="str">
        <f t="shared" si="521"/>
        <v/>
      </c>
      <c r="BF267" s="1114" t="str">
        <f t="shared" si="522"/>
        <v/>
      </c>
      <c r="BG267" s="1114" t="str">
        <f t="shared" si="523"/>
        <v/>
      </c>
      <c r="BH267" s="1114" t="str">
        <f t="shared" si="524"/>
        <v/>
      </c>
      <c r="BI267" s="1114" t="str">
        <f t="shared" si="525"/>
        <v/>
      </c>
      <c r="BJ267" s="1115" t="str">
        <f t="shared" si="526"/>
        <v/>
      </c>
      <c r="BL267" s="1885"/>
    </row>
    <row r="268" spans="1:64" ht="13.9" customHeight="1" x14ac:dyDescent="0.25">
      <c r="A268" s="1916">
        <f>Chem!A268</f>
        <v>266</v>
      </c>
      <c r="B268" s="1880" t="str">
        <f>Chem!B268</f>
        <v>Endosulfan sulfate</v>
      </c>
      <c r="C268" s="394" t="str">
        <f>Param!AK268</f>
        <v>no</v>
      </c>
      <c r="D268" s="317" t="str">
        <f>IF(ISNUMBER(Param!AN268),Param!AN268,Param!AM268)</f>
        <v>na</v>
      </c>
      <c r="E268" s="273" t="s">
        <v>232</v>
      </c>
      <c r="F268" s="643" t="s">
        <v>232</v>
      </c>
      <c r="G268" s="550" t="s">
        <v>232</v>
      </c>
      <c r="H268" s="550" t="s">
        <v>232</v>
      </c>
      <c r="I268" s="273" t="s">
        <v>232</v>
      </c>
      <c r="J268" s="273" t="s">
        <v>232</v>
      </c>
      <c r="K268" s="219" t="str">
        <f>IF(C268="YES",'SD-Eq'!V268,"na")</f>
        <v>na</v>
      </c>
      <c r="L268" s="273" t="str">
        <f>IF(C268="YES",'SD-Eq'!Z268,"na")</f>
        <v>na</v>
      </c>
      <c r="M268" s="435" t="str">
        <f t="shared" si="475"/>
        <v>na</v>
      </c>
      <c r="N268" s="273" t="str">
        <f t="shared" si="476"/>
        <v>na</v>
      </c>
      <c r="O268" s="1794" t="str">
        <f t="shared" si="503"/>
        <v>na</v>
      </c>
      <c r="P268" s="1789" t="str">
        <f t="shared" si="504"/>
        <v>na</v>
      </c>
      <c r="Q268" s="418" t="s">
        <v>232</v>
      </c>
      <c r="R268" s="418" t="s">
        <v>232</v>
      </c>
      <c r="S268" s="418" t="s">
        <v>232</v>
      </c>
      <c r="T268" s="418" t="s">
        <v>232</v>
      </c>
      <c r="U268" s="418" t="s">
        <v>232</v>
      </c>
      <c r="V268" s="418" t="s">
        <v>232</v>
      </c>
      <c r="W268" s="418" t="str">
        <f t="shared" si="505"/>
        <v>na</v>
      </c>
      <c r="X268" s="418" t="s">
        <v>232</v>
      </c>
      <c r="Y268" s="1884" t="str">
        <f t="shared" si="506"/>
        <v>na</v>
      </c>
      <c r="Z268" s="1884" t="str">
        <f t="shared" si="507"/>
        <v>na</v>
      </c>
      <c r="AA268" s="1789" t="s">
        <v>232</v>
      </c>
      <c r="AB268" s="1789" t="s">
        <v>232</v>
      </c>
      <c r="AC268" s="273" t="s">
        <v>232</v>
      </c>
      <c r="AD268" s="273" t="s">
        <v>232</v>
      </c>
      <c r="AE268" s="273" t="s">
        <v>232</v>
      </c>
      <c r="AF268" s="273" t="s">
        <v>232</v>
      </c>
      <c r="AG268" s="273" t="s">
        <v>232</v>
      </c>
      <c r="AH268" s="273" t="s">
        <v>232</v>
      </c>
      <c r="AI268" s="273" t="s">
        <v>232</v>
      </c>
      <c r="AJ268" s="273" t="s">
        <v>232</v>
      </c>
      <c r="AK268" s="273" t="s">
        <v>232</v>
      </c>
      <c r="AL268" s="273" t="s">
        <v>232</v>
      </c>
      <c r="AM268" s="273" t="s">
        <v>232</v>
      </c>
      <c r="AN268" s="273" t="str">
        <f t="shared" si="508"/>
        <v>na</v>
      </c>
      <c r="AO268" s="273" t="str">
        <f t="shared" si="509"/>
        <v>na</v>
      </c>
      <c r="AP268" s="273" t="str">
        <f t="shared" si="510"/>
        <v>na</v>
      </c>
      <c r="AQ268" s="273" t="str">
        <f t="shared" si="511"/>
        <v>na</v>
      </c>
      <c r="AR268" s="1789" t="str">
        <f t="shared" si="512"/>
        <v>na</v>
      </c>
      <c r="AS268" s="1051"/>
      <c r="AU268" s="1332" t="str">
        <f t="shared" si="513"/>
        <v/>
      </c>
      <c r="AV268" s="1114" t="str">
        <f t="shared" si="514"/>
        <v/>
      </c>
      <c r="AW268" s="1114" t="str">
        <f t="shared" si="515"/>
        <v/>
      </c>
      <c r="AX268" s="1114" t="str">
        <f t="shared" si="490"/>
        <v/>
      </c>
      <c r="AY268" s="1113" t="str">
        <f t="shared" si="516"/>
        <v/>
      </c>
      <c r="AZ268" s="1114" t="str">
        <f t="shared" si="517"/>
        <v/>
      </c>
      <c r="BA268" s="1114" t="str">
        <f t="shared" si="518"/>
        <v/>
      </c>
      <c r="BB268" s="1704" t="str">
        <f t="shared" si="494"/>
        <v/>
      </c>
      <c r="BC268" s="1113" t="str">
        <f t="shared" si="519"/>
        <v/>
      </c>
      <c r="BD268" s="1114" t="str">
        <f t="shared" si="520"/>
        <v/>
      </c>
      <c r="BE268" s="1114" t="str">
        <f t="shared" si="521"/>
        <v/>
      </c>
      <c r="BF268" s="1114" t="str">
        <f t="shared" si="522"/>
        <v/>
      </c>
      <c r="BG268" s="1114" t="str">
        <f t="shared" si="523"/>
        <v/>
      </c>
      <c r="BH268" s="1114" t="str">
        <f t="shared" si="524"/>
        <v/>
      </c>
      <c r="BI268" s="1114" t="str">
        <f t="shared" si="525"/>
        <v/>
      </c>
      <c r="BJ268" s="1115" t="str">
        <f t="shared" si="526"/>
        <v/>
      </c>
      <c r="BL268" s="1885"/>
    </row>
    <row r="269" spans="1:64" ht="13.9" customHeight="1" x14ac:dyDescent="0.25">
      <c r="A269" s="1916">
        <f>Chem!A269</f>
        <v>267</v>
      </c>
      <c r="B269" s="1880" t="str">
        <f>Chem!B269</f>
        <v>Sum of alpha, beta, and endosulfan sulfate</v>
      </c>
      <c r="C269" s="394" t="str">
        <f>Param!AK269</f>
        <v>no</v>
      </c>
      <c r="D269" s="317" t="str">
        <f>IF(ISNUMBER(Param!AN269),Param!AN269,Param!AM269)</f>
        <v>na</v>
      </c>
      <c r="E269" s="273" t="s">
        <v>232</v>
      </c>
      <c r="F269" s="643" t="s">
        <v>232</v>
      </c>
      <c r="G269" s="550" t="s">
        <v>232</v>
      </c>
      <c r="H269" s="550" t="s">
        <v>232</v>
      </c>
      <c r="I269" s="273" t="s">
        <v>232</v>
      </c>
      <c r="J269" s="273" t="s">
        <v>232</v>
      </c>
      <c r="K269" s="219" t="str">
        <f>IF(C269="YES",'SD-Eq'!V269,"na")</f>
        <v>na</v>
      </c>
      <c r="L269" s="273" t="str">
        <f>IF(C269="YES",'SD-Eq'!Z269,"na")</f>
        <v>na</v>
      </c>
      <c r="M269" s="435" t="str">
        <f t="shared" si="475"/>
        <v>na</v>
      </c>
      <c r="N269" s="273" t="str">
        <f t="shared" si="476"/>
        <v>na</v>
      </c>
      <c r="O269" s="1794" t="str">
        <f t="shared" si="503"/>
        <v>na</v>
      </c>
      <c r="P269" s="1789" t="str">
        <f t="shared" si="504"/>
        <v>na</v>
      </c>
      <c r="Q269" s="418" t="s">
        <v>232</v>
      </c>
      <c r="R269" s="418" t="s">
        <v>232</v>
      </c>
      <c r="S269" s="418" t="s">
        <v>232</v>
      </c>
      <c r="T269" s="418" t="s">
        <v>232</v>
      </c>
      <c r="U269" s="418" t="s">
        <v>232</v>
      </c>
      <c r="V269" s="418" t="s">
        <v>232</v>
      </c>
      <c r="W269" s="418" t="str">
        <f t="shared" si="505"/>
        <v>na</v>
      </c>
      <c r="X269" s="418" t="s">
        <v>232</v>
      </c>
      <c r="Y269" s="1884" t="str">
        <f t="shared" si="506"/>
        <v>na</v>
      </c>
      <c r="Z269" s="1884" t="str">
        <f t="shared" si="507"/>
        <v>na</v>
      </c>
      <c r="AA269" s="1789" t="s">
        <v>232</v>
      </c>
      <c r="AB269" s="1789" t="s">
        <v>232</v>
      </c>
      <c r="AC269" s="273" t="s">
        <v>232</v>
      </c>
      <c r="AD269" s="273" t="s">
        <v>232</v>
      </c>
      <c r="AE269" s="273" t="s">
        <v>232</v>
      </c>
      <c r="AF269" s="273" t="s">
        <v>232</v>
      </c>
      <c r="AG269" s="273" t="s">
        <v>232</v>
      </c>
      <c r="AH269" s="273" t="s">
        <v>232</v>
      </c>
      <c r="AI269" s="273" t="s">
        <v>232</v>
      </c>
      <c r="AJ269" s="273" t="s">
        <v>232</v>
      </c>
      <c r="AK269" s="273" t="s">
        <v>232</v>
      </c>
      <c r="AL269" s="273" t="s">
        <v>232</v>
      </c>
      <c r="AM269" s="273" t="s">
        <v>232</v>
      </c>
      <c r="AN269" s="273" t="str">
        <f t="shared" si="508"/>
        <v>na</v>
      </c>
      <c r="AO269" s="273" t="str">
        <f t="shared" si="509"/>
        <v>na</v>
      </c>
      <c r="AP269" s="273" t="str">
        <f t="shared" si="510"/>
        <v>na</v>
      </c>
      <c r="AQ269" s="273" t="str">
        <f t="shared" si="511"/>
        <v>na</v>
      </c>
      <c r="AR269" s="1789" t="str">
        <f t="shared" si="512"/>
        <v>na</v>
      </c>
      <c r="AS269" s="1051"/>
      <c r="AU269" s="1332" t="str">
        <f t="shared" si="513"/>
        <v/>
      </c>
      <c r="AV269" s="1114" t="str">
        <f t="shared" si="514"/>
        <v/>
      </c>
      <c r="AW269" s="1114" t="str">
        <f t="shared" si="515"/>
        <v/>
      </c>
      <c r="AX269" s="1114" t="str">
        <f t="shared" si="490"/>
        <v/>
      </c>
      <c r="AY269" s="1113" t="str">
        <f t="shared" si="516"/>
        <v/>
      </c>
      <c r="AZ269" s="1114" t="str">
        <f t="shared" si="517"/>
        <v/>
      </c>
      <c r="BA269" s="1114" t="str">
        <f t="shared" si="518"/>
        <v/>
      </c>
      <c r="BB269" s="1704" t="str">
        <f t="shared" si="494"/>
        <v/>
      </c>
      <c r="BC269" s="1113" t="str">
        <f t="shared" si="519"/>
        <v/>
      </c>
      <c r="BD269" s="1114" t="str">
        <f t="shared" si="520"/>
        <v/>
      </c>
      <c r="BE269" s="1114" t="str">
        <f t="shared" si="521"/>
        <v/>
      </c>
      <c r="BF269" s="1114" t="str">
        <f t="shared" si="522"/>
        <v/>
      </c>
      <c r="BG269" s="1114" t="str">
        <f t="shared" si="523"/>
        <v/>
      </c>
      <c r="BH269" s="1114" t="str">
        <f t="shared" si="524"/>
        <v/>
      </c>
      <c r="BI269" s="1114" t="str">
        <f t="shared" si="525"/>
        <v/>
      </c>
      <c r="BJ269" s="1115" t="str">
        <f t="shared" si="526"/>
        <v/>
      </c>
      <c r="BL269" s="1885"/>
    </row>
    <row r="270" spans="1:64" ht="13.9" customHeight="1" x14ac:dyDescent="0.25">
      <c r="A270" s="1916">
        <f>Chem!A270</f>
        <v>268</v>
      </c>
      <c r="B270" s="1880" t="str">
        <f>Chem!B270</f>
        <v>Endrin</v>
      </c>
      <c r="C270" s="394" t="str">
        <f>Param!AK270</f>
        <v>no</v>
      </c>
      <c r="D270" s="317" t="str">
        <f>IF(ISNUMBER(Param!AN270),Param!AN270,Param!AM270)</f>
        <v>na</v>
      </c>
      <c r="E270" s="273" t="s">
        <v>232</v>
      </c>
      <c r="F270" s="643" t="s">
        <v>232</v>
      </c>
      <c r="G270" s="550" t="s">
        <v>232</v>
      </c>
      <c r="H270" s="550" t="s">
        <v>232</v>
      </c>
      <c r="I270" s="273" t="s">
        <v>232</v>
      </c>
      <c r="J270" s="273" t="s">
        <v>232</v>
      </c>
      <c r="K270" s="219" t="str">
        <f>IF(C270="YES",'SD-Eq'!V270,"na")</f>
        <v>na</v>
      </c>
      <c r="L270" s="273" t="str">
        <f>IF(C270="YES",'SD-Eq'!Z270,"na")</f>
        <v>na</v>
      </c>
      <c r="M270" s="435" t="str">
        <f t="shared" si="475"/>
        <v>na</v>
      </c>
      <c r="N270" s="273" t="str">
        <f t="shared" si="476"/>
        <v>na</v>
      </c>
      <c r="O270" s="1794" t="str">
        <f t="shared" si="477"/>
        <v>na</v>
      </c>
      <c r="P270" s="1789" t="str">
        <f t="shared" si="478"/>
        <v>na</v>
      </c>
      <c r="Q270" s="418" t="s">
        <v>232</v>
      </c>
      <c r="R270" s="418" t="s">
        <v>232</v>
      </c>
      <c r="S270" s="418" t="s">
        <v>232</v>
      </c>
      <c r="T270" s="418" t="s">
        <v>232</v>
      </c>
      <c r="U270" s="418" t="s">
        <v>232</v>
      </c>
      <c r="V270" s="418" t="s">
        <v>232</v>
      </c>
      <c r="W270" s="418" t="str">
        <f t="shared" si="479"/>
        <v>na</v>
      </c>
      <c r="X270" s="418" t="s">
        <v>232</v>
      </c>
      <c r="Y270" s="1884" t="str">
        <f t="shared" si="480"/>
        <v>na</v>
      </c>
      <c r="Z270" s="1884" t="str">
        <f t="shared" si="481"/>
        <v>na</v>
      </c>
      <c r="AA270" s="1789" t="s">
        <v>232</v>
      </c>
      <c r="AB270" s="1789" t="s">
        <v>232</v>
      </c>
      <c r="AC270" s="273" t="s">
        <v>232</v>
      </c>
      <c r="AD270" s="273" t="s">
        <v>232</v>
      </c>
      <c r="AE270" s="273" t="s">
        <v>232</v>
      </c>
      <c r="AF270" s="273" t="s">
        <v>232</v>
      </c>
      <c r="AG270" s="273" t="s">
        <v>232</v>
      </c>
      <c r="AH270" s="273" t="s">
        <v>232</v>
      </c>
      <c r="AI270" s="273" t="s">
        <v>232</v>
      </c>
      <c r="AJ270" s="273" t="s">
        <v>232</v>
      </c>
      <c r="AK270" s="273" t="s">
        <v>232</v>
      </c>
      <c r="AL270" s="273" t="s">
        <v>232</v>
      </c>
      <c r="AM270" s="273" t="s">
        <v>232</v>
      </c>
      <c r="AN270" s="273" t="str">
        <f t="shared" si="482"/>
        <v>na</v>
      </c>
      <c r="AO270" s="273" t="str">
        <f t="shared" si="483"/>
        <v>na</v>
      </c>
      <c r="AP270" s="273" t="str">
        <f t="shared" si="484"/>
        <v>na</v>
      </c>
      <c r="AQ270" s="273" t="str">
        <f t="shared" si="485"/>
        <v>na</v>
      </c>
      <c r="AR270" s="1789" t="str">
        <f t="shared" si="486"/>
        <v>na</v>
      </c>
      <c r="AS270" s="1051"/>
      <c r="AU270" s="1332" t="str">
        <f t="shared" si="487"/>
        <v/>
      </c>
      <c r="AV270" s="1114" t="str">
        <f t="shared" si="488"/>
        <v/>
      </c>
      <c r="AW270" s="1114" t="str">
        <f t="shared" si="489"/>
        <v/>
      </c>
      <c r="AX270" s="1114" t="str">
        <f t="shared" si="490"/>
        <v/>
      </c>
      <c r="AY270" s="1113" t="str">
        <f t="shared" si="491"/>
        <v/>
      </c>
      <c r="AZ270" s="1114" t="str">
        <f t="shared" si="492"/>
        <v/>
      </c>
      <c r="BA270" s="1114" t="str">
        <f t="shared" si="493"/>
        <v/>
      </c>
      <c r="BB270" s="1704" t="str">
        <f t="shared" si="494"/>
        <v/>
      </c>
      <c r="BC270" s="1113" t="str">
        <f t="shared" si="495"/>
        <v/>
      </c>
      <c r="BD270" s="1114" t="str">
        <f t="shared" si="496"/>
        <v/>
      </c>
      <c r="BE270" s="1114" t="str">
        <f t="shared" si="497"/>
        <v/>
      </c>
      <c r="BF270" s="1114" t="str">
        <f t="shared" si="498"/>
        <v/>
      </c>
      <c r="BG270" s="1114" t="str">
        <f t="shared" si="499"/>
        <v/>
      </c>
      <c r="BH270" s="1114" t="str">
        <f t="shared" si="500"/>
        <v/>
      </c>
      <c r="BI270" s="1114" t="str">
        <f t="shared" si="501"/>
        <v/>
      </c>
      <c r="BJ270" s="1115" t="str">
        <f t="shared" si="502"/>
        <v/>
      </c>
      <c r="BL270" s="1885"/>
    </row>
    <row r="271" spans="1:64" ht="13.9" customHeight="1" x14ac:dyDescent="0.25">
      <c r="A271" s="1916">
        <f>Chem!A271</f>
        <v>269</v>
      </c>
      <c r="B271" s="1880" t="str">
        <f>Chem!B271</f>
        <v>Endrin aldehyde</v>
      </c>
      <c r="C271" s="394" t="str">
        <f>Param!AK271</f>
        <v>no</v>
      </c>
      <c r="D271" s="317" t="str">
        <f>IF(ISNUMBER(Param!AN271),Param!AN271,Param!AM271)</f>
        <v>na</v>
      </c>
      <c r="E271" s="273" t="s">
        <v>232</v>
      </c>
      <c r="F271" s="643" t="s">
        <v>232</v>
      </c>
      <c r="G271" s="550" t="s">
        <v>232</v>
      </c>
      <c r="H271" s="550" t="s">
        <v>232</v>
      </c>
      <c r="I271" s="273" t="s">
        <v>232</v>
      </c>
      <c r="J271" s="273" t="s">
        <v>232</v>
      </c>
      <c r="K271" s="219" t="str">
        <f>IF(C271="YES",'SD-Eq'!V271,"na")</f>
        <v>na</v>
      </c>
      <c r="L271" s="273" t="str">
        <f>IF(C271="YES",'SD-Eq'!Z271,"na")</f>
        <v>na</v>
      </c>
      <c r="M271" s="435" t="str">
        <f t="shared" si="475"/>
        <v>na</v>
      </c>
      <c r="N271" s="273" t="str">
        <f t="shared" si="476"/>
        <v>na</v>
      </c>
      <c r="O271" s="1794" t="str">
        <f t="shared" si="477"/>
        <v>na</v>
      </c>
      <c r="P271" s="1789" t="str">
        <f t="shared" si="478"/>
        <v>na</v>
      </c>
      <c r="Q271" s="418" t="s">
        <v>232</v>
      </c>
      <c r="R271" s="418" t="s">
        <v>232</v>
      </c>
      <c r="S271" s="418" t="s">
        <v>232</v>
      </c>
      <c r="T271" s="418" t="s">
        <v>232</v>
      </c>
      <c r="U271" s="418" t="s">
        <v>232</v>
      </c>
      <c r="V271" s="418" t="s">
        <v>232</v>
      </c>
      <c r="W271" s="418" t="str">
        <f t="shared" si="479"/>
        <v>na</v>
      </c>
      <c r="X271" s="418" t="s">
        <v>232</v>
      </c>
      <c r="Y271" s="1884" t="str">
        <f t="shared" si="480"/>
        <v>na</v>
      </c>
      <c r="Z271" s="1884" t="str">
        <f t="shared" si="481"/>
        <v>na</v>
      </c>
      <c r="AA271" s="1789" t="s">
        <v>232</v>
      </c>
      <c r="AB271" s="1789" t="s">
        <v>232</v>
      </c>
      <c r="AC271" s="273" t="s">
        <v>232</v>
      </c>
      <c r="AD271" s="273" t="s">
        <v>232</v>
      </c>
      <c r="AE271" s="273" t="s">
        <v>232</v>
      </c>
      <c r="AF271" s="273" t="s">
        <v>232</v>
      </c>
      <c r="AG271" s="273" t="s">
        <v>232</v>
      </c>
      <c r="AH271" s="273" t="s">
        <v>232</v>
      </c>
      <c r="AI271" s="273" t="s">
        <v>232</v>
      </c>
      <c r="AJ271" s="273" t="s">
        <v>232</v>
      </c>
      <c r="AK271" s="273" t="s">
        <v>232</v>
      </c>
      <c r="AL271" s="273" t="s">
        <v>232</v>
      </c>
      <c r="AM271" s="273" t="s">
        <v>232</v>
      </c>
      <c r="AN271" s="273" t="str">
        <f t="shared" si="482"/>
        <v>na</v>
      </c>
      <c r="AO271" s="273" t="str">
        <f t="shared" si="483"/>
        <v>na</v>
      </c>
      <c r="AP271" s="273" t="str">
        <f t="shared" si="484"/>
        <v>na</v>
      </c>
      <c r="AQ271" s="273" t="str">
        <f t="shared" si="485"/>
        <v>na</v>
      </c>
      <c r="AR271" s="1789" t="str">
        <f t="shared" si="486"/>
        <v>na</v>
      </c>
      <c r="AS271" s="1051"/>
      <c r="AU271" s="1332" t="str">
        <f t="shared" si="487"/>
        <v/>
      </c>
      <c r="AV271" s="1114" t="str">
        <f t="shared" si="488"/>
        <v/>
      </c>
      <c r="AW271" s="1114" t="str">
        <f t="shared" si="489"/>
        <v/>
      </c>
      <c r="AX271" s="1114" t="str">
        <f t="shared" si="490"/>
        <v/>
      </c>
      <c r="AY271" s="1113" t="str">
        <f t="shared" si="491"/>
        <v/>
      </c>
      <c r="AZ271" s="1114" t="str">
        <f t="shared" si="492"/>
        <v/>
      </c>
      <c r="BA271" s="1114" t="str">
        <f t="shared" si="493"/>
        <v/>
      </c>
      <c r="BB271" s="1704" t="str">
        <f t="shared" si="494"/>
        <v/>
      </c>
      <c r="BC271" s="1113" t="str">
        <f t="shared" si="495"/>
        <v/>
      </c>
      <c r="BD271" s="1114" t="str">
        <f t="shared" si="496"/>
        <v/>
      </c>
      <c r="BE271" s="1114" t="str">
        <f t="shared" si="497"/>
        <v/>
      </c>
      <c r="BF271" s="1114" t="str">
        <f t="shared" si="498"/>
        <v/>
      </c>
      <c r="BG271" s="1114" t="str">
        <f t="shared" si="499"/>
        <v/>
      </c>
      <c r="BH271" s="1114" t="str">
        <f t="shared" si="500"/>
        <v/>
      </c>
      <c r="BI271" s="1114" t="str">
        <f t="shared" si="501"/>
        <v/>
      </c>
      <c r="BJ271" s="1115" t="str">
        <f t="shared" si="502"/>
        <v/>
      </c>
      <c r="BL271" s="1885"/>
    </row>
    <row r="272" spans="1:64" ht="13.9" customHeight="1" x14ac:dyDescent="0.25">
      <c r="A272" s="1916">
        <f>Chem!A272</f>
        <v>270</v>
      </c>
      <c r="B272" s="1880" t="str">
        <f>Chem!B272</f>
        <v>Endrin ketone</v>
      </c>
      <c r="C272" s="394" t="str">
        <f>Param!AK272</f>
        <v>no</v>
      </c>
      <c r="D272" s="317" t="str">
        <f>IF(ISNUMBER(Param!AN272),Param!AN272,Param!AM272)</f>
        <v>na</v>
      </c>
      <c r="E272" s="273" t="s">
        <v>232</v>
      </c>
      <c r="F272" s="643" t="s">
        <v>232</v>
      </c>
      <c r="G272" s="550" t="s">
        <v>232</v>
      </c>
      <c r="H272" s="550" t="s">
        <v>232</v>
      </c>
      <c r="I272" s="273" t="s">
        <v>232</v>
      </c>
      <c r="J272" s="273" t="s">
        <v>232</v>
      </c>
      <c r="K272" s="219" t="str">
        <f>IF(C272="YES",'SD-Eq'!V272,"na")</f>
        <v>na</v>
      </c>
      <c r="L272" s="273" t="str">
        <f>IF(C272="YES",'SD-Eq'!Z272,"na")</f>
        <v>na</v>
      </c>
      <c r="M272" s="435" t="str">
        <f t="shared" si="475"/>
        <v>na</v>
      </c>
      <c r="N272" s="273" t="str">
        <f t="shared" si="476"/>
        <v>na</v>
      </c>
      <c r="O272" s="1794" t="str">
        <f t="shared" si="477"/>
        <v>na</v>
      </c>
      <c r="P272" s="1789" t="str">
        <f t="shared" si="478"/>
        <v>na</v>
      </c>
      <c r="Q272" s="418" t="s">
        <v>232</v>
      </c>
      <c r="R272" s="418" t="s">
        <v>232</v>
      </c>
      <c r="S272" s="418" t="s">
        <v>232</v>
      </c>
      <c r="T272" s="418" t="s">
        <v>232</v>
      </c>
      <c r="U272" s="418" t="s">
        <v>232</v>
      </c>
      <c r="V272" s="418" t="s">
        <v>232</v>
      </c>
      <c r="W272" s="418" t="str">
        <f t="shared" si="479"/>
        <v>na</v>
      </c>
      <c r="X272" s="418" t="s">
        <v>232</v>
      </c>
      <c r="Y272" s="1884" t="str">
        <f t="shared" si="480"/>
        <v>na</v>
      </c>
      <c r="Z272" s="1884" t="str">
        <f t="shared" si="481"/>
        <v>na</v>
      </c>
      <c r="AA272" s="1789" t="s">
        <v>232</v>
      </c>
      <c r="AB272" s="1789" t="s">
        <v>232</v>
      </c>
      <c r="AC272" s="273" t="s">
        <v>232</v>
      </c>
      <c r="AD272" s="273" t="s">
        <v>232</v>
      </c>
      <c r="AE272" s="273" t="s">
        <v>232</v>
      </c>
      <c r="AF272" s="273" t="s">
        <v>232</v>
      </c>
      <c r="AG272" s="273" t="s">
        <v>232</v>
      </c>
      <c r="AH272" s="273" t="s">
        <v>232</v>
      </c>
      <c r="AI272" s="273" t="s">
        <v>232</v>
      </c>
      <c r="AJ272" s="273" t="s">
        <v>232</v>
      </c>
      <c r="AK272" s="273" t="s">
        <v>232</v>
      </c>
      <c r="AL272" s="273" t="s">
        <v>232</v>
      </c>
      <c r="AM272" s="273" t="s">
        <v>232</v>
      </c>
      <c r="AN272" s="273" t="str">
        <f t="shared" si="482"/>
        <v>na</v>
      </c>
      <c r="AO272" s="273" t="str">
        <f t="shared" si="483"/>
        <v>na</v>
      </c>
      <c r="AP272" s="273" t="str">
        <f t="shared" si="484"/>
        <v>na</v>
      </c>
      <c r="AQ272" s="273" t="str">
        <f t="shared" si="485"/>
        <v>na</v>
      </c>
      <c r="AR272" s="1789" t="str">
        <f t="shared" si="486"/>
        <v>na</v>
      </c>
      <c r="AS272" s="1051"/>
      <c r="AU272" s="1332" t="str">
        <f t="shared" si="487"/>
        <v/>
      </c>
      <c r="AV272" s="1114" t="str">
        <f t="shared" si="488"/>
        <v/>
      </c>
      <c r="AW272" s="1114" t="str">
        <f t="shared" si="489"/>
        <v/>
      </c>
      <c r="AX272" s="1114" t="str">
        <f t="shared" si="490"/>
        <v/>
      </c>
      <c r="AY272" s="1113" t="str">
        <f t="shared" si="491"/>
        <v/>
      </c>
      <c r="AZ272" s="1114" t="str">
        <f t="shared" si="492"/>
        <v/>
      </c>
      <c r="BA272" s="1114" t="str">
        <f t="shared" si="493"/>
        <v/>
      </c>
      <c r="BB272" s="1704" t="str">
        <f t="shared" si="494"/>
        <v/>
      </c>
      <c r="BC272" s="1113" t="str">
        <f t="shared" si="495"/>
        <v/>
      </c>
      <c r="BD272" s="1114" t="str">
        <f t="shared" si="496"/>
        <v/>
      </c>
      <c r="BE272" s="1114" t="str">
        <f t="shared" si="497"/>
        <v/>
      </c>
      <c r="BF272" s="1114" t="str">
        <f t="shared" si="498"/>
        <v/>
      </c>
      <c r="BG272" s="1114" t="str">
        <f t="shared" si="499"/>
        <v/>
      </c>
      <c r="BH272" s="1114" t="str">
        <f t="shared" si="500"/>
        <v/>
      </c>
      <c r="BI272" s="1114" t="str">
        <f t="shared" si="501"/>
        <v/>
      </c>
      <c r="BJ272" s="1115" t="str">
        <f t="shared" si="502"/>
        <v/>
      </c>
      <c r="BL272" s="1885"/>
    </row>
    <row r="273" spans="1:64" ht="13.9" customHeight="1" x14ac:dyDescent="0.25">
      <c r="A273" s="1916">
        <f>Chem!A273</f>
        <v>271</v>
      </c>
      <c r="B273" s="1880" t="str">
        <f>Chem!B273</f>
        <v>Heptachlor</v>
      </c>
      <c r="C273" s="394" t="str">
        <f>Param!AK273</f>
        <v>YES</v>
      </c>
      <c r="D273" s="317" t="str">
        <f>IF(ISNUMBER(Param!AN273),Param!AN273,Param!AM273)</f>
        <v>na</v>
      </c>
      <c r="E273" s="273" t="s">
        <v>232</v>
      </c>
      <c r="F273" s="643">
        <v>1E-4</v>
      </c>
      <c r="G273" s="550" t="s">
        <v>232</v>
      </c>
      <c r="H273" s="550" t="s">
        <v>232</v>
      </c>
      <c r="I273" s="273" t="s">
        <v>232</v>
      </c>
      <c r="J273" s="273" t="s">
        <v>232</v>
      </c>
      <c r="K273" s="219">
        <f>IF(C273="YES",'SD-Eq'!V273,"na")</f>
        <v>0.6479383680555556</v>
      </c>
      <c r="L273" s="273">
        <f>IF(C273="YES",'SD-Eq'!Z273,"na")</f>
        <v>6.4793836805555562</v>
      </c>
      <c r="M273" s="435">
        <f t="shared" si="475"/>
        <v>1E-4</v>
      </c>
      <c r="N273" s="273">
        <f t="shared" si="476"/>
        <v>1E-4</v>
      </c>
      <c r="O273" s="1794">
        <f t="shared" si="477"/>
        <v>1E-4</v>
      </c>
      <c r="P273" s="1789">
        <f t="shared" si="478"/>
        <v>1E-4</v>
      </c>
      <c r="Q273" s="418" t="s">
        <v>232</v>
      </c>
      <c r="R273" s="418" t="s">
        <v>232</v>
      </c>
      <c r="S273" s="418" t="s">
        <v>232</v>
      </c>
      <c r="T273" s="418" t="s">
        <v>232</v>
      </c>
      <c r="U273" s="418" t="s">
        <v>232</v>
      </c>
      <c r="V273" s="418" t="s">
        <v>232</v>
      </c>
      <c r="W273" s="418" t="str">
        <f t="shared" si="479"/>
        <v>na</v>
      </c>
      <c r="X273" s="418" t="s">
        <v>232</v>
      </c>
      <c r="Y273" s="1884" t="str">
        <f t="shared" si="480"/>
        <v>na</v>
      </c>
      <c r="Z273" s="1884">
        <f t="shared" si="481"/>
        <v>1E-4</v>
      </c>
      <c r="AA273" s="1789" t="s">
        <v>232</v>
      </c>
      <c r="AB273" s="1789" t="s">
        <v>232</v>
      </c>
      <c r="AC273" s="273" t="s">
        <v>232</v>
      </c>
      <c r="AD273" s="273" t="s">
        <v>232</v>
      </c>
      <c r="AE273" s="273" t="s">
        <v>232</v>
      </c>
      <c r="AF273" s="273" t="s">
        <v>232</v>
      </c>
      <c r="AG273" s="273" t="s">
        <v>232</v>
      </c>
      <c r="AH273" s="273" t="s">
        <v>232</v>
      </c>
      <c r="AI273" s="273" t="s">
        <v>232</v>
      </c>
      <c r="AJ273" s="273" t="s">
        <v>232</v>
      </c>
      <c r="AK273" s="273" t="s">
        <v>232</v>
      </c>
      <c r="AL273" s="273" t="s">
        <v>232</v>
      </c>
      <c r="AM273" s="273" t="s">
        <v>232</v>
      </c>
      <c r="AN273" s="273" t="str">
        <f t="shared" si="482"/>
        <v>na</v>
      </c>
      <c r="AO273" s="273" t="str">
        <f t="shared" si="483"/>
        <v>na</v>
      </c>
      <c r="AP273" s="273" t="str">
        <f t="shared" si="484"/>
        <v>na</v>
      </c>
      <c r="AQ273" s="273" t="str">
        <f t="shared" si="485"/>
        <v>na</v>
      </c>
      <c r="AR273" s="1789" t="str">
        <f t="shared" si="486"/>
        <v>na</v>
      </c>
      <c r="AS273" s="1051"/>
      <c r="AU273" s="1332" t="str">
        <f t="shared" si="487"/>
        <v/>
      </c>
      <c r="AV273" s="1114" t="str">
        <f t="shared" si="488"/>
        <v>X</v>
      </c>
      <c r="AW273" s="1114" t="str">
        <f t="shared" si="489"/>
        <v/>
      </c>
      <c r="AX273" s="1114" t="str">
        <f t="shared" si="490"/>
        <v/>
      </c>
      <c r="AY273" s="1113" t="str">
        <f t="shared" si="491"/>
        <v/>
      </c>
      <c r="AZ273" s="1114" t="str">
        <f t="shared" si="492"/>
        <v>X</v>
      </c>
      <c r="BA273" s="1114" t="str">
        <f t="shared" si="493"/>
        <v/>
      </c>
      <c r="BB273" s="1704" t="str">
        <f t="shared" si="494"/>
        <v/>
      </c>
      <c r="BC273" s="1113" t="str">
        <f t="shared" si="495"/>
        <v/>
      </c>
      <c r="BD273" s="1114" t="str">
        <f t="shared" si="496"/>
        <v>X</v>
      </c>
      <c r="BE273" s="1114" t="str">
        <f t="shared" si="497"/>
        <v/>
      </c>
      <c r="BF273" s="1114" t="str">
        <f t="shared" si="498"/>
        <v/>
      </c>
      <c r="BG273" s="1114" t="str">
        <f t="shared" si="499"/>
        <v/>
      </c>
      <c r="BH273" s="1114" t="str">
        <f t="shared" si="500"/>
        <v/>
      </c>
      <c r="BI273" s="1114" t="str">
        <f t="shared" si="501"/>
        <v/>
      </c>
      <c r="BJ273" s="1115" t="str">
        <f t="shared" si="502"/>
        <v/>
      </c>
      <c r="BL273" s="1885"/>
    </row>
    <row r="274" spans="1:64" ht="13.9" customHeight="1" x14ac:dyDescent="0.25">
      <c r="A274" s="1916">
        <f>Chem!A274</f>
        <v>272</v>
      </c>
      <c r="B274" s="1880" t="str">
        <f>Chem!B274</f>
        <v>Heptachlor epoxide</v>
      </c>
      <c r="C274" s="394" t="str">
        <f>Param!AK274</f>
        <v>YES</v>
      </c>
      <c r="D274" s="317" t="str">
        <f>IF(ISNUMBER(Param!AN274),Param!AN274,Param!AM274)</f>
        <v>na</v>
      </c>
      <c r="E274" s="273" t="s">
        <v>232</v>
      </c>
      <c r="F274" s="643" t="s">
        <v>232</v>
      </c>
      <c r="G274" s="550" t="s">
        <v>232</v>
      </c>
      <c r="H274" s="550" t="s">
        <v>232</v>
      </c>
      <c r="I274" s="273" t="s">
        <v>232</v>
      </c>
      <c r="J274" s="273" t="s">
        <v>232</v>
      </c>
      <c r="K274" s="219">
        <f>IF(C274="YES",'SD-Eq'!V274,"na")</f>
        <v>0.32040908310439559</v>
      </c>
      <c r="L274" s="273">
        <f>IF(C274="YES",'SD-Eq'!Z274,"na")</f>
        <v>3.1633333333333331</v>
      </c>
      <c r="M274" s="435" t="str">
        <f t="shared" si="475"/>
        <v>PQL</v>
      </c>
      <c r="N274" s="273" t="str">
        <f t="shared" si="476"/>
        <v>PQL</v>
      </c>
      <c r="O274" s="1794">
        <f t="shared" si="477"/>
        <v>0.32040908310439559</v>
      </c>
      <c r="P274" s="1789">
        <f t="shared" si="478"/>
        <v>3.1633333333333331</v>
      </c>
      <c r="Q274" s="418" t="s">
        <v>232</v>
      </c>
      <c r="R274" s="418" t="s">
        <v>232</v>
      </c>
      <c r="S274" s="418" t="s">
        <v>232</v>
      </c>
      <c r="T274" s="418" t="s">
        <v>232</v>
      </c>
      <c r="U274" s="418" t="s">
        <v>232</v>
      </c>
      <c r="V274" s="418" t="s">
        <v>232</v>
      </c>
      <c r="W274" s="418" t="str">
        <f t="shared" si="479"/>
        <v>na</v>
      </c>
      <c r="X274" s="418" t="s">
        <v>232</v>
      </c>
      <c r="Y274" s="1884" t="str">
        <f t="shared" si="480"/>
        <v>na</v>
      </c>
      <c r="Z274" s="1884">
        <f t="shared" si="481"/>
        <v>0.32040908310439559</v>
      </c>
      <c r="AA274" s="1789" t="s">
        <v>232</v>
      </c>
      <c r="AB274" s="1789" t="s">
        <v>232</v>
      </c>
      <c r="AC274" s="273" t="s">
        <v>232</v>
      </c>
      <c r="AD274" s="273" t="s">
        <v>232</v>
      </c>
      <c r="AE274" s="273" t="s">
        <v>232</v>
      </c>
      <c r="AF274" s="273" t="s">
        <v>232</v>
      </c>
      <c r="AG274" s="273" t="s">
        <v>232</v>
      </c>
      <c r="AH274" s="273" t="s">
        <v>232</v>
      </c>
      <c r="AI274" s="273" t="s">
        <v>232</v>
      </c>
      <c r="AJ274" s="273" t="s">
        <v>232</v>
      </c>
      <c r="AK274" s="273" t="s">
        <v>232</v>
      </c>
      <c r="AL274" s="273" t="s">
        <v>232</v>
      </c>
      <c r="AM274" s="273" t="s">
        <v>232</v>
      </c>
      <c r="AN274" s="273" t="str">
        <f t="shared" si="482"/>
        <v>na</v>
      </c>
      <c r="AO274" s="273" t="str">
        <f t="shared" si="483"/>
        <v>na</v>
      </c>
      <c r="AP274" s="273" t="str">
        <f t="shared" si="484"/>
        <v>na</v>
      </c>
      <c r="AQ274" s="273" t="str">
        <f t="shared" si="485"/>
        <v>na</v>
      </c>
      <c r="AR274" s="1789" t="str">
        <f t="shared" si="486"/>
        <v>na</v>
      </c>
      <c r="AS274" s="1051"/>
      <c r="AU274" s="1332" t="str">
        <f t="shared" si="487"/>
        <v/>
      </c>
      <c r="AV274" s="1114" t="str">
        <f t="shared" si="488"/>
        <v/>
      </c>
      <c r="AW274" s="1114" t="str">
        <f t="shared" si="489"/>
        <v/>
      </c>
      <c r="AX274" s="1114" t="str">
        <f t="shared" si="490"/>
        <v>X</v>
      </c>
      <c r="AY274" s="1113" t="str">
        <f t="shared" si="491"/>
        <v/>
      </c>
      <c r="AZ274" s="1114" t="str">
        <f t="shared" si="492"/>
        <v/>
      </c>
      <c r="BA274" s="1114" t="str">
        <f t="shared" si="493"/>
        <v/>
      </c>
      <c r="BB274" s="1704" t="str">
        <f t="shared" si="494"/>
        <v>X</v>
      </c>
      <c r="BC274" s="1113" t="str">
        <f t="shared" si="495"/>
        <v/>
      </c>
      <c r="BD274" s="1114" t="str">
        <f t="shared" si="496"/>
        <v/>
      </c>
      <c r="BE274" s="1114" t="str">
        <f t="shared" si="497"/>
        <v/>
      </c>
      <c r="BF274" s="1114" t="str">
        <f t="shared" si="498"/>
        <v>X</v>
      </c>
      <c r="BG274" s="1114" t="str">
        <f t="shared" si="499"/>
        <v/>
      </c>
      <c r="BH274" s="1114" t="str">
        <f t="shared" si="500"/>
        <v/>
      </c>
      <c r="BI274" s="1114" t="str">
        <f t="shared" si="501"/>
        <v/>
      </c>
      <c r="BJ274" s="1115" t="str">
        <f t="shared" si="502"/>
        <v/>
      </c>
      <c r="BL274" s="1885"/>
    </row>
    <row r="275" spans="1:64" ht="13.9" customHeight="1" x14ac:dyDescent="0.25">
      <c r="A275" s="1916">
        <f>Chem!A275</f>
        <v>273</v>
      </c>
      <c r="B275" s="1880" t="str">
        <f>Chem!B275</f>
        <v>Lindane (gamma-BHC)</v>
      </c>
      <c r="C275" s="394" t="str">
        <f>Param!AK275</f>
        <v>no</v>
      </c>
      <c r="D275" s="317" t="str">
        <f>IF(ISNUMBER(Param!AN275),Param!AN275,Param!AM275)</f>
        <v>na</v>
      </c>
      <c r="E275" s="273" t="s">
        <v>232</v>
      </c>
      <c r="F275" s="643">
        <v>0.1</v>
      </c>
      <c r="G275" s="550" t="s">
        <v>232</v>
      </c>
      <c r="H275" s="550" t="s">
        <v>232</v>
      </c>
      <c r="I275" s="273" t="s">
        <v>232</v>
      </c>
      <c r="J275" s="273" t="s">
        <v>232</v>
      </c>
      <c r="K275" s="219" t="str">
        <f>IF(C275="YES",'SD-Eq'!V275,"na")</f>
        <v>na</v>
      </c>
      <c r="L275" s="273" t="str">
        <f>IF(C275="YES",'SD-Eq'!Z275,"na")</f>
        <v>na</v>
      </c>
      <c r="M275" s="435" t="str">
        <f t="shared" si="475"/>
        <v>na</v>
      </c>
      <c r="N275" s="273" t="str">
        <f t="shared" si="476"/>
        <v>na</v>
      </c>
      <c r="O275" s="1794" t="str">
        <f t="shared" si="477"/>
        <v>na</v>
      </c>
      <c r="P275" s="1789" t="str">
        <f t="shared" si="478"/>
        <v>na</v>
      </c>
      <c r="Q275" s="418" t="s">
        <v>232</v>
      </c>
      <c r="R275" s="418" t="s">
        <v>232</v>
      </c>
      <c r="S275" s="418" t="s">
        <v>232</v>
      </c>
      <c r="T275" s="418" t="s">
        <v>232</v>
      </c>
      <c r="U275" s="418" t="s">
        <v>232</v>
      </c>
      <c r="V275" s="418" t="s">
        <v>232</v>
      </c>
      <c r="W275" s="418" t="str">
        <f t="shared" si="479"/>
        <v>na</v>
      </c>
      <c r="X275" s="418" t="s">
        <v>232</v>
      </c>
      <c r="Y275" s="1884" t="str">
        <f t="shared" si="480"/>
        <v>na</v>
      </c>
      <c r="Z275" s="1884" t="str">
        <f t="shared" si="481"/>
        <v>na</v>
      </c>
      <c r="AA275" s="1789" t="s">
        <v>232</v>
      </c>
      <c r="AB275" s="1789" t="s">
        <v>232</v>
      </c>
      <c r="AC275" s="273" t="s">
        <v>232</v>
      </c>
      <c r="AD275" s="273" t="s">
        <v>232</v>
      </c>
      <c r="AE275" s="273" t="s">
        <v>232</v>
      </c>
      <c r="AF275" s="273" t="s">
        <v>232</v>
      </c>
      <c r="AG275" s="273" t="s">
        <v>232</v>
      </c>
      <c r="AH275" s="273" t="s">
        <v>232</v>
      </c>
      <c r="AI275" s="273" t="s">
        <v>232</v>
      </c>
      <c r="AJ275" s="273" t="s">
        <v>232</v>
      </c>
      <c r="AK275" s="273" t="s">
        <v>232</v>
      </c>
      <c r="AL275" s="273" t="s">
        <v>232</v>
      </c>
      <c r="AM275" s="273" t="s">
        <v>232</v>
      </c>
      <c r="AN275" s="273" t="str">
        <f t="shared" ref="AN275" si="527">IF(MIN(AA275,AB275)=0,"na",MIN(AA275,AB275))</f>
        <v>na</v>
      </c>
      <c r="AO275" s="273" t="str">
        <f t="shared" ref="AO275" si="528">IF(MIN(AC275:AF275)=0,"na",MIN(AC275:AF275))</f>
        <v>na</v>
      </c>
      <c r="AP275" s="273" t="str">
        <f t="shared" ref="AP275" si="529">IF(MIN(AG275,AH275)=0,"na",MIN(AG275,AH275))</f>
        <v>na</v>
      </c>
      <c r="AQ275" s="273" t="str">
        <f t="shared" ref="AQ275" si="530">IF(MIN(AI275:AL275)=0,"na",MIN(AI275:AL275))</f>
        <v>na</v>
      </c>
      <c r="AR275" s="1789" t="str">
        <f t="shared" ref="AR275" si="531">IF(MIN(AA275:AM275)=0,"na",MIN(AA275:AM275))</f>
        <v>na</v>
      </c>
      <c r="AS275" s="1051"/>
      <c r="AU275" s="1332" t="str">
        <f t="shared" si="487"/>
        <v/>
      </c>
      <c r="AV275" s="1114" t="str">
        <f t="shared" si="488"/>
        <v/>
      </c>
      <c r="AW275" s="1114" t="str">
        <f t="shared" si="489"/>
        <v/>
      </c>
      <c r="AX275" s="1114" t="str">
        <f t="shared" si="490"/>
        <v/>
      </c>
      <c r="AY275" s="1113" t="str">
        <f t="shared" si="491"/>
        <v/>
      </c>
      <c r="AZ275" s="1114" t="str">
        <f t="shared" si="492"/>
        <v/>
      </c>
      <c r="BA275" s="1114" t="str">
        <f t="shared" si="493"/>
        <v/>
      </c>
      <c r="BB275" s="1704" t="str">
        <f t="shared" si="494"/>
        <v/>
      </c>
      <c r="BC275" s="1113" t="str">
        <f t="shared" si="495"/>
        <v/>
      </c>
      <c r="BD275" s="1114" t="str">
        <f t="shared" si="496"/>
        <v/>
      </c>
      <c r="BE275" s="1114" t="str">
        <f t="shared" si="497"/>
        <v/>
      </c>
      <c r="BF275" s="1114" t="str">
        <f t="shared" si="498"/>
        <v/>
      </c>
      <c r="BG275" s="1114" t="str">
        <f t="shared" si="499"/>
        <v/>
      </c>
      <c r="BH275" s="1114" t="str">
        <f t="shared" si="500"/>
        <v/>
      </c>
      <c r="BI275" s="1114" t="str">
        <f t="shared" si="501"/>
        <v/>
      </c>
      <c r="BJ275" s="1115" t="str">
        <f t="shared" si="502"/>
        <v/>
      </c>
      <c r="BL275" s="1885"/>
    </row>
    <row r="276" spans="1:64" ht="13.9" customHeight="1" x14ac:dyDescent="0.25">
      <c r="A276" s="1916">
        <f>Chem!A276</f>
        <v>274</v>
      </c>
      <c r="B276" s="1880" t="str">
        <f>Chem!B276</f>
        <v>Malathion</v>
      </c>
      <c r="C276" s="384" t="str">
        <f>Param!AK276</f>
        <v>no</v>
      </c>
      <c r="D276" s="317" t="str">
        <f>IF(ISNUMBER(Param!AN276),Param!AN276,Param!AM276)</f>
        <v>na</v>
      </c>
      <c r="E276" s="273" t="s">
        <v>232</v>
      </c>
      <c r="F276" s="643" t="s">
        <v>232</v>
      </c>
      <c r="G276" s="550" t="s">
        <v>232</v>
      </c>
      <c r="H276" s="550" t="s">
        <v>232</v>
      </c>
      <c r="I276" s="273" t="s">
        <v>232</v>
      </c>
      <c r="J276" s="273" t="s">
        <v>232</v>
      </c>
      <c r="K276" s="219" t="str">
        <f>IF(C276="YES",'SD-Eq'!V276,"na")</f>
        <v>na</v>
      </c>
      <c r="L276" s="273" t="str">
        <f>IF(C276="YES",'SD-Eq'!Z276,"na")</f>
        <v>na</v>
      </c>
      <c r="M276" s="435" t="str">
        <f t="shared" si="475"/>
        <v>na</v>
      </c>
      <c r="N276" s="298" t="str">
        <f t="shared" si="476"/>
        <v>na</v>
      </c>
      <c r="O276" s="330" t="str">
        <f t="shared" si="477"/>
        <v>na</v>
      </c>
      <c r="P276" s="1809" t="str">
        <f t="shared" si="478"/>
        <v>na</v>
      </c>
      <c r="Q276" s="418" t="s">
        <v>232</v>
      </c>
      <c r="R276" s="418" t="s">
        <v>232</v>
      </c>
      <c r="S276" s="418" t="s">
        <v>232</v>
      </c>
      <c r="T276" s="418" t="s">
        <v>232</v>
      </c>
      <c r="U276" s="418" t="s">
        <v>232</v>
      </c>
      <c r="V276" s="418" t="s">
        <v>232</v>
      </c>
      <c r="W276" s="418" t="str">
        <f t="shared" si="479"/>
        <v>na</v>
      </c>
      <c r="X276" s="418" t="s">
        <v>232</v>
      </c>
      <c r="Y276" s="1884" t="str">
        <f t="shared" si="480"/>
        <v>na</v>
      </c>
      <c r="Z276" s="1884" t="str">
        <f t="shared" si="481"/>
        <v>na</v>
      </c>
      <c r="AA276" s="1789" t="s">
        <v>232</v>
      </c>
      <c r="AB276" s="1789" t="s">
        <v>232</v>
      </c>
      <c r="AC276" s="273" t="s">
        <v>232</v>
      </c>
      <c r="AD276" s="273" t="s">
        <v>232</v>
      </c>
      <c r="AE276" s="273" t="s">
        <v>232</v>
      </c>
      <c r="AF276" s="273" t="s">
        <v>232</v>
      </c>
      <c r="AG276" s="273" t="s">
        <v>232</v>
      </c>
      <c r="AH276" s="273" t="s">
        <v>232</v>
      </c>
      <c r="AI276" s="273" t="s">
        <v>232</v>
      </c>
      <c r="AJ276" s="273" t="s">
        <v>232</v>
      </c>
      <c r="AK276" s="273" t="s">
        <v>232</v>
      </c>
      <c r="AL276" s="273" t="s">
        <v>232</v>
      </c>
      <c r="AM276" s="273" t="s">
        <v>232</v>
      </c>
      <c r="AN276" s="273" t="str">
        <f t="shared" si="482"/>
        <v>na</v>
      </c>
      <c r="AO276" s="273" t="str">
        <f t="shared" si="483"/>
        <v>na</v>
      </c>
      <c r="AP276" s="273" t="str">
        <f t="shared" si="484"/>
        <v>na</v>
      </c>
      <c r="AQ276" s="273" t="str">
        <f t="shared" si="485"/>
        <v>na</v>
      </c>
      <c r="AR276" s="1789" t="str">
        <f t="shared" si="486"/>
        <v>na</v>
      </c>
      <c r="AS276" s="1051"/>
      <c r="AU276" s="1332" t="str">
        <f t="shared" si="487"/>
        <v/>
      </c>
      <c r="AV276" s="1114" t="str">
        <f t="shared" si="488"/>
        <v/>
      </c>
      <c r="AW276" s="1114" t="str">
        <f t="shared" si="489"/>
        <v/>
      </c>
      <c r="AX276" s="1114" t="str">
        <f t="shared" si="490"/>
        <v/>
      </c>
      <c r="AY276" s="1113" t="str">
        <f t="shared" si="491"/>
        <v/>
      </c>
      <c r="AZ276" s="1114" t="str">
        <f t="shared" si="492"/>
        <v/>
      </c>
      <c r="BA276" s="1114" t="str">
        <f t="shared" si="493"/>
        <v/>
      </c>
      <c r="BB276" s="1704" t="str">
        <f t="shared" si="494"/>
        <v/>
      </c>
      <c r="BC276" s="1113" t="str">
        <f t="shared" si="495"/>
        <v/>
      </c>
      <c r="BD276" s="1114" t="str">
        <f t="shared" si="496"/>
        <v/>
      </c>
      <c r="BE276" s="1114" t="str">
        <f t="shared" si="497"/>
        <v/>
      </c>
      <c r="BF276" s="1114" t="str">
        <f t="shared" si="498"/>
        <v/>
      </c>
      <c r="BG276" s="1114" t="str">
        <f t="shared" si="499"/>
        <v/>
      </c>
      <c r="BH276" s="1114" t="str">
        <f t="shared" si="500"/>
        <v/>
      </c>
      <c r="BI276" s="1114" t="str">
        <f t="shared" si="501"/>
        <v/>
      </c>
      <c r="BJ276" s="1115" t="str">
        <f t="shared" si="502"/>
        <v/>
      </c>
      <c r="BL276" s="1885"/>
    </row>
    <row r="277" spans="1:64" ht="13.9" customHeight="1" x14ac:dyDescent="0.25">
      <c r="A277" s="1916">
        <f>Chem!A277</f>
        <v>275</v>
      </c>
      <c r="B277" s="1880" t="str">
        <f>Chem!B277</f>
        <v>Methoxychlor</v>
      </c>
      <c r="C277" s="394" t="str">
        <f>Param!AK277</f>
        <v>no</v>
      </c>
      <c r="D277" s="317" t="str">
        <f>IF(ISNUMBER(Param!AN277),Param!AN277,Param!AM277)</f>
        <v>na</v>
      </c>
      <c r="E277" s="273" t="s">
        <v>232</v>
      </c>
      <c r="F277" s="643" t="s">
        <v>232</v>
      </c>
      <c r="G277" s="550" t="s">
        <v>232</v>
      </c>
      <c r="H277" s="550" t="s">
        <v>232</v>
      </c>
      <c r="I277" s="273" t="s">
        <v>232</v>
      </c>
      <c r="J277" s="273" t="s">
        <v>232</v>
      </c>
      <c r="K277" s="219" t="str">
        <f>IF(C277="YES",'SD-Eq'!V277,"na")</f>
        <v>na</v>
      </c>
      <c r="L277" s="273" t="str">
        <f>IF(C277="YES",'SD-Eq'!Z277,"na")</f>
        <v>na</v>
      </c>
      <c r="M277" s="435" t="str">
        <f t="shared" si="475"/>
        <v>na</v>
      </c>
      <c r="N277" s="273" t="str">
        <f t="shared" si="476"/>
        <v>na</v>
      </c>
      <c r="O277" s="1794" t="str">
        <f t="shared" si="477"/>
        <v>na</v>
      </c>
      <c r="P277" s="1789" t="str">
        <f t="shared" si="478"/>
        <v>na</v>
      </c>
      <c r="Q277" s="418" t="s">
        <v>232</v>
      </c>
      <c r="R277" s="418" t="s">
        <v>232</v>
      </c>
      <c r="S277" s="418" t="s">
        <v>232</v>
      </c>
      <c r="T277" s="418" t="s">
        <v>232</v>
      </c>
      <c r="U277" s="418" t="s">
        <v>232</v>
      </c>
      <c r="V277" s="418" t="s">
        <v>232</v>
      </c>
      <c r="W277" s="418" t="str">
        <f t="shared" si="479"/>
        <v>na</v>
      </c>
      <c r="X277" s="418" t="s">
        <v>232</v>
      </c>
      <c r="Y277" s="1884" t="str">
        <f t="shared" si="480"/>
        <v>na</v>
      </c>
      <c r="Z277" s="1884" t="str">
        <f t="shared" si="481"/>
        <v>na</v>
      </c>
      <c r="AA277" s="1789" t="s">
        <v>232</v>
      </c>
      <c r="AB277" s="1789" t="s">
        <v>232</v>
      </c>
      <c r="AC277" s="273" t="s">
        <v>232</v>
      </c>
      <c r="AD277" s="273" t="s">
        <v>232</v>
      </c>
      <c r="AE277" s="273" t="s">
        <v>232</v>
      </c>
      <c r="AF277" s="273" t="s">
        <v>232</v>
      </c>
      <c r="AG277" s="273" t="s">
        <v>232</v>
      </c>
      <c r="AH277" s="273" t="s">
        <v>232</v>
      </c>
      <c r="AI277" s="273" t="s">
        <v>232</v>
      </c>
      <c r="AJ277" s="273" t="s">
        <v>232</v>
      </c>
      <c r="AK277" s="273" t="s">
        <v>232</v>
      </c>
      <c r="AL277" s="273" t="s">
        <v>232</v>
      </c>
      <c r="AM277" s="273" t="s">
        <v>232</v>
      </c>
      <c r="AN277" s="273" t="str">
        <f t="shared" si="482"/>
        <v>na</v>
      </c>
      <c r="AO277" s="273" t="str">
        <f t="shared" si="483"/>
        <v>na</v>
      </c>
      <c r="AP277" s="273" t="str">
        <f t="shared" si="484"/>
        <v>na</v>
      </c>
      <c r="AQ277" s="273" t="str">
        <f t="shared" si="485"/>
        <v>na</v>
      </c>
      <c r="AR277" s="1789" t="str">
        <f t="shared" si="486"/>
        <v>na</v>
      </c>
      <c r="AS277" s="1051"/>
      <c r="AU277" s="1332" t="str">
        <f t="shared" si="487"/>
        <v/>
      </c>
      <c r="AV277" s="1114" t="str">
        <f t="shared" si="488"/>
        <v/>
      </c>
      <c r="AW277" s="1114" t="str">
        <f t="shared" si="489"/>
        <v/>
      </c>
      <c r="AX277" s="1114" t="str">
        <f t="shared" si="490"/>
        <v/>
      </c>
      <c r="AY277" s="1113" t="str">
        <f t="shared" si="491"/>
        <v/>
      </c>
      <c r="AZ277" s="1114" t="str">
        <f t="shared" si="492"/>
        <v/>
      </c>
      <c r="BA277" s="1114" t="str">
        <f t="shared" si="493"/>
        <v/>
      </c>
      <c r="BB277" s="1704" t="str">
        <f t="shared" si="494"/>
        <v/>
      </c>
      <c r="BC277" s="1113" t="str">
        <f t="shared" si="495"/>
        <v/>
      </c>
      <c r="BD277" s="1114" t="str">
        <f t="shared" si="496"/>
        <v/>
      </c>
      <c r="BE277" s="1114" t="str">
        <f t="shared" si="497"/>
        <v/>
      </c>
      <c r="BF277" s="1114" t="str">
        <f t="shared" si="498"/>
        <v/>
      </c>
      <c r="BG277" s="1114" t="str">
        <f t="shared" si="499"/>
        <v/>
      </c>
      <c r="BH277" s="1114" t="str">
        <f t="shared" si="500"/>
        <v/>
      </c>
      <c r="BI277" s="1114" t="str">
        <f t="shared" si="501"/>
        <v/>
      </c>
      <c r="BJ277" s="1115" t="str">
        <f t="shared" si="502"/>
        <v/>
      </c>
      <c r="BL277" s="1885"/>
    </row>
    <row r="278" spans="1:64" ht="13.9" customHeight="1" x14ac:dyDescent="0.25">
      <c r="A278" s="1916">
        <f>Chem!A278</f>
        <v>276</v>
      </c>
      <c r="B278" s="1880" t="str">
        <f>Chem!B278</f>
        <v>Mirex</v>
      </c>
      <c r="C278" s="384" t="str">
        <f>Param!AK278</f>
        <v>no</v>
      </c>
      <c r="D278" s="317" t="str">
        <f>IF(ISNUMBER(Param!AN278),Param!AN278,Param!AM278)</f>
        <v>na</v>
      </c>
      <c r="E278" s="273" t="s">
        <v>232</v>
      </c>
      <c r="F278" s="643" t="s">
        <v>232</v>
      </c>
      <c r="G278" s="550" t="s">
        <v>232</v>
      </c>
      <c r="H278" s="550" t="s">
        <v>232</v>
      </c>
      <c r="I278" s="273" t="s">
        <v>232</v>
      </c>
      <c r="J278" s="273" t="s">
        <v>232</v>
      </c>
      <c r="K278" s="219" t="str">
        <f>IF(C278="YES",'SD-Eq'!V278,"na")</f>
        <v>na</v>
      </c>
      <c r="L278" s="273" t="str">
        <f>IF(C278="YES",'SD-Eq'!Z278,"na")</f>
        <v>na</v>
      </c>
      <c r="M278" s="435" t="str">
        <f t="shared" si="475"/>
        <v>na</v>
      </c>
      <c r="N278" s="273" t="str">
        <f t="shared" si="476"/>
        <v>na</v>
      </c>
      <c r="O278" s="300" t="str">
        <f t="shared" si="477"/>
        <v>na</v>
      </c>
      <c r="P278" s="1788" t="str">
        <f t="shared" si="478"/>
        <v>na</v>
      </c>
      <c r="Q278" s="418" t="s">
        <v>232</v>
      </c>
      <c r="R278" s="418" t="s">
        <v>232</v>
      </c>
      <c r="S278" s="418" t="s">
        <v>232</v>
      </c>
      <c r="T278" s="418" t="s">
        <v>232</v>
      </c>
      <c r="U278" s="418" t="s">
        <v>232</v>
      </c>
      <c r="V278" s="418" t="s">
        <v>232</v>
      </c>
      <c r="W278" s="418" t="str">
        <f t="shared" si="479"/>
        <v>na</v>
      </c>
      <c r="X278" s="418" t="s">
        <v>232</v>
      </c>
      <c r="Y278" s="1884" t="str">
        <f t="shared" si="480"/>
        <v>na</v>
      </c>
      <c r="Z278" s="1884" t="str">
        <f t="shared" si="481"/>
        <v>na</v>
      </c>
      <c r="AA278" s="1789" t="s">
        <v>232</v>
      </c>
      <c r="AB278" s="1789" t="s">
        <v>232</v>
      </c>
      <c r="AC278" s="273" t="s">
        <v>232</v>
      </c>
      <c r="AD278" s="273" t="s">
        <v>232</v>
      </c>
      <c r="AE278" s="273" t="s">
        <v>232</v>
      </c>
      <c r="AF278" s="273" t="s">
        <v>232</v>
      </c>
      <c r="AG278" s="273" t="s">
        <v>232</v>
      </c>
      <c r="AH278" s="273" t="s">
        <v>232</v>
      </c>
      <c r="AI278" s="273" t="s">
        <v>232</v>
      </c>
      <c r="AJ278" s="273" t="s">
        <v>232</v>
      </c>
      <c r="AK278" s="273" t="s">
        <v>232</v>
      </c>
      <c r="AL278" s="273" t="s">
        <v>232</v>
      </c>
      <c r="AM278" s="273" t="s">
        <v>232</v>
      </c>
      <c r="AN278" s="273" t="str">
        <f t="shared" si="482"/>
        <v>na</v>
      </c>
      <c r="AO278" s="273" t="str">
        <f t="shared" si="483"/>
        <v>na</v>
      </c>
      <c r="AP278" s="273" t="str">
        <f t="shared" si="484"/>
        <v>na</v>
      </c>
      <c r="AQ278" s="273" t="str">
        <f t="shared" si="485"/>
        <v>na</v>
      </c>
      <c r="AR278" s="1789" t="str">
        <f t="shared" si="486"/>
        <v>na</v>
      </c>
      <c r="AS278" s="1051"/>
      <c r="AU278" s="1332" t="str">
        <f t="shared" si="487"/>
        <v/>
      </c>
      <c r="AV278" s="1114" t="str">
        <f t="shared" si="488"/>
        <v/>
      </c>
      <c r="AW278" s="1114" t="str">
        <f t="shared" si="489"/>
        <v/>
      </c>
      <c r="AX278" s="1114" t="str">
        <f t="shared" si="490"/>
        <v/>
      </c>
      <c r="AY278" s="1113" t="str">
        <f t="shared" si="491"/>
        <v/>
      </c>
      <c r="AZ278" s="1114" t="str">
        <f t="shared" si="492"/>
        <v/>
      </c>
      <c r="BA278" s="1114" t="str">
        <f t="shared" si="493"/>
        <v/>
      </c>
      <c r="BB278" s="1704" t="str">
        <f t="shared" si="494"/>
        <v/>
      </c>
      <c r="BC278" s="1113" t="str">
        <f t="shared" si="495"/>
        <v/>
      </c>
      <c r="BD278" s="1114" t="str">
        <f t="shared" si="496"/>
        <v/>
      </c>
      <c r="BE278" s="1114" t="str">
        <f t="shared" si="497"/>
        <v/>
      </c>
      <c r="BF278" s="1114" t="str">
        <f t="shared" si="498"/>
        <v/>
      </c>
      <c r="BG278" s="1114" t="str">
        <f t="shared" si="499"/>
        <v/>
      </c>
      <c r="BH278" s="1114" t="str">
        <f t="shared" si="500"/>
        <v/>
      </c>
      <c r="BI278" s="1114" t="str">
        <f t="shared" si="501"/>
        <v/>
      </c>
      <c r="BJ278" s="1115" t="str">
        <f t="shared" si="502"/>
        <v/>
      </c>
      <c r="BL278" s="1885"/>
    </row>
    <row r="279" spans="1:64" ht="13.9" customHeight="1" x14ac:dyDescent="0.25">
      <c r="A279" s="1916">
        <f>Chem!A279</f>
        <v>277</v>
      </c>
      <c r="B279" s="1880" t="str">
        <f>Chem!B279</f>
        <v>Nonachlor</v>
      </c>
      <c r="C279" s="384" t="str">
        <f>Param!AK279</f>
        <v>no</v>
      </c>
      <c r="D279" s="317" t="str">
        <f>IF(ISNUMBER(Param!AN279),Param!AN279,Param!AM279)</f>
        <v>na</v>
      </c>
      <c r="E279" s="273" t="s">
        <v>232</v>
      </c>
      <c r="F279" s="643">
        <v>1E-4</v>
      </c>
      <c r="G279" s="550" t="s">
        <v>232</v>
      </c>
      <c r="H279" s="550" t="s">
        <v>232</v>
      </c>
      <c r="I279" s="273" t="s">
        <v>232</v>
      </c>
      <c r="J279" s="273" t="s">
        <v>232</v>
      </c>
      <c r="K279" s="219" t="str">
        <f>IF(C279="YES",'SD-Eq'!V279,"na")</f>
        <v>na</v>
      </c>
      <c r="L279" s="273" t="str">
        <f>IF(C279="YES",'SD-Eq'!Z279,"na")</f>
        <v>na</v>
      </c>
      <c r="M279" s="435" t="str">
        <f t="shared" si="475"/>
        <v>na</v>
      </c>
      <c r="N279" s="273" t="str">
        <f t="shared" si="476"/>
        <v>na</v>
      </c>
      <c r="O279" s="300" t="str">
        <f t="shared" si="477"/>
        <v>na</v>
      </c>
      <c r="P279" s="1788" t="str">
        <f t="shared" si="478"/>
        <v>na</v>
      </c>
      <c r="Q279" s="418" t="s">
        <v>232</v>
      </c>
      <c r="R279" s="418" t="s">
        <v>232</v>
      </c>
      <c r="S279" s="418" t="s">
        <v>232</v>
      </c>
      <c r="T279" s="418" t="s">
        <v>232</v>
      </c>
      <c r="U279" s="418" t="s">
        <v>232</v>
      </c>
      <c r="V279" s="418" t="s">
        <v>232</v>
      </c>
      <c r="W279" s="418" t="str">
        <f t="shared" si="479"/>
        <v>na</v>
      </c>
      <c r="X279" s="418" t="s">
        <v>232</v>
      </c>
      <c r="Y279" s="1884" t="str">
        <f t="shared" si="480"/>
        <v>na</v>
      </c>
      <c r="Z279" s="1884" t="str">
        <f t="shared" si="481"/>
        <v>na</v>
      </c>
      <c r="AA279" s="1789" t="s">
        <v>232</v>
      </c>
      <c r="AB279" s="1789" t="s">
        <v>232</v>
      </c>
      <c r="AC279" s="273" t="s">
        <v>232</v>
      </c>
      <c r="AD279" s="273" t="s">
        <v>232</v>
      </c>
      <c r="AE279" s="273" t="s">
        <v>232</v>
      </c>
      <c r="AF279" s="273" t="s">
        <v>232</v>
      </c>
      <c r="AG279" s="273" t="s">
        <v>232</v>
      </c>
      <c r="AH279" s="273" t="s">
        <v>232</v>
      </c>
      <c r="AI279" s="273" t="s">
        <v>232</v>
      </c>
      <c r="AJ279" s="273" t="s">
        <v>232</v>
      </c>
      <c r="AK279" s="273" t="s">
        <v>232</v>
      </c>
      <c r="AL279" s="273" t="s">
        <v>232</v>
      </c>
      <c r="AM279" s="273" t="s">
        <v>232</v>
      </c>
      <c r="AN279" s="273" t="str">
        <f t="shared" si="482"/>
        <v>na</v>
      </c>
      <c r="AO279" s="273" t="str">
        <f t="shared" si="483"/>
        <v>na</v>
      </c>
      <c r="AP279" s="273" t="str">
        <f t="shared" si="484"/>
        <v>na</v>
      </c>
      <c r="AQ279" s="273" t="str">
        <f t="shared" si="485"/>
        <v>na</v>
      </c>
      <c r="AR279" s="1789" t="str">
        <f t="shared" si="486"/>
        <v>na</v>
      </c>
      <c r="AS279" s="1051"/>
      <c r="AU279" s="1332" t="str">
        <f t="shared" si="487"/>
        <v/>
      </c>
      <c r="AV279" s="1114" t="str">
        <f t="shared" si="488"/>
        <v/>
      </c>
      <c r="AW279" s="1114" t="str">
        <f t="shared" si="489"/>
        <v/>
      </c>
      <c r="AX279" s="1114" t="str">
        <f t="shared" si="490"/>
        <v/>
      </c>
      <c r="AY279" s="1113" t="str">
        <f t="shared" si="491"/>
        <v/>
      </c>
      <c r="AZ279" s="1114" t="str">
        <f t="shared" si="492"/>
        <v/>
      </c>
      <c r="BA279" s="1114" t="str">
        <f t="shared" si="493"/>
        <v/>
      </c>
      <c r="BB279" s="1704" t="str">
        <f t="shared" si="494"/>
        <v/>
      </c>
      <c r="BC279" s="1113" t="str">
        <f t="shared" si="495"/>
        <v/>
      </c>
      <c r="BD279" s="1114" t="str">
        <f t="shared" si="496"/>
        <v/>
      </c>
      <c r="BE279" s="1114" t="str">
        <f t="shared" si="497"/>
        <v/>
      </c>
      <c r="BF279" s="1114" t="str">
        <f t="shared" si="498"/>
        <v/>
      </c>
      <c r="BG279" s="1114" t="str">
        <f t="shared" si="499"/>
        <v/>
      </c>
      <c r="BH279" s="1114" t="str">
        <f t="shared" si="500"/>
        <v/>
      </c>
      <c r="BI279" s="1114" t="str">
        <f t="shared" si="501"/>
        <v/>
      </c>
      <c r="BJ279" s="1115" t="str">
        <f t="shared" si="502"/>
        <v/>
      </c>
      <c r="BL279" s="1885"/>
    </row>
    <row r="280" spans="1:64" ht="13.9" customHeight="1" x14ac:dyDescent="0.25">
      <c r="A280" s="1920">
        <f>Chem!A280</f>
        <v>278</v>
      </c>
      <c r="B280" s="1883" t="str">
        <f>Chem!B280</f>
        <v>Toxaphene</v>
      </c>
      <c r="C280" s="559" t="str">
        <f>Param!AK280</f>
        <v>no</v>
      </c>
      <c r="D280" s="1156" t="str">
        <f>IF(ISNUMBER(Param!AN280),Param!AN280,Param!AM280)</f>
        <v>na</v>
      </c>
      <c r="E280" s="732" t="s">
        <v>232</v>
      </c>
      <c r="F280" s="1157" t="s">
        <v>232</v>
      </c>
      <c r="G280" s="563" t="s">
        <v>232</v>
      </c>
      <c r="H280" s="563" t="s">
        <v>232</v>
      </c>
      <c r="I280" s="732" t="s">
        <v>232</v>
      </c>
      <c r="J280" s="732" t="s">
        <v>232</v>
      </c>
      <c r="K280" s="290" t="str">
        <f>IF(C280="YES",'SD-Eq'!V280,"na")</f>
        <v>na</v>
      </c>
      <c r="L280" s="732" t="str">
        <f>IF(C280="YES",'SD-Eq'!Z280,"na")</f>
        <v>na</v>
      </c>
      <c r="M280" s="587" t="str">
        <f t="shared" si="475"/>
        <v>na</v>
      </c>
      <c r="N280" s="732" t="str">
        <f t="shared" si="476"/>
        <v>na</v>
      </c>
      <c r="O280" s="1808" t="str">
        <f t="shared" si="477"/>
        <v>na</v>
      </c>
      <c r="P280" s="1810" t="str">
        <f t="shared" si="478"/>
        <v>na</v>
      </c>
      <c r="Q280" s="1890" t="s">
        <v>232</v>
      </c>
      <c r="R280" s="1890" t="s">
        <v>232</v>
      </c>
      <c r="S280" s="1890" t="s">
        <v>232</v>
      </c>
      <c r="T280" s="1890" t="s">
        <v>232</v>
      </c>
      <c r="U280" s="1890" t="s">
        <v>232</v>
      </c>
      <c r="V280" s="1890" t="s">
        <v>232</v>
      </c>
      <c r="W280" s="1890" t="str">
        <f t="shared" si="479"/>
        <v>na</v>
      </c>
      <c r="X280" s="1890" t="s">
        <v>232</v>
      </c>
      <c r="Y280" s="1892" t="str">
        <f t="shared" si="480"/>
        <v>na</v>
      </c>
      <c r="Z280" s="1892" t="str">
        <f t="shared" si="481"/>
        <v>na</v>
      </c>
      <c r="AA280" s="1810" t="s">
        <v>232</v>
      </c>
      <c r="AB280" s="1810" t="s">
        <v>232</v>
      </c>
      <c r="AC280" s="732" t="s">
        <v>232</v>
      </c>
      <c r="AD280" s="732" t="s">
        <v>232</v>
      </c>
      <c r="AE280" s="732" t="s">
        <v>232</v>
      </c>
      <c r="AF280" s="732" t="s">
        <v>232</v>
      </c>
      <c r="AG280" s="732" t="s">
        <v>232</v>
      </c>
      <c r="AH280" s="732" t="s">
        <v>232</v>
      </c>
      <c r="AI280" s="732" t="s">
        <v>232</v>
      </c>
      <c r="AJ280" s="732" t="s">
        <v>232</v>
      </c>
      <c r="AK280" s="732" t="s">
        <v>232</v>
      </c>
      <c r="AL280" s="732" t="s">
        <v>232</v>
      </c>
      <c r="AM280" s="732" t="s">
        <v>232</v>
      </c>
      <c r="AN280" s="732" t="str">
        <f t="shared" si="482"/>
        <v>na</v>
      </c>
      <c r="AO280" s="732" t="str">
        <f t="shared" si="483"/>
        <v>na</v>
      </c>
      <c r="AP280" s="732" t="str">
        <f t="shared" si="484"/>
        <v>na</v>
      </c>
      <c r="AQ280" s="732" t="str">
        <f t="shared" si="485"/>
        <v>na</v>
      </c>
      <c r="AR280" s="1810" t="str">
        <f t="shared" si="486"/>
        <v>na</v>
      </c>
      <c r="AS280" s="1795"/>
      <c r="AU280" s="1333" t="str">
        <f t="shared" si="487"/>
        <v/>
      </c>
      <c r="AV280" s="1117" t="str">
        <f t="shared" si="488"/>
        <v/>
      </c>
      <c r="AW280" s="1117" t="str">
        <f t="shared" si="489"/>
        <v/>
      </c>
      <c r="AX280" s="1117" t="str">
        <f t="shared" si="490"/>
        <v/>
      </c>
      <c r="AY280" s="1116" t="str">
        <f t="shared" si="491"/>
        <v/>
      </c>
      <c r="AZ280" s="1117" t="str">
        <f t="shared" si="492"/>
        <v/>
      </c>
      <c r="BA280" s="1117" t="str">
        <f t="shared" si="493"/>
        <v/>
      </c>
      <c r="BB280" s="1707" t="str">
        <f t="shared" si="494"/>
        <v/>
      </c>
      <c r="BC280" s="1336" t="str">
        <f t="shared" si="495"/>
        <v/>
      </c>
      <c r="BD280" s="1337" t="str">
        <f t="shared" si="496"/>
        <v/>
      </c>
      <c r="BE280" s="1337" t="str">
        <f t="shared" si="497"/>
        <v/>
      </c>
      <c r="BF280" s="1337" t="str">
        <f t="shared" si="498"/>
        <v/>
      </c>
      <c r="BG280" s="1337" t="str">
        <f t="shared" si="499"/>
        <v/>
      </c>
      <c r="BH280" s="1337" t="str">
        <f t="shared" si="500"/>
        <v/>
      </c>
      <c r="BI280" s="1337" t="str">
        <f t="shared" si="501"/>
        <v/>
      </c>
      <c r="BJ280" s="1338" t="str">
        <f t="shared" si="502"/>
        <v/>
      </c>
      <c r="BL280" s="1893"/>
    </row>
    <row r="281" spans="1:64" ht="13.9" customHeight="1" x14ac:dyDescent="0.25">
      <c r="A281" s="1919">
        <f>Chem!A281</f>
        <v>279</v>
      </c>
      <c r="B281" s="1904" t="str">
        <f>Chem!B281</f>
        <v>Herbicides</v>
      </c>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2370"/>
      <c r="AN281" s="2370"/>
      <c r="AO281" s="2370"/>
      <c r="AP281" s="2370"/>
      <c r="AQ281" s="2370"/>
      <c r="AR281" s="2370"/>
      <c r="AS281" s="2371"/>
      <c r="AU281" s="1334" t="str">
        <f>B281</f>
        <v>Herbicides</v>
      </c>
      <c r="AV281" s="2375"/>
      <c r="AW281" s="2375"/>
      <c r="AX281" s="2375"/>
      <c r="AY281" s="2375"/>
      <c r="AZ281" s="2375"/>
      <c r="BA281" s="2375"/>
      <c r="BB281" s="2375"/>
      <c r="BC281" s="2372"/>
      <c r="BD281" s="2372"/>
      <c r="BE281" s="2372"/>
      <c r="BF281" s="2372"/>
      <c r="BG281" s="2372"/>
      <c r="BH281" s="2372"/>
      <c r="BI281" s="2372"/>
      <c r="BJ281" s="2373"/>
      <c r="BL281" s="1901"/>
    </row>
    <row r="282" spans="1:64" ht="13.9" customHeight="1" x14ac:dyDescent="0.25">
      <c r="A282" s="1916">
        <f>Chem!A282</f>
        <v>280</v>
      </c>
      <c r="B282" s="1894" t="str">
        <f>Chem!B282</f>
        <v>2,4-Dichlorophenoxyacetic acid (2,4-D)</v>
      </c>
      <c r="C282" s="384" t="str">
        <f>Param!AK282</f>
        <v>no</v>
      </c>
      <c r="D282" s="317" t="str">
        <f>IF(ISNUMBER(Param!AN282),Param!AN282,Param!AM282)</f>
        <v>na</v>
      </c>
      <c r="E282" s="1155" t="s">
        <v>232</v>
      </c>
      <c r="F282" s="643" t="s">
        <v>232</v>
      </c>
      <c r="G282" s="550" t="s">
        <v>232</v>
      </c>
      <c r="H282" s="550" t="s">
        <v>232</v>
      </c>
      <c r="I282" s="273" t="s">
        <v>232</v>
      </c>
      <c r="J282" s="273" t="s">
        <v>232</v>
      </c>
      <c r="K282" s="219" t="str">
        <f>IF(C282="YES",'SD-Eq'!V282,"na")</f>
        <v>na</v>
      </c>
      <c r="L282" s="273" t="str">
        <f>IF(C282="YES",'SD-Eq'!Z282,"na")</f>
        <v>na</v>
      </c>
      <c r="M282" s="435" t="str">
        <f t="shared" si="475"/>
        <v>na</v>
      </c>
      <c r="N282" s="273" t="str">
        <f t="shared" ref="N282:N291" si="532">IF($C282="YES",IF(OR(ISNUMBER($D282),ISNUMBER($E282),ISNUMBER($F282)),MAX($D282:$F282),"PQL"),"na")</f>
        <v>na</v>
      </c>
      <c r="O282" s="300" t="str">
        <f t="shared" ref="O282:O291" si="533">IF(OR(ISNUMBER(H282),ISNUMBER(K282),ISNUMBER(M282)),MIN(H282,K282,M282),"na")</f>
        <v>na</v>
      </c>
      <c r="P282" s="1788" t="str">
        <f t="shared" ref="P282:P291" si="534">IF(OR(ISNUMBER(J282),ISNUMBER(L282),ISNUMBER(N282)),MIN(J282,L282,N282),"na")</f>
        <v>na</v>
      </c>
      <c r="Q282" s="418" t="s">
        <v>232</v>
      </c>
      <c r="R282" s="418" t="s">
        <v>232</v>
      </c>
      <c r="S282" s="418" t="s">
        <v>232</v>
      </c>
      <c r="T282" s="418" t="s">
        <v>232</v>
      </c>
      <c r="U282" s="418" t="s">
        <v>232</v>
      </c>
      <c r="V282" s="418" t="s">
        <v>232</v>
      </c>
      <c r="W282" s="418" t="str">
        <f t="shared" ref="W282:W291" si="535">IF(ISNUMBER(V282),H282,"na")</f>
        <v>na</v>
      </c>
      <c r="X282" s="418" t="s">
        <v>232</v>
      </c>
      <c r="Y282" s="1884" t="str">
        <f t="shared" ref="Y282:Y291" si="536">IF(OR(ISNUMBER(Q282),ISNUMBER(R282),ISNUMBER(S282),ISNUMBER(T282),ISNUMBER(X282)),MIN(Q282:T282,X282),"na")</f>
        <v>na</v>
      </c>
      <c r="Z282" s="1884" t="str">
        <f t="shared" ref="Z282:Z291" si="537">IF(OR(ISNUMBER(U282),ISNUMBER(W282),ISNUMBER(Y282)),MIN(U282,W282,Y282),O282)</f>
        <v>na</v>
      </c>
      <c r="AA282" s="1789" t="s">
        <v>232</v>
      </c>
      <c r="AB282" s="1789" t="s">
        <v>232</v>
      </c>
      <c r="AC282" s="273" t="s">
        <v>232</v>
      </c>
      <c r="AD282" s="273" t="s">
        <v>232</v>
      </c>
      <c r="AE282" s="273" t="s">
        <v>232</v>
      </c>
      <c r="AF282" s="273" t="s">
        <v>232</v>
      </c>
      <c r="AG282" s="273" t="s">
        <v>232</v>
      </c>
      <c r="AH282" s="273" t="s">
        <v>232</v>
      </c>
      <c r="AI282" s="273" t="s">
        <v>232</v>
      </c>
      <c r="AJ282" s="273" t="s">
        <v>232</v>
      </c>
      <c r="AK282" s="273" t="s">
        <v>232</v>
      </c>
      <c r="AL282" s="273" t="s">
        <v>232</v>
      </c>
      <c r="AM282" s="273" t="s">
        <v>232</v>
      </c>
      <c r="AN282" s="273" t="str">
        <f t="shared" si="482"/>
        <v>na</v>
      </c>
      <c r="AO282" s="273" t="str">
        <f t="shared" si="483"/>
        <v>na</v>
      </c>
      <c r="AP282" s="273" t="str">
        <f t="shared" si="484"/>
        <v>na</v>
      </c>
      <c r="AQ282" s="273" t="str">
        <f t="shared" si="485"/>
        <v>na</v>
      </c>
      <c r="AR282" s="1789" t="str">
        <f t="shared" si="486"/>
        <v>na</v>
      </c>
      <c r="AS282" s="1793"/>
      <c r="AU282" s="1331" t="str">
        <f t="shared" ref="AU282:AU291" si="538">IF($O282="na","",IF($O282=D282,"X",""))</f>
        <v/>
      </c>
      <c r="AV282" s="1111" t="str">
        <f t="shared" ref="AV282:AV291" si="539">IF(OR($O282="PQL",AND(ISNUMBER($F282),$O282=F282)),"X","")</f>
        <v/>
      </c>
      <c r="AW282" s="1111" t="str">
        <f t="shared" ref="AW282:AW291" si="540">IF($O282="na","",IF($O282=H282,"X",""))</f>
        <v/>
      </c>
      <c r="AX282" s="1111" t="str">
        <f t="shared" ref="AX282:AX291" si="541">IF($O282="na","",IF($O282=$K282,"X",""))</f>
        <v/>
      </c>
      <c r="AY282" s="1110" t="str">
        <f t="shared" ref="AY282:AY291" si="542">IF($P282="na","",IF($P282=E282,"X",""))</f>
        <v/>
      </c>
      <c r="AZ282" s="1111" t="str">
        <f t="shared" ref="AZ282:AZ291" si="543">IF(OR($P282="PQL",AND(ISNUMBER($F282),$P282=F282)),"X","")</f>
        <v/>
      </c>
      <c r="BA282" s="1111" t="str">
        <f t="shared" ref="BA282:BA291" si="544">IF($P282="na","",IF($P282=J282,"X",""))</f>
        <v/>
      </c>
      <c r="BB282" s="1703" t="str">
        <f t="shared" ref="BB282:BB291" si="545">IF($P282="na","",IF($P282=$L282,"X",""))</f>
        <v/>
      </c>
      <c r="BC282" s="1468" t="str">
        <f t="shared" ref="BC282:BC291" si="546">IF($Z282="na","",IF($Z282=D282,"X",""))</f>
        <v/>
      </c>
      <c r="BD282" s="1469" t="str">
        <f t="shared" ref="BD282:BD291" si="547">IF($Z282="na","",IF($Z282=F282,"X",""))</f>
        <v/>
      </c>
      <c r="BE282" s="1469" t="str">
        <f t="shared" ref="BE282:BE291" si="548">IF($Z282="na","",IF($Z282=H282,"X",""))</f>
        <v/>
      </c>
      <c r="BF282" s="1469" t="str">
        <f t="shared" ref="BF282:BF291" si="549">IF($Z282="na","",IF($Z282=K282,"X",""))</f>
        <v/>
      </c>
      <c r="BG282" s="1469" t="str">
        <f t="shared" ref="BG282:BG291" si="550">IF($Z282="na","",IF($Z282=Q282,"X",""))</f>
        <v/>
      </c>
      <c r="BH282" s="1469" t="str">
        <f t="shared" ref="BH282:BH291" si="551">IF($Z282="na","",IF(OR($Z282=R282,$Z282=S282,$Z282=T282),"X",""))</f>
        <v/>
      </c>
      <c r="BI282" s="1469" t="str">
        <f t="shared" ref="BI282:BI291" si="552">IF($Z282="na","",IF(OR($Z282=U282,$Z282=W282),"X",""))</f>
        <v/>
      </c>
      <c r="BJ282" s="1470" t="str">
        <f t="shared" ref="BJ282:BJ291" si="553">IF($Z282="na","",IF($Z282=X282,"X",""))</f>
        <v/>
      </c>
      <c r="BL282" s="1885"/>
    </row>
    <row r="283" spans="1:64" ht="13.9" customHeight="1" x14ac:dyDescent="0.25">
      <c r="A283" s="1916">
        <f>Chem!A283</f>
        <v>281</v>
      </c>
      <c r="B283" s="1895" t="str">
        <f>Chem!B283</f>
        <v>4-(2,4-Dichlorophenoxy)butanoic acid 2,4-DB</v>
      </c>
      <c r="C283" s="384" t="str">
        <f>Param!AK283</f>
        <v>no</v>
      </c>
      <c r="D283" s="317" t="str">
        <f>IF(ISNUMBER(Param!AN283),Param!AN283,Param!AM283)</f>
        <v>na</v>
      </c>
      <c r="E283" s="1155" t="s">
        <v>232</v>
      </c>
      <c r="F283" s="643" t="s">
        <v>232</v>
      </c>
      <c r="G283" s="550" t="s">
        <v>232</v>
      </c>
      <c r="H283" s="550" t="s">
        <v>232</v>
      </c>
      <c r="I283" s="273" t="s">
        <v>232</v>
      </c>
      <c r="J283" s="273" t="s">
        <v>232</v>
      </c>
      <c r="K283" s="219" t="str">
        <f>IF(C283="YES",'SD-Eq'!V283,"na")</f>
        <v>na</v>
      </c>
      <c r="L283" s="273" t="str">
        <f>IF(C283="YES",'SD-Eq'!Z283,"na")</f>
        <v>na</v>
      </c>
      <c r="M283" s="435" t="str">
        <f t="shared" si="475"/>
        <v>na</v>
      </c>
      <c r="N283" s="273" t="str">
        <f t="shared" si="532"/>
        <v>na</v>
      </c>
      <c r="O283" s="300" t="str">
        <f t="shared" si="533"/>
        <v>na</v>
      </c>
      <c r="P283" s="1788" t="str">
        <f t="shared" si="534"/>
        <v>na</v>
      </c>
      <c r="Q283" s="418" t="s">
        <v>232</v>
      </c>
      <c r="R283" s="418" t="s">
        <v>232</v>
      </c>
      <c r="S283" s="418" t="s">
        <v>232</v>
      </c>
      <c r="T283" s="418" t="s">
        <v>232</v>
      </c>
      <c r="U283" s="418" t="s">
        <v>232</v>
      </c>
      <c r="V283" s="418" t="s">
        <v>232</v>
      </c>
      <c r="W283" s="418" t="str">
        <f t="shared" si="535"/>
        <v>na</v>
      </c>
      <c r="X283" s="418" t="s">
        <v>232</v>
      </c>
      <c r="Y283" s="1884" t="str">
        <f t="shared" si="536"/>
        <v>na</v>
      </c>
      <c r="Z283" s="1884" t="str">
        <f t="shared" si="537"/>
        <v>na</v>
      </c>
      <c r="AA283" s="1789" t="s">
        <v>232</v>
      </c>
      <c r="AB283" s="1789" t="s">
        <v>232</v>
      </c>
      <c r="AC283" s="273" t="s">
        <v>232</v>
      </c>
      <c r="AD283" s="273" t="s">
        <v>232</v>
      </c>
      <c r="AE283" s="273" t="s">
        <v>232</v>
      </c>
      <c r="AF283" s="273" t="s">
        <v>232</v>
      </c>
      <c r="AG283" s="273" t="s">
        <v>232</v>
      </c>
      <c r="AH283" s="273" t="s">
        <v>232</v>
      </c>
      <c r="AI283" s="273" t="s">
        <v>232</v>
      </c>
      <c r="AJ283" s="273" t="s">
        <v>232</v>
      </c>
      <c r="AK283" s="273" t="s">
        <v>232</v>
      </c>
      <c r="AL283" s="273" t="s">
        <v>232</v>
      </c>
      <c r="AM283" s="273" t="s">
        <v>232</v>
      </c>
      <c r="AN283" s="273" t="str">
        <f t="shared" si="482"/>
        <v>na</v>
      </c>
      <c r="AO283" s="273" t="str">
        <f t="shared" si="483"/>
        <v>na</v>
      </c>
      <c r="AP283" s="273" t="str">
        <f t="shared" si="484"/>
        <v>na</v>
      </c>
      <c r="AQ283" s="273" t="str">
        <f t="shared" si="485"/>
        <v>na</v>
      </c>
      <c r="AR283" s="1789" t="str">
        <f t="shared" si="486"/>
        <v>na</v>
      </c>
      <c r="AS283" s="1051"/>
      <c r="AU283" s="1332" t="str">
        <f t="shared" si="538"/>
        <v/>
      </c>
      <c r="AV283" s="1114" t="str">
        <f t="shared" si="539"/>
        <v/>
      </c>
      <c r="AW283" s="1114" t="str">
        <f t="shared" si="540"/>
        <v/>
      </c>
      <c r="AX283" s="1114" t="str">
        <f t="shared" si="541"/>
        <v/>
      </c>
      <c r="AY283" s="1113" t="str">
        <f t="shared" si="542"/>
        <v/>
      </c>
      <c r="AZ283" s="1114" t="str">
        <f t="shared" si="543"/>
        <v/>
      </c>
      <c r="BA283" s="1114" t="str">
        <f t="shared" si="544"/>
        <v/>
      </c>
      <c r="BB283" s="1704" t="str">
        <f t="shared" si="545"/>
        <v/>
      </c>
      <c r="BC283" s="1113" t="str">
        <f t="shared" si="546"/>
        <v/>
      </c>
      <c r="BD283" s="1114" t="str">
        <f t="shared" si="547"/>
        <v/>
      </c>
      <c r="BE283" s="1114" t="str">
        <f t="shared" si="548"/>
        <v/>
      </c>
      <c r="BF283" s="1114" t="str">
        <f t="shared" si="549"/>
        <v/>
      </c>
      <c r="BG283" s="1114" t="str">
        <f t="shared" si="550"/>
        <v/>
      </c>
      <c r="BH283" s="1114" t="str">
        <f t="shared" si="551"/>
        <v/>
      </c>
      <c r="BI283" s="1114" t="str">
        <f t="shared" si="552"/>
        <v/>
      </c>
      <c r="BJ283" s="1115" t="str">
        <f t="shared" si="553"/>
        <v/>
      </c>
      <c r="BL283" s="1885"/>
    </row>
    <row r="284" spans="1:64" ht="13.9" customHeight="1" x14ac:dyDescent="0.25">
      <c r="A284" s="1916">
        <f>Chem!A284</f>
        <v>282</v>
      </c>
      <c r="B284" s="1895" t="str">
        <f>Chem!B284</f>
        <v>2-(2,4,5-Trichlorophenoxy)propionic acid (2,4,5-TP)</v>
      </c>
      <c r="C284" s="384" t="str">
        <f>Param!AK284</f>
        <v>no</v>
      </c>
      <c r="D284" s="317" t="str">
        <f>IF(ISNUMBER(Param!AN284),Param!AN284,Param!AM284)</f>
        <v>na</v>
      </c>
      <c r="E284" s="1155" t="s">
        <v>232</v>
      </c>
      <c r="F284" s="643" t="s">
        <v>232</v>
      </c>
      <c r="G284" s="550" t="s">
        <v>232</v>
      </c>
      <c r="H284" s="550" t="s">
        <v>232</v>
      </c>
      <c r="I284" s="273" t="s">
        <v>232</v>
      </c>
      <c r="J284" s="273" t="s">
        <v>232</v>
      </c>
      <c r="K284" s="219" t="str">
        <f>IF(C284="YES",'SD-Eq'!V284,"na")</f>
        <v>na</v>
      </c>
      <c r="L284" s="273" t="str">
        <f>IF(C284="YES",'SD-Eq'!Z284,"na")</f>
        <v>na</v>
      </c>
      <c r="M284" s="435" t="str">
        <f t="shared" si="475"/>
        <v>na</v>
      </c>
      <c r="N284" s="273" t="str">
        <f t="shared" si="532"/>
        <v>na</v>
      </c>
      <c r="O284" s="300" t="str">
        <f t="shared" si="533"/>
        <v>na</v>
      </c>
      <c r="P284" s="1788" t="str">
        <f t="shared" si="534"/>
        <v>na</v>
      </c>
      <c r="Q284" s="418" t="s">
        <v>232</v>
      </c>
      <c r="R284" s="418" t="s">
        <v>232</v>
      </c>
      <c r="S284" s="418" t="s">
        <v>232</v>
      </c>
      <c r="T284" s="418" t="s">
        <v>232</v>
      </c>
      <c r="U284" s="418" t="s">
        <v>232</v>
      </c>
      <c r="V284" s="418" t="s">
        <v>232</v>
      </c>
      <c r="W284" s="418" t="str">
        <f t="shared" si="535"/>
        <v>na</v>
      </c>
      <c r="X284" s="418" t="s">
        <v>232</v>
      </c>
      <c r="Y284" s="1884" t="str">
        <f t="shared" si="536"/>
        <v>na</v>
      </c>
      <c r="Z284" s="1884" t="str">
        <f t="shared" si="537"/>
        <v>na</v>
      </c>
      <c r="AA284" s="1789" t="s">
        <v>232</v>
      </c>
      <c r="AB284" s="1789" t="s">
        <v>232</v>
      </c>
      <c r="AC284" s="273" t="s">
        <v>232</v>
      </c>
      <c r="AD284" s="273" t="s">
        <v>232</v>
      </c>
      <c r="AE284" s="273" t="s">
        <v>232</v>
      </c>
      <c r="AF284" s="273" t="s">
        <v>232</v>
      </c>
      <c r="AG284" s="273" t="s">
        <v>232</v>
      </c>
      <c r="AH284" s="273" t="s">
        <v>232</v>
      </c>
      <c r="AI284" s="273" t="s">
        <v>232</v>
      </c>
      <c r="AJ284" s="273" t="s">
        <v>232</v>
      </c>
      <c r="AK284" s="273" t="s">
        <v>232</v>
      </c>
      <c r="AL284" s="273" t="s">
        <v>232</v>
      </c>
      <c r="AM284" s="273" t="s">
        <v>232</v>
      </c>
      <c r="AN284" s="273" t="str">
        <f t="shared" si="482"/>
        <v>na</v>
      </c>
      <c r="AO284" s="273" t="str">
        <f t="shared" si="483"/>
        <v>na</v>
      </c>
      <c r="AP284" s="273" t="str">
        <f t="shared" si="484"/>
        <v>na</v>
      </c>
      <c r="AQ284" s="273" t="str">
        <f t="shared" si="485"/>
        <v>na</v>
      </c>
      <c r="AR284" s="1789" t="str">
        <f t="shared" si="486"/>
        <v>na</v>
      </c>
      <c r="AS284" s="1051"/>
      <c r="AU284" s="1332" t="str">
        <f t="shared" si="538"/>
        <v/>
      </c>
      <c r="AV284" s="1114" t="str">
        <f t="shared" si="539"/>
        <v/>
      </c>
      <c r="AW284" s="1114" t="str">
        <f t="shared" si="540"/>
        <v/>
      </c>
      <c r="AX284" s="1114" t="str">
        <f t="shared" si="541"/>
        <v/>
      </c>
      <c r="AY284" s="1113" t="str">
        <f t="shared" si="542"/>
        <v/>
      </c>
      <c r="AZ284" s="1114" t="str">
        <f t="shared" si="543"/>
        <v/>
      </c>
      <c r="BA284" s="1114" t="str">
        <f t="shared" si="544"/>
        <v/>
      </c>
      <c r="BB284" s="1704" t="str">
        <f t="shared" si="545"/>
        <v/>
      </c>
      <c r="BC284" s="1113" t="str">
        <f t="shared" si="546"/>
        <v/>
      </c>
      <c r="BD284" s="1114" t="str">
        <f t="shared" si="547"/>
        <v/>
      </c>
      <c r="BE284" s="1114" t="str">
        <f t="shared" si="548"/>
        <v/>
      </c>
      <c r="BF284" s="1114" t="str">
        <f t="shared" si="549"/>
        <v/>
      </c>
      <c r="BG284" s="1114" t="str">
        <f t="shared" si="550"/>
        <v/>
      </c>
      <c r="BH284" s="1114" t="str">
        <f t="shared" si="551"/>
        <v/>
      </c>
      <c r="BI284" s="1114" t="str">
        <f t="shared" si="552"/>
        <v/>
      </c>
      <c r="BJ284" s="1115" t="str">
        <f t="shared" si="553"/>
        <v/>
      </c>
      <c r="BL284" s="1885"/>
    </row>
    <row r="285" spans="1:64" ht="13.9" customHeight="1" x14ac:dyDescent="0.25">
      <c r="A285" s="1916">
        <f>Chem!A285</f>
        <v>283</v>
      </c>
      <c r="B285" s="1895" t="str">
        <f>Chem!B285</f>
        <v>2,4,5-Trichlorophenoxyacetic acid (2,4,5-T)</v>
      </c>
      <c r="C285" s="384" t="str">
        <f>Param!AK285</f>
        <v>no</v>
      </c>
      <c r="D285" s="317" t="str">
        <f>IF(ISNUMBER(Param!AN285),Param!AN285,Param!AM285)</f>
        <v>na</v>
      </c>
      <c r="E285" s="1155" t="s">
        <v>232</v>
      </c>
      <c r="F285" s="643" t="s">
        <v>232</v>
      </c>
      <c r="G285" s="550" t="s">
        <v>232</v>
      </c>
      <c r="H285" s="550" t="s">
        <v>232</v>
      </c>
      <c r="I285" s="273" t="s">
        <v>232</v>
      </c>
      <c r="J285" s="273" t="s">
        <v>232</v>
      </c>
      <c r="K285" s="219" t="str">
        <f>IF(C285="YES",'SD-Eq'!V285,"na")</f>
        <v>na</v>
      </c>
      <c r="L285" s="273" t="str">
        <f>IF(C285="YES",'SD-Eq'!Z285,"na")</f>
        <v>na</v>
      </c>
      <c r="M285" s="435" t="str">
        <f t="shared" si="475"/>
        <v>na</v>
      </c>
      <c r="N285" s="273" t="str">
        <f t="shared" si="532"/>
        <v>na</v>
      </c>
      <c r="O285" s="300" t="str">
        <f t="shared" si="533"/>
        <v>na</v>
      </c>
      <c r="P285" s="1788" t="str">
        <f t="shared" si="534"/>
        <v>na</v>
      </c>
      <c r="Q285" s="418" t="s">
        <v>232</v>
      </c>
      <c r="R285" s="418" t="s">
        <v>232</v>
      </c>
      <c r="S285" s="418" t="s">
        <v>232</v>
      </c>
      <c r="T285" s="418" t="s">
        <v>232</v>
      </c>
      <c r="U285" s="418" t="s">
        <v>232</v>
      </c>
      <c r="V285" s="418" t="s">
        <v>232</v>
      </c>
      <c r="W285" s="418" t="str">
        <f t="shared" si="535"/>
        <v>na</v>
      </c>
      <c r="X285" s="418" t="s">
        <v>232</v>
      </c>
      <c r="Y285" s="1884" t="str">
        <f t="shared" si="536"/>
        <v>na</v>
      </c>
      <c r="Z285" s="1884" t="str">
        <f t="shared" si="537"/>
        <v>na</v>
      </c>
      <c r="AA285" s="1789" t="s">
        <v>232</v>
      </c>
      <c r="AB285" s="1789" t="s">
        <v>232</v>
      </c>
      <c r="AC285" s="273" t="s">
        <v>232</v>
      </c>
      <c r="AD285" s="273" t="s">
        <v>232</v>
      </c>
      <c r="AE285" s="273" t="s">
        <v>232</v>
      </c>
      <c r="AF285" s="273" t="s">
        <v>232</v>
      </c>
      <c r="AG285" s="273" t="s">
        <v>232</v>
      </c>
      <c r="AH285" s="273" t="s">
        <v>232</v>
      </c>
      <c r="AI285" s="273" t="s">
        <v>232</v>
      </c>
      <c r="AJ285" s="273" t="s">
        <v>232</v>
      </c>
      <c r="AK285" s="273" t="s">
        <v>232</v>
      </c>
      <c r="AL285" s="273" t="s">
        <v>232</v>
      </c>
      <c r="AM285" s="273" t="s">
        <v>232</v>
      </c>
      <c r="AN285" s="273" t="str">
        <f t="shared" si="482"/>
        <v>na</v>
      </c>
      <c r="AO285" s="273" t="str">
        <f t="shared" si="483"/>
        <v>na</v>
      </c>
      <c r="AP285" s="273" t="str">
        <f t="shared" si="484"/>
        <v>na</v>
      </c>
      <c r="AQ285" s="273" t="str">
        <f t="shared" si="485"/>
        <v>na</v>
      </c>
      <c r="AR285" s="1789" t="str">
        <f t="shared" si="486"/>
        <v>na</v>
      </c>
      <c r="AS285" s="1051"/>
      <c r="AU285" s="1332" t="str">
        <f t="shared" si="538"/>
        <v/>
      </c>
      <c r="AV285" s="1114" t="str">
        <f t="shared" si="539"/>
        <v/>
      </c>
      <c r="AW285" s="1114" t="str">
        <f t="shared" si="540"/>
        <v/>
      </c>
      <c r="AX285" s="1114" t="str">
        <f t="shared" si="541"/>
        <v/>
      </c>
      <c r="AY285" s="1113" t="str">
        <f t="shared" si="542"/>
        <v/>
      </c>
      <c r="AZ285" s="1114" t="str">
        <f t="shared" si="543"/>
        <v/>
      </c>
      <c r="BA285" s="1114" t="str">
        <f t="shared" si="544"/>
        <v/>
      </c>
      <c r="BB285" s="1704" t="str">
        <f t="shared" si="545"/>
        <v/>
      </c>
      <c r="BC285" s="1113" t="str">
        <f t="shared" si="546"/>
        <v/>
      </c>
      <c r="BD285" s="1114" t="str">
        <f t="shared" si="547"/>
        <v/>
      </c>
      <c r="BE285" s="1114" t="str">
        <f t="shared" si="548"/>
        <v/>
      </c>
      <c r="BF285" s="1114" t="str">
        <f t="shared" si="549"/>
        <v/>
      </c>
      <c r="BG285" s="1114" t="str">
        <f t="shared" si="550"/>
        <v/>
      </c>
      <c r="BH285" s="1114" t="str">
        <f t="shared" si="551"/>
        <v/>
      </c>
      <c r="BI285" s="1114" t="str">
        <f t="shared" si="552"/>
        <v/>
      </c>
      <c r="BJ285" s="1115" t="str">
        <f t="shared" si="553"/>
        <v/>
      </c>
      <c r="BL285" s="1885"/>
    </row>
    <row r="286" spans="1:64" ht="13.9" customHeight="1" x14ac:dyDescent="0.25">
      <c r="A286" s="1916">
        <f>Chem!A286</f>
        <v>284</v>
      </c>
      <c r="B286" s="1895" t="str">
        <f>Chem!B286</f>
        <v>Dalapon</v>
      </c>
      <c r="C286" s="384" t="str">
        <f>Param!AK286</f>
        <v>no</v>
      </c>
      <c r="D286" s="317" t="str">
        <f>IF(ISNUMBER(Param!AN286),Param!AN286,Param!AM286)</f>
        <v>na</v>
      </c>
      <c r="E286" s="1155" t="s">
        <v>232</v>
      </c>
      <c r="F286" s="643" t="s">
        <v>232</v>
      </c>
      <c r="G286" s="550" t="s">
        <v>232</v>
      </c>
      <c r="H286" s="550" t="s">
        <v>232</v>
      </c>
      <c r="I286" s="273" t="s">
        <v>232</v>
      </c>
      <c r="J286" s="273" t="s">
        <v>232</v>
      </c>
      <c r="K286" s="219" t="str">
        <f>IF(C286="YES",'SD-Eq'!V286,"na")</f>
        <v>na</v>
      </c>
      <c r="L286" s="273" t="str">
        <f>IF(C286="YES",'SD-Eq'!Z286,"na")</f>
        <v>na</v>
      </c>
      <c r="M286" s="435" t="str">
        <f t="shared" si="475"/>
        <v>na</v>
      </c>
      <c r="N286" s="273" t="str">
        <f t="shared" si="532"/>
        <v>na</v>
      </c>
      <c r="O286" s="300" t="str">
        <f t="shared" si="533"/>
        <v>na</v>
      </c>
      <c r="P286" s="1788" t="str">
        <f t="shared" si="534"/>
        <v>na</v>
      </c>
      <c r="Q286" s="418" t="s">
        <v>232</v>
      </c>
      <c r="R286" s="418" t="s">
        <v>232</v>
      </c>
      <c r="S286" s="418" t="s">
        <v>232</v>
      </c>
      <c r="T286" s="418" t="s">
        <v>232</v>
      </c>
      <c r="U286" s="418" t="s">
        <v>232</v>
      </c>
      <c r="V286" s="418" t="s">
        <v>232</v>
      </c>
      <c r="W286" s="418" t="str">
        <f t="shared" si="535"/>
        <v>na</v>
      </c>
      <c r="X286" s="418" t="s">
        <v>232</v>
      </c>
      <c r="Y286" s="1884" t="str">
        <f t="shared" si="536"/>
        <v>na</v>
      </c>
      <c r="Z286" s="1884" t="str">
        <f t="shared" si="537"/>
        <v>na</v>
      </c>
      <c r="AA286" s="1789" t="s">
        <v>232</v>
      </c>
      <c r="AB286" s="1789" t="s">
        <v>232</v>
      </c>
      <c r="AC286" s="273" t="s">
        <v>232</v>
      </c>
      <c r="AD286" s="273" t="s">
        <v>232</v>
      </c>
      <c r="AE286" s="273" t="s">
        <v>232</v>
      </c>
      <c r="AF286" s="273" t="s">
        <v>232</v>
      </c>
      <c r="AG286" s="273" t="s">
        <v>232</v>
      </c>
      <c r="AH286" s="273" t="s">
        <v>232</v>
      </c>
      <c r="AI286" s="273" t="s">
        <v>232</v>
      </c>
      <c r="AJ286" s="273" t="s">
        <v>232</v>
      </c>
      <c r="AK286" s="273" t="s">
        <v>232</v>
      </c>
      <c r="AL286" s="273" t="s">
        <v>232</v>
      </c>
      <c r="AM286" s="273" t="s">
        <v>232</v>
      </c>
      <c r="AN286" s="273" t="str">
        <f t="shared" si="482"/>
        <v>na</v>
      </c>
      <c r="AO286" s="273" t="str">
        <f t="shared" si="483"/>
        <v>na</v>
      </c>
      <c r="AP286" s="273" t="str">
        <f t="shared" si="484"/>
        <v>na</v>
      </c>
      <c r="AQ286" s="273" t="str">
        <f t="shared" si="485"/>
        <v>na</v>
      </c>
      <c r="AR286" s="1789" t="str">
        <f t="shared" si="486"/>
        <v>na</v>
      </c>
      <c r="AS286" s="1051"/>
      <c r="AU286" s="1332" t="str">
        <f t="shared" si="538"/>
        <v/>
      </c>
      <c r="AV286" s="1114" t="str">
        <f t="shared" si="539"/>
        <v/>
      </c>
      <c r="AW286" s="1114" t="str">
        <f t="shared" si="540"/>
        <v/>
      </c>
      <c r="AX286" s="1114" t="str">
        <f t="shared" si="541"/>
        <v/>
      </c>
      <c r="AY286" s="1113" t="str">
        <f t="shared" si="542"/>
        <v/>
      </c>
      <c r="AZ286" s="1114" t="str">
        <f t="shared" si="543"/>
        <v/>
      </c>
      <c r="BA286" s="1114" t="str">
        <f t="shared" si="544"/>
        <v/>
      </c>
      <c r="BB286" s="1704" t="str">
        <f t="shared" si="545"/>
        <v/>
      </c>
      <c r="BC286" s="1113" t="str">
        <f t="shared" si="546"/>
        <v/>
      </c>
      <c r="BD286" s="1114" t="str">
        <f t="shared" si="547"/>
        <v/>
      </c>
      <c r="BE286" s="1114" t="str">
        <f t="shared" si="548"/>
        <v/>
      </c>
      <c r="BF286" s="1114" t="str">
        <f t="shared" si="549"/>
        <v/>
      </c>
      <c r="BG286" s="1114" t="str">
        <f t="shared" si="550"/>
        <v/>
      </c>
      <c r="BH286" s="1114" t="str">
        <f t="shared" si="551"/>
        <v/>
      </c>
      <c r="BI286" s="1114" t="str">
        <f t="shared" si="552"/>
        <v/>
      </c>
      <c r="BJ286" s="1115" t="str">
        <f t="shared" si="553"/>
        <v/>
      </c>
      <c r="BL286" s="1885"/>
    </row>
    <row r="287" spans="1:64" ht="13.9" customHeight="1" x14ac:dyDescent="0.25">
      <c r="A287" s="1916">
        <f>Chem!A287</f>
        <v>285</v>
      </c>
      <c r="B287" s="1895" t="str">
        <f>Chem!B287</f>
        <v>Dicamba</v>
      </c>
      <c r="C287" s="384" t="str">
        <f>Param!AK287</f>
        <v>no</v>
      </c>
      <c r="D287" s="317" t="str">
        <f>IF(ISNUMBER(Param!AN287),Param!AN287,Param!AM287)</f>
        <v>na</v>
      </c>
      <c r="E287" s="1155" t="s">
        <v>232</v>
      </c>
      <c r="F287" s="643" t="s">
        <v>232</v>
      </c>
      <c r="G287" s="550" t="s">
        <v>232</v>
      </c>
      <c r="H287" s="550" t="s">
        <v>232</v>
      </c>
      <c r="I287" s="273" t="s">
        <v>232</v>
      </c>
      <c r="J287" s="273" t="s">
        <v>232</v>
      </c>
      <c r="K287" s="219" t="str">
        <f>IF(C287="YES",'SD-Eq'!V287,"na")</f>
        <v>na</v>
      </c>
      <c r="L287" s="273" t="str">
        <f>IF(C287="YES",'SD-Eq'!Z287,"na")</f>
        <v>na</v>
      </c>
      <c r="M287" s="435" t="str">
        <f t="shared" si="475"/>
        <v>na</v>
      </c>
      <c r="N287" s="273" t="str">
        <f t="shared" si="532"/>
        <v>na</v>
      </c>
      <c r="O287" s="300" t="str">
        <f t="shared" si="533"/>
        <v>na</v>
      </c>
      <c r="P287" s="1788" t="str">
        <f t="shared" si="534"/>
        <v>na</v>
      </c>
      <c r="Q287" s="418" t="s">
        <v>232</v>
      </c>
      <c r="R287" s="418" t="s">
        <v>232</v>
      </c>
      <c r="S287" s="418" t="s">
        <v>232</v>
      </c>
      <c r="T287" s="418" t="s">
        <v>232</v>
      </c>
      <c r="U287" s="418" t="s">
        <v>232</v>
      </c>
      <c r="V287" s="418" t="s">
        <v>232</v>
      </c>
      <c r="W287" s="418" t="str">
        <f t="shared" si="535"/>
        <v>na</v>
      </c>
      <c r="X287" s="418" t="s">
        <v>232</v>
      </c>
      <c r="Y287" s="1884" t="str">
        <f t="shared" si="536"/>
        <v>na</v>
      </c>
      <c r="Z287" s="1884" t="str">
        <f t="shared" si="537"/>
        <v>na</v>
      </c>
      <c r="AA287" s="1789" t="s">
        <v>232</v>
      </c>
      <c r="AB287" s="1789" t="s">
        <v>232</v>
      </c>
      <c r="AC287" s="273" t="s">
        <v>232</v>
      </c>
      <c r="AD287" s="273" t="s">
        <v>232</v>
      </c>
      <c r="AE287" s="273" t="s">
        <v>232</v>
      </c>
      <c r="AF287" s="273" t="s">
        <v>232</v>
      </c>
      <c r="AG287" s="273" t="s">
        <v>232</v>
      </c>
      <c r="AH287" s="273" t="s">
        <v>232</v>
      </c>
      <c r="AI287" s="273" t="s">
        <v>232</v>
      </c>
      <c r="AJ287" s="273" t="s">
        <v>232</v>
      </c>
      <c r="AK287" s="273" t="s">
        <v>232</v>
      </c>
      <c r="AL287" s="273" t="s">
        <v>232</v>
      </c>
      <c r="AM287" s="273" t="s">
        <v>232</v>
      </c>
      <c r="AN287" s="273" t="str">
        <f t="shared" si="482"/>
        <v>na</v>
      </c>
      <c r="AO287" s="273" t="str">
        <f t="shared" si="483"/>
        <v>na</v>
      </c>
      <c r="AP287" s="273" t="str">
        <f t="shared" si="484"/>
        <v>na</v>
      </c>
      <c r="AQ287" s="273" t="str">
        <f t="shared" si="485"/>
        <v>na</v>
      </c>
      <c r="AR287" s="1789" t="str">
        <f t="shared" si="486"/>
        <v>na</v>
      </c>
      <c r="AS287" s="1051"/>
      <c r="AU287" s="1332" t="str">
        <f t="shared" si="538"/>
        <v/>
      </c>
      <c r="AV287" s="1114" t="str">
        <f t="shared" si="539"/>
        <v/>
      </c>
      <c r="AW287" s="1114" t="str">
        <f t="shared" si="540"/>
        <v/>
      </c>
      <c r="AX287" s="1114" t="str">
        <f t="shared" si="541"/>
        <v/>
      </c>
      <c r="AY287" s="1113" t="str">
        <f t="shared" si="542"/>
        <v/>
      </c>
      <c r="AZ287" s="1114" t="str">
        <f t="shared" si="543"/>
        <v/>
      </c>
      <c r="BA287" s="1114" t="str">
        <f t="shared" si="544"/>
        <v/>
      </c>
      <c r="BB287" s="1704" t="str">
        <f t="shared" si="545"/>
        <v/>
      </c>
      <c r="BC287" s="1113" t="str">
        <f t="shared" si="546"/>
        <v/>
      </c>
      <c r="BD287" s="1114" t="str">
        <f t="shared" si="547"/>
        <v/>
      </c>
      <c r="BE287" s="1114" t="str">
        <f t="shared" si="548"/>
        <v/>
      </c>
      <c r="BF287" s="1114" t="str">
        <f t="shared" si="549"/>
        <v/>
      </c>
      <c r="BG287" s="1114" t="str">
        <f t="shared" si="550"/>
        <v/>
      </c>
      <c r="BH287" s="1114" t="str">
        <f t="shared" si="551"/>
        <v/>
      </c>
      <c r="BI287" s="1114" t="str">
        <f t="shared" si="552"/>
        <v/>
      </c>
      <c r="BJ287" s="1115" t="str">
        <f t="shared" si="553"/>
        <v/>
      </c>
      <c r="BL287" s="1885"/>
    </row>
    <row r="288" spans="1:64" ht="13.9" customHeight="1" x14ac:dyDescent="0.25">
      <c r="A288" s="1916">
        <f>Chem!A288</f>
        <v>286</v>
      </c>
      <c r="B288" s="1895" t="str">
        <f>Chem!B288</f>
        <v>Dichloroprop</v>
      </c>
      <c r="C288" s="384" t="str">
        <f>Param!AK288</f>
        <v>no</v>
      </c>
      <c r="D288" s="317" t="str">
        <f>IF(ISNUMBER(Param!AN288),Param!AN288,Param!AM288)</f>
        <v>na</v>
      </c>
      <c r="E288" s="1155" t="s">
        <v>232</v>
      </c>
      <c r="F288" s="643" t="s">
        <v>232</v>
      </c>
      <c r="G288" s="550" t="s">
        <v>232</v>
      </c>
      <c r="H288" s="550" t="s">
        <v>232</v>
      </c>
      <c r="I288" s="273" t="s">
        <v>232</v>
      </c>
      <c r="J288" s="273" t="s">
        <v>232</v>
      </c>
      <c r="K288" s="219" t="str">
        <f>IF(C288="YES",'SD-Eq'!V288,"na")</f>
        <v>na</v>
      </c>
      <c r="L288" s="273" t="str">
        <f>IF(C288="YES",'SD-Eq'!Z288,"na")</f>
        <v>na</v>
      </c>
      <c r="M288" s="435" t="str">
        <f t="shared" si="475"/>
        <v>na</v>
      </c>
      <c r="N288" s="273" t="str">
        <f t="shared" si="532"/>
        <v>na</v>
      </c>
      <c r="O288" s="300" t="str">
        <f t="shared" si="533"/>
        <v>na</v>
      </c>
      <c r="P288" s="1788" t="str">
        <f t="shared" si="534"/>
        <v>na</v>
      </c>
      <c r="Q288" s="418" t="s">
        <v>232</v>
      </c>
      <c r="R288" s="418" t="s">
        <v>232</v>
      </c>
      <c r="S288" s="418" t="s">
        <v>232</v>
      </c>
      <c r="T288" s="418" t="s">
        <v>232</v>
      </c>
      <c r="U288" s="418" t="s">
        <v>232</v>
      </c>
      <c r="V288" s="418" t="s">
        <v>232</v>
      </c>
      <c r="W288" s="418" t="str">
        <f t="shared" si="535"/>
        <v>na</v>
      </c>
      <c r="X288" s="418" t="s">
        <v>232</v>
      </c>
      <c r="Y288" s="1884" t="str">
        <f t="shared" si="536"/>
        <v>na</v>
      </c>
      <c r="Z288" s="1884" t="str">
        <f t="shared" si="537"/>
        <v>na</v>
      </c>
      <c r="AA288" s="1789" t="s">
        <v>232</v>
      </c>
      <c r="AB288" s="1789" t="s">
        <v>232</v>
      </c>
      <c r="AC288" s="273" t="s">
        <v>232</v>
      </c>
      <c r="AD288" s="273" t="s">
        <v>232</v>
      </c>
      <c r="AE288" s="273" t="s">
        <v>232</v>
      </c>
      <c r="AF288" s="273" t="s">
        <v>232</v>
      </c>
      <c r="AG288" s="273" t="s">
        <v>232</v>
      </c>
      <c r="AH288" s="273" t="s">
        <v>232</v>
      </c>
      <c r="AI288" s="273" t="s">
        <v>232</v>
      </c>
      <c r="AJ288" s="273" t="s">
        <v>232</v>
      </c>
      <c r="AK288" s="273" t="s">
        <v>232</v>
      </c>
      <c r="AL288" s="273" t="s">
        <v>232</v>
      </c>
      <c r="AM288" s="273" t="s">
        <v>232</v>
      </c>
      <c r="AN288" s="273" t="str">
        <f t="shared" si="482"/>
        <v>na</v>
      </c>
      <c r="AO288" s="273" t="str">
        <f t="shared" si="483"/>
        <v>na</v>
      </c>
      <c r="AP288" s="273" t="str">
        <f t="shared" si="484"/>
        <v>na</v>
      </c>
      <c r="AQ288" s="273" t="str">
        <f t="shared" si="485"/>
        <v>na</v>
      </c>
      <c r="AR288" s="1789" t="str">
        <f t="shared" si="486"/>
        <v>na</v>
      </c>
      <c r="AS288" s="1051"/>
      <c r="AU288" s="1332" t="str">
        <f t="shared" si="538"/>
        <v/>
      </c>
      <c r="AV288" s="1114" t="str">
        <f t="shared" si="539"/>
        <v/>
      </c>
      <c r="AW288" s="1114" t="str">
        <f t="shared" si="540"/>
        <v/>
      </c>
      <c r="AX288" s="1114" t="str">
        <f t="shared" si="541"/>
        <v/>
      </c>
      <c r="AY288" s="1113" t="str">
        <f t="shared" si="542"/>
        <v/>
      </c>
      <c r="AZ288" s="1114" t="str">
        <f t="shared" si="543"/>
        <v/>
      </c>
      <c r="BA288" s="1114" t="str">
        <f t="shared" si="544"/>
        <v/>
      </c>
      <c r="BB288" s="1704" t="str">
        <f t="shared" si="545"/>
        <v/>
      </c>
      <c r="BC288" s="1113" t="str">
        <f t="shared" si="546"/>
        <v/>
      </c>
      <c r="BD288" s="1114" t="str">
        <f t="shared" si="547"/>
        <v/>
      </c>
      <c r="BE288" s="1114" t="str">
        <f t="shared" si="548"/>
        <v/>
      </c>
      <c r="BF288" s="1114" t="str">
        <f t="shared" si="549"/>
        <v/>
      </c>
      <c r="BG288" s="1114" t="str">
        <f t="shared" si="550"/>
        <v/>
      </c>
      <c r="BH288" s="1114" t="str">
        <f t="shared" si="551"/>
        <v/>
      </c>
      <c r="BI288" s="1114" t="str">
        <f t="shared" si="552"/>
        <v/>
      </c>
      <c r="BJ288" s="1115" t="str">
        <f t="shared" si="553"/>
        <v/>
      </c>
      <c r="BL288" s="1885"/>
    </row>
    <row r="289" spans="1:64" ht="13.9" customHeight="1" x14ac:dyDescent="0.25">
      <c r="A289" s="1916">
        <f>Chem!A289</f>
        <v>287</v>
      </c>
      <c r="B289" s="1895" t="str">
        <f>Chem!B289</f>
        <v>Dinoseb</v>
      </c>
      <c r="C289" s="384" t="str">
        <f>Param!AK289</f>
        <v>no</v>
      </c>
      <c r="D289" s="317" t="str">
        <f>IF(ISNUMBER(Param!AN289),Param!AN289,Param!AM289)</f>
        <v>na</v>
      </c>
      <c r="E289" s="1155" t="s">
        <v>232</v>
      </c>
      <c r="F289" s="643" t="s">
        <v>232</v>
      </c>
      <c r="G289" s="550" t="s">
        <v>232</v>
      </c>
      <c r="H289" s="550" t="s">
        <v>232</v>
      </c>
      <c r="I289" s="273" t="s">
        <v>232</v>
      </c>
      <c r="J289" s="273" t="s">
        <v>232</v>
      </c>
      <c r="K289" s="219" t="str">
        <f>IF(C289="YES",'SD-Eq'!V289,"na")</f>
        <v>na</v>
      </c>
      <c r="L289" s="273" t="str">
        <f>IF(C289="YES",'SD-Eq'!Z289,"na")</f>
        <v>na</v>
      </c>
      <c r="M289" s="435" t="str">
        <f t="shared" si="475"/>
        <v>na</v>
      </c>
      <c r="N289" s="273" t="str">
        <f t="shared" si="532"/>
        <v>na</v>
      </c>
      <c r="O289" s="300" t="str">
        <f t="shared" si="533"/>
        <v>na</v>
      </c>
      <c r="P289" s="1788" t="str">
        <f t="shared" si="534"/>
        <v>na</v>
      </c>
      <c r="Q289" s="418" t="s">
        <v>232</v>
      </c>
      <c r="R289" s="418" t="s">
        <v>232</v>
      </c>
      <c r="S289" s="418" t="s">
        <v>232</v>
      </c>
      <c r="T289" s="418" t="s">
        <v>232</v>
      </c>
      <c r="U289" s="418" t="s">
        <v>232</v>
      </c>
      <c r="V289" s="418" t="s">
        <v>232</v>
      </c>
      <c r="W289" s="418" t="str">
        <f t="shared" si="535"/>
        <v>na</v>
      </c>
      <c r="X289" s="418" t="s">
        <v>232</v>
      </c>
      <c r="Y289" s="1884" t="str">
        <f t="shared" si="536"/>
        <v>na</v>
      </c>
      <c r="Z289" s="1884" t="str">
        <f t="shared" si="537"/>
        <v>na</v>
      </c>
      <c r="AA289" s="1789" t="s">
        <v>232</v>
      </c>
      <c r="AB289" s="1789" t="s">
        <v>232</v>
      </c>
      <c r="AC289" s="273" t="s">
        <v>232</v>
      </c>
      <c r="AD289" s="273" t="s">
        <v>232</v>
      </c>
      <c r="AE289" s="273" t="s">
        <v>232</v>
      </c>
      <c r="AF289" s="273" t="s">
        <v>232</v>
      </c>
      <c r="AG289" s="273" t="s">
        <v>232</v>
      </c>
      <c r="AH289" s="273" t="s">
        <v>232</v>
      </c>
      <c r="AI289" s="273" t="s">
        <v>232</v>
      </c>
      <c r="AJ289" s="273" t="s">
        <v>232</v>
      </c>
      <c r="AK289" s="273" t="s">
        <v>232</v>
      </c>
      <c r="AL289" s="273" t="s">
        <v>232</v>
      </c>
      <c r="AM289" s="273" t="s">
        <v>232</v>
      </c>
      <c r="AN289" s="273" t="str">
        <f t="shared" si="482"/>
        <v>na</v>
      </c>
      <c r="AO289" s="273" t="str">
        <f t="shared" si="483"/>
        <v>na</v>
      </c>
      <c r="AP289" s="273" t="str">
        <f t="shared" si="484"/>
        <v>na</v>
      </c>
      <c r="AQ289" s="273" t="str">
        <f t="shared" si="485"/>
        <v>na</v>
      </c>
      <c r="AR289" s="1789" t="str">
        <f t="shared" si="486"/>
        <v>na</v>
      </c>
      <c r="AS289" s="1051"/>
      <c r="AU289" s="1332" t="str">
        <f t="shared" si="538"/>
        <v/>
      </c>
      <c r="AV289" s="1114" t="str">
        <f t="shared" si="539"/>
        <v/>
      </c>
      <c r="AW289" s="1114" t="str">
        <f t="shared" si="540"/>
        <v/>
      </c>
      <c r="AX289" s="1114" t="str">
        <f t="shared" si="541"/>
        <v/>
      </c>
      <c r="AY289" s="1113" t="str">
        <f t="shared" si="542"/>
        <v/>
      </c>
      <c r="AZ289" s="1114" t="str">
        <f t="shared" si="543"/>
        <v/>
      </c>
      <c r="BA289" s="1114" t="str">
        <f t="shared" si="544"/>
        <v/>
      </c>
      <c r="BB289" s="1704" t="str">
        <f t="shared" si="545"/>
        <v/>
      </c>
      <c r="BC289" s="1113" t="str">
        <f t="shared" si="546"/>
        <v/>
      </c>
      <c r="BD289" s="1114" t="str">
        <f t="shared" si="547"/>
        <v/>
      </c>
      <c r="BE289" s="1114" t="str">
        <f t="shared" si="548"/>
        <v/>
      </c>
      <c r="BF289" s="1114" t="str">
        <f t="shared" si="549"/>
        <v/>
      </c>
      <c r="BG289" s="1114" t="str">
        <f t="shared" si="550"/>
        <v/>
      </c>
      <c r="BH289" s="1114" t="str">
        <f t="shared" si="551"/>
        <v/>
      </c>
      <c r="BI289" s="1114" t="str">
        <f t="shared" si="552"/>
        <v/>
      </c>
      <c r="BJ289" s="1115" t="str">
        <f t="shared" si="553"/>
        <v/>
      </c>
      <c r="BL289" s="1885"/>
    </row>
    <row r="290" spans="1:64" ht="13.9" customHeight="1" x14ac:dyDescent="0.25">
      <c r="A290" s="1916">
        <f>Chem!A290</f>
        <v>288</v>
      </c>
      <c r="B290" s="1895" t="str">
        <f>Chem!B290</f>
        <v>2-Methyl-4-chlorophenoxy acetic acid (MCPA)</v>
      </c>
      <c r="C290" s="384" t="str">
        <f>Param!AK290</f>
        <v>no</v>
      </c>
      <c r="D290" s="317" t="str">
        <f>IF(ISNUMBER(Param!AN290),Param!AN290,Param!AM290)</f>
        <v>na</v>
      </c>
      <c r="E290" s="1155" t="s">
        <v>232</v>
      </c>
      <c r="F290" s="643" t="s">
        <v>232</v>
      </c>
      <c r="G290" s="550" t="s">
        <v>232</v>
      </c>
      <c r="H290" s="550" t="s">
        <v>232</v>
      </c>
      <c r="I290" s="273" t="s">
        <v>232</v>
      </c>
      <c r="J290" s="273" t="s">
        <v>232</v>
      </c>
      <c r="K290" s="219" t="str">
        <f>IF(C290="YES",'SD-Eq'!V290,"na")</f>
        <v>na</v>
      </c>
      <c r="L290" s="273" t="str">
        <f>IF(C290="YES",'SD-Eq'!Z290,"na")</f>
        <v>na</v>
      </c>
      <c r="M290" s="435" t="str">
        <f t="shared" si="475"/>
        <v>na</v>
      </c>
      <c r="N290" s="273" t="str">
        <f t="shared" si="532"/>
        <v>na</v>
      </c>
      <c r="O290" s="300" t="str">
        <f t="shared" si="533"/>
        <v>na</v>
      </c>
      <c r="P290" s="1788" t="str">
        <f t="shared" si="534"/>
        <v>na</v>
      </c>
      <c r="Q290" s="418" t="s">
        <v>232</v>
      </c>
      <c r="R290" s="418" t="s">
        <v>232</v>
      </c>
      <c r="S290" s="418" t="s">
        <v>232</v>
      </c>
      <c r="T290" s="418" t="s">
        <v>232</v>
      </c>
      <c r="U290" s="418" t="s">
        <v>232</v>
      </c>
      <c r="V290" s="418" t="s">
        <v>232</v>
      </c>
      <c r="W290" s="418" t="str">
        <f t="shared" si="535"/>
        <v>na</v>
      </c>
      <c r="X290" s="418" t="s">
        <v>232</v>
      </c>
      <c r="Y290" s="1884" t="str">
        <f t="shared" si="536"/>
        <v>na</v>
      </c>
      <c r="Z290" s="1884" t="str">
        <f t="shared" si="537"/>
        <v>na</v>
      </c>
      <c r="AA290" s="1789" t="s">
        <v>232</v>
      </c>
      <c r="AB290" s="1789" t="s">
        <v>232</v>
      </c>
      <c r="AC290" s="273" t="s">
        <v>232</v>
      </c>
      <c r="AD290" s="273" t="s">
        <v>232</v>
      </c>
      <c r="AE290" s="273" t="s">
        <v>232</v>
      </c>
      <c r="AF290" s="273" t="s">
        <v>232</v>
      </c>
      <c r="AG290" s="273" t="s">
        <v>232</v>
      </c>
      <c r="AH290" s="273" t="s">
        <v>232</v>
      </c>
      <c r="AI290" s="273" t="s">
        <v>232</v>
      </c>
      <c r="AJ290" s="273" t="s">
        <v>232</v>
      </c>
      <c r="AK290" s="273" t="s">
        <v>232</v>
      </c>
      <c r="AL290" s="273" t="s">
        <v>232</v>
      </c>
      <c r="AM290" s="273" t="s">
        <v>232</v>
      </c>
      <c r="AN290" s="273" t="str">
        <f t="shared" si="482"/>
        <v>na</v>
      </c>
      <c r="AO290" s="273" t="str">
        <f t="shared" si="483"/>
        <v>na</v>
      </c>
      <c r="AP290" s="273" t="str">
        <f t="shared" si="484"/>
        <v>na</v>
      </c>
      <c r="AQ290" s="273" t="str">
        <f t="shared" si="485"/>
        <v>na</v>
      </c>
      <c r="AR290" s="1789" t="str">
        <f t="shared" si="486"/>
        <v>na</v>
      </c>
      <c r="AS290" s="1051"/>
      <c r="AU290" s="1332" t="str">
        <f t="shared" si="538"/>
        <v/>
      </c>
      <c r="AV290" s="1114" t="str">
        <f t="shared" si="539"/>
        <v/>
      </c>
      <c r="AW290" s="1114" t="str">
        <f t="shared" si="540"/>
        <v/>
      </c>
      <c r="AX290" s="1114" t="str">
        <f t="shared" si="541"/>
        <v/>
      </c>
      <c r="AY290" s="1113" t="str">
        <f t="shared" si="542"/>
        <v/>
      </c>
      <c r="AZ290" s="1114" t="str">
        <f t="shared" si="543"/>
        <v/>
      </c>
      <c r="BA290" s="1114" t="str">
        <f t="shared" si="544"/>
        <v/>
      </c>
      <c r="BB290" s="1704" t="str">
        <f t="shared" si="545"/>
        <v/>
      </c>
      <c r="BC290" s="1113" t="str">
        <f t="shared" si="546"/>
        <v/>
      </c>
      <c r="BD290" s="1114" t="str">
        <f t="shared" si="547"/>
        <v/>
      </c>
      <c r="BE290" s="1114" t="str">
        <f t="shared" si="548"/>
        <v/>
      </c>
      <c r="BF290" s="1114" t="str">
        <f t="shared" si="549"/>
        <v/>
      </c>
      <c r="BG290" s="1114" t="str">
        <f t="shared" si="550"/>
        <v/>
      </c>
      <c r="BH290" s="1114" t="str">
        <f t="shared" si="551"/>
        <v/>
      </c>
      <c r="BI290" s="1114" t="str">
        <f t="shared" si="552"/>
        <v/>
      </c>
      <c r="BJ290" s="1115" t="str">
        <f t="shared" si="553"/>
        <v/>
      </c>
      <c r="BL290" s="1885"/>
    </row>
    <row r="291" spans="1:64" ht="13.9" customHeight="1" thickBot="1" x14ac:dyDescent="0.3">
      <c r="A291" s="1921">
        <f>Chem!A291</f>
        <v>289</v>
      </c>
      <c r="B291" s="1896" t="str">
        <f>Chem!B291</f>
        <v>(2-Methyl-4-chlorophenol)2-propionic acid (MCPP)</v>
      </c>
      <c r="C291" s="384" t="str">
        <f>Param!AJ291</f>
        <v>no</v>
      </c>
      <c r="D291" s="317" t="str">
        <f>IF(ISNUMBER(Param!AN291),Param!AN291,Param!AM291)</f>
        <v>na</v>
      </c>
      <c r="E291" s="1155" t="s">
        <v>232</v>
      </c>
      <c r="F291" s="643" t="s">
        <v>232</v>
      </c>
      <c r="G291" s="550" t="s">
        <v>232</v>
      </c>
      <c r="H291" s="550" t="s">
        <v>232</v>
      </c>
      <c r="I291" s="273" t="s">
        <v>232</v>
      </c>
      <c r="J291" s="273" t="s">
        <v>232</v>
      </c>
      <c r="K291" s="219" t="str">
        <f>IF(C291="YES",'SD-Eq'!V291,"na")</f>
        <v>na</v>
      </c>
      <c r="L291" s="273" t="str">
        <f>IF(C291="YES",'SD-Eq'!Z291,"na")</f>
        <v>na</v>
      </c>
      <c r="M291" s="435" t="str">
        <f t="shared" si="475"/>
        <v>na</v>
      </c>
      <c r="N291" s="273" t="str">
        <f t="shared" si="532"/>
        <v>na</v>
      </c>
      <c r="O291" s="300" t="str">
        <f t="shared" si="533"/>
        <v>na</v>
      </c>
      <c r="P291" s="1788" t="str">
        <f t="shared" si="534"/>
        <v>na</v>
      </c>
      <c r="Q291" s="418" t="s">
        <v>232</v>
      </c>
      <c r="R291" s="418" t="s">
        <v>232</v>
      </c>
      <c r="S291" s="418" t="s">
        <v>232</v>
      </c>
      <c r="T291" s="418" t="s">
        <v>232</v>
      </c>
      <c r="U291" s="418" t="s">
        <v>232</v>
      </c>
      <c r="V291" s="418" t="s">
        <v>232</v>
      </c>
      <c r="W291" s="418" t="str">
        <f t="shared" si="535"/>
        <v>na</v>
      </c>
      <c r="X291" s="418" t="s">
        <v>232</v>
      </c>
      <c r="Y291" s="1884" t="str">
        <f t="shared" si="536"/>
        <v>na</v>
      </c>
      <c r="Z291" s="1884" t="str">
        <f t="shared" si="537"/>
        <v>na</v>
      </c>
      <c r="AA291" s="1789" t="s">
        <v>232</v>
      </c>
      <c r="AB291" s="1789" t="s">
        <v>232</v>
      </c>
      <c r="AC291" s="273" t="s">
        <v>232</v>
      </c>
      <c r="AD291" s="273" t="s">
        <v>232</v>
      </c>
      <c r="AE291" s="273" t="s">
        <v>232</v>
      </c>
      <c r="AF291" s="273" t="s">
        <v>232</v>
      </c>
      <c r="AG291" s="273" t="s">
        <v>232</v>
      </c>
      <c r="AH291" s="273" t="s">
        <v>232</v>
      </c>
      <c r="AI291" s="273" t="s">
        <v>232</v>
      </c>
      <c r="AJ291" s="273" t="s">
        <v>232</v>
      </c>
      <c r="AK291" s="273" t="s">
        <v>232</v>
      </c>
      <c r="AL291" s="273" t="s">
        <v>232</v>
      </c>
      <c r="AM291" s="273" t="s">
        <v>232</v>
      </c>
      <c r="AN291" s="273" t="str">
        <f t="shared" si="482"/>
        <v>na</v>
      </c>
      <c r="AO291" s="273" t="str">
        <f t="shared" si="483"/>
        <v>na</v>
      </c>
      <c r="AP291" s="273" t="str">
        <f t="shared" si="484"/>
        <v>na</v>
      </c>
      <c r="AQ291" s="273" t="str">
        <f t="shared" si="485"/>
        <v>na</v>
      </c>
      <c r="AR291" s="1789" t="str">
        <f t="shared" si="486"/>
        <v>na</v>
      </c>
      <c r="AS291" s="1897"/>
      <c r="AU291" s="1811" t="str">
        <f t="shared" si="538"/>
        <v/>
      </c>
      <c r="AV291" s="1342" t="str">
        <f t="shared" si="539"/>
        <v/>
      </c>
      <c r="AW291" s="1342" t="str">
        <f t="shared" si="540"/>
        <v/>
      </c>
      <c r="AX291" s="1342" t="str">
        <f t="shared" si="541"/>
        <v/>
      </c>
      <c r="AY291" s="1341" t="str">
        <f t="shared" si="542"/>
        <v/>
      </c>
      <c r="AZ291" s="1342" t="str">
        <f t="shared" si="543"/>
        <v/>
      </c>
      <c r="BA291" s="1342" t="str">
        <f t="shared" si="544"/>
        <v/>
      </c>
      <c r="BB291" s="1343" t="str">
        <f t="shared" si="545"/>
        <v/>
      </c>
      <c r="BC291" s="1341" t="str">
        <f t="shared" si="546"/>
        <v/>
      </c>
      <c r="BD291" s="1342" t="str">
        <f t="shared" si="547"/>
        <v/>
      </c>
      <c r="BE291" s="1342" t="str">
        <f t="shared" si="548"/>
        <v/>
      </c>
      <c r="BF291" s="1342" t="str">
        <f t="shared" si="549"/>
        <v/>
      </c>
      <c r="BG291" s="1342" t="str">
        <f t="shared" si="550"/>
        <v/>
      </c>
      <c r="BH291" s="1342" t="str">
        <f t="shared" si="551"/>
        <v/>
      </c>
      <c r="BI291" s="1342" t="str">
        <f t="shared" si="552"/>
        <v/>
      </c>
      <c r="BJ291" s="1343" t="str">
        <f t="shared" si="553"/>
        <v/>
      </c>
      <c r="BL291" s="1898"/>
    </row>
    <row r="292" spans="1:64" s="1922" customFormat="1" ht="12.75" thickTop="1" x14ac:dyDescent="0.25">
      <c r="B292" s="374"/>
      <c r="C292" s="1955"/>
      <c r="D292" s="1955"/>
      <c r="E292" s="1955"/>
      <c r="F292" s="1955"/>
      <c r="G292" s="1956"/>
      <c r="H292" s="1956"/>
      <c r="I292" s="1956"/>
      <c r="J292" s="1956"/>
      <c r="K292" s="1956"/>
      <c r="L292" s="1956"/>
      <c r="M292" s="1956"/>
      <c r="N292" s="1956"/>
      <c r="O292" s="1956"/>
      <c r="P292" s="1956"/>
      <c r="Q292" s="1956"/>
      <c r="R292" s="1956"/>
      <c r="S292" s="1956"/>
      <c r="T292" s="1956"/>
      <c r="U292" s="1956"/>
      <c r="V292" s="1956"/>
      <c r="W292" s="1956"/>
      <c r="X292" s="1956"/>
      <c r="Y292" s="1956"/>
      <c r="Z292" s="1956"/>
      <c r="AA292" s="1956"/>
      <c r="AB292" s="1956"/>
      <c r="AC292" s="1956"/>
      <c r="AD292" s="1956"/>
      <c r="AE292" s="1956"/>
      <c r="AF292" s="1956"/>
      <c r="AG292" s="1956"/>
      <c r="AH292" s="1956"/>
      <c r="AI292" s="1956"/>
      <c r="AJ292" s="1956"/>
      <c r="AK292" s="1956"/>
      <c r="AL292" s="1956"/>
      <c r="AM292" s="1956"/>
      <c r="AN292" s="1956"/>
      <c r="AO292" s="1956"/>
      <c r="AP292" s="1956"/>
      <c r="AQ292" s="1956"/>
      <c r="AR292" s="1956"/>
      <c r="AS292" s="831"/>
      <c r="AT292" s="1957" t="s">
        <v>440</v>
      </c>
      <c r="AU292" s="831">
        <f t="shared" ref="AU292:BB292" si="554">COUNTIF(AU3:AU291,"X")</f>
        <v>3</v>
      </c>
      <c r="AV292" s="831">
        <f t="shared" si="554"/>
        <v>12</v>
      </c>
      <c r="AW292" s="831">
        <f t="shared" si="554"/>
        <v>42</v>
      </c>
      <c r="AX292" s="831">
        <f t="shared" si="554"/>
        <v>5</v>
      </c>
      <c r="AY292" s="831">
        <f t="shared" si="554"/>
        <v>0</v>
      </c>
      <c r="AZ292" s="831">
        <f t="shared" si="554"/>
        <v>12</v>
      </c>
      <c r="BA292" s="831">
        <f t="shared" si="554"/>
        <v>42</v>
      </c>
      <c r="BB292" s="831">
        <f t="shared" si="554"/>
        <v>5</v>
      </c>
      <c r="BC292" s="831">
        <f>COUNTIF(BC4:BC291,"X")</f>
        <v>4</v>
      </c>
      <c r="BD292" s="831">
        <f t="shared" ref="BD292:BJ292" si="555">COUNTIF(BD4:BD291,"X")</f>
        <v>9</v>
      </c>
      <c r="BE292" s="831">
        <f t="shared" si="555"/>
        <v>44</v>
      </c>
      <c r="BF292" s="831">
        <f t="shared" si="555"/>
        <v>4</v>
      </c>
      <c r="BG292" s="831">
        <f t="shared" si="555"/>
        <v>2</v>
      </c>
      <c r="BH292" s="831">
        <f t="shared" si="555"/>
        <v>2</v>
      </c>
      <c r="BI292" s="831">
        <f t="shared" si="555"/>
        <v>38</v>
      </c>
      <c r="BJ292" s="831">
        <f t="shared" si="555"/>
        <v>0</v>
      </c>
      <c r="BL292" s="831">
        <f>COUNTA(BL4:BL291)</f>
        <v>0</v>
      </c>
    </row>
    <row r="293" spans="1:64" s="302" customFormat="1" ht="12" x14ac:dyDescent="0.25">
      <c r="A293" s="374"/>
      <c r="B293" s="247"/>
      <c r="C293" s="10"/>
      <c r="D293" s="10"/>
      <c r="E293" s="10"/>
      <c r="F293" s="10"/>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141"/>
      <c r="AK293" s="141"/>
      <c r="AL293" s="141"/>
      <c r="AM293" s="141"/>
      <c r="AN293" s="141"/>
      <c r="AO293" s="141"/>
      <c r="AP293" s="141"/>
      <c r="AQ293" s="141"/>
      <c r="AR293" s="141"/>
      <c r="AS293" s="141"/>
      <c r="AW293" s="141"/>
      <c r="AX293" s="141"/>
      <c r="BL293" s="141"/>
    </row>
    <row r="294" spans="1:64" s="302" customFormat="1" ht="12" x14ac:dyDescent="0.25">
      <c r="A294" s="374"/>
      <c r="B294" s="247"/>
      <c r="C294" s="10"/>
      <c r="D294" s="10"/>
      <c r="E294" s="10"/>
      <c r="F294" s="10"/>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141"/>
      <c r="AK294" s="141"/>
      <c r="AL294" s="141"/>
      <c r="AM294" s="141"/>
      <c r="AN294" s="141"/>
      <c r="AO294" s="141"/>
      <c r="AP294" s="141"/>
      <c r="AQ294" s="141"/>
      <c r="AR294" s="141"/>
      <c r="AS294" s="141"/>
      <c r="AW294" s="141"/>
      <c r="AX294" s="141"/>
      <c r="BL294" s="141"/>
    </row>
    <row r="295" spans="1:64" s="302" customFormat="1" ht="12" x14ac:dyDescent="0.25">
      <c r="A295" s="374"/>
      <c r="B295" s="247"/>
      <c r="C295" s="10"/>
      <c r="D295" s="10"/>
      <c r="E295" s="10"/>
      <c r="F295" s="10"/>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141"/>
      <c r="AK295" s="141"/>
      <c r="AL295" s="141"/>
      <c r="AM295" s="141"/>
      <c r="AN295" s="141"/>
      <c r="AO295" s="141"/>
      <c r="AP295" s="141"/>
      <c r="AQ295" s="141"/>
      <c r="AR295" s="141"/>
      <c r="AS295" s="141"/>
      <c r="AW295" s="141"/>
      <c r="AX295" s="141"/>
      <c r="BL295" s="141"/>
    </row>
    <row r="296" spans="1:64" s="302" customFormat="1" ht="12" x14ac:dyDescent="0.25">
      <c r="A296" s="374"/>
      <c r="B296" s="247"/>
      <c r="C296" s="10"/>
      <c r="D296" s="10"/>
      <c r="E296" s="10"/>
      <c r="F296" s="10"/>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141"/>
      <c r="AK296" s="141"/>
      <c r="AL296" s="141"/>
      <c r="AM296" s="141"/>
      <c r="AN296" s="141"/>
      <c r="AO296" s="141"/>
      <c r="AP296" s="141"/>
      <c r="AQ296" s="141"/>
      <c r="AR296" s="141"/>
      <c r="AS296" s="141"/>
      <c r="AW296" s="141"/>
      <c r="AX296" s="141"/>
      <c r="BL296" s="141"/>
    </row>
    <row r="297" spans="1:64" s="302" customFormat="1" ht="12" x14ac:dyDescent="0.25">
      <c r="A297" s="374"/>
      <c r="B297" s="247"/>
      <c r="C297" s="10"/>
      <c r="D297" s="10"/>
      <c r="E297" s="10"/>
      <c r="F297" s="10"/>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141"/>
      <c r="AK297" s="141"/>
      <c r="AL297" s="141"/>
      <c r="AM297" s="141"/>
      <c r="AN297" s="141"/>
      <c r="AO297" s="141"/>
      <c r="AP297" s="141"/>
      <c r="AQ297" s="141"/>
      <c r="AR297" s="141"/>
      <c r="AS297" s="141"/>
      <c r="AW297" s="141"/>
      <c r="AX297" s="141"/>
      <c r="BL297" s="141"/>
    </row>
    <row r="298" spans="1:64" s="302" customFormat="1" ht="12" x14ac:dyDescent="0.25">
      <c r="A298" s="374"/>
      <c r="B298" s="247"/>
      <c r="C298" s="10"/>
      <c r="D298" s="10"/>
      <c r="E298" s="10"/>
      <c r="F298" s="10"/>
      <c r="G298" s="141"/>
      <c r="H298" s="141"/>
      <c r="I298" s="141"/>
      <c r="J298" s="141"/>
      <c r="K298" s="141"/>
      <c r="L298" s="141"/>
      <c r="M298" s="141"/>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141"/>
      <c r="AK298" s="141"/>
      <c r="AL298" s="141"/>
      <c r="AM298" s="141"/>
      <c r="AN298" s="141"/>
      <c r="AO298" s="141"/>
      <c r="AP298" s="141"/>
      <c r="AQ298" s="141"/>
      <c r="AR298" s="141"/>
      <c r="AS298" s="141"/>
      <c r="AW298" s="141"/>
      <c r="AX298" s="141"/>
      <c r="BL298" s="141"/>
    </row>
    <row r="299" spans="1:64" s="302" customFormat="1" ht="12" x14ac:dyDescent="0.25">
      <c r="A299" s="374"/>
      <c r="B299" s="247"/>
      <c r="C299" s="10"/>
      <c r="D299" s="10"/>
      <c r="E299" s="10"/>
      <c r="F299" s="10"/>
      <c r="G299" s="141"/>
      <c r="H299" s="141"/>
      <c r="I299" s="141"/>
      <c r="J299" s="141"/>
      <c r="K299" s="141"/>
      <c r="L299" s="141"/>
      <c r="M299" s="141"/>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141"/>
      <c r="AK299" s="141"/>
      <c r="AL299" s="141"/>
      <c r="AM299" s="141"/>
      <c r="AN299" s="141"/>
      <c r="AO299" s="141"/>
      <c r="AP299" s="141"/>
      <c r="AQ299" s="141"/>
      <c r="AR299" s="141"/>
      <c r="AS299" s="141"/>
      <c r="AW299" s="141"/>
      <c r="AX299" s="141"/>
      <c r="BL299" s="141"/>
    </row>
    <row r="300" spans="1:64" s="302" customFormat="1" ht="12" x14ac:dyDescent="0.25">
      <c r="A300" s="374"/>
      <c r="B300" s="247"/>
      <c r="C300" s="10"/>
      <c r="D300" s="10"/>
      <c r="E300" s="10"/>
      <c r="F300" s="10"/>
      <c r="G300" s="141"/>
      <c r="H300" s="141"/>
      <c r="I300" s="141"/>
      <c r="J300" s="141"/>
      <c r="K300" s="141"/>
      <c r="L300" s="141"/>
      <c r="M300" s="141"/>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141"/>
      <c r="AK300" s="141"/>
      <c r="AL300" s="141"/>
      <c r="AM300" s="141"/>
      <c r="AN300" s="141"/>
      <c r="AO300" s="141"/>
      <c r="AP300" s="141"/>
      <c r="AQ300" s="141"/>
      <c r="AR300" s="141"/>
      <c r="AS300" s="141"/>
      <c r="AW300" s="141"/>
      <c r="AX300" s="141"/>
      <c r="BL300" s="141"/>
    </row>
    <row r="301" spans="1:64" s="302" customFormat="1" ht="12" x14ac:dyDescent="0.25">
      <c r="A301" s="374"/>
      <c r="B301" s="247"/>
      <c r="C301" s="10"/>
      <c r="D301" s="10"/>
      <c r="E301" s="10"/>
      <c r="F301" s="10"/>
      <c r="G301" s="141"/>
      <c r="H301" s="141"/>
      <c r="I301" s="141"/>
      <c r="J301" s="141"/>
      <c r="K301" s="141"/>
      <c r="L301" s="141"/>
      <c r="M301" s="141"/>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141"/>
      <c r="AK301" s="141"/>
      <c r="AL301" s="141"/>
      <c r="AM301" s="141"/>
      <c r="AN301" s="141"/>
      <c r="AO301" s="141"/>
      <c r="AP301" s="141"/>
      <c r="AQ301" s="141"/>
      <c r="AR301" s="141"/>
      <c r="AS301" s="141"/>
      <c r="AW301" s="141"/>
      <c r="AX301" s="141"/>
      <c r="BL301" s="141"/>
    </row>
    <row r="302" spans="1:64" s="302" customFormat="1" ht="12" x14ac:dyDescent="0.25">
      <c r="A302" s="374"/>
      <c r="B302" s="247"/>
      <c r="C302" s="10"/>
      <c r="D302" s="10"/>
      <c r="E302" s="10"/>
      <c r="F302" s="10"/>
      <c r="G302" s="141"/>
      <c r="H302" s="141"/>
      <c r="I302" s="141"/>
      <c r="J302" s="141"/>
      <c r="K302" s="141"/>
      <c r="L302" s="141"/>
      <c r="M302" s="141"/>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141"/>
      <c r="AK302" s="141"/>
      <c r="AL302" s="141"/>
      <c r="AM302" s="141"/>
      <c r="AN302" s="141"/>
      <c r="AO302" s="141"/>
      <c r="AP302" s="141"/>
      <c r="AQ302" s="141"/>
      <c r="AR302" s="141"/>
      <c r="AS302" s="141"/>
      <c r="AW302" s="141"/>
      <c r="AX302" s="141"/>
      <c r="BL302" s="141"/>
    </row>
    <row r="303" spans="1:64" s="302" customFormat="1" ht="12" x14ac:dyDescent="0.25">
      <c r="A303" s="374"/>
      <c r="B303" s="247"/>
      <c r="C303" s="10"/>
      <c r="D303" s="10"/>
      <c r="E303" s="10"/>
      <c r="F303" s="10"/>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141"/>
      <c r="AK303" s="141"/>
      <c r="AL303" s="141"/>
      <c r="AM303" s="141"/>
      <c r="AN303" s="141"/>
      <c r="AO303" s="141"/>
      <c r="AP303" s="141"/>
      <c r="AQ303" s="141"/>
      <c r="AR303" s="141"/>
      <c r="AS303" s="141"/>
      <c r="AW303" s="141"/>
      <c r="AX303" s="141"/>
      <c r="BL303" s="141"/>
    </row>
    <row r="304" spans="1:64" s="302" customFormat="1" ht="12" x14ac:dyDescent="0.25">
      <c r="A304" s="374"/>
      <c r="B304" s="247"/>
      <c r="C304" s="10"/>
      <c r="D304" s="10"/>
      <c r="E304" s="10"/>
      <c r="F304" s="10"/>
      <c r="G304" s="141"/>
      <c r="H304" s="141"/>
      <c r="I304" s="141"/>
      <c r="J304" s="141"/>
      <c r="K304" s="141"/>
      <c r="L304" s="141"/>
      <c r="M304" s="141"/>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141"/>
      <c r="AK304" s="141"/>
      <c r="AL304" s="141"/>
      <c r="AM304" s="141"/>
      <c r="AN304" s="141"/>
      <c r="AO304" s="141"/>
      <c r="AP304" s="141"/>
      <c r="AQ304" s="141"/>
      <c r="AR304" s="141"/>
      <c r="AS304" s="141"/>
      <c r="AW304" s="141"/>
      <c r="AX304" s="141"/>
      <c r="BL304" s="141"/>
    </row>
    <row r="305" spans="1:64" s="302" customFormat="1" ht="12" x14ac:dyDescent="0.25">
      <c r="A305" s="374"/>
      <c r="B305" s="247"/>
      <c r="C305" s="10"/>
      <c r="D305" s="10"/>
      <c r="E305" s="10"/>
      <c r="F305" s="10"/>
      <c r="G305" s="141"/>
      <c r="H305" s="141"/>
      <c r="I305" s="141"/>
      <c r="J305" s="141"/>
      <c r="K305" s="141"/>
      <c r="L305" s="141"/>
      <c r="M305" s="141"/>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141"/>
      <c r="AK305" s="141"/>
      <c r="AL305" s="141"/>
      <c r="AM305" s="141"/>
      <c r="AN305" s="141"/>
      <c r="AO305" s="141"/>
      <c r="AP305" s="141"/>
      <c r="AQ305" s="141"/>
      <c r="AR305" s="141"/>
      <c r="AS305" s="141"/>
      <c r="AW305" s="141"/>
      <c r="AX305" s="141"/>
      <c r="BL305" s="141"/>
    </row>
    <row r="306" spans="1:64" s="302" customFormat="1" ht="12" x14ac:dyDescent="0.25">
      <c r="A306" s="374"/>
      <c r="B306" s="247"/>
      <c r="C306" s="10"/>
      <c r="D306" s="10"/>
      <c r="E306" s="10"/>
      <c r="F306" s="10"/>
      <c r="G306" s="141"/>
      <c r="H306" s="141"/>
      <c r="I306" s="141"/>
      <c r="J306" s="141"/>
      <c r="K306" s="141"/>
      <c r="L306" s="141"/>
      <c r="M306" s="141"/>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141"/>
      <c r="AK306" s="141"/>
      <c r="AL306" s="141"/>
      <c r="AM306" s="141"/>
      <c r="AN306" s="141"/>
      <c r="AO306" s="141"/>
      <c r="AP306" s="141"/>
      <c r="AQ306" s="141"/>
      <c r="AR306" s="141"/>
      <c r="AS306" s="141"/>
      <c r="AW306" s="141"/>
      <c r="AX306" s="141"/>
      <c r="BL306" s="141"/>
    </row>
    <row r="307" spans="1:64" s="302" customFormat="1" ht="12" x14ac:dyDescent="0.25">
      <c r="A307" s="374"/>
      <c r="B307" s="280"/>
      <c r="C307" s="10"/>
      <c r="D307" s="10"/>
      <c r="E307" s="10"/>
      <c r="F307" s="10"/>
      <c r="G307" s="141"/>
      <c r="H307" s="141"/>
      <c r="I307" s="141"/>
      <c r="J307" s="141"/>
      <c r="K307" s="141"/>
      <c r="L307" s="141"/>
      <c r="M307" s="141"/>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W307" s="141"/>
      <c r="AX307" s="141"/>
      <c r="BL307" s="141"/>
    </row>
    <row r="308" spans="1:64" s="302" customFormat="1" ht="12" x14ac:dyDescent="0.25">
      <c r="A308" s="1923"/>
      <c r="B308" s="280"/>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1"/>
      <c r="AN308" s="141"/>
      <c r="AO308" s="141"/>
      <c r="AP308" s="141"/>
      <c r="AQ308" s="141"/>
      <c r="AR308" s="141"/>
      <c r="AS308" s="141"/>
      <c r="AW308" s="141"/>
      <c r="AX308" s="141"/>
      <c r="BL308" s="141"/>
    </row>
    <row r="309" spans="1:64" s="302" customFormat="1" ht="12" x14ac:dyDescent="0.25">
      <c r="A309" s="1923"/>
      <c r="B309" s="280"/>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141"/>
      <c r="AK309" s="141"/>
      <c r="AL309" s="141"/>
      <c r="AM309" s="141"/>
      <c r="AN309" s="141"/>
      <c r="AO309" s="141"/>
      <c r="AP309" s="141"/>
      <c r="AQ309" s="141"/>
      <c r="AR309" s="141"/>
      <c r="AS309" s="141"/>
      <c r="AW309" s="141"/>
      <c r="AX309" s="141"/>
      <c r="BL309" s="141"/>
    </row>
    <row r="310" spans="1:64" s="302" customFormat="1" ht="12" x14ac:dyDescent="0.25">
      <c r="A310" s="1923"/>
      <c r="B310" s="280"/>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141"/>
      <c r="AK310" s="141"/>
      <c r="AL310" s="141"/>
      <c r="AM310" s="141"/>
      <c r="AN310" s="141"/>
      <c r="AO310" s="141"/>
      <c r="AP310" s="141"/>
      <c r="AQ310" s="141"/>
      <c r="AR310" s="141"/>
      <c r="AS310" s="141"/>
      <c r="AW310" s="141"/>
      <c r="AX310" s="141"/>
      <c r="BL310" s="141"/>
    </row>
    <row r="311" spans="1:64" s="302" customFormat="1" ht="12" x14ac:dyDescent="0.25">
      <c r="A311" s="1923"/>
      <c r="B311" s="247"/>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141"/>
      <c r="AK311" s="141"/>
      <c r="AL311" s="141"/>
      <c r="AM311" s="141"/>
      <c r="AN311" s="141"/>
      <c r="AO311" s="141"/>
      <c r="AP311" s="141"/>
      <c r="AQ311" s="141"/>
      <c r="AR311" s="141"/>
      <c r="AS311" s="141"/>
      <c r="AW311" s="141"/>
      <c r="AX311" s="141"/>
      <c r="BL311" s="141"/>
    </row>
  </sheetData>
  <autoFilter ref="A2:BM292" xr:uid="{00000000-0009-0000-0000-000004000000}"/>
  <sortState xmlns:xlrd2="http://schemas.microsoft.com/office/spreadsheetml/2017/richdata2" ref="B119:B126">
    <sortCondition ref="B126"/>
  </sortState>
  <mergeCells count="3">
    <mergeCell ref="AY1:BB1"/>
    <mergeCell ref="AU1:AX1"/>
    <mergeCell ref="BC1:BJ1"/>
  </mergeCells>
  <printOptions horizontalCentered="1"/>
  <pageMargins left="0.7" right="0.7" top="0.75" bottom="0.75" header="0.3" footer="0.3"/>
  <pageSetup paperSize="3" fitToHeight="0" orientation="landscape" horizontalDpi="1200" verticalDpi="1200" r:id="rId1"/>
  <headerFooter scaleWithDoc="0">
    <oddHeader xml:space="preserve">&amp;R
</oddHeader>
    <oddFooter>&amp;R&amp;"Arial,Regular"&amp;9Page &amp;P of &amp;N</oddFooter>
  </headerFooter>
  <colBreaks count="1" manualBreakCount="1">
    <brk id="45"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B318"/>
  <sheetViews>
    <sheetView zoomScaleNormal="100" workbookViewId="0">
      <pane xSplit="2" ySplit="2" topLeftCell="C255" activePane="bottomRight" state="frozen"/>
      <selection activeCell="B1" sqref="B1"/>
      <selection pane="topRight" activeCell="C1" sqref="C1"/>
      <selection pane="bottomLeft" activeCell="B3" sqref="B3"/>
      <selection pane="bottomRight" activeCell="D268" sqref="D268"/>
    </sheetView>
  </sheetViews>
  <sheetFormatPr defaultColWidth="8.85546875" defaultRowHeight="15" x14ac:dyDescent="0.25"/>
  <cols>
    <col min="1" max="1" width="6.140625" style="130" customWidth="1"/>
    <col min="2" max="2" width="34.140625" style="130" customWidth="1"/>
    <col min="3" max="3" width="10" style="11" customWidth="1"/>
    <col min="4" max="4" width="10.7109375" style="11" bestFit="1" customWidth="1"/>
    <col min="5" max="5" width="10.7109375" style="124" bestFit="1" customWidth="1"/>
    <col min="6" max="7" width="10.7109375" style="124" customWidth="1"/>
    <col min="8" max="8" width="9.42578125" style="124" customWidth="1"/>
    <col min="9" max="9" width="9.28515625" style="329" customWidth="1"/>
    <col min="10" max="26" width="12" style="124" customWidth="1"/>
    <col min="27" max="27" width="3.42578125" style="124" customWidth="1"/>
    <col min="28" max="28" width="8.85546875" style="11"/>
    <col min="29" max="16384" width="8.85546875" style="130"/>
  </cols>
  <sheetData>
    <row r="1" spans="1:28" ht="15.75" thickBot="1" x14ac:dyDescent="0.3">
      <c r="B1" s="359" t="s">
        <v>1701</v>
      </c>
      <c r="C1" s="239"/>
      <c r="D1" s="319"/>
      <c r="E1" s="1846"/>
      <c r="F1" s="1847" t="s">
        <v>649</v>
      </c>
      <c r="I1" s="325"/>
      <c r="K1" s="131"/>
      <c r="L1" s="131"/>
      <c r="AB1" s="1068"/>
    </row>
    <row r="2" spans="1:28" s="32" customFormat="1" ht="111" thickTop="1" thickBot="1" x14ac:dyDescent="0.3">
      <c r="A2" s="1709" t="s">
        <v>445</v>
      </c>
      <c r="B2" s="1735" t="s">
        <v>641</v>
      </c>
      <c r="C2" s="1735" t="s">
        <v>1739</v>
      </c>
      <c r="D2" s="1735" t="s">
        <v>241</v>
      </c>
      <c r="E2" s="1738" t="s">
        <v>277</v>
      </c>
      <c r="F2" s="1735" t="s">
        <v>243</v>
      </c>
      <c r="G2" s="1738" t="s">
        <v>244</v>
      </c>
      <c r="H2" s="1738" t="s">
        <v>399</v>
      </c>
      <c r="I2" s="1757" t="s">
        <v>245</v>
      </c>
      <c r="J2" s="1738" t="s">
        <v>278</v>
      </c>
      <c r="K2" s="1738" t="s">
        <v>279</v>
      </c>
      <c r="L2" s="1738" t="s">
        <v>280</v>
      </c>
      <c r="M2" s="1738" t="s">
        <v>281</v>
      </c>
      <c r="N2" s="1738" t="s">
        <v>282</v>
      </c>
      <c r="O2" s="1727" t="s">
        <v>283</v>
      </c>
      <c r="P2" s="1738" t="s">
        <v>284</v>
      </c>
      <c r="Q2" s="1738" t="s">
        <v>285</v>
      </c>
      <c r="R2" s="1738" t="s">
        <v>286</v>
      </c>
      <c r="S2" s="1727" t="s">
        <v>497</v>
      </c>
      <c r="T2" s="1727" t="s">
        <v>498</v>
      </c>
      <c r="U2" s="1727" t="s">
        <v>499</v>
      </c>
      <c r="V2" s="1727" t="s">
        <v>495</v>
      </c>
      <c r="W2" s="1727" t="s">
        <v>500</v>
      </c>
      <c r="X2" s="1727" t="s">
        <v>501</v>
      </c>
      <c r="Y2" s="1727" t="s">
        <v>502</v>
      </c>
      <c r="Z2" s="1743" t="s">
        <v>496</v>
      </c>
      <c r="AA2" s="128"/>
      <c r="AB2" s="1724" t="s">
        <v>465</v>
      </c>
    </row>
    <row r="3" spans="1:28" ht="13.9" customHeight="1" thickTop="1" x14ac:dyDescent="0.25">
      <c r="A3" s="907">
        <f>Chem!A3</f>
        <v>1</v>
      </c>
      <c r="B3" s="887" t="str">
        <f>Chem!B3</f>
        <v>PCBs</v>
      </c>
      <c r="C3" s="353"/>
      <c r="D3" s="251"/>
      <c r="E3" s="214"/>
      <c r="F3" s="251"/>
      <c r="G3" s="215"/>
      <c r="H3" s="215"/>
      <c r="I3" s="326"/>
      <c r="J3" s="214"/>
      <c r="K3" s="214"/>
      <c r="L3" s="214"/>
      <c r="M3" s="214"/>
      <c r="N3" s="214"/>
      <c r="O3" s="214"/>
      <c r="P3" s="215"/>
      <c r="Q3" s="215"/>
      <c r="R3" s="215"/>
      <c r="S3" s="215"/>
      <c r="T3" s="215"/>
      <c r="U3" s="215"/>
      <c r="V3" s="215"/>
      <c r="W3" s="215"/>
      <c r="X3" s="215"/>
      <c r="Y3" s="215"/>
      <c r="Z3" s="216"/>
      <c r="AA3" s="133"/>
      <c r="AB3" s="1061"/>
    </row>
    <row r="4" spans="1:28" ht="13.9" customHeight="1" x14ac:dyDescent="0.25">
      <c r="A4" s="842">
        <f>Chem!A4</f>
        <v>2</v>
      </c>
      <c r="B4" s="916" t="str">
        <f>Chem!B4</f>
        <v>Total PCB Aroclors</v>
      </c>
      <c r="C4" s="2304" t="str">
        <f>Param!AK4</f>
        <v>YES</v>
      </c>
      <c r="D4" s="392">
        <f>IF(C4="YES",Param!V4,"no calc")</f>
        <v>2</v>
      </c>
      <c r="E4" s="552">
        <f>IF(C4="YES",Param!X4,"no calc")</f>
        <v>2</v>
      </c>
      <c r="F4" s="392" t="str">
        <f>IF(C4="YES",Param!O4,"no calc")</f>
        <v>na</v>
      </c>
      <c r="G4" s="622" t="str">
        <f>IF(C4="YES",Param!S4,"no calc")</f>
        <v>na</v>
      </c>
      <c r="H4" s="625">
        <f>IF(C4="YES",Param!AD4,"no calc")</f>
        <v>1</v>
      </c>
      <c r="I4" s="588">
        <f>IF(C4="YES",Param!AE4,"no calc")</f>
        <v>0.14000000000000001</v>
      </c>
      <c r="J4" s="602">
        <f>IF(OR($D4="na",$D4="no calc"),"na",0.000001*Eqtn!D$419/(Eqtn!D$415*$H4*$D4+Eqtn!D$420*$I4*$E4))</f>
        <v>1.1627166156982671</v>
      </c>
      <c r="K4" s="602">
        <f>IF(OR($D4="na",$D4="no calc"),"na",0.000001*Eqtn!E$419/(Eqtn!E$415*$H4*$D4+Eqtn!E$420*$I4*$E4))</f>
        <v>0.54171422715703033</v>
      </c>
      <c r="L4" s="602">
        <f>IF(OR($D4="na",$D4="no calc"),"na",0.000001*Eqtn!F$419/(Eqtn!F$415*$H4*$D4+Eqtn!F$420*$I4*$E4))</f>
        <v>1.4180007365859291</v>
      </c>
      <c r="M4" s="17">
        <f>IF(OR($D4="na",$D4="no calc"),"na",0.00001*Eqtn!D$419/(Eqtn!D$415*$H4*$D4+Eqtn!D$420*$I4*$E4))</f>
        <v>11.627166156982671</v>
      </c>
      <c r="N4" s="17">
        <f>IF(OR($D4="na",$D4="no calc"),"na",0.00001*Eqtn!E$419/(Eqtn!E$415*$H4*$D4+Eqtn!E$420*$I4*$E4))</f>
        <v>5.4171422715703041</v>
      </c>
      <c r="O4" s="17">
        <f>IF(OR($D4="na",$D4="no calc"),"na",0.00001*Eqtn!F$419/(Eqtn!F$415*$H4*$D4+Eqtn!F$420*$I4*$E4))</f>
        <v>14.180007365859293</v>
      </c>
      <c r="P4" s="662" t="str">
        <f>IF(OR($F4="na",$F4="no calc"),"na",1*Eqtn!D$451/(Eqtn!D$447*$H4/$F4+Eqtn!D$452*$I4/$G4))</f>
        <v>na</v>
      </c>
      <c r="Q4" s="662" t="str">
        <f>IF(OR($F4="na",$F4="no calc"),"na",1*Eqtn!E$451/(Eqtn!E$447*$H4/$F4+Eqtn!E$452*$I4/$G4))</f>
        <v>na</v>
      </c>
      <c r="R4" s="662" t="str">
        <f>IF(OR($F4="na",$F4="no calc"),"na",1*Eqtn!F$451/(Eqtn!F$447*$H4/$F4+Eqtn!F$452*$I4/$G4))</f>
        <v>na</v>
      </c>
      <c r="S4" s="1418">
        <f t="shared" ref="S4:U6" si="0">IF(OR(ISNUMBER(J4),ISNUMBER(P4)),MIN(J4,P4),"na")</f>
        <v>1.1627166156982671</v>
      </c>
      <c r="T4" s="1418">
        <f t="shared" si="0"/>
        <v>0.54171422715703033</v>
      </c>
      <c r="U4" s="1418">
        <f t="shared" si="0"/>
        <v>1.4180007365859291</v>
      </c>
      <c r="V4" s="1405">
        <f>IF(OR(ISNUMBER(S4),ISNUMBER(T4),ISNUMBER(U4)),MIN(S4,T4,U4),"na")</f>
        <v>0.54171422715703033</v>
      </c>
      <c r="W4" s="1383">
        <f t="shared" ref="W4:Y6" si="1">IF(OR(ISNUMBER(M4),ISNUMBER(P4)),MIN(M4,P4),"na")</f>
        <v>11.627166156982671</v>
      </c>
      <c r="X4" s="1383">
        <f t="shared" si="1"/>
        <v>5.4171422715703041</v>
      </c>
      <c r="Y4" s="1383">
        <f t="shared" si="1"/>
        <v>14.180007365859293</v>
      </c>
      <c r="Z4" s="1384">
        <f>IF(OR(ISNUMBER(W4),ISNUMBER(X4),ISNUMBER(Y4)),MIN(W4,X4,Y4),"na")</f>
        <v>5.4171422715703041</v>
      </c>
      <c r="AB4" s="1062"/>
    </row>
    <row r="5" spans="1:28" ht="13.9" customHeight="1" x14ac:dyDescent="0.25">
      <c r="A5" s="842">
        <f>Chem!A5</f>
        <v>3</v>
      </c>
      <c r="B5" s="916" t="str">
        <f>Chem!B5</f>
        <v>Total PCB congeners</v>
      </c>
      <c r="C5" s="2304" t="str">
        <f>Param!AK5</f>
        <v>YES</v>
      </c>
      <c r="D5" s="392">
        <f>IF(C5="YES",Param!V5,"no calc")</f>
        <v>2</v>
      </c>
      <c r="E5" s="552">
        <f>IF(C5="YES",Param!X5,"no calc")</f>
        <v>2</v>
      </c>
      <c r="F5" s="392" t="str">
        <f>IF(C5="YES",Param!O5,"no calc")</f>
        <v>na</v>
      </c>
      <c r="G5" s="622" t="str">
        <f>IF(C5="YES",Param!S5,"no calc")</f>
        <v>na</v>
      </c>
      <c r="H5" s="625">
        <f>IF(C5="YES",Param!AD5,"no calc")</f>
        <v>1</v>
      </c>
      <c r="I5" s="588">
        <f>IF(C5="YES",Param!AE5,"no calc")</f>
        <v>0.14000000000000001</v>
      </c>
      <c r="J5" s="602">
        <f>IF(OR($D5="na",$D5="no calc"),"na",0.000001*Eqtn!D$419/(Eqtn!D$415*$H5*$D5+Eqtn!D$420*$I5*$E5))</f>
        <v>1.1627166156982671</v>
      </c>
      <c r="K5" s="603">
        <f>IF(OR($D5="na",$D5="no calc"),"na",0.000001*Eqtn!E$419/(Eqtn!E$415*$H5*$D5+Eqtn!E$420*$I5*$E5))</f>
        <v>0.54171422715703033</v>
      </c>
      <c r="L5" s="604">
        <f>IF(OR($D5="na",$D5="no calc"),"na",0.000001*Eqtn!F$419/(Eqtn!F$415*$H5*$D5+Eqtn!F$420*$I5*$E5))</f>
        <v>1.4180007365859291</v>
      </c>
      <c r="M5" s="812">
        <f>IF(OR($D5="na",$D5="no calc"),"na",0.00001*Eqtn!D$419/(Eqtn!D$415*$H5*$D5+Eqtn!D$420*$I5*$E5))</f>
        <v>11.627166156982671</v>
      </c>
      <c r="N5" s="813">
        <f>IF(OR($D5="na",$D5="no calc"),"na",0.00001*Eqtn!E$419/(Eqtn!E$415*$H5*$D5+Eqtn!E$420*$I5*$E5))</f>
        <v>5.4171422715703041</v>
      </c>
      <c r="O5" s="814">
        <f>IF(OR($D5="na",$D5="no calc"),"na",0.00001*Eqtn!F$419/(Eqtn!F$415*$H5*$D5+Eqtn!F$420*$I5*$E5))</f>
        <v>14.180007365859293</v>
      </c>
      <c r="P5" s="663" t="str">
        <f>IF(OR($F5="na",$F5="no calc"),"na",1*Eqtn!D$451/(Eqtn!D$447*$H5/$F5+Eqtn!D$452*$I5/$G5))</f>
        <v>na</v>
      </c>
      <c r="Q5" s="663" t="str">
        <f>IF(OR($F5="na",$F5="no calc"),"na",1*Eqtn!E$451/(Eqtn!E$447*$H5/$F5+Eqtn!E$452*$I5/$G5))</f>
        <v>na</v>
      </c>
      <c r="R5" s="663" t="str">
        <f>IF(OR($F5="na",$F5="no calc"),"na",1*Eqtn!F$451/(Eqtn!F$447*$H5/$F5+Eqtn!F$452*$I5/$G5))</f>
        <v>na</v>
      </c>
      <c r="S5" s="1419">
        <f t="shared" si="0"/>
        <v>1.1627166156982671</v>
      </c>
      <c r="T5" s="1419">
        <f t="shared" si="0"/>
        <v>0.54171422715703033</v>
      </c>
      <c r="U5" s="1419">
        <f t="shared" si="0"/>
        <v>1.4180007365859291</v>
      </c>
      <c r="V5" s="1407">
        <f t="shared" ref="V5:V6" si="2">IF(OR(ISNUMBER(S5),ISNUMBER(T5),ISNUMBER(U5)),MIN(S5,T5,U5),"na")</f>
        <v>0.54171422715703033</v>
      </c>
      <c r="W5" s="1385">
        <f t="shared" si="1"/>
        <v>11.627166156982671</v>
      </c>
      <c r="X5" s="1385">
        <f t="shared" si="1"/>
        <v>5.4171422715703041</v>
      </c>
      <c r="Y5" s="1385">
        <f t="shared" si="1"/>
        <v>14.180007365859293</v>
      </c>
      <c r="Z5" s="1386">
        <f t="shared" ref="Z5:Z6" si="3">IF(OR(ISNUMBER(W5),ISNUMBER(X5),ISNUMBER(Y5)),MIN(W5,X5,Y5),"na")</f>
        <v>5.4171422715703041</v>
      </c>
      <c r="AA5" s="134"/>
      <c r="AB5" s="1062"/>
    </row>
    <row r="6" spans="1:28" ht="13.9" customHeight="1" x14ac:dyDescent="0.25">
      <c r="A6" s="842">
        <f>Chem!A6</f>
        <v>4</v>
      </c>
      <c r="B6" s="916" t="str">
        <f>Chem!B6</f>
        <v>Total PCB TEQ</v>
      </c>
      <c r="C6" s="2304" t="str">
        <f>Param!AK6</f>
        <v>YES</v>
      </c>
      <c r="D6" s="392">
        <f>IF(C6="YES",Param!V6,"no calc")</f>
        <v>130000</v>
      </c>
      <c r="E6" s="589">
        <f>IF(C6="YES",Param!X6,"no calc")</f>
        <v>130000</v>
      </c>
      <c r="F6" s="392">
        <f>IF(C6="YES",Param!O6,"no calc")</f>
        <v>6.9999999999999996E-10</v>
      </c>
      <c r="G6" s="623">
        <f>IF(C6="YES",Param!S6,"no calc")</f>
        <v>6.9999999999999996E-10</v>
      </c>
      <c r="H6" s="625">
        <f>IF(C6="YES",Param!AD6,"no calc")</f>
        <v>0.6</v>
      </c>
      <c r="I6" s="588">
        <f>IF(C6="YES",Param!AE6,"no calc")</f>
        <v>0.03</v>
      </c>
      <c r="J6" s="602">
        <f>IF(OR($D6="na",$D6="no calc"),"na",0.000001*Eqtn!D$419/(Eqtn!D$415*$H6*$D6+Eqtn!D$420*$I6*$E6))</f>
        <v>3.5131285131285132E-5</v>
      </c>
      <c r="K6" s="605">
        <f>IF(OR($D6="na",$D6="no calc"),"na",0.000001*Eqtn!E$419/(Eqtn!E$415*$H6*$D6+Eqtn!E$420*$I6*$E6))</f>
        <v>2.3304900059546648E-5</v>
      </c>
      <c r="L6" s="605">
        <f>IF(OR($D6="na",$D6="no calc"),"na",0.000001*Eqtn!F$419/(Eqtn!F$415*$H6*$D6+Eqtn!F$420*$I6*$E6))</f>
        <v>6.3755071877506892E-5</v>
      </c>
      <c r="M6" s="815">
        <f>IF(OR($D6="na",$D6="no calc"),"na",0.00001*Eqtn!D$419/(Eqtn!D$415*$H6*$D6+Eqtn!D$420*$I6*$E6))</f>
        <v>3.5131285131285132E-4</v>
      </c>
      <c r="N6" s="815">
        <f>IF(OR($D6="na",$D6="no calc"),"na",0.00001*Eqtn!E$419/(Eqtn!E$415*$H6*$D6+Eqtn!E$420*$I6*$E6))</f>
        <v>2.330490005954665E-4</v>
      </c>
      <c r="O6" s="816">
        <f>IF(OR($D6="na",$D6="no calc"),"na",0.00001*Eqtn!F$419/(Eqtn!F$415*$H6*$D6+Eqtn!F$420*$I6*$E6))</f>
        <v>6.3755071877506894E-4</v>
      </c>
      <c r="P6" s="664">
        <f>IF(OR($F6="na",$F6="no calc"),"na",1*Eqtn!D$451/(Eqtn!D$447*$H6/$F6+Eqtn!D$452*$I6/$G6))</f>
        <v>2.5575575575575575E-4</v>
      </c>
      <c r="Q6" s="664">
        <f>IF(OR($F6="na",$F6="no calc"),"na",1*Eqtn!E$451/(Eqtn!E$447*$H6/$F6+Eqtn!E$452*$I6/$G6))</f>
        <v>1.8097031726239956E-3</v>
      </c>
      <c r="R6" s="664">
        <f>IF(OR($F6="na",$F6="no calc"),"na",1*Eqtn!F$451/(Eqtn!F$447*$H6/$F6+Eqtn!F$452*$I6/$G6))</f>
        <v>3.4036707706338347E-3</v>
      </c>
      <c r="S6" s="1420">
        <f t="shared" si="0"/>
        <v>3.5131285131285132E-5</v>
      </c>
      <c r="T6" s="1420">
        <f t="shared" si="0"/>
        <v>2.3304900059546648E-5</v>
      </c>
      <c r="U6" s="1420">
        <f t="shared" si="0"/>
        <v>6.3755071877506892E-5</v>
      </c>
      <c r="V6" s="1408">
        <f t="shared" si="2"/>
        <v>2.3304900059546648E-5</v>
      </c>
      <c r="W6" s="1387">
        <f t="shared" si="1"/>
        <v>2.5575575575575575E-4</v>
      </c>
      <c r="X6" s="1387">
        <f t="shared" si="1"/>
        <v>2.330490005954665E-4</v>
      </c>
      <c r="Y6" s="1387">
        <f t="shared" si="1"/>
        <v>6.3755071877506894E-4</v>
      </c>
      <c r="Z6" s="1388">
        <f t="shared" si="3"/>
        <v>2.330490005954665E-4</v>
      </c>
      <c r="AA6" s="134"/>
      <c r="AB6" s="1062"/>
    </row>
    <row r="7" spans="1:28" ht="13.9" customHeight="1" x14ac:dyDescent="0.25">
      <c r="A7" s="906">
        <f>Chem!A7</f>
        <v>5</v>
      </c>
      <c r="B7" s="887" t="str">
        <f>Chem!B7</f>
        <v xml:space="preserve">Dioxins/Furans </v>
      </c>
      <c r="C7" s="2343"/>
      <c r="D7" s="259"/>
      <c r="E7" s="127"/>
      <c r="F7" s="259"/>
      <c r="G7" s="44"/>
      <c r="H7" s="44"/>
      <c r="I7" s="327"/>
      <c r="J7" s="127"/>
      <c r="K7" s="127"/>
      <c r="L7" s="127"/>
      <c r="M7" s="127"/>
      <c r="N7" s="127"/>
      <c r="O7" s="127"/>
      <c r="P7" s="44"/>
      <c r="Q7" s="44"/>
      <c r="R7" s="44"/>
      <c r="S7" s="44"/>
      <c r="T7" s="44"/>
      <c r="U7" s="44"/>
      <c r="V7" s="44"/>
      <c r="W7" s="44"/>
      <c r="X7" s="44"/>
      <c r="Y7" s="44"/>
      <c r="Z7" s="55"/>
      <c r="AA7" s="133"/>
      <c r="AB7" s="1063"/>
    </row>
    <row r="8" spans="1:28" ht="13.9" customHeight="1" x14ac:dyDescent="0.25">
      <c r="A8" s="844">
        <f>Chem!A8</f>
        <v>6</v>
      </c>
      <c r="B8" s="916" t="str">
        <f>Chem!B8</f>
        <v>Total dioxin/furan TEQ</v>
      </c>
      <c r="C8" s="2304" t="str">
        <f>Param!AK8</f>
        <v>YES</v>
      </c>
      <c r="D8" s="392">
        <f>IF(C8="YES",Param!V8,"no calc")</f>
        <v>130000</v>
      </c>
      <c r="E8" s="556">
        <f>IF(C8="YES",Param!X8,"no calc")</f>
        <v>130000</v>
      </c>
      <c r="F8" s="388">
        <f>IF(C8="YES",Param!O8,"no calc")</f>
        <v>6.9999999999999996E-10</v>
      </c>
      <c r="G8" s="625">
        <f>IF(C8="YES",Param!S8,"no calc")</f>
        <v>6.9999999999999996E-10</v>
      </c>
      <c r="H8" s="625">
        <f>IF(C8="YES",Param!AD8,"no calc")</f>
        <v>0.6</v>
      </c>
      <c r="I8" s="592">
        <f>IF(C8="YES",Param!AE8,"no calc")</f>
        <v>0.03</v>
      </c>
      <c r="J8" s="602">
        <f>IF(OR($D8="na",$D8="no calc"),"na",0.000001*Eqtn!D$419/(Eqtn!D$415*$H8*$D8+Eqtn!D$420*$I8*$E8))</f>
        <v>3.5131285131285132E-5</v>
      </c>
      <c r="K8" s="608">
        <f>IF(OR($D8="na",$D8="no calc"),"na",0.000001*Eqtn!E$419/(Eqtn!E$415*$H8*$D8+Eqtn!E$420*$I8*$E8))</f>
        <v>2.3304900059546648E-5</v>
      </c>
      <c r="L8" s="608">
        <f>IF(OR($D8="na",$D8="no calc"),"na",0.000001*Eqtn!F$419/(Eqtn!F$415*$H8*$D8+Eqtn!F$420*$I8*$E8))</f>
        <v>6.3755071877506892E-5</v>
      </c>
      <c r="M8" s="818">
        <f>IF(OR($D8="na",$D8="no calc"),"na",0.00001*Eqtn!D$419/(Eqtn!D$415*$H8*$D8+Eqtn!D$420*$I8*$E8))</f>
        <v>3.5131285131285132E-4</v>
      </c>
      <c r="N8" s="818">
        <f>IF(OR($D8="na",$D8="no calc"),"na",0.00001*Eqtn!E$419/(Eqtn!E$415*$H8*$D8+Eqtn!E$420*$I8*$E8))</f>
        <v>2.330490005954665E-4</v>
      </c>
      <c r="O8" s="701">
        <f>IF(OR($D8="na",$D8="no calc"),"na",0.00001*Eqtn!F$419/(Eqtn!F$415*$H8*$D8+Eqtn!F$420*$I8*$E8))</f>
        <v>6.3755071877506894E-4</v>
      </c>
      <c r="P8" s="666">
        <f>IF(OR($F8="na",$F8="no calc"),"na",1*Eqtn!D$451/(Eqtn!D$447*$H8/$F8+Eqtn!D$452*$I8/$G8))</f>
        <v>2.5575575575575575E-4</v>
      </c>
      <c r="Q8" s="666">
        <f>IF(OR($F8="na",$F8="no calc"),"na",1*Eqtn!E$451/(Eqtn!E$447*$H8/$F8+Eqtn!E$452*$I8/$G8))</f>
        <v>1.8097031726239956E-3</v>
      </c>
      <c r="R8" s="666">
        <f>IF(OR($F8="na",$F8="no calc"),"na",1*Eqtn!F$451/(Eqtn!F$447*$H8/$F8+Eqtn!F$452*$I8/$G8))</f>
        <v>3.4036707706338347E-3</v>
      </c>
      <c r="S8" s="1421">
        <f t="shared" ref="S8:U11" si="4">IF(OR(ISNUMBER(J8),ISNUMBER(P8)),MIN(J8,P8),"na")</f>
        <v>3.5131285131285132E-5</v>
      </c>
      <c r="T8" s="1421">
        <f t="shared" si="4"/>
        <v>2.3304900059546648E-5</v>
      </c>
      <c r="U8" s="1421">
        <f t="shared" si="4"/>
        <v>6.3755071877506892E-5</v>
      </c>
      <c r="V8" s="1409">
        <f t="shared" ref="V8:V11" si="5">IF(OR(ISNUMBER(S8),ISNUMBER(T8),ISNUMBER(U8)),MIN(S8,T8,U8),"na")</f>
        <v>2.3304900059546648E-5</v>
      </c>
      <c r="W8" s="1389">
        <f t="shared" ref="W8:Y11" si="6">IF(OR(ISNUMBER(M8),ISNUMBER(P8)),MIN(M8,P8),"na")</f>
        <v>2.5575575575575575E-4</v>
      </c>
      <c r="X8" s="1389">
        <f t="shared" si="6"/>
        <v>2.330490005954665E-4</v>
      </c>
      <c r="Y8" s="1389">
        <f t="shared" si="6"/>
        <v>6.3755071877506894E-4</v>
      </c>
      <c r="Z8" s="1390">
        <f t="shared" ref="Z8:Z11" si="7">IF(OR(ISNUMBER(W8),ISNUMBER(X8),ISNUMBER(Y8)),MIN(W8,X8,Y8),"na")</f>
        <v>2.330490005954665E-4</v>
      </c>
      <c r="AB8" s="1062"/>
    </row>
    <row r="9" spans="1:28" ht="13.9" customHeight="1" x14ac:dyDescent="0.25">
      <c r="A9" s="845">
        <f>Chem!A9</f>
        <v>7</v>
      </c>
      <c r="B9" s="916" t="str">
        <f>Chem!B9</f>
        <v>2,3,7,8-TCDD</v>
      </c>
      <c r="C9" s="2304" t="str">
        <f>Param!AK9</f>
        <v>YES</v>
      </c>
      <c r="D9" s="392">
        <f>IF(C9="YES",Param!V9,"no calc")</f>
        <v>130000</v>
      </c>
      <c r="E9" s="556">
        <f>IF(C9="YES",Param!X9,"no calc")</f>
        <v>130000</v>
      </c>
      <c r="F9" s="388">
        <f>IF(C9="YES",Param!O9,"no calc")</f>
        <v>6.9999999999999996E-10</v>
      </c>
      <c r="G9" s="625">
        <f>IF(C9="YES",Param!S9,"no calc")</f>
        <v>6.9999999999999996E-10</v>
      </c>
      <c r="H9" s="625">
        <f>IF(C9="YES",Param!AD9,"no calc")</f>
        <v>0.6</v>
      </c>
      <c r="I9" s="592">
        <f>IF(C9="YES",Param!AE9,"no calc")</f>
        <v>0.03</v>
      </c>
      <c r="J9" s="602">
        <f>IF(OR($D9="na",$D9="no calc"),"na",0.000001*Eqtn!D$419/(Eqtn!D$415*$H9*$D9+Eqtn!D$420*$I9*$E9))</f>
        <v>3.5131285131285132E-5</v>
      </c>
      <c r="K9" s="608">
        <f>IF(OR($D9="na",$D9="no calc"),"na",0.000001*Eqtn!E$419/(Eqtn!E$415*$H9*$D9+Eqtn!E$420*$I9*$E9))</f>
        <v>2.3304900059546648E-5</v>
      </c>
      <c r="L9" s="608">
        <f>IF(OR($D9="na",$D9="no calc"),"na",0.000001*Eqtn!F$419/(Eqtn!F$415*$H9*$D9+Eqtn!F$420*$I9*$E9))</f>
        <v>6.3755071877506892E-5</v>
      </c>
      <c r="M9" s="818">
        <f>IF(OR($D9="na",$D9="no calc"),"na",0.00001*Eqtn!D$419/(Eqtn!D$415*$H9*$D9+Eqtn!D$420*$I9*$E9))</f>
        <v>3.5131285131285132E-4</v>
      </c>
      <c r="N9" s="818">
        <f>IF(OR($D9="na",$D9="no calc"),"na",0.00001*Eqtn!E$419/(Eqtn!E$415*$H9*$D9+Eqtn!E$420*$I9*$E9))</f>
        <v>2.330490005954665E-4</v>
      </c>
      <c r="O9" s="701">
        <f>IF(OR($D9="na",$D9="no calc"),"na",0.00001*Eqtn!F$419/(Eqtn!F$415*$H9*$D9+Eqtn!F$420*$I9*$E9))</f>
        <v>6.3755071877506894E-4</v>
      </c>
      <c r="P9" s="666">
        <f>IF(OR($F9="na",$F9="no calc"),"na",1*Eqtn!D$451/(Eqtn!D$447*$H9/$F9+Eqtn!D$452*$I9/$G9))</f>
        <v>2.5575575575575575E-4</v>
      </c>
      <c r="Q9" s="666">
        <f>IF(OR($F9="na",$F9="no calc"),"na",1*Eqtn!E$451/(Eqtn!E$447*$H9/$F9+Eqtn!E$452*$I9/$G9))</f>
        <v>1.8097031726239956E-3</v>
      </c>
      <c r="R9" s="666">
        <f>IF(OR($F9="na",$F9="no calc"),"na",1*Eqtn!F$451/(Eqtn!F$447*$H9/$F9+Eqtn!F$452*$I9/$G9))</f>
        <v>3.4036707706338347E-3</v>
      </c>
      <c r="S9" s="1421">
        <f t="shared" ref="S9" si="8">IF(OR(ISNUMBER(J9),ISNUMBER(P9)),MIN(J9,P9),"na")</f>
        <v>3.5131285131285132E-5</v>
      </c>
      <c r="T9" s="1421">
        <f t="shared" ref="T9" si="9">IF(OR(ISNUMBER(K9),ISNUMBER(Q9)),MIN(K9,Q9),"na")</f>
        <v>2.3304900059546648E-5</v>
      </c>
      <c r="U9" s="1421">
        <f t="shared" ref="U9" si="10">IF(OR(ISNUMBER(L9),ISNUMBER(R9)),MIN(L9,R9),"na")</f>
        <v>6.3755071877506892E-5</v>
      </c>
      <c r="V9" s="1409">
        <f t="shared" ref="V9" si="11">IF(OR(ISNUMBER(S9),ISNUMBER(T9),ISNUMBER(U9)),MIN(S9,T9,U9),"na")</f>
        <v>2.3304900059546648E-5</v>
      </c>
      <c r="W9" s="1389">
        <f t="shared" ref="W9" si="12">IF(OR(ISNUMBER(M9),ISNUMBER(P9)),MIN(M9,P9),"na")</f>
        <v>2.5575575575575575E-4</v>
      </c>
      <c r="X9" s="1389">
        <f t="shared" ref="X9" si="13">IF(OR(ISNUMBER(N9),ISNUMBER(Q9)),MIN(N9,Q9),"na")</f>
        <v>2.330490005954665E-4</v>
      </c>
      <c r="Y9" s="1389">
        <f t="shared" ref="Y9" si="14">IF(OR(ISNUMBER(O9),ISNUMBER(R9)),MIN(O9,R9),"na")</f>
        <v>6.3755071877506894E-4</v>
      </c>
      <c r="Z9" s="1390">
        <f t="shared" ref="Z9" si="15">IF(OR(ISNUMBER(W9),ISNUMBER(X9),ISNUMBER(Y9)),MIN(W9,X9,Y9),"na")</f>
        <v>2.330490005954665E-4</v>
      </c>
      <c r="AB9" s="1062"/>
    </row>
    <row r="10" spans="1:28" s="247" customFormat="1" ht="13.9" customHeight="1" x14ac:dyDescent="0.2">
      <c r="A10" s="845">
        <f>Chem!A10</f>
        <v>8</v>
      </c>
      <c r="B10" s="916" t="str">
        <f>Chem!B10</f>
        <v>Total chlorinated dioxins</v>
      </c>
      <c r="C10" s="2305" t="str">
        <f>Param!AK10</f>
        <v>na</v>
      </c>
      <c r="D10" s="384" t="str">
        <f>IF(C10="YES",Param!V10,"no calc")</f>
        <v>no calc</v>
      </c>
      <c r="E10" s="557" t="str">
        <f>IF(C10="YES",Param!X10,"no calc")</f>
        <v>no calc</v>
      </c>
      <c r="F10" s="339" t="str">
        <f>IF(C10="YES",Param!O10,"no calc")</f>
        <v>no calc</v>
      </c>
      <c r="G10" s="622" t="str">
        <f>IF(C10="YES",Param!S10,"no calc")</f>
        <v>no calc</v>
      </c>
      <c r="H10" s="622" t="str">
        <f>IF(C10="YES",Param!AD10,"no calc")</f>
        <v>no calc</v>
      </c>
      <c r="I10" s="593" t="str">
        <f>IF(C10="YES",Param!AE10,"no calc")</f>
        <v>no calc</v>
      </c>
      <c r="J10" s="602" t="str">
        <f>IF(OR($D10="na",$D10="no calc"),"na",0.000001*Eqtn!D$419/(Eqtn!D$415*$H10*$D10+Eqtn!D$420*$I10*$E10))</f>
        <v>na</v>
      </c>
      <c r="K10" s="582" t="str">
        <f>IF(OR($D10="na",$D10="no calc"),"na",0.000001*Eqtn!E$419/(Eqtn!E$415*$H10*$D10+Eqtn!E$420*$I10*$E10))</f>
        <v>na</v>
      </c>
      <c r="L10" s="582" t="str">
        <f>IF(OR($D10="na",$D10="no calc"),"na",0.000001*Eqtn!F$419/(Eqtn!F$415*$H10*$D10+Eqtn!F$420*$I10*$E10))</f>
        <v>na</v>
      </c>
      <c r="M10" s="348" t="str">
        <f>IF(OR($D10="na",$D10="no calc"),"na",0.00001*Eqtn!D$419/(Eqtn!D$415*$H10*$D10+Eqtn!D$420*$I10*$E10))</f>
        <v>na</v>
      </c>
      <c r="N10" s="348" t="str">
        <f>IF(OR($D10="na",$D10="no calc"),"na",0.00001*Eqtn!E$419/(Eqtn!E$415*$H10*$D10+Eqtn!E$420*$I10*$E10))</f>
        <v>na</v>
      </c>
      <c r="O10" s="348" t="str">
        <f>IF(OR($D10="na",$D10="no calc"),"na",0.00001*Eqtn!F$419/(Eqtn!F$415*$H10*$D10+Eqtn!F$420*$I10*$E10))</f>
        <v>na</v>
      </c>
      <c r="P10" s="662" t="str">
        <f>IF(OR($F10="na",$F10="no calc"),"na",1*Eqtn!D$451/(Eqtn!D$447*$H10/$F10+Eqtn!D$452*$I10/$G10))</f>
        <v>na</v>
      </c>
      <c r="Q10" s="662" t="str">
        <f>IF(OR($F10="na",$F10="no calc"),"na",1*Eqtn!E$451/(Eqtn!E$447*$H10/$F10+Eqtn!E$452*$I10/$G10))</f>
        <v>na</v>
      </c>
      <c r="R10" s="662" t="str">
        <f>IF(OR($F10="na",$F10="no calc"),"na",1*Eqtn!F$451/(Eqtn!F$447*$H10/$F10+Eqtn!F$452*$I10/$G10))</f>
        <v>na</v>
      </c>
      <c r="S10" s="1418" t="str">
        <f t="shared" si="4"/>
        <v>na</v>
      </c>
      <c r="T10" s="1418" t="str">
        <f t="shared" si="4"/>
        <v>na</v>
      </c>
      <c r="U10" s="1418" t="str">
        <f t="shared" si="4"/>
        <v>na</v>
      </c>
      <c r="V10" s="1405" t="str">
        <f t="shared" si="5"/>
        <v>na</v>
      </c>
      <c r="W10" s="1383" t="str">
        <f t="shared" si="6"/>
        <v>na</v>
      </c>
      <c r="X10" s="1383" t="str">
        <f t="shared" si="6"/>
        <v>na</v>
      </c>
      <c r="Y10" s="1383" t="str">
        <f t="shared" si="6"/>
        <v>na</v>
      </c>
      <c r="Z10" s="1384" t="str">
        <f t="shared" si="7"/>
        <v>na</v>
      </c>
      <c r="AA10" s="267"/>
      <c r="AB10" s="1064"/>
    </row>
    <row r="11" spans="1:28" s="247" customFormat="1" ht="13.9" customHeight="1" x14ac:dyDescent="0.2">
      <c r="A11" s="845">
        <f>Chem!A11</f>
        <v>9</v>
      </c>
      <c r="B11" s="916" t="str">
        <f>Chem!B11</f>
        <v>Total chlorinated furans</v>
      </c>
      <c r="C11" s="2304" t="str">
        <f>Param!AK11</f>
        <v>na</v>
      </c>
      <c r="D11" s="385" t="str">
        <f>IF(C11="YES",Param!V11,"no calc")</f>
        <v>no calc</v>
      </c>
      <c r="E11" s="558" t="str">
        <f>IF(C11="YES",Param!X11,"no calc")</f>
        <v>no calc</v>
      </c>
      <c r="F11" s="391" t="str">
        <f>IF(C11="YES",Param!O11,"no calc")</f>
        <v>no calc</v>
      </c>
      <c r="G11" s="623" t="str">
        <f>IF(C11="YES",Param!S11,"no calc")</f>
        <v>no calc</v>
      </c>
      <c r="H11" s="623" t="str">
        <f>IF(C11="YES",Param!AD11,"no calc")</f>
        <v>no calc</v>
      </c>
      <c r="I11" s="594" t="str">
        <f>IF(C11="YES",Param!AE11,"no calc")</f>
        <v>no calc</v>
      </c>
      <c r="J11" s="602" t="str">
        <f>IF(OR($D11="na",$D11="no calc"),"na",0.000001*Eqtn!D$419/(Eqtn!D$415*$H11*$D11+Eqtn!D$420*$I11*$E11))</f>
        <v>na</v>
      </c>
      <c r="K11" s="583" t="str">
        <f>IF(OR($D11="na",$D11="no calc"),"na",0.000001*Eqtn!E$419/(Eqtn!E$415*$H11*$D11+Eqtn!E$420*$I11*$E11))</f>
        <v>na</v>
      </c>
      <c r="L11" s="583" t="str">
        <f>IF(OR($D11="na",$D11="no calc"),"na",0.000001*Eqtn!F$419/(Eqtn!F$415*$H11*$D11+Eqtn!F$420*$I11*$E11))</f>
        <v>na</v>
      </c>
      <c r="M11" s="737" t="str">
        <f>IF(OR($D11="na",$D11="no calc"),"na",0.00001*Eqtn!D$419/(Eqtn!D$415*$H11*$D11+Eqtn!D$420*$I11*$E11))</f>
        <v>na</v>
      </c>
      <c r="N11" s="737" t="str">
        <f>IF(OR($D11="na",$D11="no calc"),"na",0.00001*Eqtn!E$419/(Eqtn!E$415*$H11*$D11+Eqtn!E$420*$I11*$E11))</f>
        <v>na</v>
      </c>
      <c r="O11" s="737" t="str">
        <f>IF(OR($D11="na",$D11="no calc"),"na",0.00001*Eqtn!F$419/(Eqtn!F$415*$H11*$D11+Eqtn!F$420*$I11*$E11))</f>
        <v>na</v>
      </c>
      <c r="P11" s="667" t="str">
        <f>IF(OR($F11="na",$F11="no calc"),"na",1*Eqtn!D$451/(Eqtn!D$447*$H11/$F11+Eqtn!D$452*$I11/$G11))</f>
        <v>na</v>
      </c>
      <c r="Q11" s="667" t="str">
        <f>IF(OR($F11="na",$F11="no calc"),"na",1*Eqtn!E$451/(Eqtn!E$447*$H11/$F11+Eqtn!E$452*$I11/$G11))</f>
        <v>na</v>
      </c>
      <c r="R11" s="667" t="str">
        <f>IF(OR($F11="na",$F11="no calc"),"na",1*Eqtn!F$451/(Eqtn!F$447*$H11/$F11+Eqtn!F$452*$I11/$G11))</f>
        <v>na</v>
      </c>
      <c r="S11" s="1422" t="str">
        <f t="shared" si="4"/>
        <v>na</v>
      </c>
      <c r="T11" s="1422" t="str">
        <f t="shared" si="4"/>
        <v>na</v>
      </c>
      <c r="U11" s="1422" t="str">
        <f t="shared" si="4"/>
        <v>na</v>
      </c>
      <c r="V11" s="1410" t="str">
        <f t="shared" si="5"/>
        <v>na</v>
      </c>
      <c r="W11" s="1391" t="str">
        <f t="shared" si="6"/>
        <v>na</v>
      </c>
      <c r="X11" s="1391" t="str">
        <f t="shared" si="6"/>
        <v>na</v>
      </c>
      <c r="Y11" s="1391" t="str">
        <f t="shared" si="6"/>
        <v>na</v>
      </c>
      <c r="Z11" s="1392" t="str">
        <f t="shared" si="7"/>
        <v>na</v>
      </c>
      <c r="AA11" s="267"/>
      <c r="AB11" s="1064"/>
    </row>
    <row r="12" spans="1:28" s="247" customFormat="1" ht="13.9" customHeight="1" x14ac:dyDescent="0.25">
      <c r="A12" s="906">
        <f>Chem!A12</f>
        <v>10</v>
      </c>
      <c r="B12" s="887" t="str">
        <f>Chem!B12</f>
        <v>Inorganics</v>
      </c>
      <c r="C12" s="2343"/>
      <c r="D12" s="259"/>
      <c r="E12" s="127"/>
      <c r="F12" s="259"/>
      <c r="G12" s="44"/>
      <c r="H12" s="44"/>
      <c r="I12" s="327"/>
      <c r="J12" s="127"/>
      <c r="K12" s="127"/>
      <c r="L12" s="127"/>
      <c r="M12" s="127"/>
      <c r="N12" s="127"/>
      <c r="O12" s="127"/>
      <c r="P12" s="44"/>
      <c r="Q12" s="44"/>
      <c r="R12" s="44"/>
      <c r="S12" s="44"/>
      <c r="T12" s="44"/>
      <c r="U12" s="44"/>
      <c r="V12" s="44"/>
      <c r="W12" s="44"/>
      <c r="X12" s="44"/>
      <c r="Y12" s="44"/>
      <c r="Z12" s="55"/>
      <c r="AA12" s="133"/>
      <c r="AB12" s="1063"/>
    </row>
    <row r="13" spans="1:28" s="247" customFormat="1" ht="13.9" customHeight="1" x14ac:dyDescent="0.25">
      <c r="A13" s="845">
        <f>Chem!A13</f>
        <v>11</v>
      </c>
      <c r="B13" s="923" t="str">
        <f>Chem!B13</f>
        <v>Ammonia</v>
      </c>
      <c r="C13" s="2306" t="str">
        <f>Param!AK13</f>
        <v>no</v>
      </c>
      <c r="D13" s="590" t="str">
        <f>IF(C13="YES",Param!V13,"no calc")</f>
        <v>no calc</v>
      </c>
      <c r="E13" s="591" t="str">
        <f>IF(C13="YES",Param!X13,"no calc")</f>
        <v>no calc</v>
      </c>
      <c r="F13" s="1445" t="str">
        <f>IF(C13="YES",Param!O13,"no calc")</f>
        <v>no calc</v>
      </c>
      <c r="G13" s="624" t="str">
        <f>IF(C13="YES",Param!S13,"no calc")</f>
        <v>no calc</v>
      </c>
      <c r="H13" s="624" t="str">
        <f>IF(C13="YES",Param!AD13,"no calc")</f>
        <v>no calc</v>
      </c>
      <c r="I13" s="1995" t="str">
        <f>IF(C13="YES",Param!AE13,"no calc")</f>
        <v>no calc</v>
      </c>
      <c r="J13" s="602" t="str">
        <f>IF(OR($D13="na",$D13="no calc"),"na",0.000001*Eqtn!D$419/(Eqtn!D$415*$H13*$D13+Eqtn!D$420*$I13*$E13))</f>
        <v>na</v>
      </c>
      <c r="K13" s="607" t="str">
        <f>IF(OR($D13="na",$D13="no calc"),"na",0.000001*Eqtn!E$419/(Eqtn!E$415*$H13*$D13+Eqtn!E$420*$I13*$E13))</f>
        <v>na</v>
      </c>
      <c r="L13" s="607" t="str">
        <f>IF(OR($D13="na",$D13="no calc"),"na",0.000001*Eqtn!F$419/(Eqtn!F$415*$H13*$D13+Eqtn!F$420*$I13*$E13))</f>
        <v>na</v>
      </c>
      <c r="M13" s="821" t="str">
        <f>IF(OR($D13="na",$D13="no calc"),"na",0.00001*Eqtn!D$419/(Eqtn!D$415*$H13*$D13+Eqtn!D$420*$I13*$E13))</f>
        <v>na</v>
      </c>
      <c r="N13" s="821" t="str">
        <f>IF(OR($D13="na",$D13="no calc"),"na",0.00001*Eqtn!E$419/(Eqtn!E$415*$H13*$D13+Eqtn!E$420*$I13*$E13))</f>
        <v>na</v>
      </c>
      <c r="O13" s="706" t="str">
        <f>IF(OR($D13="na",$D13="no calc"),"na",0.00001*Eqtn!F$419/(Eqtn!F$415*$H13*$D13+Eqtn!F$420*$I13*$E13))</f>
        <v>na</v>
      </c>
      <c r="P13" s="665" t="str">
        <f>IF(OR($F13="na",$F13="no calc"),"na",1*Eqtn!D$451/(Eqtn!D$447*$H13/$F13+Eqtn!D$452*$I13/$G13))</f>
        <v>na</v>
      </c>
      <c r="Q13" s="665" t="str">
        <f>IF(OR($F13="na",$F13="no calc"),"na",1*Eqtn!E$451/(Eqtn!E$447*$H13/$F13+Eqtn!E$452*$I13/$G13))</f>
        <v>na</v>
      </c>
      <c r="R13" s="665" t="str">
        <f>IF(OR($F13="na",$F13="no calc"),"na",1*Eqtn!F$451/(Eqtn!F$447*$H13/$F13+Eqtn!F$452*$I13/$G13))</f>
        <v>na</v>
      </c>
      <c r="S13" s="1424" t="str">
        <f t="shared" ref="S13:S14" si="16">IF(OR(ISNUMBER(J13),ISNUMBER(P13)),MIN(J13,P13),"na")</f>
        <v>na</v>
      </c>
      <c r="T13" s="1424" t="str">
        <f t="shared" ref="T13:T14" si="17">IF(OR(ISNUMBER(K13),ISNUMBER(Q13)),MIN(K13,Q13),"na")</f>
        <v>na</v>
      </c>
      <c r="U13" s="1424" t="str">
        <f t="shared" ref="U13:U14" si="18">IF(OR(ISNUMBER(L13),ISNUMBER(R13)),MIN(L13,R13),"na")</f>
        <v>na</v>
      </c>
      <c r="V13" s="1412" t="str">
        <f t="shared" ref="V13:V14" si="19">IF(OR(ISNUMBER(S13),ISNUMBER(T13),ISNUMBER(U13)),MIN(S13,T13,U13),"na")</f>
        <v>na</v>
      </c>
      <c r="W13" s="1395" t="str">
        <f t="shared" ref="W13:W14" si="20">IF(OR(ISNUMBER(M13),ISNUMBER(P13)),MIN(M13,P13),"na")</f>
        <v>na</v>
      </c>
      <c r="X13" s="1395" t="str">
        <f t="shared" ref="X13:X14" si="21">IF(OR(ISNUMBER(N13),ISNUMBER(Q13)),MIN(N13,Q13),"na")</f>
        <v>na</v>
      </c>
      <c r="Y13" s="1395" t="str">
        <f t="shared" ref="Y13:Y14" si="22">IF(OR(ISNUMBER(O13),ISNUMBER(R13)),MIN(O13,R13),"na")</f>
        <v>na</v>
      </c>
      <c r="Z13" s="1396" t="str">
        <f t="shared" ref="Z13:Z14" si="23">IF(OR(ISNUMBER(W13),ISNUMBER(X13),ISNUMBER(Y13)),MIN(W13,X13,Y13),"na")</f>
        <v>na</v>
      </c>
      <c r="AA13" s="133"/>
      <c r="AB13" s="1062"/>
    </row>
    <row r="14" spans="1:28" s="247" customFormat="1" ht="13.9" customHeight="1" x14ac:dyDescent="0.25">
      <c r="A14" s="1069">
        <f>Chem!A14</f>
        <v>12</v>
      </c>
      <c r="B14" s="916" t="str">
        <f>Chem!B14</f>
        <v>Chloride</v>
      </c>
      <c r="C14" s="2305" t="str">
        <f>Param!AK14</f>
        <v>no</v>
      </c>
      <c r="D14" s="384" t="str">
        <f>IF(C14="YES",Param!V14,"no calc")</f>
        <v>no calc</v>
      </c>
      <c r="E14" s="552" t="str">
        <f>IF(C14="YES",Param!X14,"no calc")</f>
        <v>no calc</v>
      </c>
      <c r="F14" s="390" t="str">
        <f>IF(C14="YES",Param!O14,"no calc")</f>
        <v>no calc</v>
      </c>
      <c r="G14" s="622" t="str">
        <f>IF(C14="YES",Param!S14,"no calc")</f>
        <v>no calc</v>
      </c>
      <c r="H14" s="622" t="str">
        <f>IF(C14="YES",Param!AD14,"no calc")</f>
        <v>no calc</v>
      </c>
      <c r="I14" s="593" t="str">
        <f>IF(C14="YES",Param!AE14,"no calc")</f>
        <v>no calc</v>
      </c>
      <c r="J14" s="602" t="str">
        <f>IF(OR($D14="na",$D14="no calc"),"na",0.000001*Eqtn!D$419/(Eqtn!D$415*$H14*$D14+Eqtn!D$420*$I14*$E14))</f>
        <v>na</v>
      </c>
      <c r="K14" s="602" t="str">
        <f>IF(OR($D14="na",$D14="no calc"),"na",0.000001*Eqtn!E$419/(Eqtn!E$415*$H14*$D14+Eqtn!E$420*$I14*$E14))</f>
        <v>na</v>
      </c>
      <c r="L14" s="602" t="str">
        <f>IF(OR($D14="na",$D14="no calc"),"na",0.000001*Eqtn!F$419/(Eqtn!F$415*$H14*$D14+Eqtn!F$420*$I14*$E14))</f>
        <v>na</v>
      </c>
      <c r="M14" s="17" t="str">
        <f>IF(OR($D14="na",$D14="no calc"),"na",0.00001*Eqtn!D$419/(Eqtn!D$415*$H14*$D14+Eqtn!D$420*$I14*$E14))</f>
        <v>na</v>
      </c>
      <c r="N14" s="17" t="str">
        <f>IF(OR($D14="na",$D14="no calc"),"na",0.00001*Eqtn!E$419/(Eqtn!E$415*$H14*$D14+Eqtn!E$420*$I14*$E14))</f>
        <v>na</v>
      </c>
      <c r="O14" s="694" t="str">
        <f>IF(OR($D14="na",$D14="no calc"),"na",0.00001*Eqtn!F$419/(Eqtn!F$415*$H14*$D14+Eqtn!F$420*$I14*$E14))</f>
        <v>na</v>
      </c>
      <c r="P14" s="662" t="str">
        <f>IF(OR($F14="na",$F14="no calc"),"na",1*Eqtn!D$451/(Eqtn!D$447*$H14/$F14+Eqtn!D$452*$I14/$G14))</f>
        <v>na</v>
      </c>
      <c r="Q14" s="662" t="str">
        <f>IF(OR($F14="na",$F14="no calc"),"na",1*Eqtn!E$451/(Eqtn!E$447*$H14/$F14+Eqtn!E$452*$I14/$G14))</f>
        <v>na</v>
      </c>
      <c r="R14" s="662" t="str">
        <f>IF(OR($F14="na",$F14="no calc"),"na",1*Eqtn!F$451/(Eqtn!F$447*$H14/$F14+Eqtn!F$452*$I14/$G14))</f>
        <v>na</v>
      </c>
      <c r="S14" s="1418" t="str">
        <f t="shared" si="16"/>
        <v>na</v>
      </c>
      <c r="T14" s="1418" t="str">
        <f t="shared" si="17"/>
        <v>na</v>
      </c>
      <c r="U14" s="1418" t="str">
        <f t="shared" si="18"/>
        <v>na</v>
      </c>
      <c r="V14" s="1405" t="str">
        <f t="shared" si="19"/>
        <v>na</v>
      </c>
      <c r="W14" s="1383" t="str">
        <f t="shared" si="20"/>
        <v>na</v>
      </c>
      <c r="X14" s="1383" t="str">
        <f t="shared" si="21"/>
        <v>na</v>
      </c>
      <c r="Y14" s="1383" t="str">
        <f t="shared" si="22"/>
        <v>na</v>
      </c>
      <c r="Z14" s="1384" t="str">
        <f t="shared" si="23"/>
        <v>na</v>
      </c>
      <c r="AA14" s="133"/>
      <c r="AB14" s="1062"/>
    </row>
    <row r="15" spans="1:28" s="247" customFormat="1" ht="13.9" customHeight="1" x14ac:dyDescent="0.2">
      <c r="A15" s="843">
        <f>Chem!A15</f>
        <v>13</v>
      </c>
      <c r="B15" s="916" t="str">
        <f>Chem!B15</f>
        <v>Cyanide (multiple forms, see notes)</v>
      </c>
      <c r="C15" s="2305" t="str">
        <f>Param!AK15</f>
        <v>no</v>
      </c>
      <c r="D15" s="384" t="str">
        <f>IF(C15="YES",Param!V15,"no calc")</f>
        <v>no calc</v>
      </c>
      <c r="E15" s="552" t="str">
        <f>IF(C15="YES",Param!X15,"no calc")</f>
        <v>no calc</v>
      </c>
      <c r="F15" s="390" t="str">
        <f>IF(C15="YES",Param!O15,"no calc")</f>
        <v>no calc</v>
      </c>
      <c r="G15" s="622" t="str">
        <f>IF(C15="YES",Param!S15,"no calc")</f>
        <v>no calc</v>
      </c>
      <c r="H15" s="622" t="str">
        <f>IF(C15="YES",Param!AD15,"no calc")</f>
        <v>no calc</v>
      </c>
      <c r="I15" s="593" t="str">
        <f>IF(C15="YES",Param!AE15,"no calc")</f>
        <v>no calc</v>
      </c>
      <c r="J15" s="602" t="str">
        <f>IF(OR($D15="na",$D15="no calc"),"na",0.000001*Eqtn!D$419/(Eqtn!D$415*$H15*$D15+Eqtn!D$420*$I15*$E15))</f>
        <v>na</v>
      </c>
      <c r="K15" s="602" t="str">
        <f>IF(OR($D15="na",$D15="no calc"),"na",0.000001*Eqtn!E$419/(Eqtn!E$415*$H15*$D15+Eqtn!E$420*$I15*$E15))</f>
        <v>na</v>
      </c>
      <c r="L15" s="602" t="str">
        <f>IF(OR($D15="na",$D15="no calc"),"na",0.000001*Eqtn!F$419/(Eqtn!F$415*$H15*$D15+Eqtn!F$420*$I15*$E15))</f>
        <v>na</v>
      </c>
      <c r="M15" s="17" t="str">
        <f>IF(OR($D15="na",$D15="no calc"),"na",0.00001*Eqtn!D$419/(Eqtn!D$415*$H15*$D15+Eqtn!D$420*$I15*$E15))</f>
        <v>na</v>
      </c>
      <c r="N15" s="17" t="str">
        <f>IF(OR($D15="na",$D15="no calc"),"na",0.00001*Eqtn!E$419/(Eqtn!E$415*$H15*$D15+Eqtn!E$420*$I15*$E15))</f>
        <v>na</v>
      </c>
      <c r="O15" s="694" t="str">
        <f>IF(OR($D15="na",$D15="no calc"),"na",0.00001*Eqtn!F$419/(Eqtn!F$415*$H15*$D15+Eqtn!F$420*$I15*$E15))</f>
        <v>na</v>
      </c>
      <c r="P15" s="662" t="str">
        <f>IF(OR($F15="na",$F15="no calc"),"na",1*Eqtn!D$451/(Eqtn!D$447*$H15/$F15+Eqtn!D$452*$I15/$G15))</f>
        <v>na</v>
      </c>
      <c r="Q15" s="662" t="str">
        <f>IF(OR($F15="na",$F15="no calc"),"na",1*Eqtn!E$451/(Eqtn!E$447*$H15/$F15+Eqtn!E$452*$I15/$G15))</f>
        <v>na</v>
      </c>
      <c r="R15" s="662" t="str">
        <f>IF(OR($F15="na",$F15="no calc"),"na",1*Eqtn!F$451/(Eqtn!F$447*$H15/$F15+Eqtn!F$452*$I15/$G15))</f>
        <v>na</v>
      </c>
      <c r="S15" s="1418" t="str">
        <f t="shared" ref="S15:U20" si="24">IF(OR(ISNUMBER(J15),ISNUMBER(P15)),MIN(J15,P15),"na")</f>
        <v>na</v>
      </c>
      <c r="T15" s="1418" t="str">
        <f t="shared" si="24"/>
        <v>na</v>
      </c>
      <c r="U15" s="1418" t="str">
        <f t="shared" si="24"/>
        <v>na</v>
      </c>
      <c r="V15" s="1405" t="str">
        <f t="shared" ref="V15:V20" si="25">IF(OR(ISNUMBER(S15),ISNUMBER(T15),ISNUMBER(U15)),MIN(S15,T15,U15),"na")</f>
        <v>na</v>
      </c>
      <c r="W15" s="1383" t="str">
        <f t="shared" ref="W15:Y20" si="26">IF(OR(ISNUMBER(M15),ISNUMBER(P15)),MIN(M15,P15),"na")</f>
        <v>na</v>
      </c>
      <c r="X15" s="1383" t="str">
        <f t="shared" si="26"/>
        <v>na</v>
      </c>
      <c r="Y15" s="1383" t="str">
        <f t="shared" si="26"/>
        <v>na</v>
      </c>
      <c r="Z15" s="1384" t="str">
        <f t="shared" ref="Z15:Z20" si="27">IF(OR(ISNUMBER(W15),ISNUMBER(X15),ISNUMBER(Y15)),MIN(W15,X15,Y15),"na")</f>
        <v>na</v>
      </c>
      <c r="AA15" s="124"/>
      <c r="AB15" s="1064"/>
    </row>
    <row r="16" spans="1:28" s="247" customFormat="1" ht="13.9" customHeight="1" x14ac:dyDescent="0.2">
      <c r="A16" s="843">
        <f>Chem!A16</f>
        <v>14</v>
      </c>
      <c r="B16" s="916" t="str">
        <f>Chem!B16</f>
        <v>Fluoride</v>
      </c>
      <c r="C16" s="2305" t="str">
        <f>Param!AK16</f>
        <v>no</v>
      </c>
      <c r="D16" s="384" t="str">
        <f>IF(C16="YES",Param!V16,"no calc")</f>
        <v>no calc</v>
      </c>
      <c r="E16" s="552" t="str">
        <f>IF(C16="YES",Param!X16,"no calc")</f>
        <v>no calc</v>
      </c>
      <c r="F16" s="390" t="str">
        <f>IF(C16="YES",Param!O16,"no calc")</f>
        <v>no calc</v>
      </c>
      <c r="G16" s="622" t="str">
        <f>IF(C16="YES",Param!S16,"no calc")</f>
        <v>no calc</v>
      </c>
      <c r="H16" s="622" t="str">
        <f>IF(C16="YES",Param!AD16,"no calc")</f>
        <v>no calc</v>
      </c>
      <c r="I16" s="593" t="str">
        <f>IF(C16="YES",Param!AE16,"no calc")</f>
        <v>no calc</v>
      </c>
      <c r="J16" s="602" t="str">
        <f>IF(OR($D16="na",$D16="no calc"),"na",0.000001*Eqtn!D$419/(Eqtn!D$415*$H16*$D16+Eqtn!D$420*$I16*$E16))</f>
        <v>na</v>
      </c>
      <c r="K16" s="602" t="str">
        <f>IF(OR($D16="na",$D16="no calc"),"na",0.000001*Eqtn!E$419/(Eqtn!E$415*$H16*$D16+Eqtn!E$420*$I16*$E16))</f>
        <v>na</v>
      </c>
      <c r="L16" s="602" t="str">
        <f>IF(OR($D16="na",$D16="no calc"),"na",0.000001*Eqtn!F$419/(Eqtn!F$415*$H16*$D16+Eqtn!F$420*$I16*$E16))</f>
        <v>na</v>
      </c>
      <c r="M16" s="17" t="str">
        <f>IF(OR($D16="na",$D16="no calc"),"na",0.00001*Eqtn!D$419/(Eqtn!D$415*$H16*$D16+Eqtn!D$420*$I16*$E16))</f>
        <v>na</v>
      </c>
      <c r="N16" s="17" t="str">
        <f>IF(OR($D16="na",$D16="no calc"),"na",0.00001*Eqtn!E$419/(Eqtn!E$415*$H16*$D16+Eqtn!E$420*$I16*$E16))</f>
        <v>na</v>
      </c>
      <c r="O16" s="694" t="str">
        <f>IF(OR($D16="na",$D16="no calc"),"na",0.00001*Eqtn!F$419/(Eqtn!F$415*$H16*$D16+Eqtn!F$420*$I16*$E16))</f>
        <v>na</v>
      </c>
      <c r="P16" s="662" t="str">
        <f>IF(OR($F16="na",$F16="no calc"),"na",1*Eqtn!D$451/(Eqtn!D$447*$H16/$F16+Eqtn!D$452*$I16/$G16))</f>
        <v>na</v>
      </c>
      <c r="Q16" s="662" t="str">
        <f>IF(OR($F16="na",$F16="no calc"),"na",1*Eqtn!E$451/(Eqtn!E$447*$H16/$F16+Eqtn!E$452*$I16/$G16))</f>
        <v>na</v>
      </c>
      <c r="R16" s="662" t="str">
        <f>IF(OR($F16="na",$F16="no calc"),"na",1*Eqtn!F$451/(Eqtn!F$447*$H16/$F16+Eqtn!F$452*$I16/$G16))</f>
        <v>na</v>
      </c>
      <c r="S16" s="1418" t="str">
        <f t="shared" ref="S16" si="28">IF(OR(ISNUMBER(J16),ISNUMBER(P16)),MIN(J16,P16),"na")</f>
        <v>na</v>
      </c>
      <c r="T16" s="1418" t="str">
        <f t="shared" ref="T16" si="29">IF(OR(ISNUMBER(K16),ISNUMBER(Q16)),MIN(K16,Q16),"na")</f>
        <v>na</v>
      </c>
      <c r="U16" s="1418" t="str">
        <f t="shared" ref="U16" si="30">IF(OR(ISNUMBER(L16),ISNUMBER(R16)),MIN(L16,R16),"na")</f>
        <v>na</v>
      </c>
      <c r="V16" s="1405" t="str">
        <f t="shared" ref="V16" si="31">IF(OR(ISNUMBER(S16),ISNUMBER(T16),ISNUMBER(U16)),MIN(S16,T16,U16),"na")</f>
        <v>na</v>
      </c>
      <c r="W16" s="1383" t="str">
        <f t="shared" ref="W16" si="32">IF(OR(ISNUMBER(M16),ISNUMBER(P16)),MIN(M16,P16),"na")</f>
        <v>na</v>
      </c>
      <c r="X16" s="1383" t="str">
        <f t="shared" ref="X16" si="33">IF(OR(ISNUMBER(N16),ISNUMBER(Q16)),MIN(N16,Q16),"na")</f>
        <v>na</v>
      </c>
      <c r="Y16" s="1383" t="str">
        <f t="shared" ref="Y16" si="34">IF(OR(ISNUMBER(O16),ISNUMBER(R16)),MIN(O16,R16),"na")</f>
        <v>na</v>
      </c>
      <c r="Z16" s="1384" t="str">
        <f t="shared" ref="Z16" si="35">IF(OR(ISNUMBER(W16),ISNUMBER(X16),ISNUMBER(Y16)),MIN(W16,X16,Y16),"na")</f>
        <v>na</v>
      </c>
      <c r="AA16" s="124"/>
      <c r="AB16" s="1064"/>
    </row>
    <row r="17" spans="1:28" s="247" customFormat="1" ht="13.9" customHeight="1" x14ac:dyDescent="0.2">
      <c r="A17" s="1069">
        <f>Chem!A17</f>
        <v>15</v>
      </c>
      <c r="B17" s="916" t="str">
        <f>Chem!B17</f>
        <v>Nitrate</v>
      </c>
      <c r="C17" s="2305" t="str">
        <f>Param!AK17</f>
        <v>no</v>
      </c>
      <c r="D17" s="384" t="str">
        <f>IF(C17="YES",Param!V17,"no calc")</f>
        <v>no calc</v>
      </c>
      <c r="E17" s="552" t="str">
        <f>IF(C17="YES",Param!X17,"no calc")</f>
        <v>no calc</v>
      </c>
      <c r="F17" s="390" t="str">
        <f>IF(C17="YES",Param!O17,"no calc")</f>
        <v>no calc</v>
      </c>
      <c r="G17" s="622" t="str">
        <f>IF(C17="YES",Param!S17,"no calc")</f>
        <v>no calc</v>
      </c>
      <c r="H17" s="622" t="str">
        <f>IF(C17="YES",Param!AD17,"no calc")</f>
        <v>no calc</v>
      </c>
      <c r="I17" s="593" t="str">
        <f>IF(C17="YES",Param!AE17,"no calc")</f>
        <v>no calc</v>
      </c>
      <c r="J17" s="602" t="str">
        <f>IF(OR($D17="na",$D17="no calc"),"na",0.000001*Eqtn!D$419/(Eqtn!D$415*$H17*$D17+Eqtn!D$420*$I17*$E17))</f>
        <v>na</v>
      </c>
      <c r="K17" s="602" t="str">
        <f>IF(OR($D17="na",$D17="no calc"),"na",0.000001*Eqtn!E$419/(Eqtn!E$415*$H17*$D17+Eqtn!E$420*$I17*$E17))</f>
        <v>na</v>
      </c>
      <c r="L17" s="602" t="str">
        <f>IF(OR($D17="na",$D17="no calc"),"na",0.000001*Eqtn!F$419/(Eqtn!F$415*$H17*$D17+Eqtn!F$420*$I17*$E17))</f>
        <v>na</v>
      </c>
      <c r="M17" s="17" t="str">
        <f>IF(OR($D17="na",$D17="no calc"),"na",0.00001*Eqtn!D$419/(Eqtn!D$415*$H17*$D17+Eqtn!D$420*$I17*$E17))</f>
        <v>na</v>
      </c>
      <c r="N17" s="17" t="str">
        <f>IF(OR($D17="na",$D17="no calc"),"na",0.00001*Eqtn!E$419/(Eqtn!E$415*$H17*$D17+Eqtn!E$420*$I17*$E17))</f>
        <v>na</v>
      </c>
      <c r="O17" s="694" t="str">
        <f>IF(OR($D17="na",$D17="no calc"),"na",0.00001*Eqtn!F$419/(Eqtn!F$415*$H17*$D17+Eqtn!F$420*$I17*$E17))</f>
        <v>na</v>
      </c>
      <c r="P17" s="662" t="str">
        <f>IF(OR($F17="na",$F17="no calc"),"na",1*Eqtn!D$451/(Eqtn!D$447*$H17/$F17+Eqtn!D$452*$I17/$G17))</f>
        <v>na</v>
      </c>
      <c r="Q17" s="662" t="str">
        <f>IF(OR($F17="na",$F17="no calc"),"na",1*Eqtn!E$451/(Eqtn!E$447*$H17/$F17+Eqtn!E$452*$I17/$G17))</f>
        <v>na</v>
      </c>
      <c r="R17" s="662" t="str">
        <f>IF(OR($F17="na",$F17="no calc"),"na",1*Eqtn!F$451/(Eqtn!F$447*$H17/$F17+Eqtn!F$452*$I17/$G17))</f>
        <v>na</v>
      </c>
      <c r="S17" s="1418" t="str">
        <f t="shared" si="24"/>
        <v>na</v>
      </c>
      <c r="T17" s="1418" t="str">
        <f t="shared" si="24"/>
        <v>na</v>
      </c>
      <c r="U17" s="1418" t="str">
        <f t="shared" si="24"/>
        <v>na</v>
      </c>
      <c r="V17" s="1405" t="str">
        <f t="shared" si="25"/>
        <v>na</v>
      </c>
      <c r="W17" s="1383" t="str">
        <f t="shared" si="26"/>
        <v>na</v>
      </c>
      <c r="X17" s="1383" t="str">
        <f t="shared" si="26"/>
        <v>na</v>
      </c>
      <c r="Y17" s="1383" t="str">
        <f t="shared" si="26"/>
        <v>na</v>
      </c>
      <c r="Z17" s="1384" t="str">
        <f t="shared" si="27"/>
        <v>na</v>
      </c>
      <c r="AA17" s="124"/>
      <c r="AB17" s="1064"/>
    </row>
    <row r="18" spans="1:28" s="247" customFormat="1" ht="13.9" customHeight="1" x14ac:dyDescent="0.2">
      <c r="A18" s="844">
        <f>Chem!A18</f>
        <v>16</v>
      </c>
      <c r="B18" s="916" t="str">
        <f>Chem!B18</f>
        <v>Nitrite</v>
      </c>
      <c r="C18" s="2304" t="str">
        <f>Param!AK18</f>
        <v>no</v>
      </c>
      <c r="D18" s="392" t="str">
        <f>IF(C18="YES",Param!V18,"no calc")</f>
        <v>no calc</v>
      </c>
      <c r="E18" s="556" t="str">
        <f>IF(C18="YES",Param!X18,"no calc")</f>
        <v>no calc</v>
      </c>
      <c r="F18" s="388" t="str">
        <f>IF(C18="YES",Param!O18,"no calc")</f>
        <v>no calc</v>
      </c>
      <c r="G18" s="625" t="str">
        <f>IF(C18="YES",Param!S18,"no calc")</f>
        <v>no calc</v>
      </c>
      <c r="H18" s="625" t="str">
        <f>IF(C18="YES",Param!AD18,"no calc")</f>
        <v>no calc</v>
      </c>
      <c r="I18" s="592" t="str">
        <f>IF(C18="YES",Param!AE18,"no calc")</f>
        <v>no calc</v>
      </c>
      <c r="J18" s="602" t="str">
        <f>IF(OR($D18="na",$D18="no calc"),"na",0.000001*Eqtn!D$419/(Eqtn!D$415*$H18*$D18+Eqtn!D$420*$I18*$E18))</f>
        <v>na</v>
      </c>
      <c r="K18" s="608" t="str">
        <f>IF(OR($D18="na",$D18="no calc"),"na",0.000001*Eqtn!E$419/(Eqtn!E$415*$H18*$D18+Eqtn!E$420*$I18*$E18))</f>
        <v>na</v>
      </c>
      <c r="L18" s="608" t="str">
        <f>IF(OR($D18="na",$D18="no calc"),"na",0.000001*Eqtn!F$419/(Eqtn!F$415*$H18*$D18+Eqtn!F$420*$I18*$E18))</f>
        <v>na</v>
      </c>
      <c r="M18" s="818" t="str">
        <f>IF(OR($D18="na",$D18="no calc"),"na",0.00001*Eqtn!D$419/(Eqtn!D$415*$H18*$D18+Eqtn!D$420*$I18*$E18))</f>
        <v>na</v>
      </c>
      <c r="N18" s="818" t="str">
        <f>IF(OR($D18="na",$D18="no calc"),"na",0.00001*Eqtn!E$419/(Eqtn!E$415*$H18*$D18+Eqtn!E$420*$I18*$E18))</f>
        <v>na</v>
      </c>
      <c r="O18" s="701" t="str">
        <f>IF(OR($D18="na",$D18="no calc"),"na",0.00001*Eqtn!F$419/(Eqtn!F$415*$H18*$D18+Eqtn!F$420*$I18*$E18))</f>
        <v>na</v>
      </c>
      <c r="P18" s="666" t="str">
        <f>IF(OR($F18="na",$F18="no calc"),"na",1*Eqtn!D$451/(Eqtn!D$447*$H18/$F18+Eqtn!D$452*$I18/$G18))</f>
        <v>na</v>
      </c>
      <c r="Q18" s="666" t="str">
        <f>IF(OR($F18="na",$F18="no calc"),"na",1*Eqtn!E$451/(Eqtn!E$447*$H18/$F18+Eqtn!E$452*$I18/$G18))</f>
        <v>na</v>
      </c>
      <c r="R18" s="666" t="str">
        <f>IF(OR($F18="na",$F18="no calc"),"na",1*Eqtn!F$451/(Eqtn!F$447*$H18/$F18+Eqtn!F$452*$I18/$G18))</f>
        <v>na</v>
      </c>
      <c r="S18" s="1421" t="str">
        <f t="shared" si="24"/>
        <v>na</v>
      </c>
      <c r="T18" s="1421" t="str">
        <f t="shared" si="24"/>
        <v>na</v>
      </c>
      <c r="U18" s="1421" t="str">
        <f t="shared" si="24"/>
        <v>na</v>
      </c>
      <c r="V18" s="1409" t="str">
        <f t="shared" si="25"/>
        <v>na</v>
      </c>
      <c r="W18" s="1389" t="str">
        <f t="shared" si="26"/>
        <v>na</v>
      </c>
      <c r="X18" s="1389" t="str">
        <f t="shared" si="26"/>
        <v>na</v>
      </c>
      <c r="Y18" s="1389" t="str">
        <f t="shared" si="26"/>
        <v>na</v>
      </c>
      <c r="Z18" s="1390" t="str">
        <f t="shared" si="27"/>
        <v>na</v>
      </c>
      <c r="AA18" s="124"/>
      <c r="AB18" s="1064"/>
    </row>
    <row r="19" spans="1:28" s="247" customFormat="1" ht="13.9" customHeight="1" x14ac:dyDescent="0.2">
      <c r="A19" s="1321">
        <f>Chem!A19</f>
        <v>17</v>
      </c>
      <c r="B19" s="916" t="str">
        <f>Chem!B19</f>
        <v>Sulfate</v>
      </c>
      <c r="C19" s="2307" t="str">
        <f>Param!AK19</f>
        <v>no</v>
      </c>
      <c r="D19" s="343" t="str">
        <f>IF(C19="YES",Param!V19,"no calc")</f>
        <v>no calc</v>
      </c>
      <c r="E19" s="552" t="str">
        <f>IF(C19="YES",Param!X19,"no calc")</f>
        <v>no calc</v>
      </c>
      <c r="F19" s="339" t="str">
        <f>IF(C19="YES",Param!O19,"no calc")</f>
        <v>no calc</v>
      </c>
      <c r="G19" s="622" t="str">
        <f>IF(C19="YES",Param!S19,"no calc")</f>
        <v>no calc</v>
      </c>
      <c r="H19" s="622" t="str">
        <f>IF(C19="YES",Param!AD19,"no calc")</f>
        <v>no calc</v>
      </c>
      <c r="I19" s="593" t="str">
        <f>IF(C19="YES",Param!AE19,"no calc")</f>
        <v>no calc</v>
      </c>
      <c r="J19" s="602" t="str">
        <f>IF(OR($D19="na",$D19="no calc"),"na",0.000001*Eqtn!D$419/(Eqtn!D$415*$H19*$D19+Eqtn!D$420*$I19*$E19))</f>
        <v>na</v>
      </c>
      <c r="K19" s="602" t="str">
        <f>IF(OR($D19="na",$D19="no calc"),"na",0.000001*Eqtn!E$419/(Eqtn!E$415*$H19*$D19+Eqtn!E$420*$I19*$E19))</f>
        <v>na</v>
      </c>
      <c r="L19" s="602" t="str">
        <f>IF(OR($D19="na",$D19="no calc"),"na",0.000001*Eqtn!F$419/(Eqtn!F$415*$H19*$D19+Eqtn!F$420*$I19*$E19))</f>
        <v>na</v>
      </c>
      <c r="M19" s="17" t="str">
        <f>IF(OR($D19="na",$D19="no calc"),"na",0.00001*Eqtn!D$419/(Eqtn!D$415*$H19*$D19+Eqtn!D$420*$I19*$E19))</f>
        <v>na</v>
      </c>
      <c r="N19" s="17" t="str">
        <f>IF(OR($D19="na",$D19="no calc"),"na",0.00001*Eqtn!E$419/(Eqtn!E$415*$H19*$D19+Eqtn!E$420*$I19*$E19))</f>
        <v>na</v>
      </c>
      <c r="O19" s="17" t="str">
        <f>IF(OR($D19="na",$D19="no calc"),"na",0.00001*Eqtn!F$419/(Eqtn!F$415*$H19*$D19+Eqtn!F$420*$I19*$E19))</f>
        <v>na</v>
      </c>
      <c r="P19" s="662" t="str">
        <f>IF(OR($F19="na",$F19="no calc"),"na",1*Eqtn!D$451/(Eqtn!D$447*$H19/$F19+Eqtn!D$452*$I19/$G19))</f>
        <v>na</v>
      </c>
      <c r="Q19" s="662" t="str">
        <f>IF(OR($F19="na",$F19="no calc"),"na",1*Eqtn!E$451/(Eqtn!E$447*$H19/$F19+Eqtn!E$452*$I19/$G19))</f>
        <v>na</v>
      </c>
      <c r="R19" s="662" t="str">
        <f>IF(OR($F19="na",$F19="no calc"),"na",1*Eqtn!F$451/(Eqtn!F$447*$H19/$F19+Eqtn!F$452*$I19/$G19))</f>
        <v>na</v>
      </c>
      <c r="S19" s="1418" t="str">
        <f t="shared" si="24"/>
        <v>na</v>
      </c>
      <c r="T19" s="1418" t="str">
        <f t="shared" si="24"/>
        <v>na</v>
      </c>
      <c r="U19" s="1418" t="str">
        <f t="shared" si="24"/>
        <v>na</v>
      </c>
      <c r="V19" s="1405" t="str">
        <f t="shared" si="25"/>
        <v>na</v>
      </c>
      <c r="W19" s="1383" t="str">
        <f t="shared" si="26"/>
        <v>na</v>
      </c>
      <c r="X19" s="1383" t="str">
        <f t="shared" si="26"/>
        <v>na</v>
      </c>
      <c r="Y19" s="1383" t="str">
        <f t="shared" si="26"/>
        <v>na</v>
      </c>
      <c r="Z19" s="1384" t="str">
        <f t="shared" si="27"/>
        <v>na</v>
      </c>
      <c r="AA19" s="124"/>
      <c r="AB19" s="1064"/>
    </row>
    <row r="20" spans="1:28" s="247" customFormat="1" ht="13.9" customHeight="1" x14ac:dyDescent="0.2">
      <c r="A20" s="1322">
        <f>Chem!A20</f>
        <v>18</v>
      </c>
      <c r="B20" s="1142" t="str">
        <f>Chem!B20</f>
        <v>Sulfide</v>
      </c>
      <c r="C20" s="2308" t="str">
        <f>Param!AK20</f>
        <v>no</v>
      </c>
      <c r="D20" s="533" t="str">
        <f>IF(C20="YES",Param!V20,"no calc")</f>
        <v>no calc</v>
      </c>
      <c r="E20" s="589" t="str">
        <f>IF(C20="YES",Param!X20,"no calc")</f>
        <v>no calc</v>
      </c>
      <c r="F20" s="391" t="str">
        <f>IF(C20="YES",Param!O20,"no calc")</f>
        <v>no calc</v>
      </c>
      <c r="G20" s="623" t="str">
        <f>IF(C20="YES",Param!S20,"no calc")</f>
        <v>no calc</v>
      </c>
      <c r="H20" s="623" t="str">
        <f>IF(C20="YES",Param!AD20,"no calc")</f>
        <v>no calc</v>
      </c>
      <c r="I20" s="594" t="str">
        <f>IF(C20="YES",Param!AE20,"no calc")</f>
        <v>no calc</v>
      </c>
      <c r="J20" s="602" t="str">
        <f>IF(OR($D20="na",$D20="no calc"),"na",0.000001*Eqtn!D$419/(Eqtn!D$415*$H20*$D20+Eqtn!D$420*$I20*$E20))</f>
        <v>na</v>
      </c>
      <c r="K20" s="609" t="str">
        <f>IF(OR($D20="na",$D20="no calc"),"na",0.000001*Eqtn!E$419/(Eqtn!E$415*$H20*$D20+Eqtn!E$420*$I20*$E20))</f>
        <v>na</v>
      </c>
      <c r="L20" s="609" t="str">
        <f>IF(OR($D20="na",$D20="no calc"),"na",0.000001*Eqtn!F$419/(Eqtn!F$415*$H20*$D20+Eqtn!F$420*$I20*$E20))</f>
        <v>na</v>
      </c>
      <c r="M20" s="820" t="str">
        <f>IF(OR($D20="na",$D20="no calc"),"na",0.00001*Eqtn!D$419/(Eqtn!D$415*$H20*$D20+Eqtn!D$420*$I20*$E20))</f>
        <v>na</v>
      </c>
      <c r="N20" s="820" t="str">
        <f>IF(OR($D20="na",$D20="no calc"),"na",0.00001*Eqtn!E$419/(Eqtn!E$415*$H20*$D20+Eqtn!E$420*$I20*$E20))</f>
        <v>na</v>
      </c>
      <c r="O20" s="820" t="str">
        <f>IF(OR($D20="na",$D20="no calc"),"na",0.00001*Eqtn!F$419/(Eqtn!F$415*$H20*$D20+Eqtn!F$420*$I20*$E20))</f>
        <v>na</v>
      </c>
      <c r="P20" s="667" t="str">
        <f>IF(OR($F20="na",$F20="no calc"),"na",1*Eqtn!D$451/(Eqtn!D$447*$H20/$F20+Eqtn!D$452*$I20/$G20))</f>
        <v>na</v>
      </c>
      <c r="Q20" s="667" t="str">
        <f>IF(OR($F20="na",$F20="no calc"),"na",1*Eqtn!E$451/(Eqtn!E$447*$H20/$F20+Eqtn!E$452*$I20/$G20))</f>
        <v>na</v>
      </c>
      <c r="R20" s="667" t="str">
        <f>IF(OR($F20="na",$F20="no calc"),"na",1*Eqtn!F$451/(Eqtn!F$447*$H20/$F20+Eqtn!F$452*$I20/$G20))</f>
        <v>na</v>
      </c>
      <c r="S20" s="1422" t="str">
        <f t="shared" si="24"/>
        <v>na</v>
      </c>
      <c r="T20" s="1422" t="str">
        <f t="shared" si="24"/>
        <v>na</v>
      </c>
      <c r="U20" s="1422" t="str">
        <f t="shared" si="24"/>
        <v>na</v>
      </c>
      <c r="V20" s="1410" t="str">
        <f t="shared" si="25"/>
        <v>na</v>
      </c>
      <c r="W20" s="1391" t="str">
        <f t="shared" si="26"/>
        <v>na</v>
      </c>
      <c r="X20" s="1391" t="str">
        <f t="shared" si="26"/>
        <v>na</v>
      </c>
      <c r="Y20" s="1391" t="str">
        <f t="shared" si="26"/>
        <v>na</v>
      </c>
      <c r="Z20" s="1392" t="str">
        <f t="shared" si="27"/>
        <v>na</v>
      </c>
      <c r="AA20" s="124"/>
      <c r="AB20" s="1064"/>
    </row>
    <row r="21" spans="1:28" ht="13.9" customHeight="1" x14ac:dyDescent="0.25">
      <c r="A21" s="906">
        <f>Chem!A21</f>
        <v>19</v>
      </c>
      <c r="B21" s="887" t="str">
        <f>Chem!B21</f>
        <v>Metals</v>
      </c>
      <c r="C21" s="2343"/>
      <c r="D21" s="259"/>
      <c r="E21" s="127"/>
      <c r="F21" s="259"/>
      <c r="G21" s="44"/>
      <c r="H21" s="44"/>
      <c r="I21" s="327"/>
      <c r="J21" s="127"/>
      <c r="K21" s="127"/>
      <c r="L21" s="127"/>
      <c r="M21" s="127"/>
      <c r="N21" s="127"/>
      <c r="O21" s="127"/>
      <c r="P21" s="44"/>
      <c r="Q21" s="44"/>
      <c r="R21" s="44"/>
      <c r="S21" s="44"/>
      <c r="T21" s="44"/>
      <c r="U21" s="44"/>
      <c r="V21" s="44"/>
      <c r="W21" s="44"/>
      <c r="X21" s="44"/>
      <c r="Y21" s="44"/>
      <c r="Z21" s="55"/>
      <c r="AA21" s="133"/>
      <c r="AB21" s="1063"/>
    </row>
    <row r="22" spans="1:28" ht="13.9" customHeight="1" x14ac:dyDescent="0.25">
      <c r="A22" s="846">
        <f>Chem!A22</f>
        <v>20</v>
      </c>
      <c r="B22" s="916" t="str">
        <f>Chem!B22</f>
        <v>Aluminum</v>
      </c>
      <c r="C22" s="2309" t="str">
        <f>Param!AK22</f>
        <v>no</v>
      </c>
      <c r="D22" s="387" t="str">
        <f>IF(C22="YES",Param!V22,"no calc")</f>
        <v>no calc</v>
      </c>
      <c r="E22" s="591" t="str">
        <f>IF(C22="YES",Param!X22,"no calc")</f>
        <v>no calc</v>
      </c>
      <c r="F22" s="387" t="str">
        <f>IF(C22="YES",Param!O22,"no calc")</f>
        <v>no calc</v>
      </c>
      <c r="G22" s="624" t="str">
        <f>IF(C22="YES",Param!S22,"no calc")</f>
        <v>no calc</v>
      </c>
      <c r="H22" s="803" t="str">
        <f>IF(C22="YES",Param!AD22,"no calc")</f>
        <v>no calc</v>
      </c>
      <c r="I22" s="595" t="str">
        <f>IF(C22="YES",Param!AE22,"no calc")</f>
        <v>no calc</v>
      </c>
      <c r="J22" s="606" t="str">
        <f>IF(OR($D22="na",$D22="no calc"),"na",0.000001*Eqtn!D$419/(Eqtn!D$415*$H22*$D22+Eqtn!D$420*$I22*$E22))</f>
        <v>na</v>
      </c>
      <c r="K22" s="606" t="str">
        <f>IF(OR($D22="na",$D22="no calc"),"na",0.000001*Eqtn!E$419/(Eqtn!E$415*$H22*$D22+Eqtn!E$420*$I22*$E22))</f>
        <v>na</v>
      </c>
      <c r="L22" s="606" t="str">
        <f>IF(OR($D22="na",$D22="no calc"),"na",0.000001*Eqtn!F$419/(Eqtn!F$415*$H22*$D22+Eqtn!F$420*$I22*$E22))</f>
        <v>na</v>
      </c>
      <c r="M22" s="817" t="str">
        <f>IF(OR($D22="na",$D22="no calc"),"na",0.00001*Eqtn!D$419/(Eqtn!D$415*$H22*$D22+Eqtn!D$420*$I22*$E22))</f>
        <v>na</v>
      </c>
      <c r="N22" s="817" t="str">
        <f>IF(OR($D22="na",$D22="no calc"),"na",0.00001*Eqtn!E$419/(Eqtn!E$415*$H22*$D22+Eqtn!E$420*$I22*$E22))</f>
        <v>na</v>
      </c>
      <c r="O22" s="819" t="str">
        <f>IF(OR($D22="na",$D22="no calc"),"na",0.00001*Eqtn!F$419/(Eqtn!F$415*$H22*$D22+Eqtn!F$420*$I22*$E22))</f>
        <v>na</v>
      </c>
      <c r="P22" s="668" t="str">
        <f>IF(OR($F22="na",$F22="no calc"),"na",1*Eqtn!D$451/(Eqtn!D$447*$H22/$F22+Eqtn!D$452*$I22/$G22))</f>
        <v>na</v>
      </c>
      <c r="Q22" s="668" t="str">
        <f>IF(OR($F22="na",$F22="no calc"),"na",1*Eqtn!E$451/(Eqtn!E$447*$H22/$F22+Eqtn!E$452*$I22/$G22))</f>
        <v>na</v>
      </c>
      <c r="R22" s="668" t="str">
        <f>IF(OR($F22="na",$F22="no calc"),"na",1*Eqtn!F$451/(Eqtn!F$447*$H22/$F22+Eqtn!F$452*$I22/$G22))</f>
        <v>na</v>
      </c>
      <c r="S22" s="1423" t="str">
        <f t="shared" ref="S22:S45" si="36">IF(OR(ISNUMBER(J22),ISNUMBER(P22)),MIN(J22,P22),"na")</f>
        <v>na</v>
      </c>
      <c r="T22" s="1423" t="str">
        <f t="shared" ref="T22:T45" si="37">IF(OR(ISNUMBER(K22),ISNUMBER(Q22)),MIN(K22,Q22),"na")</f>
        <v>na</v>
      </c>
      <c r="U22" s="1423" t="str">
        <f t="shared" ref="U22:U45" si="38">IF(OR(ISNUMBER(L22),ISNUMBER(R22)),MIN(L22,R22),"na")</f>
        <v>na</v>
      </c>
      <c r="V22" s="1411" t="str">
        <f t="shared" ref="V22:V38" si="39">IF(OR(ISNUMBER(S22),ISNUMBER(T22),ISNUMBER(U22)),MIN(S22,T22,U22),"na")</f>
        <v>na</v>
      </c>
      <c r="W22" s="1393" t="str">
        <f t="shared" ref="W22:W45" si="40">IF(OR(ISNUMBER(M22),ISNUMBER(P22)),MIN(M22,P22),"na")</f>
        <v>na</v>
      </c>
      <c r="X22" s="1393" t="str">
        <f t="shared" ref="X22:X45" si="41">IF(OR(ISNUMBER(N22),ISNUMBER(Q22)),MIN(N22,Q22),"na")</f>
        <v>na</v>
      </c>
      <c r="Y22" s="1393" t="str">
        <f t="shared" ref="Y22:Y45" si="42">IF(OR(ISNUMBER(O22),ISNUMBER(R22)),MIN(O22,R22),"na")</f>
        <v>na</v>
      </c>
      <c r="Z22" s="1394" t="str">
        <f t="shared" ref="Z22:Z45" si="43">IF(OR(ISNUMBER(W22),ISNUMBER(X22),ISNUMBER(Y22)),MIN(W22,X22,Y22),"na")</f>
        <v>na</v>
      </c>
      <c r="AA22" s="134"/>
      <c r="AB22" s="1062"/>
    </row>
    <row r="23" spans="1:28" ht="13.9" customHeight="1" x14ac:dyDescent="0.25">
      <c r="A23" s="847">
        <f>Chem!A23</f>
        <v>21</v>
      </c>
      <c r="B23" s="916" t="str">
        <f>Chem!B23</f>
        <v>Antimony</v>
      </c>
      <c r="C23" s="2305" t="str">
        <f>Param!AK23</f>
        <v>no</v>
      </c>
      <c r="D23" s="384" t="str">
        <f>IF(C23="YES",Param!V23,"no calc")</f>
        <v>no calc</v>
      </c>
      <c r="E23" s="552" t="str">
        <f>IF(C23="YES",Param!X23,"no calc")</f>
        <v>no calc</v>
      </c>
      <c r="F23" s="384" t="str">
        <f>IF(C23="YES",Param!O23,"no calc")</f>
        <v>no calc</v>
      </c>
      <c r="G23" s="622" t="str">
        <f>IF(C23="YES",Param!S23,"no calc")</f>
        <v>no calc</v>
      </c>
      <c r="H23" s="803" t="str">
        <f>IF(C23="YES",Param!AD23,"no calc")</f>
        <v>no calc</v>
      </c>
      <c r="I23" s="595" t="str">
        <f>IF(C23="YES",Param!AE23,"no calc")</f>
        <v>no calc</v>
      </c>
      <c r="J23" s="603" t="str">
        <f>IF(OR($D23="na",$D23="no calc"),"na",0.000001*Eqtn!D$419/(Eqtn!D$415*$H23*$D23+Eqtn!D$420*$I23*$E23))</f>
        <v>na</v>
      </c>
      <c r="K23" s="603" t="str">
        <f>IF(OR($D23="na",$D23="no calc"),"na",0.000001*Eqtn!E$419/(Eqtn!E$415*$H23*$D23+Eqtn!E$420*$I23*$E23))</f>
        <v>na</v>
      </c>
      <c r="L23" s="603" t="str">
        <f>IF(OR($D23="na",$D23="no calc"),"na",0.000001*Eqtn!F$419/(Eqtn!F$415*$H23*$D23+Eqtn!F$420*$I23*$E23))</f>
        <v>na</v>
      </c>
      <c r="M23" s="812" t="str">
        <f>IF(OR($D23="na",$D23="no calc"),"na",0.00001*Eqtn!D$419/(Eqtn!D$415*$H23*$D23+Eqtn!D$420*$I23*$E23))</f>
        <v>na</v>
      </c>
      <c r="N23" s="812" t="str">
        <f>IF(OR($D23="na",$D23="no calc"),"na",0.00001*Eqtn!E$419/(Eqtn!E$415*$H23*$D23+Eqtn!E$420*$I23*$E23))</f>
        <v>na</v>
      </c>
      <c r="O23" s="814" t="str">
        <f>IF(OR($D23="na",$D23="no calc"),"na",0.00001*Eqtn!F$419/(Eqtn!F$415*$H23*$D23+Eqtn!F$420*$I23*$E23))</f>
        <v>na</v>
      </c>
      <c r="P23" s="663" t="str">
        <f>IF(OR($F23="na",$F23="no calc"),"na",1*Eqtn!D$451/(Eqtn!D$447*$H23/$F23+Eqtn!D$452*$I23/$G23))</f>
        <v>na</v>
      </c>
      <c r="Q23" s="663" t="str">
        <f>IF(OR($F23="na",$F23="no calc"),"na",1*Eqtn!E$451/(Eqtn!E$447*$H23/$F23+Eqtn!E$452*$I23/$G23))</f>
        <v>na</v>
      </c>
      <c r="R23" s="663" t="str">
        <f>IF(OR($F23="na",$F23="no calc"),"na",1*Eqtn!F$451/(Eqtn!F$447*$H23/$F23+Eqtn!F$452*$I23/$G23))</f>
        <v>na</v>
      </c>
      <c r="S23" s="1419" t="str">
        <f t="shared" si="36"/>
        <v>na</v>
      </c>
      <c r="T23" s="1419" t="str">
        <f t="shared" si="37"/>
        <v>na</v>
      </c>
      <c r="U23" s="1419" t="str">
        <f t="shared" si="38"/>
        <v>na</v>
      </c>
      <c r="V23" s="1407" t="str">
        <f t="shared" si="39"/>
        <v>na</v>
      </c>
      <c r="W23" s="1385" t="str">
        <f t="shared" si="40"/>
        <v>na</v>
      </c>
      <c r="X23" s="1385" t="str">
        <f t="shared" si="41"/>
        <v>na</v>
      </c>
      <c r="Y23" s="1385" t="str">
        <f t="shared" si="42"/>
        <v>na</v>
      </c>
      <c r="Z23" s="1386" t="str">
        <f t="shared" si="43"/>
        <v>na</v>
      </c>
      <c r="AA23" s="134"/>
      <c r="AB23" s="1062"/>
    </row>
    <row r="24" spans="1:28" ht="13.9" customHeight="1" x14ac:dyDescent="0.25">
      <c r="A24" s="847">
        <f>Chem!A24</f>
        <v>22</v>
      </c>
      <c r="B24" s="916" t="str">
        <f>Chem!B24</f>
        <v>Arsenic</v>
      </c>
      <c r="C24" s="2305" t="str">
        <f>Param!AK24</f>
        <v>YES</v>
      </c>
      <c r="D24" s="384">
        <f>IF(C24="YES",Param!V24,"no calc")</f>
        <v>32</v>
      </c>
      <c r="E24" s="552">
        <f>IF(C24="YES",Param!X24,"no calc")</f>
        <v>32</v>
      </c>
      <c r="F24" s="384">
        <f>IF(C24="YES",Param!O24,"no calc")</f>
        <v>6.0000000000000002E-5</v>
      </c>
      <c r="G24" s="622">
        <f>IF(C24="YES",Param!S24,"no calc")</f>
        <v>6.0000000000000002E-5</v>
      </c>
      <c r="H24" s="803">
        <f>IF(C24="YES",Param!AD24,"no calc")</f>
        <v>1</v>
      </c>
      <c r="I24" s="595">
        <f>IF(C24="YES",Param!AE24,"no calc")</f>
        <v>0.03</v>
      </c>
      <c r="J24" s="602">
        <f>IF(OR($D24="na",$D24="no calc"),"na",0.000001*Eqtn!D$419/(Eqtn!D$415*$H24*$D24+Eqtn!D$420*$I24*$E24))</f>
        <v>8.9167057535959979E-2</v>
      </c>
      <c r="K24" s="602">
        <f>IF(OR($D24="na",$D24="no calc"),"na",0.000001*Eqtn!E$419/(Eqtn!E$415*$H24*$D24+Eqtn!E$420*$I24*$E24))</f>
        <v>6.687928142088409E-2</v>
      </c>
      <c r="L24" s="602">
        <f>IF(OR($D24="na",$D24="no calc"),"na",0.000001*Eqtn!F$419/(Eqtn!F$415*$H24*$D24+Eqtn!F$420*$I24*$E24))</f>
        <v>0.18665721986483774</v>
      </c>
      <c r="M24" s="17">
        <f>IF(OR($D24="na",$D24="no calc"),"na",0.00001*Eqtn!D$419/(Eqtn!D$415*$H24*$D24+Eqtn!D$420*$I24*$E24))</f>
        <v>0.89167057535959993</v>
      </c>
      <c r="N24" s="17">
        <f>IF(OR($D24="na",$D24="no calc"),"na",0.00001*Eqtn!E$419/(Eqtn!E$415*$H24*$D24+Eqtn!E$420*$I24*$E24))</f>
        <v>0.66879281420884107</v>
      </c>
      <c r="O24" s="694">
        <f>IF(OR($D24="na",$D24="no calc"),"na",0.00001*Eqtn!F$419/(Eqtn!F$415*$H24*$D24+Eqtn!F$420*$I24*$E24))</f>
        <v>1.8665721986483779</v>
      </c>
      <c r="P24" s="662">
        <f>IF(OR($F24="na",$F24="no calc"),"na",1*Eqtn!D$451/(Eqtn!D$447*$H24/$F24+Eqtn!D$452*$I24/$G24))</f>
        <v>13.696060037523452</v>
      </c>
      <c r="Q24" s="662">
        <f>IF(OR($F24="na",$F24="no calc"),"na",1*Eqtn!E$451/(Eqtn!E$447*$H24/$F24+Eqtn!E$452*$I24/$G24))</f>
        <v>109.57501467997652</v>
      </c>
      <c r="R24" s="662">
        <f>IF(OR($F24="na",$F24="no calc"),"na",1*Eqtn!F$451/(Eqtn!F$447*$H24/$F24+Eqtn!F$452*$I24/$G24))</f>
        <v>210.25069245575327</v>
      </c>
      <c r="S24" s="1418">
        <f t="shared" si="36"/>
        <v>8.9167057535959979E-2</v>
      </c>
      <c r="T24" s="1418">
        <f t="shared" si="37"/>
        <v>6.687928142088409E-2</v>
      </c>
      <c r="U24" s="1418">
        <f t="shared" si="38"/>
        <v>0.18665721986483774</v>
      </c>
      <c r="V24" s="1405">
        <f t="shared" si="39"/>
        <v>6.687928142088409E-2</v>
      </c>
      <c r="W24" s="1383">
        <f t="shared" si="40"/>
        <v>0.89167057535959993</v>
      </c>
      <c r="X24" s="1383">
        <f t="shared" si="41"/>
        <v>0.66879281420884107</v>
      </c>
      <c r="Y24" s="1383">
        <f t="shared" si="42"/>
        <v>1.8665721986483779</v>
      </c>
      <c r="Z24" s="1384">
        <f t="shared" si="43"/>
        <v>0.66879281420884107</v>
      </c>
      <c r="AB24" s="1062"/>
    </row>
    <row r="25" spans="1:28" ht="13.9" customHeight="1" x14ac:dyDescent="0.25">
      <c r="A25" s="847">
        <f>Chem!A25</f>
        <v>23</v>
      </c>
      <c r="B25" s="916" t="str">
        <f>Chem!B25</f>
        <v>Barium</v>
      </c>
      <c r="C25" s="2305" t="str">
        <f>Param!AK25</f>
        <v>no</v>
      </c>
      <c r="D25" s="384" t="str">
        <f>IF(C25="YES",Param!V25,"no calc")</f>
        <v>no calc</v>
      </c>
      <c r="E25" s="552" t="str">
        <f>IF(C25="YES",Param!X25,"no calc")</f>
        <v>no calc</v>
      </c>
      <c r="F25" s="384" t="str">
        <f>IF(C25="YES",Param!O25,"no calc")</f>
        <v>no calc</v>
      </c>
      <c r="G25" s="622" t="str">
        <f>IF(C25="YES",Param!S25,"no calc")</f>
        <v>no calc</v>
      </c>
      <c r="H25" s="803" t="str">
        <f>IF(C25="YES",Param!AD25,"no calc")</f>
        <v>no calc</v>
      </c>
      <c r="I25" s="595" t="str">
        <f>IF(C25="YES",Param!AE25,"no calc")</f>
        <v>no calc</v>
      </c>
      <c r="J25" s="602" t="str">
        <f>IF(OR($D25="na",$D25="no calc"),"na",0.000001*Eqtn!D$419/(Eqtn!D$415*$H25*$D25+Eqtn!D$420*$I25*$E25))</f>
        <v>na</v>
      </c>
      <c r="K25" s="602" t="str">
        <f>IF(OR($D25="na",$D25="no calc"),"na",0.000001*Eqtn!E$419/(Eqtn!E$415*$H25*$D25+Eqtn!E$420*$I25*$E25))</f>
        <v>na</v>
      </c>
      <c r="L25" s="602" t="str">
        <f>IF(OR($D25="na",$D25="no calc"),"na",0.000001*Eqtn!F$419/(Eqtn!F$415*$H25*$D25+Eqtn!F$420*$I25*$E25))</f>
        <v>na</v>
      </c>
      <c r="M25" s="17" t="str">
        <f>IF(OR($D25="na",$D25="no calc"),"na",0.00001*Eqtn!D$419/(Eqtn!D$415*$H25*$D25+Eqtn!D$420*$I25*$E25))</f>
        <v>na</v>
      </c>
      <c r="N25" s="17" t="str">
        <f>IF(OR($D25="na",$D25="no calc"),"na",0.00001*Eqtn!E$419/(Eqtn!E$415*$H25*$D25+Eqtn!E$420*$I25*$E25))</f>
        <v>na</v>
      </c>
      <c r="O25" s="694" t="str">
        <f>IF(OR($D25="na",$D25="no calc"),"na",0.00001*Eqtn!F$419/(Eqtn!F$415*$H25*$D25+Eqtn!F$420*$I25*$E25))</f>
        <v>na</v>
      </c>
      <c r="P25" s="662" t="str">
        <f>IF(OR($F25="na",$F25="no calc"),"na",1*Eqtn!D$451/(Eqtn!D$447*$H25/$F25+Eqtn!D$452*$I25/$G25))</f>
        <v>na</v>
      </c>
      <c r="Q25" s="662" t="str">
        <f>IF(OR($F25="na",$F25="no calc"),"na",1*Eqtn!E$451/(Eqtn!E$447*$H25/$F25+Eqtn!E$452*$I25/$G25))</f>
        <v>na</v>
      </c>
      <c r="R25" s="662" t="str">
        <f>IF(OR($F25="na",$F25="no calc"),"na",1*Eqtn!F$451/(Eqtn!F$447*$H25/$F25+Eqtn!F$452*$I25/$G25))</f>
        <v>na</v>
      </c>
      <c r="S25" s="1418" t="str">
        <f t="shared" si="36"/>
        <v>na</v>
      </c>
      <c r="T25" s="1418" t="str">
        <f t="shared" si="37"/>
        <v>na</v>
      </c>
      <c r="U25" s="1418" t="str">
        <f t="shared" si="38"/>
        <v>na</v>
      </c>
      <c r="V25" s="1405" t="str">
        <f t="shared" si="39"/>
        <v>na</v>
      </c>
      <c r="W25" s="1383" t="str">
        <f t="shared" si="40"/>
        <v>na</v>
      </c>
      <c r="X25" s="1383" t="str">
        <f t="shared" si="41"/>
        <v>na</v>
      </c>
      <c r="Y25" s="1383" t="str">
        <f t="shared" si="42"/>
        <v>na</v>
      </c>
      <c r="Z25" s="1384" t="str">
        <f t="shared" si="43"/>
        <v>na</v>
      </c>
      <c r="AB25" s="1062"/>
    </row>
    <row r="26" spans="1:28" ht="13.9" customHeight="1" x14ac:dyDescent="0.25">
      <c r="A26" s="847">
        <f>Chem!A26</f>
        <v>24</v>
      </c>
      <c r="B26" s="916" t="str">
        <f>Chem!B26</f>
        <v>Beryllium</v>
      </c>
      <c r="C26" s="2305" t="str">
        <f>Param!AK26</f>
        <v>no</v>
      </c>
      <c r="D26" s="384" t="str">
        <f>IF(C26="YES",Param!V26,"no calc")</f>
        <v>no calc</v>
      </c>
      <c r="E26" s="552" t="str">
        <f>IF(C26="YES",Param!X26,"no calc")</f>
        <v>no calc</v>
      </c>
      <c r="F26" s="384" t="str">
        <f>IF(C26="YES",Param!O26,"no calc")</f>
        <v>no calc</v>
      </c>
      <c r="G26" s="622" t="str">
        <f>IF(C26="YES",Param!S26,"no calc")</f>
        <v>no calc</v>
      </c>
      <c r="H26" s="803" t="str">
        <f>IF(C26="YES",Param!AD26,"no calc")</f>
        <v>no calc</v>
      </c>
      <c r="I26" s="595" t="str">
        <f>IF(C26="YES",Param!AE26,"no calc")</f>
        <v>no calc</v>
      </c>
      <c r="J26" s="602" t="str">
        <f>IF(OR($D26="na",$D26="no calc"),"na",0.000001*Eqtn!D$419/(Eqtn!D$415*$H26*$D26+Eqtn!D$420*$I26*$E26))</f>
        <v>na</v>
      </c>
      <c r="K26" s="602" t="str">
        <f>IF(OR($D26="na",$D26="no calc"),"na",0.000001*Eqtn!E$419/(Eqtn!E$415*$H26*$D26+Eqtn!E$420*$I26*$E26))</f>
        <v>na</v>
      </c>
      <c r="L26" s="602" t="str">
        <f>IF(OR($D26="na",$D26="no calc"),"na",0.000001*Eqtn!F$419/(Eqtn!F$415*$H26*$D26+Eqtn!F$420*$I26*$E26))</f>
        <v>na</v>
      </c>
      <c r="M26" s="17" t="str">
        <f>IF(OR($D26="na",$D26="no calc"),"na",0.00001*Eqtn!D$419/(Eqtn!D$415*$H26*$D26+Eqtn!D$420*$I26*$E26))</f>
        <v>na</v>
      </c>
      <c r="N26" s="17" t="str">
        <f>IF(OR($D26="na",$D26="no calc"),"na",0.00001*Eqtn!E$419/(Eqtn!E$415*$H26*$D26+Eqtn!E$420*$I26*$E26))</f>
        <v>na</v>
      </c>
      <c r="O26" s="694" t="str">
        <f>IF(OR($D26="na",$D26="no calc"),"na",0.00001*Eqtn!F$419/(Eqtn!F$415*$H26*$D26+Eqtn!F$420*$I26*$E26))</f>
        <v>na</v>
      </c>
      <c r="P26" s="662" t="str">
        <f>IF(OR($F26="na",$F26="no calc"),"na",1*Eqtn!D$451/(Eqtn!D$447*$H26/$F26+Eqtn!D$452*$I26/$G26))</f>
        <v>na</v>
      </c>
      <c r="Q26" s="662" t="str">
        <f>IF(OR($F26="na",$F26="no calc"),"na",1*Eqtn!E$451/(Eqtn!E$447*$H26/$F26+Eqtn!E$452*$I26/$G26))</f>
        <v>na</v>
      </c>
      <c r="R26" s="662" t="str">
        <f>IF(OR($F26="na",$F26="no calc"),"na",1*Eqtn!F$451/(Eqtn!F$447*$H26/$F26+Eqtn!F$452*$I26/$G26))</f>
        <v>na</v>
      </c>
      <c r="S26" s="1418" t="str">
        <f t="shared" si="36"/>
        <v>na</v>
      </c>
      <c r="T26" s="1418" t="str">
        <f t="shared" si="37"/>
        <v>na</v>
      </c>
      <c r="U26" s="1418" t="str">
        <f t="shared" si="38"/>
        <v>na</v>
      </c>
      <c r="V26" s="1405" t="str">
        <f t="shared" si="39"/>
        <v>na</v>
      </c>
      <c r="W26" s="1383" t="str">
        <f t="shared" si="40"/>
        <v>na</v>
      </c>
      <c r="X26" s="1383" t="str">
        <f t="shared" si="41"/>
        <v>na</v>
      </c>
      <c r="Y26" s="1383" t="str">
        <f t="shared" si="42"/>
        <v>na</v>
      </c>
      <c r="Z26" s="1384" t="str">
        <f t="shared" si="43"/>
        <v>na</v>
      </c>
      <c r="AB26" s="1062"/>
    </row>
    <row r="27" spans="1:28" ht="13.9" customHeight="1" x14ac:dyDescent="0.25">
      <c r="A27" s="847">
        <f>Chem!A27</f>
        <v>25</v>
      </c>
      <c r="B27" s="916" t="str">
        <f>Chem!B27</f>
        <v>Cadmium</v>
      </c>
      <c r="C27" s="2305" t="str">
        <f>Param!AK27</f>
        <v>no</v>
      </c>
      <c r="D27" s="384" t="str">
        <f>IF(C27="YES",Param!V27,"no calc")</f>
        <v>no calc</v>
      </c>
      <c r="E27" s="552" t="str">
        <f>IF(C27="YES",Param!X27,"no calc")</f>
        <v>no calc</v>
      </c>
      <c r="F27" s="384" t="str">
        <f>IF(C27="YES",Param!O27,"no calc")</f>
        <v>no calc</v>
      </c>
      <c r="G27" s="622" t="str">
        <f>IF(C27="YES",Param!S27,"no calc")</f>
        <v>no calc</v>
      </c>
      <c r="H27" s="803" t="str">
        <f>IF(C27="YES",Param!AD27,"no calc")</f>
        <v>no calc</v>
      </c>
      <c r="I27" s="595" t="str">
        <f>IF(C27="YES",Param!AE27,"no calc")</f>
        <v>no calc</v>
      </c>
      <c r="J27" s="602" t="str">
        <f>IF(OR($D27="na",$D27="no calc"),"na",0.000001*Eqtn!D$419/(Eqtn!D$415*$H27*$D27+Eqtn!D$420*$I27*$E27))</f>
        <v>na</v>
      </c>
      <c r="K27" s="602" t="str">
        <f>IF(OR($D27="na",$D27="no calc"),"na",0.000001*Eqtn!E$419/(Eqtn!E$415*$H27*$D27+Eqtn!E$420*$I27*$E27))</f>
        <v>na</v>
      </c>
      <c r="L27" s="602" t="str">
        <f>IF(OR($D27="na",$D27="no calc"),"na",0.000001*Eqtn!F$419/(Eqtn!F$415*$H27*$D27+Eqtn!F$420*$I27*$E27))</f>
        <v>na</v>
      </c>
      <c r="M27" s="17" t="str">
        <f>IF(OR($D27="na",$D27="no calc"),"na",0.00001*Eqtn!D$419/(Eqtn!D$415*$H27*$D27+Eqtn!D$420*$I27*$E27))</f>
        <v>na</v>
      </c>
      <c r="N27" s="17" t="str">
        <f>IF(OR($D27="na",$D27="no calc"),"na",0.00001*Eqtn!E$419/(Eqtn!E$415*$H27*$D27+Eqtn!E$420*$I27*$E27))</f>
        <v>na</v>
      </c>
      <c r="O27" s="694" t="str">
        <f>IF(OR($D27="na",$D27="no calc"),"na",0.00001*Eqtn!F$419/(Eqtn!F$415*$H27*$D27+Eqtn!F$420*$I27*$E27))</f>
        <v>na</v>
      </c>
      <c r="P27" s="662" t="str">
        <f>IF(OR($F27="na",$F27="no calc"),"na",1*Eqtn!D$451/(Eqtn!D$447*$H27/$F27+Eqtn!D$452*$I27/$G27))</f>
        <v>na</v>
      </c>
      <c r="Q27" s="662" t="str">
        <f>IF(OR($F27="na",$F27="no calc"),"na",1*Eqtn!E$451/(Eqtn!E$447*$H27/$F27+Eqtn!E$452*$I27/$G27))</f>
        <v>na</v>
      </c>
      <c r="R27" s="662" t="str">
        <f>IF(OR($F27="na",$F27="no calc"),"na",1*Eqtn!F$451/(Eqtn!F$447*$H27/$F27+Eqtn!F$452*$I27/$G27))</f>
        <v>na</v>
      </c>
      <c r="S27" s="1418" t="str">
        <f t="shared" si="36"/>
        <v>na</v>
      </c>
      <c r="T27" s="1418" t="str">
        <f t="shared" si="37"/>
        <v>na</v>
      </c>
      <c r="U27" s="1418" t="str">
        <f t="shared" si="38"/>
        <v>na</v>
      </c>
      <c r="V27" s="1405" t="str">
        <f t="shared" si="39"/>
        <v>na</v>
      </c>
      <c r="W27" s="1383" t="str">
        <f t="shared" si="40"/>
        <v>na</v>
      </c>
      <c r="X27" s="1383" t="str">
        <f t="shared" si="41"/>
        <v>na</v>
      </c>
      <c r="Y27" s="1383" t="str">
        <f t="shared" si="42"/>
        <v>na</v>
      </c>
      <c r="Z27" s="1384" t="str">
        <f t="shared" si="43"/>
        <v>na</v>
      </c>
      <c r="AB27" s="1062"/>
    </row>
    <row r="28" spans="1:28" ht="13.9" customHeight="1" x14ac:dyDescent="0.25">
      <c r="A28" s="847">
        <f>Chem!A28</f>
        <v>26</v>
      </c>
      <c r="B28" s="916" t="str">
        <f>Chem!B28</f>
        <v>Chromium, total</v>
      </c>
      <c r="C28" s="2305" t="str">
        <f>Param!AK28</f>
        <v>no</v>
      </c>
      <c r="D28" s="384" t="str">
        <f>IF(C28="YES",Param!V28,"no calc")</f>
        <v>no calc</v>
      </c>
      <c r="E28" s="552" t="str">
        <f>IF(C28="YES",Param!X28,"no calc")</f>
        <v>no calc</v>
      </c>
      <c r="F28" s="384" t="str">
        <f>IF(C28="YES",Param!O28,"no calc")</f>
        <v>no calc</v>
      </c>
      <c r="G28" s="622" t="str">
        <f>IF(C28="YES",Param!S28,"no calc")</f>
        <v>no calc</v>
      </c>
      <c r="H28" s="803" t="str">
        <f>IF(C28="YES",Param!AD28,"no calc")</f>
        <v>no calc</v>
      </c>
      <c r="I28" s="595" t="str">
        <f>IF(C28="YES",Param!AE28,"no calc")</f>
        <v>no calc</v>
      </c>
      <c r="J28" s="602" t="str">
        <f>IF(OR($D28="na",$D28="no calc"),"na",0.000001*Eqtn!D$419/(Eqtn!D$415*$H28*$D28+Eqtn!D$420*$I28*$E28))</f>
        <v>na</v>
      </c>
      <c r="K28" s="602" t="str">
        <f>IF(OR($D28="na",$D28="no calc"),"na",0.000001*Eqtn!E$419/(Eqtn!E$415*$H28*$D28+Eqtn!E$420*$I28*$E28))</f>
        <v>na</v>
      </c>
      <c r="L28" s="602" t="str">
        <f>IF(OR($D28="na",$D28="no calc"),"na",0.000001*Eqtn!F$419/(Eqtn!F$415*$H28*$D28+Eqtn!F$420*$I28*$E28))</f>
        <v>na</v>
      </c>
      <c r="M28" s="17" t="str">
        <f>IF(OR($D28="na",$D28="no calc"),"na",0.00001*Eqtn!D$419/(Eqtn!D$415*$H28*$D28+Eqtn!D$420*$I28*$E28))</f>
        <v>na</v>
      </c>
      <c r="N28" s="17" t="str">
        <f>IF(OR($D28="na",$D28="no calc"),"na",0.00001*Eqtn!E$419/(Eqtn!E$415*$H28*$D28+Eqtn!E$420*$I28*$E28))</f>
        <v>na</v>
      </c>
      <c r="O28" s="694" t="str">
        <f>IF(OR($D28="na",$D28="no calc"),"na",0.00001*Eqtn!F$419/(Eqtn!F$415*$H28*$D28+Eqtn!F$420*$I28*$E28))</f>
        <v>na</v>
      </c>
      <c r="P28" s="662" t="str">
        <f>IF(OR($F28="na",$F28="no calc"),"na",1*Eqtn!D$451/(Eqtn!D$447*$H28/$F28+Eqtn!D$452*$I28/$G28))</f>
        <v>na</v>
      </c>
      <c r="Q28" s="662" t="str">
        <f>IF(OR($F28="na",$F28="no calc"),"na",1*Eqtn!E$451/(Eqtn!E$447*$H28/$F28+Eqtn!E$452*$I28/$G28))</f>
        <v>na</v>
      </c>
      <c r="R28" s="662" t="str">
        <f>IF(OR($F28="na",$F28="no calc"),"na",1*Eqtn!F$451/(Eqtn!F$447*$H28/$F28+Eqtn!F$452*$I28/$G28))</f>
        <v>na</v>
      </c>
      <c r="S28" s="1418" t="str">
        <f t="shared" si="36"/>
        <v>na</v>
      </c>
      <c r="T28" s="1418" t="str">
        <f t="shared" si="37"/>
        <v>na</v>
      </c>
      <c r="U28" s="1418" t="str">
        <f t="shared" si="38"/>
        <v>na</v>
      </c>
      <c r="V28" s="1405" t="str">
        <f t="shared" si="39"/>
        <v>na</v>
      </c>
      <c r="W28" s="1383" t="str">
        <f t="shared" si="40"/>
        <v>na</v>
      </c>
      <c r="X28" s="1383" t="str">
        <f t="shared" si="41"/>
        <v>na</v>
      </c>
      <c r="Y28" s="1383" t="str">
        <f t="shared" si="42"/>
        <v>na</v>
      </c>
      <c r="Z28" s="1384" t="str">
        <f t="shared" si="43"/>
        <v>na</v>
      </c>
      <c r="AB28" s="1062"/>
    </row>
    <row r="29" spans="1:28" ht="13.9" customHeight="1" x14ac:dyDescent="0.25">
      <c r="A29" s="847">
        <f>Chem!A29</f>
        <v>27</v>
      </c>
      <c r="B29" s="916" t="str">
        <f>Chem!B29</f>
        <v>Chromium, trivalent</v>
      </c>
      <c r="C29" s="2305" t="str">
        <f>Param!AK29</f>
        <v>no</v>
      </c>
      <c r="D29" s="384" t="str">
        <f>IF(C29="YES",Param!V29,"no calc")</f>
        <v>no calc</v>
      </c>
      <c r="E29" s="552" t="str">
        <f>IF(C29="YES",Param!X29,"no calc")</f>
        <v>no calc</v>
      </c>
      <c r="F29" s="384" t="str">
        <f>IF(C29="YES",Param!O29,"no calc")</f>
        <v>no calc</v>
      </c>
      <c r="G29" s="622" t="str">
        <f>IF(C29="YES",Param!S29,"no calc")</f>
        <v>no calc</v>
      </c>
      <c r="H29" s="803" t="str">
        <f>IF(C29="YES",Param!AD29,"no calc")</f>
        <v>no calc</v>
      </c>
      <c r="I29" s="595" t="str">
        <f>IF(C29="YES",Param!AE29,"no calc")</f>
        <v>no calc</v>
      </c>
      <c r="J29" s="602" t="str">
        <f>IF(OR($D29="na",$D29="no calc"),"na",0.000001*Eqtn!D$419/(Eqtn!D$415*$H29*$D29+Eqtn!D$420*$I29*$E29))</f>
        <v>na</v>
      </c>
      <c r="K29" s="602" t="str">
        <f>IF(OR($D29="na",$D29="no calc"),"na",0.000001*Eqtn!E$419/(Eqtn!E$415*$H29*$D29+Eqtn!E$420*$I29*$E29))</f>
        <v>na</v>
      </c>
      <c r="L29" s="602" t="str">
        <f>IF(OR($D29="na",$D29="no calc"),"na",0.000001*Eqtn!F$419/(Eqtn!F$415*$H29*$D29+Eqtn!F$420*$I29*$E29))</f>
        <v>na</v>
      </c>
      <c r="M29" s="17" t="str">
        <f>IF(OR($D29="na",$D29="no calc"),"na",0.00001*Eqtn!D$419/(Eqtn!D$415*$H29*$D29+Eqtn!D$420*$I29*$E29))</f>
        <v>na</v>
      </c>
      <c r="N29" s="17" t="str">
        <f>IF(OR($D29="na",$D29="no calc"),"na",0.00001*Eqtn!E$419/(Eqtn!E$415*$H29*$D29+Eqtn!E$420*$I29*$E29))</f>
        <v>na</v>
      </c>
      <c r="O29" s="694" t="str">
        <f>IF(OR($D29="na",$D29="no calc"),"na",0.00001*Eqtn!F$419/(Eqtn!F$415*$H29*$D29+Eqtn!F$420*$I29*$E29))</f>
        <v>na</v>
      </c>
      <c r="P29" s="662" t="str">
        <f>IF(OR($F29="na",$F29="no calc"),"na",1*Eqtn!D$451/(Eqtn!D$447*$H29/$F29+Eqtn!D$452*$I29/$G29))</f>
        <v>na</v>
      </c>
      <c r="Q29" s="662" t="str">
        <f>IF(OR($F29="na",$F29="no calc"),"na",1*Eqtn!E$451/(Eqtn!E$447*$H29/$F29+Eqtn!E$452*$I29/$G29))</f>
        <v>na</v>
      </c>
      <c r="R29" s="662" t="str">
        <f>IF(OR($F29="na",$F29="no calc"),"na",1*Eqtn!F$451/(Eqtn!F$447*$H29/$F29+Eqtn!F$452*$I29/$G29))</f>
        <v>na</v>
      </c>
      <c r="S29" s="1418" t="str">
        <f t="shared" si="36"/>
        <v>na</v>
      </c>
      <c r="T29" s="1418" t="str">
        <f t="shared" si="37"/>
        <v>na</v>
      </c>
      <c r="U29" s="1418" t="str">
        <f t="shared" si="38"/>
        <v>na</v>
      </c>
      <c r="V29" s="1405" t="str">
        <f t="shared" si="39"/>
        <v>na</v>
      </c>
      <c r="W29" s="1383" t="str">
        <f t="shared" si="40"/>
        <v>na</v>
      </c>
      <c r="X29" s="1383" t="str">
        <f t="shared" si="41"/>
        <v>na</v>
      </c>
      <c r="Y29" s="1383" t="str">
        <f t="shared" si="42"/>
        <v>na</v>
      </c>
      <c r="Z29" s="1384" t="str">
        <f t="shared" si="43"/>
        <v>na</v>
      </c>
      <c r="AB29" s="1062"/>
    </row>
    <row r="30" spans="1:28" ht="13.9" customHeight="1" x14ac:dyDescent="0.25">
      <c r="A30" s="847">
        <f>Chem!A30</f>
        <v>28</v>
      </c>
      <c r="B30" s="1843" t="str">
        <f>Chem!B30</f>
        <v>Chromium, hexavalent</v>
      </c>
      <c r="C30" s="2305" t="str">
        <f>Param!AK30</f>
        <v>no</v>
      </c>
      <c r="D30" s="384" t="str">
        <f>IF(C30="YES",Param!V30,"no calc")</f>
        <v>no calc</v>
      </c>
      <c r="E30" s="552" t="str">
        <f>IF(C30="YES",Param!X30,"no calc")</f>
        <v>no calc</v>
      </c>
      <c r="F30" s="384" t="str">
        <f>IF(C30="YES",Param!O30,"no calc")</f>
        <v>no calc</v>
      </c>
      <c r="G30" s="622" t="str">
        <f>IF(C30="YES",Param!S30,"no calc")</f>
        <v>no calc</v>
      </c>
      <c r="H30" s="803" t="str">
        <f>IF(C30="YES",Param!AD30,"no calc")</f>
        <v>no calc</v>
      </c>
      <c r="I30" s="595" t="str">
        <f>IF(C30="YES",Param!AE30,"no calc")</f>
        <v>no calc</v>
      </c>
      <c r="J30" s="602" t="str">
        <f>IF(OR($D30="na",$D30="no calc"),"na",0.000001*Eqtn!D$419/(Eqtn!D$415*$H30*$D30+Eqtn!D$420*$I30*$E30))</f>
        <v>na</v>
      </c>
      <c r="K30" s="602" t="str">
        <f>IF(OR($D30="na",$D30="no calc"),"na",0.000001*Eqtn!E$419/(Eqtn!E$415*$H30*$D30+Eqtn!E$420*$I30*$E30))</f>
        <v>na</v>
      </c>
      <c r="L30" s="602" t="str">
        <f>IF(OR($D30="na",$D30="no calc"),"na",0.000001*Eqtn!F$419/(Eqtn!F$415*$H30*$D30+Eqtn!F$420*$I30*$E30))</f>
        <v>na</v>
      </c>
      <c r="M30" s="17" t="str">
        <f>IF(OR($D30="na",$D30="no calc"),"na",0.00001*Eqtn!D$419/(Eqtn!D$415*$H30*$D30+Eqtn!D$420*$I30*$E30))</f>
        <v>na</v>
      </c>
      <c r="N30" s="17" t="str">
        <f>IF(OR($D30="na",$D30="no calc"),"na",0.00001*Eqtn!E$419/(Eqtn!E$415*$H30*$D30+Eqtn!E$420*$I30*$E30))</f>
        <v>na</v>
      </c>
      <c r="O30" s="694" t="str">
        <f>IF(OR($D30="na",$D30="no calc"),"na",0.00001*Eqtn!F$419/(Eqtn!F$415*$H30*$D30+Eqtn!F$420*$I30*$E30))</f>
        <v>na</v>
      </c>
      <c r="P30" s="662" t="str">
        <f>IF(OR($F30="na",$F30="no calc"),"na",1*Eqtn!D$451/(Eqtn!D$447*$H30/$F30+Eqtn!D$452*$I30/$G30))</f>
        <v>na</v>
      </c>
      <c r="Q30" s="662" t="str">
        <f>IF(OR($F30="na",$F30="no calc"),"na",1*Eqtn!E$451/(Eqtn!E$447*$H30/$F30+Eqtn!E$452*$I30/$G30))</f>
        <v>na</v>
      </c>
      <c r="R30" s="662" t="str">
        <f>IF(OR($F30="na",$F30="no calc"),"na",1*Eqtn!F$451/(Eqtn!F$447*$H30/$F30+Eqtn!F$452*$I30/$G30))</f>
        <v>na</v>
      </c>
      <c r="S30" s="1418" t="str">
        <f t="shared" si="36"/>
        <v>na</v>
      </c>
      <c r="T30" s="1418" t="str">
        <f t="shared" si="37"/>
        <v>na</v>
      </c>
      <c r="U30" s="1418" t="str">
        <f t="shared" si="38"/>
        <v>na</v>
      </c>
      <c r="V30" s="1405" t="str">
        <f t="shared" si="39"/>
        <v>na</v>
      </c>
      <c r="W30" s="1383" t="str">
        <f t="shared" si="40"/>
        <v>na</v>
      </c>
      <c r="X30" s="1383" t="str">
        <f t="shared" si="41"/>
        <v>na</v>
      </c>
      <c r="Y30" s="1383" t="str">
        <f t="shared" si="42"/>
        <v>na</v>
      </c>
      <c r="Z30" s="1384" t="str">
        <f t="shared" si="43"/>
        <v>na</v>
      </c>
      <c r="AB30" s="1062"/>
    </row>
    <row r="31" spans="1:28" ht="13.9" customHeight="1" x14ac:dyDescent="0.25">
      <c r="A31" s="847">
        <f>Chem!A31</f>
        <v>29</v>
      </c>
      <c r="B31" s="916" t="str">
        <f>Chem!B31</f>
        <v>Cobalt</v>
      </c>
      <c r="C31" s="2305" t="str">
        <f>Param!AK31</f>
        <v>no</v>
      </c>
      <c r="D31" s="384" t="str">
        <f>IF(C31="YES",Param!V31,"no calc")</f>
        <v>no calc</v>
      </c>
      <c r="E31" s="552" t="str">
        <f>IF(C31="YES",Param!X31,"no calc")</f>
        <v>no calc</v>
      </c>
      <c r="F31" s="384" t="str">
        <f>IF(C31="YES",Param!O31,"no calc")</f>
        <v>no calc</v>
      </c>
      <c r="G31" s="622" t="str">
        <f>IF(C31="YES",Param!S31,"no calc")</f>
        <v>no calc</v>
      </c>
      <c r="H31" s="803" t="str">
        <f>IF(C31="YES",Param!AD31,"no calc")</f>
        <v>no calc</v>
      </c>
      <c r="I31" s="595" t="str">
        <f>IF(C31="YES",Param!AE31,"no calc")</f>
        <v>no calc</v>
      </c>
      <c r="J31" s="602" t="str">
        <f>IF(OR($D31="na",$D31="no calc"),"na",0.000001*Eqtn!D$419/(Eqtn!D$415*$H31*$D31+Eqtn!D$420*$I31*$E31))</f>
        <v>na</v>
      </c>
      <c r="K31" s="602" t="str">
        <f>IF(OR($D31="na",$D31="no calc"),"na",0.000001*Eqtn!E$419/(Eqtn!E$415*$H31*$D31+Eqtn!E$420*$I31*$E31))</f>
        <v>na</v>
      </c>
      <c r="L31" s="602" t="str">
        <f>IF(OR($D31="na",$D31="no calc"),"na",0.000001*Eqtn!F$419/(Eqtn!F$415*$H31*$D31+Eqtn!F$420*$I31*$E31))</f>
        <v>na</v>
      </c>
      <c r="M31" s="17" t="str">
        <f>IF(OR($D31="na",$D31="no calc"),"na",0.00001*Eqtn!D$419/(Eqtn!D$415*$H31*$D31+Eqtn!D$420*$I31*$E31))</f>
        <v>na</v>
      </c>
      <c r="N31" s="17" t="str">
        <f>IF(OR($D31="na",$D31="no calc"),"na",0.00001*Eqtn!E$419/(Eqtn!E$415*$H31*$D31+Eqtn!E$420*$I31*$E31))</f>
        <v>na</v>
      </c>
      <c r="O31" s="694" t="str">
        <f>IF(OR($D31="na",$D31="no calc"),"na",0.00001*Eqtn!F$419/(Eqtn!F$415*$H31*$D31+Eqtn!F$420*$I31*$E31))</f>
        <v>na</v>
      </c>
      <c r="P31" s="662" t="str">
        <f>IF(OR($F31="na",$F31="no calc"),"na",1*Eqtn!D$451/(Eqtn!D$447*$H31/$F31+Eqtn!D$452*$I31/$G31))</f>
        <v>na</v>
      </c>
      <c r="Q31" s="662" t="str">
        <f>IF(OR($F31="na",$F31="no calc"),"na",1*Eqtn!E$451/(Eqtn!E$447*$H31/$F31+Eqtn!E$452*$I31/$G31))</f>
        <v>na</v>
      </c>
      <c r="R31" s="662" t="str">
        <f>IF(OR($F31="na",$F31="no calc"),"na",1*Eqtn!F$451/(Eqtn!F$447*$H31/$F31+Eqtn!F$452*$I31/$G31))</f>
        <v>na</v>
      </c>
      <c r="S31" s="1418" t="str">
        <f t="shared" si="36"/>
        <v>na</v>
      </c>
      <c r="T31" s="1418" t="str">
        <f t="shared" si="37"/>
        <v>na</v>
      </c>
      <c r="U31" s="1418" t="str">
        <f t="shared" si="38"/>
        <v>na</v>
      </c>
      <c r="V31" s="1405" t="str">
        <f t="shared" si="39"/>
        <v>na</v>
      </c>
      <c r="W31" s="1383" t="str">
        <f t="shared" si="40"/>
        <v>na</v>
      </c>
      <c r="X31" s="1383" t="str">
        <f t="shared" si="41"/>
        <v>na</v>
      </c>
      <c r="Y31" s="1383" t="str">
        <f t="shared" si="42"/>
        <v>na</v>
      </c>
      <c r="Z31" s="1384" t="str">
        <f t="shared" si="43"/>
        <v>na</v>
      </c>
      <c r="AB31" s="1062"/>
    </row>
    <row r="32" spans="1:28" ht="13.9" customHeight="1" x14ac:dyDescent="0.25">
      <c r="A32" s="847">
        <f>Chem!A32</f>
        <v>30</v>
      </c>
      <c r="B32" s="916" t="str">
        <f>Chem!B32</f>
        <v>Copper</v>
      </c>
      <c r="C32" s="2305" t="str">
        <f>Param!AK32</f>
        <v>no</v>
      </c>
      <c r="D32" s="384" t="str">
        <f>IF(C32="YES",Param!V32,"no calc")</f>
        <v>no calc</v>
      </c>
      <c r="E32" s="552" t="str">
        <f>IF(C32="YES",Param!X32,"no calc")</f>
        <v>no calc</v>
      </c>
      <c r="F32" s="384" t="str">
        <f>IF(C32="YES",Param!O32,"no calc")</f>
        <v>no calc</v>
      </c>
      <c r="G32" s="622" t="str">
        <f>IF(C32="YES",Param!S32,"no calc")</f>
        <v>no calc</v>
      </c>
      <c r="H32" s="803" t="str">
        <f>IF(C32="YES",Param!AD32,"no calc")</f>
        <v>no calc</v>
      </c>
      <c r="I32" s="595" t="str">
        <f>IF(C32="YES",Param!AE32,"no calc")</f>
        <v>no calc</v>
      </c>
      <c r="J32" s="602" t="str">
        <f>IF(OR($D32="na",$D32="no calc"),"na",0.000001*Eqtn!D$419/(Eqtn!D$415*$H32*$D32+Eqtn!D$420*$I32*$E32))</f>
        <v>na</v>
      </c>
      <c r="K32" s="602" t="str">
        <f>IF(OR($D32="na",$D32="no calc"),"na",0.000001*Eqtn!E$419/(Eqtn!E$415*$H32*$D32+Eqtn!E$420*$I32*$E32))</f>
        <v>na</v>
      </c>
      <c r="L32" s="602" t="str">
        <f>IF(OR($D32="na",$D32="no calc"),"na",0.000001*Eqtn!F$419/(Eqtn!F$415*$H32*$D32+Eqtn!F$420*$I32*$E32))</f>
        <v>na</v>
      </c>
      <c r="M32" s="17" t="str">
        <f>IF(OR($D32="na",$D32="no calc"),"na",0.00001*Eqtn!D$419/(Eqtn!D$415*$H32*$D32+Eqtn!D$420*$I32*$E32))</f>
        <v>na</v>
      </c>
      <c r="N32" s="17" t="str">
        <f>IF(OR($D32="na",$D32="no calc"),"na",0.00001*Eqtn!E$419/(Eqtn!E$415*$H32*$D32+Eqtn!E$420*$I32*$E32))</f>
        <v>na</v>
      </c>
      <c r="O32" s="694" t="str">
        <f>IF(OR($D32="na",$D32="no calc"),"na",0.00001*Eqtn!F$419/(Eqtn!F$415*$H32*$D32+Eqtn!F$420*$I32*$E32))</f>
        <v>na</v>
      </c>
      <c r="P32" s="662" t="str">
        <f>IF(OR($F32="na",$F32="no calc"),"na",1*Eqtn!D$451/(Eqtn!D$447*$H32/$F32+Eqtn!D$452*$I32/$G32))</f>
        <v>na</v>
      </c>
      <c r="Q32" s="662" t="str">
        <f>IF(OR($F32="na",$F32="no calc"),"na",1*Eqtn!E$451/(Eqtn!E$447*$H32/$F32+Eqtn!E$452*$I32/$G32))</f>
        <v>na</v>
      </c>
      <c r="R32" s="662" t="str">
        <f>IF(OR($F32="na",$F32="no calc"),"na",1*Eqtn!F$451/(Eqtn!F$447*$H32/$F32+Eqtn!F$452*$I32/$G32))</f>
        <v>na</v>
      </c>
      <c r="S32" s="1418" t="str">
        <f t="shared" si="36"/>
        <v>na</v>
      </c>
      <c r="T32" s="1418" t="str">
        <f t="shared" si="37"/>
        <v>na</v>
      </c>
      <c r="U32" s="1418" t="str">
        <f t="shared" si="38"/>
        <v>na</v>
      </c>
      <c r="V32" s="1405" t="str">
        <f t="shared" si="39"/>
        <v>na</v>
      </c>
      <c r="W32" s="1383" t="str">
        <f t="shared" si="40"/>
        <v>na</v>
      </c>
      <c r="X32" s="1383" t="str">
        <f t="shared" si="41"/>
        <v>na</v>
      </c>
      <c r="Y32" s="1383" t="str">
        <f t="shared" si="42"/>
        <v>na</v>
      </c>
      <c r="Z32" s="1384" t="str">
        <f t="shared" si="43"/>
        <v>na</v>
      </c>
      <c r="AB32" s="1062"/>
    </row>
    <row r="33" spans="1:28" ht="13.9" customHeight="1" x14ac:dyDescent="0.25">
      <c r="A33" s="847">
        <f>Chem!A33</f>
        <v>31</v>
      </c>
      <c r="B33" s="916" t="str">
        <f>Chem!B33</f>
        <v>Iron</v>
      </c>
      <c r="C33" s="2305" t="str">
        <f>Param!AK33</f>
        <v>no</v>
      </c>
      <c r="D33" s="384" t="str">
        <f>IF(C33="YES",Param!V33,"no calc")</f>
        <v>no calc</v>
      </c>
      <c r="E33" s="552" t="str">
        <f>IF(C33="YES",Param!X33,"no calc")</f>
        <v>no calc</v>
      </c>
      <c r="F33" s="384" t="str">
        <f>IF(C33="YES",Param!O33,"no calc")</f>
        <v>no calc</v>
      </c>
      <c r="G33" s="622" t="str">
        <f>IF(C33="YES",Param!S33,"no calc")</f>
        <v>no calc</v>
      </c>
      <c r="H33" s="803" t="str">
        <f>IF(C33="YES",Param!AD33,"no calc")</f>
        <v>no calc</v>
      </c>
      <c r="I33" s="595" t="str">
        <f>IF(C33="YES",Param!AE33,"no calc")</f>
        <v>no calc</v>
      </c>
      <c r="J33" s="602" t="str">
        <f>IF(OR($D33="na",$D33="no calc"),"na",0.000001*Eqtn!D$419/(Eqtn!D$415*$H33*$D33+Eqtn!D$420*$I33*$E33))</f>
        <v>na</v>
      </c>
      <c r="K33" s="602" t="str">
        <f>IF(OR($D33="na",$D33="no calc"),"na",0.000001*Eqtn!E$419/(Eqtn!E$415*$H33*$D33+Eqtn!E$420*$I33*$E33))</f>
        <v>na</v>
      </c>
      <c r="L33" s="602" t="str">
        <f>IF(OR($D33="na",$D33="no calc"),"na",0.000001*Eqtn!F$419/(Eqtn!F$415*$H33*$D33+Eqtn!F$420*$I33*$E33))</f>
        <v>na</v>
      </c>
      <c r="M33" s="17" t="str">
        <f>IF(OR($D33="na",$D33="no calc"),"na",0.00001*Eqtn!D$419/(Eqtn!D$415*$H33*$D33+Eqtn!D$420*$I33*$E33))</f>
        <v>na</v>
      </c>
      <c r="N33" s="17" t="str">
        <f>IF(OR($D33="na",$D33="no calc"),"na",0.00001*Eqtn!E$419/(Eqtn!E$415*$H33*$D33+Eqtn!E$420*$I33*$E33))</f>
        <v>na</v>
      </c>
      <c r="O33" s="694" t="str">
        <f>IF(OR($D33="na",$D33="no calc"),"na",0.00001*Eqtn!F$419/(Eqtn!F$415*$H33*$D33+Eqtn!F$420*$I33*$E33))</f>
        <v>na</v>
      </c>
      <c r="P33" s="662" t="str">
        <f>IF(OR($F33="na",$F33="no calc"),"na",1*Eqtn!D$451/(Eqtn!D$447*$H33/$F33+Eqtn!D$452*$I33/$G33))</f>
        <v>na</v>
      </c>
      <c r="Q33" s="662" t="str">
        <f>IF(OR($F33="na",$F33="no calc"),"na",1*Eqtn!E$451/(Eqtn!E$447*$H33/$F33+Eqtn!E$452*$I33/$G33))</f>
        <v>na</v>
      </c>
      <c r="R33" s="662" t="str">
        <f>IF(OR($F33="na",$F33="no calc"),"na",1*Eqtn!F$451/(Eqtn!F$447*$H33/$F33+Eqtn!F$452*$I33/$G33))</f>
        <v>na</v>
      </c>
      <c r="S33" s="1418" t="str">
        <f t="shared" si="36"/>
        <v>na</v>
      </c>
      <c r="T33" s="1418" t="str">
        <f t="shared" si="37"/>
        <v>na</v>
      </c>
      <c r="U33" s="1418" t="str">
        <f t="shared" si="38"/>
        <v>na</v>
      </c>
      <c r="V33" s="1405" t="str">
        <f t="shared" si="39"/>
        <v>na</v>
      </c>
      <c r="W33" s="1383" t="str">
        <f t="shared" si="40"/>
        <v>na</v>
      </c>
      <c r="X33" s="1383" t="str">
        <f t="shared" si="41"/>
        <v>na</v>
      </c>
      <c r="Y33" s="1383" t="str">
        <f t="shared" si="42"/>
        <v>na</v>
      </c>
      <c r="Z33" s="1384" t="str">
        <f t="shared" si="43"/>
        <v>na</v>
      </c>
      <c r="AB33" s="1062"/>
    </row>
    <row r="34" spans="1:28" ht="13.9" customHeight="1" x14ac:dyDescent="0.25">
      <c r="A34" s="847">
        <f>Chem!A34</f>
        <v>32</v>
      </c>
      <c r="B34" s="916" t="str">
        <f>Chem!B34</f>
        <v>Lead</v>
      </c>
      <c r="C34" s="2305" t="str">
        <f>Param!AK34</f>
        <v>no</v>
      </c>
      <c r="D34" s="384" t="str">
        <f>IF(C34="YES",Param!V34,"no calc")</f>
        <v>no calc</v>
      </c>
      <c r="E34" s="552" t="str">
        <f>IF(C34="YES",Param!X34,"no calc")</f>
        <v>no calc</v>
      </c>
      <c r="F34" s="384" t="str">
        <f>IF(C34="YES",Param!O34,"no calc")</f>
        <v>no calc</v>
      </c>
      <c r="G34" s="622" t="str">
        <f>IF(C34="YES",Param!S34,"no calc")</f>
        <v>no calc</v>
      </c>
      <c r="H34" s="803" t="str">
        <f>IF(C34="YES",Param!AD34,"no calc")</f>
        <v>no calc</v>
      </c>
      <c r="I34" s="595" t="str">
        <f>IF(C34="YES",Param!AE34,"no calc")</f>
        <v>no calc</v>
      </c>
      <c r="J34" s="602" t="str">
        <f>IF(OR($D34="na",$D34="no calc"),"na",0.000001*Eqtn!D$419/(Eqtn!D$415*$H34*$D34+Eqtn!D$420*$I34*$E34))</f>
        <v>na</v>
      </c>
      <c r="K34" s="602" t="str">
        <f>IF(OR($D34="na",$D34="no calc"),"na",0.000001*Eqtn!E$419/(Eqtn!E$415*$H34*$D34+Eqtn!E$420*$I34*$E34))</f>
        <v>na</v>
      </c>
      <c r="L34" s="602" t="str">
        <f>IF(OR($D34="na",$D34="no calc"),"na",0.000001*Eqtn!F$419/(Eqtn!F$415*$H34*$D34+Eqtn!F$420*$I34*$E34))</f>
        <v>na</v>
      </c>
      <c r="M34" s="17" t="str">
        <f>IF(OR($D34="na",$D34="no calc"),"na",0.00001*Eqtn!D$419/(Eqtn!D$415*$H34*$D34+Eqtn!D$420*$I34*$E34))</f>
        <v>na</v>
      </c>
      <c r="N34" s="17" t="str">
        <f>IF(OR($D34="na",$D34="no calc"),"na",0.00001*Eqtn!E$419/(Eqtn!E$415*$H34*$D34+Eqtn!E$420*$I34*$E34))</f>
        <v>na</v>
      </c>
      <c r="O34" s="694" t="str">
        <f>IF(OR($D34="na",$D34="no calc"),"na",0.00001*Eqtn!F$419/(Eqtn!F$415*$H34*$D34+Eqtn!F$420*$I34*$E34))</f>
        <v>na</v>
      </c>
      <c r="P34" s="662" t="str">
        <f>IF(OR($F34="na",$F34="no calc"),"na",1*Eqtn!D$451/(Eqtn!D$447*$H34/$F34+Eqtn!D$452*$I34/$G34))</f>
        <v>na</v>
      </c>
      <c r="Q34" s="662" t="str">
        <f>IF(OR($F34="na",$F34="no calc"),"na",1*Eqtn!E$451/(Eqtn!E$447*$H34/$F34+Eqtn!E$452*$I34/$G34))</f>
        <v>na</v>
      </c>
      <c r="R34" s="662" t="str">
        <f>IF(OR($F34="na",$F34="no calc"),"na",1*Eqtn!F$451/(Eqtn!F$447*$H34/$F34+Eqtn!F$452*$I34/$G34))</f>
        <v>na</v>
      </c>
      <c r="S34" s="1418" t="str">
        <f t="shared" si="36"/>
        <v>na</v>
      </c>
      <c r="T34" s="1418" t="str">
        <f t="shared" si="37"/>
        <v>na</v>
      </c>
      <c r="U34" s="1418" t="str">
        <f t="shared" si="38"/>
        <v>na</v>
      </c>
      <c r="V34" s="1405" t="str">
        <f t="shared" si="39"/>
        <v>na</v>
      </c>
      <c r="W34" s="1383" t="str">
        <f t="shared" si="40"/>
        <v>na</v>
      </c>
      <c r="X34" s="1383" t="str">
        <f t="shared" si="41"/>
        <v>na</v>
      </c>
      <c r="Y34" s="1383" t="str">
        <f t="shared" si="42"/>
        <v>na</v>
      </c>
      <c r="Z34" s="1384" t="str">
        <f t="shared" si="43"/>
        <v>na</v>
      </c>
      <c r="AB34" s="1062"/>
    </row>
    <row r="35" spans="1:28" ht="13.9" customHeight="1" x14ac:dyDescent="0.25">
      <c r="A35" s="847">
        <f>Chem!A35</f>
        <v>33</v>
      </c>
      <c r="B35" s="916" t="str">
        <f>Chem!B35</f>
        <v>Manganese</v>
      </c>
      <c r="C35" s="2305" t="str">
        <f>Param!AK35</f>
        <v>no</v>
      </c>
      <c r="D35" s="384" t="str">
        <f>IF(C35="YES",Param!V35,"no calc")</f>
        <v>no calc</v>
      </c>
      <c r="E35" s="552" t="str">
        <f>IF(C35="YES",Param!X35,"no calc")</f>
        <v>no calc</v>
      </c>
      <c r="F35" s="384" t="str">
        <f>IF(C35="YES",Param!O35,"no calc")</f>
        <v>no calc</v>
      </c>
      <c r="G35" s="622" t="str">
        <f>IF(C35="YES",Param!S35,"no calc")</f>
        <v>no calc</v>
      </c>
      <c r="H35" s="803" t="str">
        <f>IF(C35="YES",Param!AD35,"no calc")</f>
        <v>no calc</v>
      </c>
      <c r="I35" s="595" t="str">
        <f>IF(C35="YES",Param!AE35,"no calc")</f>
        <v>no calc</v>
      </c>
      <c r="J35" s="602" t="str">
        <f>IF(OR($D35="na",$D35="no calc"),"na",0.000001*Eqtn!D$419/(Eqtn!D$415*$H35*$D35+Eqtn!D$420*$I35*$E35))</f>
        <v>na</v>
      </c>
      <c r="K35" s="602" t="str">
        <f>IF(OR($D35="na",$D35="no calc"),"na",0.000001*Eqtn!E$419/(Eqtn!E$415*$H35*$D35+Eqtn!E$420*$I35*$E35))</f>
        <v>na</v>
      </c>
      <c r="L35" s="602" t="str">
        <f>IF(OR($D35="na",$D35="no calc"),"na",0.000001*Eqtn!F$419/(Eqtn!F$415*$H35*$D35+Eqtn!F$420*$I35*$E35))</f>
        <v>na</v>
      </c>
      <c r="M35" s="17" t="str">
        <f>IF(OR($D35="na",$D35="no calc"),"na",0.00001*Eqtn!D$419/(Eqtn!D$415*$H35*$D35+Eqtn!D$420*$I35*$E35))</f>
        <v>na</v>
      </c>
      <c r="N35" s="17" t="str">
        <f>IF(OR($D35="na",$D35="no calc"),"na",0.00001*Eqtn!E$419/(Eqtn!E$415*$H35*$D35+Eqtn!E$420*$I35*$E35))</f>
        <v>na</v>
      </c>
      <c r="O35" s="694" t="str">
        <f>IF(OR($D35="na",$D35="no calc"),"na",0.00001*Eqtn!F$419/(Eqtn!F$415*$H35*$D35+Eqtn!F$420*$I35*$E35))</f>
        <v>na</v>
      </c>
      <c r="P35" s="662" t="str">
        <f>IF(OR($F35="na",$F35="no calc"),"na",1*Eqtn!D$451/(Eqtn!D$447*$H35/$F35+Eqtn!D$452*$I35/$G35))</f>
        <v>na</v>
      </c>
      <c r="Q35" s="662" t="str">
        <f>IF(OR($F35="na",$F35="no calc"),"na",1*Eqtn!E$451/(Eqtn!E$447*$H35/$F35+Eqtn!E$452*$I35/$G35))</f>
        <v>na</v>
      </c>
      <c r="R35" s="662" t="str">
        <f>IF(OR($F35="na",$F35="no calc"),"na",1*Eqtn!F$451/(Eqtn!F$447*$H35/$F35+Eqtn!F$452*$I35/$G35))</f>
        <v>na</v>
      </c>
      <c r="S35" s="1418" t="str">
        <f t="shared" si="36"/>
        <v>na</v>
      </c>
      <c r="T35" s="1418" t="str">
        <f t="shared" si="37"/>
        <v>na</v>
      </c>
      <c r="U35" s="1418" t="str">
        <f t="shared" si="38"/>
        <v>na</v>
      </c>
      <c r="V35" s="1405" t="str">
        <f t="shared" si="39"/>
        <v>na</v>
      </c>
      <c r="W35" s="1383" t="str">
        <f t="shared" si="40"/>
        <v>na</v>
      </c>
      <c r="X35" s="1383" t="str">
        <f t="shared" si="41"/>
        <v>na</v>
      </c>
      <c r="Y35" s="1383" t="str">
        <f t="shared" si="42"/>
        <v>na</v>
      </c>
      <c r="Z35" s="1384" t="str">
        <f t="shared" si="43"/>
        <v>na</v>
      </c>
      <c r="AB35" s="1062"/>
    </row>
    <row r="36" spans="1:28" ht="13.9" customHeight="1" x14ac:dyDescent="0.25">
      <c r="A36" s="847">
        <f>Chem!A36</f>
        <v>34</v>
      </c>
      <c r="B36" s="916" t="str">
        <f>Chem!B36</f>
        <v>Mercury, inorganic</v>
      </c>
      <c r="C36" s="2305" t="str">
        <f>Param!AK36</f>
        <v>YES</v>
      </c>
      <c r="D36" s="384" t="str">
        <f>IF(C36="YES",Param!V36,"no calc")</f>
        <v>na</v>
      </c>
      <c r="E36" s="552" t="str">
        <f>IF(C36="YES",Param!X36,"no calc")</f>
        <v>na</v>
      </c>
      <c r="F36" s="384" t="str">
        <f>IF(C36="YES",Param!O36,"no calc")</f>
        <v>na</v>
      </c>
      <c r="G36" s="622" t="str">
        <f>IF(C36="YES",Param!S36,"no calc")</f>
        <v>na</v>
      </c>
      <c r="H36" s="803">
        <f>IF(C36="YES",Param!AD36,"no calc")</f>
        <v>1</v>
      </c>
      <c r="I36" s="595">
        <f>IF(C36="YES",Param!AE36,"no calc")</f>
        <v>0</v>
      </c>
      <c r="J36" s="602" t="str">
        <f>IF(OR($D36="na",$D36="no calc"),"na",0.000001*Eqtn!D$419/(Eqtn!D$415*$H36*$D36+Eqtn!D$420*$I36*$E36))</f>
        <v>na</v>
      </c>
      <c r="K36" s="602" t="str">
        <f>IF(OR($D36="na",$D36="no calc"),"na",0.000001*Eqtn!E$419/(Eqtn!E$415*$H36*$D36+Eqtn!E$420*$I36*$E36))</f>
        <v>na</v>
      </c>
      <c r="L36" s="602" t="str">
        <f>IF(OR($D36="na",$D36="no calc"),"na",0.000001*Eqtn!F$419/(Eqtn!F$415*$H36*$D36+Eqtn!F$420*$I36*$E36))</f>
        <v>na</v>
      </c>
      <c r="M36" s="17" t="str">
        <f>IF(OR($D36="na",$D36="no calc"),"na",0.00001*Eqtn!D$419/(Eqtn!D$415*$H36*$D36+Eqtn!D$420*$I36*$E36))</f>
        <v>na</v>
      </c>
      <c r="N36" s="17" t="str">
        <f>IF(OR($D36="na",$D36="no calc"),"na",0.00001*Eqtn!E$419/(Eqtn!E$415*$H36*$D36+Eqtn!E$420*$I36*$E36))</f>
        <v>na</v>
      </c>
      <c r="O36" s="694" t="str">
        <f>IF(OR($D36="na",$D36="no calc"),"na",0.00001*Eqtn!F$419/(Eqtn!F$415*$H36*$D36+Eqtn!F$420*$I36*$E36))</f>
        <v>na</v>
      </c>
      <c r="P36" s="662" t="str">
        <f>IF(OR($F36="na",$F36="no calc"),"na",1*Eqtn!D$451/(Eqtn!D$447*$H36/$F36+Eqtn!D$452*$I36/$G36))</f>
        <v>na</v>
      </c>
      <c r="Q36" s="662" t="str">
        <f>IF(OR($F36="na",$F36="no calc"),"na",1*Eqtn!E$451/(Eqtn!E$447*$H36/$F36+Eqtn!E$452*$I36/$G36))</f>
        <v>na</v>
      </c>
      <c r="R36" s="662" t="str">
        <f>IF(OR($F36="na",$F36="no calc"),"na",1*Eqtn!F$451/(Eqtn!F$447*$H36/$F36+Eqtn!F$452*$I36/$G36))</f>
        <v>na</v>
      </c>
      <c r="S36" s="1418" t="str">
        <f t="shared" si="36"/>
        <v>na</v>
      </c>
      <c r="T36" s="1418" t="str">
        <f t="shared" si="37"/>
        <v>na</v>
      </c>
      <c r="U36" s="1418" t="str">
        <f t="shared" si="38"/>
        <v>na</v>
      </c>
      <c r="V36" s="1405" t="str">
        <f t="shared" si="39"/>
        <v>na</v>
      </c>
      <c r="W36" s="1383" t="str">
        <f t="shared" si="40"/>
        <v>na</v>
      </c>
      <c r="X36" s="1383" t="str">
        <f t="shared" si="41"/>
        <v>na</v>
      </c>
      <c r="Y36" s="1383" t="str">
        <f t="shared" si="42"/>
        <v>na</v>
      </c>
      <c r="Z36" s="1384" t="str">
        <f t="shared" si="43"/>
        <v>na</v>
      </c>
      <c r="AB36" s="1062"/>
    </row>
    <row r="37" spans="1:28" ht="13.9" customHeight="1" x14ac:dyDescent="0.25">
      <c r="A37" s="847">
        <f>Chem!A37</f>
        <v>35</v>
      </c>
      <c r="B37" s="916" t="str">
        <f>Chem!B37</f>
        <v>Methylmercury</v>
      </c>
      <c r="C37" s="2305" t="str">
        <f>Param!AK37</f>
        <v>no</v>
      </c>
      <c r="D37" s="384" t="str">
        <f>IF(C37="YES",Param!V37,"no calc")</f>
        <v>no calc</v>
      </c>
      <c r="E37" s="552" t="str">
        <f>IF(C37="YES",Param!X37,"no calc")</f>
        <v>no calc</v>
      </c>
      <c r="F37" s="384" t="str">
        <f>IF(C37="YES",Param!O37,"no calc")</f>
        <v>no calc</v>
      </c>
      <c r="G37" s="622" t="str">
        <f>IF(C37="YES",Param!S37,"no calc")</f>
        <v>no calc</v>
      </c>
      <c r="H37" s="803" t="str">
        <f>IF(C37="YES",Param!AD37,"no calc")</f>
        <v>no calc</v>
      </c>
      <c r="I37" s="595" t="str">
        <f>IF(C37="YES",Param!AE37,"no calc")</f>
        <v>no calc</v>
      </c>
      <c r="J37" s="602" t="str">
        <f>IF(OR($D37="na",$D37="no calc"),"na",0.000001*Eqtn!D$419/(Eqtn!D$415*$H37*$D37+Eqtn!D$420*$I37*$E37))</f>
        <v>na</v>
      </c>
      <c r="K37" s="602" t="str">
        <f>IF(OR($D37="na",$D37="no calc"),"na",0.000001*Eqtn!E$419/(Eqtn!E$415*$H37*$D37+Eqtn!E$420*$I37*$E37))</f>
        <v>na</v>
      </c>
      <c r="L37" s="602" t="str">
        <f>IF(OR($D37="na",$D37="no calc"),"na",0.000001*Eqtn!F$419/(Eqtn!F$415*$H37*$D37+Eqtn!F$420*$I37*$E37))</f>
        <v>na</v>
      </c>
      <c r="M37" s="17" t="str">
        <f>IF(OR($D37="na",$D37="no calc"),"na",0.00001*Eqtn!D$419/(Eqtn!D$415*$H37*$D37+Eqtn!D$420*$I37*$E37))</f>
        <v>na</v>
      </c>
      <c r="N37" s="17" t="str">
        <f>IF(OR($D37="na",$D37="no calc"),"na",0.00001*Eqtn!E$419/(Eqtn!E$415*$H37*$D37+Eqtn!E$420*$I37*$E37))</f>
        <v>na</v>
      </c>
      <c r="O37" s="694" t="str">
        <f>IF(OR($D37="na",$D37="no calc"),"na",0.00001*Eqtn!F$419/(Eqtn!F$415*$H37*$D37+Eqtn!F$420*$I37*$E37))</f>
        <v>na</v>
      </c>
      <c r="P37" s="662" t="str">
        <f>IF(OR($F37="na",$F37="no calc"),"na",1*Eqtn!D$451/(Eqtn!D$447*$H37/$F37+Eqtn!D$452*$I37/$G37))</f>
        <v>na</v>
      </c>
      <c r="Q37" s="662" t="str">
        <f>IF(OR($F37="na",$F37="no calc"),"na",1*Eqtn!E$451/(Eqtn!E$447*$H37/$F37+Eqtn!E$452*$I37/$G37))</f>
        <v>na</v>
      </c>
      <c r="R37" s="662" t="str">
        <f>IF(OR($F37="na",$F37="no calc"),"na",1*Eqtn!F$451/(Eqtn!F$447*$H37/$F37+Eqtn!F$452*$I37/$G37))</f>
        <v>na</v>
      </c>
      <c r="S37" s="1418" t="str">
        <f t="shared" si="36"/>
        <v>na</v>
      </c>
      <c r="T37" s="1418" t="str">
        <f t="shared" si="37"/>
        <v>na</v>
      </c>
      <c r="U37" s="1418" t="str">
        <f t="shared" si="38"/>
        <v>na</v>
      </c>
      <c r="V37" s="1405" t="str">
        <f t="shared" si="39"/>
        <v>na</v>
      </c>
      <c r="W37" s="1383" t="str">
        <f t="shared" si="40"/>
        <v>na</v>
      </c>
      <c r="X37" s="1383" t="str">
        <f t="shared" si="41"/>
        <v>na</v>
      </c>
      <c r="Y37" s="1383" t="str">
        <f t="shared" si="42"/>
        <v>na</v>
      </c>
      <c r="Z37" s="1384" t="str">
        <f t="shared" si="43"/>
        <v>na</v>
      </c>
      <c r="AB37" s="1062"/>
    </row>
    <row r="38" spans="1:28" ht="13.9" customHeight="1" x14ac:dyDescent="0.25">
      <c r="A38" s="847">
        <f>Chem!A38</f>
        <v>36</v>
      </c>
      <c r="B38" s="916" t="str">
        <f>Chem!B38</f>
        <v>Molybdenum</v>
      </c>
      <c r="C38" s="2305" t="str">
        <f>Param!AK38</f>
        <v>no</v>
      </c>
      <c r="D38" s="384" t="str">
        <f>IF(C38="YES",Param!V38,"no calc")</f>
        <v>no calc</v>
      </c>
      <c r="E38" s="552" t="str">
        <f>IF(C38="YES",Param!X38,"no calc")</f>
        <v>no calc</v>
      </c>
      <c r="F38" s="384" t="str">
        <f>IF(C38="YES",Param!O38,"no calc")</f>
        <v>no calc</v>
      </c>
      <c r="G38" s="622" t="str">
        <f>IF(C38="YES",Param!S38,"no calc")</f>
        <v>no calc</v>
      </c>
      <c r="H38" s="803" t="str">
        <f>IF(C38="YES",Param!AD38,"no calc")</f>
        <v>no calc</v>
      </c>
      <c r="I38" s="595" t="str">
        <f>IF(C38="YES",Param!AE38,"no calc")</f>
        <v>no calc</v>
      </c>
      <c r="J38" s="602" t="str">
        <f>IF(OR($D38="na",$D38="no calc"),"na",0.000001*Eqtn!D$419/(Eqtn!D$415*$H38*$D38+Eqtn!D$420*$I38*$E38))</f>
        <v>na</v>
      </c>
      <c r="K38" s="602" t="str">
        <f>IF(OR($D38="na",$D38="no calc"),"na",0.000001*Eqtn!E$419/(Eqtn!E$415*$H38*$D38+Eqtn!E$420*$I38*$E38))</f>
        <v>na</v>
      </c>
      <c r="L38" s="602" t="str">
        <f>IF(OR($D38="na",$D38="no calc"),"na",0.000001*Eqtn!F$419/(Eqtn!F$415*$H38*$D38+Eqtn!F$420*$I38*$E38))</f>
        <v>na</v>
      </c>
      <c r="M38" s="17" t="str">
        <f>IF(OR($D38="na",$D38="no calc"),"na",0.00001*Eqtn!D$419/(Eqtn!D$415*$H38*$D38+Eqtn!D$420*$I38*$E38))</f>
        <v>na</v>
      </c>
      <c r="N38" s="17" t="str">
        <f>IF(OR($D38="na",$D38="no calc"),"na",0.00001*Eqtn!E$419/(Eqtn!E$415*$H38*$D38+Eqtn!E$420*$I38*$E38))</f>
        <v>na</v>
      </c>
      <c r="O38" s="694" t="str">
        <f>IF(OR($D38="na",$D38="no calc"),"na",0.00001*Eqtn!F$419/(Eqtn!F$415*$H38*$D38+Eqtn!F$420*$I38*$E38))</f>
        <v>na</v>
      </c>
      <c r="P38" s="662" t="str">
        <f>IF(OR($F38="na",$F38="no calc"),"na",1*Eqtn!D$451/(Eqtn!D$447*$H38/$F38+Eqtn!D$452*$I38/$G38))</f>
        <v>na</v>
      </c>
      <c r="Q38" s="662" t="str">
        <f>IF(OR($F38="na",$F38="no calc"),"na",1*Eqtn!E$451/(Eqtn!E$447*$H38/$F38+Eqtn!E$452*$I38/$G38))</f>
        <v>na</v>
      </c>
      <c r="R38" s="662" t="str">
        <f>IF(OR($F38="na",$F38="no calc"),"na",1*Eqtn!F$451/(Eqtn!F$447*$H38/$F38+Eqtn!F$452*$I38/$G38))</f>
        <v>na</v>
      </c>
      <c r="S38" s="1418" t="str">
        <f t="shared" si="36"/>
        <v>na</v>
      </c>
      <c r="T38" s="1418" t="str">
        <f t="shared" si="37"/>
        <v>na</v>
      </c>
      <c r="U38" s="1418" t="str">
        <f t="shared" si="38"/>
        <v>na</v>
      </c>
      <c r="V38" s="1405" t="str">
        <f t="shared" si="39"/>
        <v>na</v>
      </c>
      <c r="W38" s="1383" t="str">
        <f t="shared" si="40"/>
        <v>na</v>
      </c>
      <c r="X38" s="1383" t="str">
        <f t="shared" si="41"/>
        <v>na</v>
      </c>
      <c r="Y38" s="1383" t="str">
        <f t="shared" si="42"/>
        <v>na</v>
      </c>
      <c r="Z38" s="1384" t="str">
        <f t="shared" si="43"/>
        <v>na</v>
      </c>
      <c r="AB38" s="1062"/>
    </row>
    <row r="39" spans="1:28" ht="13.9" customHeight="1" x14ac:dyDescent="0.25">
      <c r="A39" s="847">
        <f>Chem!A39</f>
        <v>37</v>
      </c>
      <c r="B39" s="916" t="str">
        <f>Chem!B39</f>
        <v>Nickel</v>
      </c>
      <c r="C39" s="2305" t="str">
        <f>Param!AK39</f>
        <v>no</v>
      </c>
      <c r="D39" s="384" t="str">
        <f>IF(C39="YES",Param!V39,"no calc")</f>
        <v>no calc</v>
      </c>
      <c r="E39" s="552" t="str">
        <f>IF(C39="YES",Param!X39,"no calc")</f>
        <v>no calc</v>
      </c>
      <c r="F39" s="384" t="str">
        <f>IF(C39="YES",Param!O39,"no calc")</f>
        <v>no calc</v>
      </c>
      <c r="G39" s="622" t="str">
        <f>IF(C39="YES",Param!S39,"no calc")</f>
        <v>no calc</v>
      </c>
      <c r="H39" s="803" t="str">
        <f>IF(C39="YES",Param!AD39,"no calc")</f>
        <v>no calc</v>
      </c>
      <c r="I39" s="595" t="str">
        <f>IF(C39="YES",Param!AE39,"no calc")</f>
        <v>no calc</v>
      </c>
      <c r="J39" s="602" t="str">
        <f>IF(OR($D39="na",$D39="no calc"),"na",0.000001*Eqtn!D$419/(Eqtn!D$415*$H39*$D39+Eqtn!D$420*$I39*$E39))</f>
        <v>na</v>
      </c>
      <c r="K39" s="602" t="str">
        <f>IF(OR($D39="na",$D39="no calc"),"na",0.000001*Eqtn!E$419/(Eqtn!E$415*$H39*$D39+Eqtn!E$420*$I39*$E39))</f>
        <v>na</v>
      </c>
      <c r="L39" s="602" t="str">
        <f>IF(OR($D39="na",$D39="no calc"),"na",0.000001*Eqtn!F$419/(Eqtn!F$415*$H39*$D39+Eqtn!F$420*$I39*$E39))</f>
        <v>na</v>
      </c>
      <c r="M39" s="17" t="str">
        <f>IF(OR($D39="na",$D39="no calc"),"na",0.00001*Eqtn!D$419/(Eqtn!D$415*$H39*$D39+Eqtn!D$420*$I39*$E39))</f>
        <v>na</v>
      </c>
      <c r="N39" s="17" t="str">
        <f>IF(OR($D39="na",$D39="no calc"),"na",0.00001*Eqtn!E$419/(Eqtn!E$415*$H39*$D39+Eqtn!E$420*$I39*$E39))</f>
        <v>na</v>
      </c>
      <c r="O39" s="694" t="str">
        <f>IF(OR($D39="na",$D39="no calc"),"na",0.00001*Eqtn!F$419/(Eqtn!F$415*$H39*$D39+Eqtn!F$420*$I39*$E39))</f>
        <v>na</v>
      </c>
      <c r="P39" s="662" t="str">
        <f>IF(OR($F39="na",$F39="no calc"),"na",1*Eqtn!D$451/(Eqtn!D$447*$H39/$F39+Eqtn!D$452*$I39/$G39))</f>
        <v>na</v>
      </c>
      <c r="Q39" s="662" t="str">
        <f>IF(OR($F39="na",$F39="no calc"),"na",1*Eqtn!E$451/(Eqtn!E$447*$H39/$F39+Eqtn!E$452*$I39/$G39))</f>
        <v>na</v>
      </c>
      <c r="R39" s="662" t="str">
        <f>IF(OR($F39="na",$F39="no calc"),"na",1*Eqtn!F$451/(Eqtn!F$447*$H39/$F39+Eqtn!F$452*$I39/$G39))</f>
        <v>na</v>
      </c>
      <c r="S39" s="1418" t="str">
        <f t="shared" si="36"/>
        <v>na</v>
      </c>
      <c r="T39" s="1418" t="str">
        <f t="shared" si="37"/>
        <v>na</v>
      </c>
      <c r="U39" s="1418" t="str">
        <f t="shared" si="38"/>
        <v>na</v>
      </c>
      <c r="V39" s="1405" t="str">
        <f t="shared" ref="V39:V45" si="44">IF(OR(ISNUMBER(S39),ISNUMBER(T39),ISNUMBER(U39)),MIN(S39,T39,U39),"na")</f>
        <v>na</v>
      </c>
      <c r="W39" s="1383" t="str">
        <f t="shared" si="40"/>
        <v>na</v>
      </c>
      <c r="X39" s="1383" t="str">
        <f t="shared" si="41"/>
        <v>na</v>
      </c>
      <c r="Y39" s="1383" t="str">
        <f t="shared" si="42"/>
        <v>na</v>
      </c>
      <c r="Z39" s="1384" t="str">
        <f t="shared" si="43"/>
        <v>na</v>
      </c>
      <c r="AB39" s="1062"/>
    </row>
    <row r="40" spans="1:28" ht="13.9" customHeight="1" x14ac:dyDescent="0.25">
      <c r="A40" s="847">
        <f>Chem!A40</f>
        <v>38</v>
      </c>
      <c r="B40" s="916" t="str">
        <f>Chem!B40</f>
        <v>Selenium</v>
      </c>
      <c r="C40" s="2305" t="str">
        <f>Param!AK40</f>
        <v>no</v>
      </c>
      <c r="D40" s="384" t="str">
        <f>IF(C40="YES",Param!V40,"no calc")</f>
        <v>no calc</v>
      </c>
      <c r="E40" s="552" t="str">
        <f>IF(C40="YES",Param!X40,"no calc")</f>
        <v>no calc</v>
      </c>
      <c r="F40" s="384" t="str">
        <f>IF(C40="YES",Param!O40,"no calc")</f>
        <v>no calc</v>
      </c>
      <c r="G40" s="622" t="str">
        <f>IF(C40="YES",Param!S40,"no calc")</f>
        <v>no calc</v>
      </c>
      <c r="H40" s="803" t="str">
        <f>IF(C40="YES",Param!AD40,"no calc")</f>
        <v>no calc</v>
      </c>
      <c r="I40" s="595" t="str">
        <f>IF(C40="YES",Param!AE40,"no calc")</f>
        <v>no calc</v>
      </c>
      <c r="J40" s="602" t="str">
        <f>IF(OR($D40="na",$D40="no calc"),"na",0.000001*Eqtn!D$419/(Eqtn!D$415*$H40*$D40+Eqtn!D$420*$I40*$E40))</f>
        <v>na</v>
      </c>
      <c r="K40" s="602" t="str">
        <f>IF(OR($D40="na",$D40="no calc"),"na",0.000001*Eqtn!E$419/(Eqtn!E$415*$H40*$D40+Eqtn!E$420*$I40*$E40))</f>
        <v>na</v>
      </c>
      <c r="L40" s="602" t="str">
        <f>IF(OR($D40="na",$D40="no calc"),"na",0.000001*Eqtn!F$419/(Eqtn!F$415*$H40*$D40+Eqtn!F$420*$I40*$E40))</f>
        <v>na</v>
      </c>
      <c r="M40" s="17" t="str">
        <f>IF(OR($D40="na",$D40="no calc"),"na",0.00001*Eqtn!D$419/(Eqtn!D$415*$H40*$D40+Eqtn!D$420*$I40*$E40))</f>
        <v>na</v>
      </c>
      <c r="N40" s="17" t="str">
        <f>IF(OR($D40="na",$D40="no calc"),"na",0.00001*Eqtn!E$419/(Eqtn!E$415*$H40*$D40+Eqtn!E$420*$I40*$E40))</f>
        <v>na</v>
      </c>
      <c r="O40" s="694" t="str">
        <f>IF(OR($D40="na",$D40="no calc"),"na",0.00001*Eqtn!F$419/(Eqtn!F$415*$H40*$D40+Eqtn!F$420*$I40*$E40))</f>
        <v>na</v>
      </c>
      <c r="P40" s="662" t="str">
        <f>IF(OR($F40="na",$F40="no calc"),"na",1*Eqtn!D$451/(Eqtn!D$447*$H40/$F40+Eqtn!D$452*$I40/$G40))</f>
        <v>na</v>
      </c>
      <c r="Q40" s="662" t="str">
        <f>IF(OR($F40="na",$F40="no calc"),"na",1*Eqtn!E$451/(Eqtn!E$447*$H40/$F40+Eqtn!E$452*$I40/$G40))</f>
        <v>na</v>
      </c>
      <c r="R40" s="662" t="str">
        <f>IF(OR($F40="na",$F40="no calc"),"na",1*Eqtn!F$451/(Eqtn!F$447*$H40/$F40+Eqtn!F$452*$I40/$G40))</f>
        <v>na</v>
      </c>
      <c r="S40" s="1418" t="str">
        <f t="shared" si="36"/>
        <v>na</v>
      </c>
      <c r="T40" s="1418" t="str">
        <f t="shared" si="37"/>
        <v>na</v>
      </c>
      <c r="U40" s="1418" t="str">
        <f t="shared" si="38"/>
        <v>na</v>
      </c>
      <c r="V40" s="1405" t="str">
        <f t="shared" si="44"/>
        <v>na</v>
      </c>
      <c r="W40" s="1383" t="str">
        <f t="shared" si="40"/>
        <v>na</v>
      </c>
      <c r="X40" s="1383" t="str">
        <f t="shared" si="41"/>
        <v>na</v>
      </c>
      <c r="Y40" s="1383" t="str">
        <f t="shared" si="42"/>
        <v>na</v>
      </c>
      <c r="Z40" s="1384" t="str">
        <f t="shared" si="43"/>
        <v>na</v>
      </c>
      <c r="AB40" s="1062"/>
    </row>
    <row r="41" spans="1:28" ht="13.9" customHeight="1" x14ac:dyDescent="0.25">
      <c r="A41" s="847">
        <f>Chem!A41</f>
        <v>39</v>
      </c>
      <c r="B41" s="916" t="str">
        <f>Chem!B41</f>
        <v>Silver</v>
      </c>
      <c r="C41" s="2305" t="str">
        <f>Param!AK41</f>
        <v>no</v>
      </c>
      <c r="D41" s="384" t="str">
        <f>IF(C41="YES",Param!V41,"no calc")</f>
        <v>no calc</v>
      </c>
      <c r="E41" s="552" t="str">
        <f>IF(C41="YES",Param!X41,"no calc")</f>
        <v>no calc</v>
      </c>
      <c r="F41" s="384" t="str">
        <f>IF(C41="YES",Param!O41,"no calc")</f>
        <v>no calc</v>
      </c>
      <c r="G41" s="622" t="str">
        <f>IF(C41="YES",Param!S41,"no calc")</f>
        <v>no calc</v>
      </c>
      <c r="H41" s="803" t="str">
        <f>IF(C41="YES",Param!AD41,"no calc")</f>
        <v>no calc</v>
      </c>
      <c r="I41" s="595" t="str">
        <f>IF(C41="YES",Param!AE41,"no calc")</f>
        <v>no calc</v>
      </c>
      <c r="J41" s="602" t="str">
        <f>IF(OR($D41="na",$D41="no calc"),"na",0.000001*Eqtn!D$419/(Eqtn!D$415*$H41*$D41+Eqtn!D$420*$I41*$E41))</f>
        <v>na</v>
      </c>
      <c r="K41" s="602" t="str">
        <f>IF(OR($D41="na",$D41="no calc"),"na",0.000001*Eqtn!E$419/(Eqtn!E$415*$H41*$D41+Eqtn!E$420*$I41*$E41))</f>
        <v>na</v>
      </c>
      <c r="L41" s="602" t="str">
        <f>IF(OR($D41="na",$D41="no calc"),"na",0.000001*Eqtn!F$419/(Eqtn!F$415*$H41*$D41+Eqtn!F$420*$I41*$E41))</f>
        <v>na</v>
      </c>
      <c r="M41" s="17" t="str">
        <f>IF(OR($D41="na",$D41="no calc"),"na",0.00001*Eqtn!D$419/(Eqtn!D$415*$H41*$D41+Eqtn!D$420*$I41*$E41))</f>
        <v>na</v>
      </c>
      <c r="N41" s="17" t="str">
        <f>IF(OR($D41="na",$D41="no calc"),"na",0.00001*Eqtn!E$419/(Eqtn!E$415*$H41*$D41+Eqtn!E$420*$I41*$E41))</f>
        <v>na</v>
      </c>
      <c r="O41" s="694" t="str">
        <f>IF(OR($D41="na",$D41="no calc"),"na",0.00001*Eqtn!F$419/(Eqtn!F$415*$H41*$D41+Eqtn!F$420*$I41*$E41))</f>
        <v>na</v>
      </c>
      <c r="P41" s="662" t="str">
        <f>IF(OR($F41="na",$F41="no calc"),"na",1*Eqtn!D$451/(Eqtn!D$447*$H41/$F41+Eqtn!D$452*$I41/$G41))</f>
        <v>na</v>
      </c>
      <c r="Q41" s="662" t="str">
        <f>IF(OR($F41="na",$F41="no calc"),"na",1*Eqtn!E$451/(Eqtn!E$447*$H41/$F41+Eqtn!E$452*$I41/$G41))</f>
        <v>na</v>
      </c>
      <c r="R41" s="662" t="str">
        <f>IF(OR($F41="na",$F41="no calc"),"na",1*Eqtn!F$451/(Eqtn!F$447*$H41/$F41+Eqtn!F$452*$I41/$G41))</f>
        <v>na</v>
      </c>
      <c r="S41" s="1418" t="str">
        <f t="shared" si="36"/>
        <v>na</v>
      </c>
      <c r="T41" s="1418" t="str">
        <f t="shared" si="37"/>
        <v>na</v>
      </c>
      <c r="U41" s="1418" t="str">
        <f t="shared" si="38"/>
        <v>na</v>
      </c>
      <c r="V41" s="1405" t="str">
        <f t="shared" si="44"/>
        <v>na</v>
      </c>
      <c r="W41" s="1383" t="str">
        <f t="shared" si="40"/>
        <v>na</v>
      </c>
      <c r="X41" s="1383" t="str">
        <f t="shared" si="41"/>
        <v>na</v>
      </c>
      <c r="Y41" s="1383" t="str">
        <f t="shared" si="42"/>
        <v>na</v>
      </c>
      <c r="Z41" s="1384" t="str">
        <f t="shared" si="43"/>
        <v>na</v>
      </c>
      <c r="AB41" s="1062"/>
    </row>
    <row r="42" spans="1:28" ht="13.9" customHeight="1" x14ac:dyDescent="0.25">
      <c r="A42" s="847">
        <f>Chem!A42</f>
        <v>40</v>
      </c>
      <c r="B42" s="916" t="str">
        <f>Chem!B42</f>
        <v>Thallium</v>
      </c>
      <c r="C42" s="2305" t="str">
        <f>Param!AK42</f>
        <v>no</v>
      </c>
      <c r="D42" s="384" t="str">
        <f>IF(C42="YES",Param!V42,"no calc")</f>
        <v>no calc</v>
      </c>
      <c r="E42" s="552" t="str">
        <f>IF(C42="YES",Param!X42,"no calc")</f>
        <v>no calc</v>
      </c>
      <c r="F42" s="384" t="str">
        <f>IF(C42="YES",Param!O42,"no calc")</f>
        <v>no calc</v>
      </c>
      <c r="G42" s="622" t="str">
        <f>IF(C42="YES",Param!S42,"no calc")</f>
        <v>no calc</v>
      </c>
      <c r="H42" s="803" t="str">
        <f>IF(C42="YES",Param!AD42,"no calc")</f>
        <v>no calc</v>
      </c>
      <c r="I42" s="595" t="str">
        <f>IF(C42="YES",Param!AE42,"no calc")</f>
        <v>no calc</v>
      </c>
      <c r="J42" s="602" t="str">
        <f>IF(OR($D42="na",$D42="no calc"),"na",0.000001*Eqtn!D$419/(Eqtn!D$415*$H42*$D42+Eqtn!D$420*$I42*$E42))</f>
        <v>na</v>
      </c>
      <c r="K42" s="602" t="str">
        <f>IF(OR($D42="na",$D42="no calc"),"na",0.000001*Eqtn!E$419/(Eqtn!E$415*$H42*$D42+Eqtn!E$420*$I42*$E42))</f>
        <v>na</v>
      </c>
      <c r="L42" s="602" t="str">
        <f>IF(OR($D42="na",$D42="no calc"),"na",0.000001*Eqtn!F$419/(Eqtn!F$415*$H42*$D42+Eqtn!F$420*$I42*$E42))</f>
        <v>na</v>
      </c>
      <c r="M42" s="17" t="str">
        <f>IF(OR($D42="na",$D42="no calc"),"na",0.00001*Eqtn!D$419/(Eqtn!D$415*$H42*$D42+Eqtn!D$420*$I42*$E42))</f>
        <v>na</v>
      </c>
      <c r="N42" s="17" t="str">
        <f>IF(OR($D42="na",$D42="no calc"),"na",0.00001*Eqtn!E$419/(Eqtn!E$415*$H42*$D42+Eqtn!E$420*$I42*$E42))</f>
        <v>na</v>
      </c>
      <c r="O42" s="694" t="str">
        <f>IF(OR($D42="na",$D42="no calc"),"na",0.00001*Eqtn!F$419/(Eqtn!F$415*$H42*$D42+Eqtn!F$420*$I42*$E42))</f>
        <v>na</v>
      </c>
      <c r="P42" s="662" t="str">
        <f>IF(OR($F42="na",$F42="no calc"),"na",1*Eqtn!D$451/(Eqtn!D$447*$H42/$F42+Eqtn!D$452*$I42/$G42))</f>
        <v>na</v>
      </c>
      <c r="Q42" s="662" t="str">
        <f>IF(OR($F42="na",$F42="no calc"),"na",1*Eqtn!E$451/(Eqtn!E$447*$H42/$F42+Eqtn!E$452*$I42/$G42))</f>
        <v>na</v>
      </c>
      <c r="R42" s="662" t="str">
        <f>IF(OR($F42="na",$F42="no calc"),"na",1*Eqtn!F$451/(Eqtn!F$447*$H42/$F42+Eqtn!F$452*$I42/$G42))</f>
        <v>na</v>
      </c>
      <c r="S42" s="1418" t="str">
        <f t="shared" si="36"/>
        <v>na</v>
      </c>
      <c r="T42" s="1418" t="str">
        <f t="shared" si="37"/>
        <v>na</v>
      </c>
      <c r="U42" s="1418" t="str">
        <f t="shared" si="38"/>
        <v>na</v>
      </c>
      <c r="V42" s="1405" t="str">
        <f t="shared" si="44"/>
        <v>na</v>
      </c>
      <c r="W42" s="1383" t="str">
        <f t="shared" si="40"/>
        <v>na</v>
      </c>
      <c r="X42" s="1383" t="str">
        <f t="shared" si="41"/>
        <v>na</v>
      </c>
      <c r="Y42" s="1383" t="str">
        <f t="shared" si="42"/>
        <v>na</v>
      </c>
      <c r="Z42" s="1384" t="str">
        <f t="shared" si="43"/>
        <v>na</v>
      </c>
      <c r="AB42" s="1062"/>
    </row>
    <row r="43" spans="1:28" ht="13.9" customHeight="1" x14ac:dyDescent="0.25">
      <c r="A43" s="847">
        <f>Chem!A43</f>
        <v>41</v>
      </c>
      <c r="B43" s="916" t="str">
        <f>Chem!B43</f>
        <v>Tin</v>
      </c>
      <c r="C43" s="2305" t="str">
        <f>Param!AK43</f>
        <v>no</v>
      </c>
      <c r="D43" s="384" t="str">
        <f>IF(C43="YES",Param!V43,"no calc")</f>
        <v>no calc</v>
      </c>
      <c r="E43" s="552" t="str">
        <f>IF(C43="YES",Param!X43,"no calc")</f>
        <v>no calc</v>
      </c>
      <c r="F43" s="384" t="str">
        <f>IF(C43="YES",Param!O43,"no calc")</f>
        <v>no calc</v>
      </c>
      <c r="G43" s="622" t="str">
        <f>IF(C43="YES",Param!S43,"no calc")</f>
        <v>no calc</v>
      </c>
      <c r="H43" s="803" t="str">
        <f>IF(C43="YES",Param!AD43,"no calc")</f>
        <v>no calc</v>
      </c>
      <c r="I43" s="595" t="str">
        <f>IF(C43="YES",Param!AE43,"no calc")</f>
        <v>no calc</v>
      </c>
      <c r="J43" s="602" t="str">
        <f>IF(OR($D43="na",$D43="no calc"),"na",0.000001*Eqtn!D$419/(Eqtn!D$415*$H43*$D43+Eqtn!D$420*$I43*$E43))</f>
        <v>na</v>
      </c>
      <c r="K43" s="602" t="str">
        <f>IF(OR($D43="na",$D43="no calc"),"na",0.000001*Eqtn!E$419/(Eqtn!E$415*$H43*$D43+Eqtn!E$420*$I43*$E43))</f>
        <v>na</v>
      </c>
      <c r="L43" s="602" t="str">
        <f>IF(OR($D43="na",$D43="no calc"),"na",0.000001*Eqtn!F$419/(Eqtn!F$415*$H43*$D43+Eqtn!F$420*$I43*$E43))</f>
        <v>na</v>
      </c>
      <c r="M43" s="17" t="str">
        <f>IF(OR($D43="na",$D43="no calc"),"na",0.00001*Eqtn!D$419/(Eqtn!D$415*$H43*$D43+Eqtn!D$420*$I43*$E43))</f>
        <v>na</v>
      </c>
      <c r="N43" s="17" t="str">
        <f>IF(OR($D43="na",$D43="no calc"),"na",0.00001*Eqtn!E$419/(Eqtn!E$415*$H43*$D43+Eqtn!E$420*$I43*$E43))</f>
        <v>na</v>
      </c>
      <c r="O43" s="694" t="str">
        <f>IF(OR($D43="na",$D43="no calc"),"na",0.00001*Eqtn!F$419/(Eqtn!F$415*$H43*$D43+Eqtn!F$420*$I43*$E43))</f>
        <v>na</v>
      </c>
      <c r="P43" s="662" t="str">
        <f>IF(OR($F43="na",$F43="no calc"),"na",1*Eqtn!D$451/(Eqtn!D$447*$H43/$F43+Eqtn!D$452*$I43/$G43))</f>
        <v>na</v>
      </c>
      <c r="Q43" s="662" t="str">
        <f>IF(OR($F43="na",$F43="no calc"),"na",1*Eqtn!E$451/(Eqtn!E$447*$H43/$F43+Eqtn!E$452*$I43/$G43))</f>
        <v>na</v>
      </c>
      <c r="R43" s="662" t="str">
        <f>IF(OR($F43="na",$F43="no calc"),"na",1*Eqtn!F$451/(Eqtn!F$447*$H43/$F43+Eqtn!F$452*$I43/$G43))</f>
        <v>na</v>
      </c>
      <c r="S43" s="1418" t="str">
        <f t="shared" si="36"/>
        <v>na</v>
      </c>
      <c r="T43" s="1418" t="str">
        <f t="shared" si="37"/>
        <v>na</v>
      </c>
      <c r="U43" s="1418" t="str">
        <f t="shared" si="38"/>
        <v>na</v>
      </c>
      <c r="V43" s="1405" t="str">
        <f t="shared" si="44"/>
        <v>na</v>
      </c>
      <c r="W43" s="1383" t="str">
        <f t="shared" si="40"/>
        <v>na</v>
      </c>
      <c r="X43" s="1383" t="str">
        <f t="shared" si="41"/>
        <v>na</v>
      </c>
      <c r="Y43" s="1383" t="str">
        <f t="shared" si="42"/>
        <v>na</v>
      </c>
      <c r="Z43" s="1384" t="str">
        <f t="shared" si="43"/>
        <v>na</v>
      </c>
      <c r="AB43" s="1062"/>
    </row>
    <row r="44" spans="1:28" ht="13.9" customHeight="1" x14ac:dyDescent="0.25">
      <c r="A44" s="847">
        <f>Chem!A44</f>
        <v>42</v>
      </c>
      <c r="B44" s="916" t="str">
        <f>Chem!B44</f>
        <v>Vanadium</v>
      </c>
      <c r="C44" s="2305" t="str">
        <f>Param!AK44</f>
        <v>no</v>
      </c>
      <c r="D44" s="384" t="str">
        <f>IF(C44="YES",Param!V44,"no calc")</f>
        <v>no calc</v>
      </c>
      <c r="E44" s="552" t="str">
        <f>IF(C44="YES",Param!X44,"no calc")</f>
        <v>no calc</v>
      </c>
      <c r="F44" s="384" t="str">
        <f>IF(C44="YES",Param!O44,"no calc")</f>
        <v>no calc</v>
      </c>
      <c r="G44" s="622" t="str">
        <f>IF(C44="YES",Param!S44,"no calc")</f>
        <v>no calc</v>
      </c>
      <c r="H44" s="803" t="str">
        <f>IF(C44="YES",Param!AD44,"no calc")</f>
        <v>no calc</v>
      </c>
      <c r="I44" s="595" t="str">
        <f>IF(C44="YES",Param!AE44,"no calc")</f>
        <v>no calc</v>
      </c>
      <c r="J44" s="602" t="str">
        <f>IF(OR($D44="na",$D44="no calc"),"na",0.000001*Eqtn!D$419/(Eqtn!D$415*$H44*$D44+Eqtn!D$420*$I44*$E44))</f>
        <v>na</v>
      </c>
      <c r="K44" s="602" t="str">
        <f>IF(OR($D44="na",$D44="no calc"),"na",0.000001*Eqtn!E$419/(Eqtn!E$415*$H44*$D44+Eqtn!E$420*$I44*$E44))</f>
        <v>na</v>
      </c>
      <c r="L44" s="602" t="str">
        <f>IF(OR($D44="na",$D44="no calc"),"na",0.000001*Eqtn!F$419/(Eqtn!F$415*$H44*$D44+Eqtn!F$420*$I44*$E44))</f>
        <v>na</v>
      </c>
      <c r="M44" s="17" t="str">
        <f>IF(OR($D44="na",$D44="no calc"),"na",0.00001*Eqtn!D$419/(Eqtn!D$415*$H44*$D44+Eqtn!D$420*$I44*$E44))</f>
        <v>na</v>
      </c>
      <c r="N44" s="17" t="str">
        <f>IF(OR($D44="na",$D44="no calc"),"na",0.00001*Eqtn!E$419/(Eqtn!E$415*$H44*$D44+Eqtn!E$420*$I44*$E44))</f>
        <v>na</v>
      </c>
      <c r="O44" s="694" t="str">
        <f>IF(OR($D44="na",$D44="no calc"),"na",0.00001*Eqtn!F$419/(Eqtn!F$415*$H44*$D44+Eqtn!F$420*$I44*$E44))</f>
        <v>na</v>
      </c>
      <c r="P44" s="662" t="str">
        <f>IF(OR($F44="na",$F44="no calc"),"na",1*Eqtn!D$451/(Eqtn!D$447*$H44/$F44+Eqtn!D$452*$I44/$G44))</f>
        <v>na</v>
      </c>
      <c r="Q44" s="662" t="str">
        <f>IF(OR($F44="na",$F44="no calc"),"na",1*Eqtn!E$451/(Eqtn!E$447*$H44/$F44+Eqtn!E$452*$I44/$G44))</f>
        <v>na</v>
      </c>
      <c r="R44" s="662" t="str">
        <f>IF(OR($F44="na",$F44="no calc"),"na",1*Eqtn!F$451/(Eqtn!F$447*$H44/$F44+Eqtn!F$452*$I44/$G44))</f>
        <v>na</v>
      </c>
      <c r="S44" s="1418" t="str">
        <f t="shared" si="36"/>
        <v>na</v>
      </c>
      <c r="T44" s="1418" t="str">
        <f t="shared" si="37"/>
        <v>na</v>
      </c>
      <c r="U44" s="1418" t="str">
        <f t="shared" si="38"/>
        <v>na</v>
      </c>
      <c r="V44" s="1405" t="str">
        <f t="shared" si="44"/>
        <v>na</v>
      </c>
      <c r="W44" s="1383" t="str">
        <f t="shared" si="40"/>
        <v>na</v>
      </c>
      <c r="X44" s="1383" t="str">
        <f t="shared" si="41"/>
        <v>na</v>
      </c>
      <c r="Y44" s="1383" t="str">
        <f t="shared" si="42"/>
        <v>na</v>
      </c>
      <c r="Z44" s="1384" t="str">
        <f t="shared" si="43"/>
        <v>na</v>
      </c>
      <c r="AB44" s="1062"/>
    </row>
    <row r="45" spans="1:28" ht="13.9" customHeight="1" x14ac:dyDescent="0.25">
      <c r="A45" s="844">
        <f>Chem!A45</f>
        <v>43</v>
      </c>
      <c r="B45" s="916" t="str">
        <f>Chem!B45</f>
        <v>Zinc</v>
      </c>
      <c r="C45" s="2304" t="str">
        <f>Param!AK45</f>
        <v>no</v>
      </c>
      <c r="D45" s="392" t="str">
        <f>IF(C45="YES",Param!V45,"no calc")</f>
        <v>no calc</v>
      </c>
      <c r="E45" s="589" t="str">
        <f>IF(C45="YES",Param!X45,"no calc")</f>
        <v>no calc</v>
      </c>
      <c r="F45" s="392" t="str">
        <f>IF(C45="YES",Param!O45,"no calc")</f>
        <v>no calc</v>
      </c>
      <c r="G45" s="623" t="str">
        <f>IF(C45="YES",Param!S45,"no calc")</f>
        <v>no calc</v>
      </c>
      <c r="H45" s="804" t="str">
        <f>IF(C45="YES",Param!AD45,"no calc")</f>
        <v>no calc</v>
      </c>
      <c r="I45" s="595" t="str">
        <f>IF(C45="YES",Param!AE45,"no calc")</f>
        <v>no calc</v>
      </c>
      <c r="J45" s="609" t="str">
        <f>IF(OR($D45="na",$D45="no calc"),"na",0.000001*Eqtn!D$419/(Eqtn!D$415*$H45*$D45+Eqtn!D$420*$I45*$E45))</f>
        <v>na</v>
      </c>
      <c r="K45" s="609" t="str">
        <f>IF(OR($D45="na",$D45="no calc"),"na",0.000001*Eqtn!E$419/(Eqtn!E$415*$H45*$D45+Eqtn!E$420*$I45*$E45))</f>
        <v>na</v>
      </c>
      <c r="L45" s="609" t="str">
        <f>IF(OR($D45="na",$D45="no calc"),"na",0.000001*Eqtn!F$419/(Eqtn!F$415*$H45*$D45+Eqtn!F$420*$I45*$E45))</f>
        <v>na</v>
      </c>
      <c r="M45" s="820" t="str">
        <f>IF(OR($D45="na",$D45="no calc"),"na",0.00001*Eqtn!D$419/(Eqtn!D$415*$H45*$D45+Eqtn!D$420*$I45*$E45))</f>
        <v>na</v>
      </c>
      <c r="N45" s="820" t="str">
        <f>IF(OR($D45="na",$D45="no calc"),"na",0.00001*Eqtn!E$419/(Eqtn!E$415*$H45*$D45+Eqtn!E$420*$I45*$E45))</f>
        <v>na</v>
      </c>
      <c r="O45" s="707" t="str">
        <f>IF(OR($D45="na",$D45="no calc"),"na",0.00001*Eqtn!F$419/(Eqtn!F$415*$H45*$D45+Eqtn!F$420*$I45*$E45))</f>
        <v>na</v>
      </c>
      <c r="P45" s="667" t="str">
        <f>IF(OR($F45="na",$F45="no calc"),"na",1*Eqtn!D$451/(Eqtn!D$447*$H45/$F45+Eqtn!D$452*$I45/$G45))</f>
        <v>na</v>
      </c>
      <c r="Q45" s="667" t="str">
        <f>IF(OR($F45="na",$F45="no calc"),"na",1*Eqtn!E$451/(Eqtn!E$447*$H45/$F45+Eqtn!E$452*$I45/$G45))</f>
        <v>na</v>
      </c>
      <c r="R45" s="667" t="str">
        <f>IF(OR($F45="na",$F45="no calc"),"na",1*Eqtn!F$451/(Eqtn!F$447*$H45/$F45+Eqtn!F$452*$I45/$G45))</f>
        <v>na</v>
      </c>
      <c r="S45" s="1422" t="str">
        <f t="shared" si="36"/>
        <v>na</v>
      </c>
      <c r="T45" s="1422" t="str">
        <f t="shared" si="37"/>
        <v>na</v>
      </c>
      <c r="U45" s="1422" t="str">
        <f t="shared" si="38"/>
        <v>na</v>
      </c>
      <c r="V45" s="1410" t="str">
        <f t="shared" si="44"/>
        <v>na</v>
      </c>
      <c r="W45" s="1391" t="str">
        <f t="shared" si="40"/>
        <v>na</v>
      </c>
      <c r="X45" s="1391" t="str">
        <f t="shared" si="41"/>
        <v>na</v>
      </c>
      <c r="Y45" s="1391" t="str">
        <f t="shared" si="42"/>
        <v>na</v>
      </c>
      <c r="Z45" s="1392" t="str">
        <f t="shared" si="43"/>
        <v>na</v>
      </c>
      <c r="AB45" s="1062"/>
    </row>
    <row r="46" spans="1:28" ht="13.9" customHeight="1" x14ac:dyDescent="0.25">
      <c r="A46" s="906">
        <f>Chem!A46</f>
        <v>44</v>
      </c>
      <c r="B46" s="887" t="str">
        <f>Chem!B46</f>
        <v>Metals - Butyltins</v>
      </c>
      <c r="C46" s="2343"/>
      <c r="D46" s="259"/>
      <c r="E46" s="127"/>
      <c r="F46" s="259"/>
      <c r="G46" s="44"/>
      <c r="H46" s="44"/>
      <c r="I46" s="327"/>
      <c r="J46" s="127"/>
      <c r="K46" s="127"/>
      <c r="L46" s="127"/>
      <c r="M46" s="127"/>
      <c r="N46" s="127"/>
      <c r="O46" s="127"/>
      <c r="P46" s="44"/>
      <c r="Q46" s="44"/>
      <c r="R46" s="44"/>
      <c r="S46" s="44"/>
      <c r="T46" s="44"/>
      <c r="U46" s="44"/>
      <c r="V46" s="44"/>
      <c r="W46" s="44"/>
      <c r="X46" s="44"/>
      <c r="Y46" s="44"/>
      <c r="Z46" s="55"/>
      <c r="AA46" s="133"/>
      <c r="AB46" s="1063"/>
    </row>
    <row r="47" spans="1:28" ht="13.9" customHeight="1" x14ac:dyDescent="0.25">
      <c r="A47" s="847">
        <f>Chem!A47</f>
        <v>45</v>
      </c>
      <c r="B47" s="916" t="str">
        <f>Chem!B47</f>
        <v>Monobutyltin</v>
      </c>
      <c r="C47" s="2305" t="str">
        <f>Param!AK47</f>
        <v>no</v>
      </c>
      <c r="D47" s="384" t="str">
        <f>IF(C47="YES",Param!V47,"no calc")</f>
        <v>no calc</v>
      </c>
      <c r="E47" s="552" t="str">
        <f>IF(C47="YES",Param!X47,"no calc")</f>
        <v>no calc</v>
      </c>
      <c r="F47" s="384" t="str">
        <f>IF(C47="YES",Param!O47,"no calc")</f>
        <v>no calc</v>
      </c>
      <c r="G47" s="622" t="str">
        <f>IF(C47="YES",Param!S47,"no calc")</f>
        <v>no calc</v>
      </c>
      <c r="H47" s="622" t="str">
        <f>IF(C47="YES",Param!AD47,"no calc")</f>
        <v>no calc</v>
      </c>
      <c r="I47" s="596" t="str">
        <f>IF(C47="YES",Param!AE47,"no calc")</f>
        <v>no calc</v>
      </c>
      <c r="J47" s="602" t="str">
        <f>IF(OR($D47="na",$D47="no calc"),"na",0.000001*Eqtn!D$419/(Eqtn!D$415*$H47*$D47+Eqtn!D$420*$I47*$E47))</f>
        <v>na</v>
      </c>
      <c r="K47" s="602" t="str">
        <f>IF(OR($D47="na",$D47="no calc"),"na",0.000001*Eqtn!E$419/(Eqtn!E$415*$H47*$D47+Eqtn!E$420*$I47*$E47))</f>
        <v>na</v>
      </c>
      <c r="L47" s="602" t="str">
        <f>IF(OR($D47="na",$D47="no calc"),"na",0.000001*Eqtn!F$419/(Eqtn!F$415*$H47*$D47+Eqtn!F$420*$I47*$E47))</f>
        <v>na</v>
      </c>
      <c r="M47" s="17" t="str">
        <f>IF(OR($D47="na",$D47="no calc"),"na",0.00001*Eqtn!D$419/(Eqtn!D$415*$H47*$D47+Eqtn!D$420*$I47*$E47))</f>
        <v>na</v>
      </c>
      <c r="N47" s="17" t="str">
        <f>IF(OR($D47="na",$D47="no calc"),"na",0.00001*Eqtn!E$419/(Eqtn!E$415*$H47*$D47+Eqtn!E$420*$I47*$E47))</f>
        <v>na</v>
      </c>
      <c r="O47" s="694" t="str">
        <f>IF(OR($D47="na",$D47="no calc"),"na",0.00001*Eqtn!F$419/(Eqtn!F$415*$H47*$D47+Eqtn!F$420*$I47*$E47))</f>
        <v>na</v>
      </c>
      <c r="P47" s="662" t="str">
        <f>IF(OR($F47="na",$F47="no calc"),"na",1*Eqtn!D$451/(Eqtn!D$447*$H47/$F47+Eqtn!D$452*$I47/$G47))</f>
        <v>na</v>
      </c>
      <c r="Q47" s="662" t="str">
        <f>IF(OR($F47="na",$F47="no calc"),"na",1*Eqtn!E$451/(Eqtn!E$447*$H47/$F47+Eqtn!E$452*$I47/$G47))</f>
        <v>na</v>
      </c>
      <c r="R47" s="662" t="str">
        <f>IF(OR($F47="na",$F47="no calc"),"na",1*Eqtn!F$451/(Eqtn!F$447*$H47/$F47+Eqtn!F$452*$I47/$G47))</f>
        <v>na</v>
      </c>
      <c r="S47" s="1418" t="str">
        <f t="shared" ref="S47:U51" si="45">IF(OR(ISNUMBER(J47),ISNUMBER(P47)),MIN(J47,P47),"na")</f>
        <v>na</v>
      </c>
      <c r="T47" s="1418" t="str">
        <f t="shared" si="45"/>
        <v>na</v>
      </c>
      <c r="U47" s="1418" t="str">
        <f t="shared" si="45"/>
        <v>na</v>
      </c>
      <c r="V47" s="1405" t="str">
        <f t="shared" ref="V47:V51" si="46">IF(OR(ISNUMBER(S47),ISNUMBER(T47),ISNUMBER(U47)),MIN(S47,T47,U47),"na")</f>
        <v>na</v>
      </c>
      <c r="W47" s="1383" t="str">
        <f t="shared" ref="W47:Y51" si="47">IF(OR(ISNUMBER(M47),ISNUMBER(P47)),MIN(M47,P47),"na")</f>
        <v>na</v>
      </c>
      <c r="X47" s="1383" t="str">
        <f t="shared" si="47"/>
        <v>na</v>
      </c>
      <c r="Y47" s="1383" t="str">
        <f t="shared" si="47"/>
        <v>na</v>
      </c>
      <c r="Z47" s="1384" t="str">
        <f t="shared" ref="Z47:Z51" si="48">IF(OR(ISNUMBER(W47),ISNUMBER(X47),ISNUMBER(Y47)),MIN(W47,X47,Y47),"na")</f>
        <v>na</v>
      </c>
      <c r="AB47" s="1062"/>
    </row>
    <row r="48" spans="1:28" ht="13.9" customHeight="1" x14ac:dyDescent="0.25">
      <c r="A48" s="847">
        <f>Chem!A48</f>
        <v>46</v>
      </c>
      <c r="B48" s="916" t="str">
        <f>Chem!B48</f>
        <v>Dibutyltin</v>
      </c>
      <c r="C48" s="2305" t="str">
        <f>Param!AK48</f>
        <v>no</v>
      </c>
      <c r="D48" s="384" t="str">
        <f>IF(C48="YES",Param!V48,"no calc")</f>
        <v>no calc</v>
      </c>
      <c r="E48" s="552" t="str">
        <f>IF(C48="YES",Param!X48,"no calc")</f>
        <v>no calc</v>
      </c>
      <c r="F48" s="384" t="str">
        <f>IF(C48="YES",Param!O48,"no calc")</f>
        <v>no calc</v>
      </c>
      <c r="G48" s="622" t="str">
        <f>IF(C48="YES",Param!S48,"no calc")</f>
        <v>no calc</v>
      </c>
      <c r="H48" s="622" t="str">
        <f>IF(C48="YES",Param!AD48,"no calc")</f>
        <v>no calc</v>
      </c>
      <c r="I48" s="596" t="str">
        <f>IF(C48="YES",Param!AE48,"no calc")</f>
        <v>no calc</v>
      </c>
      <c r="J48" s="602" t="str">
        <f>IF(OR($D48="na",$D48="no calc"),"na",0.000001*Eqtn!D$419/(Eqtn!D$415*$H48*$D48+Eqtn!D$420*$I48*$E48))</f>
        <v>na</v>
      </c>
      <c r="K48" s="602" t="str">
        <f>IF(OR($D48="na",$D48="no calc"),"na",0.000001*Eqtn!E$419/(Eqtn!E$415*$H48*$D48+Eqtn!E$420*$I48*$E48))</f>
        <v>na</v>
      </c>
      <c r="L48" s="602" t="str">
        <f>IF(OR($D48="na",$D48="no calc"),"na",0.000001*Eqtn!F$419/(Eqtn!F$415*$H48*$D48+Eqtn!F$420*$I48*$E48))</f>
        <v>na</v>
      </c>
      <c r="M48" s="17" t="str">
        <f>IF(OR($D48="na",$D48="no calc"),"na",0.00001*Eqtn!D$419/(Eqtn!D$415*$H48*$D48+Eqtn!D$420*$I48*$E48))</f>
        <v>na</v>
      </c>
      <c r="N48" s="17" t="str">
        <f>IF(OR($D48="na",$D48="no calc"),"na",0.00001*Eqtn!E$419/(Eqtn!E$415*$H48*$D48+Eqtn!E$420*$I48*$E48))</f>
        <v>na</v>
      </c>
      <c r="O48" s="694" t="str">
        <f>IF(OR($D48="na",$D48="no calc"),"na",0.00001*Eqtn!F$419/(Eqtn!F$415*$H48*$D48+Eqtn!F$420*$I48*$E48))</f>
        <v>na</v>
      </c>
      <c r="P48" s="662" t="str">
        <f>IF(OR($F48="na",$F48="no calc"),"na",1*Eqtn!D$451/(Eqtn!D$447*$H48/$F48+Eqtn!D$452*$I48/$G48))</f>
        <v>na</v>
      </c>
      <c r="Q48" s="662" t="str">
        <f>IF(OR($F48="na",$F48="no calc"),"na",1*Eqtn!E$451/(Eqtn!E$447*$H48/$F48+Eqtn!E$452*$I48/$G48))</f>
        <v>na</v>
      </c>
      <c r="R48" s="662" t="str">
        <f>IF(OR($F48="na",$F48="no calc"),"na",1*Eqtn!F$451/(Eqtn!F$447*$H48/$F48+Eqtn!F$452*$I48/$G48))</f>
        <v>na</v>
      </c>
      <c r="S48" s="1418" t="str">
        <f t="shared" si="45"/>
        <v>na</v>
      </c>
      <c r="T48" s="1418" t="str">
        <f t="shared" si="45"/>
        <v>na</v>
      </c>
      <c r="U48" s="1418" t="str">
        <f t="shared" si="45"/>
        <v>na</v>
      </c>
      <c r="V48" s="1405" t="str">
        <f t="shared" si="46"/>
        <v>na</v>
      </c>
      <c r="W48" s="1383" t="str">
        <f t="shared" si="47"/>
        <v>na</v>
      </c>
      <c r="X48" s="1383" t="str">
        <f t="shared" si="47"/>
        <v>na</v>
      </c>
      <c r="Y48" s="1383" t="str">
        <f t="shared" si="47"/>
        <v>na</v>
      </c>
      <c r="Z48" s="1384" t="str">
        <f t="shared" si="48"/>
        <v>na</v>
      </c>
      <c r="AB48" s="1062"/>
    </row>
    <row r="49" spans="1:28" ht="13.9" customHeight="1" x14ac:dyDescent="0.25">
      <c r="A49" s="847">
        <f>Chem!A49</f>
        <v>47</v>
      </c>
      <c r="B49" s="916" t="str">
        <f>Chem!B49</f>
        <v>Tributyl tin</v>
      </c>
      <c r="C49" s="2305" t="str">
        <f>Param!AK49</f>
        <v>no</v>
      </c>
      <c r="D49" s="384" t="str">
        <f>IF(C49="YES",Param!V49,"no calc")</f>
        <v>no calc</v>
      </c>
      <c r="E49" s="552" t="str">
        <f>IF(C49="YES",Param!X49,"no calc")</f>
        <v>no calc</v>
      </c>
      <c r="F49" s="384" t="str">
        <f>IF(C49="YES",Param!O49,"no calc")</f>
        <v>no calc</v>
      </c>
      <c r="G49" s="622" t="str">
        <f>IF(C49="YES",Param!S49,"no calc")</f>
        <v>no calc</v>
      </c>
      <c r="H49" s="622" t="str">
        <f>IF(C49="YES",Param!AD49,"no calc")</f>
        <v>no calc</v>
      </c>
      <c r="I49" s="596" t="str">
        <f>IF(C49="YES",Param!AE49,"no calc")</f>
        <v>no calc</v>
      </c>
      <c r="J49" s="602" t="str">
        <f>IF(OR($D49="na",$D49="no calc"),"na",0.000001*Eqtn!D$419/(Eqtn!D$415*$H49*$D49+Eqtn!D$420*$I49*$E49))</f>
        <v>na</v>
      </c>
      <c r="K49" s="602" t="str">
        <f>IF(OR($D49="na",$D49="no calc"),"na",0.000001*Eqtn!E$419/(Eqtn!E$415*$H49*$D49+Eqtn!E$420*$I49*$E49))</f>
        <v>na</v>
      </c>
      <c r="L49" s="602" t="str">
        <f>IF(OR($D49="na",$D49="no calc"),"na",0.000001*Eqtn!F$419/(Eqtn!F$415*$H49*$D49+Eqtn!F$420*$I49*$E49))</f>
        <v>na</v>
      </c>
      <c r="M49" s="17" t="str">
        <f>IF(OR($D49="na",$D49="no calc"),"na",0.00001*Eqtn!D$419/(Eqtn!D$415*$H49*$D49+Eqtn!D$420*$I49*$E49))</f>
        <v>na</v>
      </c>
      <c r="N49" s="17" t="str">
        <f>IF(OR($D49="na",$D49="no calc"),"na",0.00001*Eqtn!E$419/(Eqtn!E$415*$H49*$D49+Eqtn!E$420*$I49*$E49))</f>
        <v>na</v>
      </c>
      <c r="O49" s="694" t="str">
        <f>IF(OR($D49="na",$D49="no calc"),"na",0.00001*Eqtn!F$419/(Eqtn!F$415*$H49*$D49+Eqtn!F$420*$I49*$E49))</f>
        <v>na</v>
      </c>
      <c r="P49" s="662" t="str">
        <f>IF(OR($F49="na",$F49="no calc"),"na",1*Eqtn!D$451/(Eqtn!D$447*$H49/$F49+Eqtn!D$452*$I49/$G49))</f>
        <v>na</v>
      </c>
      <c r="Q49" s="662" t="str">
        <f>IF(OR($F49="na",$F49="no calc"),"na",1*Eqtn!E$451/(Eqtn!E$447*$H49/$F49+Eqtn!E$452*$I49/$G49))</f>
        <v>na</v>
      </c>
      <c r="R49" s="662" t="str">
        <f>IF(OR($F49="na",$F49="no calc"),"na",1*Eqtn!F$451/(Eqtn!F$447*$H49/$F49+Eqtn!F$452*$I49/$G49))</f>
        <v>na</v>
      </c>
      <c r="S49" s="1418" t="str">
        <f t="shared" ref="S49" si="49">IF(OR(ISNUMBER(J49),ISNUMBER(P49)),MIN(J49,P49),"na")</f>
        <v>na</v>
      </c>
      <c r="T49" s="1418" t="str">
        <f t="shared" ref="T49" si="50">IF(OR(ISNUMBER(K49),ISNUMBER(Q49)),MIN(K49,Q49),"na")</f>
        <v>na</v>
      </c>
      <c r="U49" s="1418" t="str">
        <f t="shared" ref="U49" si="51">IF(OR(ISNUMBER(L49),ISNUMBER(R49)),MIN(L49,R49),"na")</f>
        <v>na</v>
      </c>
      <c r="V49" s="1405" t="str">
        <f t="shared" ref="V49" si="52">IF(OR(ISNUMBER(S49),ISNUMBER(T49),ISNUMBER(U49)),MIN(S49,T49,U49),"na")</f>
        <v>na</v>
      </c>
      <c r="W49" s="1383" t="str">
        <f t="shared" ref="W49" si="53">IF(OR(ISNUMBER(M49),ISNUMBER(P49)),MIN(M49,P49),"na")</f>
        <v>na</v>
      </c>
      <c r="X49" s="1383" t="str">
        <f t="shared" ref="X49" si="54">IF(OR(ISNUMBER(N49),ISNUMBER(Q49)),MIN(N49,Q49),"na")</f>
        <v>na</v>
      </c>
      <c r="Y49" s="1383" t="str">
        <f t="shared" ref="Y49" si="55">IF(OR(ISNUMBER(O49),ISNUMBER(R49)),MIN(O49,R49),"na")</f>
        <v>na</v>
      </c>
      <c r="Z49" s="1384" t="str">
        <f t="shared" ref="Z49" si="56">IF(OR(ISNUMBER(W49),ISNUMBER(X49),ISNUMBER(Y49)),MIN(W49,X49,Y49),"na")</f>
        <v>na</v>
      </c>
      <c r="AB49" s="1062"/>
    </row>
    <row r="50" spans="1:28" ht="13.9" customHeight="1" x14ac:dyDescent="0.25">
      <c r="A50" s="847">
        <f>Chem!A50</f>
        <v>48</v>
      </c>
      <c r="B50" s="916" t="str">
        <f>Chem!B50</f>
        <v>Tributyltin oxide</v>
      </c>
      <c r="C50" s="2305" t="str">
        <f>Param!AK50</f>
        <v>YES</v>
      </c>
      <c r="D50" s="384" t="str">
        <f>IF(C50="YES",Param!V50,"no calc")</f>
        <v>na</v>
      </c>
      <c r="E50" s="552" t="str">
        <f>IF(C50="YES",Param!X50,"no calc")</f>
        <v>na</v>
      </c>
      <c r="F50" s="384">
        <f>IF(C50="YES",Param!O50,"no calc")</f>
        <v>2.9999999999999997E-4</v>
      </c>
      <c r="G50" s="622">
        <f>IF(C50="YES",Param!S50,"no calc")</f>
        <v>2.9999999999999997E-4</v>
      </c>
      <c r="H50" s="622">
        <f>IF(C50="YES",Param!AD50,"no calc")</f>
        <v>1</v>
      </c>
      <c r="I50" s="596">
        <f>IF(C50="YES",Param!AE50,"no calc")</f>
        <v>0.1</v>
      </c>
      <c r="J50" s="602" t="str">
        <f>IF(OR($D50="na",$D50="no calc"),"na",0.000001*Eqtn!D$419/(Eqtn!D$415*$H50*$D50+Eqtn!D$420*$I50*$E50))</f>
        <v>na</v>
      </c>
      <c r="K50" s="602" t="str">
        <f>IF(OR($D50="na",$D50="no calc"),"na",0.000001*Eqtn!E$419/(Eqtn!E$415*$H50*$D50+Eqtn!E$420*$I50*$E50))</f>
        <v>na</v>
      </c>
      <c r="L50" s="602" t="str">
        <f>IF(OR($D50="na",$D50="no calc"),"na",0.000001*Eqtn!F$419/(Eqtn!F$415*$H50*$D50+Eqtn!F$420*$I50*$E50))</f>
        <v>na</v>
      </c>
      <c r="M50" s="17" t="str">
        <f>IF(OR($D50="na",$D50="no calc"),"na",0.00001*Eqtn!D$419/(Eqtn!D$415*$H50*$D50+Eqtn!D$420*$I50*$E50))</f>
        <v>na</v>
      </c>
      <c r="N50" s="17" t="str">
        <f>IF(OR($D50="na",$D50="no calc"),"na",0.00001*Eqtn!E$419/(Eqtn!E$415*$H50*$D50+Eqtn!E$420*$I50*$E50))</f>
        <v>na</v>
      </c>
      <c r="O50" s="694" t="str">
        <f>IF(OR($D50="na",$D50="no calc"),"na",0.00001*Eqtn!F$419/(Eqtn!F$415*$H50*$D50+Eqtn!F$420*$I50*$E50))</f>
        <v>na</v>
      </c>
      <c r="P50" s="662">
        <f>IF(OR($F50="na",$F50="no calc"),"na",1*Eqtn!D$451/(Eqtn!D$447*$H50/$F50+Eqtn!D$452*$I50/$G50))</f>
        <v>59.836065573770476</v>
      </c>
      <c r="Q50" s="662">
        <f>IF(OR($F50="na",$F50="no calc"),"na",1*Eqtn!E$451/(Eqtn!E$447*$H50/$F50+Eqtn!E$452*$I50/$G50))</f>
        <v>338.05480072463763</v>
      </c>
      <c r="R50" s="662">
        <f>IF(OR($F50="na",$F50="no calc"),"na",1*Eqtn!F$451/(Eqtn!F$447*$H50/$F50+Eqtn!F$452*$I50/$G50))</f>
        <v>616.96514671442333</v>
      </c>
      <c r="S50" s="1418">
        <f t="shared" si="45"/>
        <v>59.836065573770476</v>
      </c>
      <c r="T50" s="1418">
        <f t="shared" si="45"/>
        <v>338.05480072463763</v>
      </c>
      <c r="U50" s="1418">
        <f t="shared" si="45"/>
        <v>616.96514671442333</v>
      </c>
      <c r="V50" s="1405">
        <f t="shared" si="46"/>
        <v>59.836065573770476</v>
      </c>
      <c r="W50" s="1383">
        <f t="shared" si="47"/>
        <v>59.836065573770476</v>
      </c>
      <c r="X50" s="1383">
        <f t="shared" si="47"/>
        <v>338.05480072463763</v>
      </c>
      <c r="Y50" s="1383">
        <f t="shared" si="47"/>
        <v>616.96514671442333</v>
      </c>
      <c r="Z50" s="1384">
        <f t="shared" si="48"/>
        <v>59.836065573770476</v>
      </c>
      <c r="AB50" s="1062"/>
    </row>
    <row r="51" spans="1:28" ht="13.9" customHeight="1" x14ac:dyDescent="0.25">
      <c r="A51" s="847">
        <f>Chem!A51</f>
        <v>49</v>
      </c>
      <c r="B51" s="916" t="str">
        <f>Chem!B51</f>
        <v>Tetrabutyltin</v>
      </c>
      <c r="C51" s="2305" t="str">
        <f>Param!AK51</f>
        <v>no</v>
      </c>
      <c r="D51" s="384" t="str">
        <f>IF(C51="YES",Param!V51,"no calc")</f>
        <v>no calc</v>
      </c>
      <c r="E51" s="552" t="str">
        <f>IF(C51="YES",Param!X51,"no calc")</f>
        <v>no calc</v>
      </c>
      <c r="F51" s="384" t="str">
        <f>IF(C51="YES",Param!O51,"no calc")</f>
        <v>no calc</v>
      </c>
      <c r="G51" s="622" t="str">
        <f>IF(C51="YES",Param!S51,"no calc")</f>
        <v>no calc</v>
      </c>
      <c r="H51" s="622" t="str">
        <f>IF(C51="YES",Param!AD51,"no calc")</f>
        <v>no calc</v>
      </c>
      <c r="I51" s="596" t="str">
        <f>IF(C51="YES",Param!AE51,"no calc")</f>
        <v>no calc</v>
      </c>
      <c r="J51" s="602" t="str">
        <f>IF(OR($D51="na",$D51="no calc"),"na",0.000001*Eqtn!D$419/(Eqtn!D$415*$H51*$D51+Eqtn!D$420*$I51*$E51))</f>
        <v>na</v>
      </c>
      <c r="K51" s="602" t="str">
        <f>IF(OR($D51="na",$D51="no calc"),"na",0.000001*Eqtn!E$419/(Eqtn!E$415*$H51*$D51+Eqtn!E$420*$I51*$E51))</f>
        <v>na</v>
      </c>
      <c r="L51" s="602" t="str">
        <f>IF(OR($D51="na",$D51="no calc"),"na",0.000001*Eqtn!F$419/(Eqtn!F$415*$H51*$D51+Eqtn!F$420*$I51*$E51))</f>
        <v>na</v>
      </c>
      <c r="M51" s="17" t="str">
        <f>IF(OR($D51="na",$D51="no calc"),"na",0.00001*Eqtn!D$419/(Eqtn!D$415*$H51*$D51+Eqtn!D$420*$I51*$E51))</f>
        <v>na</v>
      </c>
      <c r="N51" s="17" t="str">
        <f>IF(OR($D51="na",$D51="no calc"),"na",0.00001*Eqtn!E$419/(Eqtn!E$415*$H51*$D51+Eqtn!E$420*$I51*$E51))</f>
        <v>na</v>
      </c>
      <c r="O51" s="694" t="str">
        <f>IF(OR($D51="na",$D51="no calc"),"na",0.00001*Eqtn!F$419/(Eqtn!F$415*$H51*$D51+Eqtn!F$420*$I51*$E51))</f>
        <v>na</v>
      </c>
      <c r="P51" s="662" t="str">
        <f>IF(OR($F51="na",$F51="no calc"),"na",1*Eqtn!D$451/(Eqtn!D$447*$H51/$F51+Eqtn!D$452*$I51/$G51))</f>
        <v>na</v>
      </c>
      <c r="Q51" s="662" t="str">
        <f>IF(OR($F51="na",$F51="no calc"),"na",1*Eqtn!E$451/(Eqtn!E$447*$H51/$F51+Eqtn!E$452*$I51/$G51))</f>
        <v>na</v>
      </c>
      <c r="R51" s="662" t="str">
        <f>IF(OR($F51="na",$F51="no calc"),"na",1*Eqtn!F$451/(Eqtn!F$447*$H51/$F51+Eqtn!F$452*$I51/$G51))</f>
        <v>na</v>
      </c>
      <c r="S51" s="1418" t="str">
        <f t="shared" si="45"/>
        <v>na</v>
      </c>
      <c r="T51" s="1418" t="str">
        <f t="shared" si="45"/>
        <v>na</v>
      </c>
      <c r="U51" s="1418" t="str">
        <f t="shared" si="45"/>
        <v>na</v>
      </c>
      <c r="V51" s="1405" t="str">
        <f t="shared" si="46"/>
        <v>na</v>
      </c>
      <c r="W51" s="1383" t="str">
        <f t="shared" si="47"/>
        <v>na</v>
      </c>
      <c r="X51" s="1383" t="str">
        <f t="shared" si="47"/>
        <v>na</v>
      </c>
      <c r="Y51" s="1383" t="str">
        <f t="shared" si="47"/>
        <v>na</v>
      </c>
      <c r="Z51" s="1384" t="str">
        <f t="shared" si="48"/>
        <v>na</v>
      </c>
      <c r="AB51" s="1062"/>
    </row>
    <row r="52" spans="1:28" ht="13.9" customHeight="1" x14ac:dyDescent="0.25">
      <c r="A52" s="906">
        <f>Chem!A52</f>
        <v>50</v>
      </c>
      <c r="B52" s="887" t="str">
        <f>Chem!B52</f>
        <v>SVOCs - PAHs</v>
      </c>
      <c r="C52" s="2343"/>
      <c r="D52" s="259"/>
      <c r="E52" s="127"/>
      <c r="F52" s="259"/>
      <c r="G52" s="44"/>
      <c r="H52" s="44"/>
      <c r="I52" s="327"/>
      <c r="J52" s="127"/>
      <c r="K52" s="127"/>
      <c r="L52" s="127"/>
      <c r="M52" s="127"/>
      <c r="N52" s="127"/>
      <c r="O52" s="127"/>
      <c r="P52" s="44"/>
      <c r="Q52" s="44"/>
      <c r="R52" s="44"/>
      <c r="S52" s="44"/>
      <c r="T52" s="44"/>
      <c r="U52" s="44"/>
      <c r="V52" s="44"/>
      <c r="W52" s="44"/>
      <c r="X52" s="44"/>
      <c r="Y52" s="44"/>
      <c r="Z52" s="55"/>
      <c r="AA52" s="133"/>
      <c r="AB52" s="1063"/>
    </row>
    <row r="53" spans="1:28" ht="13.9" customHeight="1" x14ac:dyDescent="0.25">
      <c r="A53" s="846">
        <f>Chem!A53</f>
        <v>51</v>
      </c>
      <c r="B53" s="916" t="str">
        <f>Chem!B53</f>
        <v>Acenaphthene</v>
      </c>
      <c r="C53" s="2309" t="str">
        <f>Param!AK53</f>
        <v>no</v>
      </c>
      <c r="D53" s="590" t="str">
        <f>IF(C53="YES",Param!V53,"no calc")</f>
        <v>no calc</v>
      </c>
      <c r="E53" s="591" t="str">
        <f>IF(C53="YES",Param!X53,"no calc")</f>
        <v>no calc</v>
      </c>
      <c r="F53" s="393" t="str">
        <f>IF(C53="YES",Param!O53,"no calc")</f>
        <v>no calc</v>
      </c>
      <c r="G53" s="624" t="str">
        <f>IF(C53="YES",Param!S53,"no calc")</f>
        <v>no calc</v>
      </c>
      <c r="H53" s="624" t="str">
        <f>IF(C53="YES",Param!AD53,"no calc")</f>
        <v>no calc</v>
      </c>
      <c r="I53" s="597" t="str">
        <f>IF(C53="YES",Param!AE53,"no calc")</f>
        <v>no calc</v>
      </c>
      <c r="J53" s="607" t="str">
        <f>IF(OR($D53="na",$D53="no calc"),"na",0.000001*Eqtn!D$419/(Eqtn!D$415*$H53*$D53+Eqtn!D$420*$I53*$E53))</f>
        <v>na</v>
      </c>
      <c r="K53" s="607" t="str">
        <f>IF(OR($D53="na",$D53="no calc"),"na",0.000001*Eqtn!E$419/(Eqtn!E$415*$H53*$D53+Eqtn!E$420*$I53*$E53))</f>
        <v>na</v>
      </c>
      <c r="L53" s="607" t="str">
        <f>IF(OR($D53="na",$D53="no calc"),"na",0.000001*Eqtn!F$419/(Eqtn!F$415*$H53*$D53+Eqtn!F$420*$I53*$E53))</f>
        <v>na</v>
      </c>
      <c r="M53" s="821" t="str">
        <f>IF(OR($D53="na",$D53="no calc"),"na",0.00001*Eqtn!D$419/(Eqtn!D$415*$H53*$D53+Eqtn!D$420*$I53*$E53))</f>
        <v>na</v>
      </c>
      <c r="N53" s="821" t="str">
        <f>IF(OR($D53="na",$D53="no calc"),"na",0.00001*Eqtn!E$419/(Eqtn!E$415*$H53*$D53+Eqtn!E$420*$I53*$E53))</f>
        <v>na</v>
      </c>
      <c r="O53" s="706" t="str">
        <f>IF(OR($D53="na",$D53="no calc"),"na",0.00001*Eqtn!F$419/(Eqtn!F$415*$H53*$D53+Eqtn!F$420*$I53*$E53))</f>
        <v>na</v>
      </c>
      <c r="P53" s="665" t="str">
        <f>IF(OR($F53="na",$F53="no calc"),"na",1*Eqtn!D$451/(Eqtn!D$447*$H53/$F53+Eqtn!D$452*$I53/$G53))</f>
        <v>na</v>
      </c>
      <c r="Q53" s="665" t="str">
        <f>IF(OR($F53="na",$F53="no calc"),"na",1*Eqtn!E$451/(Eqtn!E$447*$H53/$F53+Eqtn!E$452*$I53/$G53))</f>
        <v>na</v>
      </c>
      <c r="R53" s="665" t="str">
        <f>IF(OR($F53="na",$F53="no calc"),"na",1*Eqtn!F$451/(Eqtn!F$447*$H53/$F53+Eqtn!F$452*$I53/$G53))</f>
        <v>na</v>
      </c>
      <c r="S53" s="1424" t="str">
        <f t="shared" ref="S53:S77" si="57">IF(OR(ISNUMBER(J53),ISNUMBER(P53)),MIN(J53,P53),"na")</f>
        <v>na</v>
      </c>
      <c r="T53" s="1424" t="str">
        <f t="shared" ref="T53:T77" si="58">IF(OR(ISNUMBER(K53),ISNUMBER(Q53)),MIN(K53,Q53),"na")</f>
        <v>na</v>
      </c>
      <c r="U53" s="1424" t="str">
        <f t="shared" ref="U53:U77" si="59">IF(OR(ISNUMBER(L53),ISNUMBER(R53)),MIN(L53,R53),"na")</f>
        <v>na</v>
      </c>
      <c r="V53" s="1412" t="str">
        <f t="shared" ref="V53:V77" si="60">IF(OR(ISNUMBER(S53),ISNUMBER(T53),ISNUMBER(U53)),MIN(S53,T53,U53),"na")</f>
        <v>na</v>
      </c>
      <c r="W53" s="1395" t="str">
        <f t="shared" ref="W53:W77" si="61">IF(OR(ISNUMBER(M53),ISNUMBER(P53)),MIN(M53,P53),"na")</f>
        <v>na</v>
      </c>
      <c r="X53" s="1395" t="str">
        <f t="shared" ref="X53:X77" si="62">IF(OR(ISNUMBER(N53),ISNUMBER(Q53)),MIN(N53,Q53),"na")</f>
        <v>na</v>
      </c>
      <c r="Y53" s="1395" t="str">
        <f t="shared" ref="Y53:Y77" si="63">IF(OR(ISNUMBER(O53),ISNUMBER(R53)),MIN(O53,R53),"na")</f>
        <v>na</v>
      </c>
      <c r="Z53" s="1396" t="str">
        <f t="shared" ref="Z53:Z77" si="64">IF(OR(ISNUMBER(W53),ISNUMBER(X53),ISNUMBER(Y53)),MIN(W53,X53,Y53),"na")</f>
        <v>na</v>
      </c>
      <c r="AB53" s="1062"/>
    </row>
    <row r="54" spans="1:28" ht="13.9" customHeight="1" x14ac:dyDescent="0.25">
      <c r="A54" s="847">
        <f>Chem!A54</f>
        <v>52</v>
      </c>
      <c r="B54" s="916" t="str">
        <f>Chem!B54</f>
        <v>Acenaphthylene</v>
      </c>
      <c r="C54" s="2305" t="str">
        <f>Param!AK54</f>
        <v>no</v>
      </c>
      <c r="D54" s="384" t="str">
        <f>IF(C54="YES",Param!V54,"no calc")</f>
        <v>no calc</v>
      </c>
      <c r="E54" s="552" t="str">
        <f>IF(C54="YES",Param!X54,"no calc")</f>
        <v>no calc</v>
      </c>
      <c r="F54" s="343" t="str">
        <f>IF(C54="YES",Param!O54,"no calc")</f>
        <v>no calc</v>
      </c>
      <c r="G54" s="622" t="str">
        <f>IF(C54="YES",Param!S54,"no calc")</f>
        <v>no calc</v>
      </c>
      <c r="H54" s="622" t="str">
        <f>IF(C54="YES",Param!AD54,"no calc")</f>
        <v>no calc</v>
      </c>
      <c r="I54" s="596" t="str">
        <f>IF(C54="YES",Param!AE54,"no calc")</f>
        <v>no calc</v>
      </c>
      <c r="J54" s="602" t="str">
        <f>IF(OR($D54="na",$D54="no calc"),"na",0.000001*Eqtn!D$419/(Eqtn!D$415*$H54*$D54+Eqtn!D$420*$I54*$E54))</f>
        <v>na</v>
      </c>
      <c r="K54" s="602" t="str">
        <f>IF(OR($D54="na",$D54="no calc"),"na",0.000001*Eqtn!E$419/(Eqtn!E$415*$H54*$D54+Eqtn!E$420*$I54*$E54))</f>
        <v>na</v>
      </c>
      <c r="L54" s="602" t="str">
        <f>IF(OR($D54="na",$D54="no calc"),"na",0.000001*Eqtn!F$419/(Eqtn!F$415*$H54*$D54+Eqtn!F$420*$I54*$E54))</f>
        <v>na</v>
      </c>
      <c r="M54" s="17" t="str">
        <f>IF(OR($D54="na",$D54="no calc"),"na",0.00001*Eqtn!D$419/(Eqtn!D$415*$H54*$D54+Eqtn!D$420*$I54*$E54))</f>
        <v>na</v>
      </c>
      <c r="N54" s="17" t="str">
        <f>IF(OR($D54="na",$D54="no calc"),"na",0.00001*Eqtn!E$419/(Eqtn!E$415*$H54*$D54+Eqtn!E$420*$I54*$E54))</f>
        <v>na</v>
      </c>
      <c r="O54" s="694" t="str">
        <f>IF(OR($D54="na",$D54="no calc"),"na",0.00001*Eqtn!F$419/(Eqtn!F$415*$H54*$D54+Eqtn!F$420*$I54*$E54))</f>
        <v>na</v>
      </c>
      <c r="P54" s="662" t="str">
        <f>IF(OR($F54="na",$F54="no calc"),"na",1*Eqtn!D$451/(Eqtn!D$447*$H54/$F54+Eqtn!D$452*$I54/$G54))</f>
        <v>na</v>
      </c>
      <c r="Q54" s="662" t="str">
        <f>IF(OR($F54="na",$F54="no calc"),"na",1*Eqtn!E$451/(Eqtn!E$447*$H54/$F54+Eqtn!E$452*$I54/$G54))</f>
        <v>na</v>
      </c>
      <c r="R54" s="662" t="str">
        <f>IF(OR($F54="na",$F54="no calc"),"na",1*Eqtn!F$451/(Eqtn!F$447*$H54/$F54+Eqtn!F$452*$I54/$G54))</f>
        <v>na</v>
      </c>
      <c r="S54" s="1418" t="str">
        <f t="shared" si="57"/>
        <v>na</v>
      </c>
      <c r="T54" s="1418" t="str">
        <f t="shared" si="58"/>
        <v>na</v>
      </c>
      <c r="U54" s="1418" t="str">
        <f t="shared" si="59"/>
        <v>na</v>
      </c>
      <c r="V54" s="1405" t="str">
        <f t="shared" si="60"/>
        <v>na</v>
      </c>
      <c r="W54" s="1383" t="str">
        <f t="shared" si="61"/>
        <v>na</v>
      </c>
      <c r="X54" s="1383" t="str">
        <f t="shared" si="62"/>
        <v>na</v>
      </c>
      <c r="Y54" s="1383" t="str">
        <f t="shared" si="63"/>
        <v>na</v>
      </c>
      <c r="Z54" s="1384" t="str">
        <f t="shared" si="64"/>
        <v>na</v>
      </c>
      <c r="AB54" s="1062"/>
    </row>
    <row r="55" spans="1:28" ht="13.9" customHeight="1" x14ac:dyDescent="0.25">
      <c r="A55" s="847">
        <f>Chem!A55</f>
        <v>53</v>
      </c>
      <c r="B55" s="916" t="str">
        <f>Chem!B55</f>
        <v>Anthracene</v>
      </c>
      <c r="C55" s="2305" t="str">
        <f>Param!AK55</f>
        <v>no</v>
      </c>
      <c r="D55" s="384" t="str">
        <f>IF(C55="YES",Param!V55,"no calc")</f>
        <v>no calc</v>
      </c>
      <c r="E55" s="552" t="str">
        <f>IF(C55="YES",Param!X55,"no calc")</f>
        <v>no calc</v>
      </c>
      <c r="F55" s="384" t="str">
        <f>IF(C55="YES",Param!O55,"no calc")</f>
        <v>no calc</v>
      </c>
      <c r="G55" s="622" t="str">
        <f>IF(C55="YES",Param!S55,"no calc")</f>
        <v>no calc</v>
      </c>
      <c r="H55" s="622" t="str">
        <f>IF(C55="YES",Param!AD55,"no calc")</f>
        <v>no calc</v>
      </c>
      <c r="I55" s="596" t="str">
        <f>IF(C55="YES",Param!AE55,"no calc")</f>
        <v>no calc</v>
      </c>
      <c r="J55" s="602" t="str">
        <f>IF(OR($D55="na",$D55="no calc"),"na",0.000001*Eqtn!D$419/(Eqtn!D$415*$H55*$D55+Eqtn!D$420*$I55*$E55))</f>
        <v>na</v>
      </c>
      <c r="K55" s="602" t="str">
        <f>IF(OR($D55="na",$D55="no calc"),"na",0.000001*Eqtn!E$419/(Eqtn!E$415*$H55*$D55+Eqtn!E$420*$I55*$E55))</f>
        <v>na</v>
      </c>
      <c r="L55" s="602" t="str">
        <f>IF(OR($D55="na",$D55="no calc"),"na",0.000001*Eqtn!F$419/(Eqtn!F$415*$H55*$D55+Eqtn!F$420*$I55*$E55))</f>
        <v>na</v>
      </c>
      <c r="M55" s="17" t="str">
        <f>IF(OR($D55="na",$D55="no calc"),"na",0.00001*Eqtn!D$419/(Eqtn!D$415*$H55*$D55+Eqtn!D$420*$I55*$E55))</f>
        <v>na</v>
      </c>
      <c r="N55" s="17" t="str">
        <f>IF(OR($D55="na",$D55="no calc"),"na",0.00001*Eqtn!E$419/(Eqtn!E$415*$H55*$D55+Eqtn!E$420*$I55*$E55))</f>
        <v>na</v>
      </c>
      <c r="O55" s="694" t="str">
        <f>IF(OR($D55="na",$D55="no calc"),"na",0.00001*Eqtn!F$419/(Eqtn!F$415*$H55*$D55+Eqtn!F$420*$I55*$E55))</f>
        <v>na</v>
      </c>
      <c r="P55" s="662" t="str">
        <f>IF(OR($F55="na",$F55="no calc"),"na",1*Eqtn!D$451/(Eqtn!D$447*$H55/$F55+Eqtn!D$452*$I55/$G55))</f>
        <v>na</v>
      </c>
      <c r="Q55" s="662" t="str">
        <f>IF(OR($F55="na",$F55="no calc"),"na",1*Eqtn!E$451/(Eqtn!E$447*$H55/$F55+Eqtn!E$452*$I55/$G55))</f>
        <v>na</v>
      </c>
      <c r="R55" s="662" t="str">
        <f>IF(OR($F55="na",$F55="no calc"),"na",1*Eqtn!F$451/(Eqtn!F$447*$H55/$F55+Eqtn!F$452*$I55/$G55))</f>
        <v>na</v>
      </c>
      <c r="S55" s="1418" t="str">
        <f t="shared" si="57"/>
        <v>na</v>
      </c>
      <c r="T55" s="1418" t="str">
        <f t="shared" si="58"/>
        <v>na</v>
      </c>
      <c r="U55" s="1418" t="str">
        <f t="shared" si="59"/>
        <v>na</v>
      </c>
      <c r="V55" s="1405" t="str">
        <f t="shared" si="60"/>
        <v>na</v>
      </c>
      <c r="W55" s="1383" t="str">
        <f t="shared" si="61"/>
        <v>na</v>
      </c>
      <c r="X55" s="1383" t="str">
        <f t="shared" si="62"/>
        <v>na</v>
      </c>
      <c r="Y55" s="1383" t="str">
        <f t="shared" si="63"/>
        <v>na</v>
      </c>
      <c r="Z55" s="1384" t="str">
        <f t="shared" si="64"/>
        <v>na</v>
      </c>
      <c r="AB55" s="1062"/>
    </row>
    <row r="56" spans="1:28" ht="13.9" customHeight="1" x14ac:dyDescent="0.25">
      <c r="A56" s="847">
        <f>Chem!A56</f>
        <v>54</v>
      </c>
      <c r="B56" s="916" t="str">
        <f>Chem!B56</f>
        <v>Benzo(a)anthracene</v>
      </c>
      <c r="C56" s="2305" t="str">
        <f>Param!AK56</f>
        <v>no</v>
      </c>
      <c r="D56" s="384" t="str">
        <f>IF(C56="YES",Param!V56,"no calc")</f>
        <v>no calc</v>
      </c>
      <c r="E56" s="552" t="str">
        <f>IF(C56="YES",Param!X56,"no calc")</f>
        <v>no calc</v>
      </c>
      <c r="F56" s="384" t="str">
        <f>IF(C56="YES",Param!O56,"no calc")</f>
        <v>no calc</v>
      </c>
      <c r="G56" s="622" t="str">
        <f>IF(C56="YES",Param!S56,"no calc")</f>
        <v>no calc</v>
      </c>
      <c r="H56" s="622" t="str">
        <f>IF(C56="YES",Param!AD56,"no calc")</f>
        <v>no calc</v>
      </c>
      <c r="I56" s="596" t="str">
        <f>IF(C56="YES",Param!AE56,"no calc")</f>
        <v>no calc</v>
      </c>
      <c r="J56" s="602" t="str">
        <f>IF(OR($D56="na",$D56="no calc"),"na",0.000001*Eqtn!D$419/(Eqtn!D$415*$H56*$D56+Eqtn!D$420*$I56*$E56))</f>
        <v>na</v>
      </c>
      <c r="K56" s="602" t="str">
        <f>IF(OR($D56="na",$D56="no calc"),"na",0.000001*Eqtn!E$419/(Eqtn!E$415*$H56*$D56+Eqtn!E$420*$I56*$E56))</f>
        <v>na</v>
      </c>
      <c r="L56" s="602" t="str">
        <f>IF(OR($D56="na",$D56="no calc"),"na",0.000001*Eqtn!F$419/(Eqtn!F$415*$H56*$D56+Eqtn!F$420*$I56*$E56))</f>
        <v>na</v>
      </c>
      <c r="M56" s="17" t="str">
        <f>IF(OR($D56="na",$D56="no calc"),"na",0.00001*Eqtn!D$419/(Eqtn!D$415*$H56*$D56+Eqtn!D$420*$I56*$E56))</f>
        <v>na</v>
      </c>
      <c r="N56" s="17" t="str">
        <f>IF(OR($D56="na",$D56="no calc"),"na",0.00001*Eqtn!E$419/(Eqtn!E$415*$H56*$D56+Eqtn!E$420*$I56*$E56))</f>
        <v>na</v>
      </c>
      <c r="O56" s="694" t="str">
        <f>IF(OR($D56="na",$D56="no calc"),"na",0.00001*Eqtn!F$419/(Eqtn!F$415*$H56*$D56+Eqtn!F$420*$I56*$E56))</f>
        <v>na</v>
      </c>
      <c r="P56" s="662" t="str">
        <f>IF(OR($F56="na",$F56="no calc"),"na",1*Eqtn!D$451/(Eqtn!D$447*$H56/$F56+Eqtn!D$452*$I56/$G56))</f>
        <v>na</v>
      </c>
      <c r="Q56" s="662" t="str">
        <f>IF(OR($F56="na",$F56="no calc"),"na",1*Eqtn!E$451/(Eqtn!E$447*$H56/$F56+Eqtn!E$452*$I56/$G56))</f>
        <v>na</v>
      </c>
      <c r="R56" s="662" t="str">
        <f>IF(OR($F56="na",$F56="no calc"),"na",1*Eqtn!F$451/(Eqtn!F$447*$H56/$F56+Eqtn!F$452*$I56/$G56))</f>
        <v>na</v>
      </c>
      <c r="S56" s="1418" t="str">
        <f t="shared" si="57"/>
        <v>na</v>
      </c>
      <c r="T56" s="1418" t="str">
        <f t="shared" si="58"/>
        <v>na</v>
      </c>
      <c r="U56" s="1418" t="str">
        <f t="shared" si="59"/>
        <v>na</v>
      </c>
      <c r="V56" s="1405" t="str">
        <f t="shared" si="60"/>
        <v>na</v>
      </c>
      <c r="W56" s="1383" t="str">
        <f t="shared" si="61"/>
        <v>na</v>
      </c>
      <c r="X56" s="1383" t="str">
        <f t="shared" si="62"/>
        <v>na</v>
      </c>
      <c r="Y56" s="1383" t="str">
        <f t="shared" si="63"/>
        <v>na</v>
      </c>
      <c r="Z56" s="1384" t="str">
        <f t="shared" si="64"/>
        <v>na</v>
      </c>
      <c r="AB56" s="1062"/>
    </row>
    <row r="57" spans="1:28" ht="13.9" customHeight="1" x14ac:dyDescent="0.25">
      <c r="A57" s="847">
        <f>Chem!A57</f>
        <v>55</v>
      </c>
      <c r="B57" s="916" t="str">
        <f>Chem!B57</f>
        <v>Benzo(b)fluoranthene</v>
      </c>
      <c r="C57" s="2305" t="str">
        <f>Param!AK57</f>
        <v>no</v>
      </c>
      <c r="D57" s="384" t="str">
        <f>IF(C57="YES",Param!V57,"no calc")</f>
        <v>no calc</v>
      </c>
      <c r="E57" s="552" t="str">
        <f>IF(C57="YES",Param!X57,"no calc")</f>
        <v>no calc</v>
      </c>
      <c r="F57" s="384" t="str">
        <f>IF(C57="YES",Param!O57,"no calc")</f>
        <v>no calc</v>
      </c>
      <c r="G57" s="622" t="str">
        <f>IF(C57="YES",Param!S57,"no calc")</f>
        <v>no calc</v>
      </c>
      <c r="H57" s="622" t="str">
        <f>IF(C57="YES",Param!AD57,"no calc")</f>
        <v>no calc</v>
      </c>
      <c r="I57" s="596" t="str">
        <f>IF(C57="YES",Param!AE57,"no calc")</f>
        <v>no calc</v>
      </c>
      <c r="J57" s="602" t="str">
        <f>IF(OR($D57="na",$D57="no calc"),"na",0.000001*Eqtn!D$419/(Eqtn!D$415*$H57*$D57+Eqtn!D$420*$I57*$E57))</f>
        <v>na</v>
      </c>
      <c r="K57" s="602" t="str">
        <f>IF(OR($D57="na",$D57="no calc"),"na",0.000001*Eqtn!E$419/(Eqtn!E$415*$H57*$D57+Eqtn!E$420*$I57*$E57))</f>
        <v>na</v>
      </c>
      <c r="L57" s="602" t="str">
        <f>IF(OR($D57="na",$D57="no calc"),"na",0.000001*Eqtn!F$419/(Eqtn!F$415*$H57*$D57+Eqtn!F$420*$I57*$E57))</f>
        <v>na</v>
      </c>
      <c r="M57" s="17" t="str">
        <f>IF(OR($D57="na",$D57="no calc"),"na",0.00001*Eqtn!D$419/(Eqtn!D$415*$H57*$D57+Eqtn!D$420*$I57*$E57))</f>
        <v>na</v>
      </c>
      <c r="N57" s="17" t="str">
        <f>IF(OR($D57="na",$D57="no calc"),"na",0.00001*Eqtn!E$419/(Eqtn!E$415*$H57*$D57+Eqtn!E$420*$I57*$E57))</f>
        <v>na</v>
      </c>
      <c r="O57" s="694" t="str">
        <f>IF(OR($D57="na",$D57="no calc"),"na",0.00001*Eqtn!F$419/(Eqtn!F$415*$H57*$D57+Eqtn!F$420*$I57*$E57))</f>
        <v>na</v>
      </c>
      <c r="P57" s="662" t="str">
        <f>IF(OR($F57="na",$F57="no calc"),"na",1*Eqtn!D$451/(Eqtn!D$447*$H57/$F57+Eqtn!D$452*$I57/$G57))</f>
        <v>na</v>
      </c>
      <c r="Q57" s="662" t="str">
        <f>IF(OR($F57="na",$F57="no calc"),"na",1*Eqtn!E$451/(Eqtn!E$447*$H57/$F57+Eqtn!E$452*$I57/$G57))</f>
        <v>na</v>
      </c>
      <c r="R57" s="662" t="str">
        <f>IF(OR($F57="na",$F57="no calc"),"na",1*Eqtn!F$451/(Eqtn!F$447*$H57/$F57+Eqtn!F$452*$I57/$G57))</f>
        <v>na</v>
      </c>
      <c r="S57" s="1418" t="str">
        <f t="shared" si="57"/>
        <v>na</v>
      </c>
      <c r="T57" s="1418" t="str">
        <f t="shared" si="58"/>
        <v>na</v>
      </c>
      <c r="U57" s="1418" t="str">
        <f t="shared" si="59"/>
        <v>na</v>
      </c>
      <c r="V57" s="1405" t="str">
        <f t="shared" si="60"/>
        <v>na</v>
      </c>
      <c r="W57" s="1383" t="str">
        <f t="shared" si="61"/>
        <v>na</v>
      </c>
      <c r="X57" s="1383" t="str">
        <f t="shared" si="62"/>
        <v>na</v>
      </c>
      <c r="Y57" s="1383" t="str">
        <f t="shared" si="63"/>
        <v>na</v>
      </c>
      <c r="Z57" s="1384" t="str">
        <f t="shared" si="64"/>
        <v>na</v>
      </c>
      <c r="AB57" s="1062"/>
    </row>
    <row r="58" spans="1:28" ht="13.9" customHeight="1" x14ac:dyDescent="0.25">
      <c r="A58" s="847">
        <f>Chem!A58</f>
        <v>56</v>
      </c>
      <c r="B58" s="916" t="str">
        <f>Chem!B58</f>
        <v>Benzo(k)fluoranthene</v>
      </c>
      <c r="C58" s="2305" t="str">
        <f>Param!AK58</f>
        <v>no</v>
      </c>
      <c r="D58" s="384" t="str">
        <f>IF(C58="YES",Param!V58,"no calc")</f>
        <v>no calc</v>
      </c>
      <c r="E58" s="552" t="str">
        <f>IF(C58="YES",Param!X58,"no calc")</f>
        <v>no calc</v>
      </c>
      <c r="F58" s="384" t="str">
        <f>IF(C58="YES",Param!O58,"no calc")</f>
        <v>no calc</v>
      </c>
      <c r="G58" s="622" t="str">
        <f>IF(C58="YES",Param!S58,"no calc")</f>
        <v>no calc</v>
      </c>
      <c r="H58" s="622" t="str">
        <f>IF(C58="YES",Param!AD58,"no calc")</f>
        <v>no calc</v>
      </c>
      <c r="I58" s="596" t="str">
        <f>IF(C58="YES",Param!AE58,"no calc")</f>
        <v>no calc</v>
      </c>
      <c r="J58" s="602" t="str">
        <f>IF(OR($D58="na",$D58="no calc"),"na",0.000001*Eqtn!D$419/(Eqtn!D$415*$H58*$D58+Eqtn!D$420*$I58*$E58))</f>
        <v>na</v>
      </c>
      <c r="K58" s="602" t="str">
        <f>IF(OR($D58="na",$D58="no calc"),"na",0.000001*Eqtn!E$419/(Eqtn!E$415*$H58*$D58+Eqtn!E$420*$I58*$E58))</f>
        <v>na</v>
      </c>
      <c r="L58" s="602" t="str">
        <f>IF(OR($D58="na",$D58="no calc"),"na",0.000001*Eqtn!F$419/(Eqtn!F$415*$H58*$D58+Eqtn!F$420*$I58*$E58))</f>
        <v>na</v>
      </c>
      <c r="M58" s="17" t="str">
        <f>IF(OR($D58="na",$D58="no calc"),"na",0.00001*Eqtn!D$419/(Eqtn!D$415*$H58*$D58+Eqtn!D$420*$I58*$E58))</f>
        <v>na</v>
      </c>
      <c r="N58" s="17" t="str">
        <f>IF(OR($D58="na",$D58="no calc"),"na",0.00001*Eqtn!E$419/(Eqtn!E$415*$H58*$D58+Eqtn!E$420*$I58*$E58))</f>
        <v>na</v>
      </c>
      <c r="O58" s="694" t="str">
        <f>IF(OR($D58="na",$D58="no calc"),"na",0.00001*Eqtn!F$419/(Eqtn!F$415*$H58*$D58+Eqtn!F$420*$I58*$E58))</f>
        <v>na</v>
      </c>
      <c r="P58" s="662" t="str">
        <f>IF(OR($F58="na",$F58="no calc"),"na",1*Eqtn!D$451/(Eqtn!D$447*$H58/$F58+Eqtn!D$452*$I58/$G58))</f>
        <v>na</v>
      </c>
      <c r="Q58" s="662" t="str">
        <f>IF(OR($F58="na",$F58="no calc"),"na",1*Eqtn!E$451/(Eqtn!E$447*$H58/$F58+Eqtn!E$452*$I58/$G58))</f>
        <v>na</v>
      </c>
      <c r="R58" s="662" t="str">
        <f>IF(OR($F58="na",$F58="no calc"),"na",1*Eqtn!F$451/(Eqtn!F$447*$H58/$F58+Eqtn!F$452*$I58/$G58))</f>
        <v>na</v>
      </c>
      <c r="S58" s="1418" t="str">
        <f t="shared" si="57"/>
        <v>na</v>
      </c>
      <c r="T58" s="1418" t="str">
        <f t="shared" si="58"/>
        <v>na</v>
      </c>
      <c r="U58" s="1418" t="str">
        <f t="shared" si="59"/>
        <v>na</v>
      </c>
      <c r="V58" s="1405" t="str">
        <f t="shared" si="60"/>
        <v>na</v>
      </c>
      <c r="W58" s="1383" t="str">
        <f t="shared" si="61"/>
        <v>na</v>
      </c>
      <c r="X58" s="1383" t="str">
        <f t="shared" si="62"/>
        <v>na</v>
      </c>
      <c r="Y58" s="1383" t="str">
        <f t="shared" si="63"/>
        <v>na</v>
      </c>
      <c r="Z58" s="1384" t="str">
        <f t="shared" si="64"/>
        <v>na</v>
      </c>
      <c r="AB58" s="1062"/>
    </row>
    <row r="59" spans="1:28" ht="13.9" customHeight="1" x14ac:dyDescent="0.25">
      <c r="A59" s="847">
        <f>Chem!A59</f>
        <v>57</v>
      </c>
      <c r="B59" s="916" t="str">
        <f>Chem!B59</f>
        <v>Total benzofluoranthenes</v>
      </c>
      <c r="C59" s="2305" t="str">
        <f>Param!AK59</f>
        <v>no</v>
      </c>
      <c r="D59" s="384" t="str">
        <f>IF(C59="YES",Param!V59,"no calc")</f>
        <v>no calc</v>
      </c>
      <c r="E59" s="552" t="str">
        <f>IF(C59="YES",Param!X59,"no calc")</f>
        <v>no calc</v>
      </c>
      <c r="F59" s="384" t="str">
        <f>IF(C59="YES",Param!O59,"no calc")</f>
        <v>no calc</v>
      </c>
      <c r="G59" s="622" t="str">
        <f>IF(C59="YES",Param!S59,"no calc")</f>
        <v>no calc</v>
      </c>
      <c r="H59" s="622" t="str">
        <f>IF(C59="YES",Param!AD59,"no calc")</f>
        <v>no calc</v>
      </c>
      <c r="I59" s="596" t="str">
        <f>IF(C59="YES",Param!AE59,"no calc")</f>
        <v>no calc</v>
      </c>
      <c r="J59" s="602" t="str">
        <f>IF(OR($D59="na",$D59="no calc"),"na",0.000001*Eqtn!D$419/(Eqtn!D$415*$H59*$D59+Eqtn!D$420*$I59*$E59))</f>
        <v>na</v>
      </c>
      <c r="K59" s="602" t="str">
        <f>IF(OR($D59="na",$D59="no calc"),"na",0.000001*Eqtn!E$419/(Eqtn!E$415*$H59*$D59+Eqtn!E$420*$I59*$E59))</f>
        <v>na</v>
      </c>
      <c r="L59" s="602" t="str">
        <f>IF(OR($D59="na",$D59="no calc"),"na",0.000001*Eqtn!F$419/(Eqtn!F$415*$H59*$D59+Eqtn!F$420*$I59*$E59))</f>
        <v>na</v>
      </c>
      <c r="M59" s="17" t="str">
        <f>IF(OR($D59="na",$D59="no calc"),"na",0.00001*Eqtn!D$419/(Eqtn!D$415*$H59*$D59+Eqtn!D$420*$I59*$E59))</f>
        <v>na</v>
      </c>
      <c r="N59" s="17" t="str">
        <f>IF(OR($D59="na",$D59="no calc"),"na",0.00001*Eqtn!E$419/(Eqtn!E$415*$H59*$D59+Eqtn!E$420*$I59*$E59))</f>
        <v>na</v>
      </c>
      <c r="O59" s="694" t="str">
        <f>IF(OR($D59="na",$D59="no calc"),"na",0.00001*Eqtn!F$419/(Eqtn!F$415*$H59*$D59+Eqtn!F$420*$I59*$E59))</f>
        <v>na</v>
      </c>
      <c r="P59" s="662" t="str">
        <f>IF(OR($F59="na",$F59="no calc"),"na",1*Eqtn!D$451/(Eqtn!D$447*$H59/$F59+Eqtn!D$452*$I59/$G59))</f>
        <v>na</v>
      </c>
      <c r="Q59" s="662" t="str">
        <f>IF(OR($F59="na",$F59="no calc"),"na",1*Eqtn!E$451/(Eqtn!E$447*$H59/$F59+Eqtn!E$452*$I59/$G59))</f>
        <v>na</v>
      </c>
      <c r="R59" s="662" t="str">
        <f>IF(OR($F59="na",$F59="no calc"),"na",1*Eqtn!F$451/(Eqtn!F$447*$H59/$F59+Eqtn!F$452*$I59/$G59))</f>
        <v>na</v>
      </c>
      <c r="S59" s="1418" t="str">
        <f t="shared" si="57"/>
        <v>na</v>
      </c>
      <c r="T59" s="1418" t="str">
        <f t="shared" si="58"/>
        <v>na</v>
      </c>
      <c r="U59" s="1418" t="str">
        <f t="shared" si="59"/>
        <v>na</v>
      </c>
      <c r="V59" s="1405" t="str">
        <f t="shared" si="60"/>
        <v>na</v>
      </c>
      <c r="W59" s="1383" t="str">
        <f t="shared" si="61"/>
        <v>na</v>
      </c>
      <c r="X59" s="1383" t="str">
        <f t="shared" si="62"/>
        <v>na</v>
      </c>
      <c r="Y59" s="1383" t="str">
        <f t="shared" si="63"/>
        <v>na</v>
      </c>
      <c r="Z59" s="1384" t="str">
        <f t="shared" si="64"/>
        <v>na</v>
      </c>
      <c r="AB59" s="1062"/>
    </row>
    <row r="60" spans="1:28" ht="13.9" customHeight="1" x14ac:dyDescent="0.25">
      <c r="A60" s="847">
        <f>Chem!A60</f>
        <v>58</v>
      </c>
      <c r="B60" s="916" t="str">
        <f>Chem!B60</f>
        <v>Benzo(g,h,i)perylene</v>
      </c>
      <c r="C60" s="2305" t="str">
        <f>Param!AK60</f>
        <v>no</v>
      </c>
      <c r="D60" s="384" t="str">
        <f>IF(C60="YES",Param!V60,"no calc")</f>
        <v>no calc</v>
      </c>
      <c r="E60" s="552" t="str">
        <f>IF(C60="YES",Param!X60,"no calc")</f>
        <v>no calc</v>
      </c>
      <c r="F60" s="384" t="str">
        <f>IF(C60="YES",Param!O60,"no calc")</f>
        <v>no calc</v>
      </c>
      <c r="G60" s="622" t="str">
        <f>IF(C60="YES",Param!S60,"no calc")</f>
        <v>no calc</v>
      </c>
      <c r="H60" s="622" t="str">
        <f>IF(C60="YES",Param!AD60,"no calc")</f>
        <v>no calc</v>
      </c>
      <c r="I60" s="596" t="str">
        <f>IF(C60="YES",Param!AE60,"no calc")</f>
        <v>no calc</v>
      </c>
      <c r="J60" s="602" t="str">
        <f>IF(OR($D60="na",$D60="no calc"),"na",0.000001*Eqtn!D$419/(Eqtn!D$415*$H60*$D60+Eqtn!D$420*$I60*$E60))</f>
        <v>na</v>
      </c>
      <c r="K60" s="602" t="str">
        <f>IF(OR($D60="na",$D60="no calc"),"na",0.000001*Eqtn!E$419/(Eqtn!E$415*$H60*$D60+Eqtn!E$420*$I60*$E60))</f>
        <v>na</v>
      </c>
      <c r="L60" s="602" t="str">
        <f>IF(OR($D60="na",$D60="no calc"),"na",0.000001*Eqtn!F$419/(Eqtn!F$415*$H60*$D60+Eqtn!F$420*$I60*$E60))</f>
        <v>na</v>
      </c>
      <c r="M60" s="17" t="str">
        <f>IF(OR($D60="na",$D60="no calc"),"na",0.00001*Eqtn!D$419/(Eqtn!D$415*$H60*$D60+Eqtn!D$420*$I60*$E60))</f>
        <v>na</v>
      </c>
      <c r="N60" s="17" t="str">
        <f>IF(OR($D60="na",$D60="no calc"),"na",0.00001*Eqtn!E$419/(Eqtn!E$415*$H60*$D60+Eqtn!E$420*$I60*$E60))</f>
        <v>na</v>
      </c>
      <c r="O60" s="694" t="str">
        <f>IF(OR($D60="na",$D60="no calc"),"na",0.00001*Eqtn!F$419/(Eqtn!F$415*$H60*$D60+Eqtn!F$420*$I60*$E60))</f>
        <v>na</v>
      </c>
      <c r="P60" s="662" t="str">
        <f>IF(OR($F60="na",$F60="no calc"),"na",1*Eqtn!D$451/(Eqtn!D$447*$H60/$F60+Eqtn!D$452*$I60/$G60))</f>
        <v>na</v>
      </c>
      <c r="Q60" s="662" t="str">
        <f>IF(OR($F60="na",$F60="no calc"),"na",1*Eqtn!E$451/(Eqtn!E$447*$H60/$F60+Eqtn!E$452*$I60/$G60))</f>
        <v>na</v>
      </c>
      <c r="R60" s="662" t="str">
        <f>IF(OR($F60="na",$F60="no calc"),"na",1*Eqtn!F$451/(Eqtn!F$447*$H60/$F60+Eqtn!F$452*$I60/$G60))</f>
        <v>na</v>
      </c>
      <c r="S60" s="1418" t="str">
        <f t="shared" si="57"/>
        <v>na</v>
      </c>
      <c r="T60" s="1418" t="str">
        <f t="shared" si="58"/>
        <v>na</v>
      </c>
      <c r="U60" s="1418" t="str">
        <f t="shared" si="59"/>
        <v>na</v>
      </c>
      <c r="V60" s="1405" t="str">
        <f t="shared" si="60"/>
        <v>na</v>
      </c>
      <c r="W60" s="1383" t="str">
        <f t="shared" si="61"/>
        <v>na</v>
      </c>
      <c r="X60" s="1383" t="str">
        <f t="shared" si="62"/>
        <v>na</v>
      </c>
      <c r="Y60" s="1383" t="str">
        <f t="shared" si="63"/>
        <v>na</v>
      </c>
      <c r="Z60" s="1384" t="str">
        <f t="shared" si="64"/>
        <v>na</v>
      </c>
      <c r="AB60" s="1062"/>
    </row>
    <row r="61" spans="1:28" ht="13.9" customHeight="1" x14ac:dyDescent="0.25">
      <c r="A61" s="847">
        <f>Chem!A61</f>
        <v>59</v>
      </c>
      <c r="B61" s="916" t="str">
        <f>Chem!B61</f>
        <v>Benzo(a)pyrene</v>
      </c>
      <c r="C61" s="2305" t="str">
        <f>Param!AK61</f>
        <v>no</v>
      </c>
      <c r="D61" s="384" t="str">
        <f>IF(C61="YES",Param!V61,"no calc")</f>
        <v>no calc</v>
      </c>
      <c r="E61" s="552" t="str">
        <f>IF(C61="YES",Param!X61,"no calc")</f>
        <v>no calc</v>
      </c>
      <c r="F61" s="384" t="str">
        <f>IF(C61="YES",Param!O61,"no calc")</f>
        <v>no calc</v>
      </c>
      <c r="G61" s="622" t="str">
        <f>IF(C61="YES",Param!S61,"no calc")</f>
        <v>no calc</v>
      </c>
      <c r="H61" s="622" t="str">
        <f>IF(C61="YES",Param!AD61,"no calc")</f>
        <v>no calc</v>
      </c>
      <c r="I61" s="596" t="str">
        <f>IF(C61="YES",Param!AE61,"no calc")</f>
        <v>no calc</v>
      </c>
      <c r="J61" s="602" t="str">
        <f>IF(OR($D61="na",$D61="no calc"),"na",0.000001*Eqtn!D$419/(Eqtn!D$415*$H61*$D61+Eqtn!D$420*$I61*$E61))</f>
        <v>na</v>
      </c>
      <c r="K61" s="602" t="str">
        <f>IF(OR($D61="na",$D61="no calc"),"na",0.000001*Eqtn!E$419/(Eqtn!E$415*$H61*$D61+Eqtn!E$420*$I61*$E61))</f>
        <v>na</v>
      </c>
      <c r="L61" s="602" t="str">
        <f>IF(OR($D61="na",$D61="no calc"),"na",0.000001*Eqtn!F$419/(Eqtn!F$415*$H61*$D61+Eqtn!F$420*$I61*$E61))</f>
        <v>na</v>
      </c>
      <c r="M61" s="17" t="str">
        <f>IF(OR($D61="na",$D61="no calc"),"na",0.00001*Eqtn!D$419/(Eqtn!D$415*$H61*$D61+Eqtn!D$420*$I61*$E61))</f>
        <v>na</v>
      </c>
      <c r="N61" s="17" t="str">
        <f>IF(OR($D61="na",$D61="no calc"),"na",0.00001*Eqtn!E$419/(Eqtn!E$415*$H61*$D61+Eqtn!E$420*$I61*$E61))</f>
        <v>na</v>
      </c>
      <c r="O61" s="694" t="str">
        <f>IF(OR($D61="na",$D61="no calc"),"na",0.00001*Eqtn!F$419/(Eqtn!F$415*$H61*$D61+Eqtn!F$420*$I61*$E61))</f>
        <v>na</v>
      </c>
      <c r="P61" s="662" t="str">
        <f>IF(OR($F61="na",$F61="no calc"),"na",1*Eqtn!D$451/(Eqtn!D$447*$H61/$F61+Eqtn!D$452*$I61/$G61))</f>
        <v>na</v>
      </c>
      <c r="Q61" s="662" t="str">
        <f>IF(OR($F61="na",$F61="no calc"),"na",1*Eqtn!E$451/(Eqtn!E$447*$H61/$F61+Eqtn!E$452*$I61/$G61))</f>
        <v>na</v>
      </c>
      <c r="R61" s="662" t="str">
        <f>IF(OR($F61="na",$F61="no calc"),"na",1*Eqtn!F$451/(Eqtn!F$447*$H61/$F61+Eqtn!F$452*$I61/$G61))</f>
        <v>na</v>
      </c>
      <c r="S61" s="1418" t="str">
        <f t="shared" si="57"/>
        <v>na</v>
      </c>
      <c r="T61" s="1418" t="str">
        <f t="shared" si="58"/>
        <v>na</v>
      </c>
      <c r="U61" s="1418" t="str">
        <f t="shared" si="59"/>
        <v>na</v>
      </c>
      <c r="V61" s="1405" t="str">
        <f t="shared" si="60"/>
        <v>na</v>
      </c>
      <c r="W61" s="1383" t="str">
        <f t="shared" si="61"/>
        <v>na</v>
      </c>
      <c r="X61" s="1383" t="str">
        <f t="shared" si="62"/>
        <v>na</v>
      </c>
      <c r="Y61" s="1383" t="str">
        <f t="shared" si="63"/>
        <v>na</v>
      </c>
      <c r="Z61" s="1384" t="str">
        <f t="shared" si="64"/>
        <v>na</v>
      </c>
      <c r="AB61" s="1062"/>
    </row>
    <row r="62" spans="1:28" ht="13.9" customHeight="1" x14ac:dyDescent="0.25">
      <c r="A62" s="847">
        <f>Chem!A62</f>
        <v>60</v>
      </c>
      <c r="B62" s="916" t="str">
        <f>Chem!B62</f>
        <v>Chrysene</v>
      </c>
      <c r="C62" s="2305" t="str">
        <f>Param!AK62</f>
        <v>no</v>
      </c>
      <c r="D62" s="384" t="str">
        <f>IF(C62="YES",Param!V62,"no calc")</f>
        <v>no calc</v>
      </c>
      <c r="E62" s="552" t="str">
        <f>IF(C62="YES",Param!X62,"no calc")</f>
        <v>no calc</v>
      </c>
      <c r="F62" s="384" t="str">
        <f>IF(C62="YES",Param!O62,"no calc")</f>
        <v>no calc</v>
      </c>
      <c r="G62" s="622" t="str">
        <f>IF(C62="YES",Param!S62,"no calc")</f>
        <v>no calc</v>
      </c>
      <c r="H62" s="622" t="str">
        <f>IF(C62="YES",Param!AD62,"no calc")</f>
        <v>no calc</v>
      </c>
      <c r="I62" s="596" t="str">
        <f>IF(C62="YES",Param!AE62,"no calc")</f>
        <v>no calc</v>
      </c>
      <c r="J62" s="602" t="str">
        <f>IF(OR($D62="na",$D62="no calc"),"na",0.000001*Eqtn!D$419/(Eqtn!D$415*$H62*$D62+Eqtn!D$420*$I62*$E62))</f>
        <v>na</v>
      </c>
      <c r="K62" s="602" t="str">
        <f>IF(OR($D62="na",$D62="no calc"),"na",0.000001*Eqtn!E$419/(Eqtn!E$415*$H62*$D62+Eqtn!E$420*$I62*$E62))</f>
        <v>na</v>
      </c>
      <c r="L62" s="602" t="str">
        <f>IF(OR($D62="na",$D62="no calc"),"na",0.000001*Eqtn!F$419/(Eqtn!F$415*$H62*$D62+Eqtn!F$420*$I62*$E62))</f>
        <v>na</v>
      </c>
      <c r="M62" s="17" t="str">
        <f>IF(OR($D62="na",$D62="no calc"),"na",0.00001*Eqtn!D$419/(Eqtn!D$415*$H62*$D62+Eqtn!D$420*$I62*$E62))</f>
        <v>na</v>
      </c>
      <c r="N62" s="17" t="str">
        <f>IF(OR($D62="na",$D62="no calc"),"na",0.00001*Eqtn!E$419/(Eqtn!E$415*$H62*$D62+Eqtn!E$420*$I62*$E62))</f>
        <v>na</v>
      </c>
      <c r="O62" s="694" t="str">
        <f>IF(OR($D62="na",$D62="no calc"),"na",0.00001*Eqtn!F$419/(Eqtn!F$415*$H62*$D62+Eqtn!F$420*$I62*$E62))</f>
        <v>na</v>
      </c>
      <c r="P62" s="662" t="str">
        <f>IF(OR($F62="na",$F62="no calc"),"na",1*Eqtn!D$451/(Eqtn!D$447*$H62/$F62+Eqtn!D$452*$I62/$G62))</f>
        <v>na</v>
      </c>
      <c r="Q62" s="662" t="str">
        <f>IF(OR($F62="na",$F62="no calc"),"na",1*Eqtn!E$451/(Eqtn!E$447*$H62/$F62+Eqtn!E$452*$I62/$G62))</f>
        <v>na</v>
      </c>
      <c r="R62" s="662" t="str">
        <f>IF(OR($F62="na",$F62="no calc"),"na",1*Eqtn!F$451/(Eqtn!F$447*$H62/$F62+Eqtn!F$452*$I62/$G62))</f>
        <v>na</v>
      </c>
      <c r="S62" s="1418" t="str">
        <f t="shared" si="57"/>
        <v>na</v>
      </c>
      <c r="T62" s="1418" t="str">
        <f t="shared" si="58"/>
        <v>na</v>
      </c>
      <c r="U62" s="1418" t="str">
        <f t="shared" si="59"/>
        <v>na</v>
      </c>
      <c r="V62" s="1405" t="str">
        <f t="shared" si="60"/>
        <v>na</v>
      </c>
      <c r="W62" s="1383" t="str">
        <f t="shared" si="61"/>
        <v>na</v>
      </c>
      <c r="X62" s="1383" t="str">
        <f t="shared" si="62"/>
        <v>na</v>
      </c>
      <c r="Y62" s="1383" t="str">
        <f t="shared" si="63"/>
        <v>na</v>
      </c>
      <c r="Z62" s="1384" t="str">
        <f t="shared" si="64"/>
        <v>na</v>
      </c>
      <c r="AB62" s="1062"/>
    </row>
    <row r="63" spans="1:28" ht="13.9" customHeight="1" x14ac:dyDescent="0.25">
      <c r="A63" s="847">
        <f>Chem!A63</f>
        <v>61</v>
      </c>
      <c r="B63" s="916" t="str">
        <f>Chem!B63</f>
        <v>Dibenz(a,h)anthracene</v>
      </c>
      <c r="C63" s="2305" t="str">
        <f>Param!AK63</f>
        <v>no</v>
      </c>
      <c r="D63" s="384" t="str">
        <f>IF(C63="YES",Param!V63,"no calc")</f>
        <v>no calc</v>
      </c>
      <c r="E63" s="552" t="str">
        <f>IF(C63="YES",Param!X63,"no calc")</f>
        <v>no calc</v>
      </c>
      <c r="F63" s="384" t="str">
        <f>IF(C63="YES",Param!O63,"no calc")</f>
        <v>no calc</v>
      </c>
      <c r="G63" s="622" t="str">
        <f>IF(C63="YES",Param!S63,"no calc")</f>
        <v>no calc</v>
      </c>
      <c r="H63" s="622" t="str">
        <f>IF(C63="YES",Param!AD63,"no calc")</f>
        <v>no calc</v>
      </c>
      <c r="I63" s="596" t="str">
        <f>IF(C63="YES",Param!AE63,"no calc")</f>
        <v>no calc</v>
      </c>
      <c r="J63" s="602" t="str">
        <f>IF(OR($D63="na",$D63="no calc"),"na",0.000001*Eqtn!D$419/(Eqtn!D$415*$H63*$D63+Eqtn!D$420*$I63*$E63))</f>
        <v>na</v>
      </c>
      <c r="K63" s="602" t="str">
        <f>IF(OR($D63="na",$D63="no calc"),"na",0.000001*Eqtn!E$419/(Eqtn!E$415*$H63*$D63+Eqtn!E$420*$I63*$E63))</f>
        <v>na</v>
      </c>
      <c r="L63" s="602" t="str">
        <f>IF(OR($D63="na",$D63="no calc"),"na",0.000001*Eqtn!F$419/(Eqtn!F$415*$H63*$D63+Eqtn!F$420*$I63*$E63))</f>
        <v>na</v>
      </c>
      <c r="M63" s="17" t="str">
        <f>IF(OR($D63="na",$D63="no calc"),"na",0.00001*Eqtn!D$419/(Eqtn!D$415*$H63*$D63+Eqtn!D$420*$I63*$E63))</f>
        <v>na</v>
      </c>
      <c r="N63" s="17" t="str">
        <f>IF(OR($D63="na",$D63="no calc"),"na",0.00001*Eqtn!E$419/(Eqtn!E$415*$H63*$D63+Eqtn!E$420*$I63*$E63))</f>
        <v>na</v>
      </c>
      <c r="O63" s="694" t="str">
        <f>IF(OR($D63="na",$D63="no calc"),"na",0.00001*Eqtn!F$419/(Eqtn!F$415*$H63*$D63+Eqtn!F$420*$I63*$E63))</f>
        <v>na</v>
      </c>
      <c r="P63" s="662" t="str">
        <f>IF(OR($F63="na",$F63="no calc"),"na",1*Eqtn!D$451/(Eqtn!D$447*$H63/$F63+Eqtn!D$452*$I63/$G63))</f>
        <v>na</v>
      </c>
      <c r="Q63" s="662" t="str">
        <f>IF(OR($F63="na",$F63="no calc"),"na",1*Eqtn!E$451/(Eqtn!E$447*$H63/$F63+Eqtn!E$452*$I63/$G63))</f>
        <v>na</v>
      </c>
      <c r="R63" s="662" t="str">
        <f>IF(OR($F63="na",$F63="no calc"),"na",1*Eqtn!F$451/(Eqtn!F$447*$H63/$F63+Eqtn!F$452*$I63/$G63))</f>
        <v>na</v>
      </c>
      <c r="S63" s="1418" t="str">
        <f t="shared" si="57"/>
        <v>na</v>
      </c>
      <c r="T63" s="1418" t="str">
        <f t="shared" si="58"/>
        <v>na</v>
      </c>
      <c r="U63" s="1418" t="str">
        <f t="shared" si="59"/>
        <v>na</v>
      </c>
      <c r="V63" s="1405" t="str">
        <f t="shared" si="60"/>
        <v>na</v>
      </c>
      <c r="W63" s="1383" t="str">
        <f t="shared" si="61"/>
        <v>na</v>
      </c>
      <c r="X63" s="1383" t="str">
        <f t="shared" si="62"/>
        <v>na</v>
      </c>
      <c r="Y63" s="1383" t="str">
        <f t="shared" si="63"/>
        <v>na</v>
      </c>
      <c r="Z63" s="1384" t="str">
        <f t="shared" si="64"/>
        <v>na</v>
      </c>
      <c r="AB63" s="1062"/>
    </row>
    <row r="64" spans="1:28" ht="13.9" customHeight="1" x14ac:dyDescent="0.25">
      <c r="A64" s="847">
        <f>Chem!A64</f>
        <v>62</v>
      </c>
      <c r="B64" s="916" t="str">
        <f>Chem!B64</f>
        <v>Dibenzofuran</v>
      </c>
      <c r="C64" s="2305" t="str">
        <f>Param!AK64</f>
        <v>no</v>
      </c>
      <c r="D64" s="384" t="str">
        <f>IF(C64="YES",Param!V64,"no calc")</f>
        <v>no calc</v>
      </c>
      <c r="E64" s="552" t="str">
        <f>IF(C64="YES",Param!X64,"no calc")</f>
        <v>no calc</v>
      </c>
      <c r="F64" s="384" t="str">
        <f>IF(C64="YES",Param!O64,"no calc")</f>
        <v>no calc</v>
      </c>
      <c r="G64" s="622" t="str">
        <f>IF(C64="YES",Param!S64,"no calc")</f>
        <v>no calc</v>
      </c>
      <c r="H64" s="622" t="str">
        <f>IF(C64="YES",Param!AD64,"no calc")</f>
        <v>no calc</v>
      </c>
      <c r="I64" s="596" t="str">
        <f>IF(C64="YES",Param!AE64,"no calc")</f>
        <v>no calc</v>
      </c>
      <c r="J64" s="602" t="str">
        <f>IF(OR($D64="na",$D64="no calc"),"na",0.000001*Eqtn!D$419/(Eqtn!D$415*$H64*$D64+Eqtn!D$420*$I64*$E64))</f>
        <v>na</v>
      </c>
      <c r="K64" s="602" t="str">
        <f>IF(OR($D64="na",$D64="no calc"),"na",0.000001*Eqtn!E$419/(Eqtn!E$415*$H64*$D64+Eqtn!E$420*$I64*$E64))</f>
        <v>na</v>
      </c>
      <c r="L64" s="602" t="str">
        <f>IF(OR($D64="na",$D64="no calc"),"na",0.000001*Eqtn!F$419/(Eqtn!F$415*$H64*$D64+Eqtn!F$420*$I64*$E64))</f>
        <v>na</v>
      </c>
      <c r="M64" s="17" t="str">
        <f>IF(OR($D64="na",$D64="no calc"),"na",0.00001*Eqtn!D$419/(Eqtn!D$415*$H64*$D64+Eqtn!D$420*$I64*$E64))</f>
        <v>na</v>
      </c>
      <c r="N64" s="17" t="str">
        <f>IF(OR($D64="na",$D64="no calc"),"na",0.00001*Eqtn!E$419/(Eqtn!E$415*$H64*$D64+Eqtn!E$420*$I64*$E64))</f>
        <v>na</v>
      </c>
      <c r="O64" s="694" t="str">
        <f>IF(OR($D64="na",$D64="no calc"),"na",0.00001*Eqtn!F$419/(Eqtn!F$415*$H64*$D64+Eqtn!F$420*$I64*$E64))</f>
        <v>na</v>
      </c>
      <c r="P64" s="662" t="str">
        <f>IF(OR($F64="na",$F64="no calc"),"na",1*Eqtn!D$451/(Eqtn!D$447*$H64/$F64+Eqtn!D$452*$I64/$G64))</f>
        <v>na</v>
      </c>
      <c r="Q64" s="662" t="str">
        <f>IF(OR($F64="na",$F64="no calc"),"na",1*Eqtn!E$451/(Eqtn!E$447*$H64/$F64+Eqtn!E$452*$I64/$G64))</f>
        <v>na</v>
      </c>
      <c r="R64" s="662" t="str">
        <f>IF(OR($F64="na",$F64="no calc"),"na",1*Eqtn!F$451/(Eqtn!F$447*$H64/$F64+Eqtn!F$452*$I64/$G64))</f>
        <v>na</v>
      </c>
      <c r="S64" s="1418" t="str">
        <f t="shared" si="57"/>
        <v>na</v>
      </c>
      <c r="T64" s="1418" t="str">
        <f t="shared" si="58"/>
        <v>na</v>
      </c>
      <c r="U64" s="1418" t="str">
        <f t="shared" si="59"/>
        <v>na</v>
      </c>
      <c r="V64" s="1405" t="str">
        <f t="shared" si="60"/>
        <v>na</v>
      </c>
      <c r="W64" s="1383" t="str">
        <f t="shared" si="61"/>
        <v>na</v>
      </c>
      <c r="X64" s="1383" t="str">
        <f t="shared" si="62"/>
        <v>na</v>
      </c>
      <c r="Y64" s="1383" t="str">
        <f t="shared" si="63"/>
        <v>na</v>
      </c>
      <c r="Z64" s="1384" t="str">
        <f t="shared" si="64"/>
        <v>na</v>
      </c>
      <c r="AB64" s="1062"/>
    </row>
    <row r="65" spans="1:28" ht="13.9" customHeight="1" x14ac:dyDescent="0.25">
      <c r="A65" s="847">
        <f>Chem!A65</f>
        <v>63</v>
      </c>
      <c r="B65" s="916" t="str">
        <f>Chem!B65</f>
        <v>Fluoranthene</v>
      </c>
      <c r="C65" s="2305" t="str">
        <f>Param!AK65</f>
        <v>no</v>
      </c>
      <c r="D65" s="384" t="str">
        <f>IF(C65="YES",Param!V65,"no calc")</f>
        <v>no calc</v>
      </c>
      <c r="E65" s="552" t="str">
        <f>IF(C65="YES",Param!X65,"no calc")</f>
        <v>no calc</v>
      </c>
      <c r="F65" s="384" t="str">
        <f>IF(C65="YES",Param!O65,"no calc")</f>
        <v>no calc</v>
      </c>
      <c r="G65" s="622" t="str">
        <f>IF(C65="YES",Param!S65,"no calc")</f>
        <v>no calc</v>
      </c>
      <c r="H65" s="622" t="str">
        <f>IF(C65="YES",Param!AD65,"no calc")</f>
        <v>no calc</v>
      </c>
      <c r="I65" s="596" t="str">
        <f>IF(C65="YES",Param!AE65,"no calc")</f>
        <v>no calc</v>
      </c>
      <c r="J65" s="602" t="str">
        <f>IF(OR($D65="na",$D65="no calc"),"na",0.000001*Eqtn!D$419/(Eqtn!D$415*$H65*$D65+Eqtn!D$420*$I65*$E65))</f>
        <v>na</v>
      </c>
      <c r="K65" s="602" t="str">
        <f>IF(OR($D65="na",$D65="no calc"),"na",0.000001*Eqtn!E$419/(Eqtn!E$415*$H65*$D65+Eqtn!E$420*$I65*$E65))</f>
        <v>na</v>
      </c>
      <c r="L65" s="602" t="str">
        <f>IF(OR($D65="na",$D65="no calc"),"na",0.000001*Eqtn!F$419/(Eqtn!F$415*$H65*$D65+Eqtn!F$420*$I65*$E65))</f>
        <v>na</v>
      </c>
      <c r="M65" s="17" t="str">
        <f>IF(OR($D65="na",$D65="no calc"),"na",0.00001*Eqtn!D$419/(Eqtn!D$415*$H65*$D65+Eqtn!D$420*$I65*$E65))</f>
        <v>na</v>
      </c>
      <c r="N65" s="17" t="str">
        <f>IF(OR($D65="na",$D65="no calc"),"na",0.00001*Eqtn!E$419/(Eqtn!E$415*$H65*$D65+Eqtn!E$420*$I65*$E65))</f>
        <v>na</v>
      </c>
      <c r="O65" s="694" t="str">
        <f>IF(OR($D65="na",$D65="no calc"),"na",0.00001*Eqtn!F$419/(Eqtn!F$415*$H65*$D65+Eqtn!F$420*$I65*$E65))</f>
        <v>na</v>
      </c>
      <c r="P65" s="662" t="str">
        <f>IF(OR($F65="na",$F65="no calc"),"na",1*Eqtn!D$451/(Eqtn!D$447*$H65/$F65+Eqtn!D$452*$I65/$G65))</f>
        <v>na</v>
      </c>
      <c r="Q65" s="662" t="str">
        <f>IF(OR($F65="na",$F65="no calc"),"na",1*Eqtn!E$451/(Eqtn!E$447*$H65/$F65+Eqtn!E$452*$I65/$G65))</f>
        <v>na</v>
      </c>
      <c r="R65" s="662" t="str">
        <f>IF(OR($F65="na",$F65="no calc"),"na",1*Eqtn!F$451/(Eqtn!F$447*$H65/$F65+Eqtn!F$452*$I65/$G65))</f>
        <v>na</v>
      </c>
      <c r="S65" s="1418" t="str">
        <f t="shared" si="57"/>
        <v>na</v>
      </c>
      <c r="T65" s="1418" t="str">
        <f t="shared" si="58"/>
        <v>na</v>
      </c>
      <c r="U65" s="1418" t="str">
        <f t="shared" si="59"/>
        <v>na</v>
      </c>
      <c r="V65" s="1405" t="str">
        <f t="shared" si="60"/>
        <v>na</v>
      </c>
      <c r="W65" s="1383" t="str">
        <f t="shared" si="61"/>
        <v>na</v>
      </c>
      <c r="X65" s="1383" t="str">
        <f t="shared" si="62"/>
        <v>na</v>
      </c>
      <c r="Y65" s="1383" t="str">
        <f t="shared" si="63"/>
        <v>na</v>
      </c>
      <c r="Z65" s="1384" t="str">
        <f t="shared" si="64"/>
        <v>na</v>
      </c>
      <c r="AB65" s="1062"/>
    </row>
    <row r="66" spans="1:28" ht="13.9" customHeight="1" x14ac:dyDescent="0.25">
      <c r="A66" s="847">
        <f>Chem!A66</f>
        <v>64</v>
      </c>
      <c r="B66" s="916" t="str">
        <f>Chem!B66</f>
        <v>Fluorene</v>
      </c>
      <c r="C66" s="2305" t="str">
        <f>Param!AK66</f>
        <v>no</v>
      </c>
      <c r="D66" s="384" t="str">
        <f>IF(C66="YES",Param!V66,"no calc")</f>
        <v>no calc</v>
      </c>
      <c r="E66" s="552" t="str">
        <f>IF(C66="YES",Param!X66,"no calc")</f>
        <v>no calc</v>
      </c>
      <c r="F66" s="384" t="str">
        <f>IF(C66="YES",Param!O66,"no calc")</f>
        <v>no calc</v>
      </c>
      <c r="G66" s="622" t="str">
        <f>IF(C66="YES",Param!S66,"no calc")</f>
        <v>no calc</v>
      </c>
      <c r="H66" s="622" t="str">
        <f>IF(C66="YES",Param!AD66,"no calc")</f>
        <v>no calc</v>
      </c>
      <c r="I66" s="596" t="str">
        <f>IF(C66="YES",Param!AE66,"no calc")</f>
        <v>no calc</v>
      </c>
      <c r="J66" s="602" t="str">
        <f>IF(OR($D66="na",$D66="no calc"),"na",0.000001*Eqtn!D$419/(Eqtn!D$415*$H66*$D66+Eqtn!D$420*$I66*$E66))</f>
        <v>na</v>
      </c>
      <c r="K66" s="602" t="str">
        <f>IF(OR($D66="na",$D66="no calc"),"na",0.000001*Eqtn!E$419/(Eqtn!E$415*$H66*$D66+Eqtn!E$420*$I66*$E66))</f>
        <v>na</v>
      </c>
      <c r="L66" s="602" t="str">
        <f>IF(OR($D66="na",$D66="no calc"),"na",0.000001*Eqtn!F$419/(Eqtn!F$415*$H66*$D66+Eqtn!F$420*$I66*$E66))</f>
        <v>na</v>
      </c>
      <c r="M66" s="17" t="str">
        <f>IF(OR($D66="na",$D66="no calc"),"na",0.00001*Eqtn!D$419/(Eqtn!D$415*$H66*$D66+Eqtn!D$420*$I66*$E66))</f>
        <v>na</v>
      </c>
      <c r="N66" s="17" t="str">
        <f>IF(OR($D66="na",$D66="no calc"),"na",0.00001*Eqtn!E$419/(Eqtn!E$415*$H66*$D66+Eqtn!E$420*$I66*$E66))</f>
        <v>na</v>
      </c>
      <c r="O66" s="694" t="str">
        <f>IF(OR($D66="na",$D66="no calc"),"na",0.00001*Eqtn!F$419/(Eqtn!F$415*$H66*$D66+Eqtn!F$420*$I66*$E66))</f>
        <v>na</v>
      </c>
      <c r="P66" s="662" t="str">
        <f>IF(OR($F66="na",$F66="no calc"),"na",1*Eqtn!D$451/(Eqtn!D$447*$H66/$F66+Eqtn!D$452*$I66/$G66))</f>
        <v>na</v>
      </c>
      <c r="Q66" s="662" t="str">
        <f>IF(OR($F66="na",$F66="no calc"),"na",1*Eqtn!E$451/(Eqtn!E$447*$H66/$F66+Eqtn!E$452*$I66/$G66))</f>
        <v>na</v>
      </c>
      <c r="R66" s="662" t="str">
        <f>IF(OR($F66="na",$F66="no calc"),"na",1*Eqtn!F$451/(Eqtn!F$447*$H66/$F66+Eqtn!F$452*$I66/$G66))</f>
        <v>na</v>
      </c>
      <c r="S66" s="1418" t="str">
        <f t="shared" si="57"/>
        <v>na</v>
      </c>
      <c r="T66" s="1418" t="str">
        <f t="shared" si="58"/>
        <v>na</v>
      </c>
      <c r="U66" s="1418" t="str">
        <f t="shared" si="59"/>
        <v>na</v>
      </c>
      <c r="V66" s="1405" t="str">
        <f t="shared" si="60"/>
        <v>na</v>
      </c>
      <c r="W66" s="1383" t="str">
        <f t="shared" si="61"/>
        <v>na</v>
      </c>
      <c r="X66" s="1383" t="str">
        <f t="shared" si="62"/>
        <v>na</v>
      </c>
      <c r="Y66" s="1383" t="str">
        <f t="shared" si="63"/>
        <v>na</v>
      </c>
      <c r="Z66" s="1384" t="str">
        <f t="shared" si="64"/>
        <v>na</v>
      </c>
      <c r="AB66" s="1062"/>
    </row>
    <row r="67" spans="1:28" ht="13.9" customHeight="1" x14ac:dyDescent="0.25">
      <c r="A67" s="847">
        <f>Chem!A67</f>
        <v>65</v>
      </c>
      <c r="B67" s="916" t="str">
        <f>Chem!B67</f>
        <v>Indeno(1,2,3-cd)pyrene</v>
      </c>
      <c r="C67" s="2305" t="str">
        <f>Param!AK67</f>
        <v>no</v>
      </c>
      <c r="D67" s="384" t="str">
        <f>IF(C67="YES",Param!V67,"no calc")</f>
        <v>no calc</v>
      </c>
      <c r="E67" s="552" t="str">
        <f>IF(C67="YES",Param!X67,"no calc")</f>
        <v>no calc</v>
      </c>
      <c r="F67" s="384" t="str">
        <f>IF(C67="YES",Param!O67,"no calc")</f>
        <v>no calc</v>
      </c>
      <c r="G67" s="622" t="str">
        <f>IF(C67="YES",Param!S67,"no calc")</f>
        <v>no calc</v>
      </c>
      <c r="H67" s="622" t="str">
        <f>IF(C67="YES",Param!AD67,"no calc")</f>
        <v>no calc</v>
      </c>
      <c r="I67" s="596" t="str">
        <f>IF(C67="YES",Param!AE67,"no calc")</f>
        <v>no calc</v>
      </c>
      <c r="J67" s="602" t="str">
        <f>IF(OR($D67="na",$D67="no calc"),"na",0.000001*Eqtn!D$419/(Eqtn!D$415*$H67*$D67+Eqtn!D$420*$I67*$E67))</f>
        <v>na</v>
      </c>
      <c r="K67" s="602" t="str">
        <f>IF(OR($D67="na",$D67="no calc"),"na",0.000001*Eqtn!E$419/(Eqtn!E$415*$H67*$D67+Eqtn!E$420*$I67*$E67))</f>
        <v>na</v>
      </c>
      <c r="L67" s="602" t="str">
        <f>IF(OR($D67="na",$D67="no calc"),"na",0.000001*Eqtn!F$419/(Eqtn!F$415*$H67*$D67+Eqtn!F$420*$I67*$E67))</f>
        <v>na</v>
      </c>
      <c r="M67" s="17" t="str">
        <f>IF(OR($D67="na",$D67="no calc"),"na",0.00001*Eqtn!D$419/(Eqtn!D$415*$H67*$D67+Eqtn!D$420*$I67*$E67))</f>
        <v>na</v>
      </c>
      <c r="N67" s="17" t="str">
        <f>IF(OR($D67="na",$D67="no calc"),"na",0.00001*Eqtn!E$419/(Eqtn!E$415*$H67*$D67+Eqtn!E$420*$I67*$E67))</f>
        <v>na</v>
      </c>
      <c r="O67" s="694" t="str">
        <f>IF(OR($D67="na",$D67="no calc"),"na",0.00001*Eqtn!F$419/(Eqtn!F$415*$H67*$D67+Eqtn!F$420*$I67*$E67))</f>
        <v>na</v>
      </c>
      <c r="P67" s="662" t="str">
        <f>IF(OR($F67="na",$F67="no calc"),"na",1*Eqtn!D$451/(Eqtn!D$447*$H67/$F67+Eqtn!D$452*$I67/$G67))</f>
        <v>na</v>
      </c>
      <c r="Q67" s="662" t="str">
        <f>IF(OR($F67="na",$F67="no calc"),"na",1*Eqtn!E$451/(Eqtn!E$447*$H67/$F67+Eqtn!E$452*$I67/$G67))</f>
        <v>na</v>
      </c>
      <c r="R67" s="662" t="str">
        <f>IF(OR($F67="na",$F67="no calc"),"na",1*Eqtn!F$451/(Eqtn!F$447*$H67/$F67+Eqtn!F$452*$I67/$G67))</f>
        <v>na</v>
      </c>
      <c r="S67" s="1418" t="str">
        <f t="shared" si="57"/>
        <v>na</v>
      </c>
      <c r="T67" s="1418" t="str">
        <f t="shared" si="58"/>
        <v>na</v>
      </c>
      <c r="U67" s="1418" t="str">
        <f t="shared" si="59"/>
        <v>na</v>
      </c>
      <c r="V67" s="1405" t="str">
        <f t="shared" si="60"/>
        <v>na</v>
      </c>
      <c r="W67" s="1383" t="str">
        <f t="shared" si="61"/>
        <v>na</v>
      </c>
      <c r="X67" s="1383" t="str">
        <f t="shared" si="62"/>
        <v>na</v>
      </c>
      <c r="Y67" s="1383" t="str">
        <f t="shared" si="63"/>
        <v>na</v>
      </c>
      <c r="Z67" s="1384" t="str">
        <f t="shared" si="64"/>
        <v>na</v>
      </c>
      <c r="AB67" s="1062"/>
    </row>
    <row r="68" spans="1:28" x14ac:dyDescent="0.25">
      <c r="A68" s="847">
        <f>Chem!A68</f>
        <v>66</v>
      </c>
      <c r="B68" s="916" t="str">
        <f>Chem!B68</f>
        <v>Methyl isopropyl phenanthrene (retene)</v>
      </c>
      <c r="C68" s="2305" t="str">
        <f>Param!AK68</f>
        <v>no</v>
      </c>
      <c r="D68" s="384" t="str">
        <f>IF(C68="YES",Param!V68,"no calc")</f>
        <v>no calc</v>
      </c>
      <c r="E68" s="552" t="str">
        <f>IF(C68="YES",Param!X68,"no calc")</f>
        <v>no calc</v>
      </c>
      <c r="F68" s="384" t="str">
        <f>IF(C68="YES",Param!O68,"no calc")</f>
        <v>no calc</v>
      </c>
      <c r="G68" s="622" t="str">
        <f>IF(C68="YES",Param!S68,"no calc")</f>
        <v>no calc</v>
      </c>
      <c r="H68" s="622" t="str">
        <f>IF(C68="YES",Param!AD68,"no calc")</f>
        <v>no calc</v>
      </c>
      <c r="I68" s="596" t="str">
        <f>IF(C68="YES",Param!AE68,"no calc")</f>
        <v>no calc</v>
      </c>
      <c r="J68" s="602" t="str">
        <f>IF(OR($D68="na",$D68="no calc"),"na",0.000001*Eqtn!D$419/(Eqtn!D$415*$H68*$D68+Eqtn!D$420*$I68*$E68))</f>
        <v>na</v>
      </c>
      <c r="K68" s="602" t="str">
        <f>IF(OR($D68="na",$D68="no calc"),"na",0.000001*Eqtn!E$419/(Eqtn!E$415*$H68*$D68+Eqtn!E$420*$I68*$E68))</f>
        <v>na</v>
      </c>
      <c r="L68" s="602" t="str">
        <f>IF(OR($D68="na",$D68="no calc"),"na",0.000001*Eqtn!F$419/(Eqtn!F$415*$H68*$D68+Eqtn!F$420*$I68*$E68))</f>
        <v>na</v>
      </c>
      <c r="M68" s="17" t="str">
        <f>IF(OR($D68="na",$D68="no calc"),"na",0.00001*Eqtn!D$419/(Eqtn!D$415*$H68*$D68+Eqtn!D$420*$I68*$E68))</f>
        <v>na</v>
      </c>
      <c r="N68" s="17" t="str">
        <f>IF(OR($D68="na",$D68="no calc"),"na",0.00001*Eqtn!E$419/(Eqtn!E$415*$H68*$D68+Eqtn!E$420*$I68*$E68))</f>
        <v>na</v>
      </c>
      <c r="O68" s="694" t="str">
        <f>IF(OR($D68="na",$D68="no calc"),"na",0.00001*Eqtn!F$419/(Eqtn!F$415*$H68*$D68+Eqtn!F$420*$I68*$E68))</f>
        <v>na</v>
      </c>
      <c r="P68" s="1239" t="str">
        <f>IF(OR($F68="na",$F68="no calc"),"na",1*Eqtn!D$451/(Eqtn!D$447*$H68/$F68+Eqtn!D$452*$I68/$G68))</f>
        <v>na</v>
      </c>
      <c r="Q68" s="1239" t="str">
        <f>IF(OR($F68="na",$F68="no calc"),"na",1*Eqtn!E$451/(Eqtn!E$447*$H68/$F68+Eqtn!E$452*$I68/$G68))</f>
        <v>na</v>
      </c>
      <c r="R68" s="1239" t="str">
        <f>IF(OR($F68="na",$F68="no calc"),"na",1*Eqtn!F$451/(Eqtn!F$447*$H68/$F68+Eqtn!F$452*$I68/$G68))</f>
        <v>na</v>
      </c>
      <c r="S68" s="611" t="str">
        <f t="shared" si="57"/>
        <v>na</v>
      </c>
      <c r="T68" s="611" t="str">
        <f t="shared" si="58"/>
        <v>na</v>
      </c>
      <c r="U68" s="611" t="str">
        <f t="shared" si="59"/>
        <v>na</v>
      </c>
      <c r="V68" s="1413" t="str">
        <f t="shared" si="60"/>
        <v>na</v>
      </c>
      <c r="W68" s="694" t="str">
        <f t="shared" si="61"/>
        <v>na</v>
      </c>
      <c r="X68" s="694" t="str">
        <f t="shared" si="62"/>
        <v>na</v>
      </c>
      <c r="Y68" s="694" t="str">
        <f t="shared" si="63"/>
        <v>na</v>
      </c>
      <c r="Z68" s="132" t="str">
        <f t="shared" si="64"/>
        <v>na</v>
      </c>
      <c r="AB68" s="1062"/>
    </row>
    <row r="69" spans="1:28" ht="13.9" customHeight="1" x14ac:dyDescent="0.25">
      <c r="A69" s="847">
        <f>Chem!A69</f>
        <v>67</v>
      </c>
      <c r="B69" s="916" t="str">
        <f>Chem!B69</f>
        <v>1-Methylnaphthalene</v>
      </c>
      <c r="C69" s="2305" t="str">
        <f>Param!AK69</f>
        <v>no</v>
      </c>
      <c r="D69" s="384" t="str">
        <f>IF(C69="YES",Param!V69,"no calc")</f>
        <v>no calc</v>
      </c>
      <c r="E69" s="552" t="str">
        <f>IF(C69="YES",Param!X69,"no calc")</f>
        <v>no calc</v>
      </c>
      <c r="F69" s="384" t="str">
        <f>IF(C69="YES",Param!O69,"no calc")</f>
        <v>no calc</v>
      </c>
      <c r="G69" s="622" t="str">
        <f>IF(C69="YES",Param!S69,"no calc")</f>
        <v>no calc</v>
      </c>
      <c r="H69" s="622" t="str">
        <f>IF(C69="YES",Param!AD69,"no calc")</f>
        <v>no calc</v>
      </c>
      <c r="I69" s="596" t="str">
        <f>IF(C69="YES",Param!AE69,"no calc")</f>
        <v>no calc</v>
      </c>
      <c r="J69" s="602" t="str">
        <f>IF(OR($D69="na",$D69="no calc"),"na",0.000001*Eqtn!D$419/(Eqtn!D$415*$H69*$D69+Eqtn!D$420*$I69*$E69))</f>
        <v>na</v>
      </c>
      <c r="K69" s="602" t="str">
        <f>IF(OR($D69="na",$D69="no calc"),"na",0.000001*Eqtn!E$419/(Eqtn!E$415*$H69*$D69+Eqtn!E$420*$I69*$E69))</f>
        <v>na</v>
      </c>
      <c r="L69" s="602" t="str">
        <f>IF(OR($D69="na",$D69="no calc"),"na",0.000001*Eqtn!F$419/(Eqtn!F$415*$H69*$D69+Eqtn!F$420*$I69*$E69))</f>
        <v>na</v>
      </c>
      <c r="M69" s="17" t="str">
        <f>IF(OR($D69="na",$D69="no calc"),"na",0.00001*Eqtn!D$419/(Eqtn!D$415*$H69*$D69+Eqtn!D$420*$I69*$E69))</f>
        <v>na</v>
      </c>
      <c r="N69" s="17" t="str">
        <f>IF(OR($D69="na",$D69="no calc"),"na",0.00001*Eqtn!E$419/(Eqtn!E$415*$H69*$D69+Eqtn!E$420*$I69*$E69))</f>
        <v>na</v>
      </c>
      <c r="O69" s="694" t="str">
        <f>IF(OR($D69="na",$D69="no calc"),"na",0.00001*Eqtn!F$419/(Eqtn!F$415*$H69*$D69+Eqtn!F$420*$I69*$E69))</f>
        <v>na</v>
      </c>
      <c r="P69" s="662" t="str">
        <f>IF(OR($F69="na",$F69="no calc"),"na",1*Eqtn!D$451/(Eqtn!D$447*$H69/$F69+Eqtn!D$452*$I69/$G69))</f>
        <v>na</v>
      </c>
      <c r="Q69" s="662" t="str">
        <f>IF(OR($F69="na",$F69="no calc"),"na",1*Eqtn!E$451/(Eqtn!E$447*$H69/$F69+Eqtn!E$452*$I69/$G69))</f>
        <v>na</v>
      </c>
      <c r="R69" s="662" t="str">
        <f>IF(OR($F69="na",$F69="no calc"),"na",1*Eqtn!F$451/(Eqtn!F$447*$H69/$F69+Eqtn!F$452*$I69/$G69))</f>
        <v>na</v>
      </c>
      <c r="S69" s="1418" t="str">
        <f t="shared" si="57"/>
        <v>na</v>
      </c>
      <c r="T69" s="1418" t="str">
        <f t="shared" si="58"/>
        <v>na</v>
      </c>
      <c r="U69" s="1418" t="str">
        <f t="shared" si="59"/>
        <v>na</v>
      </c>
      <c r="V69" s="1405" t="str">
        <f t="shared" si="60"/>
        <v>na</v>
      </c>
      <c r="W69" s="1383" t="str">
        <f t="shared" si="61"/>
        <v>na</v>
      </c>
      <c r="X69" s="1383" t="str">
        <f t="shared" si="62"/>
        <v>na</v>
      </c>
      <c r="Y69" s="1383" t="str">
        <f t="shared" si="63"/>
        <v>na</v>
      </c>
      <c r="Z69" s="1384" t="str">
        <f t="shared" si="64"/>
        <v>na</v>
      </c>
      <c r="AB69" s="1062"/>
    </row>
    <row r="70" spans="1:28" ht="13.9" customHeight="1" x14ac:dyDescent="0.25">
      <c r="A70" s="847">
        <f>Chem!A70</f>
        <v>68</v>
      </c>
      <c r="B70" s="916" t="str">
        <f>Chem!B70</f>
        <v>2-Methylnaphthalene</v>
      </c>
      <c r="C70" s="2305" t="str">
        <f>Param!AK70</f>
        <v>no</v>
      </c>
      <c r="D70" s="384" t="str">
        <f>IF(C70="YES",Param!V70,"no calc")</f>
        <v>no calc</v>
      </c>
      <c r="E70" s="552" t="str">
        <f>IF(C70="YES",Param!X70,"no calc")</f>
        <v>no calc</v>
      </c>
      <c r="F70" s="384" t="str">
        <f>IF(C70="YES",Param!O70,"no calc")</f>
        <v>no calc</v>
      </c>
      <c r="G70" s="622" t="str">
        <f>IF(C70="YES",Param!S70,"no calc")</f>
        <v>no calc</v>
      </c>
      <c r="H70" s="622" t="str">
        <f>IF(C70="YES",Param!AD70,"no calc")</f>
        <v>no calc</v>
      </c>
      <c r="I70" s="596" t="str">
        <f>IF(C70="YES",Param!AE70,"no calc")</f>
        <v>no calc</v>
      </c>
      <c r="J70" s="602" t="str">
        <f>IF(OR($D70="na",$D70="no calc"),"na",0.000001*Eqtn!D$419/(Eqtn!D$415*$H70*$D70+Eqtn!D$420*$I70*$E70))</f>
        <v>na</v>
      </c>
      <c r="K70" s="602" t="str">
        <f>IF(OR($D70="na",$D70="no calc"),"na",0.000001*Eqtn!E$419/(Eqtn!E$415*$H70*$D70+Eqtn!E$420*$I70*$E70))</f>
        <v>na</v>
      </c>
      <c r="L70" s="602" t="str">
        <f>IF(OR($D70="na",$D70="no calc"),"na",0.000001*Eqtn!F$419/(Eqtn!F$415*$H70*$D70+Eqtn!F$420*$I70*$E70))</f>
        <v>na</v>
      </c>
      <c r="M70" s="17" t="str">
        <f>IF(OR($D70="na",$D70="no calc"),"na",0.00001*Eqtn!D$419/(Eqtn!D$415*$H70*$D70+Eqtn!D$420*$I70*$E70))</f>
        <v>na</v>
      </c>
      <c r="N70" s="17" t="str">
        <f>IF(OR($D70="na",$D70="no calc"),"na",0.00001*Eqtn!E$419/(Eqtn!E$415*$H70*$D70+Eqtn!E$420*$I70*$E70))</f>
        <v>na</v>
      </c>
      <c r="O70" s="694" t="str">
        <f>IF(OR($D70="na",$D70="no calc"),"na",0.00001*Eqtn!F$419/(Eqtn!F$415*$H70*$D70+Eqtn!F$420*$I70*$E70))</f>
        <v>na</v>
      </c>
      <c r="P70" s="662" t="str">
        <f>IF(OR($F70="na",$F70="no calc"),"na",1*Eqtn!D$451/(Eqtn!D$447*$H70/$F70+Eqtn!D$452*$I70/$G70))</f>
        <v>na</v>
      </c>
      <c r="Q70" s="662" t="str">
        <f>IF(OR($F70="na",$F70="no calc"),"na",1*Eqtn!E$451/(Eqtn!E$447*$H70/$F70+Eqtn!E$452*$I70/$G70))</f>
        <v>na</v>
      </c>
      <c r="R70" s="662" t="str">
        <f>IF(OR($F70="na",$F70="no calc"),"na",1*Eqtn!F$451/(Eqtn!F$447*$H70/$F70+Eqtn!F$452*$I70/$G70))</f>
        <v>na</v>
      </c>
      <c r="S70" s="1418" t="str">
        <f t="shared" si="57"/>
        <v>na</v>
      </c>
      <c r="T70" s="1418" t="str">
        <f t="shared" si="58"/>
        <v>na</v>
      </c>
      <c r="U70" s="1418" t="str">
        <f t="shared" si="59"/>
        <v>na</v>
      </c>
      <c r="V70" s="1405" t="str">
        <f t="shared" si="60"/>
        <v>na</v>
      </c>
      <c r="W70" s="1383" t="str">
        <f t="shared" si="61"/>
        <v>na</v>
      </c>
      <c r="X70" s="1383" t="str">
        <f t="shared" si="62"/>
        <v>na</v>
      </c>
      <c r="Y70" s="1383" t="str">
        <f t="shared" si="63"/>
        <v>na</v>
      </c>
      <c r="Z70" s="1384" t="str">
        <f t="shared" si="64"/>
        <v>na</v>
      </c>
      <c r="AB70" s="1062"/>
    </row>
    <row r="71" spans="1:28" ht="13.9" customHeight="1" x14ac:dyDescent="0.25">
      <c r="A71" s="847">
        <f>Chem!A71</f>
        <v>69</v>
      </c>
      <c r="B71" s="916" t="str">
        <f>Chem!B71</f>
        <v>Naphthalene</v>
      </c>
      <c r="C71" s="2305" t="str">
        <f>Param!AK71</f>
        <v>no</v>
      </c>
      <c r="D71" s="384" t="str">
        <f>IF(C71="YES",Param!V71,"no calc")</f>
        <v>no calc</v>
      </c>
      <c r="E71" s="552" t="str">
        <f>IF(C71="YES",Param!X71,"no calc")</f>
        <v>no calc</v>
      </c>
      <c r="F71" s="384" t="str">
        <f>IF(C71="YES",Param!O71,"no calc")</f>
        <v>no calc</v>
      </c>
      <c r="G71" s="622" t="str">
        <f>IF(C71="YES",Param!S71,"no calc")</f>
        <v>no calc</v>
      </c>
      <c r="H71" s="622" t="str">
        <f>IF(C71="YES",Param!AD71,"no calc")</f>
        <v>no calc</v>
      </c>
      <c r="I71" s="596" t="str">
        <f>IF(C71="YES",Param!AE71,"no calc")</f>
        <v>no calc</v>
      </c>
      <c r="J71" s="602" t="str">
        <f>IF(OR($D71="na",$D71="no calc"),"na",0.000001*Eqtn!D$419/(Eqtn!D$415*$H71*$D71+Eqtn!D$420*$I71*$E71))</f>
        <v>na</v>
      </c>
      <c r="K71" s="602" t="str">
        <f>IF(OR($D71="na",$D71="no calc"),"na",0.000001*Eqtn!E$419/(Eqtn!E$415*$H71*$D71+Eqtn!E$420*$I71*$E71))</f>
        <v>na</v>
      </c>
      <c r="L71" s="602" t="str">
        <f>IF(OR($D71="na",$D71="no calc"),"na",0.000001*Eqtn!F$419/(Eqtn!F$415*$H71*$D71+Eqtn!F$420*$I71*$E71))</f>
        <v>na</v>
      </c>
      <c r="M71" s="17" t="str">
        <f>IF(OR($D71="na",$D71="no calc"),"na",0.00001*Eqtn!D$419/(Eqtn!D$415*$H71*$D71+Eqtn!D$420*$I71*$E71))</f>
        <v>na</v>
      </c>
      <c r="N71" s="17" t="str">
        <f>IF(OR($D71="na",$D71="no calc"),"na",0.00001*Eqtn!E$419/(Eqtn!E$415*$H71*$D71+Eqtn!E$420*$I71*$E71))</f>
        <v>na</v>
      </c>
      <c r="O71" s="694" t="str">
        <f>IF(OR($D71="na",$D71="no calc"),"na",0.00001*Eqtn!F$419/(Eqtn!F$415*$H71*$D71+Eqtn!F$420*$I71*$E71))</f>
        <v>na</v>
      </c>
      <c r="P71" s="662" t="str">
        <f>IF(OR($F71="na",$F71="no calc"),"na",1*Eqtn!D$451/(Eqtn!D$447*$H71/$F71+Eqtn!D$452*$I71/$G71))</f>
        <v>na</v>
      </c>
      <c r="Q71" s="662" t="str">
        <f>IF(OR($F71="na",$F71="no calc"),"na",1*Eqtn!E$451/(Eqtn!E$447*$H71/$F71+Eqtn!E$452*$I71/$G71))</f>
        <v>na</v>
      </c>
      <c r="R71" s="662" t="str">
        <f>IF(OR($F71="na",$F71="no calc"),"na",1*Eqtn!F$451/(Eqtn!F$447*$H71/$F71+Eqtn!F$452*$I71/$G71))</f>
        <v>na</v>
      </c>
      <c r="S71" s="1418" t="str">
        <f t="shared" si="57"/>
        <v>na</v>
      </c>
      <c r="T71" s="1418" t="str">
        <f t="shared" si="58"/>
        <v>na</v>
      </c>
      <c r="U71" s="1418" t="str">
        <f t="shared" si="59"/>
        <v>na</v>
      </c>
      <c r="V71" s="1405" t="str">
        <f t="shared" si="60"/>
        <v>na</v>
      </c>
      <c r="W71" s="1383" t="str">
        <f t="shared" si="61"/>
        <v>na</v>
      </c>
      <c r="X71" s="1383" t="str">
        <f t="shared" si="62"/>
        <v>na</v>
      </c>
      <c r="Y71" s="1383" t="str">
        <f t="shared" si="63"/>
        <v>na</v>
      </c>
      <c r="Z71" s="1384" t="str">
        <f t="shared" si="64"/>
        <v>na</v>
      </c>
      <c r="AB71" s="1062"/>
    </row>
    <row r="72" spans="1:28" ht="13.9" customHeight="1" x14ac:dyDescent="0.25">
      <c r="A72" s="847">
        <f>Chem!A72</f>
        <v>70</v>
      </c>
      <c r="B72" s="916" t="str">
        <f>Chem!B72</f>
        <v>Phenanthrene</v>
      </c>
      <c r="C72" s="2305" t="str">
        <f>Param!AK72</f>
        <v>no</v>
      </c>
      <c r="D72" s="384" t="str">
        <f>IF(C72="YES",Param!V72,"no calc")</f>
        <v>no calc</v>
      </c>
      <c r="E72" s="552" t="str">
        <f>IF(C72="YES",Param!X72,"no calc")</f>
        <v>no calc</v>
      </c>
      <c r="F72" s="384" t="str">
        <f>IF(C72="YES",Param!O72,"no calc")</f>
        <v>no calc</v>
      </c>
      <c r="G72" s="622" t="str">
        <f>IF(C72="YES",Param!S72,"no calc")</f>
        <v>no calc</v>
      </c>
      <c r="H72" s="622" t="str">
        <f>IF(C72="YES",Param!AD72,"no calc")</f>
        <v>no calc</v>
      </c>
      <c r="I72" s="596" t="str">
        <f>IF(C72="YES",Param!AE72,"no calc")</f>
        <v>no calc</v>
      </c>
      <c r="J72" s="602" t="str">
        <f>IF(OR($D72="na",$D72="no calc"),"na",0.000001*Eqtn!D$419/(Eqtn!D$415*$H72*$D72+Eqtn!D$420*$I72*$E72))</f>
        <v>na</v>
      </c>
      <c r="K72" s="602" t="str">
        <f>IF(OR($D72="na",$D72="no calc"),"na",0.000001*Eqtn!E$419/(Eqtn!E$415*$H72*$D72+Eqtn!E$420*$I72*$E72))</f>
        <v>na</v>
      </c>
      <c r="L72" s="602" t="str">
        <f>IF(OR($D72="na",$D72="no calc"),"na",0.000001*Eqtn!F$419/(Eqtn!F$415*$H72*$D72+Eqtn!F$420*$I72*$E72))</f>
        <v>na</v>
      </c>
      <c r="M72" s="17" t="str">
        <f>IF(OR($D72="na",$D72="no calc"),"na",0.00001*Eqtn!D$419/(Eqtn!D$415*$H72*$D72+Eqtn!D$420*$I72*$E72))</f>
        <v>na</v>
      </c>
      <c r="N72" s="17" t="str">
        <f>IF(OR($D72="na",$D72="no calc"),"na",0.00001*Eqtn!E$419/(Eqtn!E$415*$H72*$D72+Eqtn!E$420*$I72*$E72))</f>
        <v>na</v>
      </c>
      <c r="O72" s="694" t="str">
        <f>IF(OR($D72="na",$D72="no calc"),"na",0.00001*Eqtn!F$419/(Eqtn!F$415*$H72*$D72+Eqtn!F$420*$I72*$E72))</f>
        <v>na</v>
      </c>
      <c r="P72" s="662" t="str">
        <f>IF(OR($F72="na",$F72="no calc"),"na",1*Eqtn!D$451/(Eqtn!D$447*$H72/$F72+Eqtn!D$452*$I72/$G72))</f>
        <v>na</v>
      </c>
      <c r="Q72" s="662" t="str">
        <f>IF(OR($F72="na",$F72="no calc"),"na",1*Eqtn!E$451/(Eqtn!E$447*$H72/$F72+Eqtn!E$452*$I72/$G72))</f>
        <v>na</v>
      </c>
      <c r="R72" s="662" t="str">
        <f>IF(OR($F72="na",$F72="no calc"),"na",1*Eqtn!F$451/(Eqtn!F$447*$H72/$F72+Eqtn!F$452*$I72/$G72))</f>
        <v>na</v>
      </c>
      <c r="S72" s="1418" t="str">
        <f t="shared" si="57"/>
        <v>na</v>
      </c>
      <c r="T72" s="1418" t="str">
        <f t="shared" si="58"/>
        <v>na</v>
      </c>
      <c r="U72" s="1418" t="str">
        <f t="shared" si="59"/>
        <v>na</v>
      </c>
      <c r="V72" s="1405" t="str">
        <f t="shared" si="60"/>
        <v>na</v>
      </c>
      <c r="W72" s="1383" t="str">
        <f t="shared" si="61"/>
        <v>na</v>
      </c>
      <c r="X72" s="1383" t="str">
        <f t="shared" si="62"/>
        <v>na</v>
      </c>
      <c r="Y72" s="1383" t="str">
        <f t="shared" si="63"/>
        <v>na</v>
      </c>
      <c r="Z72" s="1384" t="str">
        <f t="shared" si="64"/>
        <v>na</v>
      </c>
      <c r="AB72" s="1062"/>
    </row>
    <row r="73" spans="1:28" ht="13.9" customHeight="1" x14ac:dyDescent="0.25">
      <c r="A73" s="847">
        <f>Chem!A73</f>
        <v>71</v>
      </c>
      <c r="B73" s="916" t="str">
        <f>Chem!B73</f>
        <v>Pyrene</v>
      </c>
      <c r="C73" s="2305" t="str">
        <f>Param!AK73</f>
        <v>no</v>
      </c>
      <c r="D73" s="384" t="str">
        <f>IF(C73="YES",Param!V73,"no calc")</f>
        <v>no calc</v>
      </c>
      <c r="E73" s="552" t="str">
        <f>IF(C73="YES",Param!X73,"no calc")</f>
        <v>no calc</v>
      </c>
      <c r="F73" s="384" t="str">
        <f>IF(C73="YES",Param!O73,"no calc")</f>
        <v>no calc</v>
      </c>
      <c r="G73" s="622" t="str">
        <f>IF(C73="YES",Param!S73,"no calc")</f>
        <v>no calc</v>
      </c>
      <c r="H73" s="622" t="str">
        <f>IF(C73="YES",Param!AD73,"no calc")</f>
        <v>no calc</v>
      </c>
      <c r="I73" s="596" t="str">
        <f>IF(C73="YES",Param!AE73,"no calc")</f>
        <v>no calc</v>
      </c>
      <c r="J73" s="602" t="str">
        <f>IF(OR($D73="na",$D73="no calc"),"na",0.000001*Eqtn!D$419/(Eqtn!D$415*$H73*$D73+Eqtn!D$420*$I73*$E73))</f>
        <v>na</v>
      </c>
      <c r="K73" s="602" t="str">
        <f>IF(OR($D73="na",$D73="no calc"),"na",0.000001*Eqtn!E$419/(Eqtn!E$415*$H73*$D73+Eqtn!E$420*$I73*$E73))</f>
        <v>na</v>
      </c>
      <c r="L73" s="602" t="str">
        <f>IF(OR($D73="na",$D73="no calc"),"na",0.000001*Eqtn!F$419/(Eqtn!F$415*$H73*$D73+Eqtn!F$420*$I73*$E73))</f>
        <v>na</v>
      </c>
      <c r="M73" s="17" t="str">
        <f>IF(OR($D73="na",$D73="no calc"),"na",0.00001*Eqtn!D$419/(Eqtn!D$415*$H73*$D73+Eqtn!D$420*$I73*$E73))</f>
        <v>na</v>
      </c>
      <c r="N73" s="17" t="str">
        <f>IF(OR($D73="na",$D73="no calc"),"na",0.00001*Eqtn!E$419/(Eqtn!E$415*$H73*$D73+Eqtn!E$420*$I73*$E73))</f>
        <v>na</v>
      </c>
      <c r="O73" s="694" t="str">
        <f>IF(OR($D73="na",$D73="no calc"),"na",0.00001*Eqtn!F$419/(Eqtn!F$415*$H73*$D73+Eqtn!F$420*$I73*$E73))</f>
        <v>na</v>
      </c>
      <c r="P73" s="662" t="str">
        <f>IF(OR($F73="na",$F73="no calc"),"na",1*Eqtn!D$451/(Eqtn!D$447*$H73/$F73+Eqtn!D$452*$I73/$G73))</f>
        <v>na</v>
      </c>
      <c r="Q73" s="662" t="str">
        <f>IF(OR($F73="na",$F73="no calc"),"na",1*Eqtn!E$451/(Eqtn!E$447*$H73/$F73+Eqtn!E$452*$I73/$G73))</f>
        <v>na</v>
      </c>
      <c r="R73" s="662" t="str">
        <f>IF(OR($F73="na",$F73="no calc"),"na",1*Eqtn!F$451/(Eqtn!F$447*$H73/$F73+Eqtn!F$452*$I73/$G73))</f>
        <v>na</v>
      </c>
      <c r="S73" s="1418" t="str">
        <f t="shared" si="57"/>
        <v>na</v>
      </c>
      <c r="T73" s="1418" t="str">
        <f t="shared" si="58"/>
        <v>na</v>
      </c>
      <c r="U73" s="1418" t="str">
        <f t="shared" si="59"/>
        <v>na</v>
      </c>
      <c r="V73" s="1405" t="str">
        <f t="shared" si="60"/>
        <v>na</v>
      </c>
      <c r="W73" s="1383" t="str">
        <f t="shared" si="61"/>
        <v>na</v>
      </c>
      <c r="X73" s="1383" t="str">
        <f t="shared" si="62"/>
        <v>na</v>
      </c>
      <c r="Y73" s="1383" t="str">
        <f t="shared" si="63"/>
        <v>na</v>
      </c>
      <c r="Z73" s="1384" t="str">
        <f t="shared" si="64"/>
        <v>na</v>
      </c>
      <c r="AB73" s="1062"/>
    </row>
    <row r="74" spans="1:28" ht="13.9" customHeight="1" x14ac:dyDescent="0.25">
      <c r="A74" s="847">
        <f>Chem!A74</f>
        <v>72</v>
      </c>
      <c r="B74" s="916" t="str">
        <f>Chem!B74</f>
        <v>Total LPAHs</v>
      </c>
      <c r="C74" s="2305" t="str">
        <f>Param!AK74</f>
        <v>no</v>
      </c>
      <c r="D74" s="384" t="str">
        <f>IF(C74="YES",Param!V74,"no calc")</f>
        <v>no calc</v>
      </c>
      <c r="E74" s="552" t="str">
        <f>IF(C74="YES",Param!X74,"no calc")</f>
        <v>no calc</v>
      </c>
      <c r="F74" s="384" t="str">
        <f>IF(C74="YES",Param!O74,"no calc")</f>
        <v>no calc</v>
      </c>
      <c r="G74" s="622" t="str">
        <f>IF(C74="YES",Param!S74,"no calc")</f>
        <v>no calc</v>
      </c>
      <c r="H74" s="622" t="str">
        <f>IF(C74="YES",Param!AD74,"no calc")</f>
        <v>no calc</v>
      </c>
      <c r="I74" s="596" t="str">
        <f>IF(C74="YES",Param!AE74,"no calc")</f>
        <v>no calc</v>
      </c>
      <c r="J74" s="602" t="str">
        <f>IF(OR($D74="na",$D74="no calc"),"na",0.000001*Eqtn!D$419/(Eqtn!D$415*$H74*$D74+Eqtn!D$420*$I74*$E74))</f>
        <v>na</v>
      </c>
      <c r="K74" s="602" t="str">
        <f>IF(OR($D74="na",$D74="no calc"),"na",0.000001*Eqtn!E$419/(Eqtn!E$415*$H74*$D74+Eqtn!E$420*$I74*$E74))</f>
        <v>na</v>
      </c>
      <c r="L74" s="602" t="str">
        <f>IF(OR($D74="na",$D74="no calc"),"na",0.000001*Eqtn!F$419/(Eqtn!F$415*$H74*$D74+Eqtn!F$420*$I74*$E74))</f>
        <v>na</v>
      </c>
      <c r="M74" s="17" t="str">
        <f>IF(OR($D74="na",$D74="no calc"),"na",0.00001*Eqtn!D$419/(Eqtn!D$415*$H74*$D74+Eqtn!D$420*$I74*$E74))</f>
        <v>na</v>
      </c>
      <c r="N74" s="17" t="str">
        <f>IF(OR($D74="na",$D74="no calc"),"na",0.00001*Eqtn!E$419/(Eqtn!E$415*$H74*$D74+Eqtn!E$420*$I74*$E74))</f>
        <v>na</v>
      </c>
      <c r="O74" s="694" t="str">
        <f>IF(OR($D74="na",$D74="no calc"),"na",0.00001*Eqtn!F$419/(Eqtn!F$415*$H74*$D74+Eqtn!F$420*$I74*$E74))</f>
        <v>na</v>
      </c>
      <c r="P74" s="662" t="str">
        <f>IF(OR($F74="na",$F74="no calc"),"na",1*Eqtn!D$451/(Eqtn!D$447*$H74/$F74+Eqtn!D$452*$I74/$G74))</f>
        <v>na</v>
      </c>
      <c r="Q74" s="662" t="str">
        <f>IF(OR($F74="na",$F74="no calc"),"na",1*Eqtn!E$451/(Eqtn!E$447*$H74/$F74+Eqtn!E$452*$I74/$G74))</f>
        <v>na</v>
      </c>
      <c r="R74" s="662" t="str">
        <f>IF(OR($F74="na",$F74="no calc"),"na",1*Eqtn!F$451/(Eqtn!F$447*$H74/$F74+Eqtn!F$452*$I74/$G74))</f>
        <v>na</v>
      </c>
      <c r="S74" s="1418" t="str">
        <f t="shared" si="57"/>
        <v>na</v>
      </c>
      <c r="T74" s="1418" t="str">
        <f t="shared" si="58"/>
        <v>na</v>
      </c>
      <c r="U74" s="1418" t="str">
        <f t="shared" si="59"/>
        <v>na</v>
      </c>
      <c r="V74" s="1405" t="str">
        <f t="shared" si="60"/>
        <v>na</v>
      </c>
      <c r="W74" s="1383" t="str">
        <f t="shared" si="61"/>
        <v>na</v>
      </c>
      <c r="X74" s="1383" t="str">
        <f t="shared" si="62"/>
        <v>na</v>
      </c>
      <c r="Y74" s="1383" t="str">
        <f t="shared" si="63"/>
        <v>na</v>
      </c>
      <c r="Z74" s="1384" t="str">
        <f t="shared" si="64"/>
        <v>na</v>
      </c>
      <c r="AB74" s="1062"/>
    </row>
    <row r="75" spans="1:28" ht="13.9" customHeight="1" x14ac:dyDescent="0.25">
      <c r="A75" s="847">
        <f>Chem!A75</f>
        <v>73</v>
      </c>
      <c r="B75" s="916" t="str">
        <f>Chem!B75</f>
        <v>Total HPAHs</v>
      </c>
      <c r="C75" s="2305" t="str">
        <f>Param!AK75</f>
        <v>no</v>
      </c>
      <c r="D75" s="384" t="str">
        <f>IF(C75="YES",Param!V75,"no calc")</f>
        <v>no calc</v>
      </c>
      <c r="E75" s="552" t="str">
        <f>IF(C75="YES",Param!X75,"no calc")</f>
        <v>no calc</v>
      </c>
      <c r="F75" s="384" t="str">
        <f>IF(C75="YES",Param!O75,"no calc")</f>
        <v>no calc</v>
      </c>
      <c r="G75" s="622" t="str">
        <f>IF(C75="YES",Param!S75,"no calc")</f>
        <v>no calc</v>
      </c>
      <c r="H75" s="622" t="str">
        <f>IF(C75="YES",Param!AD75,"no calc")</f>
        <v>no calc</v>
      </c>
      <c r="I75" s="596" t="str">
        <f>IF(C75="YES",Param!AE75,"no calc")</f>
        <v>no calc</v>
      </c>
      <c r="J75" s="602" t="str">
        <f>IF(OR($D75="na",$D75="no calc"),"na",0.000001*Eqtn!D$419/(Eqtn!D$415*$H75*$D75+Eqtn!D$420*$I75*$E75))</f>
        <v>na</v>
      </c>
      <c r="K75" s="602" t="str">
        <f>IF(OR($D75="na",$D75="no calc"),"na",0.000001*Eqtn!E$419/(Eqtn!E$415*$H75*$D75+Eqtn!E$420*$I75*$E75))</f>
        <v>na</v>
      </c>
      <c r="L75" s="602" t="str">
        <f>IF(OR($D75="na",$D75="no calc"),"na",0.000001*Eqtn!F$419/(Eqtn!F$415*$H75*$D75+Eqtn!F$420*$I75*$E75))</f>
        <v>na</v>
      </c>
      <c r="M75" s="17" t="str">
        <f>IF(OR($D75="na",$D75="no calc"),"na",0.00001*Eqtn!D$419/(Eqtn!D$415*$H75*$D75+Eqtn!D$420*$I75*$E75))</f>
        <v>na</v>
      </c>
      <c r="N75" s="17" t="str">
        <f>IF(OR($D75="na",$D75="no calc"),"na",0.00001*Eqtn!E$419/(Eqtn!E$415*$H75*$D75+Eqtn!E$420*$I75*$E75))</f>
        <v>na</v>
      </c>
      <c r="O75" s="694" t="str">
        <f>IF(OR($D75="na",$D75="no calc"),"na",0.00001*Eqtn!F$419/(Eqtn!F$415*$H75*$D75+Eqtn!F$420*$I75*$E75))</f>
        <v>na</v>
      </c>
      <c r="P75" s="662" t="str">
        <f>IF(OR($F75="na",$F75="no calc"),"na",1*Eqtn!D$451/(Eqtn!D$447*$H75/$F75+Eqtn!D$452*$I75/$G75))</f>
        <v>na</v>
      </c>
      <c r="Q75" s="662" t="str">
        <f>IF(OR($F75="na",$F75="no calc"),"na",1*Eqtn!E$451/(Eqtn!E$447*$H75/$F75+Eqtn!E$452*$I75/$G75))</f>
        <v>na</v>
      </c>
      <c r="R75" s="662" t="str">
        <f>IF(OR($F75="na",$F75="no calc"),"na",1*Eqtn!F$451/(Eqtn!F$447*$H75/$F75+Eqtn!F$452*$I75/$G75))</f>
        <v>na</v>
      </c>
      <c r="S75" s="1418" t="str">
        <f t="shared" si="57"/>
        <v>na</v>
      </c>
      <c r="T75" s="1418" t="str">
        <f t="shared" si="58"/>
        <v>na</v>
      </c>
      <c r="U75" s="1418" t="str">
        <f t="shared" si="59"/>
        <v>na</v>
      </c>
      <c r="V75" s="1405" t="str">
        <f t="shared" si="60"/>
        <v>na</v>
      </c>
      <c r="W75" s="1383" t="str">
        <f t="shared" si="61"/>
        <v>na</v>
      </c>
      <c r="X75" s="1383" t="str">
        <f t="shared" si="62"/>
        <v>na</v>
      </c>
      <c r="Y75" s="1383" t="str">
        <f t="shared" si="63"/>
        <v>na</v>
      </c>
      <c r="Z75" s="1384" t="str">
        <f t="shared" si="64"/>
        <v>na</v>
      </c>
      <c r="AB75" s="1062"/>
    </row>
    <row r="76" spans="1:28" ht="13.9" customHeight="1" x14ac:dyDescent="0.25">
      <c r="A76" s="842">
        <f>Chem!A76</f>
        <v>74</v>
      </c>
      <c r="B76" s="916" t="str">
        <f>Chem!B76</f>
        <v>Total PAHs</v>
      </c>
      <c r="C76" s="2305" t="str">
        <f>Param!AK76</f>
        <v>no</v>
      </c>
      <c r="D76" s="384" t="str">
        <f>IF(C76="YES",Param!V76,"no calc")</f>
        <v>no calc</v>
      </c>
      <c r="E76" s="552" t="str">
        <f>IF(C76="YES",Param!X76,"no calc")</f>
        <v>no calc</v>
      </c>
      <c r="F76" s="384" t="str">
        <f>IF(C76="YES",Param!O76,"no calc")</f>
        <v>no calc</v>
      </c>
      <c r="G76" s="622" t="str">
        <f>IF(C76="YES",Param!S76,"no calc")</f>
        <v>no calc</v>
      </c>
      <c r="H76" s="622" t="str">
        <f>IF(C76="YES",Param!AD76,"no calc")</f>
        <v>no calc</v>
      </c>
      <c r="I76" s="596" t="str">
        <f>IF(C76="YES",Param!AE76,"no calc")</f>
        <v>no calc</v>
      </c>
      <c r="J76" s="602" t="str">
        <f>IF(OR($D76="na",$D76="no calc"),"na",0.000001*Eqtn!D$419/(Eqtn!D$415*$H76*$D76+Eqtn!D$420*$I76*$E76))</f>
        <v>na</v>
      </c>
      <c r="K76" s="602" t="str">
        <f>IF(OR($D76="na",$D76="no calc"),"na",0.000001*Eqtn!E$419/(Eqtn!E$415*$H76*$D76+Eqtn!E$420*$I76*$E76))</f>
        <v>na</v>
      </c>
      <c r="L76" s="602" t="str">
        <f>IF(OR($D76="na",$D76="no calc"),"na",0.000001*Eqtn!F$419/(Eqtn!F$415*$H76*$D76+Eqtn!F$420*$I76*$E76))</f>
        <v>na</v>
      </c>
      <c r="M76" s="17" t="str">
        <f>IF(OR($D76="na",$D76="no calc"),"na",0.00001*Eqtn!D$419/(Eqtn!D$415*$H76*$D76+Eqtn!D$420*$I76*$E76))</f>
        <v>na</v>
      </c>
      <c r="N76" s="17" t="str">
        <f>IF(OR($D76="na",$D76="no calc"),"na",0.00001*Eqtn!E$419/(Eqtn!E$415*$H76*$D76+Eqtn!E$420*$I76*$E76))</f>
        <v>na</v>
      </c>
      <c r="O76" s="694" t="str">
        <f>IF(OR($D76="na",$D76="no calc"),"na",0.00001*Eqtn!F$419/(Eqtn!F$415*$H76*$D76+Eqtn!F$420*$I76*$E76))</f>
        <v>na</v>
      </c>
      <c r="P76" s="662" t="str">
        <f>IF(OR($F76="na",$F76="no calc"),"na",1*Eqtn!D$451/(Eqtn!D$447*$H76/$F76+Eqtn!D$452*$I76/$G76))</f>
        <v>na</v>
      </c>
      <c r="Q76" s="662" t="str">
        <f>IF(OR($F76="na",$F76="no calc"),"na",1*Eqtn!E$451/(Eqtn!E$447*$H76/$F76+Eqtn!E$452*$I76/$G76))</f>
        <v>na</v>
      </c>
      <c r="R76" s="662" t="str">
        <f>IF(OR($F76="na",$F76="no calc"),"na",1*Eqtn!F$451/(Eqtn!F$447*$H76/$F76+Eqtn!F$452*$I76/$G76))</f>
        <v>na</v>
      </c>
      <c r="S76" s="1418" t="str">
        <f t="shared" si="57"/>
        <v>na</v>
      </c>
      <c r="T76" s="1418" t="str">
        <f t="shared" si="58"/>
        <v>na</v>
      </c>
      <c r="U76" s="1418" t="str">
        <f t="shared" si="59"/>
        <v>na</v>
      </c>
      <c r="V76" s="1405" t="str">
        <f t="shared" si="60"/>
        <v>na</v>
      </c>
      <c r="W76" s="1383" t="str">
        <f t="shared" si="61"/>
        <v>na</v>
      </c>
      <c r="X76" s="1383" t="str">
        <f t="shared" si="62"/>
        <v>na</v>
      </c>
      <c r="Y76" s="1383" t="str">
        <f t="shared" si="63"/>
        <v>na</v>
      </c>
      <c r="Z76" s="1384" t="str">
        <f t="shared" si="64"/>
        <v>na</v>
      </c>
      <c r="AB76" s="1062"/>
    </row>
    <row r="77" spans="1:28" ht="13.9" customHeight="1" x14ac:dyDescent="0.25">
      <c r="A77" s="844">
        <f>Chem!A77</f>
        <v>75</v>
      </c>
      <c r="B77" s="1843" t="str">
        <f>Chem!B77</f>
        <v>Total cPAH TEQ</v>
      </c>
      <c r="C77" s="2304" t="str">
        <f>Param!AK77</f>
        <v>YES</v>
      </c>
      <c r="D77" s="392">
        <f>IF(C77="YES",Param!V77,"no calc")</f>
        <v>1</v>
      </c>
      <c r="E77" s="589">
        <f>IF(C77="YES",Param!X77,"no calc")</f>
        <v>1</v>
      </c>
      <c r="F77" s="392" t="str">
        <f>IF(C77="YES",Param!O77,"no calc")</f>
        <v>na</v>
      </c>
      <c r="G77" s="623" t="str">
        <f>IF(C77="YES",Param!S77,"no calc")</f>
        <v>na</v>
      </c>
      <c r="H77" s="625">
        <f>IF(C77="YES",Param!AD77,"no calc")</f>
        <v>1</v>
      </c>
      <c r="I77" s="588">
        <f>IF(C77="YES",Param!AE77,"no calc")</f>
        <v>0.13</v>
      </c>
      <c r="J77" s="820">
        <f>'SD-MMA'!H33</f>
        <v>0.44347783825816495</v>
      </c>
      <c r="K77" s="602">
        <f>IF(OR($D77="na",$D77="no calc"),"na",0.000001*Eqtn!E$419/(Eqtn!E$415*$H77*$D77+Eqtn!E$420*$I77*$E77))</f>
        <v>1.1343458824502024</v>
      </c>
      <c r="L77" s="602">
        <f>IF(OR($D77="na",$D77="no calc"),"na",0.000001*Eqtn!F$419/(Eqtn!F$415*$H77*$D77+Eqtn!F$420*$I77*$E77))</f>
        <v>2.9781965331080511</v>
      </c>
      <c r="M77" s="820">
        <f>'SD-MMA'!K33</f>
        <v>4.4347783825816496</v>
      </c>
      <c r="N77" s="17">
        <f>IF(OR($D77="na",$D77="no calc"),"na",0.00001*Eqtn!E$419/(Eqtn!E$415*$H77*$D77+Eqtn!E$420*$I77*$E77))</f>
        <v>11.343458824502026</v>
      </c>
      <c r="O77" s="694">
        <f>IF(OR($D77="na",$D77="no calc"),"na",0.00001*Eqtn!F$419/(Eqtn!F$415*$H77*$D77+Eqtn!F$420*$I77*$E77))</f>
        <v>29.781965331080517</v>
      </c>
      <c r="P77" s="667" t="str">
        <f>IF($F77="na","na",1*Eqtn!D$451/(Eqtn!D$447*$H77/$F77+Eqtn!D$452*$I77/$G77))</f>
        <v>na</v>
      </c>
      <c r="Q77" s="667" t="str">
        <f>IF($F77="na","na",1*Eqtn!E$451/(Eqtn!E$447*$H77/$F77+Eqtn!E$452*$I77/$G77))</f>
        <v>na</v>
      </c>
      <c r="R77" s="667" t="str">
        <f>IF($F77="na","na",1*Eqtn!F$451/(Eqtn!F$447*$H77/$F77+Eqtn!F$452*$I77/$G77))</f>
        <v>na</v>
      </c>
      <c r="S77" s="1422">
        <f t="shared" si="57"/>
        <v>0.44347783825816495</v>
      </c>
      <c r="T77" s="1422">
        <f t="shared" si="58"/>
        <v>1.1343458824502024</v>
      </c>
      <c r="U77" s="1422">
        <f t="shared" si="59"/>
        <v>2.9781965331080511</v>
      </c>
      <c r="V77" s="1410">
        <f t="shared" si="60"/>
        <v>0.44347783825816495</v>
      </c>
      <c r="W77" s="1391">
        <f t="shared" si="61"/>
        <v>4.4347783825816496</v>
      </c>
      <c r="X77" s="1391">
        <f t="shared" si="62"/>
        <v>11.343458824502026</v>
      </c>
      <c r="Y77" s="1391">
        <f t="shared" si="63"/>
        <v>29.781965331080517</v>
      </c>
      <c r="Z77" s="1392">
        <f t="shared" si="64"/>
        <v>4.4347783825816496</v>
      </c>
      <c r="AB77" s="1062"/>
    </row>
    <row r="78" spans="1:28" ht="13.9" customHeight="1" x14ac:dyDescent="0.25">
      <c r="A78" s="906">
        <f>Chem!A78</f>
        <v>76</v>
      </c>
      <c r="B78" s="887" t="str">
        <f>Chem!B78</f>
        <v>Other SVOCs</v>
      </c>
      <c r="C78" s="2343"/>
      <c r="D78" s="259"/>
      <c r="E78" s="127"/>
      <c r="F78" s="259"/>
      <c r="G78" s="44"/>
      <c r="H78" s="44"/>
      <c r="I78" s="327"/>
      <c r="J78" s="127"/>
      <c r="K78" s="127"/>
      <c r="L78" s="127"/>
      <c r="M78" s="127"/>
      <c r="N78" s="127"/>
      <c r="O78" s="127"/>
      <c r="P78" s="44"/>
      <c r="Q78" s="44"/>
      <c r="R78" s="44"/>
      <c r="S78" s="44"/>
      <c r="T78" s="44"/>
      <c r="U78" s="44"/>
      <c r="V78" s="44"/>
      <c r="W78" s="44"/>
      <c r="X78" s="44"/>
      <c r="Y78" s="44"/>
      <c r="Z78" s="55"/>
      <c r="AA78" s="133"/>
      <c r="AB78" s="1063"/>
    </row>
    <row r="79" spans="1:28" ht="13.9" customHeight="1" x14ac:dyDescent="0.25">
      <c r="A79" s="846">
        <f>Chem!A79</f>
        <v>77</v>
      </c>
      <c r="B79" s="916" t="str">
        <f>Chem!B79</f>
        <v>Aniline</v>
      </c>
      <c r="C79" s="2309" t="str">
        <f>Param!AK79</f>
        <v>no</v>
      </c>
      <c r="D79" s="590" t="str">
        <f>IF(C79="YES",Param!V79,"no calc")</f>
        <v>no calc</v>
      </c>
      <c r="E79" s="591" t="str">
        <f>IF(C79="YES",Param!X79,"no calc")</f>
        <v>no calc</v>
      </c>
      <c r="F79" s="393" t="str">
        <f>IF(C79="YES",Param!O79,"no calc")</f>
        <v>no calc</v>
      </c>
      <c r="G79" s="624" t="str">
        <f>IF(C79="YES",Param!S79,"no calc")</f>
        <v>no calc</v>
      </c>
      <c r="H79" s="624" t="str">
        <f>IF(C79="YES",Param!AD79,"no calc")</f>
        <v>no calc</v>
      </c>
      <c r="I79" s="597" t="str">
        <f>IF(C79="YES",Param!AE79,"no calc")</f>
        <v>no calc</v>
      </c>
      <c r="J79" s="607" t="str">
        <f>IF(OR($D79="na",$D79="no calc"),"na",0.000001*Eqtn!D$419/(Eqtn!D$415*$H79*$D79+Eqtn!D$420*$I79*$E79))</f>
        <v>na</v>
      </c>
      <c r="K79" s="607" t="str">
        <f>IF(OR($D79="na",$D79="no calc"),"na",0.000001*Eqtn!E$419/(Eqtn!E$415*$H79*$D79+Eqtn!E$420*$I79*$E79))</f>
        <v>na</v>
      </c>
      <c r="L79" s="607" t="str">
        <f>IF(OR($D79="na",$D79="no calc"),"na",0.000001*Eqtn!F$419/(Eqtn!F$415*$H79*$D79+Eqtn!F$420*$I79*$E79))</f>
        <v>na</v>
      </c>
      <c r="M79" s="821" t="str">
        <f>IF(OR($D79="na",$D79="no calc"),"na",0.00001*Eqtn!D$419/(Eqtn!D$415*$H79*$D79+Eqtn!D$420*$I79*$E79))</f>
        <v>na</v>
      </c>
      <c r="N79" s="821" t="str">
        <f>IF(OR($D79="na",$D79="no calc"),"na",0.00001*Eqtn!E$419/(Eqtn!E$415*$H79*$D79+Eqtn!E$420*$I79*$E79))</f>
        <v>na</v>
      </c>
      <c r="O79" s="706" t="str">
        <f>IF(OR($D79="na",$D79="no calc"),"na",0.00001*Eqtn!F$419/(Eqtn!F$415*$H79*$D79+Eqtn!F$420*$I79*$E79))</f>
        <v>na</v>
      </c>
      <c r="P79" s="665" t="str">
        <f>IF(OR($F79="na",$F79="no calc"),"na",1*Eqtn!D$451/(Eqtn!D$447*$H79/$F79+Eqtn!D$452*$I79/$G79))</f>
        <v>na</v>
      </c>
      <c r="Q79" s="665" t="str">
        <f>IF(OR($F79="na",$F79="no calc"),"na",1*Eqtn!E$451/(Eqtn!E$447*$H79/$F79+Eqtn!E$452*$I79/$G79))</f>
        <v>na</v>
      </c>
      <c r="R79" s="665" t="str">
        <f>IF(OR($F79="na",$F79="no calc"),"na",1*Eqtn!F$451/(Eqtn!F$447*$H79/$F79+Eqtn!F$452*$I79/$G79))</f>
        <v>na</v>
      </c>
      <c r="S79" s="1424" t="str">
        <f t="shared" ref="S79:S110" si="65">IF(OR(ISNUMBER(J79),ISNUMBER(P79)),MIN(J79,P79),"na")</f>
        <v>na</v>
      </c>
      <c r="T79" s="1424" t="str">
        <f t="shared" ref="T79:T110" si="66">IF(OR(ISNUMBER(K79),ISNUMBER(Q79)),MIN(K79,Q79),"na")</f>
        <v>na</v>
      </c>
      <c r="U79" s="1424" t="str">
        <f t="shared" ref="U79:U110" si="67">IF(OR(ISNUMBER(L79),ISNUMBER(R79)),MIN(L79,R79),"na")</f>
        <v>na</v>
      </c>
      <c r="V79" s="1412" t="str">
        <f t="shared" ref="V79:V142" si="68">IF(OR(ISNUMBER(S79),ISNUMBER(T79),ISNUMBER(U79)),MIN(S79,T79,U79),"na")</f>
        <v>na</v>
      </c>
      <c r="W79" s="1395" t="str">
        <f t="shared" ref="W79:W110" si="69">IF(OR(ISNUMBER(M79),ISNUMBER(P79)),MIN(M79,P79),"na")</f>
        <v>na</v>
      </c>
      <c r="X79" s="1395" t="str">
        <f t="shared" ref="X79:X110" si="70">IF(OR(ISNUMBER(N79),ISNUMBER(Q79)),MIN(N79,Q79),"na")</f>
        <v>na</v>
      </c>
      <c r="Y79" s="1395" t="str">
        <f t="shared" ref="Y79:Y110" si="71">IF(OR(ISNUMBER(O79),ISNUMBER(R79)),MIN(O79,R79),"na")</f>
        <v>na</v>
      </c>
      <c r="Z79" s="1396" t="str">
        <f t="shared" ref="Z79:Z142" si="72">IF(OR(ISNUMBER(W79),ISNUMBER(X79),ISNUMBER(Y79)),MIN(W79,X79,Y79),"na")</f>
        <v>na</v>
      </c>
      <c r="AB79" s="1062"/>
    </row>
    <row r="80" spans="1:28" ht="13.9" customHeight="1" x14ac:dyDescent="0.25">
      <c r="A80" s="847">
        <f>Chem!A80</f>
        <v>78</v>
      </c>
      <c r="B80" s="916" t="str">
        <f>Chem!B80</f>
        <v>Azobenzene</v>
      </c>
      <c r="C80" s="2305" t="str">
        <f>Param!AK80</f>
        <v>no</v>
      </c>
      <c r="D80" s="384" t="str">
        <f>IF(C80="YES",Param!V80,"no calc")</f>
        <v>no calc</v>
      </c>
      <c r="E80" s="552" t="str">
        <f>IF(C80="YES",Param!X80,"no calc")</f>
        <v>no calc</v>
      </c>
      <c r="F80" s="384" t="str">
        <f>IF(C80="YES",Param!O80,"no calc")</f>
        <v>no calc</v>
      </c>
      <c r="G80" s="622" t="str">
        <f>IF(C80="YES",Param!S80,"no calc")</f>
        <v>no calc</v>
      </c>
      <c r="H80" s="622" t="str">
        <f>IF(C80="YES",Param!AD80,"no calc")</f>
        <v>no calc</v>
      </c>
      <c r="I80" s="596" t="str">
        <f>IF(C80="YES",Param!AE80,"no calc")</f>
        <v>no calc</v>
      </c>
      <c r="J80" s="602" t="str">
        <f>IF(OR($D80="na",$D80="no calc"),"na",0.000001*Eqtn!D$419/(Eqtn!D$415*$H80*$D80+Eqtn!D$420*$I80*$E80))</f>
        <v>na</v>
      </c>
      <c r="K80" s="602" t="str">
        <f>IF(OR($D80="na",$D80="no calc"),"na",0.000001*Eqtn!E$419/(Eqtn!E$415*$H80*$D80+Eqtn!E$420*$I80*$E80))</f>
        <v>na</v>
      </c>
      <c r="L80" s="602" t="str">
        <f>IF(OR($D80="na",$D80="no calc"),"na",0.000001*Eqtn!F$419/(Eqtn!F$415*$H80*$D80+Eqtn!F$420*$I80*$E80))</f>
        <v>na</v>
      </c>
      <c r="M80" s="17" t="str">
        <f>IF(OR($D80="na",$D80="no calc"),"na",0.00001*Eqtn!D$419/(Eqtn!D$415*$H80*$D80+Eqtn!D$420*$I80*$E80))</f>
        <v>na</v>
      </c>
      <c r="N80" s="17" t="str">
        <f>IF(OR($D80="na",$D80="no calc"),"na",0.00001*Eqtn!E$419/(Eqtn!E$415*$H80*$D80+Eqtn!E$420*$I80*$E80))</f>
        <v>na</v>
      </c>
      <c r="O80" s="694" t="str">
        <f>IF(OR($D80="na",$D80="no calc"),"na",0.00001*Eqtn!F$419/(Eqtn!F$415*$H80*$D80+Eqtn!F$420*$I80*$E80))</f>
        <v>na</v>
      </c>
      <c r="P80" s="662" t="str">
        <f>IF(OR($F80="na",$F80="no calc"),"na",1*Eqtn!D$451/(Eqtn!D$447*$H80/$F80+Eqtn!D$452*$I80/$G80))</f>
        <v>na</v>
      </c>
      <c r="Q80" s="662" t="str">
        <f>IF(OR($F80="na",$F80="no calc"),"na",1*Eqtn!E$451/(Eqtn!E$447*$H80/$F80+Eqtn!E$452*$I80/$G80))</f>
        <v>na</v>
      </c>
      <c r="R80" s="662" t="str">
        <f>IF(OR($F80="na",$F80="no calc"),"na",1*Eqtn!F$451/(Eqtn!F$447*$H80/$F80+Eqtn!F$452*$I80/$G80))</f>
        <v>na</v>
      </c>
      <c r="S80" s="1418" t="str">
        <f t="shared" si="65"/>
        <v>na</v>
      </c>
      <c r="T80" s="1418" t="str">
        <f t="shared" si="66"/>
        <v>na</v>
      </c>
      <c r="U80" s="1418" t="str">
        <f t="shared" si="67"/>
        <v>na</v>
      </c>
      <c r="V80" s="1405" t="str">
        <f t="shared" si="68"/>
        <v>na</v>
      </c>
      <c r="W80" s="1383" t="str">
        <f t="shared" si="69"/>
        <v>na</v>
      </c>
      <c r="X80" s="1383" t="str">
        <f t="shared" si="70"/>
        <v>na</v>
      </c>
      <c r="Y80" s="1383" t="str">
        <f t="shared" si="71"/>
        <v>na</v>
      </c>
      <c r="Z80" s="1384" t="str">
        <f t="shared" si="72"/>
        <v>na</v>
      </c>
      <c r="AB80" s="1062"/>
    </row>
    <row r="81" spans="1:28" ht="13.9" customHeight="1" x14ac:dyDescent="0.25">
      <c r="A81" s="847">
        <f>Chem!A81</f>
        <v>79</v>
      </c>
      <c r="B81" s="1843" t="str">
        <f>Chem!B81</f>
        <v>Benzidine</v>
      </c>
      <c r="C81" s="2305" t="str">
        <f>Param!AK81</f>
        <v>no</v>
      </c>
      <c r="D81" s="384" t="str">
        <f>IF(C81="YES",Param!V81,"no calc")</f>
        <v>no calc</v>
      </c>
      <c r="E81" s="552" t="str">
        <f>IF(C81="YES",Param!X81,"no calc")</f>
        <v>no calc</v>
      </c>
      <c r="F81" s="384" t="str">
        <f>IF(C81="YES",Param!O81,"no calc")</f>
        <v>no calc</v>
      </c>
      <c r="G81" s="622" t="str">
        <f>IF(C81="YES",Param!S81,"no calc")</f>
        <v>no calc</v>
      </c>
      <c r="H81" s="622" t="str">
        <f>IF(C81="YES",Param!AD81,"no calc")</f>
        <v>no calc</v>
      </c>
      <c r="I81" s="596" t="str">
        <f>IF(C81="YES",Param!AE81,"no calc")</f>
        <v>no calc</v>
      </c>
      <c r="J81" s="602" t="str">
        <f>IF(OR($D81="na",$D81="no calc"),"na",0.000001*Eqtn!D$419/(Eqtn!D$415*$H81*$D81+Eqtn!D$420*$I81*$E81))</f>
        <v>na</v>
      </c>
      <c r="K81" s="602" t="str">
        <f>IF(OR($D81="na",$D81="no calc"),"na",0.000001*Eqtn!E$419/(Eqtn!E$415*$H81*$D81+Eqtn!E$420*$I81*$E81))</f>
        <v>na</v>
      </c>
      <c r="L81" s="602" t="str">
        <f>IF(OR($D81="na",$D81="no calc"),"na",0.000001*Eqtn!F$419/(Eqtn!F$415*$H81*$D81+Eqtn!F$420*$I81*$E81))</f>
        <v>na</v>
      </c>
      <c r="M81" s="17" t="str">
        <f>IF(OR($D81="na",$D81="no calc"),"na",0.00001*Eqtn!D$419/(Eqtn!D$415*$H81*$D81+Eqtn!D$420*$I81*$E81))</f>
        <v>na</v>
      </c>
      <c r="N81" s="17" t="str">
        <f>IF(OR($D81="na",$D81="no calc"),"na",0.00001*Eqtn!E$419/(Eqtn!E$415*$H81*$D81+Eqtn!E$420*$I81*$E81))</f>
        <v>na</v>
      </c>
      <c r="O81" s="694" t="str">
        <f>IF(OR($D81="na",$D81="no calc"),"na",0.00001*Eqtn!F$419/(Eqtn!F$415*$H81*$D81+Eqtn!F$420*$I81*$E81))</f>
        <v>na</v>
      </c>
      <c r="P81" s="662" t="str">
        <f>IF(OR($F81="na",$F81="no calc"),"na",1*Eqtn!D$451/(Eqtn!D$447*$H81/$F81+Eqtn!D$452*$I81/$G81))</f>
        <v>na</v>
      </c>
      <c r="Q81" s="662" t="str">
        <f>IF(OR($F81="na",$F81="no calc"),"na",1*Eqtn!E$451/(Eqtn!E$447*$H81/$F81+Eqtn!E$452*$I81/$G81))</f>
        <v>na</v>
      </c>
      <c r="R81" s="662" t="str">
        <f>IF(OR($F81="na",$F81="no calc"),"na",1*Eqtn!F$451/(Eqtn!F$447*$H81/$F81+Eqtn!F$452*$I81/$G81))</f>
        <v>na</v>
      </c>
      <c r="S81" s="1418" t="str">
        <f t="shared" si="65"/>
        <v>na</v>
      </c>
      <c r="T81" s="1418" t="str">
        <f t="shared" si="66"/>
        <v>na</v>
      </c>
      <c r="U81" s="1418" t="str">
        <f t="shared" si="67"/>
        <v>na</v>
      </c>
      <c r="V81" s="1405" t="str">
        <f t="shared" si="68"/>
        <v>na</v>
      </c>
      <c r="W81" s="1383" t="str">
        <f t="shared" si="69"/>
        <v>na</v>
      </c>
      <c r="X81" s="1383" t="str">
        <f t="shared" si="70"/>
        <v>na</v>
      </c>
      <c r="Y81" s="1383" t="str">
        <f t="shared" si="71"/>
        <v>na</v>
      </c>
      <c r="Z81" s="1384" t="str">
        <f t="shared" si="72"/>
        <v>na</v>
      </c>
      <c r="AB81" s="1062"/>
    </row>
    <row r="82" spans="1:28" ht="13.9" customHeight="1" x14ac:dyDescent="0.25">
      <c r="A82" s="847">
        <f>Chem!A82</f>
        <v>80</v>
      </c>
      <c r="B82" s="916" t="str">
        <f>Chem!B82</f>
        <v>Benzoic acid</v>
      </c>
      <c r="C82" s="2305" t="str">
        <f>Param!AK82</f>
        <v>no</v>
      </c>
      <c r="D82" s="384" t="str">
        <f>IF(C82="YES",Param!V82,"no calc")</f>
        <v>no calc</v>
      </c>
      <c r="E82" s="552" t="str">
        <f>IF(C82="YES",Param!X82,"no calc")</f>
        <v>no calc</v>
      </c>
      <c r="F82" s="384" t="str">
        <f>IF(C82="YES",Param!O82,"no calc")</f>
        <v>no calc</v>
      </c>
      <c r="G82" s="622" t="str">
        <f>IF(C82="YES",Param!S82,"no calc")</f>
        <v>no calc</v>
      </c>
      <c r="H82" s="622" t="str">
        <f>IF(C82="YES",Param!AD82,"no calc")</f>
        <v>no calc</v>
      </c>
      <c r="I82" s="596" t="str">
        <f>IF(C82="YES",Param!AE82,"no calc")</f>
        <v>no calc</v>
      </c>
      <c r="J82" s="602" t="str">
        <f>IF(OR($D82="na",$D82="no calc"),"na",0.000001*Eqtn!D$419/(Eqtn!D$415*$H82*$D82+Eqtn!D$420*$I82*$E82))</f>
        <v>na</v>
      </c>
      <c r="K82" s="602" t="str">
        <f>IF(OR($D82="na",$D82="no calc"),"na",0.000001*Eqtn!E$419/(Eqtn!E$415*$H82*$D82+Eqtn!E$420*$I82*$E82))</f>
        <v>na</v>
      </c>
      <c r="L82" s="602" t="str">
        <f>IF(OR($D82="na",$D82="no calc"),"na",0.000001*Eqtn!F$419/(Eqtn!F$415*$H82*$D82+Eqtn!F$420*$I82*$E82))</f>
        <v>na</v>
      </c>
      <c r="M82" s="17" t="str">
        <f>IF(OR($D82="na",$D82="no calc"),"na",0.00001*Eqtn!D$419/(Eqtn!D$415*$H82*$D82+Eqtn!D$420*$I82*$E82))</f>
        <v>na</v>
      </c>
      <c r="N82" s="17" t="str">
        <f>IF(OR($D82="na",$D82="no calc"),"na",0.00001*Eqtn!E$419/(Eqtn!E$415*$H82*$D82+Eqtn!E$420*$I82*$E82))</f>
        <v>na</v>
      </c>
      <c r="O82" s="694" t="str">
        <f>IF(OR($D82="na",$D82="no calc"),"na",0.00001*Eqtn!F$419/(Eqtn!F$415*$H82*$D82+Eqtn!F$420*$I82*$E82))</f>
        <v>na</v>
      </c>
      <c r="P82" s="662" t="str">
        <f>IF(OR($F82="na",$F82="no calc"),"na",1*Eqtn!D$451/(Eqtn!D$447*$H82/$F82+Eqtn!D$452*$I82/$G82))</f>
        <v>na</v>
      </c>
      <c r="Q82" s="662" t="str">
        <f>IF(OR($F82="na",$F82="no calc"),"na",1*Eqtn!E$451/(Eqtn!E$447*$H82/$F82+Eqtn!E$452*$I82/$G82))</f>
        <v>na</v>
      </c>
      <c r="R82" s="662" t="str">
        <f>IF(OR($F82="na",$F82="no calc"),"na",1*Eqtn!F$451/(Eqtn!F$447*$H82/$F82+Eqtn!F$452*$I82/$G82))</f>
        <v>na</v>
      </c>
      <c r="S82" s="1418" t="str">
        <f t="shared" si="65"/>
        <v>na</v>
      </c>
      <c r="T82" s="1418" t="str">
        <f t="shared" si="66"/>
        <v>na</v>
      </c>
      <c r="U82" s="1418" t="str">
        <f t="shared" si="67"/>
        <v>na</v>
      </c>
      <c r="V82" s="1405" t="str">
        <f t="shared" si="68"/>
        <v>na</v>
      </c>
      <c r="W82" s="1383" t="str">
        <f t="shared" si="69"/>
        <v>na</v>
      </c>
      <c r="X82" s="1383" t="str">
        <f t="shared" si="70"/>
        <v>na</v>
      </c>
      <c r="Y82" s="1383" t="str">
        <f t="shared" si="71"/>
        <v>na</v>
      </c>
      <c r="Z82" s="1384" t="str">
        <f t="shared" si="72"/>
        <v>na</v>
      </c>
      <c r="AB82" s="1062"/>
    </row>
    <row r="83" spans="1:28" ht="13.9" customHeight="1" x14ac:dyDescent="0.25">
      <c r="A83" s="847">
        <f>Chem!A83</f>
        <v>81</v>
      </c>
      <c r="B83" s="916" t="str">
        <f>Chem!B83</f>
        <v>Benzyl alcohol</v>
      </c>
      <c r="C83" s="2305" t="str">
        <f>Param!AK83</f>
        <v>no</v>
      </c>
      <c r="D83" s="384" t="str">
        <f>IF(C83="YES",Param!V83,"no calc")</f>
        <v>no calc</v>
      </c>
      <c r="E83" s="552" t="str">
        <f>IF(C83="YES",Param!X83,"no calc")</f>
        <v>no calc</v>
      </c>
      <c r="F83" s="384" t="str">
        <f>IF(C83="YES",Param!O83,"no calc")</f>
        <v>no calc</v>
      </c>
      <c r="G83" s="622" t="str">
        <f>IF(C83="YES",Param!S83,"no calc")</f>
        <v>no calc</v>
      </c>
      <c r="H83" s="622" t="str">
        <f>IF(C83="YES",Param!AD83,"no calc")</f>
        <v>no calc</v>
      </c>
      <c r="I83" s="596" t="str">
        <f>IF(C83="YES",Param!AE83,"no calc")</f>
        <v>no calc</v>
      </c>
      <c r="J83" s="602" t="str">
        <f>IF(OR($D83="na",$D83="no calc"),"na",0.000001*Eqtn!D$419/(Eqtn!D$415*$H83*$D83+Eqtn!D$420*$I83*$E83))</f>
        <v>na</v>
      </c>
      <c r="K83" s="602" t="str">
        <f>IF(OR($D83="na",$D83="no calc"),"na",0.000001*Eqtn!E$419/(Eqtn!E$415*$H83*$D83+Eqtn!E$420*$I83*$E83))</f>
        <v>na</v>
      </c>
      <c r="L83" s="602" t="str">
        <f>IF(OR($D83="na",$D83="no calc"),"na",0.000001*Eqtn!F$419/(Eqtn!F$415*$H83*$D83+Eqtn!F$420*$I83*$E83))</f>
        <v>na</v>
      </c>
      <c r="M83" s="17" t="str">
        <f>IF(OR($D83="na",$D83="no calc"),"na",0.00001*Eqtn!D$419/(Eqtn!D$415*$H83*$D83+Eqtn!D$420*$I83*$E83))</f>
        <v>na</v>
      </c>
      <c r="N83" s="17" t="str">
        <f>IF(OR($D83="na",$D83="no calc"),"na",0.00001*Eqtn!E$419/(Eqtn!E$415*$H83*$D83+Eqtn!E$420*$I83*$E83))</f>
        <v>na</v>
      </c>
      <c r="O83" s="694" t="str">
        <f>IF(OR($D83="na",$D83="no calc"),"na",0.00001*Eqtn!F$419/(Eqtn!F$415*$H83*$D83+Eqtn!F$420*$I83*$E83))</f>
        <v>na</v>
      </c>
      <c r="P83" s="662" t="str">
        <f>IF(OR($F83="na",$F83="no calc"),"na",1*Eqtn!D$451/(Eqtn!D$447*$H83/$F83+Eqtn!D$452*$I83/$G83))</f>
        <v>na</v>
      </c>
      <c r="Q83" s="662" t="str">
        <f>IF(OR($F83="na",$F83="no calc"),"na",1*Eqtn!E$451/(Eqtn!E$447*$H83/$F83+Eqtn!E$452*$I83/$G83))</f>
        <v>na</v>
      </c>
      <c r="R83" s="662" t="str">
        <f>IF(OR($F83="na",$F83="no calc"),"na",1*Eqtn!F$451/(Eqtn!F$447*$H83/$F83+Eqtn!F$452*$I83/$G83))</f>
        <v>na</v>
      </c>
      <c r="S83" s="1418" t="str">
        <f t="shared" si="65"/>
        <v>na</v>
      </c>
      <c r="T83" s="1418" t="str">
        <f t="shared" si="66"/>
        <v>na</v>
      </c>
      <c r="U83" s="1418" t="str">
        <f t="shared" si="67"/>
        <v>na</v>
      </c>
      <c r="V83" s="1405" t="str">
        <f t="shared" si="68"/>
        <v>na</v>
      </c>
      <c r="W83" s="1383" t="str">
        <f t="shared" si="69"/>
        <v>na</v>
      </c>
      <c r="X83" s="1383" t="str">
        <f t="shared" si="70"/>
        <v>na</v>
      </c>
      <c r="Y83" s="1383" t="str">
        <f t="shared" si="71"/>
        <v>na</v>
      </c>
      <c r="Z83" s="1384" t="str">
        <f t="shared" si="72"/>
        <v>na</v>
      </c>
      <c r="AB83" s="1062"/>
    </row>
    <row r="84" spans="1:28" ht="13.9" customHeight="1" x14ac:dyDescent="0.25">
      <c r="A84" s="847">
        <f>Chem!A84</f>
        <v>82</v>
      </c>
      <c r="B84" s="916" t="str">
        <f>Chem!B84</f>
        <v>Bis(2-chloroethoxy)methane</v>
      </c>
      <c r="C84" s="2305" t="str">
        <f>Param!AK84</f>
        <v>no</v>
      </c>
      <c r="D84" s="384" t="str">
        <f>IF(C84="YES",Param!V84,"no calc")</f>
        <v>no calc</v>
      </c>
      <c r="E84" s="552" t="str">
        <f>IF(C84="YES",Param!X84,"no calc")</f>
        <v>no calc</v>
      </c>
      <c r="F84" s="384" t="str">
        <f>IF(C84="YES",Param!O84,"no calc")</f>
        <v>no calc</v>
      </c>
      <c r="G84" s="622" t="str">
        <f>IF(C84="YES",Param!S84,"no calc")</f>
        <v>no calc</v>
      </c>
      <c r="H84" s="622" t="str">
        <f>IF(C84="YES",Param!AD84,"no calc")</f>
        <v>no calc</v>
      </c>
      <c r="I84" s="596" t="str">
        <f>IF(C84="YES",Param!AE84,"no calc")</f>
        <v>no calc</v>
      </c>
      <c r="J84" s="602" t="str">
        <f>IF(OR($D84="na",$D84="no calc"),"na",0.000001*Eqtn!D$419/(Eqtn!D$415*$H84*$D84+Eqtn!D$420*$I84*$E84))</f>
        <v>na</v>
      </c>
      <c r="K84" s="602" t="str">
        <f>IF(OR($D84="na",$D84="no calc"),"na",0.000001*Eqtn!E$419/(Eqtn!E$415*$H84*$D84+Eqtn!E$420*$I84*$E84))</f>
        <v>na</v>
      </c>
      <c r="L84" s="602" t="str">
        <f>IF(OR($D84="na",$D84="no calc"),"na",0.000001*Eqtn!F$419/(Eqtn!F$415*$H84*$D84+Eqtn!F$420*$I84*$E84))</f>
        <v>na</v>
      </c>
      <c r="M84" s="17" t="str">
        <f>IF(OR($D84="na",$D84="no calc"),"na",0.00001*Eqtn!D$419/(Eqtn!D$415*$H84*$D84+Eqtn!D$420*$I84*$E84))</f>
        <v>na</v>
      </c>
      <c r="N84" s="17" t="str">
        <f>IF(OR($D84="na",$D84="no calc"),"na",0.00001*Eqtn!E$419/(Eqtn!E$415*$H84*$D84+Eqtn!E$420*$I84*$E84))</f>
        <v>na</v>
      </c>
      <c r="O84" s="694" t="str">
        <f>IF(OR($D84="na",$D84="no calc"),"na",0.00001*Eqtn!F$419/(Eqtn!F$415*$H84*$D84+Eqtn!F$420*$I84*$E84))</f>
        <v>na</v>
      </c>
      <c r="P84" s="662" t="str">
        <f>IF(OR($F84="na",$F84="no calc"),"na",1*Eqtn!D$451/(Eqtn!D$447*$H84/$F84+Eqtn!D$452*$I84/$G84))</f>
        <v>na</v>
      </c>
      <c r="Q84" s="662" t="str">
        <f>IF(OR($F84="na",$F84="no calc"),"na",1*Eqtn!E$451/(Eqtn!E$447*$H84/$F84+Eqtn!E$452*$I84/$G84))</f>
        <v>na</v>
      </c>
      <c r="R84" s="662" t="str">
        <f>IF(OR($F84="na",$F84="no calc"),"na",1*Eqtn!F$451/(Eqtn!F$447*$H84/$F84+Eqtn!F$452*$I84/$G84))</f>
        <v>na</v>
      </c>
      <c r="S84" s="1418" t="str">
        <f t="shared" si="65"/>
        <v>na</v>
      </c>
      <c r="T84" s="1418" t="str">
        <f t="shared" si="66"/>
        <v>na</v>
      </c>
      <c r="U84" s="1418" t="str">
        <f t="shared" si="67"/>
        <v>na</v>
      </c>
      <c r="V84" s="1405" t="str">
        <f t="shared" si="68"/>
        <v>na</v>
      </c>
      <c r="W84" s="1383" t="str">
        <f t="shared" si="69"/>
        <v>na</v>
      </c>
      <c r="X84" s="1383" t="str">
        <f t="shared" si="70"/>
        <v>na</v>
      </c>
      <c r="Y84" s="1383" t="str">
        <f t="shared" si="71"/>
        <v>na</v>
      </c>
      <c r="Z84" s="1384" t="str">
        <f t="shared" si="72"/>
        <v>na</v>
      </c>
      <c r="AB84" s="1062"/>
    </row>
    <row r="85" spans="1:28" ht="13.9" customHeight="1" x14ac:dyDescent="0.25">
      <c r="A85" s="847">
        <f>Chem!A85</f>
        <v>83</v>
      </c>
      <c r="B85" s="916" t="str">
        <f>Chem!B85</f>
        <v>Bis(2-chloroethyl)ether</v>
      </c>
      <c r="C85" s="2305" t="str">
        <f>Param!AK85</f>
        <v>no</v>
      </c>
      <c r="D85" s="384" t="str">
        <f>IF(C85="YES",Param!V85,"no calc")</f>
        <v>no calc</v>
      </c>
      <c r="E85" s="552" t="str">
        <f>IF(C85="YES",Param!X85,"no calc")</f>
        <v>no calc</v>
      </c>
      <c r="F85" s="384" t="str">
        <f>IF(C85="YES",Param!O85,"no calc")</f>
        <v>no calc</v>
      </c>
      <c r="G85" s="622" t="str">
        <f>IF(C85="YES",Param!S85,"no calc")</f>
        <v>no calc</v>
      </c>
      <c r="H85" s="622" t="str">
        <f>IF(C85="YES",Param!AD85,"no calc")</f>
        <v>no calc</v>
      </c>
      <c r="I85" s="596" t="str">
        <f>IF(C85="YES",Param!AE85,"no calc")</f>
        <v>no calc</v>
      </c>
      <c r="J85" s="602" t="str">
        <f>IF(OR($D85="na",$D85="no calc"),"na",0.000001*Eqtn!D$419/(Eqtn!D$415*$H85*$D85+Eqtn!D$420*$I85*$E85))</f>
        <v>na</v>
      </c>
      <c r="K85" s="602" t="str">
        <f>IF(OR($D85="na",$D85="no calc"),"na",0.000001*Eqtn!E$419/(Eqtn!E$415*$H85*$D85+Eqtn!E$420*$I85*$E85))</f>
        <v>na</v>
      </c>
      <c r="L85" s="602" t="str">
        <f>IF(OR($D85="na",$D85="no calc"),"na",0.000001*Eqtn!F$419/(Eqtn!F$415*$H85*$D85+Eqtn!F$420*$I85*$E85))</f>
        <v>na</v>
      </c>
      <c r="M85" s="17" t="str">
        <f>IF(OR($D85="na",$D85="no calc"),"na",0.00001*Eqtn!D$419/(Eqtn!D$415*$H85*$D85+Eqtn!D$420*$I85*$E85))</f>
        <v>na</v>
      </c>
      <c r="N85" s="17" t="str">
        <f>IF(OR($D85="na",$D85="no calc"),"na",0.00001*Eqtn!E$419/(Eqtn!E$415*$H85*$D85+Eqtn!E$420*$I85*$E85))</f>
        <v>na</v>
      </c>
      <c r="O85" s="694" t="str">
        <f>IF(OR($D85="na",$D85="no calc"),"na",0.00001*Eqtn!F$419/(Eqtn!F$415*$H85*$D85+Eqtn!F$420*$I85*$E85))</f>
        <v>na</v>
      </c>
      <c r="P85" s="662" t="str">
        <f>IF(OR($F85="na",$F85="no calc"),"na",1*Eqtn!D$451/(Eqtn!D$447*$H85/$F85+Eqtn!D$452*$I85/$G85))</f>
        <v>na</v>
      </c>
      <c r="Q85" s="662" t="str">
        <f>IF(OR($F85="na",$F85="no calc"),"na",1*Eqtn!E$451/(Eqtn!E$447*$H85/$F85+Eqtn!E$452*$I85/$G85))</f>
        <v>na</v>
      </c>
      <c r="R85" s="662" t="str">
        <f>IF(OR($F85="na",$F85="no calc"),"na",1*Eqtn!F$451/(Eqtn!F$447*$H85/$F85+Eqtn!F$452*$I85/$G85))</f>
        <v>na</v>
      </c>
      <c r="S85" s="1418" t="str">
        <f t="shared" si="65"/>
        <v>na</v>
      </c>
      <c r="T85" s="1418" t="str">
        <f t="shared" si="66"/>
        <v>na</v>
      </c>
      <c r="U85" s="1418" t="str">
        <f t="shared" si="67"/>
        <v>na</v>
      </c>
      <c r="V85" s="1405" t="str">
        <f t="shared" si="68"/>
        <v>na</v>
      </c>
      <c r="W85" s="1383" t="str">
        <f t="shared" si="69"/>
        <v>na</v>
      </c>
      <c r="X85" s="1383" t="str">
        <f t="shared" si="70"/>
        <v>na</v>
      </c>
      <c r="Y85" s="1383" t="str">
        <f t="shared" si="71"/>
        <v>na</v>
      </c>
      <c r="Z85" s="1384" t="str">
        <f t="shared" si="72"/>
        <v>na</v>
      </c>
      <c r="AB85" s="1062"/>
    </row>
    <row r="86" spans="1:28" ht="13.9" customHeight="1" x14ac:dyDescent="0.25">
      <c r="A86" s="847">
        <f>Chem!A86</f>
        <v>84</v>
      </c>
      <c r="B86" s="916" t="str">
        <f>Chem!B86</f>
        <v>Bis(chloromethyl)ether</v>
      </c>
      <c r="C86" s="2305" t="str">
        <f>Param!AK86</f>
        <v>no</v>
      </c>
      <c r="D86" s="384" t="str">
        <f>IF(C86="YES",Param!V86,"no calc")</f>
        <v>no calc</v>
      </c>
      <c r="E86" s="552" t="str">
        <f>IF(C86="YES",Param!X86,"no calc")</f>
        <v>no calc</v>
      </c>
      <c r="F86" s="384" t="str">
        <f>IF(C86="YES",Param!O86,"no calc")</f>
        <v>no calc</v>
      </c>
      <c r="G86" s="622" t="str">
        <f>IF(C86="YES",Param!S86,"no calc")</f>
        <v>no calc</v>
      </c>
      <c r="H86" s="622" t="str">
        <f>IF(C86="YES",Param!AD86,"no calc")</f>
        <v>no calc</v>
      </c>
      <c r="I86" s="596" t="str">
        <f>IF(C86="YES",Param!AE86,"no calc")</f>
        <v>no calc</v>
      </c>
      <c r="J86" s="602" t="str">
        <f>IF(OR($D86="na",$D86="no calc"),"na",0.000001*Eqtn!D$419/(Eqtn!D$415*$H86*$D86+Eqtn!D$420*$I86*$E86))</f>
        <v>na</v>
      </c>
      <c r="K86" s="602" t="str">
        <f>IF(OR($D86="na",$D86="no calc"),"na",0.000001*Eqtn!E$419/(Eqtn!E$415*$H86*$D86+Eqtn!E$420*$I86*$E86))</f>
        <v>na</v>
      </c>
      <c r="L86" s="602" t="str">
        <f>IF(OR($D86="na",$D86="no calc"),"na",0.000001*Eqtn!F$419/(Eqtn!F$415*$H86*$D86+Eqtn!F$420*$I86*$E86))</f>
        <v>na</v>
      </c>
      <c r="M86" s="17" t="str">
        <f>IF(OR($D86="na",$D86="no calc"),"na",0.00001*Eqtn!D$419/(Eqtn!D$415*$H86*$D86+Eqtn!D$420*$I86*$E86))</f>
        <v>na</v>
      </c>
      <c r="N86" s="17" t="str">
        <f>IF(OR($D86="na",$D86="no calc"),"na",0.00001*Eqtn!E$419/(Eqtn!E$415*$H86*$D86+Eqtn!E$420*$I86*$E86))</f>
        <v>na</v>
      </c>
      <c r="O86" s="694" t="str">
        <f>IF(OR($D86="na",$D86="no calc"),"na",0.00001*Eqtn!F$419/(Eqtn!F$415*$H86*$D86+Eqtn!F$420*$I86*$E86))</f>
        <v>na</v>
      </c>
      <c r="P86" s="662" t="str">
        <f>IF(OR($F86="na",$F86="no calc"),"na",1*Eqtn!D$451/(Eqtn!D$447*$H86/$F86+Eqtn!D$452*$I86/$G86))</f>
        <v>na</v>
      </c>
      <c r="Q86" s="662" t="str">
        <f>IF(OR($F86="na",$F86="no calc"),"na",1*Eqtn!E$451/(Eqtn!E$447*$H86/$F86+Eqtn!E$452*$I86/$G86))</f>
        <v>na</v>
      </c>
      <c r="R86" s="662" t="str">
        <f>IF(OR($F86="na",$F86="no calc"),"na",1*Eqtn!F$451/(Eqtn!F$447*$H86/$F86+Eqtn!F$452*$I86/$G86))</f>
        <v>na</v>
      </c>
      <c r="S86" s="1418" t="str">
        <f t="shared" si="65"/>
        <v>na</v>
      </c>
      <c r="T86" s="1418" t="str">
        <f t="shared" si="66"/>
        <v>na</v>
      </c>
      <c r="U86" s="1418" t="str">
        <f t="shared" si="67"/>
        <v>na</v>
      </c>
      <c r="V86" s="1405" t="str">
        <f t="shared" si="68"/>
        <v>na</v>
      </c>
      <c r="W86" s="1383" t="str">
        <f t="shared" si="69"/>
        <v>na</v>
      </c>
      <c r="X86" s="1383" t="str">
        <f t="shared" si="70"/>
        <v>na</v>
      </c>
      <c r="Y86" s="1383" t="str">
        <f t="shared" si="71"/>
        <v>na</v>
      </c>
      <c r="Z86" s="1384" t="str">
        <f t="shared" si="72"/>
        <v>na</v>
      </c>
      <c r="AB86" s="1062"/>
    </row>
    <row r="87" spans="1:28" ht="13.9" customHeight="1" x14ac:dyDescent="0.25">
      <c r="A87" s="847">
        <f>Chem!A87</f>
        <v>85</v>
      </c>
      <c r="B87" s="916" t="str">
        <f>Chem!B87</f>
        <v xml:space="preserve">Bis(2-chloro-1-methylethyl)ether </v>
      </c>
      <c r="C87" s="2305" t="str">
        <f>Param!AK87</f>
        <v>no</v>
      </c>
      <c r="D87" s="384" t="str">
        <f>IF(C87="YES",Param!V87,"no calc")</f>
        <v>no calc</v>
      </c>
      <c r="E87" s="552" t="str">
        <f>IF(C87="YES",Param!X87,"no calc")</f>
        <v>no calc</v>
      </c>
      <c r="F87" s="384" t="str">
        <f>IF(C87="YES",Param!O87,"no calc")</f>
        <v>no calc</v>
      </c>
      <c r="G87" s="622" t="str">
        <f>IF(C87="YES",Param!S87,"no calc")</f>
        <v>no calc</v>
      </c>
      <c r="H87" s="622" t="str">
        <f>IF(C87="YES",Param!AD87,"no calc")</f>
        <v>no calc</v>
      </c>
      <c r="I87" s="596" t="str">
        <f>IF(C87="YES",Param!AE87,"no calc")</f>
        <v>no calc</v>
      </c>
      <c r="J87" s="602" t="str">
        <f>IF(OR($D87="na",$D87="no calc"),"na",0.000001*Eqtn!D$419/(Eqtn!D$415*$H87*$D87+Eqtn!D$420*$I87*$E87))</f>
        <v>na</v>
      </c>
      <c r="K87" s="602" t="str">
        <f>IF(OR($D87="na",$D87="no calc"),"na",0.000001*Eqtn!E$419/(Eqtn!E$415*$H87*$D87+Eqtn!E$420*$I87*$E87))</f>
        <v>na</v>
      </c>
      <c r="L87" s="602" t="str">
        <f>IF(OR($D87="na",$D87="no calc"),"na",0.000001*Eqtn!F$419/(Eqtn!F$415*$H87*$D87+Eqtn!F$420*$I87*$E87))</f>
        <v>na</v>
      </c>
      <c r="M87" s="17" t="str">
        <f>IF(OR($D87="na",$D87="no calc"),"na",0.00001*Eqtn!D$419/(Eqtn!D$415*$H87*$D87+Eqtn!D$420*$I87*$E87))</f>
        <v>na</v>
      </c>
      <c r="N87" s="17" t="str">
        <f>IF(OR($D87="na",$D87="no calc"),"na",0.00001*Eqtn!E$419/(Eqtn!E$415*$H87*$D87+Eqtn!E$420*$I87*$E87))</f>
        <v>na</v>
      </c>
      <c r="O87" s="694" t="str">
        <f>IF(OR($D87="na",$D87="no calc"),"na",0.00001*Eqtn!F$419/(Eqtn!F$415*$H87*$D87+Eqtn!F$420*$I87*$E87))</f>
        <v>na</v>
      </c>
      <c r="P87" s="662" t="str">
        <f>IF(OR($F87="na",$F87="no calc"),"na",1*Eqtn!D$451/(Eqtn!D$447*$H87/$F87+Eqtn!D$452*$I87/$G87))</f>
        <v>na</v>
      </c>
      <c r="Q87" s="662" t="str">
        <f>IF(OR($F87="na",$F87="no calc"),"na",1*Eqtn!E$451/(Eqtn!E$447*$H87/$F87+Eqtn!E$452*$I87/$G87))</f>
        <v>na</v>
      </c>
      <c r="R87" s="662" t="str">
        <f>IF(OR($F87="na",$F87="no calc"),"na",1*Eqtn!F$451/(Eqtn!F$447*$H87/$F87+Eqtn!F$452*$I87/$G87))</f>
        <v>na</v>
      </c>
      <c r="S87" s="1418" t="str">
        <f t="shared" si="65"/>
        <v>na</v>
      </c>
      <c r="T87" s="1418" t="str">
        <f t="shared" si="66"/>
        <v>na</v>
      </c>
      <c r="U87" s="1418" t="str">
        <f t="shared" si="67"/>
        <v>na</v>
      </c>
      <c r="V87" s="1405" t="str">
        <f t="shared" si="68"/>
        <v>na</v>
      </c>
      <c r="W87" s="1383" t="str">
        <f t="shared" si="69"/>
        <v>na</v>
      </c>
      <c r="X87" s="1383" t="str">
        <f t="shared" si="70"/>
        <v>na</v>
      </c>
      <c r="Y87" s="1383" t="str">
        <f t="shared" si="71"/>
        <v>na</v>
      </c>
      <c r="Z87" s="1384" t="str">
        <f t="shared" si="72"/>
        <v>na</v>
      </c>
      <c r="AB87" s="1062"/>
    </row>
    <row r="88" spans="1:28" ht="13.9" customHeight="1" x14ac:dyDescent="0.25">
      <c r="A88" s="847">
        <f>Chem!A88</f>
        <v>86</v>
      </c>
      <c r="B88" s="916" t="str">
        <f>Chem!B88</f>
        <v>2,6-Bis(1,1-dimethylethyl) phenol</v>
      </c>
      <c r="C88" s="2305" t="str">
        <f>Param!AK88</f>
        <v>no</v>
      </c>
      <c r="D88" s="384" t="str">
        <f>IF(C88="YES",Param!V88,"no calc")</f>
        <v>no calc</v>
      </c>
      <c r="E88" s="552" t="str">
        <f>IF(C88="YES",Param!X88,"no calc")</f>
        <v>no calc</v>
      </c>
      <c r="F88" s="384" t="str">
        <f>IF(C88="YES",Param!O88,"no calc")</f>
        <v>no calc</v>
      </c>
      <c r="G88" s="622" t="str">
        <f>IF(C88="YES",Param!S88,"no calc")</f>
        <v>no calc</v>
      </c>
      <c r="H88" s="622" t="str">
        <f>IF(C88="YES",Param!AD88,"no calc")</f>
        <v>no calc</v>
      </c>
      <c r="I88" s="596" t="str">
        <f>IF(C88="YES",Param!AE88,"no calc")</f>
        <v>no calc</v>
      </c>
      <c r="J88" s="602" t="str">
        <f>IF(OR($D88="na",$D88="no calc"),"na",0.000001*Eqtn!D$419/(Eqtn!D$415*$H88*$D88+Eqtn!D$420*$I88*$E88))</f>
        <v>na</v>
      </c>
      <c r="K88" s="602" t="str">
        <f>IF(OR($D88="na",$D88="no calc"),"na",0.000001*Eqtn!E$419/(Eqtn!E$415*$H88*$D88+Eqtn!E$420*$I88*$E88))</f>
        <v>na</v>
      </c>
      <c r="L88" s="602" t="str">
        <f>IF(OR($D88="na",$D88="no calc"),"na",0.000001*Eqtn!F$419/(Eqtn!F$415*$H88*$D88+Eqtn!F$420*$I88*$E88))</f>
        <v>na</v>
      </c>
      <c r="M88" s="17" t="str">
        <f>IF(OR($D88="na",$D88="no calc"),"na",0.00001*Eqtn!D$419/(Eqtn!D$415*$H88*$D88+Eqtn!D$420*$I88*$E88))</f>
        <v>na</v>
      </c>
      <c r="N88" s="17" t="str">
        <f>IF(OR($D88="na",$D88="no calc"),"na",0.00001*Eqtn!E$419/(Eqtn!E$415*$H88*$D88+Eqtn!E$420*$I88*$E88))</f>
        <v>na</v>
      </c>
      <c r="O88" s="694" t="str">
        <f>IF(OR($D88="na",$D88="no calc"),"na",0.00001*Eqtn!F$419/(Eqtn!F$415*$H88*$D88+Eqtn!F$420*$I88*$E88))</f>
        <v>na</v>
      </c>
      <c r="P88" s="662" t="str">
        <f>IF(OR($F88="na",$F88="no calc"),"na",1*Eqtn!D$451/(Eqtn!D$447*$H88/$F88+Eqtn!D$452*$I88/$G88))</f>
        <v>na</v>
      </c>
      <c r="Q88" s="662" t="str">
        <f>IF(OR($F88="na",$F88="no calc"),"na",1*Eqtn!E$451/(Eqtn!E$447*$H88/$F88+Eqtn!E$452*$I88/$G88))</f>
        <v>na</v>
      </c>
      <c r="R88" s="662" t="str">
        <f>IF(OR($F88="na",$F88="no calc"),"na",1*Eqtn!F$451/(Eqtn!F$447*$H88/$F88+Eqtn!F$452*$I88/$G88))</f>
        <v>na</v>
      </c>
      <c r="S88" s="1418" t="str">
        <f t="shared" si="65"/>
        <v>na</v>
      </c>
      <c r="T88" s="1418" t="str">
        <f t="shared" si="66"/>
        <v>na</v>
      </c>
      <c r="U88" s="1418" t="str">
        <f t="shared" si="67"/>
        <v>na</v>
      </c>
      <c r="V88" s="1405" t="str">
        <f t="shared" si="68"/>
        <v>na</v>
      </c>
      <c r="W88" s="1383" t="str">
        <f t="shared" si="69"/>
        <v>na</v>
      </c>
      <c r="X88" s="1383" t="str">
        <f t="shared" si="70"/>
        <v>na</v>
      </c>
      <c r="Y88" s="1383" t="str">
        <f t="shared" si="71"/>
        <v>na</v>
      </c>
      <c r="Z88" s="1384" t="str">
        <f t="shared" si="72"/>
        <v>na</v>
      </c>
      <c r="AB88" s="1062"/>
    </row>
    <row r="89" spans="1:28" ht="13.9" customHeight="1" x14ac:dyDescent="0.25">
      <c r="A89" s="847">
        <f>Chem!A89</f>
        <v>87</v>
      </c>
      <c r="B89" s="916" t="str">
        <f>Chem!B89</f>
        <v>Bis(2-ethylhexyl) phthalate</v>
      </c>
      <c r="C89" s="2305" t="str">
        <f>Param!AK89</f>
        <v>no</v>
      </c>
      <c r="D89" s="384" t="str">
        <f>IF(C89="YES",Param!V89,"no calc")</f>
        <v>no calc</v>
      </c>
      <c r="E89" s="552" t="str">
        <f>IF(C89="YES",Param!X89,"no calc")</f>
        <v>no calc</v>
      </c>
      <c r="F89" s="384" t="str">
        <f>IF(C89="YES",Param!O89,"no calc")</f>
        <v>no calc</v>
      </c>
      <c r="G89" s="622" t="str">
        <f>IF(C89="YES",Param!S89,"no calc")</f>
        <v>no calc</v>
      </c>
      <c r="H89" s="622" t="str">
        <f>IF(C89="YES",Param!AD89,"no calc")</f>
        <v>no calc</v>
      </c>
      <c r="I89" s="596" t="str">
        <f>IF(C89="YES",Param!AE89,"no calc")</f>
        <v>no calc</v>
      </c>
      <c r="J89" s="602" t="str">
        <f>IF(OR($D89="na",$D89="no calc"),"na",0.000001*Eqtn!D$419/(Eqtn!D$415*$H89*$D89+Eqtn!D$420*$I89*$E89))</f>
        <v>na</v>
      </c>
      <c r="K89" s="602" t="str">
        <f>IF(OR($D89="na",$D89="no calc"),"na",0.000001*Eqtn!E$419/(Eqtn!E$415*$H89*$D89+Eqtn!E$420*$I89*$E89))</f>
        <v>na</v>
      </c>
      <c r="L89" s="602" t="str">
        <f>IF(OR($D89="na",$D89="no calc"),"na",0.000001*Eqtn!F$419/(Eqtn!F$415*$H89*$D89+Eqtn!F$420*$I89*$E89))</f>
        <v>na</v>
      </c>
      <c r="M89" s="17" t="str">
        <f>IF(OR($D89="na",$D89="no calc"),"na",0.00001*Eqtn!D$419/(Eqtn!D$415*$H89*$D89+Eqtn!D$420*$I89*$E89))</f>
        <v>na</v>
      </c>
      <c r="N89" s="17" t="str">
        <f>IF(OR($D89="na",$D89="no calc"),"na",0.00001*Eqtn!E$419/(Eqtn!E$415*$H89*$D89+Eqtn!E$420*$I89*$E89))</f>
        <v>na</v>
      </c>
      <c r="O89" s="694" t="str">
        <f>IF(OR($D89="na",$D89="no calc"),"na",0.00001*Eqtn!F$419/(Eqtn!F$415*$H89*$D89+Eqtn!F$420*$I89*$E89))</f>
        <v>na</v>
      </c>
      <c r="P89" s="662" t="str">
        <f>IF(OR($F89="na",$F89="no calc"),"na",1*Eqtn!D$451/(Eqtn!D$447*$H89/$F89+Eqtn!D$452*$I89/$G89))</f>
        <v>na</v>
      </c>
      <c r="Q89" s="662" t="str">
        <f>IF(OR($F89="na",$F89="no calc"),"na",1*Eqtn!E$451/(Eqtn!E$447*$H89/$F89+Eqtn!E$452*$I89/$G89))</f>
        <v>na</v>
      </c>
      <c r="R89" s="662" t="str">
        <f>IF(OR($F89="na",$F89="no calc"),"na",1*Eqtn!F$451/(Eqtn!F$447*$H89/$F89+Eqtn!F$452*$I89/$G89))</f>
        <v>na</v>
      </c>
      <c r="S89" s="1418" t="str">
        <f t="shared" si="65"/>
        <v>na</v>
      </c>
      <c r="T89" s="1418" t="str">
        <f t="shared" si="66"/>
        <v>na</v>
      </c>
      <c r="U89" s="1418" t="str">
        <f t="shared" si="67"/>
        <v>na</v>
      </c>
      <c r="V89" s="1405" t="str">
        <f t="shared" si="68"/>
        <v>na</v>
      </c>
      <c r="W89" s="1383" t="str">
        <f t="shared" si="69"/>
        <v>na</v>
      </c>
      <c r="X89" s="1383" t="str">
        <f t="shared" si="70"/>
        <v>na</v>
      </c>
      <c r="Y89" s="1383" t="str">
        <f t="shared" si="71"/>
        <v>na</v>
      </c>
      <c r="Z89" s="1384" t="str">
        <f t="shared" si="72"/>
        <v>na</v>
      </c>
      <c r="AB89" s="1062"/>
    </row>
    <row r="90" spans="1:28" ht="13.9" customHeight="1" x14ac:dyDescent="0.25">
      <c r="A90" s="847">
        <f>Chem!A90</f>
        <v>88</v>
      </c>
      <c r="B90" s="916" t="str">
        <f>Chem!B90</f>
        <v>4-Bromophenyl phenyl ether</v>
      </c>
      <c r="C90" s="2305" t="str">
        <f>Param!AK90</f>
        <v>no</v>
      </c>
      <c r="D90" s="384" t="str">
        <f>IF(C90="YES",Param!V90,"no calc")</f>
        <v>no calc</v>
      </c>
      <c r="E90" s="552" t="str">
        <f>IF(C90="YES",Param!X90,"no calc")</f>
        <v>no calc</v>
      </c>
      <c r="F90" s="384" t="str">
        <f>IF(C90="YES",Param!O90,"no calc")</f>
        <v>no calc</v>
      </c>
      <c r="G90" s="622" t="str">
        <f>IF(C90="YES",Param!S90,"no calc")</f>
        <v>no calc</v>
      </c>
      <c r="H90" s="622" t="str">
        <f>IF(C90="YES",Param!AD90,"no calc")</f>
        <v>no calc</v>
      </c>
      <c r="I90" s="596" t="str">
        <f>IF(C90="YES",Param!AE90,"no calc")</f>
        <v>no calc</v>
      </c>
      <c r="J90" s="602" t="str">
        <f>IF(OR($D90="na",$D90="no calc"),"na",0.000001*Eqtn!D$419/(Eqtn!D$415*$H90*$D90+Eqtn!D$420*$I90*$E90))</f>
        <v>na</v>
      </c>
      <c r="K90" s="602" t="str">
        <f>IF(OR($D90="na",$D90="no calc"),"na",0.000001*Eqtn!E$419/(Eqtn!E$415*$H90*$D90+Eqtn!E$420*$I90*$E90))</f>
        <v>na</v>
      </c>
      <c r="L90" s="602" t="str">
        <f>IF(OR($D90="na",$D90="no calc"),"na",0.000001*Eqtn!F$419/(Eqtn!F$415*$H90*$D90+Eqtn!F$420*$I90*$E90))</f>
        <v>na</v>
      </c>
      <c r="M90" s="17" t="str">
        <f>IF(OR($D90="na",$D90="no calc"),"na",0.00001*Eqtn!D$419/(Eqtn!D$415*$H90*$D90+Eqtn!D$420*$I90*$E90))</f>
        <v>na</v>
      </c>
      <c r="N90" s="17" t="str">
        <f>IF(OR($D90="na",$D90="no calc"),"na",0.00001*Eqtn!E$419/(Eqtn!E$415*$H90*$D90+Eqtn!E$420*$I90*$E90))</f>
        <v>na</v>
      </c>
      <c r="O90" s="694" t="str">
        <f>IF(OR($D90="na",$D90="no calc"),"na",0.00001*Eqtn!F$419/(Eqtn!F$415*$H90*$D90+Eqtn!F$420*$I90*$E90))</f>
        <v>na</v>
      </c>
      <c r="P90" s="662" t="str">
        <f>IF(OR($F90="na",$F90="no calc"),"na",1*Eqtn!D$451/(Eqtn!D$447*$H90/$F90+Eqtn!D$452*$I90/$G90))</f>
        <v>na</v>
      </c>
      <c r="Q90" s="662" t="str">
        <f>IF(OR($F90="na",$F90="no calc"),"na",1*Eqtn!E$451/(Eqtn!E$447*$H90/$F90+Eqtn!E$452*$I90/$G90))</f>
        <v>na</v>
      </c>
      <c r="R90" s="662" t="str">
        <f>IF(OR($F90="na",$F90="no calc"),"na",1*Eqtn!F$451/(Eqtn!F$447*$H90/$F90+Eqtn!F$452*$I90/$G90))</f>
        <v>na</v>
      </c>
      <c r="S90" s="1418" t="str">
        <f t="shared" si="65"/>
        <v>na</v>
      </c>
      <c r="T90" s="1418" t="str">
        <f t="shared" si="66"/>
        <v>na</v>
      </c>
      <c r="U90" s="1418" t="str">
        <f t="shared" si="67"/>
        <v>na</v>
      </c>
      <c r="V90" s="1405" t="str">
        <f t="shared" si="68"/>
        <v>na</v>
      </c>
      <c r="W90" s="1383" t="str">
        <f t="shared" si="69"/>
        <v>na</v>
      </c>
      <c r="X90" s="1383" t="str">
        <f t="shared" si="70"/>
        <v>na</v>
      </c>
      <c r="Y90" s="1383" t="str">
        <f t="shared" si="71"/>
        <v>na</v>
      </c>
      <c r="Z90" s="1384" t="str">
        <f t="shared" si="72"/>
        <v>na</v>
      </c>
      <c r="AB90" s="1062"/>
    </row>
    <row r="91" spans="1:28" ht="13.9" customHeight="1" x14ac:dyDescent="0.25">
      <c r="A91" s="847">
        <f>Chem!A91</f>
        <v>89</v>
      </c>
      <c r="B91" s="916" t="str">
        <f>Chem!B91</f>
        <v>Butyl benzyl phthalate</v>
      </c>
      <c r="C91" s="2305" t="str">
        <f>Param!AK91</f>
        <v>no</v>
      </c>
      <c r="D91" s="384" t="str">
        <f>IF(C91="YES",Param!V91,"no calc")</f>
        <v>no calc</v>
      </c>
      <c r="E91" s="552" t="str">
        <f>IF(C91="YES",Param!X91,"no calc")</f>
        <v>no calc</v>
      </c>
      <c r="F91" s="384" t="str">
        <f>IF(C91="YES",Param!O91,"no calc")</f>
        <v>no calc</v>
      </c>
      <c r="G91" s="622" t="str">
        <f>IF(C91="YES",Param!S91,"no calc")</f>
        <v>no calc</v>
      </c>
      <c r="H91" s="622" t="str">
        <f>IF(C91="YES",Param!AD91,"no calc")</f>
        <v>no calc</v>
      </c>
      <c r="I91" s="596" t="str">
        <f>IF(C91="YES",Param!AE91,"no calc")</f>
        <v>no calc</v>
      </c>
      <c r="J91" s="602" t="str">
        <f>IF(OR($D91="na",$D91="no calc"),"na",0.000001*Eqtn!D$419/(Eqtn!D$415*$H91*$D91+Eqtn!D$420*$I91*$E91))</f>
        <v>na</v>
      </c>
      <c r="K91" s="602" t="str">
        <f>IF(OR($D91="na",$D91="no calc"),"na",0.000001*Eqtn!E$419/(Eqtn!E$415*$H91*$D91+Eqtn!E$420*$I91*$E91))</f>
        <v>na</v>
      </c>
      <c r="L91" s="602" t="str">
        <f>IF(OR($D91="na",$D91="no calc"),"na",0.000001*Eqtn!F$419/(Eqtn!F$415*$H91*$D91+Eqtn!F$420*$I91*$E91))</f>
        <v>na</v>
      </c>
      <c r="M91" s="17" t="str">
        <f>IF(OR($D91="na",$D91="no calc"),"na",0.00001*Eqtn!D$419/(Eqtn!D$415*$H91*$D91+Eqtn!D$420*$I91*$E91))</f>
        <v>na</v>
      </c>
      <c r="N91" s="17" t="str">
        <f>IF(OR($D91="na",$D91="no calc"),"na",0.00001*Eqtn!E$419/(Eqtn!E$415*$H91*$D91+Eqtn!E$420*$I91*$E91))</f>
        <v>na</v>
      </c>
      <c r="O91" s="694" t="str">
        <f>IF(OR($D91="na",$D91="no calc"),"na",0.00001*Eqtn!F$419/(Eqtn!F$415*$H91*$D91+Eqtn!F$420*$I91*$E91))</f>
        <v>na</v>
      </c>
      <c r="P91" s="662" t="str">
        <f>IF(OR($F91="na",$F91="no calc"),"na",1*Eqtn!D$451/(Eqtn!D$447*$H91/$F91+Eqtn!D$452*$I91/$G91))</f>
        <v>na</v>
      </c>
      <c r="Q91" s="662" t="str">
        <f>IF(OR($F91="na",$F91="no calc"),"na",1*Eqtn!E$451/(Eqtn!E$447*$H91/$F91+Eqtn!E$452*$I91/$G91))</f>
        <v>na</v>
      </c>
      <c r="R91" s="662" t="str">
        <f>IF(OR($F91="na",$F91="no calc"),"na",1*Eqtn!F$451/(Eqtn!F$447*$H91/$F91+Eqtn!F$452*$I91/$G91))</f>
        <v>na</v>
      </c>
      <c r="S91" s="1418" t="str">
        <f t="shared" si="65"/>
        <v>na</v>
      </c>
      <c r="T91" s="1418" t="str">
        <f t="shared" si="66"/>
        <v>na</v>
      </c>
      <c r="U91" s="1418" t="str">
        <f t="shared" si="67"/>
        <v>na</v>
      </c>
      <c r="V91" s="1405" t="str">
        <f t="shared" si="68"/>
        <v>na</v>
      </c>
      <c r="W91" s="1383" t="str">
        <f t="shared" si="69"/>
        <v>na</v>
      </c>
      <c r="X91" s="1383" t="str">
        <f t="shared" si="70"/>
        <v>na</v>
      </c>
      <c r="Y91" s="1383" t="str">
        <f t="shared" si="71"/>
        <v>na</v>
      </c>
      <c r="Z91" s="1384" t="str">
        <f t="shared" si="72"/>
        <v>na</v>
      </c>
      <c r="AB91" s="1062"/>
    </row>
    <row r="92" spans="1:28" ht="13.9" customHeight="1" x14ac:dyDescent="0.25">
      <c r="A92" s="847">
        <f>Chem!A92</f>
        <v>90</v>
      </c>
      <c r="B92" s="916" t="str">
        <f>Chem!B92</f>
        <v>Butyl diphenyl phosphate</v>
      </c>
      <c r="C92" s="2305" t="str">
        <f>Param!AK92</f>
        <v>no</v>
      </c>
      <c r="D92" s="384" t="str">
        <f>IF(C92="YES",Param!V92,"no calc")</f>
        <v>no calc</v>
      </c>
      <c r="E92" s="552" t="str">
        <f>IF(C92="YES",Param!X92,"no calc")</f>
        <v>no calc</v>
      </c>
      <c r="F92" s="384" t="str">
        <f>IF(C92="YES",Param!O92,"no calc")</f>
        <v>no calc</v>
      </c>
      <c r="G92" s="622" t="str">
        <f>IF(C92="YES",Param!S92,"no calc")</f>
        <v>no calc</v>
      </c>
      <c r="H92" s="622" t="str">
        <f>IF(C92="YES",Param!AD92,"no calc")</f>
        <v>no calc</v>
      </c>
      <c r="I92" s="596" t="str">
        <f>IF(C92="YES",Param!AE92,"no calc")</f>
        <v>no calc</v>
      </c>
      <c r="J92" s="602" t="str">
        <f>IF(OR($D92="na",$D92="no calc"),"na",0.000001*Eqtn!D$419/(Eqtn!D$415*$H92*$D92+Eqtn!D$420*$I92*$E92))</f>
        <v>na</v>
      </c>
      <c r="K92" s="602" t="str">
        <f>IF(OR($D92="na",$D92="no calc"),"na",0.000001*Eqtn!E$419/(Eqtn!E$415*$H92*$D92+Eqtn!E$420*$I92*$E92))</f>
        <v>na</v>
      </c>
      <c r="L92" s="602" t="str">
        <f>IF(OR($D92="na",$D92="no calc"),"na",0.000001*Eqtn!F$419/(Eqtn!F$415*$H92*$D92+Eqtn!F$420*$I92*$E92))</f>
        <v>na</v>
      </c>
      <c r="M92" s="17" t="str">
        <f>IF(OR($D92="na",$D92="no calc"),"na",0.00001*Eqtn!D$419/(Eqtn!D$415*$H92*$D92+Eqtn!D$420*$I92*$E92))</f>
        <v>na</v>
      </c>
      <c r="N92" s="17" t="str">
        <f>IF(OR($D92="na",$D92="no calc"),"na",0.00001*Eqtn!E$419/(Eqtn!E$415*$H92*$D92+Eqtn!E$420*$I92*$E92))</f>
        <v>na</v>
      </c>
      <c r="O92" s="694" t="str">
        <f>IF(OR($D92="na",$D92="no calc"),"na",0.00001*Eqtn!F$419/(Eqtn!F$415*$H92*$D92+Eqtn!F$420*$I92*$E92))</f>
        <v>na</v>
      </c>
      <c r="P92" s="662" t="str">
        <f>IF(OR($F92="na",$F92="no calc"),"na",1*Eqtn!D$451/(Eqtn!D$447*$H92/$F92+Eqtn!D$452*$I92/$G92))</f>
        <v>na</v>
      </c>
      <c r="Q92" s="662" t="str">
        <f>IF(OR($F92="na",$F92="no calc"),"na",1*Eqtn!E$451/(Eqtn!E$447*$H92/$F92+Eqtn!E$452*$I92/$G92))</f>
        <v>na</v>
      </c>
      <c r="R92" s="662" t="str">
        <f>IF(OR($F92="na",$F92="no calc"),"na",1*Eqtn!F$451/(Eqtn!F$447*$H92/$F92+Eqtn!F$452*$I92/$G92))</f>
        <v>na</v>
      </c>
      <c r="S92" s="1418" t="str">
        <f t="shared" si="65"/>
        <v>na</v>
      </c>
      <c r="T92" s="1418" t="str">
        <f t="shared" si="66"/>
        <v>na</v>
      </c>
      <c r="U92" s="1418" t="str">
        <f t="shared" si="67"/>
        <v>na</v>
      </c>
      <c r="V92" s="1405" t="str">
        <f t="shared" si="68"/>
        <v>na</v>
      </c>
      <c r="W92" s="1383" t="str">
        <f t="shared" si="69"/>
        <v>na</v>
      </c>
      <c r="X92" s="1383" t="str">
        <f t="shared" si="70"/>
        <v>na</v>
      </c>
      <c r="Y92" s="1383" t="str">
        <f t="shared" si="71"/>
        <v>na</v>
      </c>
      <c r="Z92" s="1384" t="str">
        <f t="shared" si="72"/>
        <v>na</v>
      </c>
      <c r="AB92" s="1062"/>
    </row>
    <row r="93" spans="1:28" ht="13.9" customHeight="1" x14ac:dyDescent="0.25">
      <c r="A93" s="847">
        <f>Chem!A93</f>
        <v>91</v>
      </c>
      <c r="B93" s="916" t="str">
        <f>Chem!B93</f>
        <v>Carbazole</v>
      </c>
      <c r="C93" s="2305" t="str">
        <f>Param!AK93</f>
        <v>no</v>
      </c>
      <c r="D93" s="384" t="str">
        <f>IF(C93="YES",Param!V93,"no calc")</f>
        <v>no calc</v>
      </c>
      <c r="E93" s="552" t="str">
        <f>IF(C93="YES",Param!X93,"no calc")</f>
        <v>no calc</v>
      </c>
      <c r="F93" s="384" t="str">
        <f>IF(C93="YES",Param!O93,"no calc")</f>
        <v>no calc</v>
      </c>
      <c r="G93" s="622" t="str">
        <f>IF(C93="YES",Param!S93,"no calc")</f>
        <v>no calc</v>
      </c>
      <c r="H93" s="622" t="str">
        <f>IF(C93="YES",Param!AD93,"no calc")</f>
        <v>no calc</v>
      </c>
      <c r="I93" s="596" t="str">
        <f>IF(C93="YES",Param!AE93,"no calc")</f>
        <v>no calc</v>
      </c>
      <c r="J93" s="602" t="str">
        <f>IF(OR($D93="na",$D93="no calc"),"na",0.000001*Eqtn!D$419/(Eqtn!D$415*$H93*$D93+Eqtn!D$420*$I93*$E93))</f>
        <v>na</v>
      </c>
      <c r="K93" s="602" t="str">
        <f>IF(OR($D93="na",$D93="no calc"),"na",0.000001*Eqtn!E$419/(Eqtn!E$415*$H93*$D93+Eqtn!E$420*$I93*$E93))</f>
        <v>na</v>
      </c>
      <c r="L93" s="602" t="str">
        <f>IF(OR($D93="na",$D93="no calc"),"na",0.000001*Eqtn!F$419/(Eqtn!F$415*$H93*$D93+Eqtn!F$420*$I93*$E93))</f>
        <v>na</v>
      </c>
      <c r="M93" s="17" t="str">
        <f>IF(OR($D93="na",$D93="no calc"),"na",0.00001*Eqtn!D$419/(Eqtn!D$415*$H93*$D93+Eqtn!D$420*$I93*$E93))</f>
        <v>na</v>
      </c>
      <c r="N93" s="17" t="str">
        <f>IF(OR($D93="na",$D93="no calc"),"na",0.00001*Eqtn!E$419/(Eqtn!E$415*$H93*$D93+Eqtn!E$420*$I93*$E93))</f>
        <v>na</v>
      </c>
      <c r="O93" s="694" t="str">
        <f>IF(OR($D93="na",$D93="no calc"),"na",0.00001*Eqtn!F$419/(Eqtn!F$415*$H93*$D93+Eqtn!F$420*$I93*$E93))</f>
        <v>na</v>
      </c>
      <c r="P93" s="662" t="str">
        <f>IF(OR($F93="na",$F93="no calc"),"na",1*Eqtn!D$451/(Eqtn!D$447*$H93/$F93+Eqtn!D$452*$I93/$G93))</f>
        <v>na</v>
      </c>
      <c r="Q93" s="662" t="str">
        <f>IF(OR($F93="na",$F93="no calc"),"na",1*Eqtn!E$451/(Eqtn!E$447*$H93/$F93+Eqtn!E$452*$I93/$G93))</f>
        <v>na</v>
      </c>
      <c r="R93" s="662" t="str">
        <f>IF(OR($F93="na",$F93="no calc"),"na",1*Eqtn!F$451/(Eqtn!F$447*$H93/$F93+Eqtn!F$452*$I93/$G93))</f>
        <v>na</v>
      </c>
      <c r="S93" s="1418" t="str">
        <f t="shared" si="65"/>
        <v>na</v>
      </c>
      <c r="T93" s="1418" t="str">
        <f t="shared" si="66"/>
        <v>na</v>
      </c>
      <c r="U93" s="1418" t="str">
        <f t="shared" si="67"/>
        <v>na</v>
      </c>
      <c r="V93" s="1405" t="str">
        <f t="shared" si="68"/>
        <v>na</v>
      </c>
      <c r="W93" s="1383" t="str">
        <f t="shared" si="69"/>
        <v>na</v>
      </c>
      <c r="X93" s="1383" t="str">
        <f t="shared" si="70"/>
        <v>na</v>
      </c>
      <c r="Y93" s="1383" t="str">
        <f t="shared" si="71"/>
        <v>na</v>
      </c>
      <c r="Z93" s="1384" t="str">
        <f t="shared" si="72"/>
        <v>na</v>
      </c>
      <c r="AB93" s="1062"/>
    </row>
    <row r="94" spans="1:28" ht="13.9" customHeight="1" x14ac:dyDescent="0.25">
      <c r="A94" s="847">
        <f>Chem!A94</f>
        <v>92</v>
      </c>
      <c r="B94" s="916" t="str">
        <f>Chem!B94</f>
        <v>4-Chloroaniline</v>
      </c>
      <c r="C94" s="2305" t="str">
        <f>Param!AK94</f>
        <v>no</v>
      </c>
      <c r="D94" s="384" t="str">
        <f>IF(C94="YES",Param!V94,"no calc")</f>
        <v>no calc</v>
      </c>
      <c r="E94" s="552" t="str">
        <f>IF(C94="YES",Param!X94,"no calc")</f>
        <v>no calc</v>
      </c>
      <c r="F94" s="384" t="str">
        <f>IF(C94="YES",Param!O94,"no calc")</f>
        <v>no calc</v>
      </c>
      <c r="G94" s="622" t="str">
        <f>IF(C94="YES",Param!S94,"no calc")</f>
        <v>no calc</v>
      </c>
      <c r="H94" s="622" t="str">
        <f>IF(C94="YES",Param!AD94,"no calc")</f>
        <v>no calc</v>
      </c>
      <c r="I94" s="596" t="str">
        <f>IF(C94="YES",Param!AE94,"no calc")</f>
        <v>no calc</v>
      </c>
      <c r="J94" s="602" t="str">
        <f>IF(OR($D94="na",$D94="no calc"),"na",0.000001*Eqtn!D$419/(Eqtn!D$415*$H94*$D94+Eqtn!D$420*$I94*$E94))</f>
        <v>na</v>
      </c>
      <c r="K94" s="602" t="str">
        <f>IF(OR($D94="na",$D94="no calc"),"na",0.000001*Eqtn!E$419/(Eqtn!E$415*$H94*$D94+Eqtn!E$420*$I94*$E94))</f>
        <v>na</v>
      </c>
      <c r="L94" s="602" t="str">
        <f>IF(OR($D94="na",$D94="no calc"),"na",0.000001*Eqtn!F$419/(Eqtn!F$415*$H94*$D94+Eqtn!F$420*$I94*$E94))</f>
        <v>na</v>
      </c>
      <c r="M94" s="17" t="str">
        <f>IF(OR($D94="na",$D94="no calc"),"na",0.00001*Eqtn!D$419/(Eqtn!D$415*$H94*$D94+Eqtn!D$420*$I94*$E94))</f>
        <v>na</v>
      </c>
      <c r="N94" s="17" t="str">
        <f>IF(OR($D94="na",$D94="no calc"),"na",0.00001*Eqtn!E$419/(Eqtn!E$415*$H94*$D94+Eqtn!E$420*$I94*$E94))</f>
        <v>na</v>
      </c>
      <c r="O94" s="694" t="str">
        <f>IF(OR($D94="na",$D94="no calc"),"na",0.00001*Eqtn!F$419/(Eqtn!F$415*$H94*$D94+Eqtn!F$420*$I94*$E94))</f>
        <v>na</v>
      </c>
      <c r="P94" s="662" t="str">
        <f>IF(OR($F94="na",$F94="no calc"),"na",1*Eqtn!D$451/(Eqtn!D$447*$H94/$F94+Eqtn!D$452*$I94/$G94))</f>
        <v>na</v>
      </c>
      <c r="Q94" s="662" t="str">
        <f>IF(OR($F94="na",$F94="no calc"),"na",1*Eqtn!E$451/(Eqtn!E$447*$H94/$F94+Eqtn!E$452*$I94/$G94))</f>
        <v>na</v>
      </c>
      <c r="R94" s="662" t="str">
        <f>IF(OR($F94="na",$F94="no calc"),"na",1*Eqtn!F$451/(Eqtn!F$447*$H94/$F94+Eqtn!F$452*$I94/$G94))</f>
        <v>na</v>
      </c>
      <c r="S94" s="1418" t="str">
        <f t="shared" si="65"/>
        <v>na</v>
      </c>
      <c r="T94" s="1418" t="str">
        <f t="shared" si="66"/>
        <v>na</v>
      </c>
      <c r="U94" s="1418" t="str">
        <f t="shared" si="67"/>
        <v>na</v>
      </c>
      <c r="V94" s="1405" t="str">
        <f t="shared" si="68"/>
        <v>na</v>
      </c>
      <c r="W94" s="1383" t="str">
        <f t="shared" si="69"/>
        <v>na</v>
      </c>
      <c r="X94" s="1383" t="str">
        <f t="shared" si="70"/>
        <v>na</v>
      </c>
      <c r="Y94" s="1383" t="str">
        <f t="shared" si="71"/>
        <v>na</v>
      </c>
      <c r="Z94" s="1384" t="str">
        <f t="shared" si="72"/>
        <v>na</v>
      </c>
      <c r="AB94" s="1062"/>
    </row>
    <row r="95" spans="1:28" ht="13.9" customHeight="1" x14ac:dyDescent="0.25">
      <c r="A95" s="847">
        <f>Chem!A95</f>
        <v>93</v>
      </c>
      <c r="B95" s="916" t="str">
        <f>Chem!B95</f>
        <v>4-Chloro-3-methylphenol (chlorocresol)</v>
      </c>
      <c r="C95" s="2305" t="str">
        <f>Param!AK95</f>
        <v>no</v>
      </c>
      <c r="D95" s="384" t="str">
        <f>IF(C95="YES",Param!V95,"no calc")</f>
        <v>no calc</v>
      </c>
      <c r="E95" s="552" t="str">
        <f>IF(C95="YES",Param!X95,"no calc")</f>
        <v>no calc</v>
      </c>
      <c r="F95" s="384" t="str">
        <f>IF(C95="YES",Param!O95,"no calc")</f>
        <v>no calc</v>
      </c>
      <c r="G95" s="622" t="str">
        <f>IF(C95="YES",Param!S95,"no calc")</f>
        <v>no calc</v>
      </c>
      <c r="H95" s="622" t="str">
        <f>IF(C95="YES",Param!AD95,"no calc")</f>
        <v>no calc</v>
      </c>
      <c r="I95" s="596" t="str">
        <f>IF(C95="YES",Param!AE95,"no calc")</f>
        <v>no calc</v>
      </c>
      <c r="J95" s="602" t="str">
        <f>IF(OR($D95="na",$D95="no calc"),"na",0.000001*Eqtn!D$419/(Eqtn!D$415*$H95*$D95+Eqtn!D$420*$I95*$E95))</f>
        <v>na</v>
      </c>
      <c r="K95" s="602" t="str">
        <f>IF(OR($D95="na",$D95="no calc"),"na",0.000001*Eqtn!E$419/(Eqtn!E$415*$H95*$D95+Eqtn!E$420*$I95*$E95))</f>
        <v>na</v>
      </c>
      <c r="L95" s="602" t="str">
        <f>IF(OR($D95="na",$D95="no calc"),"na",0.000001*Eqtn!F$419/(Eqtn!F$415*$H95*$D95+Eqtn!F$420*$I95*$E95))</f>
        <v>na</v>
      </c>
      <c r="M95" s="17" t="str">
        <f>IF(OR($D95="na",$D95="no calc"),"na",0.00001*Eqtn!D$419/(Eqtn!D$415*$H95*$D95+Eqtn!D$420*$I95*$E95))</f>
        <v>na</v>
      </c>
      <c r="N95" s="17" t="str">
        <f>IF(OR($D95="na",$D95="no calc"),"na",0.00001*Eqtn!E$419/(Eqtn!E$415*$H95*$D95+Eqtn!E$420*$I95*$E95))</f>
        <v>na</v>
      </c>
      <c r="O95" s="694" t="str">
        <f>IF(OR($D95="na",$D95="no calc"),"na",0.00001*Eqtn!F$419/(Eqtn!F$415*$H95*$D95+Eqtn!F$420*$I95*$E95))</f>
        <v>na</v>
      </c>
      <c r="P95" s="662" t="str">
        <f>IF(OR($F95="na",$F95="no calc"),"na",1*Eqtn!D$451/(Eqtn!D$447*$H95/$F95+Eqtn!D$452*$I95/$G95))</f>
        <v>na</v>
      </c>
      <c r="Q95" s="662" t="str">
        <f>IF(OR($F95="na",$F95="no calc"),"na",1*Eqtn!E$451/(Eqtn!E$447*$H95/$F95+Eqtn!E$452*$I95/$G95))</f>
        <v>na</v>
      </c>
      <c r="R95" s="662" t="str">
        <f>IF(OR($F95="na",$F95="no calc"),"na",1*Eqtn!F$451/(Eqtn!F$447*$H95/$F95+Eqtn!F$452*$I95/$G95))</f>
        <v>na</v>
      </c>
      <c r="S95" s="1418" t="str">
        <f t="shared" si="65"/>
        <v>na</v>
      </c>
      <c r="T95" s="1418" t="str">
        <f t="shared" si="66"/>
        <v>na</v>
      </c>
      <c r="U95" s="1418" t="str">
        <f t="shared" si="67"/>
        <v>na</v>
      </c>
      <c r="V95" s="1405" t="str">
        <f t="shared" si="68"/>
        <v>na</v>
      </c>
      <c r="W95" s="1383" t="str">
        <f t="shared" si="69"/>
        <v>na</v>
      </c>
      <c r="X95" s="1383" t="str">
        <f t="shared" si="70"/>
        <v>na</v>
      </c>
      <c r="Y95" s="1383" t="str">
        <f t="shared" si="71"/>
        <v>na</v>
      </c>
      <c r="Z95" s="1384" t="str">
        <f t="shared" si="72"/>
        <v>na</v>
      </c>
      <c r="AB95" s="1062"/>
    </row>
    <row r="96" spans="1:28" ht="13.9" customHeight="1" x14ac:dyDescent="0.25">
      <c r="A96" s="847">
        <f>Chem!A96</f>
        <v>94</v>
      </c>
      <c r="B96" s="916" t="str">
        <f>Chem!B96</f>
        <v>2-Chloronaphthalene (beta-)</v>
      </c>
      <c r="C96" s="2305" t="str">
        <f>Param!AK96</f>
        <v>no</v>
      </c>
      <c r="D96" s="384" t="str">
        <f>IF(C96="YES",Param!V96,"no calc")</f>
        <v>no calc</v>
      </c>
      <c r="E96" s="552" t="str">
        <f>IF(C96="YES",Param!X96,"no calc")</f>
        <v>no calc</v>
      </c>
      <c r="F96" s="384" t="str">
        <f>IF(C96="YES",Param!O96,"no calc")</f>
        <v>no calc</v>
      </c>
      <c r="G96" s="622" t="str">
        <f>IF(C96="YES",Param!S96,"no calc")</f>
        <v>no calc</v>
      </c>
      <c r="H96" s="622" t="str">
        <f>IF(C96="YES",Param!AD96,"no calc")</f>
        <v>no calc</v>
      </c>
      <c r="I96" s="596" t="str">
        <f>IF(C96="YES",Param!AE96,"no calc")</f>
        <v>no calc</v>
      </c>
      <c r="J96" s="602" t="str">
        <f>IF(OR($D96="na",$D96="no calc"),"na",0.000001*Eqtn!D$419/(Eqtn!D$415*$H96*$D96+Eqtn!D$420*$I96*$E96))</f>
        <v>na</v>
      </c>
      <c r="K96" s="602" t="str">
        <f>IF(OR($D96="na",$D96="no calc"),"na",0.000001*Eqtn!E$419/(Eqtn!E$415*$H96*$D96+Eqtn!E$420*$I96*$E96))</f>
        <v>na</v>
      </c>
      <c r="L96" s="602" t="str">
        <f>IF(OR($D96="na",$D96="no calc"),"na",0.000001*Eqtn!F$419/(Eqtn!F$415*$H96*$D96+Eqtn!F$420*$I96*$E96))</f>
        <v>na</v>
      </c>
      <c r="M96" s="17" t="str">
        <f>IF(OR($D96="na",$D96="no calc"),"na",0.00001*Eqtn!D$419/(Eqtn!D$415*$H96*$D96+Eqtn!D$420*$I96*$E96))</f>
        <v>na</v>
      </c>
      <c r="N96" s="17" t="str">
        <f>IF(OR($D96="na",$D96="no calc"),"na",0.00001*Eqtn!E$419/(Eqtn!E$415*$H96*$D96+Eqtn!E$420*$I96*$E96))</f>
        <v>na</v>
      </c>
      <c r="O96" s="694" t="str">
        <f>IF(OR($D96="na",$D96="no calc"),"na",0.00001*Eqtn!F$419/(Eqtn!F$415*$H96*$D96+Eqtn!F$420*$I96*$E96))</f>
        <v>na</v>
      </c>
      <c r="P96" s="662" t="str">
        <f>IF(OR($F96="na",$F96="no calc"),"na",1*Eqtn!D$451/(Eqtn!D$447*$H96/$F96+Eqtn!D$452*$I96/$G96))</f>
        <v>na</v>
      </c>
      <c r="Q96" s="662" t="str">
        <f>IF(OR($F96="na",$F96="no calc"),"na",1*Eqtn!E$451/(Eqtn!E$447*$H96/$F96+Eqtn!E$452*$I96/$G96))</f>
        <v>na</v>
      </c>
      <c r="R96" s="662" t="str">
        <f>IF(OR($F96="na",$F96="no calc"),"na",1*Eqtn!F$451/(Eqtn!F$447*$H96/$F96+Eqtn!F$452*$I96/$G96))</f>
        <v>na</v>
      </c>
      <c r="S96" s="1418" t="str">
        <f t="shared" si="65"/>
        <v>na</v>
      </c>
      <c r="T96" s="1418" t="str">
        <f t="shared" si="66"/>
        <v>na</v>
      </c>
      <c r="U96" s="1418" t="str">
        <f t="shared" si="67"/>
        <v>na</v>
      </c>
      <c r="V96" s="1405" t="str">
        <f t="shared" si="68"/>
        <v>na</v>
      </c>
      <c r="W96" s="1383" t="str">
        <f t="shared" si="69"/>
        <v>na</v>
      </c>
      <c r="X96" s="1383" t="str">
        <f t="shared" si="70"/>
        <v>na</v>
      </c>
      <c r="Y96" s="1383" t="str">
        <f t="shared" si="71"/>
        <v>na</v>
      </c>
      <c r="Z96" s="1384" t="str">
        <f t="shared" si="72"/>
        <v>na</v>
      </c>
      <c r="AB96" s="1062"/>
    </row>
    <row r="97" spans="1:28" ht="13.9" customHeight="1" x14ac:dyDescent="0.25">
      <c r="A97" s="847">
        <f>Chem!A97</f>
        <v>95</v>
      </c>
      <c r="B97" s="916" t="str">
        <f>Chem!B97</f>
        <v>2-Chlorophenol</v>
      </c>
      <c r="C97" s="2305" t="str">
        <f>Param!AK97</f>
        <v>no</v>
      </c>
      <c r="D97" s="384" t="str">
        <f>IF(C97="YES",Param!V97,"no calc")</f>
        <v>no calc</v>
      </c>
      <c r="E97" s="552" t="str">
        <f>IF(C97="YES",Param!X97,"no calc")</f>
        <v>no calc</v>
      </c>
      <c r="F97" s="384" t="str">
        <f>IF(C97="YES",Param!O97,"no calc")</f>
        <v>no calc</v>
      </c>
      <c r="G97" s="622" t="str">
        <f>IF(C97="YES",Param!S97,"no calc")</f>
        <v>no calc</v>
      </c>
      <c r="H97" s="622" t="str">
        <f>IF(C97="YES",Param!AD97,"no calc")</f>
        <v>no calc</v>
      </c>
      <c r="I97" s="596" t="str">
        <f>IF(C97="YES",Param!AE97,"no calc")</f>
        <v>no calc</v>
      </c>
      <c r="J97" s="602" t="str">
        <f>IF(OR($D97="na",$D97="no calc"),"na",0.000001*Eqtn!D$419/(Eqtn!D$415*$H97*$D97+Eqtn!D$420*$I97*$E97))</f>
        <v>na</v>
      </c>
      <c r="K97" s="602" t="str">
        <f>IF(OR($D97="na",$D97="no calc"),"na",0.000001*Eqtn!E$419/(Eqtn!E$415*$H97*$D97+Eqtn!E$420*$I97*$E97))</f>
        <v>na</v>
      </c>
      <c r="L97" s="602" t="str">
        <f>IF(OR($D97="na",$D97="no calc"),"na",0.000001*Eqtn!F$419/(Eqtn!F$415*$H97*$D97+Eqtn!F$420*$I97*$E97))</f>
        <v>na</v>
      </c>
      <c r="M97" s="17" t="str">
        <f>IF(OR($D97="na",$D97="no calc"),"na",0.00001*Eqtn!D$419/(Eqtn!D$415*$H97*$D97+Eqtn!D$420*$I97*$E97))</f>
        <v>na</v>
      </c>
      <c r="N97" s="17" t="str">
        <f>IF(OR($D97="na",$D97="no calc"),"na",0.00001*Eqtn!E$419/(Eqtn!E$415*$H97*$D97+Eqtn!E$420*$I97*$E97))</f>
        <v>na</v>
      </c>
      <c r="O97" s="694" t="str">
        <f>IF(OR($D97="na",$D97="no calc"),"na",0.00001*Eqtn!F$419/(Eqtn!F$415*$H97*$D97+Eqtn!F$420*$I97*$E97))</f>
        <v>na</v>
      </c>
      <c r="P97" s="662" t="str">
        <f>IF(OR($F97="na",$F97="no calc"),"na",1*Eqtn!D$451/(Eqtn!D$447*$H97/$F97+Eqtn!D$452*$I97/$G97))</f>
        <v>na</v>
      </c>
      <c r="Q97" s="662" t="str">
        <f>IF(OR($F97="na",$F97="no calc"),"na",1*Eqtn!E$451/(Eqtn!E$447*$H97/$F97+Eqtn!E$452*$I97/$G97))</f>
        <v>na</v>
      </c>
      <c r="R97" s="662" t="str">
        <f>IF(OR($F97="na",$F97="no calc"),"na",1*Eqtn!F$451/(Eqtn!F$447*$H97/$F97+Eqtn!F$452*$I97/$G97))</f>
        <v>na</v>
      </c>
      <c r="S97" s="1418" t="str">
        <f t="shared" si="65"/>
        <v>na</v>
      </c>
      <c r="T97" s="1418" t="str">
        <f t="shared" si="66"/>
        <v>na</v>
      </c>
      <c r="U97" s="1418" t="str">
        <f t="shared" si="67"/>
        <v>na</v>
      </c>
      <c r="V97" s="1405" t="str">
        <f t="shared" si="68"/>
        <v>na</v>
      </c>
      <c r="W97" s="1383" t="str">
        <f t="shared" si="69"/>
        <v>na</v>
      </c>
      <c r="X97" s="1383" t="str">
        <f t="shared" si="70"/>
        <v>na</v>
      </c>
      <c r="Y97" s="1383" t="str">
        <f t="shared" si="71"/>
        <v>na</v>
      </c>
      <c r="Z97" s="1384" t="str">
        <f t="shared" si="72"/>
        <v>na</v>
      </c>
      <c r="AB97" s="1062"/>
    </row>
    <row r="98" spans="1:28" ht="13.9" customHeight="1" x14ac:dyDescent="0.25">
      <c r="A98" s="847">
        <f>Chem!A98</f>
        <v>96</v>
      </c>
      <c r="B98" s="916" t="str">
        <f>Chem!B98</f>
        <v>4-Chlorophenyl phenyl ether</v>
      </c>
      <c r="C98" s="2305" t="str">
        <f>Param!AK98</f>
        <v>no</v>
      </c>
      <c r="D98" s="384" t="str">
        <f>IF(C98="YES",Param!V98,"no calc")</f>
        <v>no calc</v>
      </c>
      <c r="E98" s="552" t="str">
        <f>IF(C98="YES",Param!X98,"no calc")</f>
        <v>no calc</v>
      </c>
      <c r="F98" s="384" t="str">
        <f>IF(C98="YES",Param!O98,"no calc")</f>
        <v>no calc</v>
      </c>
      <c r="G98" s="622" t="str">
        <f>IF(C98="YES",Param!S98,"no calc")</f>
        <v>no calc</v>
      </c>
      <c r="H98" s="622" t="str">
        <f>IF(C98="YES",Param!AD98,"no calc")</f>
        <v>no calc</v>
      </c>
      <c r="I98" s="596" t="str">
        <f>IF(C98="YES",Param!AE98,"no calc")</f>
        <v>no calc</v>
      </c>
      <c r="J98" s="602" t="str">
        <f>IF(OR($D98="na",$D98="no calc"),"na",0.000001*Eqtn!D$419/(Eqtn!D$415*$H98*$D98+Eqtn!D$420*$I98*$E98))</f>
        <v>na</v>
      </c>
      <c r="K98" s="602" t="str">
        <f>IF(OR($D98="na",$D98="no calc"),"na",0.000001*Eqtn!E$419/(Eqtn!E$415*$H98*$D98+Eqtn!E$420*$I98*$E98))</f>
        <v>na</v>
      </c>
      <c r="L98" s="602" t="str">
        <f>IF(OR($D98="na",$D98="no calc"),"na",0.000001*Eqtn!F$419/(Eqtn!F$415*$H98*$D98+Eqtn!F$420*$I98*$E98))</f>
        <v>na</v>
      </c>
      <c r="M98" s="17" t="str">
        <f>IF(OR($D98="na",$D98="no calc"),"na",0.00001*Eqtn!D$419/(Eqtn!D$415*$H98*$D98+Eqtn!D$420*$I98*$E98))</f>
        <v>na</v>
      </c>
      <c r="N98" s="17" t="str">
        <f>IF(OR($D98="na",$D98="no calc"),"na",0.00001*Eqtn!E$419/(Eqtn!E$415*$H98*$D98+Eqtn!E$420*$I98*$E98))</f>
        <v>na</v>
      </c>
      <c r="O98" s="694" t="str">
        <f>IF(OR($D98="na",$D98="no calc"),"na",0.00001*Eqtn!F$419/(Eqtn!F$415*$H98*$D98+Eqtn!F$420*$I98*$E98))</f>
        <v>na</v>
      </c>
      <c r="P98" s="662" t="str">
        <f>IF(OR($F98="na",$F98="no calc"),"na",1*Eqtn!D$451/(Eqtn!D$447*$H98/$F98+Eqtn!D$452*$I98/$G98))</f>
        <v>na</v>
      </c>
      <c r="Q98" s="662" t="str">
        <f>IF(OR($F98="na",$F98="no calc"),"na",1*Eqtn!E$451/(Eqtn!E$447*$H98/$F98+Eqtn!E$452*$I98/$G98))</f>
        <v>na</v>
      </c>
      <c r="R98" s="662" t="str">
        <f>IF(OR($F98="na",$F98="no calc"),"na",1*Eqtn!F$451/(Eqtn!F$447*$H98/$F98+Eqtn!F$452*$I98/$G98))</f>
        <v>na</v>
      </c>
      <c r="S98" s="1418" t="str">
        <f t="shared" si="65"/>
        <v>na</v>
      </c>
      <c r="T98" s="1418" t="str">
        <f t="shared" si="66"/>
        <v>na</v>
      </c>
      <c r="U98" s="1418" t="str">
        <f t="shared" si="67"/>
        <v>na</v>
      </c>
      <c r="V98" s="1405" t="str">
        <f t="shared" si="68"/>
        <v>na</v>
      </c>
      <c r="W98" s="1383" t="str">
        <f t="shared" si="69"/>
        <v>na</v>
      </c>
      <c r="X98" s="1383" t="str">
        <f t="shared" si="70"/>
        <v>na</v>
      </c>
      <c r="Y98" s="1383" t="str">
        <f t="shared" si="71"/>
        <v>na</v>
      </c>
      <c r="Z98" s="1384" t="str">
        <f t="shared" si="72"/>
        <v>na</v>
      </c>
      <c r="AB98" s="1062"/>
    </row>
    <row r="99" spans="1:28" ht="13.9" customHeight="1" x14ac:dyDescent="0.25">
      <c r="A99" s="847">
        <f>Chem!A99</f>
        <v>97</v>
      </c>
      <c r="B99" s="916" t="str">
        <f>Chem!B99</f>
        <v>Dibutyl phthalate</v>
      </c>
      <c r="C99" s="2305" t="str">
        <f>Param!AK99</f>
        <v>no</v>
      </c>
      <c r="D99" s="384" t="str">
        <f>IF(C99="YES",Param!V99,"no calc")</f>
        <v>no calc</v>
      </c>
      <c r="E99" s="552" t="str">
        <f>IF(C99="YES",Param!X99,"no calc")</f>
        <v>no calc</v>
      </c>
      <c r="F99" s="384" t="str">
        <f>IF(C99="YES",Param!O99,"no calc")</f>
        <v>no calc</v>
      </c>
      <c r="G99" s="622" t="str">
        <f>IF(C99="YES",Param!S99,"no calc")</f>
        <v>no calc</v>
      </c>
      <c r="H99" s="622" t="str">
        <f>IF(C99="YES",Param!AD99,"no calc")</f>
        <v>no calc</v>
      </c>
      <c r="I99" s="596" t="str">
        <f>IF(C99="YES",Param!AE99,"no calc")</f>
        <v>no calc</v>
      </c>
      <c r="J99" s="602" t="str">
        <f>IF(OR($D99="na",$D99="no calc"),"na",0.000001*Eqtn!D$419/(Eqtn!D$415*$H99*$D99+Eqtn!D$420*$I99*$E99))</f>
        <v>na</v>
      </c>
      <c r="K99" s="602" t="str">
        <f>IF(OR($D99="na",$D99="no calc"),"na",0.000001*Eqtn!E$419/(Eqtn!E$415*$H99*$D99+Eqtn!E$420*$I99*$E99))</f>
        <v>na</v>
      </c>
      <c r="L99" s="602" t="str">
        <f>IF(OR($D99="na",$D99="no calc"),"na",0.000001*Eqtn!F$419/(Eqtn!F$415*$H99*$D99+Eqtn!F$420*$I99*$E99))</f>
        <v>na</v>
      </c>
      <c r="M99" s="17" t="str">
        <f>IF(OR($D99="na",$D99="no calc"),"na",0.00001*Eqtn!D$419/(Eqtn!D$415*$H99*$D99+Eqtn!D$420*$I99*$E99))</f>
        <v>na</v>
      </c>
      <c r="N99" s="17" t="str">
        <f>IF(OR($D99="na",$D99="no calc"),"na",0.00001*Eqtn!E$419/(Eqtn!E$415*$H99*$D99+Eqtn!E$420*$I99*$E99))</f>
        <v>na</v>
      </c>
      <c r="O99" s="694" t="str">
        <f>IF(OR($D99="na",$D99="no calc"),"na",0.00001*Eqtn!F$419/(Eqtn!F$415*$H99*$D99+Eqtn!F$420*$I99*$E99))</f>
        <v>na</v>
      </c>
      <c r="P99" s="662" t="str">
        <f>IF(OR($F99="na",$F99="no calc"),"na",1*Eqtn!D$451/(Eqtn!D$447*$H99/$F99+Eqtn!D$452*$I99/$G99))</f>
        <v>na</v>
      </c>
      <c r="Q99" s="662" t="str">
        <f>IF(OR($F99="na",$F99="no calc"),"na",1*Eqtn!E$451/(Eqtn!E$447*$H99/$F99+Eqtn!E$452*$I99/$G99))</f>
        <v>na</v>
      </c>
      <c r="R99" s="662" t="str">
        <f>IF(OR($F99="na",$F99="no calc"),"na",1*Eqtn!F$451/(Eqtn!F$447*$H99/$F99+Eqtn!F$452*$I99/$G99))</f>
        <v>na</v>
      </c>
      <c r="S99" s="1418" t="str">
        <f t="shared" si="65"/>
        <v>na</v>
      </c>
      <c r="T99" s="1418" t="str">
        <f t="shared" si="66"/>
        <v>na</v>
      </c>
      <c r="U99" s="1418" t="str">
        <f t="shared" si="67"/>
        <v>na</v>
      </c>
      <c r="V99" s="1405" t="str">
        <f t="shared" si="68"/>
        <v>na</v>
      </c>
      <c r="W99" s="1383" t="str">
        <f t="shared" si="69"/>
        <v>na</v>
      </c>
      <c r="X99" s="1383" t="str">
        <f t="shared" si="70"/>
        <v>na</v>
      </c>
      <c r="Y99" s="1383" t="str">
        <f t="shared" si="71"/>
        <v>na</v>
      </c>
      <c r="Z99" s="1384" t="str">
        <f t="shared" si="72"/>
        <v>na</v>
      </c>
      <c r="AB99" s="1062"/>
    </row>
    <row r="100" spans="1:28" ht="13.9" customHeight="1" x14ac:dyDescent="0.25">
      <c r="A100" s="847">
        <f>Chem!A100</f>
        <v>98</v>
      </c>
      <c r="B100" s="916" t="str">
        <f>Chem!B100</f>
        <v>Dibutyl phenyl phosphate</v>
      </c>
      <c r="C100" s="2305" t="str">
        <f>Param!AK100</f>
        <v>no</v>
      </c>
      <c r="D100" s="384" t="str">
        <f>IF(C100="YES",Param!V100,"no calc")</f>
        <v>no calc</v>
      </c>
      <c r="E100" s="552" t="str">
        <f>IF(C100="YES",Param!X100,"no calc")</f>
        <v>no calc</v>
      </c>
      <c r="F100" s="384" t="str">
        <f>IF(C100="YES",Param!O100,"no calc")</f>
        <v>no calc</v>
      </c>
      <c r="G100" s="622" t="str">
        <f>IF(C100="YES",Param!S100,"no calc")</f>
        <v>no calc</v>
      </c>
      <c r="H100" s="622" t="str">
        <f>IF(C100="YES",Param!AD100,"no calc")</f>
        <v>no calc</v>
      </c>
      <c r="I100" s="596" t="str">
        <f>IF(C100="YES",Param!AE100,"no calc")</f>
        <v>no calc</v>
      </c>
      <c r="J100" s="602" t="str">
        <f>IF(OR($D100="na",$D100="no calc"),"na",0.000001*Eqtn!D$419/(Eqtn!D$415*$H100*$D100+Eqtn!D$420*$I100*$E100))</f>
        <v>na</v>
      </c>
      <c r="K100" s="602" t="str">
        <f>IF(OR($D100="na",$D100="no calc"),"na",0.000001*Eqtn!E$419/(Eqtn!E$415*$H100*$D100+Eqtn!E$420*$I100*$E100))</f>
        <v>na</v>
      </c>
      <c r="L100" s="602" t="str">
        <f>IF(OR($D100="na",$D100="no calc"),"na",0.000001*Eqtn!F$419/(Eqtn!F$415*$H100*$D100+Eqtn!F$420*$I100*$E100))</f>
        <v>na</v>
      </c>
      <c r="M100" s="17" t="str">
        <f>IF(OR($D100="na",$D100="no calc"),"na",0.00001*Eqtn!D$419/(Eqtn!D$415*$H100*$D100+Eqtn!D$420*$I100*$E100))</f>
        <v>na</v>
      </c>
      <c r="N100" s="17" t="str">
        <f>IF(OR($D100="na",$D100="no calc"),"na",0.00001*Eqtn!E$419/(Eqtn!E$415*$H100*$D100+Eqtn!E$420*$I100*$E100))</f>
        <v>na</v>
      </c>
      <c r="O100" s="694" t="str">
        <f>IF(OR($D100="na",$D100="no calc"),"na",0.00001*Eqtn!F$419/(Eqtn!F$415*$H100*$D100+Eqtn!F$420*$I100*$E100))</f>
        <v>na</v>
      </c>
      <c r="P100" s="662" t="str">
        <f>IF(OR($F100="na",$F100="no calc"),"na",1*Eqtn!D$451/(Eqtn!D$447*$H100/$F100+Eqtn!D$452*$I100/$G100))</f>
        <v>na</v>
      </c>
      <c r="Q100" s="662" t="str">
        <f>IF(OR($F100="na",$F100="no calc"),"na",1*Eqtn!E$451/(Eqtn!E$447*$H100/$F100+Eqtn!E$452*$I100/$G100))</f>
        <v>na</v>
      </c>
      <c r="R100" s="662" t="str">
        <f>IF(OR($F100="na",$F100="no calc"),"na",1*Eqtn!F$451/(Eqtn!F$447*$H100/$F100+Eqtn!F$452*$I100/$G100))</f>
        <v>na</v>
      </c>
      <c r="S100" s="1418" t="str">
        <f t="shared" si="65"/>
        <v>na</v>
      </c>
      <c r="T100" s="1418" t="str">
        <f t="shared" si="66"/>
        <v>na</v>
      </c>
      <c r="U100" s="1418" t="str">
        <f t="shared" si="67"/>
        <v>na</v>
      </c>
      <c r="V100" s="1405" t="str">
        <f t="shared" si="68"/>
        <v>na</v>
      </c>
      <c r="W100" s="1383" t="str">
        <f t="shared" si="69"/>
        <v>na</v>
      </c>
      <c r="X100" s="1383" t="str">
        <f t="shared" si="70"/>
        <v>na</v>
      </c>
      <c r="Y100" s="1383" t="str">
        <f t="shared" si="71"/>
        <v>na</v>
      </c>
      <c r="Z100" s="1384" t="str">
        <f t="shared" si="72"/>
        <v>na</v>
      </c>
      <c r="AB100" s="1062"/>
    </row>
    <row r="101" spans="1:28" ht="13.9" customHeight="1" x14ac:dyDescent="0.25">
      <c r="A101" s="847">
        <f>Chem!A101</f>
        <v>99</v>
      </c>
      <c r="B101" s="916" t="str">
        <f>Chem!B101</f>
        <v>1,2-Dichlorobenzene</v>
      </c>
      <c r="C101" s="2305" t="str">
        <f>Param!AK101</f>
        <v>no</v>
      </c>
      <c r="D101" s="384" t="str">
        <f>IF(C101="YES",Param!V101,"no calc")</f>
        <v>no calc</v>
      </c>
      <c r="E101" s="552" t="str">
        <f>IF(C101="YES",Param!X101,"no calc")</f>
        <v>no calc</v>
      </c>
      <c r="F101" s="384" t="str">
        <f>IF(C101="YES",Param!O101,"no calc")</f>
        <v>no calc</v>
      </c>
      <c r="G101" s="622" t="str">
        <f>IF(C101="YES",Param!S101,"no calc")</f>
        <v>no calc</v>
      </c>
      <c r="H101" s="622" t="str">
        <f>IF(C101="YES",Param!AD101,"no calc")</f>
        <v>no calc</v>
      </c>
      <c r="I101" s="596" t="str">
        <f>IF(C101="YES",Param!AE101,"no calc")</f>
        <v>no calc</v>
      </c>
      <c r="J101" s="602" t="str">
        <f>IF(OR($D101="na",$D101="no calc"),"na",0.000001*Eqtn!D$419/(Eqtn!D$415*$H101*$D101+Eqtn!D$420*$I101*$E101))</f>
        <v>na</v>
      </c>
      <c r="K101" s="602" t="str">
        <f>IF(OR($D101="na",$D101="no calc"),"na",0.000001*Eqtn!E$419/(Eqtn!E$415*$H101*$D101+Eqtn!E$420*$I101*$E101))</f>
        <v>na</v>
      </c>
      <c r="L101" s="602" t="str">
        <f>IF(OR($D101="na",$D101="no calc"),"na",0.000001*Eqtn!F$419/(Eqtn!F$415*$H101*$D101+Eqtn!F$420*$I101*$E101))</f>
        <v>na</v>
      </c>
      <c r="M101" s="17" t="str">
        <f>IF(OR($D101="na",$D101="no calc"),"na",0.00001*Eqtn!D$419/(Eqtn!D$415*$H101*$D101+Eqtn!D$420*$I101*$E101))</f>
        <v>na</v>
      </c>
      <c r="N101" s="17" t="str">
        <f>IF(OR($D101="na",$D101="no calc"),"na",0.00001*Eqtn!E$419/(Eqtn!E$415*$H101*$D101+Eqtn!E$420*$I101*$E101))</f>
        <v>na</v>
      </c>
      <c r="O101" s="694" t="str">
        <f>IF(OR($D101="na",$D101="no calc"),"na",0.00001*Eqtn!F$419/(Eqtn!F$415*$H101*$D101+Eqtn!F$420*$I101*$E101))</f>
        <v>na</v>
      </c>
      <c r="P101" s="662" t="str">
        <f>IF(OR($F101="na",$F101="no calc"),"na",1*Eqtn!D$451/(Eqtn!D$447*$H101/$F101+Eqtn!D$452*$I101/$G101))</f>
        <v>na</v>
      </c>
      <c r="Q101" s="662" t="str">
        <f>IF(OR($F101="na",$F101="no calc"),"na",1*Eqtn!E$451/(Eqtn!E$447*$H101/$F101+Eqtn!E$452*$I101/$G101))</f>
        <v>na</v>
      </c>
      <c r="R101" s="662" t="str">
        <f>IF(OR($F101="na",$F101="no calc"),"na",1*Eqtn!F$451/(Eqtn!F$447*$H101/$F101+Eqtn!F$452*$I101/$G101))</f>
        <v>na</v>
      </c>
      <c r="S101" s="1418" t="str">
        <f t="shared" si="65"/>
        <v>na</v>
      </c>
      <c r="T101" s="1418" t="str">
        <f t="shared" si="66"/>
        <v>na</v>
      </c>
      <c r="U101" s="1418" t="str">
        <f t="shared" si="67"/>
        <v>na</v>
      </c>
      <c r="V101" s="1405" t="str">
        <f t="shared" si="68"/>
        <v>na</v>
      </c>
      <c r="W101" s="1383" t="str">
        <f t="shared" si="69"/>
        <v>na</v>
      </c>
      <c r="X101" s="1383" t="str">
        <f t="shared" si="70"/>
        <v>na</v>
      </c>
      <c r="Y101" s="1383" t="str">
        <f t="shared" si="71"/>
        <v>na</v>
      </c>
      <c r="Z101" s="1384" t="str">
        <f t="shared" si="72"/>
        <v>na</v>
      </c>
      <c r="AB101" s="1062"/>
    </row>
    <row r="102" spans="1:28" ht="13.9" customHeight="1" x14ac:dyDescent="0.25">
      <c r="A102" s="847">
        <f>Chem!A102</f>
        <v>100</v>
      </c>
      <c r="B102" s="916" t="str">
        <f>Chem!B102</f>
        <v>1,3-Dichlorobenzene</v>
      </c>
      <c r="C102" s="2305" t="str">
        <f>Param!AK102</f>
        <v>no</v>
      </c>
      <c r="D102" s="384" t="str">
        <f>IF(C102="YES",Param!V102,"no calc")</f>
        <v>no calc</v>
      </c>
      <c r="E102" s="552" t="str">
        <f>IF(C102="YES",Param!X102,"no calc")</f>
        <v>no calc</v>
      </c>
      <c r="F102" s="384" t="str">
        <f>IF(C102="YES",Param!O102,"no calc")</f>
        <v>no calc</v>
      </c>
      <c r="G102" s="622" t="str">
        <f>IF(C102="YES",Param!S102,"no calc")</f>
        <v>no calc</v>
      </c>
      <c r="H102" s="622" t="str">
        <f>IF(C102="YES",Param!AD102,"no calc")</f>
        <v>no calc</v>
      </c>
      <c r="I102" s="596" t="str">
        <f>IF(C102="YES",Param!AE102,"no calc")</f>
        <v>no calc</v>
      </c>
      <c r="J102" s="602" t="str">
        <f>IF(OR($D102="na",$D102="no calc"),"na",0.000001*Eqtn!D$419/(Eqtn!D$415*$H102*$D102+Eqtn!D$420*$I102*$E102))</f>
        <v>na</v>
      </c>
      <c r="K102" s="602" t="str">
        <f>IF(OR($D102="na",$D102="no calc"),"na",0.000001*Eqtn!E$419/(Eqtn!E$415*$H102*$D102+Eqtn!E$420*$I102*$E102))</f>
        <v>na</v>
      </c>
      <c r="L102" s="602" t="str">
        <f>IF(OR($D102="na",$D102="no calc"),"na",0.000001*Eqtn!F$419/(Eqtn!F$415*$H102*$D102+Eqtn!F$420*$I102*$E102))</f>
        <v>na</v>
      </c>
      <c r="M102" s="17" t="str">
        <f>IF(OR($D102="na",$D102="no calc"),"na",0.00001*Eqtn!D$419/(Eqtn!D$415*$H102*$D102+Eqtn!D$420*$I102*$E102))</f>
        <v>na</v>
      </c>
      <c r="N102" s="17" t="str">
        <f>IF(OR($D102="na",$D102="no calc"),"na",0.00001*Eqtn!E$419/(Eqtn!E$415*$H102*$D102+Eqtn!E$420*$I102*$E102))</f>
        <v>na</v>
      </c>
      <c r="O102" s="694" t="str">
        <f>IF(OR($D102="na",$D102="no calc"),"na",0.00001*Eqtn!F$419/(Eqtn!F$415*$H102*$D102+Eqtn!F$420*$I102*$E102))</f>
        <v>na</v>
      </c>
      <c r="P102" s="662" t="str">
        <f>IF(OR($F102="na",$F102="no calc"),"na",1*Eqtn!D$451/(Eqtn!D$447*$H102/$F102+Eqtn!D$452*$I102/$G102))</f>
        <v>na</v>
      </c>
      <c r="Q102" s="662" t="str">
        <f>IF(OR($F102="na",$F102="no calc"),"na",1*Eqtn!E$451/(Eqtn!E$447*$H102/$F102+Eqtn!E$452*$I102/$G102))</f>
        <v>na</v>
      </c>
      <c r="R102" s="662" t="str">
        <f>IF(OR($F102="na",$F102="no calc"),"na",1*Eqtn!F$451/(Eqtn!F$447*$H102/$F102+Eqtn!F$452*$I102/$G102))</f>
        <v>na</v>
      </c>
      <c r="S102" s="1418" t="str">
        <f t="shared" si="65"/>
        <v>na</v>
      </c>
      <c r="T102" s="1418" t="str">
        <f t="shared" si="66"/>
        <v>na</v>
      </c>
      <c r="U102" s="1418" t="str">
        <f t="shared" si="67"/>
        <v>na</v>
      </c>
      <c r="V102" s="1405" t="str">
        <f t="shared" si="68"/>
        <v>na</v>
      </c>
      <c r="W102" s="1383" t="str">
        <f t="shared" si="69"/>
        <v>na</v>
      </c>
      <c r="X102" s="1383" t="str">
        <f t="shared" si="70"/>
        <v>na</v>
      </c>
      <c r="Y102" s="1383" t="str">
        <f t="shared" si="71"/>
        <v>na</v>
      </c>
      <c r="Z102" s="1384" t="str">
        <f t="shared" si="72"/>
        <v>na</v>
      </c>
      <c r="AB102" s="1062"/>
    </row>
    <row r="103" spans="1:28" ht="13.9" customHeight="1" x14ac:dyDescent="0.25">
      <c r="A103" s="847">
        <f>Chem!A103</f>
        <v>101</v>
      </c>
      <c r="B103" s="916" t="str">
        <f>Chem!B103</f>
        <v>1,4-Dichlorobenzene</v>
      </c>
      <c r="C103" s="2305" t="str">
        <f>Param!AK103</f>
        <v>no</v>
      </c>
      <c r="D103" s="384" t="str">
        <f>IF(C103="YES",Param!V103,"no calc")</f>
        <v>no calc</v>
      </c>
      <c r="E103" s="552" t="str">
        <f>IF(C103="YES",Param!X103,"no calc")</f>
        <v>no calc</v>
      </c>
      <c r="F103" s="384" t="str">
        <f>IF(C103="YES",Param!O103,"no calc")</f>
        <v>no calc</v>
      </c>
      <c r="G103" s="622" t="str">
        <f>IF(C103="YES",Param!S103,"no calc")</f>
        <v>no calc</v>
      </c>
      <c r="H103" s="622" t="str">
        <f>IF(C103="YES",Param!AD103,"no calc")</f>
        <v>no calc</v>
      </c>
      <c r="I103" s="596" t="str">
        <f>IF(C103="YES",Param!AE103,"no calc")</f>
        <v>no calc</v>
      </c>
      <c r="J103" s="602" t="str">
        <f>IF(OR($D103="na",$D103="no calc"),"na",0.000001*Eqtn!D$419/(Eqtn!D$415*$H103*$D103+Eqtn!D$420*$I103*$E103))</f>
        <v>na</v>
      </c>
      <c r="K103" s="602" t="str">
        <f>IF(OR($D103="na",$D103="no calc"),"na",0.000001*Eqtn!E$419/(Eqtn!E$415*$H103*$D103+Eqtn!E$420*$I103*$E103))</f>
        <v>na</v>
      </c>
      <c r="L103" s="602" t="str">
        <f>IF(OR($D103="na",$D103="no calc"),"na",0.000001*Eqtn!F$419/(Eqtn!F$415*$H103*$D103+Eqtn!F$420*$I103*$E103))</f>
        <v>na</v>
      </c>
      <c r="M103" s="17" t="str">
        <f>IF(OR($D103="na",$D103="no calc"),"na",0.00001*Eqtn!D$419/(Eqtn!D$415*$H103*$D103+Eqtn!D$420*$I103*$E103))</f>
        <v>na</v>
      </c>
      <c r="N103" s="17" t="str">
        <f>IF(OR($D103="na",$D103="no calc"),"na",0.00001*Eqtn!E$419/(Eqtn!E$415*$H103*$D103+Eqtn!E$420*$I103*$E103))</f>
        <v>na</v>
      </c>
      <c r="O103" s="694" t="str">
        <f>IF(OR($D103="na",$D103="no calc"),"na",0.00001*Eqtn!F$419/(Eqtn!F$415*$H103*$D103+Eqtn!F$420*$I103*$E103))</f>
        <v>na</v>
      </c>
      <c r="P103" s="662" t="str">
        <f>IF(OR($F103="na",$F103="no calc"),"na",1*Eqtn!D$451/(Eqtn!D$447*$H103/$F103+Eqtn!D$452*$I103/$G103))</f>
        <v>na</v>
      </c>
      <c r="Q103" s="662" t="str">
        <f>IF(OR($F103="na",$F103="no calc"),"na",1*Eqtn!E$451/(Eqtn!E$447*$H103/$F103+Eqtn!E$452*$I103/$G103))</f>
        <v>na</v>
      </c>
      <c r="R103" s="662" t="str">
        <f>IF(OR($F103="na",$F103="no calc"),"na",1*Eqtn!F$451/(Eqtn!F$447*$H103/$F103+Eqtn!F$452*$I103/$G103))</f>
        <v>na</v>
      </c>
      <c r="S103" s="1418" t="str">
        <f t="shared" si="65"/>
        <v>na</v>
      </c>
      <c r="T103" s="1418" t="str">
        <f t="shared" si="66"/>
        <v>na</v>
      </c>
      <c r="U103" s="1418" t="str">
        <f t="shared" si="67"/>
        <v>na</v>
      </c>
      <c r="V103" s="1405" t="str">
        <f t="shared" si="68"/>
        <v>na</v>
      </c>
      <c r="W103" s="1383" t="str">
        <f t="shared" si="69"/>
        <v>na</v>
      </c>
      <c r="X103" s="1383" t="str">
        <f t="shared" si="70"/>
        <v>na</v>
      </c>
      <c r="Y103" s="1383" t="str">
        <f t="shared" si="71"/>
        <v>na</v>
      </c>
      <c r="Z103" s="1384" t="str">
        <f t="shared" si="72"/>
        <v>na</v>
      </c>
      <c r="AB103" s="1062"/>
    </row>
    <row r="104" spans="1:28" ht="13.9" customHeight="1" x14ac:dyDescent="0.25">
      <c r="A104" s="847">
        <f>Chem!A104</f>
        <v>102</v>
      </c>
      <c r="B104" s="916" t="str">
        <f>Chem!B104</f>
        <v>3,3'-Dichlorobenzidine</v>
      </c>
      <c r="C104" s="2305" t="str">
        <f>Param!AK104</f>
        <v>no</v>
      </c>
      <c r="D104" s="384" t="str">
        <f>IF(C104="YES",Param!V104,"no calc")</f>
        <v>no calc</v>
      </c>
      <c r="E104" s="552" t="str">
        <f>IF(C104="YES",Param!X104,"no calc")</f>
        <v>no calc</v>
      </c>
      <c r="F104" s="384" t="str">
        <f>IF(C104="YES",Param!O104,"no calc")</f>
        <v>no calc</v>
      </c>
      <c r="G104" s="622" t="str">
        <f>IF(C104="YES",Param!S104,"no calc")</f>
        <v>no calc</v>
      </c>
      <c r="H104" s="622" t="str">
        <f>IF(C104="YES",Param!AD104,"no calc")</f>
        <v>no calc</v>
      </c>
      <c r="I104" s="596" t="str">
        <f>IF(C104="YES",Param!AE104,"no calc")</f>
        <v>no calc</v>
      </c>
      <c r="J104" s="602" t="str">
        <f>IF(OR($D104="na",$D104="no calc"),"na",0.000001*Eqtn!D$419/(Eqtn!D$415*$H104*$D104+Eqtn!D$420*$I104*$E104))</f>
        <v>na</v>
      </c>
      <c r="K104" s="602" t="str">
        <f>IF(OR($D104="na",$D104="no calc"),"na",0.000001*Eqtn!E$419/(Eqtn!E$415*$H104*$D104+Eqtn!E$420*$I104*$E104))</f>
        <v>na</v>
      </c>
      <c r="L104" s="602" t="str">
        <f>IF(OR($D104="na",$D104="no calc"),"na",0.000001*Eqtn!F$419/(Eqtn!F$415*$H104*$D104+Eqtn!F$420*$I104*$E104))</f>
        <v>na</v>
      </c>
      <c r="M104" s="17" t="str">
        <f>IF(OR($D104="na",$D104="no calc"),"na",0.00001*Eqtn!D$419/(Eqtn!D$415*$H104*$D104+Eqtn!D$420*$I104*$E104))</f>
        <v>na</v>
      </c>
      <c r="N104" s="17" t="str">
        <f>IF(OR($D104="na",$D104="no calc"),"na",0.00001*Eqtn!E$419/(Eqtn!E$415*$H104*$D104+Eqtn!E$420*$I104*$E104))</f>
        <v>na</v>
      </c>
      <c r="O104" s="694" t="str">
        <f>IF(OR($D104="na",$D104="no calc"),"na",0.00001*Eqtn!F$419/(Eqtn!F$415*$H104*$D104+Eqtn!F$420*$I104*$E104))</f>
        <v>na</v>
      </c>
      <c r="P104" s="662" t="str">
        <f>IF(OR($F104="na",$F104="no calc"),"na",1*Eqtn!D$451/(Eqtn!D$447*$H104/$F104+Eqtn!D$452*$I104/$G104))</f>
        <v>na</v>
      </c>
      <c r="Q104" s="662" t="str">
        <f>IF(OR($F104="na",$F104="no calc"),"na",1*Eqtn!E$451/(Eqtn!E$447*$H104/$F104+Eqtn!E$452*$I104/$G104))</f>
        <v>na</v>
      </c>
      <c r="R104" s="662" t="str">
        <f>IF(OR($F104="na",$F104="no calc"),"na",1*Eqtn!F$451/(Eqtn!F$447*$H104/$F104+Eqtn!F$452*$I104/$G104))</f>
        <v>na</v>
      </c>
      <c r="S104" s="1418" t="str">
        <f t="shared" si="65"/>
        <v>na</v>
      </c>
      <c r="T104" s="1418" t="str">
        <f t="shared" si="66"/>
        <v>na</v>
      </c>
      <c r="U104" s="1418" t="str">
        <f t="shared" si="67"/>
        <v>na</v>
      </c>
      <c r="V104" s="1405" t="str">
        <f t="shared" si="68"/>
        <v>na</v>
      </c>
      <c r="W104" s="1383" t="str">
        <f t="shared" si="69"/>
        <v>na</v>
      </c>
      <c r="X104" s="1383" t="str">
        <f t="shared" si="70"/>
        <v>na</v>
      </c>
      <c r="Y104" s="1383" t="str">
        <f t="shared" si="71"/>
        <v>na</v>
      </c>
      <c r="Z104" s="1384" t="str">
        <f t="shared" si="72"/>
        <v>na</v>
      </c>
      <c r="AB104" s="1062"/>
    </row>
    <row r="105" spans="1:28" ht="13.9" customHeight="1" x14ac:dyDescent="0.25">
      <c r="A105" s="847">
        <f>Chem!A105</f>
        <v>103</v>
      </c>
      <c r="B105" s="916" t="str">
        <f>Chem!B105</f>
        <v>2,4-Dichlorophenol</v>
      </c>
      <c r="C105" s="2305" t="str">
        <f>Param!AK105</f>
        <v>no</v>
      </c>
      <c r="D105" s="384" t="str">
        <f>IF(C105="YES",Param!V105,"no calc")</f>
        <v>no calc</v>
      </c>
      <c r="E105" s="552" t="str">
        <f>IF(C105="YES",Param!X105,"no calc")</f>
        <v>no calc</v>
      </c>
      <c r="F105" s="384" t="str">
        <f>IF(C105="YES",Param!O105,"no calc")</f>
        <v>no calc</v>
      </c>
      <c r="G105" s="622" t="str">
        <f>IF(C105="YES",Param!S105,"no calc")</f>
        <v>no calc</v>
      </c>
      <c r="H105" s="622" t="str">
        <f>IF(C105="YES",Param!AD105,"no calc")</f>
        <v>no calc</v>
      </c>
      <c r="I105" s="596" t="str">
        <f>IF(C105="YES",Param!AE105,"no calc")</f>
        <v>no calc</v>
      </c>
      <c r="J105" s="602" t="str">
        <f>IF(OR($D105="na",$D105="no calc"),"na",0.000001*Eqtn!D$419/(Eqtn!D$415*$H105*$D105+Eqtn!D$420*$I105*$E105))</f>
        <v>na</v>
      </c>
      <c r="K105" s="602" t="str">
        <f>IF(OR($D105="na",$D105="no calc"),"na",0.000001*Eqtn!E$419/(Eqtn!E$415*$H105*$D105+Eqtn!E$420*$I105*$E105))</f>
        <v>na</v>
      </c>
      <c r="L105" s="602" t="str">
        <f>IF(OR($D105="na",$D105="no calc"),"na",0.000001*Eqtn!F$419/(Eqtn!F$415*$H105*$D105+Eqtn!F$420*$I105*$E105))</f>
        <v>na</v>
      </c>
      <c r="M105" s="17" t="str">
        <f>IF(OR($D105="na",$D105="no calc"),"na",0.00001*Eqtn!D$419/(Eqtn!D$415*$H105*$D105+Eqtn!D$420*$I105*$E105))</f>
        <v>na</v>
      </c>
      <c r="N105" s="17" t="str">
        <f>IF(OR($D105="na",$D105="no calc"),"na",0.00001*Eqtn!E$419/(Eqtn!E$415*$H105*$D105+Eqtn!E$420*$I105*$E105))</f>
        <v>na</v>
      </c>
      <c r="O105" s="694" t="str">
        <f>IF(OR($D105="na",$D105="no calc"),"na",0.00001*Eqtn!F$419/(Eqtn!F$415*$H105*$D105+Eqtn!F$420*$I105*$E105))</f>
        <v>na</v>
      </c>
      <c r="P105" s="662" t="str">
        <f>IF(OR($F105="na",$F105="no calc"),"na",1*Eqtn!D$451/(Eqtn!D$447*$H105/$F105+Eqtn!D$452*$I105/$G105))</f>
        <v>na</v>
      </c>
      <c r="Q105" s="662" t="str">
        <f>IF(OR($F105="na",$F105="no calc"),"na",1*Eqtn!E$451/(Eqtn!E$447*$H105/$F105+Eqtn!E$452*$I105/$G105))</f>
        <v>na</v>
      </c>
      <c r="R105" s="662" t="str">
        <f>IF(OR($F105="na",$F105="no calc"),"na",1*Eqtn!F$451/(Eqtn!F$447*$H105/$F105+Eqtn!F$452*$I105/$G105))</f>
        <v>na</v>
      </c>
      <c r="S105" s="1418" t="str">
        <f t="shared" si="65"/>
        <v>na</v>
      </c>
      <c r="T105" s="1418" t="str">
        <f t="shared" si="66"/>
        <v>na</v>
      </c>
      <c r="U105" s="1418" t="str">
        <f t="shared" si="67"/>
        <v>na</v>
      </c>
      <c r="V105" s="1405" t="str">
        <f t="shared" si="68"/>
        <v>na</v>
      </c>
      <c r="W105" s="1383" t="str">
        <f t="shared" si="69"/>
        <v>na</v>
      </c>
      <c r="X105" s="1383" t="str">
        <f t="shared" si="70"/>
        <v>na</v>
      </c>
      <c r="Y105" s="1383" t="str">
        <f t="shared" si="71"/>
        <v>na</v>
      </c>
      <c r="Z105" s="1384" t="str">
        <f t="shared" si="72"/>
        <v>na</v>
      </c>
      <c r="AB105" s="1062"/>
    </row>
    <row r="106" spans="1:28" ht="13.9" customHeight="1" x14ac:dyDescent="0.25">
      <c r="A106" s="846">
        <f>Chem!A106</f>
        <v>104</v>
      </c>
      <c r="B106" s="916" t="str">
        <f>Chem!B106</f>
        <v>Di(2-ethylhexyl)adipate</v>
      </c>
      <c r="C106" s="2305" t="str">
        <f>Param!AK106</f>
        <v>no</v>
      </c>
      <c r="D106" s="384" t="str">
        <f>IF(C106="YES",Param!V106,"no calc")</f>
        <v>no calc</v>
      </c>
      <c r="E106" s="552" t="str">
        <f>IF(C106="YES",Param!X106,"no calc")</f>
        <v>no calc</v>
      </c>
      <c r="F106" s="384" t="str">
        <f>IF(C106="YES",Param!O106,"no calc")</f>
        <v>no calc</v>
      </c>
      <c r="G106" s="622" t="str">
        <f>IF(C106="YES",Param!S106,"no calc")</f>
        <v>no calc</v>
      </c>
      <c r="H106" s="622" t="str">
        <f>IF(C106="YES",Param!AD106,"no calc")</f>
        <v>no calc</v>
      </c>
      <c r="I106" s="596" t="str">
        <f>IF(C106="YES",Param!AE106,"no calc")</f>
        <v>no calc</v>
      </c>
      <c r="J106" s="602" t="str">
        <f>IF(OR($D106="na",$D106="no calc"),"na",0.000001*Eqtn!D$419/(Eqtn!D$415*$H106*$D106+Eqtn!D$420*$I106*$E106))</f>
        <v>na</v>
      </c>
      <c r="K106" s="602" t="str">
        <f>IF(OR($D106="na",$D106="no calc"),"na",0.000001*Eqtn!E$419/(Eqtn!E$415*$H106*$D106+Eqtn!E$420*$I106*$E106))</f>
        <v>na</v>
      </c>
      <c r="L106" s="602" t="str">
        <f>IF(OR($D106="na",$D106="no calc"),"na",0.000001*Eqtn!F$419/(Eqtn!F$415*$H106*$D106+Eqtn!F$420*$I106*$E106))</f>
        <v>na</v>
      </c>
      <c r="M106" s="17" t="str">
        <f>IF(OR($D106="na",$D106="no calc"),"na",0.00001*Eqtn!D$419/(Eqtn!D$415*$H106*$D106+Eqtn!D$420*$I106*$E106))</f>
        <v>na</v>
      </c>
      <c r="N106" s="17" t="str">
        <f>IF(OR($D106="na",$D106="no calc"),"na",0.00001*Eqtn!E$419/(Eqtn!E$415*$H106*$D106+Eqtn!E$420*$I106*$E106))</f>
        <v>na</v>
      </c>
      <c r="O106" s="694" t="str">
        <f>IF(OR($D106="na",$D106="no calc"),"na",0.00001*Eqtn!F$419/(Eqtn!F$415*$H106*$D106+Eqtn!F$420*$I106*$E106))</f>
        <v>na</v>
      </c>
      <c r="P106" s="662" t="str">
        <f>IF(OR($F106="na",$F106="no calc"),"na",1*Eqtn!D$451/(Eqtn!D$447*$H106/$F106+Eqtn!D$452*$I106/$G106))</f>
        <v>na</v>
      </c>
      <c r="Q106" s="662" t="str">
        <f>IF(OR($F106="na",$F106="no calc"),"na",1*Eqtn!E$451/(Eqtn!E$447*$H106/$F106+Eqtn!E$452*$I106/$G106))</f>
        <v>na</v>
      </c>
      <c r="R106" s="662" t="str">
        <f>IF(OR($F106="na",$F106="no calc"),"na",1*Eqtn!F$451/(Eqtn!F$447*$H106/$F106+Eqtn!F$452*$I106/$G106))</f>
        <v>na</v>
      </c>
      <c r="S106" s="1418" t="str">
        <f t="shared" si="65"/>
        <v>na</v>
      </c>
      <c r="T106" s="1418" t="str">
        <f t="shared" si="66"/>
        <v>na</v>
      </c>
      <c r="U106" s="1418" t="str">
        <f t="shared" si="67"/>
        <v>na</v>
      </c>
      <c r="V106" s="1405" t="str">
        <f t="shared" si="68"/>
        <v>na</v>
      </c>
      <c r="W106" s="1383" t="str">
        <f t="shared" si="69"/>
        <v>na</v>
      </c>
      <c r="X106" s="1383" t="str">
        <f t="shared" si="70"/>
        <v>na</v>
      </c>
      <c r="Y106" s="1383" t="str">
        <f t="shared" si="71"/>
        <v>na</v>
      </c>
      <c r="Z106" s="1384" t="str">
        <f t="shared" si="72"/>
        <v>na</v>
      </c>
      <c r="AB106" s="1062"/>
    </row>
    <row r="107" spans="1:28" ht="13.9" customHeight="1" x14ac:dyDescent="0.25">
      <c r="A107" s="846">
        <f>Chem!A107</f>
        <v>105</v>
      </c>
      <c r="B107" s="916" t="str">
        <f>Chem!B107</f>
        <v>Diethyl phthalate</v>
      </c>
      <c r="C107" s="2305" t="str">
        <f>Param!AK107</f>
        <v>no</v>
      </c>
      <c r="D107" s="384" t="str">
        <f>IF(C107="YES",Param!V107,"no calc")</f>
        <v>no calc</v>
      </c>
      <c r="E107" s="552" t="str">
        <f>IF(C107="YES",Param!X107,"no calc")</f>
        <v>no calc</v>
      </c>
      <c r="F107" s="384" t="str">
        <f>IF(C107="YES",Param!O107,"no calc")</f>
        <v>no calc</v>
      </c>
      <c r="G107" s="622" t="str">
        <f>IF(C107="YES",Param!S107,"no calc")</f>
        <v>no calc</v>
      </c>
      <c r="H107" s="622" t="str">
        <f>IF(C107="YES",Param!AD107,"no calc")</f>
        <v>no calc</v>
      </c>
      <c r="I107" s="596" t="str">
        <f>IF(C107="YES",Param!AE107,"no calc")</f>
        <v>no calc</v>
      </c>
      <c r="J107" s="602" t="str">
        <f>IF(OR($D107="na",$D107="no calc"),"na",0.000001*Eqtn!D$419/(Eqtn!D$415*$H107*$D107+Eqtn!D$420*$I107*$E107))</f>
        <v>na</v>
      </c>
      <c r="K107" s="602" t="str">
        <f>IF(OR($D107="na",$D107="no calc"),"na",0.000001*Eqtn!E$419/(Eqtn!E$415*$H107*$D107+Eqtn!E$420*$I107*$E107))</f>
        <v>na</v>
      </c>
      <c r="L107" s="602" t="str">
        <f>IF(OR($D107="na",$D107="no calc"),"na",0.000001*Eqtn!F$419/(Eqtn!F$415*$H107*$D107+Eqtn!F$420*$I107*$E107))</f>
        <v>na</v>
      </c>
      <c r="M107" s="17" t="str">
        <f>IF(OR($D107="na",$D107="no calc"),"na",0.00001*Eqtn!D$419/(Eqtn!D$415*$H107*$D107+Eqtn!D$420*$I107*$E107))</f>
        <v>na</v>
      </c>
      <c r="N107" s="17" t="str">
        <f>IF(OR($D107="na",$D107="no calc"),"na",0.00001*Eqtn!E$419/(Eqtn!E$415*$H107*$D107+Eqtn!E$420*$I107*$E107))</f>
        <v>na</v>
      </c>
      <c r="O107" s="694" t="str">
        <f>IF(OR($D107="na",$D107="no calc"),"na",0.00001*Eqtn!F$419/(Eqtn!F$415*$H107*$D107+Eqtn!F$420*$I107*$E107))</f>
        <v>na</v>
      </c>
      <c r="P107" s="662" t="str">
        <f>IF(OR($F107="na",$F107="no calc"),"na",1*Eqtn!D$451/(Eqtn!D$447*$H107/$F107+Eqtn!D$452*$I107/$G107))</f>
        <v>na</v>
      </c>
      <c r="Q107" s="662" t="str">
        <f>IF(OR($F107="na",$F107="no calc"),"na",1*Eqtn!E$451/(Eqtn!E$447*$H107/$F107+Eqtn!E$452*$I107/$G107))</f>
        <v>na</v>
      </c>
      <c r="R107" s="662" t="str">
        <f>IF(OR($F107="na",$F107="no calc"),"na",1*Eqtn!F$451/(Eqtn!F$447*$H107/$F107+Eqtn!F$452*$I107/$G107))</f>
        <v>na</v>
      </c>
      <c r="S107" s="1418" t="str">
        <f t="shared" si="65"/>
        <v>na</v>
      </c>
      <c r="T107" s="1418" t="str">
        <f t="shared" si="66"/>
        <v>na</v>
      </c>
      <c r="U107" s="1418" t="str">
        <f t="shared" si="67"/>
        <v>na</v>
      </c>
      <c r="V107" s="1405" t="str">
        <f t="shared" si="68"/>
        <v>na</v>
      </c>
      <c r="W107" s="1383" t="str">
        <f t="shared" si="69"/>
        <v>na</v>
      </c>
      <c r="X107" s="1383" t="str">
        <f t="shared" si="70"/>
        <v>na</v>
      </c>
      <c r="Y107" s="1383" t="str">
        <f t="shared" si="71"/>
        <v>na</v>
      </c>
      <c r="Z107" s="1384" t="str">
        <f t="shared" si="72"/>
        <v>na</v>
      </c>
      <c r="AB107" s="1062"/>
    </row>
    <row r="108" spans="1:28" ht="13.9" customHeight="1" x14ac:dyDescent="0.25">
      <c r="A108" s="847">
        <f>Chem!A108</f>
        <v>106</v>
      </c>
      <c r="B108" s="916" t="str">
        <f>Chem!B108</f>
        <v>Dimethyl phthalate</v>
      </c>
      <c r="C108" s="2309" t="str">
        <f>Param!AK108</f>
        <v>no</v>
      </c>
      <c r="D108" s="387" t="str">
        <f>IF(C108="YES",Param!V108,"no calc")</f>
        <v>no calc</v>
      </c>
      <c r="E108" s="552" t="str">
        <f>IF(C108="YES",Param!X108,"no calc")</f>
        <v>no calc</v>
      </c>
      <c r="F108" s="387" t="str">
        <f>IF(C108="YES",Param!O108,"no calc")</f>
        <v>no calc</v>
      </c>
      <c r="G108" s="622" t="str">
        <f>IF(C108="YES",Param!S108,"no calc")</f>
        <v>no calc</v>
      </c>
      <c r="H108" s="622" t="str">
        <f>IF(C108="YES",Param!AD108,"no calc")</f>
        <v>no calc</v>
      </c>
      <c r="I108" s="596" t="str">
        <f>IF(C108="YES",Param!AE108,"no calc")</f>
        <v>no calc</v>
      </c>
      <c r="J108" s="602" t="str">
        <f>IF(OR($D108="na",$D108="no calc"),"na",0.000001*Eqtn!D$419/(Eqtn!D$415*$H108*$D108+Eqtn!D$420*$I108*$E108))</f>
        <v>na</v>
      </c>
      <c r="K108" s="602" t="str">
        <f>IF(OR($D108="na",$D108="no calc"),"na",0.000001*Eqtn!E$419/(Eqtn!E$415*$H108*$D108+Eqtn!E$420*$I108*$E108))</f>
        <v>na</v>
      </c>
      <c r="L108" s="602" t="str">
        <f>IF(OR($D108="na",$D108="no calc"),"na",0.000001*Eqtn!F$419/(Eqtn!F$415*$H108*$D108+Eqtn!F$420*$I108*$E108))</f>
        <v>na</v>
      </c>
      <c r="M108" s="17" t="str">
        <f>IF(OR($D108="na",$D108="no calc"),"na",0.00001*Eqtn!D$419/(Eqtn!D$415*$H108*$D108+Eqtn!D$420*$I108*$E108))</f>
        <v>na</v>
      </c>
      <c r="N108" s="17" t="str">
        <f>IF(OR($D108="na",$D108="no calc"),"na",0.00001*Eqtn!E$419/(Eqtn!E$415*$H108*$D108+Eqtn!E$420*$I108*$E108))</f>
        <v>na</v>
      </c>
      <c r="O108" s="694" t="str">
        <f>IF(OR($D108="na",$D108="no calc"),"na",0.00001*Eqtn!F$419/(Eqtn!F$415*$H108*$D108+Eqtn!F$420*$I108*$E108))</f>
        <v>na</v>
      </c>
      <c r="P108" s="662" t="str">
        <f>IF(OR($F108="na",$F108="no calc"),"na",1*Eqtn!D$451/(Eqtn!D$447*$H108/$F108+Eqtn!D$452*$I108/$G108))</f>
        <v>na</v>
      </c>
      <c r="Q108" s="662" t="str">
        <f>IF(OR($F108="na",$F108="no calc"),"na",1*Eqtn!E$451/(Eqtn!E$447*$H108/$F108+Eqtn!E$452*$I108/$G108))</f>
        <v>na</v>
      </c>
      <c r="R108" s="662" t="str">
        <f>IF(OR($F108="na",$F108="no calc"),"na",1*Eqtn!F$451/(Eqtn!F$447*$H108/$F108+Eqtn!F$452*$I108/$G108))</f>
        <v>na</v>
      </c>
      <c r="S108" s="1418" t="str">
        <f t="shared" si="65"/>
        <v>na</v>
      </c>
      <c r="T108" s="1418" t="str">
        <f t="shared" si="66"/>
        <v>na</v>
      </c>
      <c r="U108" s="1418" t="str">
        <f t="shared" si="67"/>
        <v>na</v>
      </c>
      <c r="V108" s="1405" t="str">
        <f t="shared" si="68"/>
        <v>na</v>
      </c>
      <c r="W108" s="1383" t="str">
        <f t="shared" si="69"/>
        <v>na</v>
      </c>
      <c r="X108" s="1383" t="str">
        <f t="shared" si="70"/>
        <v>na</v>
      </c>
      <c r="Y108" s="1383" t="str">
        <f t="shared" si="71"/>
        <v>na</v>
      </c>
      <c r="Z108" s="1384" t="str">
        <f t="shared" si="72"/>
        <v>na</v>
      </c>
      <c r="AB108" s="1062"/>
    </row>
    <row r="109" spans="1:28" ht="13.9" customHeight="1" x14ac:dyDescent="0.25">
      <c r="A109" s="847">
        <f>Chem!A109</f>
        <v>107</v>
      </c>
      <c r="B109" s="916" t="str">
        <f>Chem!B109</f>
        <v>2,4-Dimethylphenol</v>
      </c>
      <c r="C109" s="2305" t="str">
        <f>Param!AK109</f>
        <v>no</v>
      </c>
      <c r="D109" s="384" t="str">
        <f>IF(C109="YES",Param!V109,"no calc")</f>
        <v>no calc</v>
      </c>
      <c r="E109" s="552" t="str">
        <f>IF(C109="YES",Param!X109,"no calc")</f>
        <v>no calc</v>
      </c>
      <c r="F109" s="384" t="str">
        <f>IF(C109="YES",Param!O109,"no calc")</f>
        <v>no calc</v>
      </c>
      <c r="G109" s="622" t="str">
        <f>IF(C109="YES",Param!S109,"no calc")</f>
        <v>no calc</v>
      </c>
      <c r="H109" s="622" t="str">
        <f>IF(C109="YES",Param!AD109,"no calc")</f>
        <v>no calc</v>
      </c>
      <c r="I109" s="596" t="str">
        <f>IF(C109="YES",Param!AE109,"no calc")</f>
        <v>no calc</v>
      </c>
      <c r="J109" s="602" t="str">
        <f>IF(OR($D109="na",$D109="no calc"),"na",0.000001*Eqtn!D$419/(Eqtn!D$415*$H109*$D109+Eqtn!D$420*$I109*$E109))</f>
        <v>na</v>
      </c>
      <c r="K109" s="602" t="str">
        <f>IF(OR($D109="na",$D109="no calc"),"na",0.000001*Eqtn!E$419/(Eqtn!E$415*$H109*$D109+Eqtn!E$420*$I109*$E109))</f>
        <v>na</v>
      </c>
      <c r="L109" s="602" t="str">
        <f>IF(OR($D109="na",$D109="no calc"),"na",0.000001*Eqtn!F$419/(Eqtn!F$415*$H109*$D109+Eqtn!F$420*$I109*$E109))</f>
        <v>na</v>
      </c>
      <c r="M109" s="17" t="str">
        <f>IF(OR($D109="na",$D109="no calc"),"na",0.00001*Eqtn!D$419/(Eqtn!D$415*$H109*$D109+Eqtn!D$420*$I109*$E109))</f>
        <v>na</v>
      </c>
      <c r="N109" s="17" t="str">
        <f>IF(OR($D109="na",$D109="no calc"),"na",0.00001*Eqtn!E$419/(Eqtn!E$415*$H109*$D109+Eqtn!E$420*$I109*$E109))</f>
        <v>na</v>
      </c>
      <c r="O109" s="694" t="str">
        <f>IF(OR($D109="na",$D109="no calc"),"na",0.00001*Eqtn!F$419/(Eqtn!F$415*$H109*$D109+Eqtn!F$420*$I109*$E109))</f>
        <v>na</v>
      </c>
      <c r="P109" s="662" t="str">
        <f>IF(OR($F109="na",$F109="no calc"),"na",1*Eqtn!D$451/(Eqtn!D$447*$H109/$F109+Eqtn!D$452*$I109/$G109))</f>
        <v>na</v>
      </c>
      <c r="Q109" s="662" t="str">
        <f>IF(OR($F109="na",$F109="no calc"),"na",1*Eqtn!E$451/(Eqtn!E$447*$H109/$F109+Eqtn!E$452*$I109/$G109))</f>
        <v>na</v>
      </c>
      <c r="R109" s="662" t="str">
        <f>IF(OR($F109="na",$F109="no calc"),"na",1*Eqtn!F$451/(Eqtn!F$447*$H109/$F109+Eqtn!F$452*$I109/$G109))</f>
        <v>na</v>
      </c>
      <c r="S109" s="1418" t="str">
        <f t="shared" si="65"/>
        <v>na</v>
      </c>
      <c r="T109" s="1418" t="str">
        <f t="shared" si="66"/>
        <v>na</v>
      </c>
      <c r="U109" s="1418" t="str">
        <f t="shared" si="67"/>
        <v>na</v>
      </c>
      <c r="V109" s="1405" t="str">
        <f t="shared" si="68"/>
        <v>na</v>
      </c>
      <c r="W109" s="1383" t="str">
        <f t="shared" si="69"/>
        <v>na</v>
      </c>
      <c r="X109" s="1383" t="str">
        <f t="shared" si="70"/>
        <v>na</v>
      </c>
      <c r="Y109" s="1383" t="str">
        <f t="shared" si="71"/>
        <v>na</v>
      </c>
      <c r="Z109" s="1384" t="str">
        <f t="shared" si="72"/>
        <v>na</v>
      </c>
      <c r="AB109" s="1062"/>
    </row>
    <row r="110" spans="1:28" ht="13.9" customHeight="1" x14ac:dyDescent="0.25">
      <c r="A110" s="847">
        <f>Chem!A110</f>
        <v>108</v>
      </c>
      <c r="B110" s="916" t="str">
        <f>Chem!B110</f>
        <v>1,2-Dinitrobenzene</v>
      </c>
      <c r="C110" s="2305" t="str">
        <f>Param!AK110</f>
        <v>no</v>
      </c>
      <c r="D110" s="384" t="str">
        <f>IF(C110="YES",Param!V110,"no calc")</f>
        <v>no calc</v>
      </c>
      <c r="E110" s="552" t="str">
        <f>IF(C110="YES",Param!X110,"no calc")</f>
        <v>no calc</v>
      </c>
      <c r="F110" s="384" t="str">
        <f>IF(C110="YES",Param!O110,"no calc")</f>
        <v>no calc</v>
      </c>
      <c r="G110" s="622" t="str">
        <f>IF(C110="YES",Param!S110,"no calc")</f>
        <v>no calc</v>
      </c>
      <c r="H110" s="622" t="str">
        <f>IF(C110="YES",Param!AD110,"no calc")</f>
        <v>no calc</v>
      </c>
      <c r="I110" s="596" t="str">
        <f>IF(C110="YES",Param!AE110,"no calc")</f>
        <v>no calc</v>
      </c>
      <c r="J110" s="602" t="str">
        <f>IF(OR($D110="na",$D110="no calc"),"na",0.000001*Eqtn!D$419/(Eqtn!D$415*$H110*$D110+Eqtn!D$420*$I110*$E110))</f>
        <v>na</v>
      </c>
      <c r="K110" s="602" t="str">
        <f>IF(OR($D110="na",$D110="no calc"),"na",0.000001*Eqtn!E$419/(Eqtn!E$415*$H110*$D110+Eqtn!E$420*$I110*$E110))</f>
        <v>na</v>
      </c>
      <c r="L110" s="602" t="str">
        <f>IF(OR($D110="na",$D110="no calc"),"na",0.000001*Eqtn!F$419/(Eqtn!F$415*$H110*$D110+Eqtn!F$420*$I110*$E110))</f>
        <v>na</v>
      </c>
      <c r="M110" s="17" t="str">
        <f>IF(OR($D110="na",$D110="no calc"),"na",0.00001*Eqtn!D$419/(Eqtn!D$415*$H110*$D110+Eqtn!D$420*$I110*$E110))</f>
        <v>na</v>
      </c>
      <c r="N110" s="17" t="str">
        <f>IF(OR($D110="na",$D110="no calc"),"na",0.00001*Eqtn!E$419/(Eqtn!E$415*$H110*$D110+Eqtn!E$420*$I110*$E110))</f>
        <v>na</v>
      </c>
      <c r="O110" s="694" t="str">
        <f>IF(OR($D110="na",$D110="no calc"),"na",0.00001*Eqtn!F$419/(Eqtn!F$415*$H110*$D110+Eqtn!F$420*$I110*$E110))</f>
        <v>na</v>
      </c>
      <c r="P110" s="662" t="str">
        <f>IF(OR($F110="na",$F110="no calc"),"na",1*Eqtn!D$451/(Eqtn!D$447*$H110/$F110+Eqtn!D$452*$I110/$G110))</f>
        <v>na</v>
      </c>
      <c r="Q110" s="662" t="str">
        <f>IF(OR($F110="na",$F110="no calc"),"na",1*Eqtn!E$451/(Eqtn!E$447*$H110/$F110+Eqtn!E$452*$I110/$G110))</f>
        <v>na</v>
      </c>
      <c r="R110" s="662" t="str">
        <f>IF(OR($F110="na",$F110="no calc"),"na",1*Eqtn!F$451/(Eqtn!F$447*$H110/$F110+Eqtn!F$452*$I110/$G110))</f>
        <v>na</v>
      </c>
      <c r="S110" s="1418" t="str">
        <f t="shared" si="65"/>
        <v>na</v>
      </c>
      <c r="T110" s="1418" t="str">
        <f t="shared" si="66"/>
        <v>na</v>
      </c>
      <c r="U110" s="1418" t="str">
        <f t="shared" si="67"/>
        <v>na</v>
      </c>
      <c r="V110" s="1405" t="str">
        <f t="shared" si="68"/>
        <v>na</v>
      </c>
      <c r="W110" s="1383" t="str">
        <f t="shared" si="69"/>
        <v>na</v>
      </c>
      <c r="X110" s="1383" t="str">
        <f t="shared" si="70"/>
        <v>na</v>
      </c>
      <c r="Y110" s="1383" t="str">
        <f t="shared" si="71"/>
        <v>na</v>
      </c>
      <c r="Z110" s="1384" t="str">
        <f t="shared" si="72"/>
        <v>na</v>
      </c>
      <c r="AB110" s="1062"/>
    </row>
    <row r="111" spans="1:28" ht="13.9" customHeight="1" x14ac:dyDescent="0.25">
      <c r="A111" s="847">
        <f>Chem!A111</f>
        <v>109</v>
      </c>
      <c r="B111" s="916" t="str">
        <f>Chem!B111</f>
        <v>1,3-Dinitrobenzene</v>
      </c>
      <c r="C111" s="2305" t="str">
        <f>Param!AK111</f>
        <v>no</v>
      </c>
      <c r="D111" s="384" t="str">
        <f>IF(C111="YES",Param!V111,"no calc")</f>
        <v>no calc</v>
      </c>
      <c r="E111" s="552" t="str">
        <f>IF(C111="YES",Param!X111,"no calc")</f>
        <v>no calc</v>
      </c>
      <c r="F111" s="384" t="str">
        <f>IF(C111="YES",Param!O111,"no calc")</f>
        <v>no calc</v>
      </c>
      <c r="G111" s="622" t="str">
        <f>IF(C111="YES",Param!S111,"no calc")</f>
        <v>no calc</v>
      </c>
      <c r="H111" s="622" t="str">
        <f>IF(C111="YES",Param!AD111,"no calc")</f>
        <v>no calc</v>
      </c>
      <c r="I111" s="596" t="str">
        <f>IF(C111="YES",Param!AE111,"no calc")</f>
        <v>no calc</v>
      </c>
      <c r="J111" s="602" t="str">
        <f>IF(OR($D111="na",$D111="no calc"),"na",0.000001*Eqtn!D$419/(Eqtn!D$415*$H111*$D111+Eqtn!D$420*$I111*$E111))</f>
        <v>na</v>
      </c>
      <c r="K111" s="602" t="str">
        <f>IF(OR($D111="na",$D111="no calc"),"na",0.000001*Eqtn!E$419/(Eqtn!E$415*$H111*$D111+Eqtn!E$420*$I111*$E111))</f>
        <v>na</v>
      </c>
      <c r="L111" s="602" t="str">
        <f>IF(OR($D111="na",$D111="no calc"),"na",0.000001*Eqtn!F$419/(Eqtn!F$415*$H111*$D111+Eqtn!F$420*$I111*$E111))</f>
        <v>na</v>
      </c>
      <c r="M111" s="17" t="str">
        <f>IF(OR($D111="na",$D111="no calc"),"na",0.00001*Eqtn!D$419/(Eqtn!D$415*$H111*$D111+Eqtn!D$420*$I111*$E111))</f>
        <v>na</v>
      </c>
      <c r="N111" s="17" t="str">
        <f>IF(OR($D111="na",$D111="no calc"),"na",0.00001*Eqtn!E$419/(Eqtn!E$415*$H111*$D111+Eqtn!E$420*$I111*$E111))</f>
        <v>na</v>
      </c>
      <c r="O111" s="694" t="str">
        <f>IF(OR($D111="na",$D111="no calc"),"na",0.00001*Eqtn!F$419/(Eqtn!F$415*$H111*$D111+Eqtn!F$420*$I111*$E111))</f>
        <v>na</v>
      </c>
      <c r="P111" s="662" t="str">
        <f>IF(OR($F111="na",$F111="no calc"),"na",1*Eqtn!D$451/(Eqtn!D$447*$H111/$F111+Eqtn!D$452*$I111/$G111))</f>
        <v>na</v>
      </c>
      <c r="Q111" s="662" t="str">
        <f>IF(OR($F111="na",$F111="no calc"),"na",1*Eqtn!E$451/(Eqtn!E$447*$H111/$F111+Eqtn!E$452*$I111/$G111))</f>
        <v>na</v>
      </c>
      <c r="R111" s="662" t="str">
        <f>IF(OR($F111="na",$F111="no calc"),"na",1*Eqtn!F$451/(Eqtn!F$447*$H111/$F111+Eqtn!F$452*$I111/$G111))</f>
        <v>na</v>
      </c>
      <c r="S111" s="1418" t="str">
        <f t="shared" ref="S111:S145" si="73">IF(OR(ISNUMBER(J111),ISNUMBER(P111)),MIN(J111,P111),"na")</f>
        <v>na</v>
      </c>
      <c r="T111" s="1418" t="str">
        <f t="shared" ref="T111:T145" si="74">IF(OR(ISNUMBER(K111),ISNUMBER(Q111)),MIN(K111,Q111),"na")</f>
        <v>na</v>
      </c>
      <c r="U111" s="1418" t="str">
        <f t="shared" ref="U111:U145" si="75">IF(OR(ISNUMBER(L111),ISNUMBER(R111)),MIN(L111,R111),"na")</f>
        <v>na</v>
      </c>
      <c r="V111" s="1405" t="str">
        <f t="shared" si="68"/>
        <v>na</v>
      </c>
      <c r="W111" s="1383" t="str">
        <f t="shared" ref="W111:W145" si="76">IF(OR(ISNUMBER(M111),ISNUMBER(P111)),MIN(M111,P111),"na")</f>
        <v>na</v>
      </c>
      <c r="X111" s="1383" t="str">
        <f t="shared" ref="X111:X145" si="77">IF(OR(ISNUMBER(N111),ISNUMBER(Q111)),MIN(N111,Q111),"na")</f>
        <v>na</v>
      </c>
      <c r="Y111" s="1383" t="str">
        <f t="shared" ref="Y111:Y145" si="78">IF(OR(ISNUMBER(O111),ISNUMBER(R111)),MIN(O111,R111),"na")</f>
        <v>na</v>
      </c>
      <c r="Z111" s="1384" t="str">
        <f t="shared" si="72"/>
        <v>na</v>
      </c>
      <c r="AB111" s="1062"/>
    </row>
    <row r="112" spans="1:28" ht="13.9" customHeight="1" x14ac:dyDescent="0.25">
      <c r="A112" s="847">
        <f>Chem!A112</f>
        <v>110</v>
      </c>
      <c r="B112" s="916" t="str">
        <f>Chem!B112</f>
        <v>1,4-Dinitrobenzene</v>
      </c>
      <c r="C112" s="2305" t="str">
        <f>Param!AK112</f>
        <v>no</v>
      </c>
      <c r="D112" s="384" t="str">
        <f>IF(C112="YES",Param!V112,"no calc")</f>
        <v>no calc</v>
      </c>
      <c r="E112" s="552" t="str">
        <f>IF(C112="YES",Param!X112,"no calc")</f>
        <v>no calc</v>
      </c>
      <c r="F112" s="384" t="str">
        <f>IF(C112="YES",Param!O112,"no calc")</f>
        <v>no calc</v>
      </c>
      <c r="G112" s="622" t="str">
        <f>IF(C112="YES",Param!S112,"no calc")</f>
        <v>no calc</v>
      </c>
      <c r="H112" s="622" t="str">
        <f>IF(C112="YES",Param!AD112,"no calc")</f>
        <v>no calc</v>
      </c>
      <c r="I112" s="596" t="str">
        <f>IF(C112="YES",Param!AE112,"no calc")</f>
        <v>no calc</v>
      </c>
      <c r="J112" s="602" t="str">
        <f>IF(OR($D112="na",$D112="no calc"),"na",0.000001*Eqtn!D$419/(Eqtn!D$415*$H112*$D112+Eqtn!D$420*$I112*$E112))</f>
        <v>na</v>
      </c>
      <c r="K112" s="602" t="str">
        <f>IF(OR($D112="na",$D112="no calc"),"na",0.000001*Eqtn!E$419/(Eqtn!E$415*$H112*$D112+Eqtn!E$420*$I112*$E112))</f>
        <v>na</v>
      </c>
      <c r="L112" s="602" t="str">
        <f>IF(OR($D112="na",$D112="no calc"),"na",0.000001*Eqtn!F$419/(Eqtn!F$415*$H112*$D112+Eqtn!F$420*$I112*$E112))</f>
        <v>na</v>
      </c>
      <c r="M112" s="17" t="str">
        <f>IF(OR($D112="na",$D112="no calc"),"na",0.00001*Eqtn!D$419/(Eqtn!D$415*$H112*$D112+Eqtn!D$420*$I112*$E112))</f>
        <v>na</v>
      </c>
      <c r="N112" s="17" t="str">
        <f>IF(OR($D112="na",$D112="no calc"),"na",0.00001*Eqtn!E$419/(Eqtn!E$415*$H112*$D112+Eqtn!E$420*$I112*$E112))</f>
        <v>na</v>
      </c>
      <c r="O112" s="694" t="str">
        <f>IF(OR($D112="na",$D112="no calc"),"na",0.00001*Eqtn!F$419/(Eqtn!F$415*$H112*$D112+Eqtn!F$420*$I112*$E112))</f>
        <v>na</v>
      </c>
      <c r="P112" s="662" t="str">
        <f>IF(OR($F112="na",$F112="no calc"),"na",1*Eqtn!D$451/(Eqtn!D$447*$H112/$F112+Eqtn!D$452*$I112/$G112))</f>
        <v>na</v>
      </c>
      <c r="Q112" s="662" t="str">
        <f>IF(OR($F112="na",$F112="no calc"),"na",1*Eqtn!E$451/(Eqtn!E$447*$H112/$F112+Eqtn!E$452*$I112/$G112))</f>
        <v>na</v>
      </c>
      <c r="R112" s="662" t="str">
        <f>IF(OR($F112="na",$F112="no calc"),"na",1*Eqtn!F$451/(Eqtn!F$447*$H112/$F112+Eqtn!F$452*$I112/$G112))</f>
        <v>na</v>
      </c>
      <c r="S112" s="1418" t="str">
        <f t="shared" si="73"/>
        <v>na</v>
      </c>
      <c r="T112" s="1418" t="str">
        <f t="shared" si="74"/>
        <v>na</v>
      </c>
      <c r="U112" s="1418" t="str">
        <f t="shared" si="75"/>
        <v>na</v>
      </c>
      <c r="V112" s="1405" t="str">
        <f t="shared" si="68"/>
        <v>na</v>
      </c>
      <c r="W112" s="1383" t="str">
        <f t="shared" si="76"/>
        <v>na</v>
      </c>
      <c r="X112" s="1383" t="str">
        <f t="shared" si="77"/>
        <v>na</v>
      </c>
      <c r="Y112" s="1383" t="str">
        <f t="shared" si="78"/>
        <v>na</v>
      </c>
      <c r="Z112" s="1384" t="str">
        <f t="shared" si="72"/>
        <v>na</v>
      </c>
      <c r="AB112" s="1062"/>
    </row>
    <row r="113" spans="1:28" ht="13.9" customHeight="1" x14ac:dyDescent="0.25">
      <c r="A113" s="847">
        <f>Chem!A113</f>
        <v>111</v>
      </c>
      <c r="B113" s="916" t="str">
        <f>Chem!B113</f>
        <v>4,6-Dinitro-o-cresol (DNOC)</v>
      </c>
      <c r="C113" s="2305" t="str">
        <f>Param!AK113</f>
        <v>no</v>
      </c>
      <c r="D113" s="384" t="str">
        <f>IF(C113="YES",Param!V113,"no calc")</f>
        <v>no calc</v>
      </c>
      <c r="E113" s="552" t="str">
        <f>IF(C113="YES",Param!X113,"no calc")</f>
        <v>no calc</v>
      </c>
      <c r="F113" s="384" t="str">
        <f>IF(C113="YES",Param!O113,"no calc")</f>
        <v>no calc</v>
      </c>
      <c r="G113" s="622" t="str">
        <f>IF(C113="YES",Param!S113,"no calc")</f>
        <v>no calc</v>
      </c>
      <c r="H113" s="622" t="str">
        <f>IF(C113="YES",Param!AD113,"no calc")</f>
        <v>no calc</v>
      </c>
      <c r="I113" s="596" t="str">
        <f>IF(C113="YES",Param!AE113,"no calc")</f>
        <v>no calc</v>
      </c>
      <c r="J113" s="602" t="str">
        <f>IF(OR($D113="na",$D113="no calc"),"na",0.000001*Eqtn!D$419/(Eqtn!D$415*$H113*$D113+Eqtn!D$420*$I113*$E113))</f>
        <v>na</v>
      </c>
      <c r="K113" s="602" t="str">
        <f>IF(OR($D113="na",$D113="no calc"),"na",0.000001*Eqtn!E$419/(Eqtn!E$415*$H113*$D113+Eqtn!E$420*$I113*$E113))</f>
        <v>na</v>
      </c>
      <c r="L113" s="602" t="str">
        <f>IF(OR($D113="na",$D113="no calc"),"na",0.000001*Eqtn!F$419/(Eqtn!F$415*$H113*$D113+Eqtn!F$420*$I113*$E113))</f>
        <v>na</v>
      </c>
      <c r="M113" s="17" t="str">
        <f>IF(OR($D113="na",$D113="no calc"),"na",0.00001*Eqtn!D$419/(Eqtn!D$415*$H113*$D113+Eqtn!D$420*$I113*$E113))</f>
        <v>na</v>
      </c>
      <c r="N113" s="17" t="str">
        <f>IF(OR($D113="na",$D113="no calc"),"na",0.00001*Eqtn!E$419/(Eqtn!E$415*$H113*$D113+Eqtn!E$420*$I113*$E113))</f>
        <v>na</v>
      </c>
      <c r="O113" s="694" t="str">
        <f>IF(OR($D113="na",$D113="no calc"),"na",0.00001*Eqtn!F$419/(Eqtn!F$415*$H113*$D113+Eqtn!F$420*$I113*$E113))</f>
        <v>na</v>
      </c>
      <c r="P113" s="662" t="str">
        <f>IF(OR($F113="na",$F113="no calc"),"na",1*Eqtn!D$451/(Eqtn!D$447*$H113/$F113+Eqtn!D$452*$I113/$G113))</f>
        <v>na</v>
      </c>
      <c r="Q113" s="662" t="str">
        <f>IF(OR($F113="na",$F113="no calc"),"na",1*Eqtn!E$451/(Eqtn!E$447*$H113/$F113+Eqtn!E$452*$I113/$G113))</f>
        <v>na</v>
      </c>
      <c r="R113" s="662" t="str">
        <f>IF(OR($F113="na",$F113="no calc"),"na",1*Eqtn!F$451/(Eqtn!F$447*$H113/$F113+Eqtn!F$452*$I113/$G113))</f>
        <v>na</v>
      </c>
      <c r="S113" s="1418" t="str">
        <f t="shared" si="73"/>
        <v>na</v>
      </c>
      <c r="T113" s="1418" t="str">
        <f t="shared" si="74"/>
        <v>na</v>
      </c>
      <c r="U113" s="1418" t="str">
        <f t="shared" si="75"/>
        <v>na</v>
      </c>
      <c r="V113" s="1405" t="str">
        <f t="shared" si="68"/>
        <v>na</v>
      </c>
      <c r="W113" s="1383" t="str">
        <f t="shared" si="76"/>
        <v>na</v>
      </c>
      <c r="X113" s="1383" t="str">
        <f t="shared" si="77"/>
        <v>na</v>
      </c>
      <c r="Y113" s="1383" t="str">
        <f t="shared" si="78"/>
        <v>na</v>
      </c>
      <c r="Z113" s="1384" t="str">
        <f t="shared" si="72"/>
        <v>na</v>
      </c>
      <c r="AB113" s="1062"/>
    </row>
    <row r="114" spans="1:28" ht="13.9" customHeight="1" x14ac:dyDescent="0.25">
      <c r="A114" s="847">
        <f>Chem!A114</f>
        <v>112</v>
      </c>
      <c r="B114" s="916" t="str">
        <f>Chem!B114</f>
        <v>2,4-Dinitrophenol</v>
      </c>
      <c r="C114" s="2305" t="str">
        <f>Param!AK114</f>
        <v>no</v>
      </c>
      <c r="D114" s="384" t="str">
        <f>IF(C114="YES",Param!V114,"no calc")</f>
        <v>no calc</v>
      </c>
      <c r="E114" s="552" t="str">
        <f>IF(C114="YES",Param!X114,"no calc")</f>
        <v>no calc</v>
      </c>
      <c r="F114" s="384" t="str">
        <f>IF(C114="YES",Param!O114,"no calc")</f>
        <v>no calc</v>
      </c>
      <c r="G114" s="622" t="str">
        <f>IF(C114="YES",Param!S114,"no calc")</f>
        <v>no calc</v>
      </c>
      <c r="H114" s="622" t="str">
        <f>IF(C114="YES",Param!AD114,"no calc")</f>
        <v>no calc</v>
      </c>
      <c r="I114" s="596" t="str">
        <f>IF(C114="YES",Param!AE114,"no calc")</f>
        <v>no calc</v>
      </c>
      <c r="J114" s="602" t="str">
        <f>IF(OR($D114="na",$D114="no calc"),"na",0.000001*Eqtn!D$419/(Eqtn!D$415*$H114*$D114+Eqtn!D$420*$I114*$E114))</f>
        <v>na</v>
      </c>
      <c r="K114" s="602" t="str">
        <f>IF(OR($D114="na",$D114="no calc"),"na",0.000001*Eqtn!E$419/(Eqtn!E$415*$H114*$D114+Eqtn!E$420*$I114*$E114))</f>
        <v>na</v>
      </c>
      <c r="L114" s="602" t="str">
        <f>IF(OR($D114="na",$D114="no calc"),"na",0.000001*Eqtn!F$419/(Eqtn!F$415*$H114*$D114+Eqtn!F$420*$I114*$E114))</f>
        <v>na</v>
      </c>
      <c r="M114" s="17" t="str">
        <f>IF(OR($D114="na",$D114="no calc"),"na",0.00001*Eqtn!D$419/(Eqtn!D$415*$H114*$D114+Eqtn!D$420*$I114*$E114))</f>
        <v>na</v>
      </c>
      <c r="N114" s="17" t="str">
        <f>IF(OR($D114="na",$D114="no calc"),"na",0.00001*Eqtn!E$419/(Eqtn!E$415*$H114*$D114+Eqtn!E$420*$I114*$E114))</f>
        <v>na</v>
      </c>
      <c r="O114" s="694" t="str">
        <f>IF(OR($D114="na",$D114="no calc"),"na",0.00001*Eqtn!F$419/(Eqtn!F$415*$H114*$D114+Eqtn!F$420*$I114*$E114))</f>
        <v>na</v>
      </c>
      <c r="P114" s="662" t="str">
        <f>IF(OR($F114="na",$F114="no calc"),"na",1*Eqtn!D$451/(Eqtn!D$447*$H114/$F114+Eqtn!D$452*$I114/$G114))</f>
        <v>na</v>
      </c>
      <c r="Q114" s="662" t="str">
        <f>IF(OR($F114="na",$F114="no calc"),"na",1*Eqtn!E$451/(Eqtn!E$447*$H114/$F114+Eqtn!E$452*$I114/$G114))</f>
        <v>na</v>
      </c>
      <c r="R114" s="662" t="str">
        <f>IF(OR($F114="na",$F114="no calc"),"na",1*Eqtn!F$451/(Eqtn!F$447*$H114/$F114+Eqtn!F$452*$I114/$G114))</f>
        <v>na</v>
      </c>
      <c r="S114" s="1418" t="str">
        <f t="shared" si="73"/>
        <v>na</v>
      </c>
      <c r="T114" s="1418" t="str">
        <f t="shared" si="74"/>
        <v>na</v>
      </c>
      <c r="U114" s="1418" t="str">
        <f t="shared" si="75"/>
        <v>na</v>
      </c>
      <c r="V114" s="1405" t="str">
        <f t="shared" si="68"/>
        <v>na</v>
      </c>
      <c r="W114" s="1383" t="str">
        <f t="shared" si="76"/>
        <v>na</v>
      </c>
      <c r="X114" s="1383" t="str">
        <f t="shared" si="77"/>
        <v>na</v>
      </c>
      <c r="Y114" s="1383" t="str">
        <f t="shared" si="78"/>
        <v>na</v>
      </c>
      <c r="Z114" s="1384" t="str">
        <f t="shared" si="72"/>
        <v>na</v>
      </c>
      <c r="AB114" s="1062"/>
    </row>
    <row r="115" spans="1:28" ht="13.9" customHeight="1" x14ac:dyDescent="0.25">
      <c r="A115" s="847">
        <f>Chem!A115</f>
        <v>113</v>
      </c>
      <c r="B115" s="916" t="str">
        <f>Chem!B115</f>
        <v>2,4-Dinitrotoluene</v>
      </c>
      <c r="C115" s="2305" t="str">
        <f>Param!AK115</f>
        <v>no</v>
      </c>
      <c r="D115" s="384" t="str">
        <f>IF(C115="YES",Param!V115,"no calc")</f>
        <v>no calc</v>
      </c>
      <c r="E115" s="552" t="str">
        <f>IF(C115="YES",Param!X115,"no calc")</f>
        <v>no calc</v>
      </c>
      <c r="F115" s="384" t="str">
        <f>IF(C115="YES",Param!O115,"no calc")</f>
        <v>no calc</v>
      </c>
      <c r="G115" s="622" t="str">
        <f>IF(C115="YES",Param!S115,"no calc")</f>
        <v>no calc</v>
      </c>
      <c r="H115" s="622" t="str">
        <f>IF(C115="YES",Param!AD115,"no calc")</f>
        <v>no calc</v>
      </c>
      <c r="I115" s="596" t="str">
        <f>IF(C115="YES",Param!AE115,"no calc")</f>
        <v>no calc</v>
      </c>
      <c r="J115" s="602" t="str">
        <f>IF(OR($D115="na",$D115="no calc"),"na",0.000001*Eqtn!D$419/(Eqtn!D$415*$H115*$D115+Eqtn!D$420*$I115*$E115))</f>
        <v>na</v>
      </c>
      <c r="K115" s="602" t="str">
        <f>IF(OR($D115="na",$D115="no calc"),"na",0.000001*Eqtn!E$419/(Eqtn!E$415*$H115*$D115+Eqtn!E$420*$I115*$E115))</f>
        <v>na</v>
      </c>
      <c r="L115" s="602" t="str">
        <f>IF(OR($D115="na",$D115="no calc"),"na",0.000001*Eqtn!F$419/(Eqtn!F$415*$H115*$D115+Eqtn!F$420*$I115*$E115))</f>
        <v>na</v>
      </c>
      <c r="M115" s="17" t="str">
        <f>IF(OR($D115="na",$D115="no calc"),"na",0.00001*Eqtn!D$419/(Eqtn!D$415*$H115*$D115+Eqtn!D$420*$I115*$E115))</f>
        <v>na</v>
      </c>
      <c r="N115" s="17" t="str">
        <f>IF(OR($D115="na",$D115="no calc"),"na",0.00001*Eqtn!E$419/(Eqtn!E$415*$H115*$D115+Eqtn!E$420*$I115*$E115))</f>
        <v>na</v>
      </c>
      <c r="O115" s="694" t="str">
        <f>IF(OR($D115="na",$D115="no calc"),"na",0.00001*Eqtn!F$419/(Eqtn!F$415*$H115*$D115+Eqtn!F$420*$I115*$E115))</f>
        <v>na</v>
      </c>
      <c r="P115" s="662" t="str">
        <f>IF(OR($F115="na",$F115="no calc"),"na",1*Eqtn!D$451/(Eqtn!D$447*$H115/$F115+Eqtn!D$452*$I115/$G115))</f>
        <v>na</v>
      </c>
      <c r="Q115" s="662" t="str">
        <f>IF(OR($F115="na",$F115="no calc"),"na",1*Eqtn!E$451/(Eqtn!E$447*$H115/$F115+Eqtn!E$452*$I115/$G115))</f>
        <v>na</v>
      </c>
      <c r="R115" s="662" t="str">
        <f>IF(OR($F115="na",$F115="no calc"),"na",1*Eqtn!F$451/(Eqtn!F$447*$H115/$F115+Eqtn!F$452*$I115/$G115))</f>
        <v>na</v>
      </c>
      <c r="S115" s="1418" t="str">
        <f t="shared" si="73"/>
        <v>na</v>
      </c>
      <c r="T115" s="1418" t="str">
        <f t="shared" si="74"/>
        <v>na</v>
      </c>
      <c r="U115" s="1418" t="str">
        <f t="shared" si="75"/>
        <v>na</v>
      </c>
      <c r="V115" s="1405" t="str">
        <f t="shared" si="68"/>
        <v>na</v>
      </c>
      <c r="W115" s="1383" t="str">
        <f t="shared" si="76"/>
        <v>na</v>
      </c>
      <c r="X115" s="1383" t="str">
        <f t="shared" si="77"/>
        <v>na</v>
      </c>
      <c r="Y115" s="1383" t="str">
        <f t="shared" si="78"/>
        <v>na</v>
      </c>
      <c r="Z115" s="1384" t="str">
        <f t="shared" si="72"/>
        <v>na</v>
      </c>
      <c r="AB115" s="1062"/>
    </row>
    <row r="116" spans="1:28" ht="13.9" customHeight="1" x14ac:dyDescent="0.25">
      <c r="A116" s="842">
        <f>Chem!A116</f>
        <v>114</v>
      </c>
      <c r="B116" s="916" t="str">
        <f>Chem!B116</f>
        <v>2,6-Dinitrotoluene</v>
      </c>
      <c r="C116" s="2305" t="str">
        <f>Param!AK116</f>
        <v>no</v>
      </c>
      <c r="D116" s="384" t="str">
        <f>IF(C116="YES",Param!V116,"no calc")</f>
        <v>no calc</v>
      </c>
      <c r="E116" s="552" t="str">
        <f>IF(C116="YES",Param!X116,"no calc")</f>
        <v>no calc</v>
      </c>
      <c r="F116" s="384" t="str">
        <f>IF(C116="YES",Param!O116,"no calc")</f>
        <v>no calc</v>
      </c>
      <c r="G116" s="622" t="str">
        <f>IF(C116="YES",Param!S116,"no calc")</f>
        <v>no calc</v>
      </c>
      <c r="H116" s="622" t="str">
        <f>IF(C116="YES",Param!AD116,"no calc")</f>
        <v>no calc</v>
      </c>
      <c r="I116" s="596" t="str">
        <f>IF(C116="YES",Param!AE116,"no calc")</f>
        <v>no calc</v>
      </c>
      <c r="J116" s="602" t="str">
        <f>IF(OR($D116="na",$D116="no calc"),"na",0.000001*Eqtn!D$419/(Eqtn!D$415*$H116*$D116+Eqtn!D$420*$I116*$E116))</f>
        <v>na</v>
      </c>
      <c r="K116" s="602" t="str">
        <f>IF(OR($D116="na",$D116="no calc"),"na",0.000001*Eqtn!E$419/(Eqtn!E$415*$H116*$D116+Eqtn!E$420*$I116*$E116))</f>
        <v>na</v>
      </c>
      <c r="L116" s="602" t="str">
        <f>IF(OR($D116="na",$D116="no calc"),"na",0.000001*Eqtn!F$419/(Eqtn!F$415*$H116*$D116+Eqtn!F$420*$I116*$E116))</f>
        <v>na</v>
      </c>
      <c r="M116" s="17" t="str">
        <f>IF(OR($D116="na",$D116="no calc"),"na",0.00001*Eqtn!D$419/(Eqtn!D$415*$H116*$D116+Eqtn!D$420*$I116*$E116))</f>
        <v>na</v>
      </c>
      <c r="N116" s="17" t="str">
        <f>IF(OR($D116="na",$D116="no calc"),"na",0.00001*Eqtn!E$419/(Eqtn!E$415*$H116*$D116+Eqtn!E$420*$I116*$E116))</f>
        <v>na</v>
      </c>
      <c r="O116" s="694" t="str">
        <f>IF(OR($D116="na",$D116="no calc"),"na",0.00001*Eqtn!F$419/(Eqtn!F$415*$H116*$D116+Eqtn!F$420*$I116*$E116))</f>
        <v>na</v>
      </c>
      <c r="P116" s="662" t="str">
        <f>IF(OR($F116="na",$F116="no calc"),"na",1*Eqtn!D$451/(Eqtn!D$447*$H116/$F116+Eqtn!D$452*$I116/$G116))</f>
        <v>na</v>
      </c>
      <c r="Q116" s="662" t="str">
        <f>IF(OR($F116="na",$F116="no calc"),"na",1*Eqtn!E$451/(Eqtn!E$447*$H116/$F116+Eqtn!E$452*$I116/$G116))</f>
        <v>na</v>
      </c>
      <c r="R116" s="662" t="str">
        <f>IF(OR($F116="na",$F116="no calc"),"na",1*Eqtn!F$451/(Eqtn!F$447*$H116/$F116+Eqtn!F$452*$I116/$G116))</f>
        <v>na</v>
      </c>
      <c r="S116" s="1418" t="str">
        <f t="shared" si="73"/>
        <v>na</v>
      </c>
      <c r="T116" s="1418" t="str">
        <f t="shared" si="74"/>
        <v>na</v>
      </c>
      <c r="U116" s="1418" t="str">
        <f t="shared" si="75"/>
        <v>na</v>
      </c>
      <c r="V116" s="1405" t="str">
        <f t="shared" si="68"/>
        <v>na</v>
      </c>
      <c r="W116" s="1383" t="str">
        <f t="shared" si="76"/>
        <v>na</v>
      </c>
      <c r="X116" s="1383" t="str">
        <f t="shared" si="77"/>
        <v>na</v>
      </c>
      <c r="Y116" s="1383" t="str">
        <f t="shared" si="78"/>
        <v>na</v>
      </c>
      <c r="Z116" s="1384" t="str">
        <f t="shared" si="72"/>
        <v>na</v>
      </c>
      <c r="AB116" s="1062"/>
    </row>
    <row r="117" spans="1:28" ht="13.9" customHeight="1" x14ac:dyDescent="0.25">
      <c r="A117" s="847">
        <f>Chem!A117</f>
        <v>115</v>
      </c>
      <c r="B117" s="916" t="str">
        <f>Chem!B117</f>
        <v>Di-n-octyl phthalate</v>
      </c>
      <c r="C117" s="2304" t="str">
        <f>Param!AK117</f>
        <v>no</v>
      </c>
      <c r="D117" s="392" t="str">
        <f>IF(C117="YES",Param!V117,"no calc")</f>
        <v>no calc</v>
      </c>
      <c r="E117" s="552" t="str">
        <f>IF(C117="YES",Param!X117,"no calc")</f>
        <v>no calc</v>
      </c>
      <c r="F117" s="392" t="str">
        <f>IF(C117="YES",Param!O117,"no calc")</f>
        <v>no calc</v>
      </c>
      <c r="G117" s="622" t="str">
        <f>IF(C117="YES",Param!S117,"no calc")</f>
        <v>no calc</v>
      </c>
      <c r="H117" s="622" t="str">
        <f>IF(C117="YES",Param!AD117,"no calc")</f>
        <v>no calc</v>
      </c>
      <c r="I117" s="596" t="str">
        <f>IF(C117="YES",Param!AE117,"no calc")</f>
        <v>no calc</v>
      </c>
      <c r="J117" s="602" t="str">
        <f>IF(OR($D117="na",$D117="no calc"),"na",0.000001*Eqtn!D$419/(Eqtn!D$415*$H117*$D117+Eqtn!D$420*$I117*$E117))</f>
        <v>na</v>
      </c>
      <c r="K117" s="602" t="str">
        <f>IF(OR($D117="na",$D117="no calc"),"na",0.000001*Eqtn!E$419/(Eqtn!E$415*$H117*$D117+Eqtn!E$420*$I117*$E117))</f>
        <v>na</v>
      </c>
      <c r="L117" s="602" t="str">
        <f>IF(OR($D117="na",$D117="no calc"),"na",0.000001*Eqtn!F$419/(Eqtn!F$415*$H117*$D117+Eqtn!F$420*$I117*$E117))</f>
        <v>na</v>
      </c>
      <c r="M117" s="17" t="str">
        <f>IF(OR($D117="na",$D117="no calc"),"na",0.00001*Eqtn!D$419/(Eqtn!D$415*$H117*$D117+Eqtn!D$420*$I117*$E117))</f>
        <v>na</v>
      </c>
      <c r="N117" s="17" t="str">
        <f>IF(OR($D117="na",$D117="no calc"),"na",0.00001*Eqtn!E$419/(Eqtn!E$415*$H117*$D117+Eqtn!E$420*$I117*$E117))</f>
        <v>na</v>
      </c>
      <c r="O117" s="694" t="str">
        <f>IF(OR($D117="na",$D117="no calc"),"na",0.00001*Eqtn!F$419/(Eqtn!F$415*$H117*$D117+Eqtn!F$420*$I117*$E117))</f>
        <v>na</v>
      </c>
      <c r="P117" s="662" t="str">
        <f>IF(OR($F117="na",$F117="no calc"),"na",1*Eqtn!D$451/(Eqtn!D$447*$H117/$F117+Eqtn!D$452*$I117/$G117))</f>
        <v>na</v>
      </c>
      <c r="Q117" s="662" t="str">
        <f>IF(OR($F117="na",$F117="no calc"),"na",1*Eqtn!E$451/(Eqtn!E$447*$H117/$F117+Eqtn!E$452*$I117/$G117))</f>
        <v>na</v>
      </c>
      <c r="R117" s="662" t="str">
        <f>IF(OR($F117="na",$F117="no calc"),"na",1*Eqtn!F$451/(Eqtn!F$447*$H117/$F117+Eqtn!F$452*$I117/$G117))</f>
        <v>na</v>
      </c>
      <c r="S117" s="1418" t="str">
        <f t="shared" si="73"/>
        <v>na</v>
      </c>
      <c r="T117" s="1418" t="str">
        <f t="shared" si="74"/>
        <v>na</v>
      </c>
      <c r="U117" s="1418" t="str">
        <f t="shared" si="75"/>
        <v>na</v>
      </c>
      <c r="V117" s="1405" t="str">
        <f t="shared" si="68"/>
        <v>na</v>
      </c>
      <c r="W117" s="1383" t="str">
        <f t="shared" si="76"/>
        <v>na</v>
      </c>
      <c r="X117" s="1383" t="str">
        <f t="shared" si="77"/>
        <v>na</v>
      </c>
      <c r="Y117" s="1383" t="str">
        <f t="shared" si="78"/>
        <v>na</v>
      </c>
      <c r="Z117" s="1384" t="str">
        <f t="shared" si="72"/>
        <v>na</v>
      </c>
      <c r="AB117" s="1062"/>
    </row>
    <row r="118" spans="1:28" ht="13.9" customHeight="1" x14ac:dyDescent="0.25">
      <c r="A118" s="848">
        <f>Chem!A118</f>
        <v>116</v>
      </c>
      <c r="B118" s="916" t="str">
        <f>Chem!B118</f>
        <v>1,4-Dioxane</v>
      </c>
      <c r="C118" s="2305" t="str">
        <f>Param!AK118</f>
        <v>no</v>
      </c>
      <c r="D118" s="394" t="str">
        <f>IF(C118="YES",Param!V118,"no calc")</f>
        <v>no calc</v>
      </c>
      <c r="E118" s="552" t="str">
        <f>IF(C118="YES",Param!X118,"no calc")</f>
        <v>no calc</v>
      </c>
      <c r="F118" s="394" t="str">
        <f>IF(C118="YES",Param!O118,"no calc")</f>
        <v>no calc</v>
      </c>
      <c r="G118" s="622" t="str">
        <f>IF(C118="YES",Param!S118,"no calc")</f>
        <v>no calc</v>
      </c>
      <c r="H118" s="622" t="str">
        <f>IF(C118="YES",Param!AD118,"no calc")</f>
        <v>no calc</v>
      </c>
      <c r="I118" s="596" t="str">
        <f>IF(C118="YES",Param!AE118,"no calc")</f>
        <v>no calc</v>
      </c>
      <c r="J118" s="602" t="str">
        <f>IF(OR($D118="na",$D118="no calc"),"na",0.000001*Eqtn!D$419/(Eqtn!D$415*$H118*$D118+Eqtn!D$420*$I118*$E118))</f>
        <v>na</v>
      </c>
      <c r="K118" s="602" t="str">
        <f>IF(OR($D118="na",$D118="no calc"),"na",0.000001*Eqtn!E$419/(Eqtn!E$415*$H118*$D118+Eqtn!E$420*$I118*$E118))</f>
        <v>na</v>
      </c>
      <c r="L118" s="602" t="str">
        <f>IF(OR($D118="na",$D118="no calc"),"na",0.000001*Eqtn!F$419/(Eqtn!F$415*$H118*$D118+Eqtn!F$420*$I118*$E118))</f>
        <v>na</v>
      </c>
      <c r="M118" s="17" t="str">
        <f>IF(OR($D118="na",$D118="no calc"),"na",0.00001*Eqtn!D$419/(Eqtn!D$415*$H118*$D118+Eqtn!D$420*$I118*$E118))</f>
        <v>na</v>
      </c>
      <c r="N118" s="17" t="str">
        <f>IF(OR($D118="na",$D118="no calc"),"na",0.00001*Eqtn!E$419/(Eqtn!E$415*$H118*$D118+Eqtn!E$420*$I118*$E118))</f>
        <v>na</v>
      </c>
      <c r="O118" s="694" t="str">
        <f>IF(OR($D118="na",$D118="no calc"),"na",0.00001*Eqtn!F$419/(Eqtn!F$415*$H118*$D118+Eqtn!F$420*$I118*$E118))</f>
        <v>na</v>
      </c>
      <c r="P118" s="662" t="str">
        <f>IF(OR($F118="na",$F118="no calc"),"na",1*Eqtn!D$451/(Eqtn!D$447*$H118/$F118+Eqtn!D$452*$I118/$G118))</f>
        <v>na</v>
      </c>
      <c r="Q118" s="662" t="str">
        <f>IF(OR($F118="na",$F118="no calc"),"na",1*Eqtn!E$451/(Eqtn!E$447*$H118/$F118+Eqtn!E$452*$I118/$G118))</f>
        <v>na</v>
      </c>
      <c r="R118" s="662" t="str">
        <f>IF(OR($F118="na",$F118="no calc"),"na",1*Eqtn!F$451/(Eqtn!F$447*$H118/$F118+Eqtn!F$452*$I118/$G118))</f>
        <v>na</v>
      </c>
      <c r="S118" s="1418" t="str">
        <f t="shared" si="73"/>
        <v>na</v>
      </c>
      <c r="T118" s="1418" t="str">
        <f t="shared" si="74"/>
        <v>na</v>
      </c>
      <c r="U118" s="1418" t="str">
        <f t="shared" si="75"/>
        <v>na</v>
      </c>
      <c r="V118" s="1405" t="str">
        <f t="shared" si="68"/>
        <v>na</v>
      </c>
      <c r="W118" s="1383" t="str">
        <f t="shared" si="76"/>
        <v>na</v>
      </c>
      <c r="X118" s="1383" t="str">
        <f t="shared" si="77"/>
        <v>na</v>
      </c>
      <c r="Y118" s="1383" t="str">
        <f t="shared" si="78"/>
        <v>na</v>
      </c>
      <c r="Z118" s="1384" t="str">
        <f t="shared" si="72"/>
        <v>na</v>
      </c>
      <c r="AB118" s="1062"/>
    </row>
    <row r="119" spans="1:28" ht="13.9" customHeight="1" x14ac:dyDescent="0.25">
      <c r="A119" s="848">
        <f>Chem!A119</f>
        <v>117</v>
      </c>
      <c r="B119" s="916" t="str">
        <f>Chem!B119</f>
        <v>1,2-Diphenylhydrazine</v>
      </c>
      <c r="C119" s="2309" t="str">
        <f>Param!AK119</f>
        <v>no</v>
      </c>
      <c r="D119" s="395" t="str">
        <f>IF(C119="YES",Param!V119,"no calc")</f>
        <v>no calc</v>
      </c>
      <c r="E119" s="552" t="str">
        <f>IF(C119="YES",Param!X119,"no calc")</f>
        <v>no calc</v>
      </c>
      <c r="F119" s="395" t="str">
        <f>IF(C119="YES",Param!O119,"no calc")</f>
        <v>no calc</v>
      </c>
      <c r="G119" s="622" t="str">
        <f>IF(C119="YES",Param!S119,"no calc")</f>
        <v>no calc</v>
      </c>
      <c r="H119" s="622" t="str">
        <f>IF(C119="YES",Param!AD119,"no calc")</f>
        <v>no calc</v>
      </c>
      <c r="I119" s="596" t="str">
        <f>IF(C119="YES",Param!AE119,"no calc")</f>
        <v>no calc</v>
      </c>
      <c r="J119" s="602" t="str">
        <f>IF(OR($D119="na",$D119="no calc"),"na",0.000001*Eqtn!D$419/(Eqtn!D$415*$H119*$D119+Eqtn!D$420*$I119*$E119))</f>
        <v>na</v>
      </c>
      <c r="K119" s="602" t="str">
        <f>IF(OR($D119="na",$D119="no calc"),"na",0.000001*Eqtn!E$419/(Eqtn!E$415*$H119*$D119+Eqtn!E$420*$I119*$E119))</f>
        <v>na</v>
      </c>
      <c r="L119" s="602" t="str">
        <f>IF(OR($D119="na",$D119="no calc"),"na",0.000001*Eqtn!F$419/(Eqtn!F$415*$H119*$D119+Eqtn!F$420*$I119*$E119))</f>
        <v>na</v>
      </c>
      <c r="M119" s="17" t="str">
        <f>IF(OR($D119="na",$D119="no calc"),"na",0.00001*Eqtn!D$419/(Eqtn!D$415*$H119*$D119+Eqtn!D$420*$I119*$E119))</f>
        <v>na</v>
      </c>
      <c r="N119" s="17" t="str">
        <f>IF(OR($D119="na",$D119="no calc"),"na",0.00001*Eqtn!E$419/(Eqtn!E$415*$H119*$D119+Eqtn!E$420*$I119*$E119))</f>
        <v>na</v>
      </c>
      <c r="O119" s="694" t="str">
        <f>IF(OR($D119="na",$D119="no calc"),"na",0.00001*Eqtn!F$419/(Eqtn!F$415*$H119*$D119+Eqtn!F$420*$I119*$E119))</f>
        <v>na</v>
      </c>
      <c r="P119" s="662" t="str">
        <f>IF(OR($F119="na",$F119="no calc"),"na",1*Eqtn!D$451/(Eqtn!D$447*$H119/$F119+Eqtn!D$452*$I119/$G119))</f>
        <v>na</v>
      </c>
      <c r="Q119" s="662" t="str">
        <f>IF(OR($F119="na",$F119="no calc"),"na",1*Eqtn!E$451/(Eqtn!E$447*$H119/$F119+Eqtn!E$452*$I119/$G119))</f>
        <v>na</v>
      </c>
      <c r="R119" s="662" t="str">
        <f>IF(OR($F119="na",$F119="no calc"),"na",1*Eqtn!F$451/(Eqtn!F$447*$H119/$F119+Eqtn!F$452*$I119/$G119))</f>
        <v>na</v>
      </c>
      <c r="S119" s="1418" t="str">
        <f t="shared" si="73"/>
        <v>na</v>
      </c>
      <c r="T119" s="1418" t="str">
        <f t="shared" si="74"/>
        <v>na</v>
      </c>
      <c r="U119" s="1418" t="str">
        <f t="shared" si="75"/>
        <v>na</v>
      </c>
      <c r="V119" s="1405" t="str">
        <f t="shared" si="68"/>
        <v>na</v>
      </c>
      <c r="W119" s="1383" t="str">
        <f t="shared" si="76"/>
        <v>na</v>
      </c>
      <c r="X119" s="1383" t="str">
        <f t="shared" si="77"/>
        <v>na</v>
      </c>
      <c r="Y119" s="1383" t="str">
        <f t="shared" si="78"/>
        <v>na</v>
      </c>
      <c r="Z119" s="1384" t="str">
        <f t="shared" si="72"/>
        <v>na</v>
      </c>
      <c r="AB119" s="1062"/>
    </row>
    <row r="120" spans="1:28" ht="13.9" customHeight="1" x14ac:dyDescent="0.25">
      <c r="A120" s="847">
        <f>Chem!A120</f>
        <v>118</v>
      </c>
      <c r="B120" s="916" t="str">
        <f>Chem!B120</f>
        <v>Hexachlorobenzene</v>
      </c>
      <c r="C120" s="2309" t="str">
        <f>Param!AK120</f>
        <v>YES</v>
      </c>
      <c r="D120" s="387">
        <f>IF(C120="YES",Param!V120,"no calc")</f>
        <v>1.6</v>
      </c>
      <c r="E120" s="552">
        <f>IF(C120="YES",Param!X120,"no calc")</f>
        <v>1.6</v>
      </c>
      <c r="F120" s="387">
        <f>IF(C120="YES",Param!O120,"no calc")</f>
        <v>8.0000000000000004E-4</v>
      </c>
      <c r="G120" s="622">
        <f>IF(C120="YES",Param!S120,"no calc")</f>
        <v>8.0000000000000004E-4</v>
      </c>
      <c r="H120" s="622">
        <f>IF(C120="YES",Param!AD120,"no calc")</f>
        <v>1</v>
      </c>
      <c r="I120" s="596">
        <f>IF(C120="YES",Param!AE120,"no calc")</f>
        <v>0</v>
      </c>
      <c r="J120" s="602">
        <f>IF(OR($D120="na",$D120="no calc"),"na",0.000001*Eqtn!D$419/(Eqtn!D$415*$H120*$D120+Eqtn!D$420*$I120*$E120))</f>
        <v>1.9010416666666667</v>
      </c>
      <c r="K120" s="602">
        <f>IF(OR($D120="na",$D120="no calc"),"na",0.000001*Eqtn!E$419/(Eqtn!E$415*$H120*$D120+Eqtn!E$420*$I120*$E120))</f>
        <v>1.82232666015625</v>
      </c>
      <c r="L120" s="602">
        <f>IF(OR($D120="na",$D120="no calc"),"na",0.000001*Eqtn!F$419/(Eqtn!F$415*$H120*$D120+Eqtn!F$420*$I120*$E120))</f>
        <v>5.3458627769289526</v>
      </c>
      <c r="M120" s="17">
        <f>IF(OR($D120="na",$D120="no calc"),"na",0.00001*Eqtn!D$419/(Eqtn!D$415*$H120*$D120+Eqtn!D$420*$I120*$E120))</f>
        <v>19.010416666666668</v>
      </c>
      <c r="N120" s="17">
        <f>IF(OR($D120="na",$D120="no calc"),"na",0.00001*Eqtn!E$419/(Eqtn!E$415*$H120*$D120+Eqtn!E$420*$I120*$E120))</f>
        <v>18.223266601562504</v>
      </c>
      <c r="O120" s="694">
        <f>IF(OR($D120="na",$D120="no calc"),"na",0.00001*Eqtn!F$419/(Eqtn!F$415*$H120*$D120+Eqtn!F$420*$I120*$E120))</f>
        <v>53.458627769289535</v>
      </c>
      <c r="P120" s="662">
        <f>IF(OR($F120="na",$F120="no calc"),"na",1*Eqtn!D$451/(Eqtn!D$447*$H120/$F120+Eqtn!D$452*$I120/$G120))</f>
        <v>194.66666666666666</v>
      </c>
      <c r="Q120" s="662">
        <f>IF(OR($F120="na",$F120="no calc"),"na",1*Eqtn!E$451/(Eqtn!E$447*$H120/$F120+Eqtn!E$452*$I120/$G120))</f>
        <v>1990.4666666666667</v>
      </c>
      <c r="R120" s="662">
        <f>IF(OR($F120="na",$F120="no calc"),"na",1*Eqtn!F$451/(Eqtn!F$447*$H120/$F120+Eqtn!F$452*$I120/$G120))</f>
        <v>4014.3865546218485</v>
      </c>
      <c r="S120" s="1418">
        <f t="shared" si="73"/>
        <v>1.9010416666666667</v>
      </c>
      <c r="T120" s="1418">
        <f t="shared" si="74"/>
        <v>1.82232666015625</v>
      </c>
      <c r="U120" s="1418">
        <f t="shared" si="75"/>
        <v>5.3458627769289526</v>
      </c>
      <c r="V120" s="1405">
        <f t="shared" si="68"/>
        <v>1.82232666015625</v>
      </c>
      <c r="W120" s="1383">
        <f t="shared" si="76"/>
        <v>19.010416666666668</v>
      </c>
      <c r="X120" s="1383">
        <f t="shared" si="77"/>
        <v>18.223266601562504</v>
      </c>
      <c r="Y120" s="1383">
        <f t="shared" si="78"/>
        <v>53.458627769289535</v>
      </c>
      <c r="Z120" s="1384">
        <f t="shared" si="72"/>
        <v>18.223266601562504</v>
      </c>
      <c r="AB120" s="1062"/>
    </row>
    <row r="121" spans="1:28" ht="13.9" customHeight="1" x14ac:dyDescent="0.25">
      <c r="A121" s="847">
        <f>Chem!A121</f>
        <v>119</v>
      </c>
      <c r="B121" s="916" t="str">
        <f>Chem!B121</f>
        <v>Hexachlorobutadiene</v>
      </c>
      <c r="C121" s="2305" t="str">
        <f>Param!AK121</f>
        <v>no</v>
      </c>
      <c r="D121" s="384" t="str">
        <f>IF(C121="YES",Param!V121,"no calc")</f>
        <v>no calc</v>
      </c>
      <c r="E121" s="552" t="str">
        <f>IF(C121="YES",Param!X121,"no calc")</f>
        <v>no calc</v>
      </c>
      <c r="F121" s="384" t="str">
        <f>IF(C121="YES",Param!O121,"no calc")</f>
        <v>no calc</v>
      </c>
      <c r="G121" s="622" t="str">
        <f>IF(C121="YES",Param!S121,"no calc")</f>
        <v>no calc</v>
      </c>
      <c r="H121" s="622" t="str">
        <f>IF(C121="YES",Param!AD121,"no calc")</f>
        <v>no calc</v>
      </c>
      <c r="I121" s="596" t="str">
        <f>IF(C121="YES",Param!AE121,"no calc")</f>
        <v>no calc</v>
      </c>
      <c r="J121" s="602" t="str">
        <f>IF(OR($D121="na",$D121="no calc"),"na",0.000001*Eqtn!D$419/(Eqtn!D$415*$H121*$D121+Eqtn!D$420*$I121*$E121))</f>
        <v>na</v>
      </c>
      <c r="K121" s="602" t="str">
        <f>IF(OR($D121="na",$D121="no calc"),"na",0.000001*Eqtn!E$419/(Eqtn!E$415*$H121*$D121+Eqtn!E$420*$I121*$E121))</f>
        <v>na</v>
      </c>
      <c r="L121" s="602" t="str">
        <f>IF(OR($D121="na",$D121="no calc"),"na",0.000001*Eqtn!F$419/(Eqtn!F$415*$H121*$D121+Eqtn!F$420*$I121*$E121))</f>
        <v>na</v>
      </c>
      <c r="M121" s="17" t="str">
        <f>IF(OR($D121="na",$D121="no calc"),"na",0.00001*Eqtn!D$419/(Eqtn!D$415*$H121*$D121+Eqtn!D$420*$I121*$E121))</f>
        <v>na</v>
      </c>
      <c r="N121" s="17" t="str">
        <f>IF(OR($D121="na",$D121="no calc"),"na",0.00001*Eqtn!E$419/(Eqtn!E$415*$H121*$D121+Eqtn!E$420*$I121*$E121))</f>
        <v>na</v>
      </c>
      <c r="O121" s="694" t="str">
        <f>IF(OR($D121="na",$D121="no calc"),"na",0.00001*Eqtn!F$419/(Eqtn!F$415*$H121*$D121+Eqtn!F$420*$I121*$E121))</f>
        <v>na</v>
      </c>
      <c r="P121" s="662" t="str">
        <f>IF(OR($F121="na",$F121="no calc"),"na",1*Eqtn!D$451/(Eqtn!D$447*$H121/$F121+Eqtn!D$452*$I121/$G121))</f>
        <v>na</v>
      </c>
      <c r="Q121" s="662" t="str">
        <f>IF(OR($F121="na",$F121="no calc"),"na",1*Eqtn!E$451/(Eqtn!E$447*$H121/$F121+Eqtn!E$452*$I121/$G121))</f>
        <v>na</v>
      </c>
      <c r="R121" s="662" t="str">
        <f>IF(OR($F121="na",$F121="no calc"),"na",1*Eqtn!F$451/(Eqtn!F$447*$H121/$F121+Eqtn!F$452*$I121/$G121))</f>
        <v>na</v>
      </c>
      <c r="S121" s="1418" t="str">
        <f t="shared" si="73"/>
        <v>na</v>
      </c>
      <c r="T121" s="1418" t="str">
        <f t="shared" si="74"/>
        <v>na</v>
      </c>
      <c r="U121" s="1418" t="str">
        <f t="shared" si="75"/>
        <v>na</v>
      </c>
      <c r="V121" s="1405" t="str">
        <f t="shared" si="68"/>
        <v>na</v>
      </c>
      <c r="W121" s="1383" t="str">
        <f t="shared" si="76"/>
        <v>na</v>
      </c>
      <c r="X121" s="1383" t="str">
        <f t="shared" si="77"/>
        <v>na</v>
      </c>
      <c r="Y121" s="1383" t="str">
        <f t="shared" si="78"/>
        <v>na</v>
      </c>
      <c r="Z121" s="1384" t="str">
        <f t="shared" si="72"/>
        <v>na</v>
      </c>
      <c r="AB121" s="1062"/>
    </row>
    <row r="122" spans="1:28" ht="13.9" customHeight="1" x14ac:dyDescent="0.25">
      <c r="A122" s="847">
        <f>Chem!A122</f>
        <v>120</v>
      </c>
      <c r="B122" s="916" t="str">
        <f>Chem!B122</f>
        <v>Hexachlorocyclopentadiene</v>
      </c>
      <c r="C122" s="2305" t="str">
        <f>Param!AK122</f>
        <v>no</v>
      </c>
      <c r="D122" s="384" t="str">
        <f>IF(C122="YES",Param!V122,"no calc")</f>
        <v>no calc</v>
      </c>
      <c r="E122" s="552" t="str">
        <f>IF(C122="YES",Param!X122,"no calc")</f>
        <v>no calc</v>
      </c>
      <c r="F122" s="384" t="str">
        <f>IF(C122="YES",Param!O122,"no calc")</f>
        <v>no calc</v>
      </c>
      <c r="G122" s="622" t="str">
        <f>IF(C122="YES",Param!S122,"no calc")</f>
        <v>no calc</v>
      </c>
      <c r="H122" s="622" t="str">
        <f>IF(C122="YES",Param!AD122,"no calc")</f>
        <v>no calc</v>
      </c>
      <c r="I122" s="596" t="str">
        <f>IF(C122="YES",Param!AE122,"no calc")</f>
        <v>no calc</v>
      </c>
      <c r="J122" s="602" t="str">
        <f>IF(OR($D122="na",$D122="no calc"),"na",0.000001*Eqtn!D$419/(Eqtn!D$415*$H122*$D122+Eqtn!D$420*$I122*$E122))</f>
        <v>na</v>
      </c>
      <c r="K122" s="602" t="str">
        <f>IF(OR($D122="na",$D122="no calc"),"na",0.000001*Eqtn!E$419/(Eqtn!E$415*$H122*$D122+Eqtn!E$420*$I122*$E122))</f>
        <v>na</v>
      </c>
      <c r="L122" s="602" t="str">
        <f>IF(OR($D122="na",$D122="no calc"),"na",0.000001*Eqtn!F$419/(Eqtn!F$415*$H122*$D122+Eqtn!F$420*$I122*$E122))</f>
        <v>na</v>
      </c>
      <c r="M122" s="17" t="str">
        <f>IF(OR($D122="na",$D122="no calc"),"na",0.00001*Eqtn!D$419/(Eqtn!D$415*$H122*$D122+Eqtn!D$420*$I122*$E122))</f>
        <v>na</v>
      </c>
      <c r="N122" s="17" t="str">
        <f>IF(OR($D122="na",$D122="no calc"),"na",0.00001*Eqtn!E$419/(Eqtn!E$415*$H122*$D122+Eqtn!E$420*$I122*$E122))</f>
        <v>na</v>
      </c>
      <c r="O122" s="694" t="str">
        <f>IF(OR($D122="na",$D122="no calc"),"na",0.00001*Eqtn!F$419/(Eqtn!F$415*$H122*$D122+Eqtn!F$420*$I122*$E122))</f>
        <v>na</v>
      </c>
      <c r="P122" s="662" t="str">
        <f>IF(OR($F122="na",$F122="no calc"),"na",1*Eqtn!D$451/(Eqtn!D$447*$H122/$F122+Eqtn!D$452*$I122/$G122))</f>
        <v>na</v>
      </c>
      <c r="Q122" s="662" t="str">
        <f>IF(OR($F122="na",$F122="no calc"),"na",1*Eqtn!E$451/(Eqtn!E$447*$H122/$F122+Eqtn!E$452*$I122/$G122))</f>
        <v>na</v>
      </c>
      <c r="R122" s="662" t="str">
        <f>IF(OR($F122="na",$F122="no calc"),"na",1*Eqtn!F$451/(Eqtn!F$447*$H122/$F122+Eqtn!F$452*$I122/$G122))</f>
        <v>na</v>
      </c>
      <c r="S122" s="1418" t="str">
        <f t="shared" si="73"/>
        <v>na</v>
      </c>
      <c r="T122" s="1418" t="str">
        <f t="shared" si="74"/>
        <v>na</v>
      </c>
      <c r="U122" s="1418" t="str">
        <f t="shared" si="75"/>
        <v>na</v>
      </c>
      <c r="V122" s="1405" t="str">
        <f t="shared" si="68"/>
        <v>na</v>
      </c>
      <c r="W122" s="1383" t="str">
        <f t="shared" si="76"/>
        <v>na</v>
      </c>
      <c r="X122" s="1383" t="str">
        <f t="shared" si="77"/>
        <v>na</v>
      </c>
      <c r="Y122" s="1383" t="str">
        <f t="shared" si="78"/>
        <v>na</v>
      </c>
      <c r="Z122" s="1384" t="str">
        <f t="shared" si="72"/>
        <v>na</v>
      </c>
      <c r="AB122" s="1062"/>
    </row>
    <row r="123" spans="1:28" ht="13.9" customHeight="1" x14ac:dyDescent="0.25">
      <c r="A123" s="847">
        <f>Chem!A123</f>
        <v>121</v>
      </c>
      <c r="B123" s="916" t="str">
        <f>Chem!B123</f>
        <v>Hexachloroethane</v>
      </c>
      <c r="C123" s="2305" t="str">
        <f>Param!AK123</f>
        <v>no</v>
      </c>
      <c r="D123" s="384" t="str">
        <f>IF(C123="YES",Param!V123,"no calc")</f>
        <v>no calc</v>
      </c>
      <c r="E123" s="552" t="str">
        <f>IF(C123="YES",Param!X123,"no calc")</f>
        <v>no calc</v>
      </c>
      <c r="F123" s="384" t="str">
        <f>IF(C123="YES",Param!O123,"no calc")</f>
        <v>no calc</v>
      </c>
      <c r="G123" s="622" t="str">
        <f>IF(C123="YES",Param!S123,"no calc")</f>
        <v>no calc</v>
      </c>
      <c r="H123" s="622" t="str">
        <f>IF(C123="YES",Param!AD123,"no calc")</f>
        <v>no calc</v>
      </c>
      <c r="I123" s="596" t="str">
        <f>IF(C123="YES",Param!AE123,"no calc")</f>
        <v>no calc</v>
      </c>
      <c r="J123" s="602" t="str">
        <f>IF(OR($D123="na",$D123="no calc"),"na",0.000001*Eqtn!D$419/(Eqtn!D$415*$H123*$D123+Eqtn!D$420*$I123*$E123))</f>
        <v>na</v>
      </c>
      <c r="K123" s="602" t="str">
        <f>IF(OR($D123="na",$D123="no calc"),"na",0.000001*Eqtn!E$419/(Eqtn!E$415*$H123*$D123+Eqtn!E$420*$I123*$E123))</f>
        <v>na</v>
      </c>
      <c r="L123" s="602" t="str">
        <f>IF(OR($D123="na",$D123="no calc"),"na",0.000001*Eqtn!F$419/(Eqtn!F$415*$H123*$D123+Eqtn!F$420*$I123*$E123))</f>
        <v>na</v>
      </c>
      <c r="M123" s="17" t="str">
        <f>IF(OR($D123="na",$D123="no calc"),"na",0.00001*Eqtn!D$419/(Eqtn!D$415*$H123*$D123+Eqtn!D$420*$I123*$E123))</f>
        <v>na</v>
      </c>
      <c r="N123" s="17" t="str">
        <f>IF(OR($D123="na",$D123="no calc"),"na",0.00001*Eqtn!E$419/(Eqtn!E$415*$H123*$D123+Eqtn!E$420*$I123*$E123))</f>
        <v>na</v>
      </c>
      <c r="O123" s="694" t="str">
        <f>IF(OR($D123="na",$D123="no calc"),"na",0.00001*Eqtn!F$419/(Eqtn!F$415*$H123*$D123+Eqtn!F$420*$I123*$E123))</f>
        <v>na</v>
      </c>
      <c r="P123" s="662" t="str">
        <f>IF(OR($F123="na",$F123="no calc"),"na",1*Eqtn!D$451/(Eqtn!D$447*$H123/$F123+Eqtn!D$452*$I123/$G123))</f>
        <v>na</v>
      </c>
      <c r="Q123" s="662" t="str">
        <f>IF(OR($F123="na",$F123="no calc"),"na",1*Eqtn!E$451/(Eqtn!E$447*$H123/$F123+Eqtn!E$452*$I123/$G123))</f>
        <v>na</v>
      </c>
      <c r="R123" s="662" t="str">
        <f>IF(OR($F123="na",$F123="no calc"),"na",1*Eqtn!F$451/(Eqtn!F$447*$H123/$F123+Eqtn!F$452*$I123/$G123))</f>
        <v>na</v>
      </c>
      <c r="S123" s="1418" t="str">
        <f t="shared" si="73"/>
        <v>na</v>
      </c>
      <c r="T123" s="1418" t="str">
        <f t="shared" si="74"/>
        <v>na</v>
      </c>
      <c r="U123" s="1418" t="str">
        <f t="shared" si="75"/>
        <v>na</v>
      </c>
      <c r="V123" s="1405" t="str">
        <f t="shared" si="68"/>
        <v>na</v>
      </c>
      <c r="W123" s="1383" t="str">
        <f t="shared" si="76"/>
        <v>na</v>
      </c>
      <c r="X123" s="1383" t="str">
        <f t="shared" si="77"/>
        <v>na</v>
      </c>
      <c r="Y123" s="1383" t="str">
        <f t="shared" si="78"/>
        <v>na</v>
      </c>
      <c r="Z123" s="1384" t="str">
        <f t="shared" si="72"/>
        <v>na</v>
      </c>
      <c r="AB123" s="1062"/>
    </row>
    <row r="124" spans="1:28" ht="13.9" customHeight="1" x14ac:dyDescent="0.25">
      <c r="A124" s="847">
        <f>Chem!A124</f>
        <v>122</v>
      </c>
      <c r="B124" s="916" t="str">
        <f>Chem!B124</f>
        <v>Isophorone</v>
      </c>
      <c r="C124" s="2305" t="str">
        <f>Param!AK124</f>
        <v>no</v>
      </c>
      <c r="D124" s="384" t="str">
        <f>IF(C124="YES",Param!V124,"no calc")</f>
        <v>no calc</v>
      </c>
      <c r="E124" s="552" t="str">
        <f>IF(C124="YES",Param!X124,"no calc")</f>
        <v>no calc</v>
      </c>
      <c r="F124" s="384" t="str">
        <f>IF(C124="YES",Param!O124,"no calc")</f>
        <v>no calc</v>
      </c>
      <c r="G124" s="622" t="str">
        <f>IF(C124="YES",Param!S124,"no calc")</f>
        <v>no calc</v>
      </c>
      <c r="H124" s="622" t="str">
        <f>IF(C124="YES",Param!AD124,"no calc")</f>
        <v>no calc</v>
      </c>
      <c r="I124" s="596" t="str">
        <f>IF(C124="YES",Param!AE124,"no calc")</f>
        <v>no calc</v>
      </c>
      <c r="J124" s="602" t="str">
        <f>IF(OR($D124="na",$D124="no calc"),"na",0.000001*Eqtn!D$419/(Eqtn!D$415*$H124*$D124+Eqtn!D$420*$I124*$E124))</f>
        <v>na</v>
      </c>
      <c r="K124" s="602" t="str">
        <f>IF(OR($D124="na",$D124="no calc"),"na",0.000001*Eqtn!E$419/(Eqtn!E$415*$H124*$D124+Eqtn!E$420*$I124*$E124))</f>
        <v>na</v>
      </c>
      <c r="L124" s="602" t="str">
        <f>IF(OR($D124="na",$D124="no calc"),"na",0.000001*Eqtn!F$419/(Eqtn!F$415*$H124*$D124+Eqtn!F$420*$I124*$E124))</f>
        <v>na</v>
      </c>
      <c r="M124" s="17" t="str">
        <f>IF(OR($D124="na",$D124="no calc"),"na",0.00001*Eqtn!D$419/(Eqtn!D$415*$H124*$D124+Eqtn!D$420*$I124*$E124))</f>
        <v>na</v>
      </c>
      <c r="N124" s="17" t="str">
        <f>IF(OR($D124="na",$D124="no calc"),"na",0.00001*Eqtn!E$419/(Eqtn!E$415*$H124*$D124+Eqtn!E$420*$I124*$E124))</f>
        <v>na</v>
      </c>
      <c r="O124" s="694" t="str">
        <f>IF(OR($D124="na",$D124="no calc"),"na",0.00001*Eqtn!F$419/(Eqtn!F$415*$H124*$D124+Eqtn!F$420*$I124*$E124))</f>
        <v>na</v>
      </c>
      <c r="P124" s="662" t="str">
        <f>IF(OR($F124="na",$F124="no calc"),"na",1*Eqtn!D$451/(Eqtn!D$447*$H124/$F124+Eqtn!D$452*$I124/$G124))</f>
        <v>na</v>
      </c>
      <c r="Q124" s="662" t="str">
        <f>IF(OR($F124="na",$F124="no calc"),"na",1*Eqtn!E$451/(Eqtn!E$447*$H124/$F124+Eqtn!E$452*$I124/$G124))</f>
        <v>na</v>
      </c>
      <c r="R124" s="662" t="str">
        <f>IF(OR($F124="na",$F124="no calc"),"na",1*Eqtn!F$451/(Eqtn!F$447*$H124/$F124+Eqtn!F$452*$I124/$G124))</f>
        <v>na</v>
      </c>
      <c r="S124" s="1418" t="str">
        <f t="shared" si="73"/>
        <v>na</v>
      </c>
      <c r="T124" s="1418" t="str">
        <f t="shared" si="74"/>
        <v>na</v>
      </c>
      <c r="U124" s="1418" t="str">
        <f t="shared" si="75"/>
        <v>na</v>
      </c>
      <c r="V124" s="1405" t="str">
        <f t="shared" si="68"/>
        <v>na</v>
      </c>
      <c r="W124" s="1383" t="str">
        <f t="shared" si="76"/>
        <v>na</v>
      </c>
      <c r="X124" s="1383" t="str">
        <f t="shared" si="77"/>
        <v>na</v>
      </c>
      <c r="Y124" s="1383" t="str">
        <f t="shared" si="78"/>
        <v>na</v>
      </c>
      <c r="Z124" s="1384" t="str">
        <f t="shared" si="72"/>
        <v>na</v>
      </c>
      <c r="AB124" s="1062"/>
    </row>
    <row r="125" spans="1:28" ht="13.9" customHeight="1" x14ac:dyDescent="0.25">
      <c r="A125" s="847">
        <f>Chem!A125</f>
        <v>123</v>
      </c>
      <c r="B125" s="916" t="str">
        <f>Chem!B125</f>
        <v>2-Methoxynaphthalene</v>
      </c>
      <c r="C125" s="2305" t="str">
        <f>Param!AK125</f>
        <v>no</v>
      </c>
      <c r="D125" s="384" t="str">
        <f>IF(C125="YES",Param!V125,"no calc")</f>
        <v>no calc</v>
      </c>
      <c r="E125" s="552" t="str">
        <f>IF(C125="YES",Param!X125,"no calc")</f>
        <v>no calc</v>
      </c>
      <c r="F125" s="384" t="str">
        <f>IF(C125="YES",Param!O125,"no calc")</f>
        <v>no calc</v>
      </c>
      <c r="G125" s="622" t="str">
        <f>IF(C125="YES",Param!S125,"no calc")</f>
        <v>no calc</v>
      </c>
      <c r="H125" s="622" t="str">
        <f>IF(C125="YES",Param!AD125,"no calc")</f>
        <v>no calc</v>
      </c>
      <c r="I125" s="596" t="str">
        <f>IF(C125="YES",Param!AE125,"no calc")</f>
        <v>no calc</v>
      </c>
      <c r="J125" s="602" t="str">
        <f>IF(OR($D125="na",$D125="no calc"),"na",0.000001*Eqtn!D$419/(Eqtn!D$415*$H125*$D125+Eqtn!D$420*$I125*$E125))</f>
        <v>na</v>
      </c>
      <c r="K125" s="602" t="str">
        <f>IF(OR($D125="na",$D125="no calc"),"na",0.000001*Eqtn!E$419/(Eqtn!E$415*$H125*$D125+Eqtn!E$420*$I125*$E125))</f>
        <v>na</v>
      </c>
      <c r="L125" s="602" t="str">
        <f>IF(OR($D125="na",$D125="no calc"),"na",0.000001*Eqtn!F$419/(Eqtn!F$415*$H125*$D125+Eqtn!F$420*$I125*$E125))</f>
        <v>na</v>
      </c>
      <c r="M125" s="17" t="str">
        <f>IF(OR($D125="na",$D125="no calc"),"na",0.00001*Eqtn!D$419/(Eqtn!D$415*$H125*$D125+Eqtn!D$420*$I125*$E125))</f>
        <v>na</v>
      </c>
      <c r="N125" s="17" t="str">
        <f>IF(OR($D125="na",$D125="no calc"),"na",0.00001*Eqtn!E$419/(Eqtn!E$415*$H125*$D125+Eqtn!E$420*$I125*$E125))</f>
        <v>na</v>
      </c>
      <c r="O125" s="694" t="str">
        <f>IF(OR($D125="na",$D125="no calc"),"na",0.00001*Eqtn!F$419/(Eqtn!F$415*$H125*$D125+Eqtn!F$420*$I125*$E125))</f>
        <v>na</v>
      </c>
      <c r="P125" s="662" t="str">
        <f>IF(OR($F125="na",$F125="no calc"),"na",1*Eqtn!D$451/(Eqtn!D$447*$H125/$F125+Eqtn!D$452*$I125/$G125))</f>
        <v>na</v>
      </c>
      <c r="Q125" s="662" t="str">
        <f>IF(OR($F125="na",$F125="no calc"),"na",1*Eqtn!E$451/(Eqtn!E$447*$H125/$F125+Eqtn!E$452*$I125/$G125))</f>
        <v>na</v>
      </c>
      <c r="R125" s="662" t="str">
        <f>IF(OR($F125="na",$F125="no calc"),"na",1*Eqtn!F$451/(Eqtn!F$447*$H125/$F125+Eqtn!F$452*$I125/$G125))</f>
        <v>na</v>
      </c>
      <c r="S125" s="1418" t="str">
        <f t="shared" si="73"/>
        <v>na</v>
      </c>
      <c r="T125" s="1418" t="str">
        <f t="shared" si="74"/>
        <v>na</v>
      </c>
      <c r="U125" s="1418" t="str">
        <f t="shared" si="75"/>
        <v>na</v>
      </c>
      <c r="V125" s="1405" t="str">
        <f t="shared" si="68"/>
        <v>na</v>
      </c>
      <c r="W125" s="1383" t="str">
        <f t="shared" si="76"/>
        <v>na</v>
      </c>
      <c r="X125" s="1383" t="str">
        <f t="shared" si="77"/>
        <v>na</v>
      </c>
      <c r="Y125" s="1383" t="str">
        <f t="shared" si="78"/>
        <v>na</v>
      </c>
      <c r="Z125" s="1384" t="str">
        <f t="shared" si="72"/>
        <v>na</v>
      </c>
      <c r="AB125" s="1062"/>
    </row>
    <row r="126" spans="1:28" ht="13.9" customHeight="1" x14ac:dyDescent="0.25">
      <c r="A126" s="847">
        <f>Chem!A126</f>
        <v>124</v>
      </c>
      <c r="B126" s="916" t="str">
        <f>Chem!B126</f>
        <v>2-Methylphenol (o-cresol)</v>
      </c>
      <c r="C126" s="2305" t="str">
        <f>Param!AK126</f>
        <v>no</v>
      </c>
      <c r="D126" s="384" t="str">
        <f>IF(C126="YES",Param!V126,"no calc")</f>
        <v>no calc</v>
      </c>
      <c r="E126" s="552" t="str">
        <f>IF(C126="YES",Param!X126,"no calc")</f>
        <v>no calc</v>
      </c>
      <c r="F126" s="384" t="str">
        <f>IF(C126="YES",Param!O126,"no calc")</f>
        <v>no calc</v>
      </c>
      <c r="G126" s="622" t="str">
        <f>IF(C126="YES",Param!S126,"no calc")</f>
        <v>no calc</v>
      </c>
      <c r="H126" s="622" t="str">
        <f>IF(C126="YES",Param!AD126,"no calc")</f>
        <v>no calc</v>
      </c>
      <c r="I126" s="596" t="str">
        <f>IF(C126="YES",Param!AE126,"no calc")</f>
        <v>no calc</v>
      </c>
      <c r="J126" s="602" t="str">
        <f>IF(OR($D126="na",$D126="no calc"),"na",0.000001*Eqtn!D$419/(Eqtn!D$415*$H126*$D126+Eqtn!D$420*$I126*$E126))</f>
        <v>na</v>
      </c>
      <c r="K126" s="602" t="str">
        <f>IF(OR($D126="na",$D126="no calc"),"na",0.000001*Eqtn!E$419/(Eqtn!E$415*$H126*$D126+Eqtn!E$420*$I126*$E126))</f>
        <v>na</v>
      </c>
      <c r="L126" s="602" t="str">
        <f>IF(OR($D126="na",$D126="no calc"),"na",0.000001*Eqtn!F$419/(Eqtn!F$415*$H126*$D126+Eqtn!F$420*$I126*$E126))</f>
        <v>na</v>
      </c>
      <c r="M126" s="17" t="str">
        <f>IF(OR($D126="na",$D126="no calc"),"na",0.00001*Eqtn!D$419/(Eqtn!D$415*$H126*$D126+Eqtn!D$420*$I126*$E126))</f>
        <v>na</v>
      </c>
      <c r="N126" s="17" t="str">
        <f>IF(OR($D126="na",$D126="no calc"),"na",0.00001*Eqtn!E$419/(Eqtn!E$415*$H126*$D126+Eqtn!E$420*$I126*$E126))</f>
        <v>na</v>
      </c>
      <c r="O126" s="694" t="str">
        <f>IF(OR($D126="na",$D126="no calc"),"na",0.00001*Eqtn!F$419/(Eqtn!F$415*$H126*$D126+Eqtn!F$420*$I126*$E126))</f>
        <v>na</v>
      </c>
      <c r="P126" s="662" t="str">
        <f>IF(OR($F126="na",$F126="no calc"),"na",1*Eqtn!D$451/(Eqtn!D$447*$H126/$F126+Eqtn!D$452*$I126/$G126))</f>
        <v>na</v>
      </c>
      <c r="Q126" s="662" t="str">
        <f>IF(OR($F126="na",$F126="no calc"),"na",1*Eqtn!E$451/(Eqtn!E$447*$H126/$F126+Eqtn!E$452*$I126/$G126))</f>
        <v>na</v>
      </c>
      <c r="R126" s="662" t="str">
        <f>IF(OR($F126="na",$F126="no calc"),"na",1*Eqtn!F$451/(Eqtn!F$447*$H126/$F126+Eqtn!F$452*$I126/$G126))</f>
        <v>na</v>
      </c>
      <c r="S126" s="1418" t="str">
        <f t="shared" si="73"/>
        <v>na</v>
      </c>
      <c r="T126" s="1418" t="str">
        <f t="shared" si="74"/>
        <v>na</v>
      </c>
      <c r="U126" s="1418" t="str">
        <f t="shared" si="75"/>
        <v>na</v>
      </c>
      <c r="V126" s="1405" t="str">
        <f t="shared" si="68"/>
        <v>na</v>
      </c>
      <c r="W126" s="1383" t="str">
        <f t="shared" si="76"/>
        <v>na</v>
      </c>
      <c r="X126" s="1383" t="str">
        <f t="shared" si="77"/>
        <v>na</v>
      </c>
      <c r="Y126" s="1383" t="str">
        <f t="shared" si="78"/>
        <v>na</v>
      </c>
      <c r="Z126" s="1384" t="str">
        <f t="shared" si="72"/>
        <v>na</v>
      </c>
      <c r="AB126" s="1062"/>
    </row>
    <row r="127" spans="1:28" ht="13.9" customHeight="1" x14ac:dyDescent="0.25">
      <c r="A127" s="847">
        <f>Chem!A127</f>
        <v>125</v>
      </c>
      <c r="B127" s="916" t="str">
        <f>Chem!B127</f>
        <v>3-Methylphenol (m-cresol)</v>
      </c>
      <c r="C127" s="2305" t="str">
        <f>Param!AK127</f>
        <v>no</v>
      </c>
      <c r="D127" s="384" t="str">
        <f>IF(C127="YES",Param!V127,"no calc")</f>
        <v>no calc</v>
      </c>
      <c r="E127" s="552" t="str">
        <f>IF(C127="YES",Param!X127,"no calc")</f>
        <v>no calc</v>
      </c>
      <c r="F127" s="384" t="str">
        <f>IF(C127="YES",Param!O127,"no calc")</f>
        <v>no calc</v>
      </c>
      <c r="G127" s="622" t="str">
        <f>IF(C127="YES",Param!S127,"no calc")</f>
        <v>no calc</v>
      </c>
      <c r="H127" s="622" t="str">
        <f>IF(C127="YES",Param!AD127,"no calc")</f>
        <v>no calc</v>
      </c>
      <c r="I127" s="596" t="str">
        <f>IF(C127="YES",Param!AE127,"no calc")</f>
        <v>no calc</v>
      </c>
      <c r="J127" s="602" t="str">
        <f>IF(OR($D127="na",$D127="no calc"),"na",0.000001*Eqtn!D$419/(Eqtn!D$415*$H127*$D127+Eqtn!D$420*$I127*$E127))</f>
        <v>na</v>
      </c>
      <c r="K127" s="602" t="str">
        <f>IF(OR($D127="na",$D127="no calc"),"na",0.000001*Eqtn!E$419/(Eqtn!E$415*$H127*$D127+Eqtn!E$420*$I127*$E127))</f>
        <v>na</v>
      </c>
      <c r="L127" s="602" t="str">
        <f>IF(OR($D127="na",$D127="no calc"),"na",0.000001*Eqtn!F$419/(Eqtn!F$415*$H127*$D127+Eqtn!F$420*$I127*$E127))</f>
        <v>na</v>
      </c>
      <c r="M127" s="17" t="str">
        <f>IF(OR($D127="na",$D127="no calc"),"na",0.00001*Eqtn!D$419/(Eqtn!D$415*$H127*$D127+Eqtn!D$420*$I127*$E127))</f>
        <v>na</v>
      </c>
      <c r="N127" s="17" t="str">
        <f>IF(OR($D127="na",$D127="no calc"),"na",0.00001*Eqtn!E$419/(Eqtn!E$415*$H127*$D127+Eqtn!E$420*$I127*$E127))</f>
        <v>na</v>
      </c>
      <c r="O127" s="694" t="str">
        <f>IF(OR($D127="na",$D127="no calc"),"na",0.00001*Eqtn!F$419/(Eqtn!F$415*$H127*$D127+Eqtn!F$420*$I127*$E127))</f>
        <v>na</v>
      </c>
      <c r="P127" s="662" t="str">
        <f>IF(OR($F127="na",$F127="no calc"),"na",1*Eqtn!D$451/(Eqtn!D$447*$H127/$F127+Eqtn!D$452*$I127/$G127))</f>
        <v>na</v>
      </c>
      <c r="Q127" s="662" t="str">
        <f>IF(OR($F127="na",$F127="no calc"),"na",1*Eqtn!E$451/(Eqtn!E$447*$H127/$F127+Eqtn!E$452*$I127/$G127))</f>
        <v>na</v>
      </c>
      <c r="R127" s="662" t="str">
        <f>IF(OR($F127="na",$F127="no calc"),"na",1*Eqtn!F$451/(Eqtn!F$447*$H127/$F127+Eqtn!F$452*$I127/$G127))</f>
        <v>na</v>
      </c>
      <c r="S127" s="1418" t="str">
        <f t="shared" si="73"/>
        <v>na</v>
      </c>
      <c r="T127" s="1418" t="str">
        <f t="shared" si="74"/>
        <v>na</v>
      </c>
      <c r="U127" s="1418" t="str">
        <f t="shared" si="75"/>
        <v>na</v>
      </c>
      <c r="V127" s="1405" t="str">
        <f t="shared" si="68"/>
        <v>na</v>
      </c>
      <c r="W127" s="1383" t="str">
        <f t="shared" si="76"/>
        <v>na</v>
      </c>
      <c r="X127" s="1383" t="str">
        <f t="shared" si="77"/>
        <v>na</v>
      </c>
      <c r="Y127" s="1383" t="str">
        <f t="shared" si="78"/>
        <v>na</v>
      </c>
      <c r="Z127" s="1384" t="str">
        <f t="shared" si="72"/>
        <v>na</v>
      </c>
      <c r="AB127" s="1062"/>
    </row>
    <row r="128" spans="1:28" ht="13.9" customHeight="1" x14ac:dyDescent="0.25">
      <c r="A128" s="847">
        <f>Chem!A128</f>
        <v>126</v>
      </c>
      <c r="B128" s="916" t="str">
        <f>Chem!B128</f>
        <v>4-Methylphenol (p-cresol)</v>
      </c>
      <c r="C128" s="2305" t="str">
        <f>Param!AK128</f>
        <v>no</v>
      </c>
      <c r="D128" s="384" t="str">
        <f>IF(C128="YES",Param!V128,"no calc")</f>
        <v>no calc</v>
      </c>
      <c r="E128" s="552" t="str">
        <f>IF(C128="YES",Param!X128,"no calc")</f>
        <v>no calc</v>
      </c>
      <c r="F128" s="384" t="str">
        <f>IF(C128="YES",Param!O128,"no calc")</f>
        <v>no calc</v>
      </c>
      <c r="G128" s="622" t="str">
        <f>IF(C128="YES",Param!S128,"no calc")</f>
        <v>no calc</v>
      </c>
      <c r="H128" s="622" t="str">
        <f>IF(C128="YES",Param!AD128,"no calc")</f>
        <v>no calc</v>
      </c>
      <c r="I128" s="596" t="str">
        <f>IF(C128="YES",Param!AE128,"no calc")</f>
        <v>no calc</v>
      </c>
      <c r="J128" s="602" t="str">
        <f>IF(OR($D128="na",$D128="no calc"),"na",0.000001*Eqtn!D$419/(Eqtn!D$415*$H128*$D128+Eqtn!D$420*$I128*$E128))</f>
        <v>na</v>
      </c>
      <c r="K128" s="602" t="str">
        <f>IF(OR($D128="na",$D128="no calc"),"na",0.000001*Eqtn!E$419/(Eqtn!E$415*$H128*$D128+Eqtn!E$420*$I128*$E128))</f>
        <v>na</v>
      </c>
      <c r="L128" s="602" t="str">
        <f>IF(OR($D128="na",$D128="no calc"),"na",0.000001*Eqtn!F$419/(Eqtn!F$415*$H128*$D128+Eqtn!F$420*$I128*$E128))</f>
        <v>na</v>
      </c>
      <c r="M128" s="17" t="str">
        <f>IF(OR($D128="na",$D128="no calc"),"na",0.00001*Eqtn!D$419/(Eqtn!D$415*$H128*$D128+Eqtn!D$420*$I128*$E128))</f>
        <v>na</v>
      </c>
      <c r="N128" s="17" t="str">
        <f>IF(OR($D128="na",$D128="no calc"),"na",0.00001*Eqtn!E$419/(Eqtn!E$415*$H128*$D128+Eqtn!E$420*$I128*$E128))</f>
        <v>na</v>
      </c>
      <c r="O128" s="694" t="str">
        <f>IF(OR($D128="na",$D128="no calc"),"na",0.00001*Eqtn!F$419/(Eqtn!F$415*$H128*$D128+Eqtn!F$420*$I128*$E128))</f>
        <v>na</v>
      </c>
      <c r="P128" s="662" t="str">
        <f>IF(OR($F128="na",$F128="no calc"),"na",1*Eqtn!D$451/(Eqtn!D$447*$H128/$F128+Eqtn!D$452*$I128/$G128))</f>
        <v>na</v>
      </c>
      <c r="Q128" s="662" t="str">
        <f>IF(OR($F128="na",$F128="no calc"),"na",1*Eqtn!E$451/(Eqtn!E$447*$H128/$F128+Eqtn!E$452*$I128/$G128))</f>
        <v>na</v>
      </c>
      <c r="R128" s="662" t="str">
        <f>IF(OR($F128="na",$F128="no calc"),"na",1*Eqtn!F$451/(Eqtn!F$447*$H128/$F128+Eqtn!F$452*$I128/$G128))</f>
        <v>na</v>
      </c>
      <c r="S128" s="1418" t="str">
        <f t="shared" si="73"/>
        <v>na</v>
      </c>
      <c r="T128" s="1418" t="str">
        <f t="shared" si="74"/>
        <v>na</v>
      </c>
      <c r="U128" s="1418" t="str">
        <f t="shared" si="75"/>
        <v>na</v>
      </c>
      <c r="V128" s="1405" t="str">
        <f t="shared" si="68"/>
        <v>na</v>
      </c>
      <c r="W128" s="1383" t="str">
        <f t="shared" si="76"/>
        <v>na</v>
      </c>
      <c r="X128" s="1383" t="str">
        <f t="shared" si="77"/>
        <v>na</v>
      </c>
      <c r="Y128" s="1383" t="str">
        <f t="shared" si="78"/>
        <v>na</v>
      </c>
      <c r="Z128" s="1384" t="str">
        <f t="shared" si="72"/>
        <v>na</v>
      </c>
      <c r="AB128" s="1062"/>
    </row>
    <row r="129" spans="1:28" ht="13.9" customHeight="1" x14ac:dyDescent="0.25">
      <c r="A129" s="847">
        <f>Chem!A129</f>
        <v>127</v>
      </c>
      <c r="B129" s="916" t="str">
        <f>Chem!B129</f>
        <v>2-Nitroaniline</v>
      </c>
      <c r="C129" s="2305" t="str">
        <f>Param!AK129</f>
        <v>no</v>
      </c>
      <c r="D129" s="384" t="str">
        <f>IF(C129="YES",Param!V129,"no calc")</f>
        <v>no calc</v>
      </c>
      <c r="E129" s="552" t="str">
        <f>IF(C129="YES",Param!X129,"no calc")</f>
        <v>no calc</v>
      </c>
      <c r="F129" s="384" t="str">
        <f>IF(C129="YES",Param!O129,"no calc")</f>
        <v>no calc</v>
      </c>
      <c r="G129" s="622" t="str">
        <f>IF(C129="YES",Param!S129,"no calc")</f>
        <v>no calc</v>
      </c>
      <c r="H129" s="622" t="str">
        <f>IF(C129="YES",Param!AD129,"no calc")</f>
        <v>no calc</v>
      </c>
      <c r="I129" s="596" t="str">
        <f>IF(C129="YES",Param!AE129,"no calc")</f>
        <v>no calc</v>
      </c>
      <c r="J129" s="602" t="str">
        <f>IF(OR($D129="na",$D129="no calc"),"na",0.000001*Eqtn!D$419/(Eqtn!D$415*$H129*$D129+Eqtn!D$420*$I129*$E129))</f>
        <v>na</v>
      </c>
      <c r="K129" s="602" t="str">
        <f>IF(OR($D129="na",$D129="no calc"),"na",0.000001*Eqtn!E$419/(Eqtn!E$415*$H129*$D129+Eqtn!E$420*$I129*$E129))</f>
        <v>na</v>
      </c>
      <c r="L129" s="602" t="str">
        <f>IF(OR($D129="na",$D129="no calc"),"na",0.000001*Eqtn!F$419/(Eqtn!F$415*$H129*$D129+Eqtn!F$420*$I129*$E129))</f>
        <v>na</v>
      </c>
      <c r="M129" s="17" t="str">
        <f>IF(OR($D129="na",$D129="no calc"),"na",0.00001*Eqtn!D$419/(Eqtn!D$415*$H129*$D129+Eqtn!D$420*$I129*$E129))</f>
        <v>na</v>
      </c>
      <c r="N129" s="17" t="str">
        <f>IF(OR($D129="na",$D129="no calc"),"na",0.00001*Eqtn!E$419/(Eqtn!E$415*$H129*$D129+Eqtn!E$420*$I129*$E129))</f>
        <v>na</v>
      </c>
      <c r="O129" s="694" t="str">
        <f>IF(OR($D129="na",$D129="no calc"),"na",0.00001*Eqtn!F$419/(Eqtn!F$415*$H129*$D129+Eqtn!F$420*$I129*$E129))</f>
        <v>na</v>
      </c>
      <c r="P129" s="662" t="str">
        <f>IF(OR($F129="na",$F129="no calc"),"na",1*Eqtn!D$451/(Eqtn!D$447*$H129/$F129+Eqtn!D$452*$I129/$G129))</f>
        <v>na</v>
      </c>
      <c r="Q129" s="662" t="str">
        <f>IF(OR($F129="na",$F129="no calc"),"na",1*Eqtn!E$451/(Eqtn!E$447*$H129/$F129+Eqtn!E$452*$I129/$G129))</f>
        <v>na</v>
      </c>
      <c r="R129" s="662" t="str">
        <f>IF(OR($F129="na",$F129="no calc"),"na",1*Eqtn!F$451/(Eqtn!F$447*$H129/$F129+Eqtn!F$452*$I129/$G129))</f>
        <v>na</v>
      </c>
      <c r="S129" s="1418" t="str">
        <f t="shared" si="73"/>
        <v>na</v>
      </c>
      <c r="T129" s="1418" t="str">
        <f t="shared" si="74"/>
        <v>na</v>
      </c>
      <c r="U129" s="1418" t="str">
        <f t="shared" si="75"/>
        <v>na</v>
      </c>
      <c r="V129" s="1405" t="str">
        <f t="shared" si="68"/>
        <v>na</v>
      </c>
      <c r="W129" s="1383" t="str">
        <f t="shared" si="76"/>
        <v>na</v>
      </c>
      <c r="X129" s="1383" t="str">
        <f t="shared" si="77"/>
        <v>na</v>
      </c>
      <c r="Y129" s="1383" t="str">
        <f t="shared" si="78"/>
        <v>na</v>
      </c>
      <c r="Z129" s="1384" t="str">
        <f t="shared" si="72"/>
        <v>na</v>
      </c>
      <c r="AB129" s="1062"/>
    </row>
    <row r="130" spans="1:28" ht="13.9" customHeight="1" x14ac:dyDescent="0.25">
      <c r="A130" s="847">
        <f>Chem!A130</f>
        <v>128</v>
      </c>
      <c r="B130" s="916" t="str">
        <f>Chem!B130</f>
        <v>3-Nitroaniline</v>
      </c>
      <c r="C130" s="2305" t="str">
        <f>Param!AK130</f>
        <v>no</v>
      </c>
      <c r="D130" s="384" t="str">
        <f>IF(C130="YES",Param!V130,"no calc")</f>
        <v>no calc</v>
      </c>
      <c r="E130" s="552" t="str">
        <f>IF(C130="YES",Param!X130,"no calc")</f>
        <v>no calc</v>
      </c>
      <c r="F130" s="384" t="str">
        <f>IF(C130="YES",Param!O130,"no calc")</f>
        <v>no calc</v>
      </c>
      <c r="G130" s="622" t="str">
        <f>IF(C130="YES",Param!S130,"no calc")</f>
        <v>no calc</v>
      </c>
      <c r="H130" s="622" t="str">
        <f>IF(C130="YES",Param!AD130,"no calc")</f>
        <v>no calc</v>
      </c>
      <c r="I130" s="596" t="str">
        <f>IF(C130="YES",Param!AE130,"no calc")</f>
        <v>no calc</v>
      </c>
      <c r="J130" s="602" t="str">
        <f>IF(OR($D130="na",$D130="no calc"),"na",0.000001*Eqtn!D$419/(Eqtn!D$415*$H130*$D130+Eqtn!D$420*$I130*$E130))</f>
        <v>na</v>
      </c>
      <c r="K130" s="602" t="str">
        <f>IF(OR($D130="na",$D130="no calc"),"na",0.000001*Eqtn!E$419/(Eqtn!E$415*$H130*$D130+Eqtn!E$420*$I130*$E130))</f>
        <v>na</v>
      </c>
      <c r="L130" s="602" t="str">
        <f>IF(OR($D130="na",$D130="no calc"),"na",0.000001*Eqtn!F$419/(Eqtn!F$415*$H130*$D130+Eqtn!F$420*$I130*$E130))</f>
        <v>na</v>
      </c>
      <c r="M130" s="17" t="str">
        <f>IF(OR($D130="na",$D130="no calc"),"na",0.00001*Eqtn!D$419/(Eqtn!D$415*$H130*$D130+Eqtn!D$420*$I130*$E130))</f>
        <v>na</v>
      </c>
      <c r="N130" s="17" t="str">
        <f>IF(OR($D130="na",$D130="no calc"),"na",0.00001*Eqtn!E$419/(Eqtn!E$415*$H130*$D130+Eqtn!E$420*$I130*$E130))</f>
        <v>na</v>
      </c>
      <c r="O130" s="694" t="str">
        <f>IF(OR($D130="na",$D130="no calc"),"na",0.00001*Eqtn!F$419/(Eqtn!F$415*$H130*$D130+Eqtn!F$420*$I130*$E130))</f>
        <v>na</v>
      </c>
      <c r="P130" s="662" t="str">
        <f>IF(OR($F130="na",$F130="no calc"),"na",1*Eqtn!D$451/(Eqtn!D$447*$H130/$F130+Eqtn!D$452*$I130/$G130))</f>
        <v>na</v>
      </c>
      <c r="Q130" s="662" t="str">
        <f>IF(OR($F130="na",$F130="no calc"),"na",1*Eqtn!E$451/(Eqtn!E$447*$H130/$F130+Eqtn!E$452*$I130/$G130))</f>
        <v>na</v>
      </c>
      <c r="R130" s="662" t="str">
        <f>IF(OR($F130="na",$F130="no calc"),"na",1*Eqtn!F$451/(Eqtn!F$447*$H130/$F130+Eqtn!F$452*$I130/$G130))</f>
        <v>na</v>
      </c>
      <c r="S130" s="1418" t="str">
        <f t="shared" si="73"/>
        <v>na</v>
      </c>
      <c r="T130" s="1418" t="str">
        <f t="shared" si="74"/>
        <v>na</v>
      </c>
      <c r="U130" s="1418" t="str">
        <f t="shared" si="75"/>
        <v>na</v>
      </c>
      <c r="V130" s="1405" t="str">
        <f t="shared" si="68"/>
        <v>na</v>
      </c>
      <c r="W130" s="1383" t="str">
        <f t="shared" si="76"/>
        <v>na</v>
      </c>
      <c r="X130" s="1383" t="str">
        <f t="shared" si="77"/>
        <v>na</v>
      </c>
      <c r="Y130" s="1383" t="str">
        <f t="shared" si="78"/>
        <v>na</v>
      </c>
      <c r="Z130" s="1384" t="str">
        <f t="shared" si="72"/>
        <v>na</v>
      </c>
      <c r="AB130" s="1062"/>
    </row>
    <row r="131" spans="1:28" ht="13.9" customHeight="1" x14ac:dyDescent="0.25">
      <c r="A131" s="847">
        <f>Chem!A131</f>
        <v>129</v>
      </c>
      <c r="B131" s="916" t="str">
        <f>Chem!B131</f>
        <v>4-Nitroaniline</v>
      </c>
      <c r="C131" s="2305" t="str">
        <f>Param!AK131</f>
        <v>no</v>
      </c>
      <c r="D131" s="384" t="str">
        <f>IF(C131="YES",Param!V131,"no calc")</f>
        <v>no calc</v>
      </c>
      <c r="E131" s="552" t="str">
        <f>IF(C131="YES",Param!X131,"no calc")</f>
        <v>no calc</v>
      </c>
      <c r="F131" s="384" t="str">
        <f>IF(C131="YES",Param!O131,"no calc")</f>
        <v>no calc</v>
      </c>
      <c r="G131" s="622" t="str">
        <f>IF(C131="YES",Param!S131,"no calc")</f>
        <v>no calc</v>
      </c>
      <c r="H131" s="622" t="str">
        <f>IF(C131="YES",Param!AD131,"no calc")</f>
        <v>no calc</v>
      </c>
      <c r="I131" s="596" t="str">
        <f>IF(C131="YES",Param!AE131,"no calc")</f>
        <v>no calc</v>
      </c>
      <c r="J131" s="602" t="str">
        <f>IF(OR($D131="na",$D131="no calc"),"na",0.000001*Eqtn!D$419/(Eqtn!D$415*$H131*$D131+Eqtn!D$420*$I131*$E131))</f>
        <v>na</v>
      </c>
      <c r="K131" s="602" t="str">
        <f>IF(OR($D131="na",$D131="no calc"),"na",0.000001*Eqtn!E$419/(Eqtn!E$415*$H131*$D131+Eqtn!E$420*$I131*$E131))</f>
        <v>na</v>
      </c>
      <c r="L131" s="602" t="str">
        <f>IF(OR($D131="na",$D131="no calc"),"na",0.000001*Eqtn!F$419/(Eqtn!F$415*$H131*$D131+Eqtn!F$420*$I131*$E131))</f>
        <v>na</v>
      </c>
      <c r="M131" s="17" t="str">
        <f>IF(OR($D131="na",$D131="no calc"),"na",0.00001*Eqtn!D$419/(Eqtn!D$415*$H131*$D131+Eqtn!D$420*$I131*$E131))</f>
        <v>na</v>
      </c>
      <c r="N131" s="17" t="str">
        <f>IF(OR($D131="na",$D131="no calc"),"na",0.00001*Eqtn!E$419/(Eqtn!E$415*$H131*$D131+Eqtn!E$420*$I131*$E131))</f>
        <v>na</v>
      </c>
      <c r="O131" s="694" t="str">
        <f>IF(OR($D131="na",$D131="no calc"),"na",0.00001*Eqtn!F$419/(Eqtn!F$415*$H131*$D131+Eqtn!F$420*$I131*$E131))</f>
        <v>na</v>
      </c>
      <c r="P131" s="662" t="str">
        <f>IF(OR($F131="na",$F131="no calc"),"na",1*Eqtn!D$451/(Eqtn!D$447*$H131/$F131+Eqtn!D$452*$I131/$G131))</f>
        <v>na</v>
      </c>
      <c r="Q131" s="662" t="str">
        <f>IF(OR($F131="na",$F131="no calc"),"na",1*Eqtn!E$451/(Eqtn!E$447*$H131/$F131+Eqtn!E$452*$I131/$G131))</f>
        <v>na</v>
      </c>
      <c r="R131" s="662" t="str">
        <f>IF(OR($F131="na",$F131="no calc"),"na",1*Eqtn!F$451/(Eqtn!F$447*$H131/$F131+Eqtn!F$452*$I131/$G131))</f>
        <v>na</v>
      </c>
      <c r="S131" s="1418" t="str">
        <f t="shared" si="73"/>
        <v>na</v>
      </c>
      <c r="T131" s="1418" t="str">
        <f t="shared" si="74"/>
        <v>na</v>
      </c>
      <c r="U131" s="1418" t="str">
        <f t="shared" si="75"/>
        <v>na</v>
      </c>
      <c r="V131" s="1405" t="str">
        <f t="shared" si="68"/>
        <v>na</v>
      </c>
      <c r="W131" s="1383" t="str">
        <f t="shared" si="76"/>
        <v>na</v>
      </c>
      <c r="X131" s="1383" t="str">
        <f t="shared" si="77"/>
        <v>na</v>
      </c>
      <c r="Y131" s="1383" t="str">
        <f t="shared" si="78"/>
        <v>na</v>
      </c>
      <c r="Z131" s="1384" t="str">
        <f t="shared" si="72"/>
        <v>na</v>
      </c>
      <c r="AB131" s="1062"/>
    </row>
    <row r="132" spans="1:28" ht="13.9" customHeight="1" x14ac:dyDescent="0.25">
      <c r="A132" s="847">
        <f>Chem!A132</f>
        <v>130</v>
      </c>
      <c r="B132" s="916" t="str">
        <f>Chem!B132</f>
        <v>Nitrobenzene</v>
      </c>
      <c r="C132" s="2305" t="str">
        <f>Param!AK132</f>
        <v>no</v>
      </c>
      <c r="D132" s="384" t="str">
        <f>IF(C132="YES",Param!V132,"no calc")</f>
        <v>no calc</v>
      </c>
      <c r="E132" s="552" t="str">
        <f>IF(C132="YES",Param!X132,"no calc")</f>
        <v>no calc</v>
      </c>
      <c r="F132" s="384" t="str">
        <f>IF(C132="YES",Param!O132,"no calc")</f>
        <v>no calc</v>
      </c>
      <c r="G132" s="622" t="str">
        <f>IF(C132="YES",Param!S132,"no calc")</f>
        <v>no calc</v>
      </c>
      <c r="H132" s="622" t="str">
        <f>IF(C132="YES",Param!AD132,"no calc")</f>
        <v>no calc</v>
      </c>
      <c r="I132" s="596" t="str">
        <f>IF(C132="YES",Param!AE132,"no calc")</f>
        <v>no calc</v>
      </c>
      <c r="J132" s="602" t="str">
        <f>IF(OR($D132="na",$D132="no calc"),"na",0.000001*Eqtn!D$419/(Eqtn!D$415*$H132*$D132+Eqtn!D$420*$I132*$E132))</f>
        <v>na</v>
      </c>
      <c r="K132" s="602" t="str">
        <f>IF(OR($D132="na",$D132="no calc"),"na",0.000001*Eqtn!E$419/(Eqtn!E$415*$H132*$D132+Eqtn!E$420*$I132*$E132))</f>
        <v>na</v>
      </c>
      <c r="L132" s="602" t="str">
        <f>IF(OR($D132="na",$D132="no calc"),"na",0.000001*Eqtn!F$419/(Eqtn!F$415*$H132*$D132+Eqtn!F$420*$I132*$E132))</f>
        <v>na</v>
      </c>
      <c r="M132" s="17" t="str">
        <f>IF(OR($D132="na",$D132="no calc"),"na",0.00001*Eqtn!D$419/(Eqtn!D$415*$H132*$D132+Eqtn!D$420*$I132*$E132))</f>
        <v>na</v>
      </c>
      <c r="N132" s="17" t="str">
        <f>IF(OR($D132="na",$D132="no calc"),"na",0.00001*Eqtn!E$419/(Eqtn!E$415*$H132*$D132+Eqtn!E$420*$I132*$E132))</f>
        <v>na</v>
      </c>
      <c r="O132" s="694" t="str">
        <f>IF(OR($D132="na",$D132="no calc"),"na",0.00001*Eqtn!F$419/(Eqtn!F$415*$H132*$D132+Eqtn!F$420*$I132*$E132))</f>
        <v>na</v>
      </c>
      <c r="P132" s="662" t="str">
        <f>IF(OR($F132="na",$F132="no calc"),"na",1*Eqtn!D$451/(Eqtn!D$447*$H132/$F132+Eqtn!D$452*$I132/$G132))</f>
        <v>na</v>
      </c>
      <c r="Q132" s="662" t="str">
        <f>IF(OR($F132="na",$F132="no calc"),"na",1*Eqtn!E$451/(Eqtn!E$447*$H132/$F132+Eqtn!E$452*$I132/$G132))</f>
        <v>na</v>
      </c>
      <c r="R132" s="662" t="str">
        <f>IF(OR($F132="na",$F132="no calc"),"na",1*Eqtn!F$451/(Eqtn!F$447*$H132/$F132+Eqtn!F$452*$I132/$G132))</f>
        <v>na</v>
      </c>
      <c r="S132" s="1418" t="str">
        <f t="shared" si="73"/>
        <v>na</v>
      </c>
      <c r="T132" s="1418" t="str">
        <f t="shared" si="74"/>
        <v>na</v>
      </c>
      <c r="U132" s="1418" t="str">
        <f t="shared" si="75"/>
        <v>na</v>
      </c>
      <c r="V132" s="1405" t="str">
        <f t="shared" si="68"/>
        <v>na</v>
      </c>
      <c r="W132" s="1383" t="str">
        <f t="shared" si="76"/>
        <v>na</v>
      </c>
      <c r="X132" s="1383" t="str">
        <f t="shared" si="77"/>
        <v>na</v>
      </c>
      <c r="Y132" s="1383" t="str">
        <f t="shared" si="78"/>
        <v>na</v>
      </c>
      <c r="Z132" s="1384" t="str">
        <f t="shared" si="72"/>
        <v>na</v>
      </c>
      <c r="AB132" s="1062"/>
    </row>
    <row r="133" spans="1:28" ht="13.9" customHeight="1" x14ac:dyDescent="0.25">
      <c r="A133" s="847">
        <f>Chem!A133</f>
        <v>131</v>
      </c>
      <c r="B133" s="916" t="str">
        <f>Chem!B133</f>
        <v>2-Nitrophenol</v>
      </c>
      <c r="C133" s="2305" t="str">
        <f>Param!AK133</f>
        <v>no</v>
      </c>
      <c r="D133" s="384" t="str">
        <f>IF(C133="YES",Param!V133,"no calc")</f>
        <v>no calc</v>
      </c>
      <c r="E133" s="552" t="str">
        <f>IF(C133="YES",Param!X133,"no calc")</f>
        <v>no calc</v>
      </c>
      <c r="F133" s="384" t="str">
        <f>IF(C133="YES",Param!O133,"no calc")</f>
        <v>no calc</v>
      </c>
      <c r="G133" s="622" t="str">
        <f>IF(C133="YES",Param!S133,"no calc")</f>
        <v>no calc</v>
      </c>
      <c r="H133" s="622" t="str">
        <f>IF(C133="YES",Param!AD133,"no calc")</f>
        <v>no calc</v>
      </c>
      <c r="I133" s="596" t="str">
        <f>IF(C133="YES",Param!AE133,"no calc")</f>
        <v>no calc</v>
      </c>
      <c r="J133" s="602" t="str">
        <f>IF(OR($D133="na",$D133="no calc"),"na",0.000001*Eqtn!D$419/(Eqtn!D$415*$H133*$D133+Eqtn!D$420*$I133*$E133))</f>
        <v>na</v>
      </c>
      <c r="K133" s="602" t="str">
        <f>IF(OR($D133="na",$D133="no calc"),"na",0.000001*Eqtn!E$419/(Eqtn!E$415*$H133*$D133+Eqtn!E$420*$I133*$E133))</f>
        <v>na</v>
      </c>
      <c r="L133" s="602" t="str">
        <f>IF(OR($D133="na",$D133="no calc"),"na",0.000001*Eqtn!F$419/(Eqtn!F$415*$H133*$D133+Eqtn!F$420*$I133*$E133))</f>
        <v>na</v>
      </c>
      <c r="M133" s="17" t="str">
        <f>IF(OR($D133="na",$D133="no calc"),"na",0.00001*Eqtn!D$419/(Eqtn!D$415*$H133*$D133+Eqtn!D$420*$I133*$E133))</f>
        <v>na</v>
      </c>
      <c r="N133" s="17" t="str">
        <f>IF(OR($D133="na",$D133="no calc"),"na",0.00001*Eqtn!E$419/(Eqtn!E$415*$H133*$D133+Eqtn!E$420*$I133*$E133))</f>
        <v>na</v>
      </c>
      <c r="O133" s="694" t="str">
        <f>IF(OR($D133="na",$D133="no calc"),"na",0.00001*Eqtn!F$419/(Eqtn!F$415*$H133*$D133+Eqtn!F$420*$I133*$E133))</f>
        <v>na</v>
      </c>
      <c r="P133" s="662" t="str">
        <f>IF(OR($F133="na",$F133="no calc"),"na",1*Eqtn!D$451/(Eqtn!D$447*$H133/$F133+Eqtn!D$452*$I133/$G133))</f>
        <v>na</v>
      </c>
      <c r="Q133" s="662" t="str">
        <f>IF(OR($F133="na",$F133="no calc"),"na",1*Eqtn!E$451/(Eqtn!E$447*$H133/$F133+Eqtn!E$452*$I133/$G133))</f>
        <v>na</v>
      </c>
      <c r="R133" s="662" t="str">
        <f>IF(OR($F133="na",$F133="no calc"),"na",1*Eqtn!F$451/(Eqtn!F$447*$H133/$F133+Eqtn!F$452*$I133/$G133))</f>
        <v>na</v>
      </c>
      <c r="S133" s="1418" t="str">
        <f t="shared" si="73"/>
        <v>na</v>
      </c>
      <c r="T133" s="1418" t="str">
        <f t="shared" si="74"/>
        <v>na</v>
      </c>
      <c r="U133" s="1418" t="str">
        <f t="shared" si="75"/>
        <v>na</v>
      </c>
      <c r="V133" s="1405" t="str">
        <f t="shared" si="68"/>
        <v>na</v>
      </c>
      <c r="W133" s="1383" t="str">
        <f t="shared" si="76"/>
        <v>na</v>
      </c>
      <c r="X133" s="1383" t="str">
        <f t="shared" si="77"/>
        <v>na</v>
      </c>
      <c r="Y133" s="1383" t="str">
        <f t="shared" si="78"/>
        <v>na</v>
      </c>
      <c r="Z133" s="1384" t="str">
        <f t="shared" si="72"/>
        <v>na</v>
      </c>
      <c r="AB133" s="1062"/>
    </row>
    <row r="134" spans="1:28" ht="13.9" customHeight="1" x14ac:dyDescent="0.25">
      <c r="A134" s="847">
        <f>Chem!A134</f>
        <v>132</v>
      </c>
      <c r="B134" s="916" t="str">
        <f>Chem!B134</f>
        <v>4-Nitrophenol</v>
      </c>
      <c r="C134" s="2305" t="str">
        <f>Param!AK134</f>
        <v>no</v>
      </c>
      <c r="D134" s="384" t="str">
        <f>IF(C134="YES",Param!V134,"no calc")</f>
        <v>no calc</v>
      </c>
      <c r="E134" s="552" t="str">
        <f>IF(C134="YES",Param!X134,"no calc")</f>
        <v>no calc</v>
      </c>
      <c r="F134" s="384" t="str">
        <f>IF(C134="YES",Param!O134,"no calc")</f>
        <v>no calc</v>
      </c>
      <c r="G134" s="622" t="str">
        <f>IF(C134="YES",Param!S134,"no calc")</f>
        <v>no calc</v>
      </c>
      <c r="H134" s="622" t="str">
        <f>IF(C134="YES",Param!AD134,"no calc")</f>
        <v>no calc</v>
      </c>
      <c r="I134" s="596" t="str">
        <f>IF(C134="YES",Param!AE134,"no calc")</f>
        <v>no calc</v>
      </c>
      <c r="J134" s="602" t="str">
        <f>IF(OR($D134="na",$D134="no calc"),"na",0.000001*Eqtn!D$419/(Eqtn!D$415*$H134*$D134+Eqtn!D$420*$I134*$E134))</f>
        <v>na</v>
      </c>
      <c r="K134" s="602" t="str">
        <f>IF(OR($D134="na",$D134="no calc"),"na",0.000001*Eqtn!E$419/(Eqtn!E$415*$H134*$D134+Eqtn!E$420*$I134*$E134))</f>
        <v>na</v>
      </c>
      <c r="L134" s="602" t="str">
        <f>IF(OR($D134="na",$D134="no calc"),"na",0.000001*Eqtn!F$419/(Eqtn!F$415*$H134*$D134+Eqtn!F$420*$I134*$E134))</f>
        <v>na</v>
      </c>
      <c r="M134" s="17" t="str">
        <f>IF(OR($D134="na",$D134="no calc"),"na",0.00001*Eqtn!D$419/(Eqtn!D$415*$H134*$D134+Eqtn!D$420*$I134*$E134))</f>
        <v>na</v>
      </c>
      <c r="N134" s="17" t="str">
        <f>IF(OR($D134="na",$D134="no calc"),"na",0.00001*Eqtn!E$419/(Eqtn!E$415*$H134*$D134+Eqtn!E$420*$I134*$E134))</f>
        <v>na</v>
      </c>
      <c r="O134" s="694" t="str">
        <f>IF(OR($D134="na",$D134="no calc"),"na",0.00001*Eqtn!F$419/(Eqtn!F$415*$H134*$D134+Eqtn!F$420*$I134*$E134))</f>
        <v>na</v>
      </c>
      <c r="P134" s="662" t="str">
        <f>IF(OR($F134="na",$F134="no calc"),"na",1*Eqtn!D$451/(Eqtn!D$447*$H134/$F134+Eqtn!D$452*$I134/$G134))</f>
        <v>na</v>
      </c>
      <c r="Q134" s="662" t="str">
        <f>IF(OR($F134="na",$F134="no calc"),"na",1*Eqtn!E$451/(Eqtn!E$447*$H134/$F134+Eqtn!E$452*$I134/$G134))</f>
        <v>na</v>
      </c>
      <c r="R134" s="662" t="str">
        <f>IF(OR($F134="na",$F134="no calc"),"na",1*Eqtn!F$451/(Eqtn!F$447*$H134/$F134+Eqtn!F$452*$I134/$G134))</f>
        <v>na</v>
      </c>
      <c r="S134" s="1418" t="str">
        <f t="shared" si="73"/>
        <v>na</v>
      </c>
      <c r="T134" s="1418" t="str">
        <f t="shared" si="74"/>
        <v>na</v>
      </c>
      <c r="U134" s="1418" t="str">
        <f t="shared" si="75"/>
        <v>na</v>
      </c>
      <c r="V134" s="1405" t="str">
        <f t="shared" si="68"/>
        <v>na</v>
      </c>
      <c r="W134" s="1383" t="str">
        <f t="shared" si="76"/>
        <v>na</v>
      </c>
      <c r="X134" s="1383" t="str">
        <f t="shared" si="77"/>
        <v>na</v>
      </c>
      <c r="Y134" s="1383" t="str">
        <f t="shared" si="78"/>
        <v>na</v>
      </c>
      <c r="Z134" s="1384" t="str">
        <f t="shared" si="72"/>
        <v>na</v>
      </c>
      <c r="AB134" s="1062"/>
    </row>
    <row r="135" spans="1:28" ht="13.9" customHeight="1" x14ac:dyDescent="0.25">
      <c r="A135" s="847">
        <f>Chem!A135</f>
        <v>133</v>
      </c>
      <c r="B135" s="1843" t="str">
        <f>Chem!B135</f>
        <v>n-Nitrosodimethylamine</v>
      </c>
      <c r="C135" s="2305" t="str">
        <f>Param!AK135</f>
        <v>no</v>
      </c>
      <c r="D135" s="384" t="str">
        <f>IF(C135="YES",Param!V135,"no calc")</f>
        <v>no calc</v>
      </c>
      <c r="E135" s="552" t="str">
        <f>IF(C135="YES",Param!X135,"no calc")</f>
        <v>no calc</v>
      </c>
      <c r="F135" s="384" t="str">
        <f>IF(C135="YES",Param!O135,"no calc")</f>
        <v>no calc</v>
      </c>
      <c r="G135" s="622" t="str">
        <f>IF(C135="YES",Param!S135,"no calc")</f>
        <v>no calc</v>
      </c>
      <c r="H135" s="622" t="str">
        <f>IF(C135="YES",Param!AD135,"no calc")</f>
        <v>no calc</v>
      </c>
      <c r="I135" s="596" t="str">
        <f>IF(C135="YES",Param!AE135,"no calc")</f>
        <v>no calc</v>
      </c>
      <c r="J135" s="602" t="str">
        <f>IF(OR($D135="na",$D135="no calc"),"na",0.000001*Eqtn!D$419/(Eqtn!D$415*$H135*$D135+Eqtn!D$420*$I135*$E135))</f>
        <v>na</v>
      </c>
      <c r="K135" s="602" t="str">
        <f>IF(OR($D135="na",$D135="no calc"),"na",0.000001*Eqtn!E$419/(Eqtn!E$415*$H135*$D135+Eqtn!E$420*$I135*$E135))</f>
        <v>na</v>
      </c>
      <c r="L135" s="602" t="str">
        <f>IF(OR($D135="na",$D135="no calc"),"na",0.000001*Eqtn!F$419/(Eqtn!F$415*$H135*$D135+Eqtn!F$420*$I135*$E135))</f>
        <v>na</v>
      </c>
      <c r="M135" s="17" t="str">
        <f>IF(OR($D135="na",$D135="no calc"),"na",0.00001*Eqtn!D$419/(Eqtn!D$415*$H135*$D135+Eqtn!D$420*$I135*$E135))</f>
        <v>na</v>
      </c>
      <c r="N135" s="17" t="str">
        <f>IF(OR($D135="na",$D135="no calc"),"na",0.00001*Eqtn!E$419/(Eqtn!E$415*$H135*$D135+Eqtn!E$420*$I135*$E135))</f>
        <v>na</v>
      </c>
      <c r="O135" s="694" t="str">
        <f>IF(OR($D135="na",$D135="no calc"),"na",0.00001*Eqtn!F$419/(Eqtn!F$415*$H135*$D135+Eqtn!F$420*$I135*$E135))</f>
        <v>na</v>
      </c>
      <c r="P135" s="662" t="str">
        <f>IF(OR($F135="na",$F135="no calc"),"na",1*Eqtn!D$451/(Eqtn!D$447*$H135/$F135+Eqtn!D$452*$I135/$G135))</f>
        <v>na</v>
      </c>
      <c r="Q135" s="662" t="str">
        <f>IF(OR($F135="na",$F135="no calc"),"na",1*Eqtn!E$451/(Eqtn!E$447*$H135/$F135+Eqtn!E$452*$I135/$G135))</f>
        <v>na</v>
      </c>
      <c r="R135" s="662" t="str">
        <f>IF(OR($F135="na",$F135="no calc"),"na",1*Eqtn!F$451/(Eqtn!F$447*$H135/$F135+Eqtn!F$452*$I135/$G135))</f>
        <v>na</v>
      </c>
      <c r="S135" s="1418" t="str">
        <f t="shared" si="73"/>
        <v>na</v>
      </c>
      <c r="T135" s="1418" t="str">
        <f t="shared" si="74"/>
        <v>na</v>
      </c>
      <c r="U135" s="1418" t="str">
        <f t="shared" si="75"/>
        <v>na</v>
      </c>
      <c r="V135" s="1405" t="str">
        <f t="shared" si="68"/>
        <v>na</v>
      </c>
      <c r="W135" s="1383" t="str">
        <f t="shared" si="76"/>
        <v>na</v>
      </c>
      <c r="X135" s="1383" t="str">
        <f t="shared" si="77"/>
        <v>na</v>
      </c>
      <c r="Y135" s="1383" t="str">
        <f t="shared" si="78"/>
        <v>na</v>
      </c>
      <c r="Z135" s="1384" t="str">
        <f t="shared" si="72"/>
        <v>na</v>
      </c>
      <c r="AB135" s="1062"/>
    </row>
    <row r="136" spans="1:28" ht="13.9" customHeight="1" x14ac:dyDescent="0.25">
      <c r="A136" s="847">
        <f>Chem!A136</f>
        <v>134</v>
      </c>
      <c r="B136" s="916" t="str">
        <f>Chem!B136</f>
        <v>n-Nitrosodiphenylamine</v>
      </c>
      <c r="C136" s="2305" t="str">
        <f>Param!AK136</f>
        <v>no</v>
      </c>
      <c r="D136" s="384" t="str">
        <f>IF(C136="YES",Param!V136,"no calc")</f>
        <v>no calc</v>
      </c>
      <c r="E136" s="552" t="str">
        <f>IF(C136="YES",Param!X136,"no calc")</f>
        <v>no calc</v>
      </c>
      <c r="F136" s="384" t="str">
        <f>IF(C136="YES",Param!O136,"no calc")</f>
        <v>no calc</v>
      </c>
      <c r="G136" s="622" t="str">
        <f>IF(C136="YES",Param!S136,"no calc")</f>
        <v>no calc</v>
      </c>
      <c r="H136" s="622" t="str">
        <f>IF(C136="YES",Param!AD136,"no calc")</f>
        <v>no calc</v>
      </c>
      <c r="I136" s="596" t="str">
        <f>IF(C136="YES",Param!AE136,"no calc")</f>
        <v>no calc</v>
      </c>
      <c r="J136" s="602" t="str">
        <f>IF(OR($D136="na",$D136="no calc"),"na",0.000001*Eqtn!D$419/(Eqtn!D$415*$H136*$D136+Eqtn!D$420*$I136*$E136))</f>
        <v>na</v>
      </c>
      <c r="K136" s="602" t="str">
        <f>IF(OR($D136="na",$D136="no calc"),"na",0.000001*Eqtn!E$419/(Eqtn!E$415*$H136*$D136+Eqtn!E$420*$I136*$E136))</f>
        <v>na</v>
      </c>
      <c r="L136" s="602" t="str">
        <f>IF(OR($D136="na",$D136="no calc"),"na",0.000001*Eqtn!F$419/(Eqtn!F$415*$H136*$D136+Eqtn!F$420*$I136*$E136))</f>
        <v>na</v>
      </c>
      <c r="M136" s="17" t="str">
        <f>IF(OR($D136="na",$D136="no calc"),"na",0.00001*Eqtn!D$419/(Eqtn!D$415*$H136*$D136+Eqtn!D$420*$I136*$E136))</f>
        <v>na</v>
      </c>
      <c r="N136" s="17" t="str">
        <f>IF(OR($D136="na",$D136="no calc"),"na",0.00001*Eqtn!E$419/(Eqtn!E$415*$H136*$D136+Eqtn!E$420*$I136*$E136))</f>
        <v>na</v>
      </c>
      <c r="O136" s="694" t="str">
        <f>IF(OR($D136="na",$D136="no calc"),"na",0.00001*Eqtn!F$419/(Eqtn!F$415*$H136*$D136+Eqtn!F$420*$I136*$E136))</f>
        <v>na</v>
      </c>
      <c r="P136" s="662" t="str">
        <f>IF(OR($F136="na",$F136="no calc"),"na",1*Eqtn!D$451/(Eqtn!D$447*$H136/$F136+Eqtn!D$452*$I136/$G136))</f>
        <v>na</v>
      </c>
      <c r="Q136" s="662" t="str">
        <f>IF(OR($F136="na",$F136="no calc"),"na",1*Eqtn!E$451/(Eqtn!E$447*$H136/$F136+Eqtn!E$452*$I136/$G136))</f>
        <v>na</v>
      </c>
      <c r="R136" s="662" t="str">
        <f>IF(OR($F136="na",$F136="no calc"),"na",1*Eqtn!F$451/(Eqtn!F$447*$H136/$F136+Eqtn!F$452*$I136/$G136))</f>
        <v>na</v>
      </c>
      <c r="S136" s="1418" t="str">
        <f t="shared" si="73"/>
        <v>na</v>
      </c>
      <c r="T136" s="1418" t="str">
        <f t="shared" si="74"/>
        <v>na</v>
      </c>
      <c r="U136" s="1418" t="str">
        <f t="shared" si="75"/>
        <v>na</v>
      </c>
      <c r="V136" s="1405" t="str">
        <f t="shared" si="68"/>
        <v>na</v>
      </c>
      <c r="W136" s="1383" t="str">
        <f t="shared" si="76"/>
        <v>na</v>
      </c>
      <c r="X136" s="1383" t="str">
        <f t="shared" si="77"/>
        <v>na</v>
      </c>
      <c r="Y136" s="1383" t="str">
        <f t="shared" si="78"/>
        <v>na</v>
      </c>
      <c r="Z136" s="1384" t="str">
        <f t="shared" si="72"/>
        <v>na</v>
      </c>
      <c r="AB136" s="1062"/>
    </row>
    <row r="137" spans="1:28" ht="13.9" customHeight="1" x14ac:dyDescent="0.25">
      <c r="A137" s="847">
        <f>Chem!A137</f>
        <v>135</v>
      </c>
      <c r="B137" s="916" t="str">
        <f>Chem!B137</f>
        <v>n-Nitrosodi-n-propylamine</v>
      </c>
      <c r="C137" s="2305" t="str">
        <f>Param!AK137</f>
        <v>no</v>
      </c>
      <c r="D137" s="384" t="str">
        <f>IF(C137="YES",Param!V137,"no calc")</f>
        <v>no calc</v>
      </c>
      <c r="E137" s="552" t="str">
        <f>IF(C137="YES",Param!X137,"no calc")</f>
        <v>no calc</v>
      </c>
      <c r="F137" s="384" t="str">
        <f>IF(C137="YES",Param!O137,"no calc")</f>
        <v>no calc</v>
      </c>
      <c r="G137" s="622" t="str">
        <f>IF(C137="YES",Param!S137,"no calc")</f>
        <v>no calc</v>
      </c>
      <c r="H137" s="622" t="str">
        <f>IF(C137="YES",Param!AD137,"no calc")</f>
        <v>no calc</v>
      </c>
      <c r="I137" s="596" t="str">
        <f>IF(C137="YES",Param!AE137,"no calc")</f>
        <v>no calc</v>
      </c>
      <c r="J137" s="602" t="str">
        <f>IF(OR($D137="na",$D137="no calc"),"na",0.000001*Eqtn!D$419/(Eqtn!D$415*$H137*$D137+Eqtn!D$420*$I137*$E137))</f>
        <v>na</v>
      </c>
      <c r="K137" s="602" t="str">
        <f>IF(OR($D137="na",$D137="no calc"),"na",0.000001*Eqtn!E$419/(Eqtn!E$415*$H137*$D137+Eqtn!E$420*$I137*$E137))</f>
        <v>na</v>
      </c>
      <c r="L137" s="602" t="str">
        <f>IF(OR($D137="na",$D137="no calc"),"na",0.000001*Eqtn!F$419/(Eqtn!F$415*$H137*$D137+Eqtn!F$420*$I137*$E137))</f>
        <v>na</v>
      </c>
      <c r="M137" s="17" t="str">
        <f>IF(OR($D137="na",$D137="no calc"),"na",0.00001*Eqtn!D$419/(Eqtn!D$415*$H137*$D137+Eqtn!D$420*$I137*$E137))</f>
        <v>na</v>
      </c>
      <c r="N137" s="17" t="str">
        <f>IF(OR($D137="na",$D137="no calc"),"na",0.00001*Eqtn!E$419/(Eqtn!E$415*$H137*$D137+Eqtn!E$420*$I137*$E137))</f>
        <v>na</v>
      </c>
      <c r="O137" s="694" t="str">
        <f>IF(OR($D137="na",$D137="no calc"),"na",0.00001*Eqtn!F$419/(Eqtn!F$415*$H137*$D137+Eqtn!F$420*$I137*$E137))</f>
        <v>na</v>
      </c>
      <c r="P137" s="662" t="str">
        <f>IF(OR($F137="na",$F137="no calc"),"na",1*Eqtn!D$451/(Eqtn!D$447*$H137/$F137+Eqtn!D$452*$I137/$G137))</f>
        <v>na</v>
      </c>
      <c r="Q137" s="662" t="str">
        <f>IF(OR($F137="na",$F137="no calc"),"na",1*Eqtn!E$451/(Eqtn!E$447*$H137/$F137+Eqtn!E$452*$I137/$G137))</f>
        <v>na</v>
      </c>
      <c r="R137" s="662" t="str">
        <f>IF(OR($F137="na",$F137="no calc"),"na",1*Eqtn!F$451/(Eqtn!F$447*$H137/$F137+Eqtn!F$452*$I137/$G137))</f>
        <v>na</v>
      </c>
      <c r="S137" s="1418" t="str">
        <f t="shared" si="73"/>
        <v>na</v>
      </c>
      <c r="T137" s="1418" t="str">
        <f t="shared" si="74"/>
        <v>na</v>
      </c>
      <c r="U137" s="1418" t="str">
        <f t="shared" si="75"/>
        <v>na</v>
      </c>
      <c r="V137" s="1405" t="str">
        <f t="shared" si="68"/>
        <v>na</v>
      </c>
      <c r="W137" s="1383" t="str">
        <f t="shared" si="76"/>
        <v>na</v>
      </c>
      <c r="X137" s="1383" t="str">
        <f t="shared" si="77"/>
        <v>na</v>
      </c>
      <c r="Y137" s="1383" t="str">
        <f t="shared" si="78"/>
        <v>na</v>
      </c>
      <c r="Z137" s="1384" t="str">
        <f t="shared" si="72"/>
        <v>na</v>
      </c>
      <c r="AB137" s="1062"/>
    </row>
    <row r="138" spans="1:28" ht="13.9" customHeight="1" x14ac:dyDescent="0.25">
      <c r="A138" s="847">
        <f>Chem!A138</f>
        <v>136</v>
      </c>
      <c r="B138" s="916" t="str">
        <f>Chem!B138</f>
        <v>Pentachlorophenol</v>
      </c>
      <c r="C138" s="2305" t="str">
        <f>Param!AK138</f>
        <v>YES</v>
      </c>
      <c r="D138" s="384">
        <f>IF(C138="YES",Param!V138,"no calc")</f>
        <v>0.4</v>
      </c>
      <c r="E138" s="552">
        <f>IF(C138="YES",Param!X138,"no calc")</f>
        <v>0.4</v>
      </c>
      <c r="F138" s="384">
        <f>IF(C138="YES",Param!O138,"no calc")</f>
        <v>5.0000000000000001E-3</v>
      </c>
      <c r="G138" s="622">
        <f>IF(C138="YES",Param!S138,"no calc")</f>
        <v>5.0000000000000001E-3</v>
      </c>
      <c r="H138" s="622">
        <f>IF(C138="YES",Param!AD138,"no calc")</f>
        <v>1</v>
      </c>
      <c r="I138" s="596">
        <f>IF(C138="YES",Param!AE138,"no calc")</f>
        <v>0.25</v>
      </c>
      <c r="J138" s="602">
        <f>IF(OR($D138="na",$D138="no calc"),"na",0.000001*Eqtn!D$419/(Eqtn!D$415*$H138*$D138+Eqtn!D$420*$I138*$E138))</f>
        <v>4.905913978494624</v>
      </c>
      <c r="K138" s="602">
        <f>IF(OR($D138="na",$D138="no calc"),"na",0.000001*Eqtn!E$419/(Eqtn!E$415*$H138*$D138+Eqtn!E$420*$I138*$E138))</f>
        <v>1.8132603583644278</v>
      </c>
      <c r="L138" s="602">
        <f>IF(OR($D138="na",$D138="no calc"),"na",0.000001*Eqtn!F$419/(Eqtn!F$415*$H138*$D138+Eqtn!F$420*$I138*$E138))</f>
        <v>4.6485763277643066</v>
      </c>
      <c r="M138" s="17">
        <f>IF(OR($D138="na",$D138="no calc"),"na",0.00001*Eqtn!D$419/(Eqtn!D$415*$H138*$D138+Eqtn!D$420*$I138*$E138))</f>
        <v>49.05913978494624</v>
      </c>
      <c r="N138" s="17">
        <f>IF(OR($D138="na",$D138="no calc"),"na",0.00001*Eqtn!E$419/(Eqtn!E$415*$H138*$D138+Eqtn!E$420*$I138*$E138))</f>
        <v>18.132603583644279</v>
      </c>
      <c r="O138" s="694">
        <f>IF(OR($D138="na",$D138="no calc"),"na",0.00001*Eqtn!F$419/(Eqtn!F$415*$H138*$D138+Eqtn!F$420*$I138*$E138))</f>
        <v>46.485763277643073</v>
      </c>
      <c r="P138" s="662">
        <f>IF(OR($F138="na",$F138="no calc"),"na",1*Eqtn!D$451/(Eqtn!D$447*$H138/$F138+Eqtn!D$452*$I138/$G138))</f>
        <v>784.94623655913972</v>
      </c>
      <c r="Q138" s="662">
        <f>IF(OR($F138="na",$F138="no calc"),"na",1*Eqtn!E$451/(Eqtn!E$447*$H138/$F138+Eqtn!E$452*$I138/$G138))</f>
        <v>3094.6310116086238</v>
      </c>
      <c r="R138" s="662">
        <f>IF(OR($F138="na",$F138="no calc"),"na",1*Eqtn!F$451/(Eqtn!F$447*$H138/$F138+Eqtn!F$452*$I138/$G138))</f>
        <v>5454.3295579101205</v>
      </c>
      <c r="S138" s="1418">
        <f t="shared" si="73"/>
        <v>4.905913978494624</v>
      </c>
      <c r="T138" s="1418">
        <f t="shared" si="74"/>
        <v>1.8132603583644278</v>
      </c>
      <c r="U138" s="1418">
        <f t="shared" si="75"/>
        <v>4.6485763277643066</v>
      </c>
      <c r="V138" s="1405">
        <f t="shared" si="68"/>
        <v>1.8132603583644278</v>
      </c>
      <c r="W138" s="1383">
        <f t="shared" si="76"/>
        <v>49.05913978494624</v>
      </c>
      <c r="X138" s="1383">
        <f t="shared" si="77"/>
        <v>18.132603583644279</v>
      </c>
      <c r="Y138" s="1383">
        <f t="shared" si="78"/>
        <v>46.485763277643073</v>
      </c>
      <c r="Z138" s="1384">
        <f t="shared" si="72"/>
        <v>18.132603583644279</v>
      </c>
      <c r="AB138" s="1062"/>
    </row>
    <row r="139" spans="1:28" ht="13.9" customHeight="1" x14ac:dyDescent="0.25">
      <c r="A139" s="847">
        <f>Chem!A139</f>
        <v>137</v>
      </c>
      <c r="B139" s="916" t="str">
        <f>Chem!B139</f>
        <v>Phenol</v>
      </c>
      <c r="C139" s="2305" t="str">
        <f>Param!AK139</f>
        <v>no</v>
      </c>
      <c r="D139" s="384" t="str">
        <f>IF(C139="YES",Param!V139,"no calc")</f>
        <v>no calc</v>
      </c>
      <c r="E139" s="552" t="str">
        <f>IF(C139="YES",Param!X139,"no calc")</f>
        <v>no calc</v>
      </c>
      <c r="F139" s="384" t="str">
        <f>IF(C139="YES",Param!O139,"no calc")</f>
        <v>no calc</v>
      </c>
      <c r="G139" s="622" t="str">
        <f>IF(C139="YES",Param!S139,"no calc")</f>
        <v>no calc</v>
      </c>
      <c r="H139" s="622" t="str">
        <f>IF(C139="YES",Param!AD139,"no calc")</f>
        <v>no calc</v>
      </c>
      <c r="I139" s="596" t="str">
        <f>IF(C139="YES",Param!AE139,"no calc")</f>
        <v>no calc</v>
      </c>
      <c r="J139" s="602" t="str">
        <f>IF(OR($D139="na",$D139="no calc"),"na",0.000001*Eqtn!D$419/(Eqtn!D$415*$H139*$D139+Eqtn!D$420*$I139*$E139))</f>
        <v>na</v>
      </c>
      <c r="K139" s="602" t="str">
        <f>IF(OR($D139="na",$D139="no calc"),"na",0.000001*Eqtn!E$419/(Eqtn!E$415*$H139*$D139+Eqtn!E$420*$I139*$E139))</f>
        <v>na</v>
      </c>
      <c r="L139" s="602" t="str">
        <f>IF(OR($D139="na",$D139="no calc"),"na",0.000001*Eqtn!F$419/(Eqtn!F$415*$H139*$D139+Eqtn!F$420*$I139*$E139))</f>
        <v>na</v>
      </c>
      <c r="M139" s="17" t="str">
        <f>IF(OR($D139="na",$D139="no calc"),"na",0.00001*Eqtn!D$419/(Eqtn!D$415*$H139*$D139+Eqtn!D$420*$I139*$E139))</f>
        <v>na</v>
      </c>
      <c r="N139" s="17" t="str">
        <f>IF(OR($D139="na",$D139="no calc"),"na",0.00001*Eqtn!E$419/(Eqtn!E$415*$H139*$D139+Eqtn!E$420*$I139*$E139))</f>
        <v>na</v>
      </c>
      <c r="O139" s="694" t="str">
        <f>IF(OR($D139="na",$D139="no calc"),"na",0.00001*Eqtn!F$419/(Eqtn!F$415*$H139*$D139+Eqtn!F$420*$I139*$E139))</f>
        <v>na</v>
      </c>
      <c r="P139" s="662" t="str">
        <f>IF(OR($F139="na",$F139="no calc"),"na",1*Eqtn!D$451/(Eqtn!D$447*$H139/$F139+Eqtn!D$452*$I139/$G139))</f>
        <v>na</v>
      </c>
      <c r="Q139" s="662" t="str">
        <f>IF(OR($F139="na",$F139="no calc"),"na",1*Eqtn!E$451/(Eqtn!E$447*$H139/$F139+Eqtn!E$452*$I139/$G139))</f>
        <v>na</v>
      </c>
      <c r="R139" s="662" t="str">
        <f>IF(OR($F139="na",$F139="no calc"),"na",1*Eqtn!F$451/(Eqtn!F$447*$H139/$F139+Eqtn!F$452*$I139/$G139))</f>
        <v>na</v>
      </c>
      <c r="S139" s="1418" t="str">
        <f t="shared" si="73"/>
        <v>na</v>
      </c>
      <c r="T139" s="1418" t="str">
        <f t="shared" si="74"/>
        <v>na</v>
      </c>
      <c r="U139" s="1418" t="str">
        <f t="shared" si="75"/>
        <v>na</v>
      </c>
      <c r="V139" s="1405" t="str">
        <f t="shared" si="68"/>
        <v>na</v>
      </c>
      <c r="W139" s="1383" t="str">
        <f t="shared" si="76"/>
        <v>na</v>
      </c>
      <c r="X139" s="1383" t="str">
        <f t="shared" si="77"/>
        <v>na</v>
      </c>
      <c r="Y139" s="1383" t="str">
        <f t="shared" si="78"/>
        <v>na</v>
      </c>
      <c r="Z139" s="1384" t="str">
        <f t="shared" si="72"/>
        <v>na</v>
      </c>
      <c r="AB139" s="1062"/>
    </row>
    <row r="140" spans="1:28" ht="13.9" customHeight="1" x14ac:dyDescent="0.25">
      <c r="A140" s="847">
        <f>Chem!A140</f>
        <v>138</v>
      </c>
      <c r="B140" s="916" t="str">
        <f>Chem!B140</f>
        <v>Pyridine</v>
      </c>
      <c r="C140" s="2305" t="str">
        <f>Param!AK140</f>
        <v>no</v>
      </c>
      <c r="D140" s="384" t="str">
        <f>IF(C140="YES",Param!V140,"no calc")</f>
        <v>no calc</v>
      </c>
      <c r="E140" s="552" t="str">
        <f>IF(C140="YES",Param!X140,"no calc")</f>
        <v>no calc</v>
      </c>
      <c r="F140" s="384" t="str">
        <f>IF(C140="YES",Param!O140,"no calc")</f>
        <v>no calc</v>
      </c>
      <c r="G140" s="622" t="str">
        <f>IF(C140="YES",Param!S140,"no calc")</f>
        <v>no calc</v>
      </c>
      <c r="H140" s="622" t="str">
        <f>IF(C140="YES",Param!AD140,"no calc")</f>
        <v>no calc</v>
      </c>
      <c r="I140" s="596" t="str">
        <f>IF(C140="YES",Param!AE140,"no calc")</f>
        <v>no calc</v>
      </c>
      <c r="J140" s="602" t="str">
        <f>IF(OR($D140="na",$D140="no calc"),"na",0.000001*Eqtn!D$419/(Eqtn!D$415*$H140*$D140+Eqtn!D$420*$I140*$E140))</f>
        <v>na</v>
      </c>
      <c r="K140" s="602" t="str">
        <f>IF(OR($D140="na",$D140="no calc"),"na",0.000001*Eqtn!E$419/(Eqtn!E$415*$H140*$D140+Eqtn!E$420*$I140*$E140))</f>
        <v>na</v>
      </c>
      <c r="L140" s="602" t="str">
        <f>IF(OR($D140="na",$D140="no calc"),"na",0.000001*Eqtn!F$419/(Eqtn!F$415*$H140*$D140+Eqtn!F$420*$I140*$E140))</f>
        <v>na</v>
      </c>
      <c r="M140" s="17" t="str">
        <f>IF(OR($D140="na",$D140="no calc"),"na",0.00001*Eqtn!D$419/(Eqtn!D$415*$H140*$D140+Eqtn!D$420*$I140*$E140))</f>
        <v>na</v>
      </c>
      <c r="N140" s="17" t="str">
        <f>IF(OR($D140="na",$D140="no calc"),"na",0.00001*Eqtn!E$419/(Eqtn!E$415*$H140*$D140+Eqtn!E$420*$I140*$E140))</f>
        <v>na</v>
      </c>
      <c r="O140" s="694" t="str">
        <f>IF(OR($D140="na",$D140="no calc"),"na",0.00001*Eqtn!F$419/(Eqtn!F$415*$H140*$D140+Eqtn!F$420*$I140*$E140))</f>
        <v>na</v>
      </c>
      <c r="P140" s="662" t="str">
        <f>IF(OR($F140="na",$F140="no calc"),"na",1*Eqtn!D$451/(Eqtn!D$447*$H140/$F140+Eqtn!D$452*$I140/$G140))</f>
        <v>na</v>
      </c>
      <c r="Q140" s="662" t="str">
        <f>IF(OR($F140="na",$F140="no calc"),"na",1*Eqtn!E$451/(Eqtn!E$447*$H140/$F140+Eqtn!E$452*$I140/$G140))</f>
        <v>na</v>
      </c>
      <c r="R140" s="662" t="str">
        <f>IF(OR($F140="na",$F140="no calc"),"na",1*Eqtn!F$451/(Eqtn!F$447*$H140/$F140+Eqtn!F$452*$I140/$G140))</f>
        <v>na</v>
      </c>
      <c r="S140" s="1418" t="str">
        <f t="shared" si="73"/>
        <v>na</v>
      </c>
      <c r="T140" s="1418" t="str">
        <f t="shared" si="74"/>
        <v>na</v>
      </c>
      <c r="U140" s="1418" t="str">
        <f t="shared" si="75"/>
        <v>na</v>
      </c>
      <c r="V140" s="1405" t="str">
        <f t="shared" si="68"/>
        <v>na</v>
      </c>
      <c r="W140" s="1383" t="str">
        <f t="shared" si="76"/>
        <v>na</v>
      </c>
      <c r="X140" s="1383" t="str">
        <f t="shared" si="77"/>
        <v>na</v>
      </c>
      <c r="Y140" s="1383" t="str">
        <f t="shared" si="78"/>
        <v>na</v>
      </c>
      <c r="Z140" s="1384" t="str">
        <f t="shared" si="72"/>
        <v>na</v>
      </c>
      <c r="AB140" s="1062"/>
    </row>
    <row r="141" spans="1:28" ht="13.9" customHeight="1" x14ac:dyDescent="0.25">
      <c r="A141" s="847">
        <f>Chem!A141</f>
        <v>139</v>
      </c>
      <c r="B141" s="916" t="str">
        <f>Chem!B141</f>
        <v>2,3,4,5-Tetrachlorophenol</v>
      </c>
      <c r="C141" s="2305" t="str">
        <f>Param!AK141</f>
        <v>no</v>
      </c>
      <c r="D141" s="384" t="str">
        <f>IF(C141="YES",Param!V141,"no calc")</f>
        <v>no calc</v>
      </c>
      <c r="E141" s="552" t="str">
        <f>IF(C141="YES",Param!X141,"no calc")</f>
        <v>no calc</v>
      </c>
      <c r="F141" s="384" t="str">
        <f>IF(C141="YES",Param!O141,"no calc")</f>
        <v>no calc</v>
      </c>
      <c r="G141" s="622" t="str">
        <f>IF(C141="YES",Param!S141,"no calc")</f>
        <v>no calc</v>
      </c>
      <c r="H141" s="622" t="str">
        <f>IF(C141="YES",Param!AD141,"no calc")</f>
        <v>no calc</v>
      </c>
      <c r="I141" s="596" t="str">
        <f>IF(C141="YES",Param!AE141,"no calc")</f>
        <v>no calc</v>
      </c>
      <c r="J141" s="602" t="str">
        <f>IF(OR($D141="na",$D141="no calc"),"na",0.000001*Eqtn!D$419/(Eqtn!D$415*$H141*$D141+Eqtn!D$420*$I141*$E141))</f>
        <v>na</v>
      </c>
      <c r="K141" s="602" t="str">
        <f>IF(OR($D141="na",$D141="no calc"),"na",0.000001*Eqtn!E$419/(Eqtn!E$415*$H141*$D141+Eqtn!E$420*$I141*$E141))</f>
        <v>na</v>
      </c>
      <c r="L141" s="602" t="str">
        <f>IF(OR($D141="na",$D141="no calc"),"na",0.000001*Eqtn!F$419/(Eqtn!F$415*$H141*$D141+Eqtn!F$420*$I141*$E141))</f>
        <v>na</v>
      </c>
      <c r="M141" s="17" t="str">
        <f>IF(OR($D141="na",$D141="no calc"),"na",0.00001*Eqtn!D$419/(Eqtn!D$415*$H141*$D141+Eqtn!D$420*$I141*$E141))</f>
        <v>na</v>
      </c>
      <c r="N141" s="17" t="str">
        <f>IF(OR($D141="na",$D141="no calc"),"na",0.00001*Eqtn!E$419/(Eqtn!E$415*$H141*$D141+Eqtn!E$420*$I141*$E141))</f>
        <v>na</v>
      </c>
      <c r="O141" s="694" t="str">
        <f>IF(OR($D141="na",$D141="no calc"),"na",0.00001*Eqtn!F$419/(Eqtn!F$415*$H141*$D141+Eqtn!F$420*$I141*$E141))</f>
        <v>na</v>
      </c>
      <c r="P141" s="662" t="str">
        <f>IF(OR($F141="na",$F141="no calc"),"na",1*Eqtn!D$451/(Eqtn!D$447*$H141/$F141+Eqtn!D$452*$I141/$G141))</f>
        <v>na</v>
      </c>
      <c r="Q141" s="662" t="str">
        <f>IF(OR($F141="na",$F141="no calc"),"na",1*Eqtn!E$451/(Eqtn!E$447*$H141/$F141+Eqtn!E$452*$I141/$G141))</f>
        <v>na</v>
      </c>
      <c r="R141" s="662" t="str">
        <f>IF(OR($F141="na",$F141="no calc"),"na",1*Eqtn!F$451/(Eqtn!F$447*$H141/$F141+Eqtn!F$452*$I141/$G141))</f>
        <v>na</v>
      </c>
      <c r="S141" s="1418" t="str">
        <f t="shared" si="73"/>
        <v>na</v>
      </c>
      <c r="T141" s="1418" t="str">
        <f t="shared" si="74"/>
        <v>na</v>
      </c>
      <c r="U141" s="1418" t="str">
        <f t="shared" si="75"/>
        <v>na</v>
      </c>
      <c r="V141" s="1405" t="str">
        <f t="shared" si="68"/>
        <v>na</v>
      </c>
      <c r="W141" s="1383" t="str">
        <f t="shared" si="76"/>
        <v>na</v>
      </c>
      <c r="X141" s="1383" t="str">
        <f t="shared" si="77"/>
        <v>na</v>
      </c>
      <c r="Y141" s="1383" t="str">
        <f t="shared" si="78"/>
        <v>na</v>
      </c>
      <c r="Z141" s="1384" t="str">
        <f t="shared" si="72"/>
        <v>na</v>
      </c>
      <c r="AB141" s="1062"/>
    </row>
    <row r="142" spans="1:28" ht="13.9" customHeight="1" x14ac:dyDescent="0.25">
      <c r="A142" s="847">
        <f>Chem!A142</f>
        <v>140</v>
      </c>
      <c r="B142" s="916" t="str">
        <f>Chem!B142</f>
        <v>2,3,4,6-Tetrachlorophenol</v>
      </c>
      <c r="C142" s="2305" t="str">
        <f>Param!AK142</f>
        <v>no</v>
      </c>
      <c r="D142" s="384" t="str">
        <f>IF(C142="YES",Param!V142,"no calc")</f>
        <v>no calc</v>
      </c>
      <c r="E142" s="552" t="str">
        <f>IF(C142="YES",Param!X142,"no calc")</f>
        <v>no calc</v>
      </c>
      <c r="F142" s="384" t="str">
        <f>IF(C142="YES",Param!O142,"no calc")</f>
        <v>no calc</v>
      </c>
      <c r="G142" s="622" t="str">
        <f>IF(C142="YES",Param!S142,"no calc")</f>
        <v>no calc</v>
      </c>
      <c r="H142" s="622" t="str">
        <f>IF(C142="YES",Param!AD142,"no calc")</f>
        <v>no calc</v>
      </c>
      <c r="I142" s="596" t="str">
        <f>IF(C142="YES",Param!AE142,"no calc")</f>
        <v>no calc</v>
      </c>
      <c r="J142" s="602" t="str">
        <f>IF(OR($D142="na",$D142="no calc"),"na",0.000001*Eqtn!D$419/(Eqtn!D$415*$H142*$D142+Eqtn!D$420*$I142*$E142))</f>
        <v>na</v>
      </c>
      <c r="K142" s="602" t="str">
        <f>IF(OR($D142="na",$D142="no calc"),"na",0.000001*Eqtn!E$419/(Eqtn!E$415*$H142*$D142+Eqtn!E$420*$I142*$E142))</f>
        <v>na</v>
      </c>
      <c r="L142" s="602" t="str">
        <f>IF(OR($D142="na",$D142="no calc"),"na",0.000001*Eqtn!F$419/(Eqtn!F$415*$H142*$D142+Eqtn!F$420*$I142*$E142))</f>
        <v>na</v>
      </c>
      <c r="M142" s="17" t="str">
        <f>IF(OR($D142="na",$D142="no calc"),"na",0.00001*Eqtn!D$419/(Eqtn!D$415*$H142*$D142+Eqtn!D$420*$I142*$E142))</f>
        <v>na</v>
      </c>
      <c r="N142" s="17" t="str">
        <f>IF(OR($D142="na",$D142="no calc"),"na",0.00001*Eqtn!E$419/(Eqtn!E$415*$H142*$D142+Eqtn!E$420*$I142*$E142))</f>
        <v>na</v>
      </c>
      <c r="O142" s="694" t="str">
        <f>IF(OR($D142="na",$D142="no calc"),"na",0.00001*Eqtn!F$419/(Eqtn!F$415*$H142*$D142+Eqtn!F$420*$I142*$E142))</f>
        <v>na</v>
      </c>
      <c r="P142" s="662" t="str">
        <f>IF(OR($F142="na",$F142="no calc"),"na",1*Eqtn!D$451/(Eqtn!D$447*$H142/$F142+Eqtn!D$452*$I142/$G142))</f>
        <v>na</v>
      </c>
      <c r="Q142" s="662" t="str">
        <f>IF(OR($F142="na",$F142="no calc"),"na",1*Eqtn!E$451/(Eqtn!E$447*$H142/$F142+Eqtn!E$452*$I142/$G142))</f>
        <v>na</v>
      </c>
      <c r="R142" s="662" t="str">
        <f>IF(OR($F142="na",$F142="no calc"),"na",1*Eqtn!F$451/(Eqtn!F$447*$H142/$F142+Eqtn!F$452*$I142/$G142))</f>
        <v>na</v>
      </c>
      <c r="S142" s="1418" t="str">
        <f t="shared" si="73"/>
        <v>na</v>
      </c>
      <c r="T142" s="1418" t="str">
        <f t="shared" si="74"/>
        <v>na</v>
      </c>
      <c r="U142" s="1418" t="str">
        <f t="shared" si="75"/>
        <v>na</v>
      </c>
      <c r="V142" s="1405" t="str">
        <f t="shared" si="68"/>
        <v>na</v>
      </c>
      <c r="W142" s="1383" t="str">
        <f t="shared" si="76"/>
        <v>na</v>
      </c>
      <c r="X142" s="1383" t="str">
        <f t="shared" si="77"/>
        <v>na</v>
      </c>
      <c r="Y142" s="1383" t="str">
        <f t="shared" si="78"/>
        <v>na</v>
      </c>
      <c r="Z142" s="1384" t="str">
        <f t="shared" si="72"/>
        <v>na</v>
      </c>
      <c r="AB142" s="1062"/>
    </row>
    <row r="143" spans="1:28" ht="13.9" customHeight="1" x14ac:dyDescent="0.25">
      <c r="A143" s="847">
        <f>Chem!A143</f>
        <v>141</v>
      </c>
      <c r="B143" s="916" t="str">
        <f>Chem!B143</f>
        <v>1,2,4-Trichlorobenzene</v>
      </c>
      <c r="C143" s="2305" t="str">
        <f>Param!AK143</f>
        <v>no</v>
      </c>
      <c r="D143" s="384" t="str">
        <f>IF(C143="YES",Param!V143,"no calc")</f>
        <v>no calc</v>
      </c>
      <c r="E143" s="552" t="str">
        <f>IF(C143="YES",Param!X143,"no calc")</f>
        <v>no calc</v>
      </c>
      <c r="F143" s="384" t="str">
        <f>IF(C143="YES",Param!O143,"no calc")</f>
        <v>no calc</v>
      </c>
      <c r="G143" s="622" t="str">
        <f>IF(C143="YES",Param!S143,"no calc")</f>
        <v>no calc</v>
      </c>
      <c r="H143" s="622" t="str">
        <f>IF(C143="YES",Param!AD143,"no calc")</f>
        <v>no calc</v>
      </c>
      <c r="I143" s="596" t="str">
        <f>IF(C143="YES",Param!AE143,"no calc")</f>
        <v>no calc</v>
      </c>
      <c r="J143" s="602" t="str">
        <f>IF(OR($D143="na",$D143="no calc"),"na",0.000001*Eqtn!D$419/(Eqtn!D$415*$H143*$D143+Eqtn!D$420*$I143*$E143))</f>
        <v>na</v>
      </c>
      <c r="K143" s="602" t="str">
        <f>IF(OR($D143="na",$D143="no calc"),"na",0.000001*Eqtn!E$419/(Eqtn!E$415*$H143*$D143+Eqtn!E$420*$I143*$E143))</f>
        <v>na</v>
      </c>
      <c r="L143" s="602" t="str">
        <f>IF(OR($D143="na",$D143="no calc"),"na",0.000001*Eqtn!F$419/(Eqtn!F$415*$H143*$D143+Eqtn!F$420*$I143*$E143))</f>
        <v>na</v>
      </c>
      <c r="M143" s="17" t="str">
        <f>IF(OR($D143="na",$D143="no calc"),"na",0.00001*Eqtn!D$419/(Eqtn!D$415*$H143*$D143+Eqtn!D$420*$I143*$E143))</f>
        <v>na</v>
      </c>
      <c r="N143" s="17" t="str">
        <f>IF(OR($D143="na",$D143="no calc"),"na",0.00001*Eqtn!E$419/(Eqtn!E$415*$H143*$D143+Eqtn!E$420*$I143*$E143))</f>
        <v>na</v>
      </c>
      <c r="O143" s="694" t="str">
        <f>IF(OR($D143="na",$D143="no calc"),"na",0.00001*Eqtn!F$419/(Eqtn!F$415*$H143*$D143+Eqtn!F$420*$I143*$E143))</f>
        <v>na</v>
      </c>
      <c r="P143" s="662" t="str">
        <f>IF(OR($F143="na",$F143="no calc"),"na",1*Eqtn!D$451/(Eqtn!D$447*$H143/$F143+Eqtn!D$452*$I143/$G143))</f>
        <v>na</v>
      </c>
      <c r="Q143" s="662" t="str">
        <f>IF(OR($F143="na",$F143="no calc"),"na",1*Eqtn!E$451/(Eqtn!E$447*$H143/$F143+Eqtn!E$452*$I143/$G143))</f>
        <v>na</v>
      </c>
      <c r="R143" s="662" t="str">
        <f>IF(OR($F143="na",$F143="no calc"),"na",1*Eqtn!F$451/(Eqtn!F$447*$H143/$F143+Eqtn!F$452*$I143/$G143))</f>
        <v>na</v>
      </c>
      <c r="S143" s="1418" t="str">
        <f t="shared" si="73"/>
        <v>na</v>
      </c>
      <c r="T143" s="1418" t="str">
        <f t="shared" si="74"/>
        <v>na</v>
      </c>
      <c r="U143" s="1418" t="str">
        <f t="shared" si="75"/>
        <v>na</v>
      </c>
      <c r="V143" s="1405" t="str">
        <f t="shared" ref="V143:V145" si="79">IF(OR(ISNUMBER(S143),ISNUMBER(T143),ISNUMBER(U143)),MIN(S143,T143,U143),"na")</f>
        <v>na</v>
      </c>
      <c r="W143" s="1383" t="str">
        <f t="shared" si="76"/>
        <v>na</v>
      </c>
      <c r="X143" s="1383" t="str">
        <f t="shared" si="77"/>
        <v>na</v>
      </c>
      <c r="Y143" s="1383" t="str">
        <f t="shared" si="78"/>
        <v>na</v>
      </c>
      <c r="Z143" s="1384" t="str">
        <f t="shared" ref="Z143:Z145" si="80">IF(OR(ISNUMBER(W143),ISNUMBER(X143),ISNUMBER(Y143)),MIN(W143,X143,Y143),"na")</f>
        <v>na</v>
      </c>
      <c r="AB143" s="1062"/>
    </row>
    <row r="144" spans="1:28" ht="13.9" customHeight="1" x14ac:dyDescent="0.25">
      <c r="A144" s="847">
        <f>Chem!A144</f>
        <v>142</v>
      </c>
      <c r="B144" s="916" t="str">
        <f>Chem!B144</f>
        <v>2,4,5-Trichlorophenol</v>
      </c>
      <c r="C144" s="2305" t="str">
        <f>Param!AK144</f>
        <v>no</v>
      </c>
      <c r="D144" s="384" t="str">
        <f>IF(C144="YES",Param!V144,"no calc")</f>
        <v>no calc</v>
      </c>
      <c r="E144" s="552" t="str">
        <f>IF(C144="YES",Param!X144,"no calc")</f>
        <v>no calc</v>
      </c>
      <c r="F144" s="384" t="str">
        <f>IF(C144="YES",Param!O144,"no calc")</f>
        <v>no calc</v>
      </c>
      <c r="G144" s="622" t="str">
        <f>IF(C144="YES",Param!S144,"no calc")</f>
        <v>no calc</v>
      </c>
      <c r="H144" s="622" t="str">
        <f>IF(C144="YES",Param!AD144,"no calc")</f>
        <v>no calc</v>
      </c>
      <c r="I144" s="596" t="str">
        <f>IF(C144="YES",Param!AE144,"no calc")</f>
        <v>no calc</v>
      </c>
      <c r="J144" s="602" t="str">
        <f>IF(OR($D144="na",$D144="no calc"),"na",0.000001*Eqtn!D$419/(Eqtn!D$415*$H144*$D144+Eqtn!D$420*$I144*$E144))</f>
        <v>na</v>
      </c>
      <c r="K144" s="602" t="str">
        <f>IF(OR($D144="na",$D144="no calc"),"na",0.000001*Eqtn!E$419/(Eqtn!E$415*$H144*$D144+Eqtn!E$420*$I144*$E144))</f>
        <v>na</v>
      </c>
      <c r="L144" s="602" t="str">
        <f>IF(OR($D144="na",$D144="no calc"),"na",0.000001*Eqtn!F$419/(Eqtn!F$415*$H144*$D144+Eqtn!F$420*$I144*$E144))</f>
        <v>na</v>
      </c>
      <c r="M144" s="17" t="str">
        <f>IF(OR($D144="na",$D144="no calc"),"na",0.00001*Eqtn!D$419/(Eqtn!D$415*$H144*$D144+Eqtn!D$420*$I144*$E144))</f>
        <v>na</v>
      </c>
      <c r="N144" s="17" t="str">
        <f>IF(OR($D144="na",$D144="no calc"),"na",0.00001*Eqtn!E$419/(Eqtn!E$415*$H144*$D144+Eqtn!E$420*$I144*$E144))</f>
        <v>na</v>
      </c>
      <c r="O144" s="694" t="str">
        <f>IF(OR($D144="na",$D144="no calc"),"na",0.00001*Eqtn!F$419/(Eqtn!F$415*$H144*$D144+Eqtn!F$420*$I144*$E144))</f>
        <v>na</v>
      </c>
      <c r="P144" s="662" t="str">
        <f>IF(OR($F144="na",$F144="no calc"),"na",1*Eqtn!D$451/(Eqtn!D$447*$H144/$F144+Eqtn!D$452*$I144/$G144))</f>
        <v>na</v>
      </c>
      <c r="Q144" s="662" t="str">
        <f>IF(OR($F144="na",$F144="no calc"),"na",1*Eqtn!E$451/(Eqtn!E$447*$H144/$F144+Eqtn!E$452*$I144/$G144))</f>
        <v>na</v>
      </c>
      <c r="R144" s="662" t="str">
        <f>IF(OR($F144="na",$F144="no calc"),"na",1*Eqtn!F$451/(Eqtn!F$447*$H144/$F144+Eqtn!F$452*$I144/$G144))</f>
        <v>na</v>
      </c>
      <c r="S144" s="1418" t="str">
        <f t="shared" si="73"/>
        <v>na</v>
      </c>
      <c r="T144" s="1418" t="str">
        <f t="shared" si="74"/>
        <v>na</v>
      </c>
      <c r="U144" s="1418" t="str">
        <f t="shared" si="75"/>
        <v>na</v>
      </c>
      <c r="V144" s="1405" t="str">
        <f t="shared" si="79"/>
        <v>na</v>
      </c>
      <c r="W144" s="1383" t="str">
        <f t="shared" si="76"/>
        <v>na</v>
      </c>
      <c r="X144" s="1383" t="str">
        <f t="shared" si="77"/>
        <v>na</v>
      </c>
      <c r="Y144" s="1383" t="str">
        <f t="shared" si="78"/>
        <v>na</v>
      </c>
      <c r="Z144" s="1384" t="str">
        <f t="shared" si="80"/>
        <v>na</v>
      </c>
      <c r="AB144" s="1062"/>
    </row>
    <row r="145" spans="1:28" ht="13.9" customHeight="1" x14ac:dyDescent="0.25">
      <c r="A145" s="842">
        <f>Chem!A145</f>
        <v>143</v>
      </c>
      <c r="B145" s="916" t="str">
        <f>Chem!B145</f>
        <v>2,4,6-Trichlorophenol</v>
      </c>
      <c r="C145" s="2304" t="str">
        <f>Param!AK145</f>
        <v>no</v>
      </c>
      <c r="D145" s="392" t="str">
        <f>IF(C145="YES",Param!V145,"no calc")</f>
        <v>no calc</v>
      </c>
      <c r="E145" s="589" t="str">
        <f>IF(C145="YES",Param!X145,"no calc")</f>
        <v>no calc</v>
      </c>
      <c r="F145" s="392" t="str">
        <f>IF(C145="YES",Param!O145,"no calc")</f>
        <v>no calc</v>
      </c>
      <c r="G145" s="623" t="str">
        <f>IF(C145="YES",Param!S145,"no calc")</f>
        <v>no calc</v>
      </c>
      <c r="H145" s="625" t="str">
        <f>IF(C145="YES",Param!AD145,"no calc")</f>
        <v>no calc</v>
      </c>
      <c r="I145" s="588" t="str">
        <f>IF(C145="YES",Param!AE145,"no calc")</f>
        <v>no calc</v>
      </c>
      <c r="J145" s="609" t="str">
        <f>IF(OR($D145="na",$D145="no calc"),"na",0.000001*Eqtn!D$419/(Eqtn!D$415*$H145*$D145+Eqtn!D$420*$I145*$E145))</f>
        <v>na</v>
      </c>
      <c r="K145" s="609" t="str">
        <f>IF(OR($D145="na",$D145="no calc"),"na",0.000001*Eqtn!E$419/(Eqtn!E$415*$H145*$D145+Eqtn!E$420*$I145*$E145))</f>
        <v>na</v>
      </c>
      <c r="L145" s="609" t="str">
        <f>IF(OR($D145="na",$D145="no calc"),"na",0.000001*Eqtn!F$419/(Eqtn!F$415*$H145*$D145+Eqtn!F$420*$I145*$E145))</f>
        <v>na</v>
      </c>
      <c r="M145" s="820" t="str">
        <f>IF(OR($D145="na",$D145="no calc"),"na",0.00001*Eqtn!D$419/(Eqtn!D$415*$H145*$D145+Eqtn!D$420*$I145*$E145))</f>
        <v>na</v>
      </c>
      <c r="N145" s="820" t="str">
        <f>IF(OR($D145="na",$D145="no calc"),"na",0.00001*Eqtn!E$419/(Eqtn!E$415*$H145*$D145+Eqtn!E$420*$I145*$E145))</f>
        <v>na</v>
      </c>
      <c r="O145" s="707" t="str">
        <f>IF(OR($D145="na",$D145="no calc"),"na",0.00001*Eqtn!F$419/(Eqtn!F$415*$H145*$D145+Eqtn!F$420*$I145*$E145))</f>
        <v>na</v>
      </c>
      <c r="P145" s="667" t="str">
        <f>IF(OR($F145="na",$F145="no calc"),"na",1*Eqtn!D$451/(Eqtn!D$447*$H145/$F145+Eqtn!D$452*$I145/$G145))</f>
        <v>na</v>
      </c>
      <c r="Q145" s="667" t="str">
        <f>IF(OR($F145="na",$F145="no calc"),"na",1*Eqtn!E$451/(Eqtn!E$447*$H145/$F145+Eqtn!E$452*$I145/$G145))</f>
        <v>na</v>
      </c>
      <c r="R145" s="667" t="str">
        <f>IF(OR($F145="na",$F145="no calc"),"na",1*Eqtn!F$451/(Eqtn!F$447*$H145/$F145+Eqtn!F$452*$I145/$G145))</f>
        <v>na</v>
      </c>
      <c r="S145" s="1422" t="str">
        <f t="shared" si="73"/>
        <v>na</v>
      </c>
      <c r="T145" s="1422" t="str">
        <f t="shared" si="74"/>
        <v>na</v>
      </c>
      <c r="U145" s="1422" t="str">
        <f t="shared" si="75"/>
        <v>na</v>
      </c>
      <c r="V145" s="1410" t="str">
        <f t="shared" si="79"/>
        <v>na</v>
      </c>
      <c r="W145" s="1391" t="str">
        <f t="shared" si="76"/>
        <v>na</v>
      </c>
      <c r="X145" s="1391" t="str">
        <f t="shared" si="77"/>
        <v>na</v>
      </c>
      <c r="Y145" s="1391" t="str">
        <f t="shared" si="78"/>
        <v>na</v>
      </c>
      <c r="Z145" s="1392" t="str">
        <f t="shared" si="80"/>
        <v>na</v>
      </c>
      <c r="AB145" s="1062"/>
    </row>
    <row r="146" spans="1:28" ht="13.9" customHeight="1" x14ac:dyDescent="0.25">
      <c r="A146" s="1197">
        <f>Chem!A146</f>
        <v>144</v>
      </c>
      <c r="B146" s="887" t="str">
        <f>Chem!B146</f>
        <v>Volatile Organic Compounds</v>
      </c>
      <c r="C146" s="2343"/>
      <c r="D146" s="259"/>
      <c r="E146" s="127"/>
      <c r="F146" s="259"/>
      <c r="G146" s="44"/>
      <c r="H146" s="44"/>
      <c r="I146" s="327"/>
      <c r="J146" s="127"/>
      <c r="K146" s="127"/>
      <c r="L146" s="127"/>
      <c r="M146" s="127"/>
      <c r="N146" s="127"/>
      <c r="O146" s="127"/>
      <c r="P146" s="44"/>
      <c r="Q146" s="44"/>
      <c r="R146" s="44"/>
      <c r="S146" s="44"/>
      <c r="T146" s="44"/>
      <c r="U146" s="44"/>
      <c r="V146" s="44"/>
      <c r="W146" s="44"/>
      <c r="X146" s="44"/>
      <c r="Y146" s="44"/>
      <c r="Z146" s="55"/>
      <c r="AA146" s="133"/>
      <c r="AB146" s="1063"/>
    </row>
    <row r="147" spans="1:28" ht="13.9" customHeight="1" x14ac:dyDescent="0.25">
      <c r="A147" s="846">
        <f>Chem!A147</f>
        <v>145</v>
      </c>
      <c r="B147" s="916" t="str">
        <f>Chem!B147</f>
        <v>Acetone</v>
      </c>
      <c r="C147" s="2309" t="str">
        <f>Param!AK147</f>
        <v>no</v>
      </c>
      <c r="D147" s="387" t="str">
        <f>IF(C147="YES",Param!V147,"no calc")</f>
        <v>no calc</v>
      </c>
      <c r="E147" s="591" t="str">
        <f>IF(C147="YES",Param!X147,"no calc")</f>
        <v>no calc</v>
      </c>
      <c r="F147" s="387" t="str">
        <f>IF(C147="YES",Param!O147,"no calc")</f>
        <v>no calc</v>
      </c>
      <c r="G147" s="624" t="str">
        <f>IF(C147="YES",Param!S147,"no calc")</f>
        <v>no calc</v>
      </c>
      <c r="H147" s="803" t="str">
        <f>IF(C147="YES",Param!AD147,"no calc")</f>
        <v>no calc</v>
      </c>
      <c r="I147" s="595" t="str">
        <f>IF(C147="YES",Param!AE147,"no calc")</f>
        <v>no calc</v>
      </c>
      <c r="J147" s="691" t="str">
        <f>IF(OR($D147="na",$D147="no calc"),"na",0.000001*Eqtn!D$419/(Eqtn!D$415*$H147*$D147+Eqtn!D$420*$I147*$E147))</f>
        <v>na</v>
      </c>
      <c r="K147" s="691" t="str">
        <f>IF(OR($D147="na",$D147="no calc"),"na",0.000001*Eqtn!E$419/(Eqtn!E$415*$H147*$D147+Eqtn!E$420*$I147*$E147))</f>
        <v>na</v>
      </c>
      <c r="L147" s="691" t="str">
        <f>IF(OR($D147="na",$D147="no calc"),"na",0.000001*Eqtn!F$419/(Eqtn!F$415*$H147*$D147+Eqtn!F$420*$I147*$E147))</f>
        <v>na</v>
      </c>
      <c r="M147" s="822" t="str">
        <f>IF(OR($D147="na",$D147="no calc"),"na",0.00001*Eqtn!D$419/(Eqtn!D$415*$H147*$D147+Eqtn!D$420*$I147*$E147))</f>
        <v>na</v>
      </c>
      <c r="N147" s="822" t="str">
        <f>IF(OR($D147="na",$D147="no calc"),"na",0.00001*Eqtn!E$419/(Eqtn!E$415*$H147*$D147+Eqtn!E$420*$I147*$E147))</f>
        <v>na</v>
      </c>
      <c r="O147" s="823" t="str">
        <f>IF(OR($D147="na",$D147="no calc"),"na",0.00001*Eqtn!F$419/(Eqtn!F$415*$H147*$D147+Eqtn!F$420*$I147*$E147))</f>
        <v>na</v>
      </c>
      <c r="P147" s="805" t="str">
        <f>IF(OR($F147="na",$F147="no calc"),"na",1*Eqtn!D$451/(Eqtn!D$447*$H147/$F147+Eqtn!D$452*$I147/$G147))</f>
        <v>na</v>
      </c>
      <c r="Q147" s="805" t="str">
        <f>IF(OR($F147="na",$F147="no calc"),"na",1*Eqtn!E$451/(Eqtn!E$447*$H147/$F147+Eqtn!E$452*$I147/$G147))</f>
        <v>na</v>
      </c>
      <c r="R147" s="805" t="str">
        <f>IF(OR($F147="na",$F147="no calc"),"na",1*Eqtn!F$451/(Eqtn!F$447*$H147/$F147+Eqtn!F$452*$I147/$G147))</f>
        <v>na</v>
      </c>
      <c r="S147" s="1425" t="str">
        <f t="shared" ref="S147:S179" si="81">IF(OR(ISNUMBER(J147),ISNUMBER(P147)),MIN(J147,P147),"na")</f>
        <v>na</v>
      </c>
      <c r="T147" s="1425" t="str">
        <f t="shared" ref="T147:T179" si="82">IF(OR(ISNUMBER(K147),ISNUMBER(Q147)),MIN(K147,Q147),"na")</f>
        <v>na</v>
      </c>
      <c r="U147" s="1425" t="str">
        <f t="shared" ref="U147:U179" si="83">IF(OR(ISNUMBER(L147),ISNUMBER(R147)),MIN(L147,R147),"na")</f>
        <v>na</v>
      </c>
      <c r="V147" s="1414" t="str">
        <f t="shared" ref="V147:V214" si="84">IF(OR(ISNUMBER(S147),ISNUMBER(T147),ISNUMBER(U147)),MIN(S147,T147,U147),"na")</f>
        <v>na</v>
      </c>
      <c r="W147" s="1397" t="str">
        <f t="shared" ref="W147:W179" si="85">IF(OR(ISNUMBER(M147),ISNUMBER(P147)),MIN(M147,P147),"na")</f>
        <v>na</v>
      </c>
      <c r="X147" s="1397" t="str">
        <f t="shared" ref="X147:X179" si="86">IF(OR(ISNUMBER(N147),ISNUMBER(Q147)),MIN(N147,Q147),"na")</f>
        <v>na</v>
      </c>
      <c r="Y147" s="1397" t="str">
        <f t="shared" ref="Y147:Y179" si="87">IF(OR(ISNUMBER(O147),ISNUMBER(R147)),MIN(O147,R147),"na")</f>
        <v>na</v>
      </c>
      <c r="Z147" s="1398" t="str">
        <f t="shared" ref="Z147:Z214" si="88">IF(OR(ISNUMBER(W147),ISNUMBER(X147),ISNUMBER(Y147)),MIN(W147,X147,Y147),"na")</f>
        <v>na</v>
      </c>
      <c r="AB147" s="1062"/>
    </row>
    <row r="148" spans="1:28" ht="13.9" customHeight="1" x14ac:dyDescent="0.25">
      <c r="A148" s="846">
        <f>Chem!A148</f>
        <v>146</v>
      </c>
      <c r="B148" s="916" t="str">
        <f>Chem!B148</f>
        <v>Acetaldehyde</v>
      </c>
      <c r="C148" s="2309" t="str">
        <f>Param!AK148</f>
        <v>no</v>
      </c>
      <c r="D148" s="387" t="str">
        <f>IF(C148="YES",Param!V148,"no calc")</f>
        <v>no calc</v>
      </c>
      <c r="E148" s="552" t="str">
        <f>IF(C148="YES",Param!X148,"no calc")</f>
        <v>no calc</v>
      </c>
      <c r="F148" s="384" t="str">
        <f>IF(C148="YES",Param!O148,"no calc")</f>
        <v>no calc</v>
      </c>
      <c r="G148" s="622" t="str">
        <f>IF(C148="YES",Param!S148,"no calc")</f>
        <v>no calc</v>
      </c>
      <c r="H148" s="803" t="str">
        <f>IF(C148="YES",Param!AD148,"no calc")</f>
        <v>no calc</v>
      </c>
      <c r="I148" s="595" t="str">
        <f>IF(C148="YES",Param!AE148,"no calc")</f>
        <v>no calc</v>
      </c>
      <c r="J148" s="582" t="str">
        <f>IF(OR($D148="na",$D148="no calc"),"na",0.000001*Eqtn!D$419/(Eqtn!D$415*$H148*$D148+Eqtn!D$420*$I148*$E148))</f>
        <v>na</v>
      </c>
      <c r="K148" s="582" t="str">
        <f>IF(OR($D148="na",$D148="no calc"),"na",0.000001*Eqtn!E$419/(Eqtn!E$415*$H148*$D148+Eqtn!E$420*$I148*$E148))</f>
        <v>na</v>
      </c>
      <c r="L148" s="582" t="str">
        <f>IF(OR($D148="na",$D148="no calc"),"na",0.000001*Eqtn!F$419/(Eqtn!F$415*$H148*$D148+Eqtn!F$420*$I148*$E148))</f>
        <v>na</v>
      </c>
      <c r="M148" s="348" t="str">
        <f>IF(OR($D148="na",$D148="no calc"),"na",0.00001*Eqtn!D$419/(Eqtn!D$415*$H148*$D148+Eqtn!D$420*$I148*$E148))</f>
        <v>na</v>
      </c>
      <c r="N148" s="348" t="str">
        <f>IF(OR($D148="na",$D148="no calc"),"na",0.00001*Eqtn!E$419/(Eqtn!E$415*$H148*$D148+Eqtn!E$420*$I148*$E148))</f>
        <v>na</v>
      </c>
      <c r="O148" s="695" t="str">
        <f>IF(OR($D148="na",$D148="no calc"),"na",0.00001*Eqtn!F$419/(Eqtn!F$415*$H148*$D148+Eqtn!F$420*$I148*$E148))</f>
        <v>na</v>
      </c>
      <c r="P148" s="806" t="str">
        <f>IF(OR($F148="na",$F148="no calc"),"na",1*Eqtn!D$451/(Eqtn!D$447*$H148/$F148+Eqtn!D$452*$I148/$G148))</f>
        <v>na</v>
      </c>
      <c r="Q148" s="806" t="str">
        <f>IF(OR($F148="na",$F148="no calc"),"na",1*Eqtn!E$451/(Eqtn!E$447*$H148/$F148+Eqtn!E$452*$I148/$G148))</f>
        <v>na</v>
      </c>
      <c r="R148" s="806" t="str">
        <f>IF(OR($F148="na",$F148="no calc"),"na",1*Eqtn!F$451/(Eqtn!F$447*$H148/$F148+Eqtn!F$452*$I148/$G148))</f>
        <v>na</v>
      </c>
      <c r="S148" s="1426" t="str">
        <f t="shared" ref="S148" si="89">IF(OR(ISNUMBER(J148),ISNUMBER(P148)),MIN(J148,P148),"na")</f>
        <v>na</v>
      </c>
      <c r="T148" s="1426" t="str">
        <f t="shared" ref="T148" si="90">IF(OR(ISNUMBER(K148),ISNUMBER(Q148)),MIN(K148,Q148),"na")</f>
        <v>na</v>
      </c>
      <c r="U148" s="1426" t="str">
        <f t="shared" ref="U148" si="91">IF(OR(ISNUMBER(L148),ISNUMBER(R148)),MIN(L148,R148),"na")</f>
        <v>na</v>
      </c>
      <c r="V148" s="1415" t="str">
        <f t="shared" ref="V148" si="92">IF(OR(ISNUMBER(S148),ISNUMBER(T148),ISNUMBER(U148)),MIN(S148,T148,U148),"na")</f>
        <v>na</v>
      </c>
      <c r="W148" s="1399" t="str">
        <f t="shared" ref="W148" si="93">IF(OR(ISNUMBER(M148),ISNUMBER(P148)),MIN(M148,P148),"na")</f>
        <v>na</v>
      </c>
      <c r="X148" s="1399" t="str">
        <f t="shared" ref="X148" si="94">IF(OR(ISNUMBER(N148),ISNUMBER(Q148)),MIN(N148,Q148),"na")</f>
        <v>na</v>
      </c>
      <c r="Y148" s="1399" t="str">
        <f t="shared" ref="Y148" si="95">IF(OR(ISNUMBER(O148),ISNUMBER(R148)),MIN(O148,R148),"na")</f>
        <v>na</v>
      </c>
      <c r="Z148" s="716" t="str">
        <f t="shared" ref="Z148" si="96">IF(OR(ISNUMBER(W148),ISNUMBER(X148),ISNUMBER(Y148)),MIN(W148,X148,Y148),"na")</f>
        <v>na</v>
      </c>
      <c r="AB148" s="1062"/>
    </row>
    <row r="149" spans="1:28" ht="13.9" customHeight="1" x14ac:dyDescent="0.25">
      <c r="A149" s="846">
        <f>Chem!A149</f>
        <v>147</v>
      </c>
      <c r="B149" s="916" t="str">
        <f>Chem!B149</f>
        <v>Acrolein</v>
      </c>
      <c r="C149" s="2309" t="str">
        <f>Param!AK149</f>
        <v>no</v>
      </c>
      <c r="D149" s="387" t="str">
        <f>IF(C149="YES",Param!V149,"no calc")</f>
        <v>no calc</v>
      </c>
      <c r="E149" s="552" t="str">
        <f>IF(C149="YES",Param!X149,"no calc")</f>
        <v>no calc</v>
      </c>
      <c r="F149" s="387" t="str">
        <f>IF(C149="YES",Param!O149,"no calc")</f>
        <v>no calc</v>
      </c>
      <c r="G149" s="622" t="str">
        <f>IF(C149="YES",Param!S149,"no calc")</f>
        <v>no calc</v>
      </c>
      <c r="H149" s="803" t="str">
        <f>IF(C149="YES",Param!AD149,"no calc")</f>
        <v>no calc</v>
      </c>
      <c r="I149" s="595" t="str">
        <f>IF(C149="YES",Param!AE149,"no calc")</f>
        <v>no calc</v>
      </c>
      <c r="J149" s="582" t="str">
        <f>IF(OR($D149="na",$D149="no calc"),"na",0.000001*Eqtn!D$419/(Eqtn!D$415*$H149*$D149+Eqtn!D$420*$I149*$E149))</f>
        <v>na</v>
      </c>
      <c r="K149" s="582" t="str">
        <f>IF(OR($D149="na",$D149="no calc"),"na",0.000001*Eqtn!E$419/(Eqtn!E$415*$H149*$D149+Eqtn!E$420*$I149*$E149))</f>
        <v>na</v>
      </c>
      <c r="L149" s="582" t="str">
        <f>IF(OR($D149="na",$D149="no calc"),"na",0.000001*Eqtn!F$419/(Eqtn!F$415*$H149*$D149+Eqtn!F$420*$I149*$E149))</f>
        <v>na</v>
      </c>
      <c r="M149" s="348" t="str">
        <f>IF(OR($D149="na",$D149="no calc"),"na",0.00001*Eqtn!D$419/(Eqtn!D$415*$H149*$D149+Eqtn!D$420*$I149*$E149))</f>
        <v>na</v>
      </c>
      <c r="N149" s="348" t="str">
        <f>IF(OR($D149="na",$D149="no calc"),"na",0.00001*Eqtn!E$419/(Eqtn!E$415*$H149*$D149+Eqtn!E$420*$I149*$E149))</f>
        <v>na</v>
      </c>
      <c r="O149" s="695" t="str">
        <f>IF(OR($D149="na",$D149="no calc"),"na",0.00001*Eqtn!F$419/(Eqtn!F$415*$H149*$D149+Eqtn!F$420*$I149*$E149))</f>
        <v>na</v>
      </c>
      <c r="P149" s="806" t="str">
        <f>IF(OR($F149="na",$F149="no calc"),"na",1*Eqtn!D$451/(Eqtn!D$447*$H149/$F149+Eqtn!D$452*$I149/$G149))</f>
        <v>na</v>
      </c>
      <c r="Q149" s="806" t="str">
        <f>IF(OR($F149="na",$F149="no calc"),"na",1*Eqtn!E$451/(Eqtn!E$447*$H149/$F149+Eqtn!E$452*$I149/$G149))</f>
        <v>na</v>
      </c>
      <c r="R149" s="806" t="str">
        <f>IF(OR($F149="na",$F149="no calc"),"na",1*Eqtn!F$451/(Eqtn!F$447*$H149/$F149+Eqtn!F$452*$I149/$G149))</f>
        <v>na</v>
      </c>
      <c r="S149" s="1426" t="str">
        <f t="shared" si="81"/>
        <v>na</v>
      </c>
      <c r="T149" s="1426" t="str">
        <f t="shared" si="82"/>
        <v>na</v>
      </c>
      <c r="U149" s="1426" t="str">
        <f t="shared" si="83"/>
        <v>na</v>
      </c>
      <c r="V149" s="1415" t="str">
        <f t="shared" si="84"/>
        <v>na</v>
      </c>
      <c r="W149" s="1399" t="str">
        <f t="shared" si="85"/>
        <v>na</v>
      </c>
      <c r="X149" s="1399" t="str">
        <f t="shared" si="86"/>
        <v>na</v>
      </c>
      <c r="Y149" s="1399" t="str">
        <f t="shared" si="87"/>
        <v>na</v>
      </c>
      <c r="Z149" s="716" t="str">
        <f t="shared" si="88"/>
        <v>na</v>
      </c>
      <c r="AB149" s="1062"/>
    </row>
    <row r="150" spans="1:28" ht="13.9" customHeight="1" x14ac:dyDescent="0.25">
      <c r="A150" s="846">
        <f>Chem!A150</f>
        <v>148</v>
      </c>
      <c r="B150" s="916" t="str">
        <f>Chem!B150</f>
        <v>Acrylonitrile</v>
      </c>
      <c r="C150" s="2305" t="str">
        <f>Param!AK150</f>
        <v>no</v>
      </c>
      <c r="D150" s="384" t="str">
        <f>IF(C150="YES",Param!V150,"no calc")</f>
        <v>no calc</v>
      </c>
      <c r="E150" s="552" t="str">
        <f>IF(C150="YES",Param!X150,"no calc")</f>
        <v>no calc</v>
      </c>
      <c r="F150" s="384" t="str">
        <f>IF(C150="YES",Param!O150,"no calc")</f>
        <v>no calc</v>
      </c>
      <c r="G150" s="622" t="str">
        <f>IF(C150="YES",Param!S150,"no calc")</f>
        <v>no calc</v>
      </c>
      <c r="H150" s="622" t="str">
        <f>IF(C150="YES",Param!AD150,"no calc")</f>
        <v>no calc</v>
      </c>
      <c r="I150" s="596" t="str">
        <f>IF(C150="YES",Param!AE150,"no calc")</f>
        <v>no calc</v>
      </c>
      <c r="J150" s="582" t="str">
        <f>IF(OR($D150="na",$D150="no calc"),"na",0.000001*Eqtn!D$419/(Eqtn!D$415*$H150*$D150+Eqtn!D$420*$I150*$E150))</f>
        <v>na</v>
      </c>
      <c r="K150" s="582" t="str">
        <f>IF(OR($D150="na",$D150="no calc"),"na",0.000001*Eqtn!E$419/(Eqtn!E$415*$H150*$D150+Eqtn!E$420*$I150*$E150))</f>
        <v>na</v>
      </c>
      <c r="L150" s="582" t="str">
        <f>IF(OR($D150="na",$D150="no calc"),"na",0.000001*Eqtn!F$419/(Eqtn!F$415*$H150*$D150+Eqtn!F$420*$I150*$E150))</f>
        <v>na</v>
      </c>
      <c r="M150" s="348" t="str">
        <f>IF(OR($D150="na",$D150="no calc"),"na",0.00001*Eqtn!D$419/(Eqtn!D$415*$H150*$D150+Eqtn!D$420*$I150*$E150))</f>
        <v>na</v>
      </c>
      <c r="N150" s="348" t="str">
        <f>IF(OR($D150="na",$D150="no calc"),"na",0.00001*Eqtn!E$419/(Eqtn!E$415*$H150*$D150+Eqtn!E$420*$I150*$E150))</f>
        <v>na</v>
      </c>
      <c r="O150" s="695" t="str">
        <f>IF(OR($D150="na",$D150="no calc"),"na",0.00001*Eqtn!F$419/(Eqtn!F$415*$H150*$D150+Eqtn!F$420*$I150*$E150))</f>
        <v>na</v>
      </c>
      <c r="P150" s="806" t="str">
        <f>IF(OR($F150="na",$F150="no calc"),"na",1*Eqtn!D$451/(Eqtn!D$447*$H150/$F150+Eqtn!D$452*$I150/$G150))</f>
        <v>na</v>
      </c>
      <c r="Q150" s="806" t="str">
        <f>IF(OR($F150="na",$F150="no calc"),"na",1*Eqtn!E$451/(Eqtn!E$447*$H150/$F150+Eqtn!E$452*$I150/$G150))</f>
        <v>na</v>
      </c>
      <c r="R150" s="806" t="str">
        <f>IF(OR($F150="na",$F150="no calc"),"na",1*Eqtn!F$451/(Eqtn!F$447*$H150/$F150+Eqtn!F$452*$I150/$G150))</f>
        <v>na</v>
      </c>
      <c r="S150" s="1426" t="str">
        <f t="shared" si="81"/>
        <v>na</v>
      </c>
      <c r="T150" s="1426" t="str">
        <f t="shared" si="82"/>
        <v>na</v>
      </c>
      <c r="U150" s="1426" t="str">
        <f t="shared" si="83"/>
        <v>na</v>
      </c>
      <c r="V150" s="1415" t="str">
        <f t="shared" si="84"/>
        <v>na</v>
      </c>
      <c r="W150" s="1399" t="str">
        <f t="shared" si="85"/>
        <v>na</v>
      </c>
      <c r="X150" s="1399" t="str">
        <f t="shared" si="86"/>
        <v>na</v>
      </c>
      <c r="Y150" s="1399" t="str">
        <f t="shared" si="87"/>
        <v>na</v>
      </c>
      <c r="Z150" s="716" t="str">
        <f t="shared" si="88"/>
        <v>na</v>
      </c>
      <c r="AB150" s="1062"/>
    </row>
    <row r="151" spans="1:28" ht="13.9" customHeight="1" x14ac:dyDescent="0.25">
      <c r="A151" s="846">
        <f>Chem!A151</f>
        <v>149</v>
      </c>
      <c r="B151" s="916" t="str">
        <f>Chem!B151</f>
        <v>Benzaldehyde</v>
      </c>
      <c r="C151" s="2305" t="str">
        <f>Param!AK151</f>
        <v>no</v>
      </c>
      <c r="D151" s="384" t="str">
        <f>IF(C151="YES",Param!V151,"no calc")</f>
        <v>no calc</v>
      </c>
      <c r="E151" s="552" t="str">
        <f>IF(C151="YES",Param!X151,"no calc")</f>
        <v>no calc</v>
      </c>
      <c r="F151" s="384" t="str">
        <f>IF(C151="YES",Param!O151,"no calc")</f>
        <v>no calc</v>
      </c>
      <c r="G151" s="622" t="str">
        <f>IF(C151="YES",Param!S151,"no calc")</f>
        <v>no calc</v>
      </c>
      <c r="H151" s="622" t="str">
        <f>IF(C151="YES",Param!AD151,"no calc")</f>
        <v>no calc</v>
      </c>
      <c r="I151" s="596" t="str">
        <f>IF(C151="YES",Param!AE151,"no calc")</f>
        <v>no calc</v>
      </c>
      <c r="J151" s="582" t="str">
        <f>IF(OR($D151="na",$D151="no calc"),"na",0.000001*Eqtn!D$419/(Eqtn!D$415*$H151*$D151+Eqtn!D$420*$I151*$E151))</f>
        <v>na</v>
      </c>
      <c r="K151" s="582" t="str">
        <f>IF(OR($D151="na",$D151="no calc"),"na",0.000001*Eqtn!E$419/(Eqtn!E$415*$H151*$D151+Eqtn!E$420*$I151*$E151))</f>
        <v>na</v>
      </c>
      <c r="L151" s="582" t="str">
        <f>IF(OR($D151="na",$D151="no calc"),"na",0.000001*Eqtn!F$419/(Eqtn!F$415*$H151*$D151+Eqtn!F$420*$I151*$E151))</f>
        <v>na</v>
      </c>
      <c r="M151" s="348" t="str">
        <f>IF(OR($D151="na",$D151="no calc"),"na",0.00001*Eqtn!D$419/(Eqtn!D$415*$H151*$D151+Eqtn!D$420*$I151*$E151))</f>
        <v>na</v>
      </c>
      <c r="N151" s="348" t="str">
        <f>IF(OR($D151="na",$D151="no calc"),"na",0.00001*Eqtn!E$419/(Eqtn!E$415*$H151*$D151+Eqtn!E$420*$I151*$E151))</f>
        <v>na</v>
      </c>
      <c r="O151" s="695" t="str">
        <f>IF(OR($D151="na",$D151="no calc"),"na",0.00001*Eqtn!F$419/(Eqtn!F$415*$H151*$D151+Eqtn!F$420*$I151*$E151))</f>
        <v>na</v>
      </c>
      <c r="P151" s="806" t="str">
        <f>IF(OR($F151="na",$F151="no calc"),"na",1*Eqtn!D$451/(Eqtn!D$447*$H151/$F151+Eqtn!D$452*$I151/$G151))</f>
        <v>na</v>
      </c>
      <c r="Q151" s="806" t="str">
        <f>IF(OR($F151="na",$F151="no calc"),"na",1*Eqtn!E$451/(Eqtn!E$447*$H151/$F151+Eqtn!E$452*$I151/$G151))</f>
        <v>na</v>
      </c>
      <c r="R151" s="806" t="str">
        <f>IF(OR($F151="na",$F151="no calc"),"na",1*Eqtn!F$451/(Eqtn!F$447*$H151/$F151+Eqtn!F$452*$I151/$G151))</f>
        <v>na</v>
      </c>
      <c r="S151" s="1426" t="str">
        <f t="shared" si="81"/>
        <v>na</v>
      </c>
      <c r="T151" s="1426" t="str">
        <f t="shared" si="82"/>
        <v>na</v>
      </c>
      <c r="U151" s="1426" t="str">
        <f t="shared" si="83"/>
        <v>na</v>
      </c>
      <c r="V151" s="1415" t="str">
        <f t="shared" si="84"/>
        <v>na</v>
      </c>
      <c r="W151" s="1399" t="str">
        <f t="shared" si="85"/>
        <v>na</v>
      </c>
      <c r="X151" s="1399" t="str">
        <f t="shared" si="86"/>
        <v>na</v>
      </c>
      <c r="Y151" s="1399" t="str">
        <f t="shared" si="87"/>
        <v>na</v>
      </c>
      <c r="Z151" s="716" t="str">
        <f t="shared" si="88"/>
        <v>na</v>
      </c>
      <c r="AB151" s="1062"/>
    </row>
    <row r="152" spans="1:28" ht="13.9" customHeight="1" x14ac:dyDescent="0.25">
      <c r="A152" s="846">
        <f>Chem!A152</f>
        <v>150</v>
      </c>
      <c r="B152" s="916" t="str">
        <f>Chem!B152</f>
        <v>Benzene</v>
      </c>
      <c r="C152" s="2305" t="str">
        <f>Param!AK152</f>
        <v>no</v>
      </c>
      <c r="D152" s="384" t="str">
        <f>IF(C152="YES",Param!V152,"no calc")</f>
        <v>no calc</v>
      </c>
      <c r="E152" s="552" t="str">
        <f>IF(C152="YES",Param!X152,"no calc")</f>
        <v>no calc</v>
      </c>
      <c r="F152" s="384" t="str">
        <f>IF(C152="YES",Param!O152,"no calc")</f>
        <v>no calc</v>
      </c>
      <c r="G152" s="622" t="str">
        <f>IF(C152="YES",Param!S152,"no calc")</f>
        <v>no calc</v>
      </c>
      <c r="H152" s="622" t="str">
        <f>IF(C152="YES",Param!AD152,"no calc")</f>
        <v>no calc</v>
      </c>
      <c r="I152" s="596" t="str">
        <f>IF(C152="YES",Param!AE152,"no calc")</f>
        <v>no calc</v>
      </c>
      <c r="J152" s="582" t="str">
        <f>IF(OR($D152="na",$D152="no calc"),"na",0.000001*Eqtn!D$419/(Eqtn!D$415*$H152*$D152+Eqtn!D$420*$I152*$E152))</f>
        <v>na</v>
      </c>
      <c r="K152" s="582" t="str">
        <f>IF(OR($D152="na",$D152="no calc"),"na",0.000001*Eqtn!E$419/(Eqtn!E$415*$H152*$D152+Eqtn!E$420*$I152*$E152))</f>
        <v>na</v>
      </c>
      <c r="L152" s="582" t="str">
        <f>IF(OR($D152="na",$D152="no calc"),"na",0.000001*Eqtn!F$419/(Eqtn!F$415*$H152*$D152+Eqtn!F$420*$I152*$E152))</f>
        <v>na</v>
      </c>
      <c r="M152" s="348" t="str">
        <f>IF(OR($D152="na",$D152="no calc"),"na",0.00001*Eqtn!D$419/(Eqtn!D$415*$H152*$D152+Eqtn!D$420*$I152*$E152))</f>
        <v>na</v>
      </c>
      <c r="N152" s="348" t="str">
        <f>IF(OR($D152="na",$D152="no calc"),"na",0.00001*Eqtn!E$419/(Eqtn!E$415*$H152*$D152+Eqtn!E$420*$I152*$E152))</f>
        <v>na</v>
      </c>
      <c r="O152" s="695" t="str">
        <f>IF(OR($D152="na",$D152="no calc"),"na",0.00001*Eqtn!F$419/(Eqtn!F$415*$H152*$D152+Eqtn!F$420*$I152*$E152))</f>
        <v>na</v>
      </c>
      <c r="P152" s="806" t="str">
        <f>IF(OR($F152="na",$F152="no calc"),"na",1*Eqtn!D$451/(Eqtn!D$447*$H152/$F152+Eqtn!D$452*$I152/$G152))</f>
        <v>na</v>
      </c>
      <c r="Q152" s="806" t="str">
        <f>IF(OR($F152="na",$F152="no calc"),"na",1*Eqtn!E$451/(Eqtn!E$447*$H152/$F152+Eqtn!E$452*$I152/$G152))</f>
        <v>na</v>
      </c>
      <c r="R152" s="806" t="str">
        <f>IF(OR($F152="na",$F152="no calc"),"na",1*Eqtn!F$451/(Eqtn!F$447*$H152/$F152+Eqtn!F$452*$I152/$G152))</f>
        <v>na</v>
      </c>
      <c r="S152" s="1426" t="str">
        <f t="shared" si="81"/>
        <v>na</v>
      </c>
      <c r="T152" s="1426" t="str">
        <f t="shared" si="82"/>
        <v>na</v>
      </c>
      <c r="U152" s="1426" t="str">
        <f t="shared" si="83"/>
        <v>na</v>
      </c>
      <c r="V152" s="1415" t="str">
        <f t="shared" si="84"/>
        <v>na</v>
      </c>
      <c r="W152" s="1399" t="str">
        <f t="shared" si="85"/>
        <v>na</v>
      </c>
      <c r="X152" s="1399" t="str">
        <f t="shared" si="86"/>
        <v>na</v>
      </c>
      <c r="Y152" s="1399" t="str">
        <f t="shared" si="87"/>
        <v>na</v>
      </c>
      <c r="Z152" s="716" t="str">
        <f t="shared" si="88"/>
        <v>na</v>
      </c>
      <c r="AB152" s="1062"/>
    </row>
    <row r="153" spans="1:28" ht="13.9" customHeight="1" x14ac:dyDescent="0.25">
      <c r="A153" s="846">
        <f>Chem!A153</f>
        <v>151</v>
      </c>
      <c r="B153" s="916" t="str">
        <f>Chem!B153</f>
        <v>Bromobenzene</v>
      </c>
      <c r="C153" s="2305" t="str">
        <f>Param!AK153</f>
        <v>no</v>
      </c>
      <c r="D153" s="384" t="str">
        <f>IF(C153="YES",Param!V153,"no calc")</f>
        <v>no calc</v>
      </c>
      <c r="E153" s="552" t="str">
        <f>IF(C153="YES",Param!X153,"no calc")</f>
        <v>no calc</v>
      </c>
      <c r="F153" s="384" t="str">
        <f>IF(C153="YES",Param!O153,"no calc")</f>
        <v>no calc</v>
      </c>
      <c r="G153" s="622" t="str">
        <f>IF(C153="YES",Param!S153,"no calc")</f>
        <v>no calc</v>
      </c>
      <c r="H153" s="622" t="str">
        <f>IF(C153="YES",Param!AD153,"no calc")</f>
        <v>no calc</v>
      </c>
      <c r="I153" s="596" t="str">
        <f>IF(C153="YES",Param!AE153,"no calc")</f>
        <v>no calc</v>
      </c>
      <c r="J153" s="582" t="str">
        <f>IF(OR($D153="na",$D153="no calc"),"na",0.000001*Eqtn!D$419/(Eqtn!D$415*$H153*$D153+Eqtn!D$420*$I153*$E153))</f>
        <v>na</v>
      </c>
      <c r="K153" s="582" t="str">
        <f>IF(OR($D153="na",$D153="no calc"),"na",0.000001*Eqtn!E$419/(Eqtn!E$415*$H153*$D153+Eqtn!E$420*$I153*$E153))</f>
        <v>na</v>
      </c>
      <c r="L153" s="582" t="str">
        <f>IF(OR($D153="na",$D153="no calc"),"na",0.000001*Eqtn!F$419/(Eqtn!F$415*$H153*$D153+Eqtn!F$420*$I153*$E153))</f>
        <v>na</v>
      </c>
      <c r="M153" s="348" t="str">
        <f>IF(OR($D153="na",$D153="no calc"),"na",0.00001*Eqtn!D$419/(Eqtn!D$415*$H153*$D153+Eqtn!D$420*$I153*$E153))</f>
        <v>na</v>
      </c>
      <c r="N153" s="348" t="str">
        <f>IF(OR($D153="na",$D153="no calc"),"na",0.00001*Eqtn!E$419/(Eqtn!E$415*$H153*$D153+Eqtn!E$420*$I153*$E153))</f>
        <v>na</v>
      </c>
      <c r="O153" s="695" t="str">
        <f>IF(OR($D153="na",$D153="no calc"),"na",0.00001*Eqtn!F$419/(Eqtn!F$415*$H153*$D153+Eqtn!F$420*$I153*$E153))</f>
        <v>na</v>
      </c>
      <c r="P153" s="806" t="str">
        <f>IF(OR($F153="na",$F153="no calc"),"na",1*Eqtn!D$451/(Eqtn!D$447*$H153/$F153+Eqtn!D$452*$I153/$G153))</f>
        <v>na</v>
      </c>
      <c r="Q153" s="806" t="str">
        <f>IF(OR($F153="na",$F153="no calc"),"na",1*Eqtn!E$451/(Eqtn!E$447*$H153/$F153+Eqtn!E$452*$I153/$G153))</f>
        <v>na</v>
      </c>
      <c r="R153" s="806" t="str">
        <f>IF(OR($F153="na",$F153="no calc"),"na",1*Eqtn!F$451/(Eqtn!F$447*$H153/$F153+Eqtn!F$452*$I153/$G153))</f>
        <v>na</v>
      </c>
      <c r="S153" s="1426" t="str">
        <f t="shared" si="81"/>
        <v>na</v>
      </c>
      <c r="T153" s="1426" t="str">
        <f t="shared" si="82"/>
        <v>na</v>
      </c>
      <c r="U153" s="1426" t="str">
        <f t="shared" si="83"/>
        <v>na</v>
      </c>
      <c r="V153" s="1415" t="str">
        <f t="shared" si="84"/>
        <v>na</v>
      </c>
      <c r="W153" s="1399" t="str">
        <f t="shared" si="85"/>
        <v>na</v>
      </c>
      <c r="X153" s="1399" t="str">
        <f t="shared" si="86"/>
        <v>na</v>
      </c>
      <c r="Y153" s="1399" t="str">
        <f t="shared" si="87"/>
        <v>na</v>
      </c>
      <c r="Z153" s="716" t="str">
        <f t="shared" si="88"/>
        <v>na</v>
      </c>
      <c r="AB153" s="1062"/>
    </row>
    <row r="154" spans="1:28" ht="13.9" customHeight="1" x14ac:dyDescent="0.25">
      <c r="A154" s="846">
        <f>Chem!A154</f>
        <v>152</v>
      </c>
      <c r="B154" s="916" t="str">
        <f>Chem!B154</f>
        <v>Bromochloromethane</v>
      </c>
      <c r="C154" s="2305" t="str">
        <f>Param!AK154</f>
        <v>no</v>
      </c>
      <c r="D154" s="384" t="str">
        <f>IF(C154="YES",Param!V154,"no calc")</f>
        <v>no calc</v>
      </c>
      <c r="E154" s="552" t="str">
        <f>IF(C154="YES",Param!X154,"no calc")</f>
        <v>no calc</v>
      </c>
      <c r="F154" s="384" t="str">
        <f>IF(C154="YES",Param!O154,"no calc")</f>
        <v>no calc</v>
      </c>
      <c r="G154" s="622" t="str">
        <f>IF(C154="YES",Param!S154,"no calc")</f>
        <v>no calc</v>
      </c>
      <c r="H154" s="622" t="str">
        <f>IF(C154="YES",Param!AD154,"no calc")</f>
        <v>no calc</v>
      </c>
      <c r="I154" s="596" t="str">
        <f>IF(C154="YES",Param!AE154,"no calc")</f>
        <v>no calc</v>
      </c>
      <c r="J154" s="582" t="str">
        <f>IF(OR($D154="na",$D154="no calc"),"na",0.000001*Eqtn!D$419/(Eqtn!D$415*$H154*$D154+Eqtn!D$420*$I154*$E154))</f>
        <v>na</v>
      </c>
      <c r="K154" s="582" t="str">
        <f>IF(OR($D154="na",$D154="no calc"),"na",0.000001*Eqtn!E$419/(Eqtn!E$415*$H154*$D154+Eqtn!E$420*$I154*$E154))</f>
        <v>na</v>
      </c>
      <c r="L154" s="582" t="str">
        <f>IF(OR($D154="na",$D154="no calc"),"na",0.000001*Eqtn!F$419/(Eqtn!F$415*$H154*$D154+Eqtn!F$420*$I154*$E154))</f>
        <v>na</v>
      </c>
      <c r="M154" s="348" t="str">
        <f>IF(OR($D154="na",$D154="no calc"),"na",0.00001*Eqtn!D$419/(Eqtn!D$415*$H154*$D154+Eqtn!D$420*$I154*$E154))</f>
        <v>na</v>
      </c>
      <c r="N154" s="348" t="str">
        <f>IF(OR($D154="na",$D154="no calc"),"na",0.00001*Eqtn!E$419/(Eqtn!E$415*$H154*$D154+Eqtn!E$420*$I154*$E154))</f>
        <v>na</v>
      </c>
      <c r="O154" s="695" t="str">
        <f>IF(OR($D154="na",$D154="no calc"),"na",0.00001*Eqtn!F$419/(Eqtn!F$415*$H154*$D154+Eqtn!F$420*$I154*$E154))</f>
        <v>na</v>
      </c>
      <c r="P154" s="806" t="str">
        <f>IF(OR($F154="na",$F154="no calc"),"na",1*Eqtn!D$451/(Eqtn!D$447*$H154/$F154+Eqtn!D$452*$I154/$G154))</f>
        <v>na</v>
      </c>
      <c r="Q154" s="806" t="str">
        <f>IF(OR($F154="na",$F154="no calc"),"na",1*Eqtn!E$451/(Eqtn!E$447*$H154/$F154+Eqtn!E$452*$I154/$G154))</f>
        <v>na</v>
      </c>
      <c r="R154" s="806" t="str">
        <f>IF(OR($F154="na",$F154="no calc"),"na",1*Eqtn!F$451/(Eqtn!F$447*$H154/$F154+Eqtn!F$452*$I154/$G154))</f>
        <v>na</v>
      </c>
      <c r="S154" s="1426" t="str">
        <f t="shared" si="81"/>
        <v>na</v>
      </c>
      <c r="T154" s="1426" t="str">
        <f t="shared" si="82"/>
        <v>na</v>
      </c>
      <c r="U154" s="1426" t="str">
        <f t="shared" si="83"/>
        <v>na</v>
      </c>
      <c r="V154" s="1415" t="str">
        <f t="shared" si="84"/>
        <v>na</v>
      </c>
      <c r="W154" s="1399" t="str">
        <f t="shared" si="85"/>
        <v>na</v>
      </c>
      <c r="X154" s="1399" t="str">
        <f t="shared" si="86"/>
        <v>na</v>
      </c>
      <c r="Y154" s="1399" t="str">
        <f t="shared" si="87"/>
        <v>na</v>
      </c>
      <c r="Z154" s="716" t="str">
        <f t="shared" si="88"/>
        <v>na</v>
      </c>
      <c r="AB154" s="1062"/>
    </row>
    <row r="155" spans="1:28" ht="13.9" customHeight="1" x14ac:dyDescent="0.25">
      <c r="A155" s="846">
        <f>Chem!A155</f>
        <v>153</v>
      </c>
      <c r="B155" s="916" t="str">
        <f>Chem!B155</f>
        <v>Bromoethane</v>
      </c>
      <c r="C155" s="2305" t="str">
        <f>Param!AK155</f>
        <v>no</v>
      </c>
      <c r="D155" s="384" t="str">
        <f>IF(C155="YES",Param!V155,"no calc")</f>
        <v>no calc</v>
      </c>
      <c r="E155" s="552" t="str">
        <f>IF(C155="YES",Param!X155,"no calc")</f>
        <v>no calc</v>
      </c>
      <c r="F155" s="343" t="str">
        <f>IF(C155="YES",Param!O155,"no calc")</f>
        <v>no calc</v>
      </c>
      <c r="G155" s="622" t="str">
        <f>IF(C155="YES",Param!S155,"no calc")</f>
        <v>no calc</v>
      </c>
      <c r="H155" s="622" t="str">
        <f>IF(C155="YES",Param!AD155,"no calc")</f>
        <v>no calc</v>
      </c>
      <c r="I155" s="596" t="str">
        <f>IF(C155="YES",Param!AE155,"no calc")</f>
        <v>no calc</v>
      </c>
      <c r="J155" s="582" t="str">
        <f>IF(OR($D155="na",$D155="no calc"),"na",0.000001*Eqtn!D$419/(Eqtn!D$415*$H155*$D155+Eqtn!D$420*$I155*$E155))</f>
        <v>na</v>
      </c>
      <c r="K155" s="582" t="str">
        <f>IF(OR($D155="na",$D155="no calc"),"na",0.000001*Eqtn!E$419/(Eqtn!E$415*$H155*$D155+Eqtn!E$420*$I155*$E155))</f>
        <v>na</v>
      </c>
      <c r="L155" s="582" t="str">
        <f>IF(OR($D155="na",$D155="no calc"),"na",0.000001*Eqtn!F$419/(Eqtn!F$415*$H155*$D155+Eqtn!F$420*$I155*$E155))</f>
        <v>na</v>
      </c>
      <c r="M155" s="348" t="str">
        <f>IF(OR($D155="na",$D155="no calc"),"na",0.00001*Eqtn!D$419/(Eqtn!D$415*$H155*$D155+Eqtn!D$420*$I155*$E155))</f>
        <v>na</v>
      </c>
      <c r="N155" s="348" t="str">
        <f>IF(OR($D155="na",$D155="no calc"),"na",0.00001*Eqtn!E$419/(Eqtn!E$415*$H155*$D155+Eqtn!E$420*$I155*$E155))</f>
        <v>na</v>
      </c>
      <c r="O155" s="695" t="str">
        <f>IF(OR($D155="na",$D155="no calc"),"na",0.00001*Eqtn!F$419/(Eqtn!F$415*$H155*$D155+Eqtn!F$420*$I155*$E155))</f>
        <v>na</v>
      </c>
      <c r="P155" s="806" t="str">
        <f>IF(OR($F155="na",$F155="no calc"),"na",1*Eqtn!D$451/(Eqtn!D$447*$H155/$F155+Eqtn!D$452*$I155/$G155))</f>
        <v>na</v>
      </c>
      <c r="Q155" s="806" t="str">
        <f>IF(OR($F155="na",$F155="no calc"),"na",1*Eqtn!E$451/(Eqtn!E$447*$H155/$F155+Eqtn!E$452*$I155/$G155))</f>
        <v>na</v>
      </c>
      <c r="R155" s="806" t="str">
        <f>IF(OR($F155="na",$F155="no calc"),"na",1*Eqtn!F$451/(Eqtn!F$447*$H155/$F155+Eqtn!F$452*$I155/$G155))</f>
        <v>na</v>
      </c>
      <c r="S155" s="1426" t="str">
        <f t="shared" si="81"/>
        <v>na</v>
      </c>
      <c r="T155" s="1426" t="str">
        <f t="shared" si="82"/>
        <v>na</v>
      </c>
      <c r="U155" s="1426" t="str">
        <f t="shared" si="83"/>
        <v>na</v>
      </c>
      <c r="V155" s="1415" t="str">
        <f t="shared" si="84"/>
        <v>na</v>
      </c>
      <c r="W155" s="1399" t="str">
        <f t="shared" si="85"/>
        <v>na</v>
      </c>
      <c r="X155" s="1399" t="str">
        <f t="shared" si="86"/>
        <v>na</v>
      </c>
      <c r="Y155" s="1399" t="str">
        <f t="shared" si="87"/>
        <v>na</v>
      </c>
      <c r="Z155" s="716" t="str">
        <f t="shared" si="88"/>
        <v>na</v>
      </c>
      <c r="AB155" s="1062"/>
    </row>
    <row r="156" spans="1:28" ht="13.9" customHeight="1" x14ac:dyDescent="0.25">
      <c r="A156" s="846">
        <f>Chem!A156</f>
        <v>154</v>
      </c>
      <c r="B156" s="916" t="str">
        <f>Chem!B156</f>
        <v>Bromoform</v>
      </c>
      <c r="C156" s="2305" t="str">
        <f>Param!AK156</f>
        <v>no</v>
      </c>
      <c r="D156" s="384" t="str">
        <f>IF(C156="YES",Param!V156,"no calc")</f>
        <v>no calc</v>
      </c>
      <c r="E156" s="552" t="str">
        <f>IF(C156="YES",Param!X156,"no calc")</f>
        <v>no calc</v>
      </c>
      <c r="F156" s="343" t="str">
        <f>IF(C156="YES",Param!O156,"no calc")</f>
        <v>no calc</v>
      </c>
      <c r="G156" s="622" t="str">
        <f>IF(C156="YES",Param!S156,"no calc")</f>
        <v>no calc</v>
      </c>
      <c r="H156" s="622" t="str">
        <f>IF(C156="YES",Param!AD156,"no calc")</f>
        <v>no calc</v>
      </c>
      <c r="I156" s="596" t="str">
        <f>IF(C156="YES",Param!AE156,"no calc")</f>
        <v>no calc</v>
      </c>
      <c r="J156" s="582" t="str">
        <f>IF(OR($D156="na",$D156="no calc"),"na",0.000001*Eqtn!D$419/(Eqtn!D$415*$H156*$D156+Eqtn!D$420*$I156*$E156))</f>
        <v>na</v>
      </c>
      <c r="K156" s="582" t="str">
        <f>IF(OR($D156="na",$D156="no calc"),"na",0.000001*Eqtn!E$419/(Eqtn!E$415*$H156*$D156+Eqtn!E$420*$I156*$E156))</f>
        <v>na</v>
      </c>
      <c r="L156" s="582" t="str">
        <f>IF(OR($D156="na",$D156="no calc"),"na",0.000001*Eqtn!F$419/(Eqtn!F$415*$H156*$D156+Eqtn!F$420*$I156*$E156))</f>
        <v>na</v>
      </c>
      <c r="M156" s="348" t="str">
        <f>IF(OR($D156="na",$D156="no calc"),"na",0.00001*Eqtn!D$419/(Eqtn!D$415*$H156*$D156+Eqtn!D$420*$I156*$E156))</f>
        <v>na</v>
      </c>
      <c r="N156" s="348" t="str">
        <f>IF(OR($D156="na",$D156="no calc"),"na",0.00001*Eqtn!E$419/(Eqtn!E$415*$H156*$D156+Eqtn!E$420*$I156*$E156))</f>
        <v>na</v>
      </c>
      <c r="O156" s="695" t="str">
        <f>IF(OR($D156="na",$D156="no calc"),"na",0.00001*Eqtn!F$419/(Eqtn!F$415*$H156*$D156+Eqtn!F$420*$I156*$E156))</f>
        <v>na</v>
      </c>
      <c r="P156" s="806" t="str">
        <f>IF(OR($F156="na",$F156="no calc"),"na",1*Eqtn!D$451/(Eqtn!D$447*$H156/$F156+Eqtn!D$452*$I156/$G156))</f>
        <v>na</v>
      </c>
      <c r="Q156" s="806" t="str">
        <f>IF(OR($F156="na",$F156="no calc"),"na",1*Eqtn!E$451/(Eqtn!E$447*$H156/$F156+Eqtn!E$452*$I156/$G156))</f>
        <v>na</v>
      </c>
      <c r="R156" s="806" t="str">
        <f>IF(OR($F156="na",$F156="no calc"),"na",1*Eqtn!F$451/(Eqtn!F$447*$H156/$F156+Eqtn!F$452*$I156/$G156))</f>
        <v>na</v>
      </c>
      <c r="S156" s="1426" t="str">
        <f t="shared" si="81"/>
        <v>na</v>
      </c>
      <c r="T156" s="1426" t="str">
        <f t="shared" si="82"/>
        <v>na</v>
      </c>
      <c r="U156" s="1426" t="str">
        <f t="shared" si="83"/>
        <v>na</v>
      </c>
      <c r="V156" s="1415" t="str">
        <f t="shared" si="84"/>
        <v>na</v>
      </c>
      <c r="W156" s="1399" t="str">
        <f t="shared" si="85"/>
        <v>na</v>
      </c>
      <c r="X156" s="1399" t="str">
        <f t="shared" si="86"/>
        <v>na</v>
      </c>
      <c r="Y156" s="1399" t="str">
        <f t="shared" si="87"/>
        <v>na</v>
      </c>
      <c r="Z156" s="716" t="str">
        <f t="shared" si="88"/>
        <v>na</v>
      </c>
      <c r="AB156" s="1062"/>
    </row>
    <row r="157" spans="1:28" ht="13.9" customHeight="1" x14ac:dyDescent="0.25">
      <c r="A157" s="846">
        <f>Chem!A157</f>
        <v>155</v>
      </c>
      <c r="B157" s="916" t="str">
        <f>Chem!B157</f>
        <v>Bromomethane</v>
      </c>
      <c r="C157" s="2305" t="str">
        <f>Param!AK157</f>
        <v>no</v>
      </c>
      <c r="D157" s="384" t="str">
        <f>IF(C157="YES",Param!V157,"no calc")</f>
        <v>no calc</v>
      </c>
      <c r="E157" s="552" t="str">
        <f>IF(C157="YES",Param!X157,"no calc")</f>
        <v>no calc</v>
      </c>
      <c r="F157" s="343" t="str">
        <f>IF(C157="YES",Param!O157,"no calc")</f>
        <v>no calc</v>
      </c>
      <c r="G157" s="622" t="str">
        <f>IF(C157="YES",Param!S157,"no calc")</f>
        <v>no calc</v>
      </c>
      <c r="H157" s="622" t="str">
        <f>IF(C157="YES",Param!AD157,"no calc")</f>
        <v>no calc</v>
      </c>
      <c r="I157" s="596" t="str">
        <f>IF(C157="YES",Param!AE157,"no calc")</f>
        <v>no calc</v>
      </c>
      <c r="J157" s="582" t="str">
        <f>IF(OR($D157="na",$D157="no calc"),"na",0.000001*Eqtn!D$419/(Eqtn!D$415*$H157*$D157+Eqtn!D$420*$I157*$E157))</f>
        <v>na</v>
      </c>
      <c r="K157" s="582" t="str">
        <f>IF(OR($D157="na",$D157="no calc"),"na",0.000001*Eqtn!E$419/(Eqtn!E$415*$H157*$D157+Eqtn!E$420*$I157*$E157))</f>
        <v>na</v>
      </c>
      <c r="L157" s="582" t="str">
        <f>IF(OR($D157="na",$D157="no calc"),"na",0.000001*Eqtn!F$419/(Eqtn!F$415*$H157*$D157+Eqtn!F$420*$I157*$E157))</f>
        <v>na</v>
      </c>
      <c r="M157" s="348" t="str">
        <f>IF(OR($D157="na",$D157="no calc"),"na",0.00001*Eqtn!D$419/(Eqtn!D$415*$H157*$D157+Eqtn!D$420*$I157*$E157))</f>
        <v>na</v>
      </c>
      <c r="N157" s="348" t="str">
        <f>IF(OR($D157="na",$D157="no calc"),"na",0.00001*Eqtn!E$419/(Eqtn!E$415*$H157*$D157+Eqtn!E$420*$I157*$E157))</f>
        <v>na</v>
      </c>
      <c r="O157" s="695" t="str">
        <f>IF(OR($D157="na",$D157="no calc"),"na",0.00001*Eqtn!F$419/(Eqtn!F$415*$H157*$D157+Eqtn!F$420*$I157*$E157))</f>
        <v>na</v>
      </c>
      <c r="P157" s="806" t="str">
        <f>IF(OR($F157="na",$F157="no calc"),"na",1*Eqtn!D$451/(Eqtn!D$447*$H157/$F157+Eqtn!D$452*$I157/$G157))</f>
        <v>na</v>
      </c>
      <c r="Q157" s="806" t="str">
        <f>IF(OR($F157="na",$F157="no calc"),"na",1*Eqtn!E$451/(Eqtn!E$447*$H157/$F157+Eqtn!E$452*$I157/$G157))</f>
        <v>na</v>
      </c>
      <c r="R157" s="806" t="str">
        <f>IF(OR($F157="na",$F157="no calc"),"na",1*Eqtn!F$451/(Eqtn!F$447*$H157/$F157+Eqtn!F$452*$I157/$G157))</f>
        <v>na</v>
      </c>
      <c r="S157" s="1426" t="str">
        <f t="shared" si="81"/>
        <v>na</v>
      </c>
      <c r="T157" s="1426" t="str">
        <f t="shared" si="82"/>
        <v>na</v>
      </c>
      <c r="U157" s="1426" t="str">
        <f t="shared" si="83"/>
        <v>na</v>
      </c>
      <c r="V157" s="1415" t="str">
        <f t="shared" si="84"/>
        <v>na</v>
      </c>
      <c r="W157" s="1399" t="str">
        <f t="shared" si="85"/>
        <v>na</v>
      </c>
      <c r="X157" s="1399" t="str">
        <f t="shared" si="86"/>
        <v>na</v>
      </c>
      <c r="Y157" s="1399" t="str">
        <f t="shared" si="87"/>
        <v>na</v>
      </c>
      <c r="Z157" s="716" t="str">
        <f t="shared" si="88"/>
        <v>na</v>
      </c>
      <c r="AB157" s="1062"/>
    </row>
    <row r="158" spans="1:28" ht="13.9" customHeight="1" x14ac:dyDescent="0.25">
      <c r="A158" s="846">
        <f>Chem!A158</f>
        <v>156</v>
      </c>
      <c r="B158" s="916" t="str">
        <f>Chem!B158</f>
        <v>2-Butoxyethanol (EGBE)</v>
      </c>
      <c r="C158" s="2305" t="str">
        <f>Param!AK158</f>
        <v>no</v>
      </c>
      <c r="D158" s="384" t="str">
        <f>IF(C158="YES",Param!V158,"no calc")</f>
        <v>no calc</v>
      </c>
      <c r="E158" s="552" t="str">
        <f>IF(C158="YES",Param!X158,"no calc")</f>
        <v>no calc</v>
      </c>
      <c r="F158" s="384" t="str">
        <f>IF(C158="YES",Param!O158,"no calc")</f>
        <v>no calc</v>
      </c>
      <c r="G158" s="622" t="str">
        <f>IF(C158="YES",Param!S158,"no calc")</f>
        <v>no calc</v>
      </c>
      <c r="H158" s="622" t="str">
        <f>IF(C158="YES",Param!AD158,"no calc")</f>
        <v>no calc</v>
      </c>
      <c r="I158" s="596" t="str">
        <f>IF(C158="YES",Param!AE158,"no calc")</f>
        <v>no calc</v>
      </c>
      <c r="J158" s="582" t="str">
        <f>IF(OR($D158="na",$D158="no calc"),"na",0.000001*Eqtn!D$419/(Eqtn!D$415*$H158*$D158+Eqtn!D$420*$I158*$E158))</f>
        <v>na</v>
      </c>
      <c r="K158" s="582" t="str">
        <f>IF(OR($D158="na",$D158="no calc"),"na",0.000001*Eqtn!E$419/(Eqtn!E$415*$H158*$D158+Eqtn!E$420*$I158*$E158))</f>
        <v>na</v>
      </c>
      <c r="L158" s="582" t="str">
        <f>IF(OR($D158="na",$D158="no calc"),"na",0.000001*Eqtn!F$419/(Eqtn!F$415*$H158*$D158+Eqtn!F$420*$I158*$E158))</f>
        <v>na</v>
      </c>
      <c r="M158" s="348" t="str">
        <f>IF(OR($D158="na",$D158="no calc"),"na",0.00001*Eqtn!D$419/(Eqtn!D$415*$H158*$D158+Eqtn!D$420*$I158*$E158))</f>
        <v>na</v>
      </c>
      <c r="N158" s="348" t="str">
        <f>IF(OR($D158="na",$D158="no calc"),"na",0.00001*Eqtn!E$419/(Eqtn!E$415*$H158*$D158+Eqtn!E$420*$I158*$E158))</f>
        <v>na</v>
      </c>
      <c r="O158" s="695" t="str">
        <f>IF(OR($D158="na",$D158="no calc"),"na",0.00001*Eqtn!F$419/(Eqtn!F$415*$H158*$D158+Eqtn!F$420*$I158*$E158))</f>
        <v>na</v>
      </c>
      <c r="P158" s="806" t="str">
        <f>IF(OR($F158="na",$F158="no calc"),"na",1*Eqtn!D$451/(Eqtn!D$447*$H158/$F158+Eqtn!D$452*$I158/$G158))</f>
        <v>na</v>
      </c>
      <c r="Q158" s="806" t="str">
        <f>IF(OR($F158="na",$F158="no calc"),"na",1*Eqtn!E$451/(Eqtn!E$447*$H158/$F158+Eqtn!E$452*$I158/$G158))</f>
        <v>na</v>
      </c>
      <c r="R158" s="806" t="str">
        <f>IF(OR($F158="na",$F158="no calc"),"na",1*Eqtn!F$451/(Eqtn!F$447*$H158/$F158+Eqtn!F$452*$I158/$G158))</f>
        <v>na</v>
      </c>
      <c r="S158" s="1426" t="str">
        <f t="shared" si="81"/>
        <v>na</v>
      </c>
      <c r="T158" s="1426" t="str">
        <f t="shared" si="82"/>
        <v>na</v>
      </c>
      <c r="U158" s="1426" t="str">
        <f t="shared" si="83"/>
        <v>na</v>
      </c>
      <c r="V158" s="1415" t="str">
        <f t="shared" si="84"/>
        <v>na</v>
      </c>
      <c r="W158" s="1399" t="str">
        <f t="shared" si="85"/>
        <v>na</v>
      </c>
      <c r="X158" s="1399" t="str">
        <f t="shared" si="86"/>
        <v>na</v>
      </c>
      <c r="Y158" s="1399" t="str">
        <f t="shared" si="87"/>
        <v>na</v>
      </c>
      <c r="Z158" s="716" t="str">
        <f t="shared" si="88"/>
        <v>na</v>
      </c>
      <c r="AB158" s="1062"/>
    </row>
    <row r="159" spans="1:28" ht="13.9" customHeight="1" x14ac:dyDescent="0.25">
      <c r="A159" s="846">
        <f>Chem!A159</f>
        <v>157</v>
      </c>
      <c r="B159" s="916" t="str">
        <f>Chem!B159</f>
        <v>n-Butylbenzene</v>
      </c>
      <c r="C159" s="2305" t="str">
        <f>Param!AK159</f>
        <v>no</v>
      </c>
      <c r="D159" s="384" t="str">
        <f>IF(C159="YES",Param!V159,"no calc")</f>
        <v>no calc</v>
      </c>
      <c r="E159" s="552" t="str">
        <f>IF(C159="YES",Param!X159,"no calc")</f>
        <v>no calc</v>
      </c>
      <c r="F159" s="384" t="str">
        <f>IF(C159="YES",Param!O159,"no calc")</f>
        <v>no calc</v>
      </c>
      <c r="G159" s="622" t="str">
        <f>IF(C159="YES",Param!S159,"no calc")</f>
        <v>no calc</v>
      </c>
      <c r="H159" s="622" t="str">
        <f>IF(C159="YES",Param!AD159,"no calc")</f>
        <v>no calc</v>
      </c>
      <c r="I159" s="596" t="str">
        <f>IF(C159="YES",Param!AE159,"no calc")</f>
        <v>no calc</v>
      </c>
      <c r="J159" s="582" t="str">
        <f>IF(OR($D159="na",$D159="no calc"),"na",0.000001*Eqtn!D$419/(Eqtn!D$415*$H159*$D159+Eqtn!D$420*$I159*$E159))</f>
        <v>na</v>
      </c>
      <c r="K159" s="582" t="str">
        <f>IF(OR($D159="na",$D159="no calc"),"na",0.000001*Eqtn!E$419/(Eqtn!E$415*$H159*$D159+Eqtn!E$420*$I159*$E159))</f>
        <v>na</v>
      </c>
      <c r="L159" s="582" t="str">
        <f>IF(OR($D159="na",$D159="no calc"),"na",0.000001*Eqtn!F$419/(Eqtn!F$415*$H159*$D159+Eqtn!F$420*$I159*$E159))</f>
        <v>na</v>
      </c>
      <c r="M159" s="348" t="str">
        <f>IF(OR($D159="na",$D159="no calc"),"na",0.00001*Eqtn!D$419/(Eqtn!D$415*$H159*$D159+Eqtn!D$420*$I159*$E159))</f>
        <v>na</v>
      </c>
      <c r="N159" s="348" t="str">
        <f>IF(OR($D159="na",$D159="no calc"),"na",0.00001*Eqtn!E$419/(Eqtn!E$415*$H159*$D159+Eqtn!E$420*$I159*$E159))</f>
        <v>na</v>
      </c>
      <c r="O159" s="695" t="str">
        <f>IF(OR($D159="na",$D159="no calc"),"na",0.00001*Eqtn!F$419/(Eqtn!F$415*$H159*$D159+Eqtn!F$420*$I159*$E159))</f>
        <v>na</v>
      </c>
      <c r="P159" s="806" t="str">
        <f>IF(OR($F159="na",$F159="no calc"),"na",1*Eqtn!D$451/(Eqtn!D$447*$H159/$F159+Eqtn!D$452*$I159/$G159))</f>
        <v>na</v>
      </c>
      <c r="Q159" s="806" t="str">
        <f>IF(OR($F159="na",$F159="no calc"),"na",1*Eqtn!E$451/(Eqtn!E$447*$H159/$F159+Eqtn!E$452*$I159/$G159))</f>
        <v>na</v>
      </c>
      <c r="R159" s="806" t="str">
        <f>IF(OR($F159="na",$F159="no calc"),"na",1*Eqtn!F$451/(Eqtn!F$447*$H159/$F159+Eqtn!F$452*$I159/$G159))</f>
        <v>na</v>
      </c>
      <c r="S159" s="1426" t="str">
        <f t="shared" si="81"/>
        <v>na</v>
      </c>
      <c r="T159" s="1426" t="str">
        <f t="shared" si="82"/>
        <v>na</v>
      </c>
      <c r="U159" s="1426" t="str">
        <f t="shared" si="83"/>
        <v>na</v>
      </c>
      <c r="V159" s="1415" t="str">
        <f t="shared" si="84"/>
        <v>na</v>
      </c>
      <c r="W159" s="1399" t="str">
        <f t="shared" si="85"/>
        <v>na</v>
      </c>
      <c r="X159" s="1399" t="str">
        <f t="shared" si="86"/>
        <v>na</v>
      </c>
      <c r="Y159" s="1399" t="str">
        <f t="shared" si="87"/>
        <v>na</v>
      </c>
      <c r="Z159" s="716" t="str">
        <f t="shared" si="88"/>
        <v>na</v>
      </c>
      <c r="AB159" s="1062"/>
    </row>
    <row r="160" spans="1:28" ht="13.9" customHeight="1" x14ac:dyDescent="0.25">
      <c r="A160" s="846">
        <f>Chem!A160</f>
        <v>158</v>
      </c>
      <c r="B160" s="916" t="str">
        <f>Chem!B160</f>
        <v>sec-Butylbenzene</v>
      </c>
      <c r="C160" s="2305" t="str">
        <f>Param!AK160</f>
        <v>no</v>
      </c>
      <c r="D160" s="384" t="str">
        <f>IF(C160="YES",Param!V160,"no calc")</f>
        <v>no calc</v>
      </c>
      <c r="E160" s="552" t="str">
        <f>IF(C160="YES",Param!X160,"no calc")</f>
        <v>no calc</v>
      </c>
      <c r="F160" s="384" t="str">
        <f>IF(C160="YES",Param!O160,"no calc")</f>
        <v>no calc</v>
      </c>
      <c r="G160" s="622" t="str">
        <f>IF(C160="YES",Param!S160,"no calc")</f>
        <v>no calc</v>
      </c>
      <c r="H160" s="622" t="str">
        <f>IF(C160="YES",Param!AD160,"no calc")</f>
        <v>no calc</v>
      </c>
      <c r="I160" s="596" t="str">
        <f>IF(C160="YES",Param!AE160,"no calc")</f>
        <v>no calc</v>
      </c>
      <c r="J160" s="582" t="str">
        <f>IF(OR($D160="na",$D160="no calc"),"na",0.000001*Eqtn!D$419/(Eqtn!D$415*$H160*$D160+Eqtn!D$420*$I160*$E160))</f>
        <v>na</v>
      </c>
      <c r="K160" s="582" t="str">
        <f>IF(OR($D160="na",$D160="no calc"),"na",0.000001*Eqtn!E$419/(Eqtn!E$415*$H160*$D160+Eqtn!E$420*$I160*$E160))</f>
        <v>na</v>
      </c>
      <c r="L160" s="582" t="str">
        <f>IF(OR($D160="na",$D160="no calc"),"na",0.000001*Eqtn!F$419/(Eqtn!F$415*$H160*$D160+Eqtn!F$420*$I160*$E160))</f>
        <v>na</v>
      </c>
      <c r="M160" s="348" t="str">
        <f>IF(OR($D160="na",$D160="no calc"),"na",0.00001*Eqtn!D$419/(Eqtn!D$415*$H160*$D160+Eqtn!D$420*$I160*$E160))</f>
        <v>na</v>
      </c>
      <c r="N160" s="348" t="str">
        <f>IF(OR($D160="na",$D160="no calc"),"na",0.00001*Eqtn!E$419/(Eqtn!E$415*$H160*$D160+Eqtn!E$420*$I160*$E160))</f>
        <v>na</v>
      </c>
      <c r="O160" s="695" t="str">
        <f>IF(OR($D160="na",$D160="no calc"),"na",0.00001*Eqtn!F$419/(Eqtn!F$415*$H160*$D160+Eqtn!F$420*$I160*$E160))</f>
        <v>na</v>
      </c>
      <c r="P160" s="806" t="str">
        <f>IF(OR($F160="na",$F160="no calc"),"na",1*Eqtn!D$451/(Eqtn!D$447*$H160/$F160+Eqtn!D$452*$I160/$G160))</f>
        <v>na</v>
      </c>
      <c r="Q160" s="806" t="str">
        <f>IF(OR($F160="na",$F160="no calc"),"na",1*Eqtn!E$451/(Eqtn!E$447*$H160/$F160+Eqtn!E$452*$I160/$G160))</f>
        <v>na</v>
      </c>
      <c r="R160" s="806" t="str">
        <f>IF(OR($F160="na",$F160="no calc"),"na",1*Eqtn!F$451/(Eqtn!F$447*$H160/$F160+Eqtn!F$452*$I160/$G160))</f>
        <v>na</v>
      </c>
      <c r="S160" s="1426" t="str">
        <f t="shared" si="81"/>
        <v>na</v>
      </c>
      <c r="T160" s="1426" t="str">
        <f t="shared" si="82"/>
        <v>na</v>
      </c>
      <c r="U160" s="1426" t="str">
        <f t="shared" si="83"/>
        <v>na</v>
      </c>
      <c r="V160" s="1415" t="str">
        <f t="shared" si="84"/>
        <v>na</v>
      </c>
      <c r="W160" s="1399" t="str">
        <f t="shared" si="85"/>
        <v>na</v>
      </c>
      <c r="X160" s="1399" t="str">
        <f t="shared" si="86"/>
        <v>na</v>
      </c>
      <c r="Y160" s="1399" t="str">
        <f t="shared" si="87"/>
        <v>na</v>
      </c>
      <c r="Z160" s="716" t="str">
        <f t="shared" si="88"/>
        <v>na</v>
      </c>
      <c r="AB160" s="1062"/>
    </row>
    <row r="161" spans="1:28" ht="13.9" customHeight="1" x14ac:dyDescent="0.25">
      <c r="A161" s="846">
        <f>Chem!A161</f>
        <v>159</v>
      </c>
      <c r="B161" s="916" t="str">
        <f>Chem!B161</f>
        <v>tert-Butylbenzene</v>
      </c>
      <c r="C161" s="2305" t="str">
        <f>Param!AK161</f>
        <v>no</v>
      </c>
      <c r="D161" s="384" t="str">
        <f>IF(C161="YES",Param!V161,"no calc")</f>
        <v>no calc</v>
      </c>
      <c r="E161" s="552" t="str">
        <f>IF(C161="YES",Param!X161,"no calc")</f>
        <v>no calc</v>
      </c>
      <c r="F161" s="384" t="str">
        <f>IF(C161="YES",Param!O161,"no calc")</f>
        <v>no calc</v>
      </c>
      <c r="G161" s="622" t="str">
        <f>IF(C161="YES",Param!S161,"no calc")</f>
        <v>no calc</v>
      </c>
      <c r="H161" s="622" t="str">
        <f>IF(C161="YES",Param!AD161,"no calc")</f>
        <v>no calc</v>
      </c>
      <c r="I161" s="596" t="str">
        <f>IF(C161="YES",Param!AE161,"no calc")</f>
        <v>no calc</v>
      </c>
      <c r="J161" s="582" t="str">
        <f>IF(OR($D161="na",$D161="no calc"),"na",0.000001*Eqtn!D$419/(Eqtn!D$415*$H161*$D161+Eqtn!D$420*$I161*$E161))</f>
        <v>na</v>
      </c>
      <c r="K161" s="582" t="str">
        <f>IF(OR($D161="na",$D161="no calc"),"na",0.000001*Eqtn!E$419/(Eqtn!E$415*$H161*$D161+Eqtn!E$420*$I161*$E161))</f>
        <v>na</v>
      </c>
      <c r="L161" s="582" t="str">
        <f>IF(OR($D161="na",$D161="no calc"),"na",0.000001*Eqtn!F$419/(Eqtn!F$415*$H161*$D161+Eqtn!F$420*$I161*$E161))</f>
        <v>na</v>
      </c>
      <c r="M161" s="348" t="str">
        <f>IF(OR($D161="na",$D161="no calc"),"na",0.00001*Eqtn!D$419/(Eqtn!D$415*$H161*$D161+Eqtn!D$420*$I161*$E161))</f>
        <v>na</v>
      </c>
      <c r="N161" s="348" t="str">
        <f>IF(OR($D161="na",$D161="no calc"),"na",0.00001*Eqtn!E$419/(Eqtn!E$415*$H161*$D161+Eqtn!E$420*$I161*$E161))</f>
        <v>na</v>
      </c>
      <c r="O161" s="695" t="str">
        <f>IF(OR($D161="na",$D161="no calc"),"na",0.00001*Eqtn!F$419/(Eqtn!F$415*$H161*$D161+Eqtn!F$420*$I161*$E161))</f>
        <v>na</v>
      </c>
      <c r="P161" s="806" t="str">
        <f>IF(OR($F161="na",$F161="no calc"),"na",1*Eqtn!D$451/(Eqtn!D$447*$H161/$F161+Eqtn!D$452*$I161/$G161))</f>
        <v>na</v>
      </c>
      <c r="Q161" s="806" t="str">
        <f>IF(OR($F161="na",$F161="no calc"),"na",1*Eqtn!E$451/(Eqtn!E$447*$H161/$F161+Eqtn!E$452*$I161/$G161))</f>
        <v>na</v>
      </c>
      <c r="R161" s="806" t="str">
        <f>IF(OR($F161="na",$F161="no calc"),"na",1*Eqtn!F$451/(Eqtn!F$447*$H161/$F161+Eqtn!F$452*$I161/$G161))</f>
        <v>na</v>
      </c>
      <c r="S161" s="1426" t="str">
        <f t="shared" si="81"/>
        <v>na</v>
      </c>
      <c r="T161" s="1426" t="str">
        <f t="shared" si="82"/>
        <v>na</v>
      </c>
      <c r="U161" s="1426" t="str">
        <f t="shared" si="83"/>
        <v>na</v>
      </c>
      <c r="V161" s="1415" t="str">
        <f t="shared" si="84"/>
        <v>na</v>
      </c>
      <c r="W161" s="1399" t="str">
        <f t="shared" si="85"/>
        <v>na</v>
      </c>
      <c r="X161" s="1399" t="str">
        <f t="shared" si="86"/>
        <v>na</v>
      </c>
      <c r="Y161" s="1399" t="str">
        <f t="shared" si="87"/>
        <v>na</v>
      </c>
      <c r="Z161" s="716" t="str">
        <f t="shared" si="88"/>
        <v>na</v>
      </c>
      <c r="AB161" s="1062"/>
    </row>
    <row r="162" spans="1:28" ht="13.9" customHeight="1" x14ac:dyDescent="0.25">
      <c r="A162" s="846">
        <f>Chem!A162</f>
        <v>160</v>
      </c>
      <c r="B162" s="916" t="str">
        <f>Chem!B162</f>
        <v>Carbon disulfide</v>
      </c>
      <c r="C162" s="2305" t="str">
        <f>Param!AK162</f>
        <v>no</v>
      </c>
      <c r="D162" s="384" t="str">
        <f>IF(C162="YES",Param!V162,"no calc")</f>
        <v>no calc</v>
      </c>
      <c r="E162" s="552" t="str">
        <f>IF(C162="YES",Param!X162,"no calc")</f>
        <v>no calc</v>
      </c>
      <c r="F162" s="384" t="str">
        <f>IF(C162="YES",Param!O162,"no calc")</f>
        <v>no calc</v>
      </c>
      <c r="G162" s="622" t="str">
        <f>IF(C162="YES",Param!S162,"no calc")</f>
        <v>no calc</v>
      </c>
      <c r="H162" s="622" t="str">
        <f>IF(C162="YES",Param!AD162,"no calc")</f>
        <v>no calc</v>
      </c>
      <c r="I162" s="596" t="str">
        <f>IF(C162="YES",Param!AE162,"no calc")</f>
        <v>no calc</v>
      </c>
      <c r="J162" s="582" t="str">
        <f>IF(OR($D162="na",$D162="no calc"),"na",0.000001*Eqtn!D$419/(Eqtn!D$415*$H162*$D162+Eqtn!D$420*$I162*$E162))</f>
        <v>na</v>
      </c>
      <c r="K162" s="582" t="str">
        <f>IF(OR($D162="na",$D162="no calc"),"na",0.000001*Eqtn!E$419/(Eqtn!E$415*$H162*$D162+Eqtn!E$420*$I162*$E162))</f>
        <v>na</v>
      </c>
      <c r="L162" s="582" t="str">
        <f>IF(OR($D162="na",$D162="no calc"),"na",0.000001*Eqtn!F$419/(Eqtn!F$415*$H162*$D162+Eqtn!F$420*$I162*$E162))</f>
        <v>na</v>
      </c>
      <c r="M162" s="348" t="str">
        <f>IF(OR($D162="na",$D162="no calc"),"na",0.00001*Eqtn!D$419/(Eqtn!D$415*$H162*$D162+Eqtn!D$420*$I162*$E162))</f>
        <v>na</v>
      </c>
      <c r="N162" s="348" t="str">
        <f>IF(OR($D162="na",$D162="no calc"),"na",0.00001*Eqtn!E$419/(Eqtn!E$415*$H162*$D162+Eqtn!E$420*$I162*$E162))</f>
        <v>na</v>
      </c>
      <c r="O162" s="695" t="str">
        <f>IF(OR($D162="na",$D162="no calc"),"na",0.00001*Eqtn!F$419/(Eqtn!F$415*$H162*$D162+Eqtn!F$420*$I162*$E162))</f>
        <v>na</v>
      </c>
      <c r="P162" s="806" t="str">
        <f>IF(OR($F162="na",$F162="no calc"),"na",1*Eqtn!D$451/(Eqtn!D$447*$H162/$F162+Eqtn!D$452*$I162/$G162))</f>
        <v>na</v>
      </c>
      <c r="Q162" s="806" t="str">
        <f>IF(OR($F162="na",$F162="no calc"),"na",1*Eqtn!E$451/(Eqtn!E$447*$H162/$F162+Eqtn!E$452*$I162/$G162))</f>
        <v>na</v>
      </c>
      <c r="R162" s="806" t="str">
        <f>IF(OR($F162="na",$F162="no calc"),"na",1*Eqtn!F$451/(Eqtn!F$447*$H162/$F162+Eqtn!F$452*$I162/$G162))</f>
        <v>na</v>
      </c>
      <c r="S162" s="1426" t="str">
        <f t="shared" si="81"/>
        <v>na</v>
      </c>
      <c r="T162" s="1426" t="str">
        <f t="shared" si="82"/>
        <v>na</v>
      </c>
      <c r="U162" s="1426" t="str">
        <f t="shared" si="83"/>
        <v>na</v>
      </c>
      <c r="V162" s="1415" t="str">
        <f t="shared" si="84"/>
        <v>na</v>
      </c>
      <c r="W162" s="1399" t="str">
        <f t="shared" si="85"/>
        <v>na</v>
      </c>
      <c r="X162" s="1399" t="str">
        <f t="shared" si="86"/>
        <v>na</v>
      </c>
      <c r="Y162" s="1399" t="str">
        <f t="shared" si="87"/>
        <v>na</v>
      </c>
      <c r="Z162" s="716" t="str">
        <f t="shared" si="88"/>
        <v>na</v>
      </c>
      <c r="AB162" s="1062"/>
    </row>
    <row r="163" spans="1:28" ht="13.9" customHeight="1" x14ac:dyDescent="0.25">
      <c r="A163" s="846">
        <f>Chem!A163</f>
        <v>161</v>
      </c>
      <c r="B163" s="916" t="str">
        <f>Chem!B163</f>
        <v>Carbon tetrachloride</v>
      </c>
      <c r="C163" s="2305" t="str">
        <f>Param!AK163</f>
        <v>no</v>
      </c>
      <c r="D163" s="384" t="str">
        <f>IF(C163="YES",Param!V163,"no calc")</f>
        <v>no calc</v>
      </c>
      <c r="E163" s="552" t="str">
        <f>IF(C163="YES",Param!X163,"no calc")</f>
        <v>no calc</v>
      </c>
      <c r="F163" s="384" t="str">
        <f>IF(C163="YES",Param!O163,"no calc")</f>
        <v>no calc</v>
      </c>
      <c r="G163" s="622" t="str">
        <f>IF(C163="YES",Param!S163,"no calc")</f>
        <v>no calc</v>
      </c>
      <c r="H163" s="622" t="str">
        <f>IF(C163="YES",Param!AD163,"no calc")</f>
        <v>no calc</v>
      </c>
      <c r="I163" s="596" t="str">
        <f>IF(C163="YES",Param!AE163,"no calc")</f>
        <v>no calc</v>
      </c>
      <c r="J163" s="582" t="str">
        <f>IF(OR($D163="na",$D163="no calc"),"na",0.000001*Eqtn!D$419/(Eqtn!D$415*$H163*$D163+Eqtn!D$420*$I163*$E163))</f>
        <v>na</v>
      </c>
      <c r="K163" s="582" t="str">
        <f>IF(OR($D163="na",$D163="no calc"),"na",0.000001*Eqtn!E$419/(Eqtn!E$415*$H163*$D163+Eqtn!E$420*$I163*$E163))</f>
        <v>na</v>
      </c>
      <c r="L163" s="582" t="str">
        <f>IF(OR($D163="na",$D163="no calc"),"na",0.000001*Eqtn!F$419/(Eqtn!F$415*$H163*$D163+Eqtn!F$420*$I163*$E163))</f>
        <v>na</v>
      </c>
      <c r="M163" s="348" t="str">
        <f>IF(OR($D163="na",$D163="no calc"),"na",0.00001*Eqtn!D$419/(Eqtn!D$415*$H163*$D163+Eqtn!D$420*$I163*$E163))</f>
        <v>na</v>
      </c>
      <c r="N163" s="348" t="str">
        <f>IF(OR($D163="na",$D163="no calc"),"na",0.00001*Eqtn!E$419/(Eqtn!E$415*$H163*$D163+Eqtn!E$420*$I163*$E163))</f>
        <v>na</v>
      </c>
      <c r="O163" s="695" t="str">
        <f>IF(OR($D163="na",$D163="no calc"),"na",0.00001*Eqtn!F$419/(Eqtn!F$415*$H163*$D163+Eqtn!F$420*$I163*$E163))</f>
        <v>na</v>
      </c>
      <c r="P163" s="806" t="str">
        <f>IF(OR($F163="na",$F163="no calc"),"na",1*Eqtn!D$451/(Eqtn!D$447*$H163/$F163+Eqtn!D$452*$I163/$G163))</f>
        <v>na</v>
      </c>
      <c r="Q163" s="806" t="str">
        <f>IF(OR($F163="na",$F163="no calc"),"na",1*Eqtn!E$451/(Eqtn!E$447*$H163/$F163+Eqtn!E$452*$I163/$G163))</f>
        <v>na</v>
      </c>
      <c r="R163" s="806" t="str">
        <f>IF(OR($F163="na",$F163="no calc"),"na",1*Eqtn!F$451/(Eqtn!F$447*$H163/$F163+Eqtn!F$452*$I163/$G163))</f>
        <v>na</v>
      </c>
      <c r="S163" s="1426" t="str">
        <f t="shared" si="81"/>
        <v>na</v>
      </c>
      <c r="T163" s="1426" t="str">
        <f t="shared" si="82"/>
        <v>na</v>
      </c>
      <c r="U163" s="1426" t="str">
        <f t="shared" si="83"/>
        <v>na</v>
      </c>
      <c r="V163" s="1415" t="str">
        <f t="shared" si="84"/>
        <v>na</v>
      </c>
      <c r="W163" s="1399" t="str">
        <f t="shared" si="85"/>
        <v>na</v>
      </c>
      <c r="X163" s="1399" t="str">
        <f t="shared" si="86"/>
        <v>na</v>
      </c>
      <c r="Y163" s="1399" t="str">
        <f t="shared" si="87"/>
        <v>na</v>
      </c>
      <c r="Z163" s="716" t="str">
        <f t="shared" si="88"/>
        <v>na</v>
      </c>
      <c r="AB163" s="1062"/>
    </row>
    <row r="164" spans="1:28" ht="13.9" customHeight="1" x14ac:dyDescent="0.25">
      <c r="A164" s="846">
        <f>Chem!A164</f>
        <v>162</v>
      </c>
      <c r="B164" s="916" t="str">
        <f>Chem!B164</f>
        <v>Chlorobenzene</v>
      </c>
      <c r="C164" s="2305" t="str">
        <f>Param!AK164</f>
        <v>no</v>
      </c>
      <c r="D164" s="384" t="str">
        <f>IF(C164="YES",Param!V164,"no calc")</f>
        <v>no calc</v>
      </c>
      <c r="E164" s="552" t="str">
        <f>IF(C164="YES",Param!X164,"no calc")</f>
        <v>no calc</v>
      </c>
      <c r="F164" s="384" t="str">
        <f>IF(C164="YES",Param!O164,"no calc")</f>
        <v>no calc</v>
      </c>
      <c r="G164" s="622" t="str">
        <f>IF(C164="YES",Param!S164,"no calc")</f>
        <v>no calc</v>
      </c>
      <c r="H164" s="622" t="str">
        <f>IF(C164="YES",Param!AD164,"no calc")</f>
        <v>no calc</v>
      </c>
      <c r="I164" s="596" t="str">
        <f>IF(C164="YES",Param!AE164,"no calc")</f>
        <v>no calc</v>
      </c>
      <c r="J164" s="582" t="str">
        <f>IF(OR($D164="na",$D164="no calc"),"na",0.000001*Eqtn!D$419/(Eqtn!D$415*$H164*$D164+Eqtn!D$420*$I164*$E164))</f>
        <v>na</v>
      </c>
      <c r="K164" s="582" t="str">
        <f>IF(OR($D164="na",$D164="no calc"),"na",0.000001*Eqtn!E$419/(Eqtn!E$415*$H164*$D164+Eqtn!E$420*$I164*$E164))</f>
        <v>na</v>
      </c>
      <c r="L164" s="582" t="str">
        <f>IF(OR($D164="na",$D164="no calc"),"na",0.000001*Eqtn!F$419/(Eqtn!F$415*$H164*$D164+Eqtn!F$420*$I164*$E164))</f>
        <v>na</v>
      </c>
      <c r="M164" s="348" t="str">
        <f>IF(OR($D164="na",$D164="no calc"),"na",0.00001*Eqtn!D$419/(Eqtn!D$415*$H164*$D164+Eqtn!D$420*$I164*$E164))</f>
        <v>na</v>
      </c>
      <c r="N164" s="348" t="str">
        <f>IF(OR($D164="na",$D164="no calc"),"na",0.00001*Eqtn!E$419/(Eqtn!E$415*$H164*$D164+Eqtn!E$420*$I164*$E164))</f>
        <v>na</v>
      </c>
      <c r="O164" s="695" t="str">
        <f>IF(OR($D164="na",$D164="no calc"),"na",0.00001*Eqtn!F$419/(Eqtn!F$415*$H164*$D164+Eqtn!F$420*$I164*$E164))</f>
        <v>na</v>
      </c>
      <c r="P164" s="806" t="str">
        <f>IF(OR($F164="na",$F164="no calc"),"na",1*Eqtn!D$451/(Eqtn!D$447*$H164/$F164+Eqtn!D$452*$I164/$G164))</f>
        <v>na</v>
      </c>
      <c r="Q164" s="806" t="str">
        <f>IF(OR($F164="na",$F164="no calc"),"na",1*Eqtn!E$451/(Eqtn!E$447*$H164/$F164+Eqtn!E$452*$I164/$G164))</f>
        <v>na</v>
      </c>
      <c r="R164" s="806" t="str">
        <f>IF(OR($F164="na",$F164="no calc"),"na",1*Eqtn!F$451/(Eqtn!F$447*$H164/$F164+Eqtn!F$452*$I164/$G164))</f>
        <v>na</v>
      </c>
      <c r="S164" s="1426" t="str">
        <f t="shared" si="81"/>
        <v>na</v>
      </c>
      <c r="T164" s="1426" t="str">
        <f t="shared" si="82"/>
        <v>na</v>
      </c>
      <c r="U164" s="1426" t="str">
        <f t="shared" si="83"/>
        <v>na</v>
      </c>
      <c r="V164" s="1415" t="str">
        <f t="shared" si="84"/>
        <v>na</v>
      </c>
      <c r="W164" s="1399" t="str">
        <f t="shared" si="85"/>
        <v>na</v>
      </c>
      <c r="X164" s="1399" t="str">
        <f t="shared" si="86"/>
        <v>na</v>
      </c>
      <c r="Y164" s="1399" t="str">
        <f t="shared" si="87"/>
        <v>na</v>
      </c>
      <c r="Z164" s="716" t="str">
        <f t="shared" si="88"/>
        <v>na</v>
      </c>
      <c r="AB164" s="1062"/>
    </row>
    <row r="165" spans="1:28" ht="13.9" customHeight="1" x14ac:dyDescent="0.25">
      <c r="A165" s="846">
        <f>Chem!A165</f>
        <v>163</v>
      </c>
      <c r="B165" s="916" t="str">
        <f>Chem!B165</f>
        <v>Chloroethane</v>
      </c>
      <c r="C165" s="2305" t="str">
        <f>Param!AK165</f>
        <v>no</v>
      </c>
      <c r="D165" s="384" t="str">
        <f>IF(C165="YES",Param!V165,"no calc")</f>
        <v>no calc</v>
      </c>
      <c r="E165" s="552" t="str">
        <f>IF(C165="YES",Param!X165,"no calc")</f>
        <v>no calc</v>
      </c>
      <c r="F165" s="384" t="str">
        <f>IF(C165="YES",Param!O165,"no calc")</f>
        <v>no calc</v>
      </c>
      <c r="G165" s="622" t="str">
        <f>IF(C165="YES",Param!S165,"no calc")</f>
        <v>no calc</v>
      </c>
      <c r="H165" s="622" t="str">
        <f>IF(C165="YES",Param!AD165,"no calc")</f>
        <v>no calc</v>
      </c>
      <c r="I165" s="596" t="str">
        <f>IF(C165="YES",Param!AE165,"no calc")</f>
        <v>no calc</v>
      </c>
      <c r="J165" s="582" t="str">
        <f>IF(OR($D165="na",$D165="no calc"),"na",0.000001*Eqtn!D$419/(Eqtn!D$415*$H165*$D165+Eqtn!D$420*$I165*$E165))</f>
        <v>na</v>
      </c>
      <c r="K165" s="582" t="str">
        <f>IF(OR($D165="na",$D165="no calc"),"na",0.000001*Eqtn!E$419/(Eqtn!E$415*$H165*$D165+Eqtn!E$420*$I165*$E165))</f>
        <v>na</v>
      </c>
      <c r="L165" s="582" t="str">
        <f>IF(OR($D165="na",$D165="no calc"),"na",0.000001*Eqtn!F$419/(Eqtn!F$415*$H165*$D165+Eqtn!F$420*$I165*$E165))</f>
        <v>na</v>
      </c>
      <c r="M165" s="348" t="str">
        <f>IF(OR($D165="na",$D165="no calc"),"na",0.00001*Eqtn!D$419/(Eqtn!D$415*$H165*$D165+Eqtn!D$420*$I165*$E165))</f>
        <v>na</v>
      </c>
      <c r="N165" s="348" t="str">
        <f>IF(OR($D165="na",$D165="no calc"),"na",0.00001*Eqtn!E$419/(Eqtn!E$415*$H165*$D165+Eqtn!E$420*$I165*$E165))</f>
        <v>na</v>
      </c>
      <c r="O165" s="695" t="str">
        <f>IF(OR($D165="na",$D165="no calc"),"na",0.00001*Eqtn!F$419/(Eqtn!F$415*$H165*$D165+Eqtn!F$420*$I165*$E165))</f>
        <v>na</v>
      </c>
      <c r="P165" s="806" t="str">
        <f>IF(OR($F165="na",$F165="no calc"),"na",1*Eqtn!D$451/(Eqtn!D$447*$H165/$F165+Eqtn!D$452*$I165/$G165))</f>
        <v>na</v>
      </c>
      <c r="Q165" s="806" t="str">
        <f>IF(OR($F165="na",$F165="no calc"),"na",1*Eqtn!E$451/(Eqtn!E$447*$H165/$F165+Eqtn!E$452*$I165/$G165))</f>
        <v>na</v>
      </c>
      <c r="R165" s="806" t="str">
        <f>IF(OR($F165="na",$F165="no calc"),"na",1*Eqtn!F$451/(Eqtn!F$447*$H165/$F165+Eqtn!F$452*$I165/$G165))</f>
        <v>na</v>
      </c>
      <c r="S165" s="1426" t="str">
        <f t="shared" si="81"/>
        <v>na</v>
      </c>
      <c r="T165" s="1426" t="str">
        <f t="shared" si="82"/>
        <v>na</v>
      </c>
      <c r="U165" s="1426" t="str">
        <f t="shared" si="83"/>
        <v>na</v>
      </c>
      <c r="V165" s="1415" t="str">
        <f t="shared" si="84"/>
        <v>na</v>
      </c>
      <c r="W165" s="1399" t="str">
        <f t="shared" si="85"/>
        <v>na</v>
      </c>
      <c r="X165" s="1399" t="str">
        <f t="shared" si="86"/>
        <v>na</v>
      </c>
      <c r="Y165" s="1399" t="str">
        <f t="shared" si="87"/>
        <v>na</v>
      </c>
      <c r="Z165" s="716" t="str">
        <f t="shared" si="88"/>
        <v>na</v>
      </c>
      <c r="AB165" s="1062"/>
    </row>
    <row r="166" spans="1:28" ht="13.9" customHeight="1" x14ac:dyDescent="0.25">
      <c r="A166" s="846">
        <f>Chem!A166</f>
        <v>164</v>
      </c>
      <c r="B166" s="916" t="str">
        <f>Chem!B166</f>
        <v>2-Chloroethyl vinyl ether</v>
      </c>
      <c r="C166" s="2305" t="str">
        <f>Param!AK166</f>
        <v>no</v>
      </c>
      <c r="D166" s="384" t="str">
        <f>IF(C166="YES",Param!V166,"no calc")</f>
        <v>no calc</v>
      </c>
      <c r="E166" s="552" t="str">
        <f>IF(C166="YES",Param!X166,"no calc")</f>
        <v>no calc</v>
      </c>
      <c r="F166" s="384" t="str">
        <f>IF(C166="YES",Param!O166,"no calc")</f>
        <v>no calc</v>
      </c>
      <c r="G166" s="622" t="str">
        <f>IF(C166="YES",Param!S166,"no calc")</f>
        <v>no calc</v>
      </c>
      <c r="H166" s="622" t="str">
        <f>IF(C166="YES",Param!AD166,"no calc")</f>
        <v>no calc</v>
      </c>
      <c r="I166" s="596" t="str">
        <f>IF(C166="YES",Param!AE166,"no calc")</f>
        <v>no calc</v>
      </c>
      <c r="J166" s="582" t="str">
        <f>IF(OR($D166="na",$D166="no calc"),"na",0.000001*Eqtn!D$419/(Eqtn!D$415*$H166*$D166+Eqtn!D$420*$I166*$E166))</f>
        <v>na</v>
      </c>
      <c r="K166" s="582" t="str">
        <f>IF(OR($D166="na",$D166="no calc"),"na",0.000001*Eqtn!E$419/(Eqtn!E$415*$H166*$D166+Eqtn!E$420*$I166*$E166))</f>
        <v>na</v>
      </c>
      <c r="L166" s="582" t="str">
        <f>IF(OR($D166="na",$D166="no calc"),"na",0.000001*Eqtn!F$419/(Eqtn!F$415*$H166*$D166+Eqtn!F$420*$I166*$E166))</f>
        <v>na</v>
      </c>
      <c r="M166" s="348" t="str">
        <f>IF(OR($D166="na",$D166="no calc"),"na",0.00001*Eqtn!D$419/(Eqtn!D$415*$H166*$D166+Eqtn!D$420*$I166*$E166))</f>
        <v>na</v>
      </c>
      <c r="N166" s="348" t="str">
        <f>IF(OR($D166="na",$D166="no calc"),"na",0.00001*Eqtn!E$419/(Eqtn!E$415*$H166*$D166+Eqtn!E$420*$I166*$E166))</f>
        <v>na</v>
      </c>
      <c r="O166" s="695" t="str">
        <f>IF(OR($D166="na",$D166="no calc"),"na",0.00001*Eqtn!F$419/(Eqtn!F$415*$H166*$D166+Eqtn!F$420*$I166*$E166))</f>
        <v>na</v>
      </c>
      <c r="P166" s="806" t="str">
        <f>IF(OR($F166="na",$F166="no calc"),"na",1*Eqtn!D$451/(Eqtn!D$447*$H166/$F166+Eqtn!D$452*$I166/$G166))</f>
        <v>na</v>
      </c>
      <c r="Q166" s="806" t="str">
        <f>IF(OR($F166="na",$F166="no calc"),"na",1*Eqtn!E$451/(Eqtn!E$447*$H166/$F166+Eqtn!E$452*$I166/$G166))</f>
        <v>na</v>
      </c>
      <c r="R166" s="806" t="str">
        <f>IF(OR($F166="na",$F166="no calc"),"na",1*Eqtn!F$451/(Eqtn!F$447*$H166/$F166+Eqtn!F$452*$I166/$G166))</f>
        <v>na</v>
      </c>
      <c r="S166" s="1426" t="str">
        <f t="shared" si="81"/>
        <v>na</v>
      </c>
      <c r="T166" s="1426" t="str">
        <f t="shared" si="82"/>
        <v>na</v>
      </c>
      <c r="U166" s="1426" t="str">
        <f t="shared" si="83"/>
        <v>na</v>
      </c>
      <c r="V166" s="1415" t="str">
        <f t="shared" si="84"/>
        <v>na</v>
      </c>
      <c r="W166" s="1399" t="str">
        <f t="shared" si="85"/>
        <v>na</v>
      </c>
      <c r="X166" s="1399" t="str">
        <f t="shared" si="86"/>
        <v>na</v>
      </c>
      <c r="Y166" s="1399" t="str">
        <f t="shared" si="87"/>
        <v>na</v>
      </c>
      <c r="Z166" s="716" t="str">
        <f t="shared" si="88"/>
        <v>na</v>
      </c>
      <c r="AB166" s="1062"/>
    </row>
    <row r="167" spans="1:28" ht="13.9" customHeight="1" x14ac:dyDescent="0.25">
      <c r="A167" s="846">
        <f>Chem!A167</f>
        <v>165</v>
      </c>
      <c r="B167" s="916" t="str">
        <f>Chem!B167</f>
        <v>Chloroform</v>
      </c>
      <c r="C167" s="2305" t="str">
        <f>Param!AK167</f>
        <v>no</v>
      </c>
      <c r="D167" s="384" t="str">
        <f>IF(C167="YES",Param!V167,"no calc")</f>
        <v>no calc</v>
      </c>
      <c r="E167" s="552" t="str">
        <f>IF(C167="YES",Param!X167,"no calc")</f>
        <v>no calc</v>
      </c>
      <c r="F167" s="384" t="str">
        <f>IF(C167="YES",Param!O167,"no calc")</f>
        <v>no calc</v>
      </c>
      <c r="G167" s="622" t="str">
        <f>IF(C167="YES",Param!S167,"no calc")</f>
        <v>no calc</v>
      </c>
      <c r="H167" s="622" t="str">
        <f>IF(C167="YES",Param!AD167,"no calc")</f>
        <v>no calc</v>
      </c>
      <c r="I167" s="596" t="str">
        <f>IF(C167="YES",Param!AE167,"no calc")</f>
        <v>no calc</v>
      </c>
      <c r="J167" s="582" t="str">
        <f>IF(OR($D167="na",$D167="no calc"),"na",0.000001*Eqtn!D$419/(Eqtn!D$415*$H167*$D167+Eqtn!D$420*$I167*$E167))</f>
        <v>na</v>
      </c>
      <c r="K167" s="582" t="str">
        <f>IF(OR($D167="na",$D167="no calc"),"na",0.000001*Eqtn!E$419/(Eqtn!E$415*$H167*$D167+Eqtn!E$420*$I167*$E167))</f>
        <v>na</v>
      </c>
      <c r="L167" s="582" t="str">
        <f>IF(OR($D167="na",$D167="no calc"),"na",0.000001*Eqtn!F$419/(Eqtn!F$415*$H167*$D167+Eqtn!F$420*$I167*$E167))</f>
        <v>na</v>
      </c>
      <c r="M167" s="348" t="str">
        <f>IF(OR($D167="na",$D167="no calc"),"na",0.00001*Eqtn!D$419/(Eqtn!D$415*$H167*$D167+Eqtn!D$420*$I167*$E167))</f>
        <v>na</v>
      </c>
      <c r="N167" s="348" t="str">
        <f>IF(OR($D167="na",$D167="no calc"),"na",0.00001*Eqtn!E$419/(Eqtn!E$415*$H167*$D167+Eqtn!E$420*$I167*$E167))</f>
        <v>na</v>
      </c>
      <c r="O167" s="695" t="str">
        <f>IF(OR($D167="na",$D167="no calc"),"na",0.00001*Eqtn!F$419/(Eqtn!F$415*$H167*$D167+Eqtn!F$420*$I167*$E167))</f>
        <v>na</v>
      </c>
      <c r="P167" s="806" t="str">
        <f>IF(OR($F167="na",$F167="no calc"),"na",1*Eqtn!D$451/(Eqtn!D$447*$H167/$F167+Eqtn!D$452*$I167/$G167))</f>
        <v>na</v>
      </c>
      <c r="Q167" s="806" t="str">
        <f>IF(OR($F167="na",$F167="no calc"),"na",1*Eqtn!E$451/(Eqtn!E$447*$H167/$F167+Eqtn!E$452*$I167/$G167))</f>
        <v>na</v>
      </c>
      <c r="R167" s="806" t="str">
        <f>IF(OR($F167="na",$F167="no calc"),"na",1*Eqtn!F$451/(Eqtn!F$447*$H167/$F167+Eqtn!F$452*$I167/$G167))</f>
        <v>na</v>
      </c>
      <c r="S167" s="1426" t="str">
        <f t="shared" si="81"/>
        <v>na</v>
      </c>
      <c r="T167" s="1426" t="str">
        <f t="shared" si="82"/>
        <v>na</v>
      </c>
      <c r="U167" s="1426" t="str">
        <f t="shared" si="83"/>
        <v>na</v>
      </c>
      <c r="V167" s="1415" t="str">
        <f t="shared" si="84"/>
        <v>na</v>
      </c>
      <c r="W167" s="1399" t="str">
        <f t="shared" si="85"/>
        <v>na</v>
      </c>
      <c r="X167" s="1399" t="str">
        <f t="shared" si="86"/>
        <v>na</v>
      </c>
      <c r="Y167" s="1399" t="str">
        <f t="shared" si="87"/>
        <v>na</v>
      </c>
      <c r="Z167" s="716" t="str">
        <f t="shared" si="88"/>
        <v>na</v>
      </c>
      <c r="AB167" s="1062"/>
    </row>
    <row r="168" spans="1:28" ht="13.9" customHeight="1" x14ac:dyDescent="0.25">
      <c r="A168" s="846">
        <f>Chem!A168</f>
        <v>166</v>
      </c>
      <c r="B168" s="916" t="str">
        <f>Chem!B168</f>
        <v>Chloromethane</v>
      </c>
      <c r="C168" s="2305" t="str">
        <f>Param!AK168</f>
        <v>no</v>
      </c>
      <c r="D168" s="384" t="str">
        <f>IF(C168="YES",Param!V168,"no calc")</f>
        <v>no calc</v>
      </c>
      <c r="E168" s="552" t="str">
        <f>IF(C168="YES",Param!X168,"no calc")</f>
        <v>no calc</v>
      </c>
      <c r="F168" s="384" t="str">
        <f>IF(C168="YES",Param!O168,"no calc")</f>
        <v>no calc</v>
      </c>
      <c r="G168" s="622" t="str">
        <f>IF(C168="YES",Param!S168,"no calc")</f>
        <v>no calc</v>
      </c>
      <c r="H168" s="622" t="str">
        <f>IF(C168="YES",Param!AD168,"no calc")</f>
        <v>no calc</v>
      </c>
      <c r="I168" s="596" t="str">
        <f>IF(C168="YES",Param!AE168,"no calc")</f>
        <v>no calc</v>
      </c>
      <c r="J168" s="582" t="str">
        <f>IF(OR($D168="na",$D168="no calc"),"na",0.000001*Eqtn!D$419/(Eqtn!D$415*$H168*$D168+Eqtn!D$420*$I168*$E168))</f>
        <v>na</v>
      </c>
      <c r="K168" s="582" t="str">
        <f>IF(OR($D168="na",$D168="no calc"),"na",0.000001*Eqtn!E$419/(Eqtn!E$415*$H168*$D168+Eqtn!E$420*$I168*$E168))</f>
        <v>na</v>
      </c>
      <c r="L168" s="582" t="str">
        <f>IF(OR($D168="na",$D168="no calc"),"na",0.000001*Eqtn!F$419/(Eqtn!F$415*$H168*$D168+Eqtn!F$420*$I168*$E168))</f>
        <v>na</v>
      </c>
      <c r="M168" s="348" t="str">
        <f>IF(OR($D168="na",$D168="no calc"),"na",0.00001*Eqtn!D$419/(Eqtn!D$415*$H168*$D168+Eqtn!D$420*$I168*$E168))</f>
        <v>na</v>
      </c>
      <c r="N168" s="348" t="str">
        <f>IF(OR($D168="na",$D168="no calc"),"na",0.00001*Eqtn!E$419/(Eqtn!E$415*$H168*$D168+Eqtn!E$420*$I168*$E168))</f>
        <v>na</v>
      </c>
      <c r="O168" s="695" t="str">
        <f>IF(OR($D168="na",$D168="no calc"),"na",0.00001*Eqtn!F$419/(Eqtn!F$415*$H168*$D168+Eqtn!F$420*$I168*$E168))</f>
        <v>na</v>
      </c>
      <c r="P168" s="806" t="str">
        <f>IF(OR($F168="na",$F168="no calc"),"na",1*Eqtn!D$451/(Eqtn!D$447*$H168/$F168+Eqtn!D$452*$I168/$G168))</f>
        <v>na</v>
      </c>
      <c r="Q168" s="806" t="str">
        <f>IF(OR($F168="na",$F168="no calc"),"na",1*Eqtn!E$451/(Eqtn!E$447*$H168/$F168+Eqtn!E$452*$I168/$G168))</f>
        <v>na</v>
      </c>
      <c r="R168" s="806" t="str">
        <f>IF(OR($F168="na",$F168="no calc"),"na",1*Eqtn!F$451/(Eqtn!F$447*$H168/$F168+Eqtn!F$452*$I168/$G168))</f>
        <v>na</v>
      </c>
      <c r="S168" s="1426" t="str">
        <f t="shared" si="81"/>
        <v>na</v>
      </c>
      <c r="T168" s="1426" t="str">
        <f t="shared" si="82"/>
        <v>na</v>
      </c>
      <c r="U168" s="1426" t="str">
        <f t="shared" si="83"/>
        <v>na</v>
      </c>
      <c r="V168" s="1415" t="str">
        <f t="shared" si="84"/>
        <v>na</v>
      </c>
      <c r="W168" s="1399" t="str">
        <f t="shared" si="85"/>
        <v>na</v>
      </c>
      <c r="X168" s="1399" t="str">
        <f t="shared" si="86"/>
        <v>na</v>
      </c>
      <c r="Y168" s="1399" t="str">
        <f t="shared" si="87"/>
        <v>na</v>
      </c>
      <c r="Z168" s="716" t="str">
        <f t="shared" si="88"/>
        <v>na</v>
      </c>
      <c r="AB168" s="1062"/>
    </row>
    <row r="169" spans="1:28" ht="13.9" customHeight="1" x14ac:dyDescent="0.25">
      <c r="A169" s="846">
        <f>Chem!A169</f>
        <v>167</v>
      </c>
      <c r="B169" s="916" t="str">
        <f>Chem!B169</f>
        <v>3-Chloro-1-propene (allyl chloride)</v>
      </c>
      <c r="C169" s="2305" t="str">
        <f>Param!AK169</f>
        <v>no</v>
      </c>
      <c r="D169" s="384" t="str">
        <f>IF(C169="YES",Param!V169,"no calc")</f>
        <v>no calc</v>
      </c>
      <c r="E169" s="552" t="str">
        <f>IF(C169="YES",Param!X169,"no calc")</f>
        <v>no calc</v>
      </c>
      <c r="F169" s="384" t="str">
        <f>IF(C169="YES",Param!O169,"no calc")</f>
        <v>no calc</v>
      </c>
      <c r="G169" s="622" t="str">
        <f>IF(C169="YES",Param!S169,"no calc")</f>
        <v>no calc</v>
      </c>
      <c r="H169" s="622" t="str">
        <f>IF(C169="YES",Param!AD169,"no calc")</f>
        <v>no calc</v>
      </c>
      <c r="I169" s="596" t="str">
        <f>IF(C169="YES",Param!AE169,"no calc")</f>
        <v>no calc</v>
      </c>
      <c r="J169" s="582" t="str">
        <f>IF(OR($D169="na",$D169="no calc"),"na",0.000001*Eqtn!D$419/(Eqtn!D$415*$H169*$D169+Eqtn!D$420*$I169*$E169))</f>
        <v>na</v>
      </c>
      <c r="K169" s="582" t="str">
        <f>IF(OR($D169="na",$D169="no calc"),"na",0.000001*Eqtn!E$419/(Eqtn!E$415*$H169*$D169+Eqtn!E$420*$I169*$E169))</f>
        <v>na</v>
      </c>
      <c r="L169" s="582" t="str">
        <f>IF(OR($D169="na",$D169="no calc"),"na",0.000001*Eqtn!F$419/(Eqtn!F$415*$H169*$D169+Eqtn!F$420*$I169*$E169))</f>
        <v>na</v>
      </c>
      <c r="M169" s="348" t="str">
        <f>IF(OR($D169="na",$D169="no calc"),"na",0.00001*Eqtn!D$419/(Eqtn!D$415*$H169*$D169+Eqtn!D$420*$I169*$E169))</f>
        <v>na</v>
      </c>
      <c r="N169" s="348" t="str">
        <f>IF(OR($D169="na",$D169="no calc"),"na",0.00001*Eqtn!E$419/(Eqtn!E$415*$H169*$D169+Eqtn!E$420*$I169*$E169))</f>
        <v>na</v>
      </c>
      <c r="O169" s="695" t="str">
        <f>IF(OR($D169="na",$D169="no calc"),"na",0.00001*Eqtn!F$419/(Eqtn!F$415*$H169*$D169+Eqtn!F$420*$I169*$E169))</f>
        <v>na</v>
      </c>
      <c r="P169" s="806" t="str">
        <f>IF(OR($F169="na",$F169="no calc"),"na",1*Eqtn!D$451/(Eqtn!D$447*$H169/$F169+Eqtn!D$452*$I169/$G169))</f>
        <v>na</v>
      </c>
      <c r="Q169" s="806" t="str">
        <f>IF(OR($F169="na",$F169="no calc"),"na",1*Eqtn!E$451/(Eqtn!E$447*$H169/$F169+Eqtn!E$452*$I169/$G169))</f>
        <v>na</v>
      </c>
      <c r="R169" s="806" t="str">
        <f>IF(OR($F169="na",$F169="no calc"),"na",1*Eqtn!F$451/(Eqtn!F$447*$H169/$F169+Eqtn!F$452*$I169/$G169))</f>
        <v>na</v>
      </c>
      <c r="S169" s="1426" t="str">
        <f t="shared" si="81"/>
        <v>na</v>
      </c>
      <c r="T169" s="1426" t="str">
        <f t="shared" si="82"/>
        <v>na</v>
      </c>
      <c r="U169" s="1426" t="str">
        <f t="shared" si="83"/>
        <v>na</v>
      </c>
      <c r="V169" s="1415" t="str">
        <f t="shared" si="84"/>
        <v>na</v>
      </c>
      <c r="W169" s="1399" t="str">
        <f t="shared" si="85"/>
        <v>na</v>
      </c>
      <c r="X169" s="1399" t="str">
        <f t="shared" si="86"/>
        <v>na</v>
      </c>
      <c r="Y169" s="1399" t="str">
        <f t="shared" si="87"/>
        <v>na</v>
      </c>
      <c r="Z169" s="716" t="str">
        <f t="shared" si="88"/>
        <v>na</v>
      </c>
      <c r="AB169" s="1062"/>
    </row>
    <row r="170" spans="1:28" ht="13.9" customHeight="1" x14ac:dyDescent="0.25">
      <c r="A170" s="846">
        <f>Chem!A170</f>
        <v>168</v>
      </c>
      <c r="B170" s="916" t="str">
        <f>Chem!B170</f>
        <v>2-Chlorotoluene</v>
      </c>
      <c r="C170" s="2305" t="str">
        <f>Param!AK170</f>
        <v>no</v>
      </c>
      <c r="D170" s="384" t="str">
        <f>IF(C170="YES",Param!V170,"no calc")</f>
        <v>no calc</v>
      </c>
      <c r="E170" s="552" t="str">
        <f>IF(C170="YES",Param!X170,"no calc")</f>
        <v>no calc</v>
      </c>
      <c r="F170" s="384" t="str">
        <f>IF(C170="YES",Param!O170,"no calc")</f>
        <v>no calc</v>
      </c>
      <c r="G170" s="622" t="str">
        <f>IF(C170="YES",Param!S170,"no calc")</f>
        <v>no calc</v>
      </c>
      <c r="H170" s="622" t="str">
        <f>IF(C170="YES",Param!AD170,"no calc")</f>
        <v>no calc</v>
      </c>
      <c r="I170" s="596" t="str">
        <f>IF(C170="YES",Param!AE170,"no calc")</f>
        <v>no calc</v>
      </c>
      <c r="J170" s="582" t="str">
        <f>IF(OR($D170="na",$D170="no calc"),"na",0.000001*Eqtn!D$419/(Eqtn!D$415*$H170*$D170+Eqtn!D$420*$I170*$E170))</f>
        <v>na</v>
      </c>
      <c r="K170" s="582" t="str">
        <f>IF(OR($D170="na",$D170="no calc"),"na",0.000001*Eqtn!E$419/(Eqtn!E$415*$H170*$D170+Eqtn!E$420*$I170*$E170))</f>
        <v>na</v>
      </c>
      <c r="L170" s="582" t="str">
        <f>IF(OR($D170="na",$D170="no calc"),"na",0.000001*Eqtn!F$419/(Eqtn!F$415*$H170*$D170+Eqtn!F$420*$I170*$E170))</f>
        <v>na</v>
      </c>
      <c r="M170" s="348" t="str">
        <f>IF(OR($D170="na",$D170="no calc"),"na",0.00001*Eqtn!D$419/(Eqtn!D$415*$H170*$D170+Eqtn!D$420*$I170*$E170))</f>
        <v>na</v>
      </c>
      <c r="N170" s="348" t="str">
        <f>IF(OR($D170="na",$D170="no calc"),"na",0.00001*Eqtn!E$419/(Eqtn!E$415*$H170*$D170+Eqtn!E$420*$I170*$E170))</f>
        <v>na</v>
      </c>
      <c r="O170" s="695" t="str">
        <f>IF(OR($D170="na",$D170="no calc"),"na",0.00001*Eqtn!F$419/(Eqtn!F$415*$H170*$D170+Eqtn!F$420*$I170*$E170))</f>
        <v>na</v>
      </c>
      <c r="P170" s="806" t="str">
        <f>IF(OR($F170="na",$F170="no calc"),"na",1*Eqtn!D$451/(Eqtn!D$447*$H170/$F170+Eqtn!D$452*$I170/$G170))</f>
        <v>na</v>
      </c>
      <c r="Q170" s="806" t="str">
        <f>IF(OR($F170="na",$F170="no calc"),"na",1*Eqtn!E$451/(Eqtn!E$447*$H170/$F170+Eqtn!E$452*$I170/$G170))</f>
        <v>na</v>
      </c>
      <c r="R170" s="806" t="str">
        <f>IF(OR($F170="na",$F170="no calc"),"na",1*Eqtn!F$451/(Eqtn!F$447*$H170/$F170+Eqtn!F$452*$I170/$G170))</f>
        <v>na</v>
      </c>
      <c r="S170" s="1426" t="str">
        <f t="shared" si="81"/>
        <v>na</v>
      </c>
      <c r="T170" s="1426" t="str">
        <f t="shared" si="82"/>
        <v>na</v>
      </c>
      <c r="U170" s="1426" t="str">
        <f t="shared" si="83"/>
        <v>na</v>
      </c>
      <c r="V170" s="1415" t="str">
        <f t="shared" si="84"/>
        <v>na</v>
      </c>
      <c r="W170" s="1399" t="str">
        <f t="shared" si="85"/>
        <v>na</v>
      </c>
      <c r="X170" s="1399" t="str">
        <f t="shared" si="86"/>
        <v>na</v>
      </c>
      <c r="Y170" s="1399" t="str">
        <f t="shared" si="87"/>
        <v>na</v>
      </c>
      <c r="Z170" s="716" t="str">
        <f t="shared" si="88"/>
        <v>na</v>
      </c>
      <c r="AB170" s="1062"/>
    </row>
    <row r="171" spans="1:28" ht="13.9" customHeight="1" x14ac:dyDescent="0.25">
      <c r="A171" s="846">
        <f>Chem!A171</f>
        <v>169</v>
      </c>
      <c r="B171" s="916" t="str">
        <f>Chem!B171</f>
        <v>4-Chlorotoluene</v>
      </c>
      <c r="C171" s="2305" t="str">
        <f>Param!AK171</f>
        <v>no</v>
      </c>
      <c r="D171" s="384" t="str">
        <f>IF(C171="YES",Param!V171,"no calc")</f>
        <v>no calc</v>
      </c>
      <c r="E171" s="552" t="str">
        <f>IF(C171="YES",Param!X171,"no calc")</f>
        <v>no calc</v>
      </c>
      <c r="F171" s="384" t="str">
        <f>IF(C171="YES",Param!O171,"no calc")</f>
        <v>no calc</v>
      </c>
      <c r="G171" s="622" t="str">
        <f>IF(C171="YES",Param!S171,"no calc")</f>
        <v>no calc</v>
      </c>
      <c r="H171" s="622" t="str">
        <f>IF(C171="YES",Param!AD171,"no calc")</f>
        <v>no calc</v>
      </c>
      <c r="I171" s="596" t="str">
        <f>IF(C171="YES",Param!AE171,"no calc")</f>
        <v>no calc</v>
      </c>
      <c r="J171" s="582" t="str">
        <f>IF(OR($D171="na",$D171="no calc"),"na",0.000001*Eqtn!D$419/(Eqtn!D$415*$H171*$D171+Eqtn!D$420*$I171*$E171))</f>
        <v>na</v>
      </c>
      <c r="K171" s="582" t="str">
        <f>IF(OR($D171="na",$D171="no calc"),"na",0.000001*Eqtn!E$419/(Eqtn!E$415*$H171*$D171+Eqtn!E$420*$I171*$E171))</f>
        <v>na</v>
      </c>
      <c r="L171" s="582" t="str">
        <f>IF(OR($D171="na",$D171="no calc"),"na",0.000001*Eqtn!F$419/(Eqtn!F$415*$H171*$D171+Eqtn!F$420*$I171*$E171))</f>
        <v>na</v>
      </c>
      <c r="M171" s="348" t="str">
        <f>IF(OR($D171="na",$D171="no calc"),"na",0.00001*Eqtn!D$419/(Eqtn!D$415*$H171*$D171+Eqtn!D$420*$I171*$E171))</f>
        <v>na</v>
      </c>
      <c r="N171" s="348" t="str">
        <f>IF(OR($D171="na",$D171="no calc"),"na",0.00001*Eqtn!E$419/(Eqtn!E$415*$H171*$D171+Eqtn!E$420*$I171*$E171))</f>
        <v>na</v>
      </c>
      <c r="O171" s="695" t="str">
        <f>IF(OR($D171="na",$D171="no calc"),"na",0.00001*Eqtn!F$419/(Eqtn!F$415*$H171*$D171+Eqtn!F$420*$I171*$E171))</f>
        <v>na</v>
      </c>
      <c r="P171" s="806" t="str">
        <f>IF(OR($F171="na",$F171="no calc"),"na",1*Eqtn!D$451/(Eqtn!D$447*$H171/$F171+Eqtn!D$452*$I171/$G171))</f>
        <v>na</v>
      </c>
      <c r="Q171" s="806" t="str">
        <f>IF(OR($F171="na",$F171="no calc"),"na",1*Eqtn!E$451/(Eqtn!E$447*$H171/$F171+Eqtn!E$452*$I171/$G171))</f>
        <v>na</v>
      </c>
      <c r="R171" s="806" t="str">
        <f>IF(OR($F171="na",$F171="no calc"),"na",1*Eqtn!F$451/(Eqtn!F$447*$H171/$F171+Eqtn!F$452*$I171/$G171))</f>
        <v>na</v>
      </c>
      <c r="S171" s="1426" t="str">
        <f t="shared" si="81"/>
        <v>na</v>
      </c>
      <c r="T171" s="1426" t="str">
        <f t="shared" si="82"/>
        <v>na</v>
      </c>
      <c r="U171" s="1426" t="str">
        <f t="shared" si="83"/>
        <v>na</v>
      </c>
      <c r="V171" s="1415" t="str">
        <f t="shared" si="84"/>
        <v>na</v>
      </c>
      <c r="W171" s="1399" t="str">
        <f t="shared" si="85"/>
        <v>na</v>
      </c>
      <c r="X171" s="1399" t="str">
        <f t="shared" si="86"/>
        <v>na</v>
      </c>
      <c r="Y171" s="1399" t="str">
        <f t="shared" si="87"/>
        <v>na</v>
      </c>
      <c r="Z171" s="716" t="str">
        <f t="shared" si="88"/>
        <v>na</v>
      </c>
      <c r="AB171" s="1062"/>
    </row>
    <row r="172" spans="1:28" ht="13.9" customHeight="1" x14ac:dyDescent="0.25">
      <c r="A172" s="846">
        <f>Chem!A172</f>
        <v>170</v>
      </c>
      <c r="B172" s="916" t="str">
        <f>Chem!B172</f>
        <v>Dibromochloromethane</v>
      </c>
      <c r="C172" s="2305" t="str">
        <f>Param!AK172</f>
        <v>no</v>
      </c>
      <c r="D172" s="384" t="str">
        <f>IF(C172="YES",Param!V172,"no calc")</f>
        <v>no calc</v>
      </c>
      <c r="E172" s="552" t="str">
        <f>IF(C172="YES",Param!X172,"no calc")</f>
        <v>no calc</v>
      </c>
      <c r="F172" s="384" t="str">
        <f>IF(C172="YES",Param!O172,"no calc")</f>
        <v>no calc</v>
      </c>
      <c r="G172" s="622" t="str">
        <f>IF(C172="YES",Param!S172,"no calc")</f>
        <v>no calc</v>
      </c>
      <c r="H172" s="622" t="str">
        <f>IF(C172="YES",Param!AD172,"no calc")</f>
        <v>no calc</v>
      </c>
      <c r="I172" s="596" t="str">
        <f>IF(C172="YES",Param!AE172,"no calc")</f>
        <v>no calc</v>
      </c>
      <c r="J172" s="582" t="str">
        <f>IF(OR($D172="na",$D172="no calc"),"na",0.000001*Eqtn!D$419/(Eqtn!D$415*$H172*$D172+Eqtn!D$420*$I172*$E172))</f>
        <v>na</v>
      </c>
      <c r="K172" s="582" t="str">
        <f>IF(OR($D172="na",$D172="no calc"),"na",0.000001*Eqtn!E$419/(Eqtn!E$415*$H172*$D172+Eqtn!E$420*$I172*$E172))</f>
        <v>na</v>
      </c>
      <c r="L172" s="582" t="str">
        <f>IF(OR($D172="na",$D172="no calc"),"na",0.000001*Eqtn!F$419/(Eqtn!F$415*$H172*$D172+Eqtn!F$420*$I172*$E172))</f>
        <v>na</v>
      </c>
      <c r="M172" s="348" t="str">
        <f>IF(OR($D172="na",$D172="no calc"),"na",0.00001*Eqtn!D$419/(Eqtn!D$415*$H172*$D172+Eqtn!D$420*$I172*$E172))</f>
        <v>na</v>
      </c>
      <c r="N172" s="348" t="str">
        <f>IF(OR($D172="na",$D172="no calc"),"na",0.00001*Eqtn!E$419/(Eqtn!E$415*$H172*$D172+Eqtn!E$420*$I172*$E172))</f>
        <v>na</v>
      </c>
      <c r="O172" s="695" t="str">
        <f>IF(OR($D172="na",$D172="no calc"),"na",0.00001*Eqtn!F$419/(Eqtn!F$415*$H172*$D172+Eqtn!F$420*$I172*$E172))</f>
        <v>na</v>
      </c>
      <c r="P172" s="806" t="str">
        <f>IF(OR($F172="na",$F172="no calc"),"na",1*Eqtn!D$451/(Eqtn!D$447*$H172/$F172+Eqtn!D$452*$I172/$G172))</f>
        <v>na</v>
      </c>
      <c r="Q172" s="806" t="str">
        <f>IF(OR($F172="na",$F172="no calc"),"na",1*Eqtn!E$451/(Eqtn!E$447*$H172/$F172+Eqtn!E$452*$I172/$G172))</f>
        <v>na</v>
      </c>
      <c r="R172" s="806" t="str">
        <f>IF(OR($F172="na",$F172="no calc"),"na",1*Eqtn!F$451/(Eqtn!F$447*$H172/$F172+Eqtn!F$452*$I172/$G172))</f>
        <v>na</v>
      </c>
      <c r="S172" s="1426" t="str">
        <f t="shared" si="81"/>
        <v>na</v>
      </c>
      <c r="T172" s="1426" t="str">
        <f t="shared" si="82"/>
        <v>na</v>
      </c>
      <c r="U172" s="1426" t="str">
        <f t="shared" si="83"/>
        <v>na</v>
      </c>
      <c r="V172" s="1415" t="str">
        <f t="shared" si="84"/>
        <v>na</v>
      </c>
      <c r="W172" s="1399" t="str">
        <f t="shared" si="85"/>
        <v>na</v>
      </c>
      <c r="X172" s="1399" t="str">
        <f t="shared" si="86"/>
        <v>na</v>
      </c>
      <c r="Y172" s="1399" t="str">
        <f t="shared" si="87"/>
        <v>na</v>
      </c>
      <c r="Z172" s="716" t="str">
        <f t="shared" si="88"/>
        <v>na</v>
      </c>
      <c r="AB172" s="1062"/>
    </row>
    <row r="173" spans="1:28" ht="13.9" customHeight="1" x14ac:dyDescent="0.25">
      <c r="A173" s="846">
        <f>Chem!A173</f>
        <v>171</v>
      </c>
      <c r="B173" s="1843" t="str">
        <f>Chem!B173</f>
        <v>1,2-Dibromo-3-chloropropane</v>
      </c>
      <c r="C173" s="2305" t="str">
        <f>Param!AK173</f>
        <v>no</v>
      </c>
      <c r="D173" s="384" t="str">
        <f>IF(C173="YES",Param!V173,"no calc")</f>
        <v>no calc</v>
      </c>
      <c r="E173" s="552" t="str">
        <f>IF(C173="YES",Param!X173,"no calc")</f>
        <v>no calc</v>
      </c>
      <c r="F173" s="384" t="str">
        <f>IF(C173="YES",Param!O173,"no calc")</f>
        <v>no calc</v>
      </c>
      <c r="G173" s="622" t="str">
        <f>IF(C173="YES",Param!S173,"no calc")</f>
        <v>no calc</v>
      </c>
      <c r="H173" s="622" t="str">
        <f>IF(C173="YES",Param!AD173,"no calc")</f>
        <v>no calc</v>
      </c>
      <c r="I173" s="596" t="str">
        <f>IF(C173="YES",Param!AE173,"no calc")</f>
        <v>no calc</v>
      </c>
      <c r="J173" s="582" t="str">
        <f>IF(OR($D173="na",$D173="no calc"),"na",0.000001*Eqtn!D$419/(Eqtn!D$415*$H173*$D173+Eqtn!D$420*$I173*$E173))</f>
        <v>na</v>
      </c>
      <c r="K173" s="582" t="str">
        <f>IF(OR($D173="na",$D173="no calc"),"na",0.000001*Eqtn!E$419/(Eqtn!E$415*$H173*$D173+Eqtn!E$420*$I173*$E173))</f>
        <v>na</v>
      </c>
      <c r="L173" s="582" t="str">
        <f>IF(OR($D173="na",$D173="no calc"),"na",0.000001*Eqtn!F$419/(Eqtn!F$415*$H173*$D173+Eqtn!F$420*$I173*$E173))</f>
        <v>na</v>
      </c>
      <c r="M173" s="348" t="str">
        <f>IF(OR($D173="na",$D173="no calc"),"na",0.00001*Eqtn!D$419/(Eqtn!D$415*$H173*$D173+Eqtn!D$420*$I173*$E173))</f>
        <v>na</v>
      </c>
      <c r="N173" s="348" t="str">
        <f>IF(OR($D173="na",$D173="no calc"),"na",0.00001*Eqtn!E$419/(Eqtn!E$415*$H173*$D173+Eqtn!E$420*$I173*$E173))</f>
        <v>na</v>
      </c>
      <c r="O173" s="695" t="str">
        <f>IF(OR($D173="na",$D173="no calc"),"na",0.00001*Eqtn!F$419/(Eqtn!F$415*$H173*$D173+Eqtn!F$420*$I173*$E173))</f>
        <v>na</v>
      </c>
      <c r="P173" s="806" t="str">
        <f>IF(OR($F173="na",$F173="no calc"),"na",1*Eqtn!D$451/(Eqtn!D$447*$H173/$F173+Eqtn!D$452*$I173/$G173))</f>
        <v>na</v>
      </c>
      <c r="Q173" s="806" t="str">
        <f>IF(OR($F173="na",$F173="no calc"),"na",1*Eqtn!E$451/(Eqtn!E$447*$H173/$F173+Eqtn!E$452*$I173/$G173))</f>
        <v>na</v>
      </c>
      <c r="R173" s="806" t="str">
        <f>IF(OR($F173="na",$F173="no calc"),"na",1*Eqtn!F$451/(Eqtn!F$447*$H173/$F173+Eqtn!F$452*$I173/$G173))</f>
        <v>na</v>
      </c>
      <c r="S173" s="1426" t="str">
        <f t="shared" si="81"/>
        <v>na</v>
      </c>
      <c r="T173" s="1426" t="str">
        <f t="shared" si="82"/>
        <v>na</v>
      </c>
      <c r="U173" s="1426" t="str">
        <f t="shared" si="83"/>
        <v>na</v>
      </c>
      <c r="V173" s="1415" t="str">
        <f t="shared" si="84"/>
        <v>na</v>
      </c>
      <c r="W173" s="1399" t="str">
        <f t="shared" si="85"/>
        <v>na</v>
      </c>
      <c r="X173" s="1399" t="str">
        <f t="shared" si="86"/>
        <v>na</v>
      </c>
      <c r="Y173" s="1399" t="str">
        <f t="shared" si="87"/>
        <v>na</v>
      </c>
      <c r="Z173" s="716" t="str">
        <f t="shared" si="88"/>
        <v>na</v>
      </c>
      <c r="AB173" s="1062"/>
    </row>
    <row r="174" spans="1:28" ht="13.9" customHeight="1" x14ac:dyDescent="0.25">
      <c r="A174" s="846">
        <f>Chem!A174</f>
        <v>172</v>
      </c>
      <c r="B174" s="916" t="str">
        <f>Chem!B174</f>
        <v>Dibromomethane</v>
      </c>
      <c r="C174" s="2305" t="str">
        <f>Param!AK174</f>
        <v>no</v>
      </c>
      <c r="D174" s="384" t="str">
        <f>IF(C174="YES",Param!V174,"no calc")</f>
        <v>no calc</v>
      </c>
      <c r="E174" s="552" t="str">
        <f>IF(C174="YES",Param!X174,"no calc")</f>
        <v>no calc</v>
      </c>
      <c r="F174" s="384" t="str">
        <f>IF(C174="YES",Param!O174,"no calc")</f>
        <v>no calc</v>
      </c>
      <c r="G174" s="622" t="str">
        <f>IF(C174="YES",Param!S174,"no calc")</f>
        <v>no calc</v>
      </c>
      <c r="H174" s="622" t="str">
        <f>IF(C174="YES",Param!AD174,"no calc")</f>
        <v>no calc</v>
      </c>
      <c r="I174" s="596" t="str">
        <f>IF(C174="YES",Param!AE174,"no calc")</f>
        <v>no calc</v>
      </c>
      <c r="J174" s="582" t="str">
        <f>IF(OR($D174="na",$D174="no calc"),"na",0.000001*Eqtn!D$419/(Eqtn!D$415*$H174*$D174+Eqtn!D$420*$I174*$E174))</f>
        <v>na</v>
      </c>
      <c r="K174" s="582" t="str">
        <f>IF(OR($D174="na",$D174="no calc"),"na",0.000001*Eqtn!E$419/(Eqtn!E$415*$H174*$D174+Eqtn!E$420*$I174*$E174))</f>
        <v>na</v>
      </c>
      <c r="L174" s="582" t="str">
        <f>IF(OR($D174="na",$D174="no calc"),"na",0.000001*Eqtn!F$419/(Eqtn!F$415*$H174*$D174+Eqtn!F$420*$I174*$E174))</f>
        <v>na</v>
      </c>
      <c r="M174" s="348" t="str">
        <f>IF(OR($D174="na",$D174="no calc"),"na",0.00001*Eqtn!D$419/(Eqtn!D$415*$H174*$D174+Eqtn!D$420*$I174*$E174))</f>
        <v>na</v>
      </c>
      <c r="N174" s="348" t="str">
        <f>IF(OR($D174="na",$D174="no calc"),"na",0.00001*Eqtn!E$419/(Eqtn!E$415*$H174*$D174+Eqtn!E$420*$I174*$E174))</f>
        <v>na</v>
      </c>
      <c r="O174" s="695" t="str">
        <f>IF(OR($D174="na",$D174="no calc"),"na",0.00001*Eqtn!F$419/(Eqtn!F$415*$H174*$D174+Eqtn!F$420*$I174*$E174))</f>
        <v>na</v>
      </c>
      <c r="P174" s="806" t="str">
        <f>IF(OR($F174="na",$F174="no calc"),"na",1*Eqtn!D$451/(Eqtn!D$447*$H174/$F174+Eqtn!D$452*$I174/$G174))</f>
        <v>na</v>
      </c>
      <c r="Q174" s="806" t="str">
        <f>IF(OR($F174="na",$F174="no calc"),"na",1*Eqtn!E$451/(Eqtn!E$447*$H174/$F174+Eqtn!E$452*$I174/$G174))</f>
        <v>na</v>
      </c>
      <c r="R174" s="806" t="str">
        <f>IF(OR($F174="na",$F174="no calc"),"na",1*Eqtn!F$451/(Eqtn!F$447*$H174/$F174+Eqtn!F$452*$I174/$G174))</f>
        <v>na</v>
      </c>
      <c r="S174" s="1426" t="str">
        <f t="shared" si="81"/>
        <v>na</v>
      </c>
      <c r="T174" s="1426" t="str">
        <f t="shared" si="82"/>
        <v>na</v>
      </c>
      <c r="U174" s="1426" t="str">
        <f t="shared" si="83"/>
        <v>na</v>
      </c>
      <c r="V174" s="1415" t="str">
        <f t="shared" si="84"/>
        <v>na</v>
      </c>
      <c r="W174" s="1399" t="str">
        <f t="shared" si="85"/>
        <v>na</v>
      </c>
      <c r="X174" s="1399" t="str">
        <f t="shared" si="86"/>
        <v>na</v>
      </c>
      <c r="Y174" s="1399" t="str">
        <f t="shared" si="87"/>
        <v>na</v>
      </c>
      <c r="Z174" s="716" t="str">
        <f t="shared" si="88"/>
        <v>na</v>
      </c>
      <c r="AB174" s="1062"/>
    </row>
    <row r="175" spans="1:28" ht="13.9" customHeight="1" x14ac:dyDescent="0.25">
      <c r="A175" s="846">
        <f>Chem!A175</f>
        <v>173</v>
      </c>
      <c r="B175" s="916" t="str">
        <f>Chem!B175</f>
        <v>Dichlorobromomethane</v>
      </c>
      <c r="C175" s="2305" t="str">
        <f>Param!AK175</f>
        <v>no</v>
      </c>
      <c r="D175" s="384" t="str">
        <f>IF(C175="YES",Param!V175,"no calc")</f>
        <v>no calc</v>
      </c>
      <c r="E175" s="552" t="str">
        <f>IF(C175="YES",Param!X175,"no calc")</f>
        <v>no calc</v>
      </c>
      <c r="F175" s="384" t="str">
        <f>IF(C175="YES",Param!O175,"no calc")</f>
        <v>no calc</v>
      </c>
      <c r="G175" s="622" t="str">
        <f>IF(C175="YES",Param!S175,"no calc")</f>
        <v>no calc</v>
      </c>
      <c r="H175" s="622" t="str">
        <f>IF(C175="YES",Param!AD175,"no calc")</f>
        <v>no calc</v>
      </c>
      <c r="I175" s="596" t="str">
        <f>IF(C175="YES",Param!AE175,"no calc")</f>
        <v>no calc</v>
      </c>
      <c r="J175" s="582" t="str">
        <f>IF(OR($D175="na",$D175="no calc"),"na",0.000001*Eqtn!D$419/(Eqtn!D$415*$H175*$D175+Eqtn!D$420*$I175*$E175))</f>
        <v>na</v>
      </c>
      <c r="K175" s="582" t="str">
        <f>IF(OR($D175="na",$D175="no calc"),"na",0.000001*Eqtn!E$419/(Eqtn!E$415*$H175*$D175+Eqtn!E$420*$I175*$E175))</f>
        <v>na</v>
      </c>
      <c r="L175" s="582" t="str">
        <f>IF(OR($D175="na",$D175="no calc"),"na",0.000001*Eqtn!F$419/(Eqtn!F$415*$H175*$D175+Eqtn!F$420*$I175*$E175))</f>
        <v>na</v>
      </c>
      <c r="M175" s="348" t="str">
        <f>IF(OR($D175="na",$D175="no calc"),"na",0.00001*Eqtn!D$419/(Eqtn!D$415*$H175*$D175+Eqtn!D$420*$I175*$E175))</f>
        <v>na</v>
      </c>
      <c r="N175" s="348" t="str">
        <f>IF(OR($D175="na",$D175="no calc"),"na",0.00001*Eqtn!E$419/(Eqtn!E$415*$H175*$D175+Eqtn!E$420*$I175*$E175))</f>
        <v>na</v>
      </c>
      <c r="O175" s="695" t="str">
        <f>IF(OR($D175="na",$D175="no calc"),"na",0.00001*Eqtn!F$419/(Eqtn!F$415*$H175*$D175+Eqtn!F$420*$I175*$E175))</f>
        <v>na</v>
      </c>
      <c r="P175" s="806" t="str">
        <f>IF(OR($F175="na",$F175="no calc"),"na",1*Eqtn!D$451/(Eqtn!D$447*$H175/$F175+Eqtn!D$452*$I175/$G175))</f>
        <v>na</v>
      </c>
      <c r="Q175" s="806" t="str">
        <f>IF(OR($F175="na",$F175="no calc"),"na",1*Eqtn!E$451/(Eqtn!E$447*$H175/$F175+Eqtn!E$452*$I175/$G175))</f>
        <v>na</v>
      </c>
      <c r="R175" s="806" t="str">
        <f>IF(OR($F175="na",$F175="no calc"),"na",1*Eqtn!F$451/(Eqtn!F$447*$H175/$F175+Eqtn!F$452*$I175/$G175))</f>
        <v>na</v>
      </c>
      <c r="S175" s="1426" t="str">
        <f t="shared" si="81"/>
        <v>na</v>
      </c>
      <c r="T175" s="1426" t="str">
        <f t="shared" si="82"/>
        <v>na</v>
      </c>
      <c r="U175" s="1426" t="str">
        <f t="shared" si="83"/>
        <v>na</v>
      </c>
      <c r="V175" s="1415" t="str">
        <f t="shared" si="84"/>
        <v>na</v>
      </c>
      <c r="W175" s="1399" t="str">
        <f t="shared" si="85"/>
        <v>na</v>
      </c>
      <c r="X175" s="1399" t="str">
        <f t="shared" si="86"/>
        <v>na</v>
      </c>
      <c r="Y175" s="1399" t="str">
        <f t="shared" si="87"/>
        <v>na</v>
      </c>
      <c r="Z175" s="716" t="str">
        <f t="shared" si="88"/>
        <v>na</v>
      </c>
      <c r="AB175" s="1062"/>
    </row>
    <row r="176" spans="1:28" ht="13.9" customHeight="1" x14ac:dyDescent="0.25">
      <c r="A176" s="846">
        <f>Chem!A176</f>
        <v>174</v>
      </c>
      <c r="B176" s="916" t="str">
        <f>Chem!B176</f>
        <v>trans-1,4-Dichloro-2-butene</v>
      </c>
      <c r="C176" s="2305" t="str">
        <f>Param!AK176</f>
        <v>no</v>
      </c>
      <c r="D176" s="384" t="str">
        <f>IF(C176="YES",Param!V176,"no calc")</f>
        <v>no calc</v>
      </c>
      <c r="E176" s="552" t="str">
        <f>IF(C176="YES",Param!X176,"no calc")</f>
        <v>no calc</v>
      </c>
      <c r="F176" s="384" t="str">
        <f>IF(C176="YES",Param!O176,"no calc")</f>
        <v>no calc</v>
      </c>
      <c r="G176" s="622" t="str">
        <f>IF(C176="YES",Param!S176,"no calc")</f>
        <v>no calc</v>
      </c>
      <c r="H176" s="622" t="str">
        <f>IF(C176="YES",Param!AD176,"no calc")</f>
        <v>no calc</v>
      </c>
      <c r="I176" s="596" t="str">
        <f>IF(C176="YES",Param!AE176,"no calc")</f>
        <v>no calc</v>
      </c>
      <c r="J176" s="582" t="str">
        <f>IF(OR($D176="na",$D176="no calc"),"na",0.000001*Eqtn!D$419/(Eqtn!D$415*$H176*$D176+Eqtn!D$420*$I176*$E176))</f>
        <v>na</v>
      </c>
      <c r="K176" s="582" t="str">
        <f>IF(OR($D176="na",$D176="no calc"),"na",0.000001*Eqtn!E$419/(Eqtn!E$415*$H176*$D176+Eqtn!E$420*$I176*$E176))</f>
        <v>na</v>
      </c>
      <c r="L176" s="582" t="str">
        <f>IF(OR($D176="na",$D176="no calc"),"na",0.000001*Eqtn!F$419/(Eqtn!F$415*$H176*$D176+Eqtn!F$420*$I176*$E176))</f>
        <v>na</v>
      </c>
      <c r="M176" s="348" t="str">
        <f>IF(OR($D176="na",$D176="no calc"),"na",0.00001*Eqtn!D$419/(Eqtn!D$415*$H176*$D176+Eqtn!D$420*$I176*$E176))</f>
        <v>na</v>
      </c>
      <c r="N176" s="348" t="str">
        <f>IF(OR($D176="na",$D176="no calc"),"na",0.00001*Eqtn!E$419/(Eqtn!E$415*$H176*$D176+Eqtn!E$420*$I176*$E176))</f>
        <v>na</v>
      </c>
      <c r="O176" s="695" t="str">
        <f>IF(OR($D176="na",$D176="no calc"),"na",0.00001*Eqtn!F$419/(Eqtn!F$415*$H176*$D176+Eqtn!F$420*$I176*$E176))</f>
        <v>na</v>
      </c>
      <c r="P176" s="806" t="str">
        <f>IF(OR($F176="na",$F176="no calc"),"na",1*Eqtn!D$451/(Eqtn!D$447*$H176/$F176+Eqtn!D$452*$I176/$G176))</f>
        <v>na</v>
      </c>
      <c r="Q176" s="806" t="str">
        <f>IF(OR($F176="na",$F176="no calc"),"na",1*Eqtn!E$451/(Eqtn!E$447*$H176/$F176+Eqtn!E$452*$I176/$G176))</f>
        <v>na</v>
      </c>
      <c r="R176" s="806" t="str">
        <f>IF(OR($F176="na",$F176="no calc"),"na",1*Eqtn!F$451/(Eqtn!F$447*$H176/$F176+Eqtn!F$452*$I176/$G176))</f>
        <v>na</v>
      </c>
      <c r="S176" s="1426" t="str">
        <f t="shared" si="81"/>
        <v>na</v>
      </c>
      <c r="T176" s="1426" t="str">
        <f t="shared" si="82"/>
        <v>na</v>
      </c>
      <c r="U176" s="1426" t="str">
        <f t="shared" si="83"/>
        <v>na</v>
      </c>
      <c r="V176" s="1415" t="str">
        <f t="shared" si="84"/>
        <v>na</v>
      </c>
      <c r="W176" s="1399" t="str">
        <f t="shared" si="85"/>
        <v>na</v>
      </c>
      <c r="X176" s="1399" t="str">
        <f t="shared" si="86"/>
        <v>na</v>
      </c>
      <c r="Y176" s="1399" t="str">
        <f t="shared" si="87"/>
        <v>na</v>
      </c>
      <c r="Z176" s="716" t="str">
        <f t="shared" si="88"/>
        <v>na</v>
      </c>
      <c r="AB176" s="1062"/>
    </row>
    <row r="177" spans="1:28" ht="13.9" customHeight="1" x14ac:dyDescent="0.25">
      <c r="A177" s="846">
        <f>Chem!A177</f>
        <v>175</v>
      </c>
      <c r="B177" s="916" t="str">
        <f>Chem!B177</f>
        <v>Dichlorodifluoromethane</v>
      </c>
      <c r="C177" s="2305" t="str">
        <f>Param!AK177</f>
        <v>no</v>
      </c>
      <c r="D177" s="394" t="str">
        <f>IF(C177="YES",Param!V177,"no calc")</f>
        <v>no calc</v>
      </c>
      <c r="E177" s="552" t="str">
        <f>IF(C177="YES",Param!X177,"no calc")</f>
        <v>no calc</v>
      </c>
      <c r="F177" s="394" t="str">
        <f>IF(C177="YES",Param!O177,"no calc")</f>
        <v>no calc</v>
      </c>
      <c r="G177" s="622" t="str">
        <f>IF(C177="YES",Param!S177,"no calc")</f>
        <v>no calc</v>
      </c>
      <c r="H177" s="622" t="str">
        <f>IF(C177="YES",Param!AD177,"no calc")</f>
        <v>no calc</v>
      </c>
      <c r="I177" s="598" t="str">
        <f>IF(C177="YES",Param!AE177,"no calc")</f>
        <v>no calc</v>
      </c>
      <c r="J177" s="582" t="str">
        <f>IF(OR($D177="na",$D177="no calc"),"na",0.000001*Eqtn!D$419/(Eqtn!D$415*$H177*$D177+Eqtn!D$420*$I177*$E177))</f>
        <v>na</v>
      </c>
      <c r="K177" s="582" t="str">
        <f>IF(OR($D177="na",$D177="no calc"),"na",0.000001*Eqtn!E$419/(Eqtn!E$415*$H177*$D177+Eqtn!E$420*$I177*$E177))</f>
        <v>na</v>
      </c>
      <c r="L177" s="582" t="str">
        <f>IF(OR($D177="na",$D177="no calc"),"na",0.000001*Eqtn!F$419/(Eqtn!F$415*$H177*$D177+Eqtn!F$420*$I177*$E177))</f>
        <v>na</v>
      </c>
      <c r="M177" s="348" t="str">
        <f>IF(OR($D177="na",$D177="no calc"),"na",0.00001*Eqtn!D$419/(Eqtn!D$415*$H177*$D177+Eqtn!D$420*$I177*$E177))</f>
        <v>na</v>
      </c>
      <c r="N177" s="348" t="str">
        <f>IF(OR($D177="na",$D177="no calc"),"na",0.00001*Eqtn!E$419/(Eqtn!E$415*$H177*$D177+Eqtn!E$420*$I177*$E177))</f>
        <v>na</v>
      </c>
      <c r="O177" s="695" t="str">
        <f>IF(OR($D177="na",$D177="no calc"),"na",0.00001*Eqtn!F$419/(Eqtn!F$415*$H177*$D177+Eqtn!F$420*$I177*$E177))</f>
        <v>na</v>
      </c>
      <c r="P177" s="806" t="str">
        <f>IF(OR($F177="na",$F177="no calc"),"na",1*Eqtn!D$451/(Eqtn!D$447*$H177/$F177+Eqtn!D$452*$I177/$G177))</f>
        <v>na</v>
      </c>
      <c r="Q177" s="806" t="str">
        <f>IF(OR($F177="na",$F177="no calc"),"na",1*Eqtn!E$451/(Eqtn!E$447*$H177/$F177+Eqtn!E$452*$I177/$G177))</f>
        <v>na</v>
      </c>
      <c r="R177" s="806" t="str">
        <f>IF(OR($F177="na",$F177="no calc"),"na",1*Eqtn!F$451/(Eqtn!F$447*$H177/$F177+Eqtn!F$452*$I177/$G177))</f>
        <v>na</v>
      </c>
      <c r="S177" s="1426" t="str">
        <f t="shared" si="81"/>
        <v>na</v>
      </c>
      <c r="T177" s="1426" t="str">
        <f t="shared" si="82"/>
        <v>na</v>
      </c>
      <c r="U177" s="1426" t="str">
        <f t="shared" si="83"/>
        <v>na</v>
      </c>
      <c r="V177" s="1415" t="str">
        <f t="shared" si="84"/>
        <v>na</v>
      </c>
      <c r="W177" s="1399" t="str">
        <f t="shared" si="85"/>
        <v>na</v>
      </c>
      <c r="X177" s="1399" t="str">
        <f t="shared" si="86"/>
        <v>na</v>
      </c>
      <c r="Y177" s="1399" t="str">
        <f t="shared" si="87"/>
        <v>na</v>
      </c>
      <c r="Z177" s="716" t="str">
        <f t="shared" si="88"/>
        <v>na</v>
      </c>
      <c r="AB177" s="1062"/>
    </row>
    <row r="178" spans="1:28" ht="13.9" customHeight="1" x14ac:dyDescent="0.25">
      <c r="A178" s="846">
        <f>Chem!A178</f>
        <v>176</v>
      </c>
      <c r="B178" s="916" t="str">
        <f>Chem!B178</f>
        <v>1,1-Dichloroethane</v>
      </c>
      <c r="C178" s="2305" t="str">
        <f>Param!AK178</f>
        <v>no</v>
      </c>
      <c r="D178" s="384" t="str">
        <f>IF(C178="YES",Param!V178,"no calc")</f>
        <v>no calc</v>
      </c>
      <c r="E178" s="552" t="str">
        <f>IF(C178="YES",Param!X178,"no calc")</f>
        <v>no calc</v>
      </c>
      <c r="F178" s="384" t="str">
        <f>IF(C178="YES",Param!O178,"no calc")</f>
        <v>no calc</v>
      </c>
      <c r="G178" s="622" t="str">
        <f>IF(C178="YES",Param!S178,"no calc")</f>
        <v>no calc</v>
      </c>
      <c r="H178" s="622" t="str">
        <f>IF(C178="YES",Param!AD178,"no calc")</f>
        <v>no calc</v>
      </c>
      <c r="I178" s="596" t="str">
        <f>IF(C178="YES",Param!AE178,"no calc")</f>
        <v>no calc</v>
      </c>
      <c r="J178" s="582" t="str">
        <f>IF(OR($D178="na",$D178="no calc"),"na",0.000001*Eqtn!D$419/(Eqtn!D$415*$H178*$D178+Eqtn!D$420*$I178*$E178))</f>
        <v>na</v>
      </c>
      <c r="K178" s="582" t="str">
        <f>IF(OR($D178="na",$D178="no calc"),"na",0.000001*Eqtn!E$419/(Eqtn!E$415*$H178*$D178+Eqtn!E$420*$I178*$E178))</f>
        <v>na</v>
      </c>
      <c r="L178" s="582" t="str">
        <f>IF(OR($D178="na",$D178="no calc"),"na",0.000001*Eqtn!F$419/(Eqtn!F$415*$H178*$D178+Eqtn!F$420*$I178*$E178))</f>
        <v>na</v>
      </c>
      <c r="M178" s="348" t="str">
        <f>IF(OR($D178="na",$D178="no calc"),"na",0.00001*Eqtn!D$419/(Eqtn!D$415*$H178*$D178+Eqtn!D$420*$I178*$E178))</f>
        <v>na</v>
      </c>
      <c r="N178" s="348" t="str">
        <f>IF(OR($D178="na",$D178="no calc"),"na",0.00001*Eqtn!E$419/(Eqtn!E$415*$H178*$D178+Eqtn!E$420*$I178*$E178))</f>
        <v>na</v>
      </c>
      <c r="O178" s="695" t="str">
        <f>IF(OR($D178="na",$D178="no calc"),"na",0.00001*Eqtn!F$419/(Eqtn!F$415*$H178*$D178+Eqtn!F$420*$I178*$E178))</f>
        <v>na</v>
      </c>
      <c r="P178" s="806" t="str">
        <f>IF(OR($F178="na",$F178="no calc"),"na",1*Eqtn!D$451/(Eqtn!D$447*$H178/$F178+Eqtn!D$452*$I178/$G178))</f>
        <v>na</v>
      </c>
      <c r="Q178" s="806" t="str">
        <f>IF(OR($F178="na",$F178="no calc"),"na",1*Eqtn!E$451/(Eqtn!E$447*$H178/$F178+Eqtn!E$452*$I178/$G178))</f>
        <v>na</v>
      </c>
      <c r="R178" s="806" t="str">
        <f>IF(OR($F178="na",$F178="no calc"),"na",1*Eqtn!F$451/(Eqtn!F$447*$H178/$F178+Eqtn!F$452*$I178/$G178))</f>
        <v>na</v>
      </c>
      <c r="S178" s="1426" t="str">
        <f t="shared" si="81"/>
        <v>na</v>
      </c>
      <c r="T178" s="1426" t="str">
        <f t="shared" si="82"/>
        <v>na</v>
      </c>
      <c r="U178" s="1426" t="str">
        <f t="shared" si="83"/>
        <v>na</v>
      </c>
      <c r="V178" s="1415" t="str">
        <f t="shared" si="84"/>
        <v>na</v>
      </c>
      <c r="W178" s="1399" t="str">
        <f t="shared" si="85"/>
        <v>na</v>
      </c>
      <c r="X178" s="1399" t="str">
        <f t="shared" si="86"/>
        <v>na</v>
      </c>
      <c r="Y178" s="1399" t="str">
        <f t="shared" si="87"/>
        <v>na</v>
      </c>
      <c r="Z178" s="716" t="str">
        <f t="shared" si="88"/>
        <v>na</v>
      </c>
      <c r="AB178" s="1062"/>
    </row>
    <row r="179" spans="1:28" ht="13.9" customHeight="1" x14ac:dyDescent="0.25">
      <c r="A179" s="846">
        <f>Chem!A179</f>
        <v>177</v>
      </c>
      <c r="B179" s="916" t="str">
        <f>Chem!B179</f>
        <v>1,2-Dichloroethane (EDC)</v>
      </c>
      <c r="C179" s="2305" t="str">
        <f>Param!AK179</f>
        <v>no</v>
      </c>
      <c r="D179" s="384" t="str">
        <f>IF(C179="YES",Param!V179,"no calc")</f>
        <v>no calc</v>
      </c>
      <c r="E179" s="552" t="str">
        <f>IF(C179="YES",Param!X179,"no calc")</f>
        <v>no calc</v>
      </c>
      <c r="F179" s="384" t="str">
        <f>IF(C179="YES",Param!O179,"no calc")</f>
        <v>no calc</v>
      </c>
      <c r="G179" s="622" t="str">
        <f>IF(C179="YES",Param!S179,"no calc")</f>
        <v>no calc</v>
      </c>
      <c r="H179" s="622" t="str">
        <f>IF(C179="YES",Param!AD179,"no calc")</f>
        <v>no calc</v>
      </c>
      <c r="I179" s="596" t="str">
        <f>IF(C179="YES",Param!AE179,"no calc")</f>
        <v>no calc</v>
      </c>
      <c r="J179" s="582" t="str">
        <f>IF(OR($D179="na",$D179="no calc"),"na",0.000001*Eqtn!D$419/(Eqtn!D$415*$H179*$D179+Eqtn!D$420*$I179*$E179))</f>
        <v>na</v>
      </c>
      <c r="K179" s="582" t="str">
        <f>IF(OR($D179="na",$D179="no calc"),"na",0.000001*Eqtn!E$419/(Eqtn!E$415*$H179*$D179+Eqtn!E$420*$I179*$E179))</f>
        <v>na</v>
      </c>
      <c r="L179" s="582" t="str">
        <f>IF(OR($D179="na",$D179="no calc"),"na",0.000001*Eqtn!F$419/(Eqtn!F$415*$H179*$D179+Eqtn!F$420*$I179*$E179))</f>
        <v>na</v>
      </c>
      <c r="M179" s="348" t="str">
        <f>IF(OR($D179="na",$D179="no calc"),"na",0.00001*Eqtn!D$419/(Eqtn!D$415*$H179*$D179+Eqtn!D$420*$I179*$E179))</f>
        <v>na</v>
      </c>
      <c r="N179" s="348" t="str">
        <f>IF(OR($D179="na",$D179="no calc"),"na",0.00001*Eqtn!E$419/(Eqtn!E$415*$H179*$D179+Eqtn!E$420*$I179*$E179))</f>
        <v>na</v>
      </c>
      <c r="O179" s="695" t="str">
        <f>IF(OR($D179="na",$D179="no calc"),"na",0.00001*Eqtn!F$419/(Eqtn!F$415*$H179*$D179+Eqtn!F$420*$I179*$E179))</f>
        <v>na</v>
      </c>
      <c r="P179" s="806" t="str">
        <f>IF(OR($F179="na",$F179="no calc"),"na",1*Eqtn!D$451/(Eqtn!D$447*$H179/$F179+Eqtn!D$452*$I179/$G179))</f>
        <v>na</v>
      </c>
      <c r="Q179" s="806" t="str">
        <f>IF(OR($F179="na",$F179="no calc"),"na",1*Eqtn!E$451/(Eqtn!E$447*$H179/$F179+Eqtn!E$452*$I179/$G179))</f>
        <v>na</v>
      </c>
      <c r="R179" s="806" t="str">
        <f>IF(OR($F179="na",$F179="no calc"),"na",1*Eqtn!F$451/(Eqtn!F$447*$H179/$F179+Eqtn!F$452*$I179/$G179))</f>
        <v>na</v>
      </c>
      <c r="S179" s="1426" t="str">
        <f t="shared" si="81"/>
        <v>na</v>
      </c>
      <c r="T179" s="1426" t="str">
        <f t="shared" si="82"/>
        <v>na</v>
      </c>
      <c r="U179" s="1426" t="str">
        <f t="shared" si="83"/>
        <v>na</v>
      </c>
      <c r="V179" s="1415" t="str">
        <f t="shared" si="84"/>
        <v>na</v>
      </c>
      <c r="W179" s="1399" t="str">
        <f t="shared" si="85"/>
        <v>na</v>
      </c>
      <c r="X179" s="1399" t="str">
        <f t="shared" si="86"/>
        <v>na</v>
      </c>
      <c r="Y179" s="1399" t="str">
        <f t="shared" si="87"/>
        <v>na</v>
      </c>
      <c r="Z179" s="716" t="str">
        <f t="shared" si="88"/>
        <v>na</v>
      </c>
      <c r="AB179" s="1062"/>
    </row>
    <row r="180" spans="1:28" ht="13.9" customHeight="1" x14ac:dyDescent="0.25">
      <c r="A180" s="846">
        <f>Chem!A180</f>
        <v>178</v>
      </c>
      <c r="B180" s="916" t="str">
        <f>Chem!B180</f>
        <v>1,1-Dichloroethylene</v>
      </c>
      <c r="C180" s="2305" t="str">
        <f>Param!AK180</f>
        <v>no</v>
      </c>
      <c r="D180" s="384" t="str">
        <f>IF(C180="YES",Param!V180,"no calc")</f>
        <v>no calc</v>
      </c>
      <c r="E180" s="552" t="str">
        <f>IF(C180="YES",Param!X180,"no calc")</f>
        <v>no calc</v>
      </c>
      <c r="F180" s="384" t="str">
        <f>IF(C180="YES",Param!O180,"no calc")</f>
        <v>no calc</v>
      </c>
      <c r="G180" s="622" t="str">
        <f>IF(C180="YES",Param!S180,"no calc")</f>
        <v>no calc</v>
      </c>
      <c r="H180" s="622" t="str">
        <f>IF(C180="YES",Param!AD180,"no calc")</f>
        <v>no calc</v>
      </c>
      <c r="I180" s="596" t="str">
        <f>IF(C180="YES",Param!AE180,"no calc")</f>
        <v>no calc</v>
      </c>
      <c r="J180" s="582" t="str">
        <f>IF(OR($D180="na",$D180="no calc"),"na",0.000001*Eqtn!D$419/(Eqtn!D$415*$H180*$D180+Eqtn!D$420*$I180*$E180))</f>
        <v>na</v>
      </c>
      <c r="K180" s="582" t="str">
        <f>IF(OR($D180="na",$D180="no calc"),"na",0.000001*Eqtn!E$419/(Eqtn!E$415*$H180*$D180+Eqtn!E$420*$I180*$E180))</f>
        <v>na</v>
      </c>
      <c r="L180" s="582" t="str">
        <f>IF(OR($D180="na",$D180="no calc"),"na",0.000001*Eqtn!F$419/(Eqtn!F$415*$H180*$D180+Eqtn!F$420*$I180*$E180))</f>
        <v>na</v>
      </c>
      <c r="M180" s="348" t="str">
        <f>IF(OR($D180="na",$D180="no calc"),"na",0.00001*Eqtn!D$419/(Eqtn!D$415*$H180*$D180+Eqtn!D$420*$I180*$E180))</f>
        <v>na</v>
      </c>
      <c r="N180" s="348" t="str">
        <f>IF(OR($D180="na",$D180="no calc"),"na",0.00001*Eqtn!E$419/(Eqtn!E$415*$H180*$D180+Eqtn!E$420*$I180*$E180))</f>
        <v>na</v>
      </c>
      <c r="O180" s="695" t="str">
        <f>IF(OR($D180="na",$D180="no calc"),"na",0.00001*Eqtn!F$419/(Eqtn!F$415*$H180*$D180+Eqtn!F$420*$I180*$E180))</f>
        <v>na</v>
      </c>
      <c r="P180" s="806" t="str">
        <f>IF(OR($F180="na",$F180="no calc"),"na",1*Eqtn!D$451/(Eqtn!D$447*$H180/$F180+Eqtn!D$452*$I180/$G180))</f>
        <v>na</v>
      </c>
      <c r="Q180" s="806" t="str">
        <f>IF(OR($F180="na",$F180="no calc"),"na",1*Eqtn!E$451/(Eqtn!E$447*$H180/$F180+Eqtn!E$452*$I180/$G180))</f>
        <v>na</v>
      </c>
      <c r="R180" s="806" t="str">
        <f>IF(OR($F180="na",$F180="no calc"),"na",1*Eqtn!F$451/(Eqtn!F$447*$H180/$F180+Eqtn!F$452*$I180/$G180))</f>
        <v>na</v>
      </c>
      <c r="S180" s="1426" t="str">
        <f t="shared" ref="S180:S212" si="97">IF(OR(ISNUMBER(J180),ISNUMBER(P180)),MIN(J180,P180),"na")</f>
        <v>na</v>
      </c>
      <c r="T180" s="1426" t="str">
        <f t="shared" ref="T180:T212" si="98">IF(OR(ISNUMBER(K180),ISNUMBER(Q180)),MIN(K180,Q180),"na")</f>
        <v>na</v>
      </c>
      <c r="U180" s="1426" t="str">
        <f t="shared" ref="U180:U212" si="99">IF(OR(ISNUMBER(L180),ISNUMBER(R180)),MIN(L180,R180),"na")</f>
        <v>na</v>
      </c>
      <c r="V180" s="1415" t="str">
        <f t="shared" si="84"/>
        <v>na</v>
      </c>
      <c r="W180" s="1399" t="str">
        <f t="shared" ref="W180:W212" si="100">IF(OR(ISNUMBER(M180),ISNUMBER(P180)),MIN(M180,P180),"na")</f>
        <v>na</v>
      </c>
      <c r="X180" s="1399" t="str">
        <f t="shared" ref="X180:X212" si="101">IF(OR(ISNUMBER(N180),ISNUMBER(Q180)),MIN(N180,Q180),"na")</f>
        <v>na</v>
      </c>
      <c r="Y180" s="1399" t="str">
        <f t="shared" ref="Y180:Y212" si="102">IF(OR(ISNUMBER(O180),ISNUMBER(R180)),MIN(O180,R180),"na")</f>
        <v>na</v>
      </c>
      <c r="Z180" s="716" t="str">
        <f t="shared" si="88"/>
        <v>na</v>
      </c>
      <c r="AB180" s="1062"/>
    </row>
    <row r="181" spans="1:28" ht="13.9" customHeight="1" x14ac:dyDescent="0.25">
      <c r="A181" s="846">
        <f>Chem!A181</f>
        <v>179</v>
      </c>
      <c r="B181" s="916" t="str">
        <f>Chem!B181</f>
        <v>cis-1,2-Dichloroethylene</v>
      </c>
      <c r="C181" s="2305" t="str">
        <f>Param!AK181</f>
        <v>no</v>
      </c>
      <c r="D181" s="384" t="str">
        <f>IF(C181="YES",Param!V181,"no calc")</f>
        <v>no calc</v>
      </c>
      <c r="E181" s="552" t="str">
        <f>IF(C181="YES",Param!X181,"no calc")</f>
        <v>no calc</v>
      </c>
      <c r="F181" s="384" t="str">
        <f>IF(C181="YES",Param!O181,"no calc")</f>
        <v>no calc</v>
      </c>
      <c r="G181" s="622" t="str">
        <f>IF(C181="YES",Param!S181,"no calc")</f>
        <v>no calc</v>
      </c>
      <c r="H181" s="622" t="str">
        <f>IF(C181="YES",Param!AD181,"no calc")</f>
        <v>no calc</v>
      </c>
      <c r="I181" s="596" t="str">
        <f>IF(C181="YES",Param!AE181,"no calc")</f>
        <v>no calc</v>
      </c>
      <c r="J181" s="582" t="str">
        <f>IF(OR($D181="na",$D181="no calc"),"na",0.000001*Eqtn!D$419/(Eqtn!D$415*$H181*$D181+Eqtn!D$420*$I181*$E181))</f>
        <v>na</v>
      </c>
      <c r="K181" s="582" t="str">
        <f>IF(OR($D181="na",$D181="no calc"),"na",0.000001*Eqtn!E$419/(Eqtn!E$415*$H181*$D181+Eqtn!E$420*$I181*$E181))</f>
        <v>na</v>
      </c>
      <c r="L181" s="582" t="str">
        <f>IF(OR($D181="na",$D181="no calc"),"na",0.000001*Eqtn!F$419/(Eqtn!F$415*$H181*$D181+Eqtn!F$420*$I181*$E181))</f>
        <v>na</v>
      </c>
      <c r="M181" s="348" t="str">
        <f>IF(OR($D181="na",$D181="no calc"),"na",0.00001*Eqtn!D$419/(Eqtn!D$415*$H181*$D181+Eqtn!D$420*$I181*$E181))</f>
        <v>na</v>
      </c>
      <c r="N181" s="348" t="str">
        <f>IF(OR($D181="na",$D181="no calc"),"na",0.00001*Eqtn!E$419/(Eqtn!E$415*$H181*$D181+Eqtn!E$420*$I181*$E181))</f>
        <v>na</v>
      </c>
      <c r="O181" s="695" t="str">
        <f>IF(OR($D181="na",$D181="no calc"),"na",0.00001*Eqtn!F$419/(Eqtn!F$415*$H181*$D181+Eqtn!F$420*$I181*$E181))</f>
        <v>na</v>
      </c>
      <c r="P181" s="806" t="str">
        <f>IF(OR($F181="na",$F181="no calc"),"na",1*Eqtn!D$451/(Eqtn!D$447*$H181/$F181+Eqtn!D$452*$I181/$G181))</f>
        <v>na</v>
      </c>
      <c r="Q181" s="806" t="str">
        <f>IF(OR($F181="na",$F181="no calc"),"na",1*Eqtn!E$451/(Eqtn!E$447*$H181/$F181+Eqtn!E$452*$I181/$G181))</f>
        <v>na</v>
      </c>
      <c r="R181" s="806" t="str">
        <f>IF(OR($F181="na",$F181="no calc"),"na",1*Eqtn!F$451/(Eqtn!F$447*$H181/$F181+Eqtn!F$452*$I181/$G181))</f>
        <v>na</v>
      </c>
      <c r="S181" s="1426" t="str">
        <f t="shared" si="97"/>
        <v>na</v>
      </c>
      <c r="T181" s="1426" t="str">
        <f t="shared" si="98"/>
        <v>na</v>
      </c>
      <c r="U181" s="1426" t="str">
        <f t="shared" si="99"/>
        <v>na</v>
      </c>
      <c r="V181" s="1415" t="str">
        <f t="shared" si="84"/>
        <v>na</v>
      </c>
      <c r="W181" s="1399" t="str">
        <f t="shared" si="100"/>
        <v>na</v>
      </c>
      <c r="X181" s="1399" t="str">
        <f t="shared" si="101"/>
        <v>na</v>
      </c>
      <c r="Y181" s="1399" t="str">
        <f t="shared" si="102"/>
        <v>na</v>
      </c>
      <c r="Z181" s="716" t="str">
        <f t="shared" si="88"/>
        <v>na</v>
      </c>
      <c r="AB181" s="1062"/>
    </row>
    <row r="182" spans="1:28" ht="13.9" customHeight="1" x14ac:dyDescent="0.25">
      <c r="A182" s="846">
        <f>Chem!A182</f>
        <v>180</v>
      </c>
      <c r="B182" s="916" t="str">
        <f>Chem!B182</f>
        <v>trans-1,2-Dichloroethylene</v>
      </c>
      <c r="C182" s="2305" t="str">
        <f>Param!AK182</f>
        <v>no</v>
      </c>
      <c r="D182" s="384" t="str">
        <f>IF(C182="YES",Param!V182,"no calc")</f>
        <v>no calc</v>
      </c>
      <c r="E182" s="552" t="str">
        <f>IF(C182="YES",Param!X182,"no calc")</f>
        <v>no calc</v>
      </c>
      <c r="F182" s="384" t="str">
        <f>IF(C182="YES",Param!O182,"no calc")</f>
        <v>no calc</v>
      </c>
      <c r="G182" s="622" t="str">
        <f>IF(C182="YES",Param!S182,"no calc")</f>
        <v>no calc</v>
      </c>
      <c r="H182" s="622" t="str">
        <f>IF(C182="YES",Param!AD182,"no calc")</f>
        <v>no calc</v>
      </c>
      <c r="I182" s="596" t="str">
        <f>IF(C182="YES",Param!AE182,"no calc")</f>
        <v>no calc</v>
      </c>
      <c r="J182" s="582" t="str">
        <f>IF(OR($D182="na",$D182="no calc"),"na",0.000001*Eqtn!D$419/(Eqtn!D$415*$H182*$D182+Eqtn!D$420*$I182*$E182))</f>
        <v>na</v>
      </c>
      <c r="K182" s="582" t="str">
        <f>IF(OR($D182="na",$D182="no calc"),"na",0.000001*Eqtn!E$419/(Eqtn!E$415*$H182*$D182+Eqtn!E$420*$I182*$E182))</f>
        <v>na</v>
      </c>
      <c r="L182" s="582" t="str">
        <f>IF(OR($D182="na",$D182="no calc"),"na",0.000001*Eqtn!F$419/(Eqtn!F$415*$H182*$D182+Eqtn!F$420*$I182*$E182))</f>
        <v>na</v>
      </c>
      <c r="M182" s="348" t="str">
        <f>IF(OR($D182="na",$D182="no calc"),"na",0.00001*Eqtn!D$419/(Eqtn!D$415*$H182*$D182+Eqtn!D$420*$I182*$E182))</f>
        <v>na</v>
      </c>
      <c r="N182" s="348" t="str">
        <f>IF(OR($D182="na",$D182="no calc"),"na",0.00001*Eqtn!E$419/(Eqtn!E$415*$H182*$D182+Eqtn!E$420*$I182*$E182))</f>
        <v>na</v>
      </c>
      <c r="O182" s="695" t="str">
        <f>IF(OR($D182="na",$D182="no calc"),"na",0.00001*Eqtn!F$419/(Eqtn!F$415*$H182*$D182+Eqtn!F$420*$I182*$E182))</f>
        <v>na</v>
      </c>
      <c r="P182" s="806" t="str">
        <f>IF(OR($F182="na",$F182="no calc"),"na",1*Eqtn!D$451/(Eqtn!D$447*$H182/$F182+Eqtn!D$452*$I182/$G182))</f>
        <v>na</v>
      </c>
      <c r="Q182" s="806" t="str">
        <f>IF(OR($F182="na",$F182="no calc"),"na",1*Eqtn!E$451/(Eqtn!E$447*$H182/$F182+Eqtn!E$452*$I182/$G182))</f>
        <v>na</v>
      </c>
      <c r="R182" s="806" t="str">
        <f>IF(OR($F182="na",$F182="no calc"),"na",1*Eqtn!F$451/(Eqtn!F$447*$H182/$F182+Eqtn!F$452*$I182/$G182))</f>
        <v>na</v>
      </c>
      <c r="S182" s="1426" t="str">
        <f t="shared" si="97"/>
        <v>na</v>
      </c>
      <c r="T182" s="1426" t="str">
        <f t="shared" si="98"/>
        <v>na</v>
      </c>
      <c r="U182" s="1426" t="str">
        <f t="shared" si="99"/>
        <v>na</v>
      </c>
      <c r="V182" s="1415" t="str">
        <f t="shared" si="84"/>
        <v>na</v>
      </c>
      <c r="W182" s="1399" t="str">
        <f t="shared" si="100"/>
        <v>na</v>
      </c>
      <c r="X182" s="1399" t="str">
        <f t="shared" si="101"/>
        <v>na</v>
      </c>
      <c r="Y182" s="1399" t="str">
        <f t="shared" si="102"/>
        <v>na</v>
      </c>
      <c r="Z182" s="716" t="str">
        <f t="shared" si="88"/>
        <v>na</v>
      </c>
      <c r="AB182" s="1062"/>
    </row>
    <row r="183" spans="1:28" ht="13.9" customHeight="1" x14ac:dyDescent="0.25">
      <c r="A183" s="846">
        <f>Chem!A183</f>
        <v>181</v>
      </c>
      <c r="B183" s="916" t="str">
        <f>Chem!B183</f>
        <v>1,2-Dichloroethylene (mixed isomers)</v>
      </c>
      <c r="C183" s="2305" t="str">
        <f>Param!AK183</f>
        <v>no</v>
      </c>
      <c r="D183" s="384" t="str">
        <f>IF(C183="YES",Param!V183,"no calc")</f>
        <v>no calc</v>
      </c>
      <c r="E183" s="552" t="str">
        <f>IF(C183="YES",Param!X183,"no calc")</f>
        <v>no calc</v>
      </c>
      <c r="F183" s="384" t="str">
        <f>IF(C183="YES",Param!O183,"no calc")</f>
        <v>no calc</v>
      </c>
      <c r="G183" s="622" t="str">
        <f>IF(C183="YES",Param!S183,"no calc")</f>
        <v>no calc</v>
      </c>
      <c r="H183" s="622" t="str">
        <f>IF(C183="YES",Param!AD183,"no calc")</f>
        <v>no calc</v>
      </c>
      <c r="I183" s="596" t="str">
        <f>IF(C183="YES",Param!AE183,"no calc")</f>
        <v>no calc</v>
      </c>
      <c r="J183" s="582" t="str">
        <f>IF(OR($D183="na",$D183="no calc"),"na",0.000001*Eqtn!D$419/(Eqtn!D$415*$H183*$D183+Eqtn!D$420*$I183*$E183))</f>
        <v>na</v>
      </c>
      <c r="K183" s="582" t="str">
        <f>IF(OR($D183="na",$D183="no calc"),"na",0.000001*Eqtn!E$419/(Eqtn!E$415*$H183*$D183+Eqtn!E$420*$I183*$E183))</f>
        <v>na</v>
      </c>
      <c r="L183" s="582" t="str">
        <f>IF(OR($D183="na",$D183="no calc"),"na",0.000001*Eqtn!F$419/(Eqtn!F$415*$H183*$D183+Eqtn!F$420*$I183*$E183))</f>
        <v>na</v>
      </c>
      <c r="M183" s="348" t="str">
        <f>IF(OR($D183="na",$D183="no calc"),"na",0.00001*Eqtn!D$419/(Eqtn!D$415*$H183*$D183+Eqtn!D$420*$I183*$E183))</f>
        <v>na</v>
      </c>
      <c r="N183" s="348" t="str">
        <f>IF(OR($D183="na",$D183="no calc"),"na",0.00001*Eqtn!E$419/(Eqtn!E$415*$H183*$D183+Eqtn!E$420*$I183*$E183))</f>
        <v>na</v>
      </c>
      <c r="O183" s="695" t="str">
        <f>IF(OR($D183="na",$D183="no calc"),"na",0.00001*Eqtn!F$419/(Eqtn!F$415*$H183*$D183+Eqtn!F$420*$I183*$E183))</f>
        <v>na</v>
      </c>
      <c r="P183" s="806" t="str">
        <f>IF(OR($F183="na",$F183="no calc"),"na",1*Eqtn!D$451/(Eqtn!D$447*$H183/$F183+Eqtn!D$452*$I183/$G183))</f>
        <v>na</v>
      </c>
      <c r="Q183" s="806" t="str">
        <f>IF(OR($F183="na",$F183="no calc"),"na",1*Eqtn!E$451/(Eqtn!E$447*$H183/$F183+Eqtn!E$452*$I183/$G183))</f>
        <v>na</v>
      </c>
      <c r="R183" s="806" t="str">
        <f>IF(OR($F183="na",$F183="no calc"),"na",1*Eqtn!F$451/(Eqtn!F$447*$H183/$F183+Eqtn!F$452*$I183/$G183))</f>
        <v>na</v>
      </c>
      <c r="S183" s="1426" t="str">
        <f t="shared" si="97"/>
        <v>na</v>
      </c>
      <c r="T183" s="1426" t="str">
        <f t="shared" si="98"/>
        <v>na</v>
      </c>
      <c r="U183" s="1426" t="str">
        <f t="shared" si="99"/>
        <v>na</v>
      </c>
      <c r="V183" s="1415" t="str">
        <f t="shared" si="84"/>
        <v>na</v>
      </c>
      <c r="W183" s="1399" t="str">
        <f t="shared" si="100"/>
        <v>na</v>
      </c>
      <c r="X183" s="1399" t="str">
        <f t="shared" si="101"/>
        <v>na</v>
      </c>
      <c r="Y183" s="1399" t="str">
        <f t="shared" si="102"/>
        <v>na</v>
      </c>
      <c r="Z183" s="716" t="str">
        <f t="shared" si="88"/>
        <v>na</v>
      </c>
      <c r="AB183" s="1062"/>
    </row>
    <row r="184" spans="1:28" ht="13.9" customHeight="1" x14ac:dyDescent="0.25">
      <c r="A184" s="846">
        <f>Chem!A184</f>
        <v>182</v>
      </c>
      <c r="B184" s="916" t="str">
        <f>Chem!B184</f>
        <v>1,2-Dichloropropane</v>
      </c>
      <c r="C184" s="2305" t="str">
        <f>Param!AK184</f>
        <v>no</v>
      </c>
      <c r="D184" s="384" t="str">
        <f>IF(C184="YES",Param!V184,"no calc")</f>
        <v>no calc</v>
      </c>
      <c r="E184" s="552" t="str">
        <f>IF(C184="YES",Param!X184,"no calc")</f>
        <v>no calc</v>
      </c>
      <c r="F184" s="384" t="str">
        <f>IF(C184="YES",Param!O184,"no calc")</f>
        <v>no calc</v>
      </c>
      <c r="G184" s="622" t="str">
        <f>IF(C184="YES",Param!S184,"no calc")</f>
        <v>no calc</v>
      </c>
      <c r="H184" s="622" t="str">
        <f>IF(C184="YES",Param!AD184,"no calc")</f>
        <v>no calc</v>
      </c>
      <c r="I184" s="596" t="str">
        <f>IF(C184="YES",Param!AE184,"no calc")</f>
        <v>no calc</v>
      </c>
      <c r="J184" s="582" t="str">
        <f>IF(OR($D184="na",$D184="no calc"),"na",0.000001*Eqtn!D$419/(Eqtn!D$415*$H184*$D184+Eqtn!D$420*$I184*$E184))</f>
        <v>na</v>
      </c>
      <c r="K184" s="582" t="str">
        <f>IF(OR($D184="na",$D184="no calc"),"na",0.000001*Eqtn!E$419/(Eqtn!E$415*$H184*$D184+Eqtn!E$420*$I184*$E184))</f>
        <v>na</v>
      </c>
      <c r="L184" s="582" t="str">
        <f>IF(OR($D184="na",$D184="no calc"),"na",0.000001*Eqtn!F$419/(Eqtn!F$415*$H184*$D184+Eqtn!F$420*$I184*$E184))</f>
        <v>na</v>
      </c>
      <c r="M184" s="348" t="str">
        <f>IF(OR($D184="na",$D184="no calc"),"na",0.00001*Eqtn!D$419/(Eqtn!D$415*$H184*$D184+Eqtn!D$420*$I184*$E184))</f>
        <v>na</v>
      </c>
      <c r="N184" s="348" t="str">
        <f>IF(OR($D184="na",$D184="no calc"),"na",0.00001*Eqtn!E$419/(Eqtn!E$415*$H184*$D184+Eqtn!E$420*$I184*$E184))</f>
        <v>na</v>
      </c>
      <c r="O184" s="695" t="str">
        <f>IF(OR($D184="na",$D184="no calc"),"na",0.00001*Eqtn!F$419/(Eqtn!F$415*$H184*$D184+Eqtn!F$420*$I184*$E184))</f>
        <v>na</v>
      </c>
      <c r="P184" s="806" t="str">
        <f>IF(OR($F184="na",$F184="no calc"),"na",1*Eqtn!D$451/(Eqtn!D$447*$H184/$F184+Eqtn!D$452*$I184/$G184))</f>
        <v>na</v>
      </c>
      <c r="Q184" s="806" t="str">
        <f>IF(OR($F184="na",$F184="no calc"),"na",1*Eqtn!E$451/(Eqtn!E$447*$H184/$F184+Eqtn!E$452*$I184/$G184))</f>
        <v>na</v>
      </c>
      <c r="R184" s="806" t="str">
        <f>IF(OR($F184="na",$F184="no calc"),"na",1*Eqtn!F$451/(Eqtn!F$447*$H184/$F184+Eqtn!F$452*$I184/$G184))</f>
        <v>na</v>
      </c>
      <c r="S184" s="1426" t="str">
        <f t="shared" si="97"/>
        <v>na</v>
      </c>
      <c r="T184" s="1426" t="str">
        <f t="shared" si="98"/>
        <v>na</v>
      </c>
      <c r="U184" s="1426" t="str">
        <f t="shared" si="99"/>
        <v>na</v>
      </c>
      <c r="V184" s="1415" t="str">
        <f t="shared" si="84"/>
        <v>na</v>
      </c>
      <c r="W184" s="1399" t="str">
        <f t="shared" si="100"/>
        <v>na</v>
      </c>
      <c r="X184" s="1399" t="str">
        <f t="shared" si="101"/>
        <v>na</v>
      </c>
      <c r="Y184" s="1399" t="str">
        <f t="shared" si="102"/>
        <v>na</v>
      </c>
      <c r="Z184" s="716" t="str">
        <f t="shared" si="88"/>
        <v>na</v>
      </c>
      <c r="AB184" s="1062"/>
    </row>
    <row r="185" spans="1:28" ht="13.9" customHeight="1" x14ac:dyDescent="0.25">
      <c r="A185" s="846">
        <f>Chem!A185</f>
        <v>183</v>
      </c>
      <c r="B185" s="916" t="str">
        <f>Chem!B185</f>
        <v>1,3-Dichloropropane</v>
      </c>
      <c r="C185" s="2305" t="str">
        <f>Param!AK185</f>
        <v>no</v>
      </c>
      <c r="D185" s="384" t="str">
        <f>IF(C185="YES",Param!V185,"no calc")</f>
        <v>no calc</v>
      </c>
      <c r="E185" s="552" t="str">
        <f>IF(C185="YES",Param!X185,"no calc")</f>
        <v>no calc</v>
      </c>
      <c r="F185" s="384" t="str">
        <f>IF(C185="YES",Param!O185,"no calc")</f>
        <v>no calc</v>
      </c>
      <c r="G185" s="622" t="str">
        <f>IF(C185="YES",Param!S185,"no calc")</f>
        <v>no calc</v>
      </c>
      <c r="H185" s="622" t="str">
        <f>IF(C185="YES",Param!AD185,"no calc")</f>
        <v>no calc</v>
      </c>
      <c r="I185" s="596" t="str">
        <f>IF(C185="YES",Param!AE185,"no calc")</f>
        <v>no calc</v>
      </c>
      <c r="J185" s="582" t="str">
        <f>IF(OR($D185="na",$D185="no calc"),"na",0.000001*Eqtn!D$419/(Eqtn!D$415*$H185*$D185+Eqtn!D$420*$I185*$E185))</f>
        <v>na</v>
      </c>
      <c r="K185" s="582" t="str">
        <f>IF(OR($D185="na",$D185="no calc"),"na",0.000001*Eqtn!E$419/(Eqtn!E$415*$H185*$D185+Eqtn!E$420*$I185*$E185))</f>
        <v>na</v>
      </c>
      <c r="L185" s="582" t="str">
        <f>IF(OR($D185="na",$D185="no calc"),"na",0.000001*Eqtn!F$419/(Eqtn!F$415*$H185*$D185+Eqtn!F$420*$I185*$E185))</f>
        <v>na</v>
      </c>
      <c r="M185" s="348" t="str">
        <f>IF(OR($D185="na",$D185="no calc"),"na",0.00001*Eqtn!D$419/(Eqtn!D$415*$H185*$D185+Eqtn!D$420*$I185*$E185))</f>
        <v>na</v>
      </c>
      <c r="N185" s="348" t="str">
        <f>IF(OR($D185="na",$D185="no calc"),"na",0.00001*Eqtn!E$419/(Eqtn!E$415*$H185*$D185+Eqtn!E$420*$I185*$E185))</f>
        <v>na</v>
      </c>
      <c r="O185" s="695" t="str">
        <f>IF(OR($D185="na",$D185="no calc"),"na",0.00001*Eqtn!F$419/(Eqtn!F$415*$H185*$D185+Eqtn!F$420*$I185*$E185))</f>
        <v>na</v>
      </c>
      <c r="P185" s="806" t="str">
        <f>IF(OR($F185="na",$F185="no calc"),"na",1*Eqtn!D$451/(Eqtn!D$447*$H185/$F185+Eqtn!D$452*$I185/$G185))</f>
        <v>na</v>
      </c>
      <c r="Q185" s="806" t="str">
        <f>IF(OR($F185="na",$F185="no calc"),"na",1*Eqtn!E$451/(Eqtn!E$447*$H185/$F185+Eqtn!E$452*$I185/$G185))</f>
        <v>na</v>
      </c>
      <c r="R185" s="806" t="str">
        <f>IF(OR($F185="na",$F185="no calc"),"na",1*Eqtn!F$451/(Eqtn!F$447*$H185/$F185+Eqtn!F$452*$I185/$G185))</f>
        <v>na</v>
      </c>
      <c r="S185" s="1426" t="str">
        <f t="shared" si="97"/>
        <v>na</v>
      </c>
      <c r="T185" s="1426" t="str">
        <f t="shared" si="98"/>
        <v>na</v>
      </c>
      <c r="U185" s="1426" t="str">
        <f t="shared" si="99"/>
        <v>na</v>
      </c>
      <c r="V185" s="1415" t="str">
        <f t="shared" si="84"/>
        <v>na</v>
      </c>
      <c r="W185" s="1399" t="str">
        <f t="shared" si="100"/>
        <v>na</v>
      </c>
      <c r="X185" s="1399" t="str">
        <f t="shared" si="101"/>
        <v>na</v>
      </c>
      <c r="Y185" s="1399" t="str">
        <f t="shared" si="102"/>
        <v>na</v>
      </c>
      <c r="Z185" s="716" t="str">
        <f t="shared" si="88"/>
        <v>na</v>
      </c>
      <c r="AB185" s="1062"/>
    </row>
    <row r="186" spans="1:28" ht="13.9" customHeight="1" x14ac:dyDescent="0.25">
      <c r="A186" s="846">
        <f>Chem!A186</f>
        <v>184</v>
      </c>
      <c r="B186" s="916" t="str">
        <f>Chem!B186</f>
        <v>2,2-Dichloropropane</v>
      </c>
      <c r="C186" s="2305" t="str">
        <f>Param!AK186</f>
        <v>no</v>
      </c>
      <c r="D186" s="384" t="str">
        <f>IF(C186="YES",Param!V186,"no calc")</f>
        <v>no calc</v>
      </c>
      <c r="E186" s="552" t="str">
        <f>IF(C186="YES",Param!X186,"no calc")</f>
        <v>no calc</v>
      </c>
      <c r="F186" s="384" t="str">
        <f>IF(C186="YES",Param!O186,"no calc")</f>
        <v>no calc</v>
      </c>
      <c r="G186" s="622" t="str">
        <f>IF(C186="YES",Param!S186,"no calc")</f>
        <v>no calc</v>
      </c>
      <c r="H186" s="622" t="str">
        <f>IF(C186="YES",Param!AD186,"no calc")</f>
        <v>no calc</v>
      </c>
      <c r="I186" s="596" t="str">
        <f>IF(C186="YES",Param!AE186,"no calc")</f>
        <v>no calc</v>
      </c>
      <c r="J186" s="582" t="str">
        <f>IF(OR($D186="na",$D186="no calc"),"na",0.000001*Eqtn!D$419/(Eqtn!D$415*$H186*$D186+Eqtn!D$420*$I186*$E186))</f>
        <v>na</v>
      </c>
      <c r="K186" s="582" t="str">
        <f>IF(OR($D186="na",$D186="no calc"),"na",0.000001*Eqtn!E$419/(Eqtn!E$415*$H186*$D186+Eqtn!E$420*$I186*$E186))</f>
        <v>na</v>
      </c>
      <c r="L186" s="582" t="str">
        <f>IF(OR($D186="na",$D186="no calc"),"na",0.000001*Eqtn!F$419/(Eqtn!F$415*$H186*$D186+Eqtn!F$420*$I186*$E186))</f>
        <v>na</v>
      </c>
      <c r="M186" s="348" t="str">
        <f>IF(OR($D186="na",$D186="no calc"),"na",0.00001*Eqtn!D$419/(Eqtn!D$415*$H186*$D186+Eqtn!D$420*$I186*$E186))</f>
        <v>na</v>
      </c>
      <c r="N186" s="348" t="str">
        <f>IF(OR($D186="na",$D186="no calc"),"na",0.00001*Eqtn!E$419/(Eqtn!E$415*$H186*$D186+Eqtn!E$420*$I186*$E186))</f>
        <v>na</v>
      </c>
      <c r="O186" s="695" t="str">
        <f>IF(OR($D186="na",$D186="no calc"),"na",0.00001*Eqtn!F$419/(Eqtn!F$415*$H186*$D186+Eqtn!F$420*$I186*$E186))</f>
        <v>na</v>
      </c>
      <c r="P186" s="806" t="str">
        <f>IF(OR($F186="na",$F186="no calc"),"na",1*Eqtn!D$451/(Eqtn!D$447*$H186/$F186+Eqtn!D$452*$I186/$G186))</f>
        <v>na</v>
      </c>
      <c r="Q186" s="806" t="str">
        <f>IF(OR($F186="na",$F186="no calc"),"na",1*Eqtn!E$451/(Eqtn!E$447*$H186/$F186+Eqtn!E$452*$I186/$G186))</f>
        <v>na</v>
      </c>
      <c r="R186" s="806" t="str">
        <f>IF(OR($F186="na",$F186="no calc"),"na",1*Eqtn!F$451/(Eqtn!F$447*$H186/$F186+Eqtn!F$452*$I186/$G186))</f>
        <v>na</v>
      </c>
      <c r="S186" s="1426" t="str">
        <f t="shared" si="97"/>
        <v>na</v>
      </c>
      <c r="T186" s="1426" t="str">
        <f t="shared" si="98"/>
        <v>na</v>
      </c>
      <c r="U186" s="1426" t="str">
        <f t="shared" si="99"/>
        <v>na</v>
      </c>
      <c r="V186" s="1415" t="str">
        <f t="shared" si="84"/>
        <v>na</v>
      </c>
      <c r="W186" s="1399" t="str">
        <f t="shared" si="100"/>
        <v>na</v>
      </c>
      <c r="X186" s="1399" t="str">
        <f t="shared" si="101"/>
        <v>na</v>
      </c>
      <c r="Y186" s="1399" t="str">
        <f t="shared" si="102"/>
        <v>na</v>
      </c>
      <c r="Z186" s="716" t="str">
        <f t="shared" si="88"/>
        <v>na</v>
      </c>
      <c r="AB186" s="1062"/>
    </row>
    <row r="187" spans="1:28" ht="13.9" customHeight="1" x14ac:dyDescent="0.25">
      <c r="A187" s="846">
        <f>Chem!A187</f>
        <v>185</v>
      </c>
      <c r="B187" s="916" t="str">
        <f>Chem!B187</f>
        <v>1,1-Dichloropropene</v>
      </c>
      <c r="C187" s="2305" t="str">
        <f>Param!AK187</f>
        <v>no</v>
      </c>
      <c r="D187" s="384" t="str">
        <f>IF(C187="YES",Param!V187,"no calc")</f>
        <v>no calc</v>
      </c>
      <c r="E187" s="552" t="str">
        <f>IF(C187="YES",Param!X187,"no calc")</f>
        <v>no calc</v>
      </c>
      <c r="F187" s="384" t="str">
        <f>IF(C187="YES",Param!O187,"no calc")</f>
        <v>no calc</v>
      </c>
      <c r="G187" s="622" t="str">
        <f>IF(C187="YES",Param!S187,"no calc")</f>
        <v>no calc</v>
      </c>
      <c r="H187" s="622" t="str">
        <f>IF(C187="YES",Param!AD187,"no calc")</f>
        <v>no calc</v>
      </c>
      <c r="I187" s="596" t="str">
        <f>IF(C187="YES",Param!AE187,"no calc")</f>
        <v>no calc</v>
      </c>
      <c r="J187" s="582" t="str">
        <f>IF(OR($D187="na",$D187="no calc"),"na",0.000001*Eqtn!D$419/(Eqtn!D$415*$H187*$D187+Eqtn!D$420*$I187*$E187))</f>
        <v>na</v>
      </c>
      <c r="K187" s="582" t="str">
        <f>IF(OR($D187="na",$D187="no calc"),"na",0.000001*Eqtn!E$419/(Eqtn!E$415*$H187*$D187+Eqtn!E$420*$I187*$E187))</f>
        <v>na</v>
      </c>
      <c r="L187" s="582" t="str">
        <f>IF(OR($D187="na",$D187="no calc"),"na",0.000001*Eqtn!F$419/(Eqtn!F$415*$H187*$D187+Eqtn!F$420*$I187*$E187))</f>
        <v>na</v>
      </c>
      <c r="M187" s="348" t="str">
        <f>IF(OR($D187="na",$D187="no calc"),"na",0.00001*Eqtn!D$419/(Eqtn!D$415*$H187*$D187+Eqtn!D$420*$I187*$E187))</f>
        <v>na</v>
      </c>
      <c r="N187" s="348" t="str">
        <f>IF(OR($D187="na",$D187="no calc"),"na",0.00001*Eqtn!E$419/(Eqtn!E$415*$H187*$D187+Eqtn!E$420*$I187*$E187))</f>
        <v>na</v>
      </c>
      <c r="O187" s="695" t="str">
        <f>IF(OR($D187="na",$D187="no calc"),"na",0.00001*Eqtn!F$419/(Eqtn!F$415*$H187*$D187+Eqtn!F$420*$I187*$E187))</f>
        <v>na</v>
      </c>
      <c r="P187" s="806" t="str">
        <f>IF(OR($F187="na",$F187="no calc"),"na",1*Eqtn!D$451/(Eqtn!D$447*$H187/$F187+Eqtn!D$452*$I187/$G187))</f>
        <v>na</v>
      </c>
      <c r="Q187" s="806" t="str">
        <f>IF(OR($F187="na",$F187="no calc"),"na",1*Eqtn!E$451/(Eqtn!E$447*$H187/$F187+Eqtn!E$452*$I187/$G187))</f>
        <v>na</v>
      </c>
      <c r="R187" s="806" t="str">
        <f>IF(OR($F187="na",$F187="no calc"),"na",1*Eqtn!F$451/(Eqtn!F$447*$H187/$F187+Eqtn!F$452*$I187/$G187))</f>
        <v>na</v>
      </c>
      <c r="S187" s="1426" t="str">
        <f t="shared" si="97"/>
        <v>na</v>
      </c>
      <c r="T187" s="1426" t="str">
        <f t="shared" si="98"/>
        <v>na</v>
      </c>
      <c r="U187" s="1426" t="str">
        <f t="shared" si="99"/>
        <v>na</v>
      </c>
      <c r="V187" s="1415" t="str">
        <f t="shared" si="84"/>
        <v>na</v>
      </c>
      <c r="W187" s="1399" t="str">
        <f t="shared" si="100"/>
        <v>na</v>
      </c>
      <c r="X187" s="1399" t="str">
        <f t="shared" si="101"/>
        <v>na</v>
      </c>
      <c r="Y187" s="1399" t="str">
        <f t="shared" si="102"/>
        <v>na</v>
      </c>
      <c r="Z187" s="716" t="str">
        <f t="shared" si="88"/>
        <v>na</v>
      </c>
      <c r="AB187" s="1062"/>
    </row>
    <row r="188" spans="1:28" ht="13.9" customHeight="1" x14ac:dyDescent="0.25">
      <c r="A188" s="846">
        <f>Chem!A188</f>
        <v>186</v>
      </c>
      <c r="B188" s="916" t="str">
        <f>Chem!B188</f>
        <v>cis-1,3-Dichloropropene</v>
      </c>
      <c r="C188" s="2305" t="str">
        <f>Param!AK188</f>
        <v>no</v>
      </c>
      <c r="D188" s="384" t="str">
        <f>IF(C188="YES",Param!V188,"no calc")</f>
        <v>no calc</v>
      </c>
      <c r="E188" s="552" t="str">
        <f>IF(C188="YES",Param!X188,"no calc")</f>
        <v>no calc</v>
      </c>
      <c r="F188" s="384" t="str">
        <f>IF(C188="YES",Param!O188,"no calc")</f>
        <v>no calc</v>
      </c>
      <c r="G188" s="622" t="str">
        <f>IF(C188="YES",Param!S188,"no calc")</f>
        <v>no calc</v>
      </c>
      <c r="H188" s="622" t="str">
        <f>IF(C188="YES",Param!AD188,"no calc")</f>
        <v>no calc</v>
      </c>
      <c r="I188" s="596" t="str">
        <f>IF(C188="YES",Param!AE188,"no calc")</f>
        <v>no calc</v>
      </c>
      <c r="J188" s="582" t="str">
        <f>IF(OR($D188="na",$D188="no calc"),"na",0.000001*Eqtn!D$419/(Eqtn!D$415*$H188*$D188+Eqtn!D$420*$I188*$E188))</f>
        <v>na</v>
      </c>
      <c r="K188" s="582" t="str">
        <f>IF(OR($D188="na",$D188="no calc"),"na",0.000001*Eqtn!E$419/(Eqtn!E$415*$H188*$D188+Eqtn!E$420*$I188*$E188))</f>
        <v>na</v>
      </c>
      <c r="L188" s="582" t="str">
        <f>IF(OR($D188="na",$D188="no calc"),"na",0.000001*Eqtn!F$419/(Eqtn!F$415*$H188*$D188+Eqtn!F$420*$I188*$E188))</f>
        <v>na</v>
      </c>
      <c r="M188" s="348" t="str">
        <f>IF(OR($D188="na",$D188="no calc"),"na",0.00001*Eqtn!D$419/(Eqtn!D$415*$H188*$D188+Eqtn!D$420*$I188*$E188))</f>
        <v>na</v>
      </c>
      <c r="N188" s="348" t="str">
        <f>IF(OR($D188="na",$D188="no calc"),"na",0.00001*Eqtn!E$419/(Eqtn!E$415*$H188*$D188+Eqtn!E$420*$I188*$E188))</f>
        <v>na</v>
      </c>
      <c r="O188" s="695" t="str">
        <f>IF(OR($D188="na",$D188="no calc"),"na",0.00001*Eqtn!F$419/(Eqtn!F$415*$H188*$D188+Eqtn!F$420*$I188*$E188))</f>
        <v>na</v>
      </c>
      <c r="P188" s="806" t="str">
        <f>IF(OR($F188="na",$F188="no calc"),"na",1*Eqtn!D$451/(Eqtn!D$447*$H188/$F188+Eqtn!D$452*$I188/$G188))</f>
        <v>na</v>
      </c>
      <c r="Q188" s="806" t="str">
        <f>IF(OR($F188="na",$F188="no calc"),"na",1*Eqtn!E$451/(Eqtn!E$447*$H188/$F188+Eqtn!E$452*$I188/$G188))</f>
        <v>na</v>
      </c>
      <c r="R188" s="806" t="str">
        <f>IF(OR($F188="na",$F188="no calc"),"na",1*Eqtn!F$451/(Eqtn!F$447*$H188/$F188+Eqtn!F$452*$I188/$G188))</f>
        <v>na</v>
      </c>
      <c r="S188" s="1426" t="str">
        <f t="shared" si="97"/>
        <v>na</v>
      </c>
      <c r="T188" s="1426" t="str">
        <f t="shared" si="98"/>
        <v>na</v>
      </c>
      <c r="U188" s="1426" t="str">
        <f t="shared" si="99"/>
        <v>na</v>
      </c>
      <c r="V188" s="1415" t="str">
        <f t="shared" si="84"/>
        <v>na</v>
      </c>
      <c r="W188" s="1399" t="str">
        <f t="shared" si="100"/>
        <v>na</v>
      </c>
      <c r="X188" s="1399" t="str">
        <f t="shared" si="101"/>
        <v>na</v>
      </c>
      <c r="Y188" s="1399" t="str">
        <f t="shared" si="102"/>
        <v>na</v>
      </c>
      <c r="Z188" s="716" t="str">
        <f t="shared" si="88"/>
        <v>na</v>
      </c>
      <c r="AB188" s="1062"/>
    </row>
    <row r="189" spans="1:28" ht="13.9" customHeight="1" x14ac:dyDescent="0.25">
      <c r="A189" s="846">
        <f>Chem!A189</f>
        <v>187</v>
      </c>
      <c r="B189" s="916" t="str">
        <f>Chem!B189</f>
        <v>trans-1,3-Dichloropropene</v>
      </c>
      <c r="C189" s="2305" t="str">
        <f>Param!AK189</f>
        <v>no</v>
      </c>
      <c r="D189" s="384" t="str">
        <f>IF(C189="YES",Param!V189,"no calc")</f>
        <v>no calc</v>
      </c>
      <c r="E189" s="552" t="str">
        <f>IF(C189="YES",Param!X189,"no calc")</f>
        <v>no calc</v>
      </c>
      <c r="F189" s="384" t="str">
        <f>IF(C189="YES",Param!O189,"no calc")</f>
        <v>no calc</v>
      </c>
      <c r="G189" s="622" t="str">
        <f>IF(C189="YES",Param!S189,"no calc")</f>
        <v>no calc</v>
      </c>
      <c r="H189" s="622" t="str">
        <f>IF(C189="YES",Param!AD189,"no calc")</f>
        <v>no calc</v>
      </c>
      <c r="I189" s="596" t="str">
        <f>IF(C189="YES",Param!AE189,"no calc")</f>
        <v>no calc</v>
      </c>
      <c r="J189" s="582" t="str">
        <f>IF(OR($D189="na",$D189="no calc"),"na",0.000001*Eqtn!D$419/(Eqtn!D$415*$H189*$D189+Eqtn!D$420*$I189*$E189))</f>
        <v>na</v>
      </c>
      <c r="K189" s="582" t="str">
        <f>IF(OR($D189="na",$D189="no calc"),"na",0.000001*Eqtn!E$419/(Eqtn!E$415*$H189*$D189+Eqtn!E$420*$I189*$E189))</f>
        <v>na</v>
      </c>
      <c r="L189" s="582" t="str">
        <f>IF(OR($D189="na",$D189="no calc"),"na",0.000001*Eqtn!F$419/(Eqtn!F$415*$H189*$D189+Eqtn!F$420*$I189*$E189))</f>
        <v>na</v>
      </c>
      <c r="M189" s="348" t="str">
        <f>IF(OR($D189="na",$D189="no calc"),"na",0.00001*Eqtn!D$419/(Eqtn!D$415*$H189*$D189+Eqtn!D$420*$I189*$E189))</f>
        <v>na</v>
      </c>
      <c r="N189" s="348" t="str">
        <f>IF(OR($D189="na",$D189="no calc"),"na",0.00001*Eqtn!E$419/(Eqtn!E$415*$H189*$D189+Eqtn!E$420*$I189*$E189))</f>
        <v>na</v>
      </c>
      <c r="O189" s="695" t="str">
        <f>IF(OR($D189="na",$D189="no calc"),"na",0.00001*Eqtn!F$419/(Eqtn!F$415*$H189*$D189+Eqtn!F$420*$I189*$E189))</f>
        <v>na</v>
      </c>
      <c r="P189" s="806" t="str">
        <f>IF(OR($F189="na",$F189="no calc"),"na",1*Eqtn!D$451/(Eqtn!D$447*$H189/$F189+Eqtn!D$452*$I189/$G189))</f>
        <v>na</v>
      </c>
      <c r="Q189" s="806" t="str">
        <f>IF(OR($F189="na",$F189="no calc"),"na",1*Eqtn!E$451/(Eqtn!E$447*$H189/$F189+Eqtn!E$452*$I189/$G189))</f>
        <v>na</v>
      </c>
      <c r="R189" s="806" t="str">
        <f>IF(OR($F189="na",$F189="no calc"),"na",1*Eqtn!F$451/(Eqtn!F$447*$H189/$F189+Eqtn!F$452*$I189/$G189))</f>
        <v>na</v>
      </c>
      <c r="S189" s="1426" t="str">
        <f t="shared" si="97"/>
        <v>na</v>
      </c>
      <c r="T189" s="1426" t="str">
        <f t="shared" si="98"/>
        <v>na</v>
      </c>
      <c r="U189" s="1426" t="str">
        <f t="shared" si="99"/>
        <v>na</v>
      </c>
      <c r="V189" s="1415" t="str">
        <f t="shared" si="84"/>
        <v>na</v>
      </c>
      <c r="W189" s="1399" t="str">
        <f t="shared" si="100"/>
        <v>na</v>
      </c>
      <c r="X189" s="1399" t="str">
        <f t="shared" si="101"/>
        <v>na</v>
      </c>
      <c r="Y189" s="1399" t="str">
        <f t="shared" si="102"/>
        <v>na</v>
      </c>
      <c r="Z189" s="716" t="str">
        <f t="shared" si="88"/>
        <v>na</v>
      </c>
      <c r="AB189" s="1062"/>
    </row>
    <row r="190" spans="1:28" ht="13.9" customHeight="1" x14ac:dyDescent="0.25">
      <c r="A190" s="846">
        <f>Chem!A190</f>
        <v>188</v>
      </c>
      <c r="B190" s="916" t="str">
        <f>Chem!B190</f>
        <v>Diisopropyl ether</v>
      </c>
      <c r="C190" s="2305" t="str">
        <f>Param!AK190</f>
        <v>no</v>
      </c>
      <c r="D190" s="384" t="str">
        <f>IF(C190="YES",Param!V190,"no calc")</f>
        <v>no calc</v>
      </c>
      <c r="E190" s="552" t="str">
        <f>IF(C190="YES",Param!X190,"no calc")</f>
        <v>no calc</v>
      </c>
      <c r="F190" s="384" t="str">
        <f>IF(C190="YES",Param!O190,"no calc")</f>
        <v>no calc</v>
      </c>
      <c r="G190" s="622" t="str">
        <f>IF(C190="YES",Param!S190,"no calc")</f>
        <v>no calc</v>
      </c>
      <c r="H190" s="622" t="str">
        <f>IF(C190="YES",Param!AD190,"no calc")</f>
        <v>no calc</v>
      </c>
      <c r="I190" s="596" t="str">
        <f>IF(C190="YES",Param!AE190,"no calc")</f>
        <v>no calc</v>
      </c>
      <c r="J190" s="582" t="str">
        <f>IF(OR($D190="na",$D190="no calc"),"na",0.000001*Eqtn!D$419/(Eqtn!D$415*$H190*$D190+Eqtn!D$420*$I190*$E190))</f>
        <v>na</v>
      </c>
      <c r="K190" s="582" t="str">
        <f>IF(OR($D190="na",$D190="no calc"),"na",0.000001*Eqtn!E$419/(Eqtn!E$415*$H190*$D190+Eqtn!E$420*$I190*$E190))</f>
        <v>na</v>
      </c>
      <c r="L190" s="582" t="str">
        <f>IF(OR($D190="na",$D190="no calc"),"na",0.000001*Eqtn!F$419/(Eqtn!F$415*$H190*$D190+Eqtn!F$420*$I190*$E190))</f>
        <v>na</v>
      </c>
      <c r="M190" s="348" t="str">
        <f>IF(OR($D190="na",$D190="no calc"),"na",0.00001*Eqtn!D$419/(Eqtn!D$415*$H190*$D190+Eqtn!D$420*$I190*$E190))</f>
        <v>na</v>
      </c>
      <c r="N190" s="348" t="str">
        <f>IF(OR($D190="na",$D190="no calc"),"na",0.00001*Eqtn!E$419/(Eqtn!E$415*$H190*$D190+Eqtn!E$420*$I190*$E190))</f>
        <v>na</v>
      </c>
      <c r="O190" s="695" t="str">
        <f>IF(OR($D190="na",$D190="no calc"),"na",0.00001*Eqtn!F$419/(Eqtn!F$415*$H190*$D190+Eqtn!F$420*$I190*$E190))</f>
        <v>na</v>
      </c>
      <c r="P190" s="806" t="str">
        <f>IF(OR($F190="na",$F190="no calc"),"na",1*Eqtn!D$451/(Eqtn!D$447*$H190/$F190+Eqtn!D$452*$I190/$G190))</f>
        <v>na</v>
      </c>
      <c r="Q190" s="806" t="str">
        <f>IF(OR($F190="na",$F190="no calc"),"na",1*Eqtn!E$451/(Eqtn!E$447*$H190/$F190+Eqtn!E$452*$I190/$G190))</f>
        <v>na</v>
      </c>
      <c r="R190" s="806" t="str">
        <f>IF(OR($F190="na",$F190="no calc"),"na",1*Eqtn!F$451/(Eqtn!F$447*$H190/$F190+Eqtn!F$452*$I190/$G190))</f>
        <v>na</v>
      </c>
      <c r="S190" s="1426" t="str">
        <f t="shared" ref="S190" si="103">IF(OR(ISNUMBER(J190),ISNUMBER(P190)),MIN(J190,P190),"na")</f>
        <v>na</v>
      </c>
      <c r="T190" s="1426" t="str">
        <f t="shared" ref="T190" si="104">IF(OR(ISNUMBER(K190),ISNUMBER(Q190)),MIN(K190,Q190),"na")</f>
        <v>na</v>
      </c>
      <c r="U190" s="1426" t="str">
        <f t="shared" ref="U190" si="105">IF(OR(ISNUMBER(L190),ISNUMBER(R190)),MIN(L190,R190),"na")</f>
        <v>na</v>
      </c>
      <c r="V190" s="1415" t="str">
        <f t="shared" ref="V190" si="106">IF(OR(ISNUMBER(S190),ISNUMBER(T190),ISNUMBER(U190)),MIN(S190,T190,U190),"na")</f>
        <v>na</v>
      </c>
      <c r="W190" s="1399" t="str">
        <f t="shared" ref="W190" si="107">IF(OR(ISNUMBER(M190),ISNUMBER(P190)),MIN(M190,P190),"na")</f>
        <v>na</v>
      </c>
      <c r="X190" s="1399" t="str">
        <f t="shared" ref="X190" si="108">IF(OR(ISNUMBER(N190),ISNUMBER(Q190)),MIN(N190,Q190),"na")</f>
        <v>na</v>
      </c>
      <c r="Y190" s="1399" t="str">
        <f t="shared" ref="Y190" si="109">IF(OR(ISNUMBER(O190),ISNUMBER(R190)),MIN(O190,R190),"na")</f>
        <v>na</v>
      </c>
      <c r="Z190" s="716" t="str">
        <f t="shared" ref="Z190" si="110">IF(OR(ISNUMBER(W190),ISNUMBER(X190),ISNUMBER(Y190)),MIN(W190,X190,Y190),"na")</f>
        <v>na</v>
      </c>
      <c r="AB190" s="1062"/>
    </row>
    <row r="191" spans="1:28" ht="13.9" customHeight="1" x14ac:dyDescent="0.25">
      <c r="A191" s="846">
        <f>Chem!A191</f>
        <v>189</v>
      </c>
      <c r="B191" s="916" t="str">
        <f>Chem!B191</f>
        <v>Ethane</v>
      </c>
      <c r="C191" s="2305" t="str">
        <f>Param!AK191</f>
        <v>no</v>
      </c>
      <c r="D191" s="394" t="str">
        <f>IF(C191="YES",Param!V191,"no calc")</f>
        <v>no calc</v>
      </c>
      <c r="E191" s="552" t="str">
        <f>IF(C191="YES",Param!X191,"no calc")</f>
        <v>no calc</v>
      </c>
      <c r="F191" s="394" t="str">
        <f>IF(C191="YES",Param!O191,"no calc")</f>
        <v>no calc</v>
      </c>
      <c r="G191" s="622" t="str">
        <f>IF(C191="YES",Param!S191,"no calc")</f>
        <v>no calc</v>
      </c>
      <c r="H191" s="622" t="str">
        <f>IF(C191="YES",Param!AD191,"no calc")</f>
        <v>no calc</v>
      </c>
      <c r="I191" s="598" t="str">
        <f>IF(C191="YES",Param!AE191,"no calc")</f>
        <v>no calc</v>
      </c>
      <c r="J191" s="582" t="str">
        <f>IF(OR($D191="na",$D191="no calc"),"na",0.000001*Eqtn!D$419/(Eqtn!D$415*$H191*$D191+Eqtn!D$420*$I191*$E191))</f>
        <v>na</v>
      </c>
      <c r="K191" s="582" t="str">
        <f>IF(OR($D191="na",$D191="no calc"),"na",0.000001*Eqtn!E$419/(Eqtn!E$415*$H191*$D191+Eqtn!E$420*$I191*$E191))</f>
        <v>na</v>
      </c>
      <c r="L191" s="582" t="str">
        <f>IF(OR($D191="na",$D191="no calc"),"na",0.000001*Eqtn!F$419/(Eqtn!F$415*$H191*$D191+Eqtn!F$420*$I191*$E191))</f>
        <v>na</v>
      </c>
      <c r="M191" s="348" t="str">
        <f>IF(OR($D191="na",$D191="no calc"),"na",0.00001*Eqtn!D$419/(Eqtn!D$415*$H191*$D191+Eqtn!D$420*$I191*$E191))</f>
        <v>na</v>
      </c>
      <c r="N191" s="348" t="str">
        <f>IF(OR($D191="na",$D191="no calc"),"na",0.00001*Eqtn!E$419/(Eqtn!E$415*$H191*$D191+Eqtn!E$420*$I191*$E191))</f>
        <v>na</v>
      </c>
      <c r="O191" s="695" t="str">
        <f>IF(OR($D191="na",$D191="no calc"),"na",0.00001*Eqtn!F$419/(Eqtn!F$415*$H191*$D191+Eqtn!F$420*$I191*$E191))</f>
        <v>na</v>
      </c>
      <c r="P191" s="806" t="str">
        <f>IF(OR($F191="na",$F191="no calc"),"na",1*Eqtn!D$451/(Eqtn!D$447*$H191/$F191+Eqtn!D$452*$I191/$G191))</f>
        <v>na</v>
      </c>
      <c r="Q191" s="806" t="str">
        <f>IF(OR($F191="na",$F191="no calc"),"na",1*Eqtn!E$451/(Eqtn!E$447*$H191/$F191+Eqtn!E$452*$I191/$G191))</f>
        <v>na</v>
      </c>
      <c r="R191" s="806" t="str">
        <f>IF(OR($F191="na",$F191="no calc"),"na",1*Eqtn!F$451/(Eqtn!F$447*$H191/$F191+Eqtn!F$452*$I191/$G191))</f>
        <v>na</v>
      </c>
      <c r="S191" s="1426" t="str">
        <f t="shared" si="97"/>
        <v>na</v>
      </c>
      <c r="T191" s="1426" t="str">
        <f t="shared" si="98"/>
        <v>na</v>
      </c>
      <c r="U191" s="1426" t="str">
        <f t="shared" si="99"/>
        <v>na</v>
      </c>
      <c r="V191" s="1415" t="str">
        <f t="shared" si="84"/>
        <v>na</v>
      </c>
      <c r="W191" s="1399" t="str">
        <f t="shared" si="100"/>
        <v>na</v>
      </c>
      <c r="X191" s="1399" t="str">
        <f t="shared" si="101"/>
        <v>na</v>
      </c>
      <c r="Y191" s="1399" t="str">
        <f t="shared" si="102"/>
        <v>na</v>
      </c>
      <c r="Z191" s="716" t="str">
        <f t="shared" si="88"/>
        <v>na</v>
      </c>
      <c r="AB191" s="1062"/>
    </row>
    <row r="192" spans="1:28" ht="13.9" customHeight="1" x14ac:dyDescent="0.25">
      <c r="A192" s="846">
        <f>Chem!A192</f>
        <v>190</v>
      </c>
      <c r="B192" s="916" t="str">
        <f>Chem!B192</f>
        <v>Ethylbenzene</v>
      </c>
      <c r="C192" s="2305" t="str">
        <f>Param!AK192</f>
        <v>no</v>
      </c>
      <c r="D192" s="384" t="str">
        <f>IF(C192="YES",Param!V192,"no calc")</f>
        <v>no calc</v>
      </c>
      <c r="E192" s="552" t="str">
        <f>IF(C192="YES",Param!X192,"no calc")</f>
        <v>no calc</v>
      </c>
      <c r="F192" s="384" t="str">
        <f>IF(C192="YES",Param!O192,"no calc")</f>
        <v>no calc</v>
      </c>
      <c r="G192" s="622" t="str">
        <f>IF(C192="YES",Param!S192,"no calc")</f>
        <v>no calc</v>
      </c>
      <c r="H192" s="622" t="str">
        <f>IF(C192="YES",Param!AD192,"no calc")</f>
        <v>no calc</v>
      </c>
      <c r="I192" s="596" t="str">
        <f>IF(C192="YES",Param!AE192,"no calc")</f>
        <v>no calc</v>
      </c>
      <c r="J192" s="582" t="str">
        <f>IF(OR($D192="na",$D192="no calc"),"na",0.000001*Eqtn!D$419/(Eqtn!D$415*$H192*$D192+Eqtn!D$420*$I192*$E192))</f>
        <v>na</v>
      </c>
      <c r="K192" s="582" t="str">
        <f>IF(OR($D192="na",$D192="no calc"),"na",0.000001*Eqtn!E$419/(Eqtn!E$415*$H192*$D192+Eqtn!E$420*$I192*$E192))</f>
        <v>na</v>
      </c>
      <c r="L192" s="582" t="str">
        <f>IF(OR($D192="na",$D192="no calc"),"na",0.000001*Eqtn!F$419/(Eqtn!F$415*$H192*$D192+Eqtn!F$420*$I192*$E192))</f>
        <v>na</v>
      </c>
      <c r="M192" s="348" t="str">
        <f>IF(OR($D192="na",$D192="no calc"),"na",0.00001*Eqtn!D$419/(Eqtn!D$415*$H192*$D192+Eqtn!D$420*$I192*$E192))</f>
        <v>na</v>
      </c>
      <c r="N192" s="348" t="str">
        <f>IF(OR($D192="na",$D192="no calc"),"na",0.00001*Eqtn!E$419/(Eqtn!E$415*$H192*$D192+Eqtn!E$420*$I192*$E192))</f>
        <v>na</v>
      </c>
      <c r="O192" s="695" t="str">
        <f>IF(OR($D192="na",$D192="no calc"),"na",0.00001*Eqtn!F$419/(Eqtn!F$415*$H192*$D192+Eqtn!F$420*$I192*$E192))</f>
        <v>na</v>
      </c>
      <c r="P192" s="806" t="str">
        <f>IF(OR($F192="na",$F192="no calc"),"na",1*Eqtn!D$451/(Eqtn!D$447*$H192/$F192+Eqtn!D$452*$I192/$G192))</f>
        <v>na</v>
      </c>
      <c r="Q192" s="806" t="str">
        <f>IF(OR($F192="na",$F192="no calc"),"na",1*Eqtn!E$451/(Eqtn!E$447*$H192/$F192+Eqtn!E$452*$I192/$G192))</f>
        <v>na</v>
      </c>
      <c r="R192" s="806" t="str">
        <f>IF(OR($F192="na",$F192="no calc"),"na",1*Eqtn!F$451/(Eqtn!F$447*$H192/$F192+Eqtn!F$452*$I192/$G192))</f>
        <v>na</v>
      </c>
      <c r="S192" s="1426" t="str">
        <f t="shared" si="97"/>
        <v>na</v>
      </c>
      <c r="T192" s="1426" t="str">
        <f t="shared" si="98"/>
        <v>na</v>
      </c>
      <c r="U192" s="1426" t="str">
        <f t="shared" si="99"/>
        <v>na</v>
      </c>
      <c r="V192" s="1415" t="str">
        <f t="shared" si="84"/>
        <v>na</v>
      </c>
      <c r="W192" s="1399" t="str">
        <f t="shared" si="100"/>
        <v>na</v>
      </c>
      <c r="X192" s="1399" t="str">
        <f t="shared" si="101"/>
        <v>na</v>
      </c>
      <c r="Y192" s="1399" t="str">
        <f t="shared" si="102"/>
        <v>na</v>
      </c>
      <c r="Z192" s="716" t="str">
        <f t="shared" si="88"/>
        <v>na</v>
      </c>
      <c r="AB192" s="1062"/>
    </row>
    <row r="193" spans="1:28" ht="13.9" customHeight="1" x14ac:dyDescent="0.25">
      <c r="A193" s="846">
        <f>Chem!A193</f>
        <v>191</v>
      </c>
      <c r="B193" s="1843" t="str">
        <f>Chem!B193</f>
        <v>Ethylene oxide</v>
      </c>
      <c r="C193" s="2305" t="str">
        <f>Param!AK193</f>
        <v>no</v>
      </c>
      <c r="D193" s="394" t="str">
        <f>IF(C193="YES",Param!V193,"no calc")</f>
        <v>no calc</v>
      </c>
      <c r="E193" s="552" t="str">
        <f>IF(C193="YES",Param!X193,"no calc")</f>
        <v>no calc</v>
      </c>
      <c r="F193" s="394" t="str">
        <f>IF(C193="YES",Param!O193,"no calc")</f>
        <v>no calc</v>
      </c>
      <c r="G193" s="622" t="str">
        <f>IF(C193="YES",Param!S193,"no calc")</f>
        <v>no calc</v>
      </c>
      <c r="H193" s="622" t="str">
        <f>IF(C193="YES",Param!AD193,"no calc")</f>
        <v>no calc</v>
      </c>
      <c r="I193" s="598" t="str">
        <f>IF(C193="YES",Param!AE193,"no calc")</f>
        <v>no calc</v>
      </c>
      <c r="J193" s="582" t="str">
        <f>IF(OR($D193="na",$D193="no calc"),"na",0.000001*Eqtn!D$419/(Eqtn!D$415*$H193*$D193+Eqtn!D$420*$I193*$E193))</f>
        <v>na</v>
      </c>
      <c r="K193" s="582" t="str">
        <f>IF(OR($D193="na",$D193="no calc"),"na",0.000001*Eqtn!E$419/(Eqtn!E$415*$H193*$D193+Eqtn!E$420*$I193*$E193))</f>
        <v>na</v>
      </c>
      <c r="L193" s="582" t="str">
        <f>IF(OR($D193="na",$D193="no calc"),"na",0.000001*Eqtn!F$419/(Eqtn!F$415*$H193*$D193+Eqtn!F$420*$I193*$E193))</f>
        <v>na</v>
      </c>
      <c r="M193" s="348" t="str">
        <f>IF(OR($D193="na",$D193="no calc"),"na",0.00001*Eqtn!D$419/(Eqtn!D$415*$H193*$D193+Eqtn!D$420*$I193*$E193))</f>
        <v>na</v>
      </c>
      <c r="N193" s="348" t="str">
        <f>IF(OR($D193="na",$D193="no calc"),"na",0.00001*Eqtn!E$419/(Eqtn!E$415*$H193*$D193+Eqtn!E$420*$I193*$E193))</f>
        <v>na</v>
      </c>
      <c r="O193" s="695" t="str">
        <f>IF(OR($D193="na",$D193="no calc"),"na",0.00001*Eqtn!F$419/(Eqtn!F$415*$H193*$D193+Eqtn!F$420*$I193*$E193))</f>
        <v>na</v>
      </c>
      <c r="P193" s="806" t="str">
        <f>IF(OR($F193="na",$F193="no calc"),"na",1*Eqtn!D$451/(Eqtn!D$447*$H193/$F193+Eqtn!D$452*$I193/$G193))</f>
        <v>na</v>
      </c>
      <c r="Q193" s="806" t="str">
        <f>IF(OR($F193="na",$F193="no calc"),"na",1*Eqtn!E$451/(Eqtn!E$447*$H193/$F193+Eqtn!E$452*$I193/$G193))</f>
        <v>na</v>
      </c>
      <c r="R193" s="806" t="str">
        <f>IF(OR($F193="na",$F193="no calc"),"na",1*Eqtn!F$451/(Eqtn!F$447*$H193/$F193+Eqtn!F$452*$I193/$G193))</f>
        <v>na</v>
      </c>
      <c r="S193" s="1426" t="str">
        <f t="shared" si="97"/>
        <v>na</v>
      </c>
      <c r="T193" s="1426" t="str">
        <f t="shared" si="98"/>
        <v>na</v>
      </c>
      <c r="U193" s="1426" t="str">
        <f t="shared" si="99"/>
        <v>na</v>
      </c>
      <c r="V193" s="1415" t="str">
        <f t="shared" si="84"/>
        <v>na</v>
      </c>
      <c r="W193" s="1399" t="str">
        <f t="shared" si="100"/>
        <v>na</v>
      </c>
      <c r="X193" s="1399" t="str">
        <f t="shared" si="101"/>
        <v>na</v>
      </c>
      <c r="Y193" s="1399" t="str">
        <f t="shared" si="102"/>
        <v>na</v>
      </c>
      <c r="Z193" s="716" t="str">
        <f t="shared" si="88"/>
        <v>na</v>
      </c>
      <c r="AB193" s="1062"/>
    </row>
    <row r="194" spans="1:28" ht="13.9" customHeight="1" x14ac:dyDescent="0.25">
      <c r="A194" s="846">
        <f>Chem!A194</f>
        <v>192</v>
      </c>
      <c r="B194" s="916" t="str">
        <f>Chem!B194</f>
        <v>Ethyl ether</v>
      </c>
      <c r="C194" s="2305" t="str">
        <f>Param!AK194</f>
        <v>no</v>
      </c>
      <c r="D194" s="384" t="str">
        <f>IF(C194="YES",Param!V194,"no calc")</f>
        <v>no calc</v>
      </c>
      <c r="E194" s="552" t="str">
        <f>IF(C194="YES",Param!X194,"no calc")</f>
        <v>no calc</v>
      </c>
      <c r="F194" s="384" t="str">
        <f>IF(C194="YES",Param!O194,"no calc")</f>
        <v>no calc</v>
      </c>
      <c r="G194" s="622" t="str">
        <f>IF(C194="YES",Param!S194,"no calc")</f>
        <v>no calc</v>
      </c>
      <c r="H194" s="622" t="str">
        <f>IF(C194="YES",Param!AD194,"no calc")</f>
        <v>no calc</v>
      </c>
      <c r="I194" s="596" t="str">
        <f>IF(C194="YES",Param!AE194,"no calc")</f>
        <v>no calc</v>
      </c>
      <c r="J194" s="582" t="str">
        <f>IF(OR($D194="na",$D194="no calc"),"na",0.000001*Eqtn!D$419/(Eqtn!D$415*$H194*$D194+Eqtn!D$420*$I194*$E194))</f>
        <v>na</v>
      </c>
      <c r="K194" s="582" t="str">
        <f>IF(OR($D194="na",$D194="no calc"),"na",0.000001*Eqtn!E$419/(Eqtn!E$415*$H194*$D194+Eqtn!E$420*$I194*$E194))</f>
        <v>na</v>
      </c>
      <c r="L194" s="582" t="str">
        <f>IF(OR($D194="na",$D194="no calc"),"na",0.000001*Eqtn!F$419/(Eqtn!F$415*$H194*$D194+Eqtn!F$420*$I194*$E194))</f>
        <v>na</v>
      </c>
      <c r="M194" s="348" t="str">
        <f>IF(OR($D194="na",$D194="no calc"),"na",0.00001*Eqtn!D$419/(Eqtn!D$415*$H194*$D194+Eqtn!D$420*$I194*$E194))</f>
        <v>na</v>
      </c>
      <c r="N194" s="348" t="str">
        <f>IF(OR($D194="na",$D194="no calc"),"na",0.00001*Eqtn!E$419/(Eqtn!E$415*$H194*$D194+Eqtn!E$420*$I194*$E194))</f>
        <v>na</v>
      </c>
      <c r="O194" s="695" t="str">
        <f>IF(OR($D194="na",$D194="no calc"),"na",0.00001*Eqtn!F$419/(Eqtn!F$415*$H194*$D194+Eqtn!F$420*$I194*$E194))</f>
        <v>na</v>
      </c>
      <c r="P194" s="806" t="str">
        <f>IF(OR($F194="na",$F194="no calc"),"na",1*Eqtn!D$451/(Eqtn!D$447*$H194/$F194+Eqtn!D$452*$I194/$G194))</f>
        <v>na</v>
      </c>
      <c r="Q194" s="806" t="str">
        <f>IF(OR($F194="na",$F194="no calc"),"na",1*Eqtn!E$451/(Eqtn!E$447*$H194/$F194+Eqtn!E$452*$I194/$G194))</f>
        <v>na</v>
      </c>
      <c r="R194" s="806" t="str">
        <f>IF(OR($F194="na",$F194="no calc"),"na",1*Eqtn!F$451/(Eqtn!F$447*$H194/$F194+Eqtn!F$452*$I194/$G194))</f>
        <v>na</v>
      </c>
      <c r="S194" s="1426" t="str">
        <f t="shared" si="97"/>
        <v>na</v>
      </c>
      <c r="T194" s="1426" t="str">
        <f t="shared" si="98"/>
        <v>na</v>
      </c>
      <c r="U194" s="1426" t="str">
        <f t="shared" si="99"/>
        <v>na</v>
      </c>
      <c r="V194" s="1415" t="str">
        <f t="shared" si="84"/>
        <v>na</v>
      </c>
      <c r="W194" s="1399" t="str">
        <f t="shared" si="100"/>
        <v>na</v>
      </c>
      <c r="X194" s="1399" t="str">
        <f t="shared" si="101"/>
        <v>na</v>
      </c>
      <c r="Y194" s="1399" t="str">
        <f t="shared" si="102"/>
        <v>na</v>
      </c>
      <c r="Z194" s="716" t="str">
        <f t="shared" si="88"/>
        <v>na</v>
      </c>
      <c r="AB194" s="1062"/>
    </row>
    <row r="195" spans="1:28" ht="13.9" customHeight="1" x14ac:dyDescent="0.25">
      <c r="A195" s="846">
        <f>Chem!A195</f>
        <v>193</v>
      </c>
      <c r="B195" s="916" t="str">
        <f>Chem!B195</f>
        <v>Ethylene dibromide (EDB)</v>
      </c>
      <c r="C195" s="2305" t="str">
        <f>Param!AK195</f>
        <v>no</v>
      </c>
      <c r="D195" s="384" t="str">
        <f>IF(C195="YES",Param!V195,"no calc")</f>
        <v>no calc</v>
      </c>
      <c r="E195" s="552" t="str">
        <f>IF(C195="YES",Param!X195,"no calc")</f>
        <v>no calc</v>
      </c>
      <c r="F195" s="384" t="str">
        <f>IF(C195="YES",Param!O195,"no calc")</f>
        <v>no calc</v>
      </c>
      <c r="G195" s="622" t="str">
        <f>IF(C195="YES",Param!S195,"no calc")</f>
        <v>no calc</v>
      </c>
      <c r="H195" s="622" t="str">
        <f>IF(C195="YES",Param!AD195,"no calc")</f>
        <v>no calc</v>
      </c>
      <c r="I195" s="596" t="str">
        <f>IF(C195="YES",Param!AE195,"no calc")</f>
        <v>no calc</v>
      </c>
      <c r="J195" s="582" t="str">
        <f>IF(OR($D195="na",$D195="no calc"),"na",0.000001*Eqtn!D$419/(Eqtn!D$415*$H195*$D195+Eqtn!D$420*$I195*$E195))</f>
        <v>na</v>
      </c>
      <c r="K195" s="582" t="str">
        <f>IF(OR($D195="na",$D195="no calc"),"na",0.000001*Eqtn!E$419/(Eqtn!E$415*$H195*$D195+Eqtn!E$420*$I195*$E195))</f>
        <v>na</v>
      </c>
      <c r="L195" s="582" t="str">
        <f>IF(OR($D195="na",$D195="no calc"),"na",0.000001*Eqtn!F$419/(Eqtn!F$415*$H195*$D195+Eqtn!F$420*$I195*$E195))</f>
        <v>na</v>
      </c>
      <c r="M195" s="348" t="str">
        <f>IF(OR($D195="na",$D195="no calc"),"na",0.00001*Eqtn!D$419/(Eqtn!D$415*$H195*$D195+Eqtn!D$420*$I195*$E195))</f>
        <v>na</v>
      </c>
      <c r="N195" s="348" t="str">
        <f>IF(OR($D195="na",$D195="no calc"),"na",0.00001*Eqtn!E$419/(Eqtn!E$415*$H195*$D195+Eqtn!E$420*$I195*$E195))</f>
        <v>na</v>
      </c>
      <c r="O195" s="695" t="str">
        <f>IF(OR($D195="na",$D195="no calc"),"na",0.00001*Eqtn!F$419/(Eqtn!F$415*$H195*$D195+Eqtn!F$420*$I195*$E195))</f>
        <v>na</v>
      </c>
      <c r="P195" s="806" t="str">
        <f>IF(OR($F195="na",$F195="no calc"),"na",1*Eqtn!D$451/(Eqtn!D$447*$H195/$F195+Eqtn!D$452*$I195/$G195))</f>
        <v>na</v>
      </c>
      <c r="Q195" s="806" t="str">
        <f>IF(OR($F195="na",$F195="no calc"),"na",1*Eqtn!E$451/(Eqtn!E$447*$H195/$F195+Eqtn!E$452*$I195/$G195))</f>
        <v>na</v>
      </c>
      <c r="R195" s="806" t="str">
        <f>IF(OR($F195="na",$F195="no calc"),"na",1*Eqtn!F$451/(Eqtn!F$447*$H195/$F195+Eqtn!F$452*$I195/$G195))</f>
        <v>na</v>
      </c>
      <c r="S195" s="1426" t="str">
        <f t="shared" si="97"/>
        <v>na</v>
      </c>
      <c r="T195" s="1426" t="str">
        <f t="shared" si="98"/>
        <v>na</v>
      </c>
      <c r="U195" s="1426" t="str">
        <f t="shared" si="99"/>
        <v>na</v>
      </c>
      <c r="V195" s="1415" t="str">
        <f t="shared" si="84"/>
        <v>na</v>
      </c>
      <c r="W195" s="1399" t="str">
        <f t="shared" si="100"/>
        <v>na</v>
      </c>
      <c r="X195" s="1399" t="str">
        <f t="shared" si="101"/>
        <v>na</v>
      </c>
      <c r="Y195" s="1399" t="str">
        <f t="shared" si="102"/>
        <v>na</v>
      </c>
      <c r="Z195" s="716" t="str">
        <f t="shared" si="88"/>
        <v>na</v>
      </c>
      <c r="AB195" s="1062"/>
    </row>
    <row r="196" spans="1:28" ht="13.9" customHeight="1" x14ac:dyDescent="0.25">
      <c r="A196" s="846">
        <f>Chem!A196</f>
        <v>194</v>
      </c>
      <c r="B196" s="916" t="str">
        <f>Chem!B196</f>
        <v>Formaldehyde</v>
      </c>
      <c r="C196" s="2305" t="str">
        <f>Param!AK196</f>
        <v>no</v>
      </c>
      <c r="D196" s="384" t="str">
        <f>IF(C196="YES",Param!V196,"no calc")</f>
        <v>no calc</v>
      </c>
      <c r="E196" s="552" t="str">
        <f>IF(C196="YES",Param!X196,"no calc")</f>
        <v>no calc</v>
      </c>
      <c r="F196" s="384" t="str">
        <f>IF(C196="YES",Param!O196,"no calc")</f>
        <v>no calc</v>
      </c>
      <c r="G196" s="622" t="str">
        <f>IF(C196="YES",Param!S196,"no calc")</f>
        <v>no calc</v>
      </c>
      <c r="H196" s="622" t="str">
        <f>IF(C196="YES",Param!AD196,"no calc")</f>
        <v>no calc</v>
      </c>
      <c r="I196" s="596" t="str">
        <f>IF(C196="YES",Param!AE196,"no calc")</f>
        <v>no calc</v>
      </c>
      <c r="J196" s="582" t="str">
        <f>IF(OR($D196="na",$D196="no calc"),"na",0.000001*Eqtn!D$419/(Eqtn!D$415*$H196*$D196+Eqtn!D$420*$I196*$E196))</f>
        <v>na</v>
      </c>
      <c r="K196" s="582" t="str">
        <f>IF(OR($D196="na",$D196="no calc"),"na",0.000001*Eqtn!E$419/(Eqtn!E$415*$H196*$D196+Eqtn!E$420*$I196*$E196))</f>
        <v>na</v>
      </c>
      <c r="L196" s="582" t="str">
        <f>IF(OR($D196="na",$D196="no calc"),"na",0.000001*Eqtn!F$419/(Eqtn!F$415*$H196*$D196+Eqtn!F$420*$I196*$E196))</f>
        <v>na</v>
      </c>
      <c r="M196" s="348" t="str">
        <f>IF(OR($D196="na",$D196="no calc"),"na",0.00001*Eqtn!D$419/(Eqtn!D$415*$H196*$D196+Eqtn!D$420*$I196*$E196))</f>
        <v>na</v>
      </c>
      <c r="N196" s="348" t="str">
        <f>IF(OR($D196="na",$D196="no calc"),"na",0.00001*Eqtn!E$419/(Eqtn!E$415*$H196*$D196+Eqtn!E$420*$I196*$E196))</f>
        <v>na</v>
      </c>
      <c r="O196" s="695" t="str">
        <f>IF(OR($D196="na",$D196="no calc"),"na",0.00001*Eqtn!F$419/(Eqtn!F$415*$H196*$D196+Eqtn!F$420*$I196*$E196))</f>
        <v>na</v>
      </c>
      <c r="P196" s="806" t="str">
        <f>IF(OR($F196="na",$F196="no calc"),"na",1*Eqtn!D$451/(Eqtn!D$447*$H196/$F196+Eqtn!D$452*$I196/$G196))</f>
        <v>na</v>
      </c>
      <c r="Q196" s="806" t="str">
        <f>IF(OR($F196="na",$F196="no calc"),"na",1*Eqtn!E$451/(Eqtn!E$447*$H196/$F196+Eqtn!E$452*$I196/$G196))</f>
        <v>na</v>
      </c>
      <c r="R196" s="806" t="str">
        <f>IF(OR($F196="na",$F196="no calc"),"na",1*Eqtn!F$451/(Eqtn!F$447*$H196/$F196+Eqtn!F$452*$I196/$G196))</f>
        <v>na</v>
      </c>
      <c r="S196" s="1426" t="str">
        <f t="shared" si="97"/>
        <v>na</v>
      </c>
      <c r="T196" s="1426" t="str">
        <f t="shared" si="98"/>
        <v>na</v>
      </c>
      <c r="U196" s="1426" t="str">
        <f t="shared" si="99"/>
        <v>na</v>
      </c>
      <c r="V196" s="1415" t="str">
        <f t="shared" si="84"/>
        <v>na</v>
      </c>
      <c r="W196" s="1399" t="str">
        <f t="shared" si="100"/>
        <v>na</v>
      </c>
      <c r="X196" s="1399" t="str">
        <f t="shared" si="101"/>
        <v>na</v>
      </c>
      <c r="Y196" s="1399" t="str">
        <f t="shared" si="102"/>
        <v>na</v>
      </c>
      <c r="Z196" s="716" t="str">
        <f t="shared" si="88"/>
        <v>na</v>
      </c>
      <c r="AB196" s="1062"/>
    </row>
    <row r="197" spans="1:28" ht="13.9" customHeight="1" x14ac:dyDescent="0.25">
      <c r="A197" s="846">
        <f>Chem!A197</f>
        <v>195</v>
      </c>
      <c r="B197" s="916" t="str">
        <f>Chem!B197</f>
        <v>n-Hexane</v>
      </c>
      <c r="C197" s="2305" t="str">
        <f>Param!AK197</f>
        <v>no</v>
      </c>
      <c r="D197" s="384" t="str">
        <f>IF(C197="YES",Param!V197,"no calc")</f>
        <v>no calc</v>
      </c>
      <c r="E197" s="552" t="str">
        <f>IF(C197="YES",Param!X197,"no calc")</f>
        <v>no calc</v>
      </c>
      <c r="F197" s="384" t="str">
        <f>IF(C197="YES",Param!O197,"no calc")</f>
        <v>no calc</v>
      </c>
      <c r="G197" s="622" t="str">
        <f>IF(C197="YES",Param!S197,"no calc")</f>
        <v>no calc</v>
      </c>
      <c r="H197" s="622" t="str">
        <f>IF(C197="YES",Param!AD197,"no calc")</f>
        <v>no calc</v>
      </c>
      <c r="I197" s="596" t="str">
        <f>IF(C197="YES",Param!AE197,"no calc")</f>
        <v>no calc</v>
      </c>
      <c r="J197" s="582" t="str">
        <f>IF(OR($D197="na",$D197="no calc"),"na",0.000001*Eqtn!D$419/(Eqtn!D$415*$H197*$D197+Eqtn!D$420*$I197*$E197))</f>
        <v>na</v>
      </c>
      <c r="K197" s="582" t="str">
        <f>IF(OR($D197="na",$D197="no calc"),"na",0.000001*Eqtn!E$419/(Eqtn!E$415*$H197*$D197+Eqtn!E$420*$I197*$E197))</f>
        <v>na</v>
      </c>
      <c r="L197" s="582" t="str">
        <f>IF(OR($D197="na",$D197="no calc"),"na",0.000001*Eqtn!F$419/(Eqtn!F$415*$H197*$D197+Eqtn!F$420*$I197*$E197))</f>
        <v>na</v>
      </c>
      <c r="M197" s="348" t="str">
        <f>IF(OR($D197="na",$D197="no calc"),"na",0.00001*Eqtn!D$419/(Eqtn!D$415*$H197*$D197+Eqtn!D$420*$I197*$E197))</f>
        <v>na</v>
      </c>
      <c r="N197" s="348" t="str">
        <f>IF(OR($D197="na",$D197="no calc"),"na",0.00001*Eqtn!E$419/(Eqtn!E$415*$H197*$D197+Eqtn!E$420*$I197*$E197))</f>
        <v>na</v>
      </c>
      <c r="O197" s="695" t="str">
        <f>IF(OR($D197="na",$D197="no calc"),"na",0.00001*Eqtn!F$419/(Eqtn!F$415*$H197*$D197+Eqtn!F$420*$I197*$E197))</f>
        <v>na</v>
      </c>
      <c r="P197" s="806" t="str">
        <f>IF(OR($F197="na",$F197="no calc"),"na",1*Eqtn!D$451/(Eqtn!D$447*$H197/$F197+Eqtn!D$452*$I197/$G197))</f>
        <v>na</v>
      </c>
      <c r="Q197" s="806" t="str">
        <f>IF(OR($F197="na",$F197="no calc"),"na",1*Eqtn!E$451/(Eqtn!E$447*$H197/$F197+Eqtn!E$452*$I197/$G197))</f>
        <v>na</v>
      </c>
      <c r="R197" s="806" t="str">
        <f>IF(OR($F197="na",$F197="no calc"),"na",1*Eqtn!F$451/(Eqtn!F$447*$H197/$F197+Eqtn!F$452*$I197/$G197))</f>
        <v>na</v>
      </c>
      <c r="S197" s="1426" t="str">
        <f t="shared" si="97"/>
        <v>na</v>
      </c>
      <c r="T197" s="1426" t="str">
        <f t="shared" si="98"/>
        <v>na</v>
      </c>
      <c r="U197" s="1426" t="str">
        <f t="shared" si="99"/>
        <v>na</v>
      </c>
      <c r="V197" s="1415" t="str">
        <f t="shared" ref="V197" si="111">IF(OR(ISNUMBER(S197),ISNUMBER(T197),ISNUMBER(U197)),MIN(S197,T197,U197),"na")</f>
        <v>na</v>
      </c>
      <c r="W197" s="1399" t="str">
        <f t="shared" si="100"/>
        <v>na</v>
      </c>
      <c r="X197" s="1399" t="str">
        <f t="shared" si="101"/>
        <v>na</v>
      </c>
      <c r="Y197" s="1399" t="str">
        <f t="shared" si="102"/>
        <v>na</v>
      </c>
      <c r="Z197" s="716" t="str">
        <f t="shared" ref="Z197" si="112">IF(OR(ISNUMBER(W197),ISNUMBER(X197),ISNUMBER(Y197)),MIN(W197,X197,Y197),"na")</f>
        <v>na</v>
      </c>
      <c r="AB197" s="1062"/>
    </row>
    <row r="198" spans="1:28" ht="13.9" customHeight="1" x14ac:dyDescent="0.25">
      <c r="A198" s="846">
        <f>Chem!A198</f>
        <v>196</v>
      </c>
      <c r="B198" s="916" t="str">
        <f>Chem!B198</f>
        <v>2-Hexanone</v>
      </c>
      <c r="C198" s="2305" t="str">
        <f>Param!AK198</f>
        <v>no</v>
      </c>
      <c r="D198" s="384" t="str">
        <f>IF(C198="YES",Param!V198,"no calc")</f>
        <v>no calc</v>
      </c>
      <c r="E198" s="552" t="str">
        <f>IF(C198="YES",Param!X198,"no calc")</f>
        <v>no calc</v>
      </c>
      <c r="F198" s="384" t="str">
        <f>IF(C198="YES",Param!O198,"no calc")</f>
        <v>no calc</v>
      </c>
      <c r="G198" s="622" t="str">
        <f>IF(C198="YES",Param!S198,"no calc")</f>
        <v>no calc</v>
      </c>
      <c r="H198" s="622" t="str">
        <f>IF(C198="YES",Param!AD198,"no calc")</f>
        <v>no calc</v>
      </c>
      <c r="I198" s="596" t="str">
        <f>IF(C198="YES",Param!AE198,"no calc")</f>
        <v>no calc</v>
      </c>
      <c r="J198" s="582" t="str">
        <f>IF(OR($D198="na",$D198="no calc"),"na",0.000001*Eqtn!D$419/(Eqtn!D$415*$H198*$D198+Eqtn!D$420*$I198*$E198))</f>
        <v>na</v>
      </c>
      <c r="K198" s="582" t="str">
        <f>IF(OR($D198="na",$D198="no calc"),"na",0.000001*Eqtn!E$419/(Eqtn!E$415*$H198*$D198+Eqtn!E$420*$I198*$E198))</f>
        <v>na</v>
      </c>
      <c r="L198" s="582" t="str">
        <f>IF(OR($D198="na",$D198="no calc"),"na",0.000001*Eqtn!F$419/(Eqtn!F$415*$H198*$D198+Eqtn!F$420*$I198*$E198))</f>
        <v>na</v>
      </c>
      <c r="M198" s="348" t="str">
        <f>IF(OR($D198="na",$D198="no calc"),"na",0.00001*Eqtn!D$419/(Eqtn!D$415*$H198*$D198+Eqtn!D$420*$I198*$E198))</f>
        <v>na</v>
      </c>
      <c r="N198" s="348" t="str">
        <f>IF(OR($D198="na",$D198="no calc"),"na",0.00001*Eqtn!E$419/(Eqtn!E$415*$H198*$D198+Eqtn!E$420*$I198*$E198))</f>
        <v>na</v>
      </c>
      <c r="O198" s="695" t="str">
        <f>IF(OR($D198="na",$D198="no calc"),"na",0.00001*Eqtn!F$419/(Eqtn!F$415*$H198*$D198+Eqtn!F$420*$I198*$E198))</f>
        <v>na</v>
      </c>
      <c r="P198" s="806" t="str">
        <f>IF(OR($F198="na",$F198="no calc"),"na",1*Eqtn!D$451/(Eqtn!D$447*$H198/$F198+Eqtn!D$452*$I198/$G198))</f>
        <v>na</v>
      </c>
      <c r="Q198" s="806" t="str">
        <f>IF(OR($F198="na",$F198="no calc"),"na",1*Eqtn!E$451/(Eqtn!E$447*$H198/$F198+Eqtn!E$452*$I198/$G198))</f>
        <v>na</v>
      </c>
      <c r="R198" s="806" t="str">
        <f>IF(OR($F198="na",$F198="no calc"),"na",1*Eqtn!F$451/(Eqtn!F$447*$H198/$F198+Eqtn!F$452*$I198/$G198))</f>
        <v>na</v>
      </c>
      <c r="S198" s="1426" t="str">
        <f t="shared" si="97"/>
        <v>na</v>
      </c>
      <c r="T198" s="1426" t="str">
        <f t="shared" si="98"/>
        <v>na</v>
      </c>
      <c r="U198" s="1426" t="str">
        <f t="shared" si="99"/>
        <v>na</v>
      </c>
      <c r="V198" s="1415" t="str">
        <f t="shared" si="84"/>
        <v>na</v>
      </c>
      <c r="W198" s="1399" t="str">
        <f t="shared" si="100"/>
        <v>na</v>
      </c>
      <c r="X198" s="1399" t="str">
        <f t="shared" si="101"/>
        <v>na</v>
      </c>
      <c r="Y198" s="1399" t="str">
        <f t="shared" si="102"/>
        <v>na</v>
      </c>
      <c r="Z198" s="716" t="str">
        <f t="shared" si="88"/>
        <v>na</v>
      </c>
      <c r="AB198" s="1062"/>
    </row>
    <row r="199" spans="1:28" ht="13.9" customHeight="1" x14ac:dyDescent="0.25">
      <c r="A199" s="846">
        <f>Chem!A199</f>
        <v>197</v>
      </c>
      <c r="B199" s="916" t="str">
        <f>Chem!B199</f>
        <v>Isopropylbenzene (cumene)</v>
      </c>
      <c r="C199" s="2305" t="str">
        <f>Param!AK199</f>
        <v>no</v>
      </c>
      <c r="D199" s="384" t="str">
        <f>IF(C199="YES",Param!V199,"no calc")</f>
        <v>no calc</v>
      </c>
      <c r="E199" s="552" t="str">
        <f>IF(C199="YES",Param!X199,"no calc")</f>
        <v>no calc</v>
      </c>
      <c r="F199" s="384" t="str">
        <f>IF(C199="YES",Param!O199,"no calc")</f>
        <v>no calc</v>
      </c>
      <c r="G199" s="622" t="str">
        <f>IF(C199="YES",Param!S199,"no calc")</f>
        <v>no calc</v>
      </c>
      <c r="H199" s="622" t="str">
        <f>IF(C199="YES",Param!AD199,"no calc")</f>
        <v>no calc</v>
      </c>
      <c r="I199" s="596" t="str">
        <f>IF(C199="YES",Param!AE199,"no calc")</f>
        <v>no calc</v>
      </c>
      <c r="J199" s="582" t="str">
        <f>IF(OR($D199="na",$D199="no calc"),"na",0.000001*Eqtn!D$419/(Eqtn!D$415*$H199*$D199+Eqtn!D$420*$I199*$E199))</f>
        <v>na</v>
      </c>
      <c r="K199" s="582" t="str">
        <f>IF(OR($D199="na",$D199="no calc"),"na",0.000001*Eqtn!E$419/(Eqtn!E$415*$H199*$D199+Eqtn!E$420*$I199*$E199))</f>
        <v>na</v>
      </c>
      <c r="L199" s="582" t="str">
        <f>IF(OR($D199="na",$D199="no calc"),"na",0.000001*Eqtn!F$419/(Eqtn!F$415*$H199*$D199+Eqtn!F$420*$I199*$E199))</f>
        <v>na</v>
      </c>
      <c r="M199" s="348" t="str">
        <f>IF(OR($D199="na",$D199="no calc"),"na",0.00001*Eqtn!D$419/(Eqtn!D$415*$H199*$D199+Eqtn!D$420*$I199*$E199))</f>
        <v>na</v>
      </c>
      <c r="N199" s="348" t="str">
        <f>IF(OR($D199="na",$D199="no calc"),"na",0.00001*Eqtn!E$419/(Eqtn!E$415*$H199*$D199+Eqtn!E$420*$I199*$E199))</f>
        <v>na</v>
      </c>
      <c r="O199" s="695" t="str">
        <f>IF(OR($D199="na",$D199="no calc"),"na",0.00001*Eqtn!F$419/(Eqtn!F$415*$H199*$D199+Eqtn!F$420*$I199*$E199))</f>
        <v>na</v>
      </c>
      <c r="P199" s="806" t="str">
        <f>IF(OR($F199="na",$F199="no calc"),"na",1*Eqtn!D$451/(Eqtn!D$447*$H199/$F199+Eqtn!D$452*$I199/$G199))</f>
        <v>na</v>
      </c>
      <c r="Q199" s="806" t="str">
        <f>IF(OR($F199="na",$F199="no calc"),"na",1*Eqtn!E$451/(Eqtn!E$447*$H199/$F199+Eqtn!E$452*$I199/$G199))</f>
        <v>na</v>
      </c>
      <c r="R199" s="806" t="str">
        <f>IF(OR($F199="na",$F199="no calc"),"na",1*Eqtn!F$451/(Eqtn!F$447*$H199/$F199+Eqtn!F$452*$I199/$G199))</f>
        <v>na</v>
      </c>
      <c r="S199" s="1426" t="str">
        <f t="shared" si="97"/>
        <v>na</v>
      </c>
      <c r="T199" s="1426" t="str">
        <f t="shared" si="98"/>
        <v>na</v>
      </c>
      <c r="U199" s="1426" t="str">
        <f t="shared" si="99"/>
        <v>na</v>
      </c>
      <c r="V199" s="1415" t="str">
        <f t="shared" si="84"/>
        <v>na</v>
      </c>
      <c r="W199" s="1399" t="str">
        <f t="shared" si="100"/>
        <v>na</v>
      </c>
      <c r="X199" s="1399" t="str">
        <f t="shared" si="101"/>
        <v>na</v>
      </c>
      <c r="Y199" s="1399" t="str">
        <f t="shared" si="102"/>
        <v>na</v>
      </c>
      <c r="Z199" s="716" t="str">
        <f t="shared" si="88"/>
        <v>na</v>
      </c>
      <c r="AB199" s="1062"/>
    </row>
    <row r="200" spans="1:28" ht="13.9" customHeight="1" x14ac:dyDescent="0.25">
      <c r="A200" s="846">
        <f>Chem!A200</f>
        <v>198</v>
      </c>
      <c r="B200" s="916" t="str">
        <f>Chem!B200</f>
        <v>4-Isopropyltoluene (p-isopropyltoluene)</v>
      </c>
      <c r="C200" s="2305" t="str">
        <f>Param!AK200</f>
        <v>no</v>
      </c>
      <c r="D200" s="384" t="str">
        <f>IF(C200="YES",Param!V200,"no calc")</f>
        <v>no calc</v>
      </c>
      <c r="E200" s="552" t="str">
        <f>IF(C200="YES",Param!X200,"no calc")</f>
        <v>no calc</v>
      </c>
      <c r="F200" s="384" t="str">
        <f>IF(C200="YES",Param!O200,"no calc")</f>
        <v>no calc</v>
      </c>
      <c r="G200" s="622" t="str">
        <f>IF(C200="YES",Param!S200,"no calc")</f>
        <v>no calc</v>
      </c>
      <c r="H200" s="622" t="str">
        <f>IF(C200="YES",Param!AD200,"no calc")</f>
        <v>no calc</v>
      </c>
      <c r="I200" s="596" t="str">
        <f>IF(C200="YES",Param!AE200,"no calc")</f>
        <v>no calc</v>
      </c>
      <c r="J200" s="582" t="str">
        <f>IF(OR($D200="na",$D200="no calc"),"na",0.000001*Eqtn!D$419/(Eqtn!D$415*$H200*$D200+Eqtn!D$420*$I200*$E200))</f>
        <v>na</v>
      </c>
      <c r="K200" s="582" t="str">
        <f>IF(OR($D200="na",$D200="no calc"),"na",0.000001*Eqtn!E$419/(Eqtn!E$415*$H200*$D200+Eqtn!E$420*$I200*$E200))</f>
        <v>na</v>
      </c>
      <c r="L200" s="582" t="str">
        <f>IF(OR($D200="na",$D200="no calc"),"na",0.000001*Eqtn!F$419/(Eqtn!F$415*$H200*$D200+Eqtn!F$420*$I200*$E200))</f>
        <v>na</v>
      </c>
      <c r="M200" s="348" t="str">
        <f>IF(OR($D200="na",$D200="no calc"),"na",0.00001*Eqtn!D$419/(Eqtn!D$415*$H200*$D200+Eqtn!D$420*$I200*$E200))</f>
        <v>na</v>
      </c>
      <c r="N200" s="348" t="str">
        <f>IF(OR($D200="na",$D200="no calc"),"na",0.00001*Eqtn!E$419/(Eqtn!E$415*$H200*$D200+Eqtn!E$420*$I200*$E200))</f>
        <v>na</v>
      </c>
      <c r="O200" s="695" t="str">
        <f>IF(OR($D200="na",$D200="no calc"),"na",0.00001*Eqtn!F$419/(Eqtn!F$415*$H200*$D200+Eqtn!F$420*$I200*$E200))</f>
        <v>na</v>
      </c>
      <c r="P200" s="806" t="str">
        <f>IF(OR($F200="na",$F200="no calc"),"na",1*Eqtn!D$451/(Eqtn!D$447*$H200/$F200+Eqtn!D$452*$I200/$G200))</f>
        <v>na</v>
      </c>
      <c r="Q200" s="806" t="str">
        <f>IF(OR($F200="na",$F200="no calc"),"na",1*Eqtn!E$451/(Eqtn!E$447*$H200/$F200+Eqtn!E$452*$I200/$G200))</f>
        <v>na</v>
      </c>
      <c r="R200" s="806" t="str">
        <f>IF(OR($F200="na",$F200="no calc"),"na",1*Eqtn!F$451/(Eqtn!F$447*$H200/$F200+Eqtn!F$452*$I200/$G200))</f>
        <v>na</v>
      </c>
      <c r="S200" s="1426" t="str">
        <f t="shared" si="97"/>
        <v>na</v>
      </c>
      <c r="T200" s="1426" t="str">
        <f t="shared" si="98"/>
        <v>na</v>
      </c>
      <c r="U200" s="1426" t="str">
        <f t="shared" si="99"/>
        <v>na</v>
      </c>
      <c r="V200" s="1415" t="str">
        <f t="shared" si="84"/>
        <v>na</v>
      </c>
      <c r="W200" s="1399" t="str">
        <f t="shared" si="100"/>
        <v>na</v>
      </c>
      <c r="X200" s="1399" t="str">
        <f t="shared" si="101"/>
        <v>na</v>
      </c>
      <c r="Y200" s="1399" t="str">
        <f t="shared" si="102"/>
        <v>na</v>
      </c>
      <c r="Z200" s="716" t="str">
        <f t="shared" si="88"/>
        <v>na</v>
      </c>
      <c r="AB200" s="1062"/>
    </row>
    <row r="201" spans="1:28" ht="13.9" customHeight="1" x14ac:dyDescent="0.25">
      <c r="A201" s="846">
        <f>Chem!A201</f>
        <v>199</v>
      </c>
      <c r="B201" s="916" t="str">
        <f>Chem!B201</f>
        <v>Methane</v>
      </c>
      <c r="C201" s="2305" t="str">
        <f>Param!AK201</f>
        <v>no</v>
      </c>
      <c r="D201" s="394" t="str">
        <f>IF(C201="YES",Param!V201,"no calc")</f>
        <v>no calc</v>
      </c>
      <c r="E201" s="552" t="str">
        <f>IF(C201="YES",Param!X201,"no calc")</f>
        <v>no calc</v>
      </c>
      <c r="F201" s="394" t="str">
        <f>IF(C201="YES",Param!O201,"no calc")</f>
        <v>no calc</v>
      </c>
      <c r="G201" s="622" t="str">
        <f>IF(C201="YES",Param!S201,"no calc")</f>
        <v>no calc</v>
      </c>
      <c r="H201" s="622" t="str">
        <f>IF(C201="YES",Param!AD201,"no calc")</f>
        <v>no calc</v>
      </c>
      <c r="I201" s="598" t="str">
        <f>IF(C201="YES",Param!AE201,"no calc")</f>
        <v>no calc</v>
      </c>
      <c r="J201" s="582" t="str">
        <f>IF(OR($D201="na",$D201="no calc"),"na",0.000001*Eqtn!D$419/(Eqtn!D$415*$H201*$D201+Eqtn!D$420*$I201*$E201))</f>
        <v>na</v>
      </c>
      <c r="K201" s="582" t="str">
        <f>IF(OR($D201="na",$D201="no calc"),"na",0.000001*Eqtn!E$419/(Eqtn!E$415*$H201*$D201+Eqtn!E$420*$I201*$E201))</f>
        <v>na</v>
      </c>
      <c r="L201" s="582" t="str">
        <f>IF(OR($D201="na",$D201="no calc"),"na",0.000001*Eqtn!F$419/(Eqtn!F$415*$H201*$D201+Eqtn!F$420*$I201*$E201))</f>
        <v>na</v>
      </c>
      <c r="M201" s="348" t="str">
        <f>IF(OR($D201="na",$D201="no calc"),"na",0.00001*Eqtn!D$419/(Eqtn!D$415*$H201*$D201+Eqtn!D$420*$I201*$E201))</f>
        <v>na</v>
      </c>
      <c r="N201" s="348" t="str">
        <f>IF(OR($D201="na",$D201="no calc"),"na",0.00001*Eqtn!E$419/(Eqtn!E$415*$H201*$D201+Eqtn!E$420*$I201*$E201))</f>
        <v>na</v>
      </c>
      <c r="O201" s="695" t="str">
        <f>IF(OR($D201="na",$D201="no calc"),"na",0.00001*Eqtn!F$419/(Eqtn!F$415*$H201*$D201+Eqtn!F$420*$I201*$E201))</f>
        <v>na</v>
      </c>
      <c r="P201" s="806" t="str">
        <f>IF(OR($F201="na",$F201="no calc"),"na",1*Eqtn!D$451/(Eqtn!D$447*$H201/$F201+Eqtn!D$452*$I201/$G201))</f>
        <v>na</v>
      </c>
      <c r="Q201" s="806" t="str">
        <f>IF(OR($F201="na",$F201="no calc"),"na",1*Eqtn!E$451/(Eqtn!E$447*$H201/$F201+Eqtn!E$452*$I201/$G201))</f>
        <v>na</v>
      </c>
      <c r="R201" s="806" t="str">
        <f>IF(OR($F201="na",$F201="no calc"),"na",1*Eqtn!F$451/(Eqtn!F$447*$H201/$F201+Eqtn!F$452*$I201/$G201))</f>
        <v>na</v>
      </c>
      <c r="S201" s="1426" t="str">
        <f t="shared" si="97"/>
        <v>na</v>
      </c>
      <c r="T201" s="1426" t="str">
        <f t="shared" si="98"/>
        <v>na</v>
      </c>
      <c r="U201" s="1426" t="str">
        <f t="shared" si="99"/>
        <v>na</v>
      </c>
      <c r="V201" s="1415" t="str">
        <f t="shared" si="84"/>
        <v>na</v>
      </c>
      <c r="W201" s="1399" t="str">
        <f t="shared" si="100"/>
        <v>na</v>
      </c>
      <c r="X201" s="1399" t="str">
        <f t="shared" si="101"/>
        <v>na</v>
      </c>
      <c r="Y201" s="1399" t="str">
        <f t="shared" si="102"/>
        <v>na</v>
      </c>
      <c r="Z201" s="716" t="str">
        <f t="shared" si="88"/>
        <v>na</v>
      </c>
      <c r="AB201" s="1062"/>
    </row>
    <row r="202" spans="1:28" ht="13.9" customHeight="1" x14ac:dyDescent="0.25">
      <c r="A202" s="846">
        <f>Chem!A202</f>
        <v>200</v>
      </c>
      <c r="B202" s="916" t="str">
        <f>Chem!B202</f>
        <v>Methyl ethyl ketone (2-butanone)</v>
      </c>
      <c r="C202" s="2305" t="str">
        <f>Param!AK202</f>
        <v>no</v>
      </c>
      <c r="D202" s="384" t="str">
        <f>IF(C202="YES",Param!V202,"no calc")</f>
        <v>no calc</v>
      </c>
      <c r="E202" s="552" t="str">
        <f>IF(C202="YES",Param!X202,"no calc")</f>
        <v>no calc</v>
      </c>
      <c r="F202" s="384" t="str">
        <f>IF(C202="YES",Param!O202,"no calc")</f>
        <v>no calc</v>
      </c>
      <c r="G202" s="622" t="str">
        <f>IF(C202="YES",Param!S202,"no calc")</f>
        <v>no calc</v>
      </c>
      <c r="H202" s="622" t="str">
        <f>IF(C202="YES",Param!AD202,"no calc")</f>
        <v>no calc</v>
      </c>
      <c r="I202" s="596" t="str">
        <f>IF(C202="YES",Param!AE202,"no calc")</f>
        <v>no calc</v>
      </c>
      <c r="J202" s="582" t="str">
        <f>IF(OR($D202="na",$D202="no calc"),"na",0.000001*Eqtn!D$419/(Eqtn!D$415*$H202*$D202+Eqtn!D$420*$I202*$E202))</f>
        <v>na</v>
      </c>
      <c r="K202" s="582" t="str">
        <f>IF(OR($D202="na",$D202="no calc"),"na",0.000001*Eqtn!E$419/(Eqtn!E$415*$H202*$D202+Eqtn!E$420*$I202*$E202))</f>
        <v>na</v>
      </c>
      <c r="L202" s="582" t="str">
        <f>IF(OR($D202="na",$D202="no calc"),"na",0.000001*Eqtn!F$419/(Eqtn!F$415*$H202*$D202+Eqtn!F$420*$I202*$E202))</f>
        <v>na</v>
      </c>
      <c r="M202" s="348" t="str">
        <f>IF(OR($D202="na",$D202="no calc"),"na",0.00001*Eqtn!D$419/(Eqtn!D$415*$H202*$D202+Eqtn!D$420*$I202*$E202))</f>
        <v>na</v>
      </c>
      <c r="N202" s="348" t="str">
        <f>IF(OR($D202="na",$D202="no calc"),"na",0.00001*Eqtn!E$419/(Eqtn!E$415*$H202*$D202+Eqtn!E$420*$I202*$E202))</f>
        <v>na</v>
      </c>
      <c r="O202" s="695" t="str">
        <f>IF(OR($D202="na",$D202="no calc"),"na",0.00001*Eqtn!F$419/(Eqtn!F$415*$H202*$D202+Eqtn!F$420*$I202*$E202))</f>
        <v>na</v>
      </c>
      <c r="P202" s="806" t="str">
        <f>IF(OR($F202="na",$F202="no calc"),"na",1*Eqtn!D$451/(Eqtn!D$447*$H202/$F202+Eqtn!D$452*$I202/$G202))</f>
        <v>na</v>
      </c>
      <c r="Q202" s="806" t="str">
        <f>IF(OR($F202="na",$F202="no calc"),"na",1*Eqtn!E$451/(Eqtn!E$447*$H202/$F202+Eqtn!E$452*$I202/$G202))</f>
        <v>na</v>
      </c>
      <c r="R202" s="806" t="str">
        <f>IF(OR($F202="na",$F202="no calc"),"na",1*Eqtn!F$451/(Eqtn!F$447*$H202/$F202+Eqtn!F$452*$I202/$G202))</f>
        <v>na</v>
      </c>
      <c r="S202" s="1426" t="str">
        <f t="shared" si="97"/>
        <v>na</v>
      </c>
      <c r="T202" s="1426" t="str">
        <f t="shared" si="98"/>
        <v>na</v>
      </c>
      <c r="U202" s="1426" t="str">
        <f t="shared" si="99"/>
        <v>na</v>
      </c>
      <c r="V202" s="1415" t="str">
        <f t="shared" si="84"/>
        <v>na</v>
      </c>
      <c r="W202" s="1399" t="str">
        <f t="shared" si="100"/>
        <v>na</v>
      </c>
      <c r="X202" s="1399" t="str">
        <f t="shared" si="101"/>
        <v>na</v>
      </c>
      <c r="Y202" s="1399" t="str">
        <f t="shared" si="102"/>
        <v>na</v>
      </c>
      <c r="Z202" s="716" t="str">
        <f t="shared" si="88"/>
        <v>na</v>
      </c>
      <c r="AB202" s="1062"/>
    </row>
    <row r="203" spans="1:28" ht="13.9" customHeight="1" x14ac:dyDescent="0.25">
      <c r="A203" s="846">
        <f>Chem!A203</f>
        <v>201</v>
      </c>
      <c r="B203" s="916" t="str">
        <f>Chem!B203</f>
        <v>Methyl iodide</v>
      </c>
      <c r="C203" s="2305" t="str">
        <f>Param!AK203</f>
        <v>no</v>
      </c>
      <c r="D203" s="384" t="str">
        <f>IF(C203="YES",Param!V203,"no calc")</f>
        <v>no calc</v>
      </c>
      <c r="E203" s="552" t="str">
        <f>IF(C203="YES",Param!X203,"no calc")</f>
        <v>no calc</v>
      </c>
      <c r="F203" s="384" t="str">
        <f>IF(C203="YES",Param!O203,"no calc")</f>
        <v>no calc</v>
      </c>
      <c r="G203" s="622" t="str">
        <f>IF(C203="YES",Param!S203,"no calc")</f>
        <v>no calc</v>
      </c>
      <c r="H203" s="622" t="str">
        <f>IF(C203="YES",Param!AD203,"no calc")</f>
        <v>no calc</v>
      </c>
      <c r="I203" s="596" t="str">
        <f>IF(C203="YES",Param!AE203,"no calc")</f>
        <v>no calc</v>
      </c>
      <c r="J203" s="582" t="str">
        <f>IF(OR($D203="na",$D203="no calc"),"na",0.000001*Eqtn!D$419/(Eqtn!D$415*$H203*$D203+Eqtn!D$420*$I203*$E203))</f>
        <v>na</v>
      </c>
      <c r="K203" s="582" t="str">
        <f>IF(OR($D203="na",$D203="no calc"),"na",0.000001*Eqtn!E$419/(Eqtn!E$415*$H203*$D203+Eqtn!E$420*$I203*$E203))</f>
        <v>na</v>
      </c>
      <c r="L203" s="582" t="str">
        <f>IF(OR($D203="na",$D203="no calc"),"na",0.000001*Eqtn!F$419/(Eqtn!F$415*$H203*$D203+Eqtn!F$420*$I203*$E203))</f>
        <v>na</v>
      </c>
      <c r="M203" s="348" t="str">
        <f>IF(OR($D203="na",$D203="no calc"),"na",0.00001*Eqtn!D$419/(Eqtn!D$415*$H203*$D203+Eqtn!D$420*$I203*$E203))</f>
        <v>na</v>
      </c>
      <c r="N203" s="348" t="str">
        <f>IF(OR($D203="na",$D203="no calc"),"na",0.00001*Eqtn!E$419/(Eqtn!E$415*$H203*$D203+Eqtn!E$420*$I203*$E203))</f>
        <v>na</v>
      </c>
      <c r="O203" s="695" t="str">
        <f>IF(OR($D203="na",$D203="no calc"),"na",0.00001*Eqtn!F$419/(Eqtn!F$415*$H203*$D203+Eqtn!F$420*$I203*$E203))</f>
        <v>na</v>
      </c>
      <c r="P203" s="806" t="str">
        <f>IF(OR($F203="na",$F203="no calc"),"na",1*Eqtn!D$451/(Eqtn!D$447*$H203/$F203+Eqtn!D$452*$I203/$G203))</f>
        <v>na</v>
      </c>
      <c r="Q203" s="806" t="str">
        <f>IF(OR($F203="na",$F203="no calc"),"na",1*Eqtn!E$451/(Eqtn!E$447*$H203/$F203+Eqtn!E$452*$I203/$G203))</f>
        <v>na</v>
      </c>
      <c r="R203" s="806" t="str">
        <f>IF(OR($F203="na",$F203="no calc"),"na",1*Eqtn!F$451/(Eqtn!F$447*$H203/$F203+Eqtn!F$452*$I203/$G203))</f>
        <v>na</v>
      </c>
      <c r="S203" s="1426" t="str">
        <f t="shared" si="97"/>
        <v>na</v>
      </c>
      <c r="T203" s="1426" t="str">
        <f t="shared" si="98"/>
        <v>na</v>
      </c>
      <c r="U203" s="1426" t="str">
        <f t="shared" si="99"/>
        <v>na</v>
      </c>
      <c r="V203" s="1415" t="str">
        <f t="shared" si="84"/>
        <v>na</v>
      </c>
      <c r="W203" s="1399" t="str">
        <f t="shared" si="100"/>
        <v>na</v>
      </c>
      <c r="X203" s="1399" t="str">
        <f t="shared" si="101"/>
        <v>na</v>
      </c>
      <c r="Y203" s="1399" t="str">
        <f t="shared" si="102"/>
        <v>na</v>
      </c>
      <c r="Z203" s="716" t="str">
        <f t="shared" si="88"/>
        <v>na</v>
      </c>
      <c r="AB203" s="1062"/>
    </row>
    <row r="204" spans="1:28" ht="13.9" customHeight="1" x14ac:dyDescent="0.25">
      <c r="A204" s="846">
        <f>Chem!A204</f>
        <v>202</v>
      </c>
      <c r="B204" s="916" t="str">
        <f>Chem!B204</f>
        <v>Methyl isobutyl ketone</v>
      </c>
      <c r="C204" s="2305" t="str">
        <f>Param!AK204</f>
        <v>no</v>
      </c>
      <c r="D204" s="384" t="str">
        <f>IF(C204="YES",Param!V204,"no calc")</f>
        <v>no calc</v>
      </c>
      <c r="E204" s="552" t="str">
        <f>IF(C204="YES",Param!X204,"no calc")</f>
        <v>no calc</v>
      </c>
      <c r="F204" s="384" t="str">
        <f>IF(C204="YES",Param!O204,"no calc")</f>
        <v>no calc</v>
      </c>
      <c r="G204" s="622" t="str">
        <f>IF(C204="YES",Param!S204,"no calc")</f>
        <v>no calc</v>
      </c>
      <c r="H204" s="622" t="str">
        <f>IF(C204="YES",Param!AD204,"no calc")</f>
        <v>no calc</v>
      </c>
      <c r="I204" s="596" t="str">
        <f>IF(C204="YES",Param!AE204,"no calc")</f>
        <v>no calc</v>
      </c>
      <c r="J204" s="582" t="str">
        <f>IF(OR($D204="na",$D204="no calc"),"na",0.000001*Eqtn!D$419/(Eqtn!D$415*$H204*$D204+Eqtn!D$420*$I204*$E204))</f>
        <v>na</v>
      </c>
      <c r="K204" s="582" t="str">
        <f>IF(OR($D204="na",$D204="no calc"),"na",0.000001*Eqtn!E$419/(Eqtn!E$415*$H204*$D204+Eqtn!E$420*$I204*$E204))</f>
        <v>na</v>
      </c>
      <c r="L204" s="582" t="str">
        <f>IF(OR($D204="na",$D204="no calc"),"na",0.000001*Eqtn!F$419/(Eqtn!F$415*$H204*$D204+Eqtn!F$420*$I204*$E204))</f>
        <v>na</v>
      </c>
      <c r="M204" s="348" t="str">
        <f>IF(OR($D204="na",$D204="no calc"),"na",0.00001*Eqtn!D$419/(Eqtn!D$415*$H204*$D204+Eqtn!D$420*$I204*$E204))</f>
        <v>na</v>
      </c>
      <c r="N204" s="348" t="str">
        <f>IF(OR($D204="na",$D204="no calc"),"na",0.00001*Eqtn!E$419/(Eqtn!E$415*$H204*$D204+Eqtn!E$420*$I204*$E204))</f>
        <v>na</v>
      </c>
      <c r="O204" s="695" t="str">
        <f>IF(OR($D204="na",$D204="no calc"),"na",0.00001*Eqtn!F$419/(Eqtn!F$415*$H204*$D204+Eqtn!F$420*$I204*$E204))</f>
        <v>na</v>
      </c>
      <c r="P204" s="806" t="str">
        <f>IF(OR($F204="na",$F204="no calc"),"na",1*Eqtn!D$451/(Eqtn!D$447*$H204/$F204+Eqtn!D$452*$I204/$G204))</f>
        <v>na</v>
      </c>
      <c r="Q204" s="806" t="str">
        <f>IF(OR($F204="na",$F204="no calc"),"na",1*Eqtn!E$451/(Eqtn!E$447*$H204/$F204+Eqtn!E$452*$I204/$G204))</f>
        <v>na</v>
      </c>
      <c r="R204" s="806" t="str">
        <f>IF(OR($F204="na",$F204="no calc"),"na",1*Eqtn!F$451/(Eqtn!F$447*$H204/$F204+Eqtn!F$452*$I204/$G204))</f>
        <v>na</v>
      </c>
      <c r="S204" s="1426" t="str">
        <f t="shared" si="97"/>
        <v>na</v>
      </c>
      <c r="T204" s="1426" t="str">
        <f t="shared" si="98"/>
        <v>na</v>
      </c>
      <c r="U204" s="1426" t="str">
        <f t="shared" si="99"/>
        <v>na</v>
      </c>
      <c r="V204" s="1415" t="str">
        <f t="shared" si="84"/>
        <v>na</v>
      </c>
      <c r="W204" s="1399" t="str">
        <f t="shared" si="100"/>
        <v>na</v>
      </c>
      <c r="X204" s="1399" t="str">
        <f t="shared" si="101"/>
        <v>na</v>
      </c>
      <c r="Y204" s="1399" t="str">
        <f t="shared" si="102"/>
        <v>na</v>
      </c>
      <c r="Z204" s="716" t="str">
        <f t="shared" si="88"/>
        <v>na</v>
      </c>
      <c r="AB204" s="1062"/>
    </row>
    <row r="205" spans="1:28" ht="13.9" customHeight="1" x14ac:dyDescent="0.25">
      <c r="A205" s="846">
        <f>Chem!A205</f>
        <v>203</v>
      </c>
      <c r="B205" s="916" t="str">
        <f>Chem!B205</f>
        <v>Methyl tert-butyl ether (MTBE)</v>
      </c>
      <c r="C205" s="2305" t="str">
        <f>Param!AK205</f>
        <v>no</v>
      </c>
      <c r="D205" s="384" t="str">
        <f>IF(C205="YES",Param!V205,"no calc")</f>
        <v>no calc</v>
      </c>
      <c r="E205" s="552" t="str">
        <f>IF(C205="YES",Param!X205,"no calc")</f>
        <v>no calc</v>
      </c>
      <c r="F205" s="384" t="str">
        <f>IF(C205="YES",Param!O205,"no calc")</f>
        <v>no calc</v>
      </c>
      <c r="G205" s="622" t="str">
        <f>IF(C205="YES",Param!S205,"no calc")</f>
        <v>no calc</v>
      </c>
      <c r="H205" s="622" t="str">
        <f>IF(C205="YES",Param!AD205,"no calc")</f>
        <v>no calc</v>
      </c>
      <c r="I205" s="596" t="str">
        <f>IF(C205="YES",Param!AE205,"no calc")</f>
        <v>no calc</v>
      </c>
      <c r="J205" s="582" t="str">
        <f>IF(OR($D205="na",$D205="no calc"),"na",0.000001*Eqtn!D$419/(Eqtn!D$415*$H205*$D205+Eqtn!D$420*$I205*$E205))</f>
        <v>na</v>
      </c>
      <c r="K205" s="582" t="str">
        <f>IF(OR($D205="na",$D205="no calc"),"na",0.000001*Eqtn!E$419/(Eqtn!E$415*$H205*$D205+Eqtn!E$420*$I205*$E205))</f>
        <v>na</v>
      </c>
      <c r="L205" s="582" t="str">
        <f>IF(OR($D205="na",$D205="no calc"),"na",0.000001*Eqtn!F$419/(Eqtn!F$415*$H205*$D205+Eqtn!F$420*$I205*$E205))</f>
        <v>na</v>
      </c>
      <c r="M205" s="348" t="str">
        <f>IF(OR($D205="na",$D205="no calc"),"na",0.00001*Eqtn!D$419/(Eqtn!D$415*$H205*$D205+Eqtn!D$420*$I205*$E205))</f>
        <v>na</v>
      </c>
      <c r="N205" s="348" t="str">
        <f>IF(OR($D205="na",$D205="no calc"),"na",0.00001*Eqtn!E$419/(Eqtn!E$415*$H205*$D205+Eqtn!E$420*$I205*$E205))</f>
        <v>na</v>
      </c>
      <c r="O205" s="695" t="str">
        <f>IF(OR($D205="na",$D205="no calc"),"na",0.00001*Eqtn!F$419/(Eqtn!F$415*$H205*$D205+Eqtn!F$420*$I205*$E205))</f>
        <v>na</v>
      </c>
      <c r="P205" s="806" t="str">
        <f>IF(OR($F205="na",$F205="no calc"),"na",1*Eqtn!D$451/(Eqtn!D$447*$H205/$F205+Eqtn!D$452*$I205/$G205))</f>
        <v>na</v>
      </c>
      <c r="Q205" s="806" t="str">
        <f>IF(OR($F205="na",$F205="no calc"),"na",1*Eqtn!E$451/(Eqtn!E$447*$H205/$F205+Eqtn!E$452*$I205/$G205))</f>
        <v>na</v>
      </c>
      <c r="R205" s="806" t="str">
        <f>IF(OR($F205="na",$F205="no calc"),"na",1*Eqtn!F$451/(Eqtn!F$447*$H205/$F205+Eqtn!F$452*$I205/$G205))</f>
        <v>na</v>
      </c>
      <c r="S205" s="1426" t="str">
        <f t="shared" si="97"/>
        <v>na</v>
      </c>
      <c r="T205" s="1426" t="str">
        <f t="shared" si="98"/>
        <v>na</v>
      </c>
      <c r="U205" s="1426" t="str">
        <f t="shared" si="99"/>
        <v>na</v>
      </c>
      <c r="V205" s="1415" t="str">
        <f t="shared" si="84"/>
        <v>na</v>
      </c>
      <c r="W205" s="1399" t="str">
        <f t="shared" si="100"/>
        <v>na</v>
      </c>
      <c r="X205" s="1399" t="str">
        <f t="shared" si="101"/>
        <v>na</v>
      </c>
      <c r="Y205" s="1399" t="str">
        <f t="shared" si="102"/>
        <v>na</v>
      </c>
      <c r="Z205" s="716" t="str">
        <f t="shared" si="88"/>
        <v>na</v>
      </c>
      <c r="AB205" s="1062"/>
    </row>
    <row r="206" spans="1:28" ht="13.9" customHeight="1" x14ac:dyDescent="0.25">
      <c r="A206" s="846">
        <f>Chem!A206</f>
        <v>204</v>
      </c>
      <c r="B206" s="1843" t="str">
        <f>Chem!B206</f>
        <v>Methylene chloride</v>
      </c>
      <c r="C206" s="2305" t="str">
        <f>Param!AK206</f>
        <v>no</v>
      </c>
      <c r="D206" s="384" t="str">
        <f>IF(C206="YES",Param!V206,"no calc")</f>
        <v>no calc</v>
      </c>
      <c r="E206" s="552" t="str">
        <f>IF(C206="YES",Param!X206,"no calc")</f>
        <v>no calc</v>
      </c>
      <c r="F206" s="384" t="str">
        <f>IF(C206="YES",Param!O206,"no calc")</f>
        <v>no calc</v>
      </c>
      <c r="G206" s="622" t="str">
        <f>IF(C206="YES",Param!S206,"no calc")</f>
        <v>no calc</v>
      </c>
      <c r="H206" s="622" t="str">
        <f>IF(C206="YES",Param!AD206,"no calc")</f>
        <v>no calc</v>
      </c>
      <c r="I206" s="596" t="str">
        <f>IF(C206="YES",Param!AE206,"no calc")</f>
        <v>no calc</v>
      </c>
      <c r="J206" s="582" t="str">
        <f>IF(OR($D206="na",$D206="no calc"),"na",0.000001*Eqtn!D$419/(Eqtn!D$415*$H206*$D206+Eqtn!D$420*$I206*$E206))</f>
        <v>na</v>
      </c>
      <c r="K206" s="582" t="str">
        <f>IF(OR($D206="na",$D206="no calc"),"na",0.000001*Eqtn!E$419/(Eqtn!E$415*$H206*$D206+Eqtn!E$420*$I206*$E206))</f>
        <v>na</v>
      </c>
      <c r="L206" s="582" t="str">
        <f>IF(OR($D206="na",$D206="no calc"),"na",0.000001*Eqtn!F$419/(Eqtn!F$415*$H206*$D206+Eqtn!F$420*$I206*$E206))</f>
        <v>na</v>
      </c>
      <c r="M206" s="348" t="str">
        <f>IF(OR($D206="na",$D206="no calc"),"na",0.00001*Eqtn!D$419/(Eqtn!D$415*$H206*$D206+Eqtn!D$420*$I206*$E206))</f>
        <v>na</v>
      </c>
      <c r="N206" s="348" t="str">
        <f>IF(OR($D206="na",$D206="no calc"),"na",0.00001*Eqtn!E$419/(Eqtn!E$415*$H206*$D206+Eqtn!E$420*$I206*$E206))</f>
        <v>na</v>
      </c>
      <c r="O206" s="695" t="str">
        <f>IF(OR($D206="na",$D206="no calc"),"na",0.00001*Eqtn!F$419/(Eqtn!F$415*$H206*$D206+Eqtn!F$420*$I206*$E206))</f>
        <v>na</v>
      </c>
      <c r="P206" s="806" t="str">
        <f>IF(OR($F206="na",$F206="no calc"),"na",1*Eqtn!D$451/(Eqtn!D$447*$H206/$F206+Eqtn!D$452*$I206/$G206))</f>
        <v>na</v>
      </c>
      <c r="Q206" s="806" t="str">
        <f>IF(OR($F206="na",$F206="no calc"),"na",1*Eqtn!E$451/(Eqtn!E$447*$H206/$F206+Eqtn!E$452*$I206/$G206))</f>
        <v>na</v>
      </c>
      <c r="R206" s="806" t="str">
        <f>IF(OR($F206="na",$F206="no calc"),"na",1*Eqtn!F$451/(Eqtn!F$447*$H206/$F206+Eqtn!F$452*$I206/$G206))</f>
        <v>na</v>
      </c>
      <c r="S206" s="1426" t="str">
        <f t="shared" si="97"/>
        <v>na</v>
      </c>
      <c r="T206" s="1426" t="str">
        <f t="shared" si="98"/>
        <v>na</v>
      </c>
      <c r="U206" s="1426" t="str">
        <f t="shared" si="99"/>
        <v>na</v>
      </c>
      <c r="V206" s="1415" t="str">
        <f t="shared" si="84"/>
        <v>na</v>
      </c>
      <c r="W206" s="1399" t="str">
        <f t="shared" si="100"/>
        <v>na</v>
      </c>
      <c r="X206" s="1399" t="str">
        <f t="shared" si="101"/>
        <v>na</v>
      </c>
      <c r="Y206" s="1399" t="str">
        <f t="shared" si="102"/>
        <v>na</v>
      </c>
      <c r="Z206" s="716" t="str">
        <f t="shared" si="88"/>
        <v>na</v>
      </c>
      <c r="AB206" s="1062"/>
    </row>
    <row r="207" spans="1:28" ht="13.9" customHeight="1" x14ac:dyDescent="0.25">
      <c r="A207" s="846">
        <f>Chem!A207</f>
        <v>205</v>
      </c>
      <c r="B207" s="916" t="str">
        <f>Chem!B207</f>
        <v>2-Pentanone</v>
      </c>
      <c r="C207" s="2305" t="str">
        <f>Param!AK207</f>
        <v>no</v>
      </c>
      <c r="D207" s="384" t="str">
        <f>IF(C207="YES",Param!V207,"no calc")</f>
        <v>no calc</v>
      </c>
      <c r="E207" s="552" t="str">
        <f>IF(C207="YES",Param!X207,"no calc")</f>
        <v>no calc</v>
      </c>
      <c r="F207" s="384" t="str">
        <f>IF(C207="YES",Param!O207,"no calc")</f>
        <v>no calc</v>
      </c>
      <c r="G207" s="622" t="str">
        <f>IF(C207="YES",Param!S207,"no calc")</f>
        <v>no calc</v>
      </c>
      <c r="H207" s="622" t="str">
        <f>IF(C207="YES",Param!AD207,"no calc")</f>
        <v>no calc</v>
      </c>
      <c r="I207" s="596" t="str">
        <f>IF(C207="YES",Param!AE207,"no calc")</f>
        <v>no calc</v>
      </c>
      <c r="J207" s="582" t="str">
        <f>IF(OR($D207="na",$D207="no calc"),"na",0.000001*Eqtn!D$419/(Eqtn!D$415*$H207*$D207+Eqtn!D$420*$I207*$E207))</f>
        <v>na</v>
      </c>
      <c r="K207" s="582" t="str">
        <f>IF(OR($D207="na",$D207="no calc"),"na",0.000001*Eqtn!E$419/(Eqtn!E$415*$H207*$D207+Eqtn!E$420*$I207*$E207))</f>
        <v>na</v>
      </c>
      <c r="L207" s="582" t="str">
        <f>IF(OR($D207="na",$D207="no calc"),"na",0.000001*Eqtn!F$419/(Eqtn!F$415*$H207*$D207+Eqtn!F$420*$I207*$E207))</f>
        <v>na</v>
      </c>
      <c r="M207" s="348" t="str">
        <f>IF(OR($D207="na",$D207="no calc"),"na",0.00001*Eqtn!D$419/(Eqtn!D$415*$H207*$D207+Eqtn!D$420*$I207*$E207))</f>
        <v>na</v>
      </c>
      <c r="N207" s="348" t="str">
        <f>IF(OR($D207="na",$D207="no calc"),"na",0.00001*Eqtn!E$419/(Eqtn!E$415*$H207*$D207+Eqtn!E$420*$I207*$E207))</f>
        <v>na</v>
      </c>
      <c r="O207" s="695" t="str">
        <f>IF(OR($D207="na",$D207="no calc"),"na",0.00001*Eqtn!F$419/(Eqtn!F$415*$H207*$D207+Eqtn!F$420*$I207*$E207))</f>
        <v>na</v>
      </c>
      <c r="P207" s="806" t="str">
        <f>IF(OR($F207="na",$F207="no calc"),"na",1*Eqtn!D$451/(Eqtn!D$447*$H207/$F207+Eqtn!D$452*$I207/$G207))</f>
        <v>na</v>
      </c>
      <c r="Q207" s="806" t="str">
        <f>IF(OR($F207="na",$F207="no calc"),"na",1*Eqtn!E$451/(Eqtn!E$447*$H207/$F207+Eqtn!E$452*$I207/$G207))</f>
        <v>na</v>
      </c>
      <c r="R207" s="806" t="str">
        <f>IF(OR($F207="na",$F207="no calc"),"na",1*Eqtn!F$451/(Eqtn!F$447*$H207/$F207+Eqtn!F$452*$I207/$G207))</f>
        <v>na</v>
      </c>
      <c r="S207" s="1426" t="str">
        <f t="shared" si="97"/>
        <v>na</v>
      </c>
      <c r="T207" s="1426" t="str">
        <f t="shared" si="98"/>
        <v>na</v>
      </c>
      <c r="U207" s="1426" t="str">
        <f t="shared" si="99"/>
        <v>na</v>
      </c>
      <c r="V207" s="1415" t="str">
        <f t="shared" si="84"/>
        <v>na</v>
      </c>
      <c r="W207" s="1399" t="str">
        <f t="shared" si="100"/>
        <v>na</v>
      </c>
      <c r="X207" s="1399" t="str">
        <f t="shared" si="101"/>
        <v>na</v>
      </c>
      <c r="Y207" s="1399" t="str">
        <f t="shared" si="102"/>
        <v>na</v>
      </c>
      <c r="Z207" s="716" t="str">
        <f t="shared" si="88"/>
        <v>na</v>
      </c>
      <c r="AB207" s="1062"/>
    </row>
    <row r="208" spans="1:28" ht="13.9" customHeight="1" x14ac:dyDescent="0.25">
      <c r="A208" s="846">
        <f>Chem!A208</f>
        <v>206</v>
      </c>
      <c r="B208" s="916" t="str">
        <f>Chem!B208</f>
        <v>n-Propylbenzene</v>
      </c>
      <c r="C208" s="2305" t="str">
        <f>Param!AK208</f>
        <v>no</v>
      </c>
      <c r="D208" s="384" t="str">
        <f>IF(C208="YES",Param!V208,"no calc")</f>
        <v>no calc</v>
      </c>
      <c r="E208" s="552" t="str">
        <f>IF(C208="YES",Param!X208,"no calc")</f>
        <v>no calc</v>
      </c>
      <c r="F208" s="384" t="str">
        <f>IF(C208="YES",Param!O208,"no calc")</f>
        <v>no calc</v>
      </c>
      <c r="G208" s="622" t="str">
        <f>IF(C208="YES",Param!S208,"no calc")</f>
        <v>no calc</v>
      </c>
      <c r="H208" s="622" t="str">
        <f>IF(C208="YES",Param!AD208,"no calc")</f>
        <v>no calc</v>
      </c>
      <c r="I208" s="596" t="str">
        <f>IF(C208="YES",Param!AE208,"no calc")</f>
        <v>no calc</v>
      </c>
      <c r="J208" s="582" t="str">
        <f>IF(OR($D208="na",$D208="no calc"),"na",0.000001*Eqtn!D$419/(Eqtn!D$415*$H208*$D208+Eqtn!D$420*$I208*$E208))</f>
        <v>na</v>
      </c>
      <c r="K208" s="582" t="str">
        <f>IF(OR($D208="na",$D208="no calc"),"na",0.000001*Eqtn!E$419/(Eqtn!E$415*$H208*$D208+Eqtn!E$420*$I208*$E208))</f>
        <v>na</v>
      </c>
      <c r="L208" s="582" t="str">
        <f>IF(OR($D208="na",$D208="no calc"),"na",0.000001*Eqtn!F$419/(Eqtn!F$415*$H208*$D208+Eqtn!F$420*$I208*$E208))</f>
        <v>na</v>
      </c>
      <c r="M208" s="348" t="str">
        <f>IF(OR($D208="na",$D208="no calc"),"na",0.00001*Eqtn!D$419/(Eqtn!D$415*$H208*$D208+Eqtn!D$420*$I208*$E208))</f>
        <v>na</v>
      </c>
      <c r="N208" s="348" t="str">
        <f>IF(OR($D208="na",$D208="no calc"),"na",0.00001*Eqtn!E$419/(Eqtn!E$415*$H208*$D208+Eqtn!E$420*$I208*$E208))</f>
        <v>na</v>
      </c>
      <c r="O208" s="695" t="str">
        <f>IF(OR($D208="na",$D208="no calc"),"na",0.00001*Eqtn!F$419/(Eqtn!F$415*$H208*$D208+Eqtn!F$420*$I208*$E208))</f>
        <v>na</v>
      </c>
      <c r="P208" s="806" t="str">
        <f>IF(OR($F208="na",$F208="no calc"),"na",1*Eqtn!D$451/(Eqtn!D$447*$H208/$F208+Eqtn!D$452*$I208/$G208))</f>
        <v>na</v>
      </c>
      <c r="Q208" s="806" t="str">
        <f>IF(OR($F208="na",$F208="no calc"),"na",1*Eqtn!E$451/(Eqtn!E$447*$H208/$F208+Eqtn!E$452*$I208/$G208))</f>
        <v>na</v>
      </c>
      <c r="R208" s="806" t="str">
        <f>IF(OR($F208="na",$F208="no calc"),"na",1*Eqtn!F$451/(Eqtn!F$447*$H208/$F208+Eqtn!F$452*$I208/$G208))</f>
        <v>na</v>
      </c>
      <c r="S208" s="1426" t="str">
        <f t="shared" si="97"/>
        <v>na</v>
      </c>
      <c r="T208" s="1426" t="str">
        <f t="shared" si="98"/>
        <v>na</v>
      </c>
      <c r="U208" s="1426" t="str">
        <f t="shared" si="99"/>
        <v>na</v>
      </c>
      <c r="V208" s="1415" t="str">
        <f t="shared" si="84"/>
        <v>na</v>
      </c>
      <c r="W208" s="1399" t="str">
        <f t="shared" si="100"/>
        <v>na</v>
      </c>
      <c r="X208" s="1399" t="str">
        <f t="shared" si="101"/>
        <v>na</v>
      </c>
      <c r="Y208" s="1399" t="str">
        <f t="shared" si="102"/>
        <v>na</v>
      </c>
      <c r="Z208" s="716" t="str">
        <f t="shared" si="88"/>
        <v>na</v>
      </c>
      <c r="AB208" s="1062"/>
    </row>
    <row r="209" spans="1:28" ht="13.9" customHeight="1" x14ac:dyDescent="0.25">
      <c r="A209" s="846">
        <f>Chem!A209</f>
        <v>207</v>
      </c>
      <c r="B209" s="916" t="str">
        <f>Chem!B209</f>
        <v>Styrene</v>
      </c>
      <c r="C209" s="2305" t="str">
        <f>Param!AK209</f>
        <v>no</v>
      </c>
      <c r="D209" s="384" t="str">
        <f>IF(C209="YES",Param!V209,"no calc")</f>
        <v>no calc</v>
      </c>
      <c r="E209" s="552" t="str">
        <f>IF(C209="YES",Param!X209,"no calc")</f>
        <v>no calc</v>
      </c>
      <c r="F209" s="384" t="str">
        <f>IF(C209="YES",Param!O209,"no calc")</f>
        <v>no calc</v>
      </c>
      <c r="G209" s="622" t="str">
        <f>IF(C209="YES",Param!S209,"no calc")</f>
        <v>no calc</v>
      </c>
      <c r="H209" s="622" t="str">
        <f>IF(C209="YES",Param!AD209,"no calc")</f>
        <v>no calc</v>
      </c>
      <c r="I209" s="596" t="str">
        <f>IF(C209="YES",Param!AE209,"no calc")</f>
        <v>no calc</v>
      </c>
      <c r="J209" s="582" t="str">
        <f>IF(OR($D209="na",$D209="no calc"),"na",0.000001*Eqtn!D$419/(Eqtn!D$415*$H209*$D209+Eqtn!D$420*$I209*$E209))</f>
        <v>na</v>
      </c>
      <c r="K209" s="582" t="str">
        <f>IF(OR($D209="na",$D209="no calc"),"na",0.000001*Eqtn!E$419/(Eqtn!E$415*$H209*$D209+Eqtn!E$420*$I209*$E209))</f>
        <v>na</v>
      </c>
      <c r="L209" s="582" t="str">
        <f>IF(OR($D209="na",$D209="no calc"),"na",0.000001*Eqtn!F$419/(Eqtn!F$415*$H209*$D209+Eqtn!F$420*$I209*$E209))</f>
        <v>na</v>
      </c>
      <c r="M209" s="348" t="str">
        <f>IF(OR($D209="na",$D209="no calc"),"na",0.00001*Eqtn!D$419/(Eqtn!D$415*$H209*$D209+Eqtn!D$420*$I209*$E209))</f>
        <v>na</v>
      </c>
      <c r="N209" s="348" t="str">
        <f>IF(OR($D209="na",$D209="no calc"),"na",0.00001*Eqtn!E$419/(Eqtn!E$415*$H209*$D209+Eqtn!E$420*$I209*$E209))</f>
        <v>na</v>
      </c>
      <c r="O209" s="695" t="str">
        <f>IF(OR($D209="na",$D209="no calc"),"na",0.00001*Eqtn!F$419/(Eqtn!F$415*$H209*$D209+Eqtn!F$420*$I209*$E209))</f>
        <v>na</v>
      </c>
      <c r="P209" s="806" t="str">
        <f>IF(OR($F209="na",$F209="no calc"),"na",1*Eqtn!D$451/(Eqtn!D$447*$H209/$F209+Eqtn!D$452*$I209/$G209))</f>
        <v>na</v>
      </c>
      <c r="Q209" s="806" t="str">
        <f>IF(OR($F209="na",$F209="no calc"),"na",1*Eqtn!E$451/(Eqtn!E$447*$H209/$F209+Eqtn!E$452*$I209/$G209))</f>
        <v>na</v>
      </c>
      <c r="R209" s="806" t="str">
        <f>IF(OR($F209="na",$F209="no calc"),"na",1*Eqtn!F$451/(Eqtn!F$447*$H209/$F209+Eqtn!F$452*$I209/$G209))</f>
        <v>na</v>
      </c>
      <c r="S209" s="1426" t="str">
        <f t="shared" si="97"/>
        <v>na</v>
      </c>
      <c r="T209" s="1426" t="str">
        <f t="shared" si="98"/>
        <v>na</v>
      </c>
      <c r="U209" s="1426" t="str">
        <f t="shared" si="99"/>
        <v>na</v>
      </c>
      <c r="V209" s="1415" t="str">
        <f t="shared" si="84"/>
        <v>na</v>
      </c>
      <c r="W209" s="1399" t="str">
        <f t="shared" si="100"/>
        <v>na</v>
      </c>
      <c r="X209" s="1399" t="str">
        <f t="shared" si="101"/>
        <v>na</v>
      </c>
      <c r="Y209" s="1399" t="str">
        <f t="shared" si="102"/>
        <v>na</v>
      </c>
      <c r="Z209" s="716" t="str">
        <f t="shared" si="88"/>
        <v>na</v>
      </c>
      <c r="AB209" s="1062"/>
    </row>
    <row r="210" spans="1:28" ht="13.9" customHeight="1" x14ac:dyDescent="0.25">
      <c r="A210" s="846">
        <f>Chem!A210</f>
        <v>208</v>
      </c>
      <c r="B210" s="916" t="str">
        <f>Chem!B210</f>
        <v>1,1,1,2-Tetrachloroethane</v>
      </c>
      <c r="C210" s="2305" t="str">
        <f>Param!AK210</f>
        <v>no</v>
      </c>
      <c r="D210" s="384" t="str">
        <f>IF(C210="YES",Param!V210,"no calc")</f>
        <v>no calc</v>
      </c>
      <c r="E210" s="552" t="str">
        <f>IF(C210="YES",Param!X210,"no calc")</f>
        <v>no calc</v>
      </c>
      <c r="F210" s="384" t="str">
        <f>IF(C210="YES",Param!O210,"no calc")</f>
        <v>no calc</v>
      </c>
      <c r="G210" s="622" t="str">
        <f>IF(C210="YES",Param!S210,"no calc")</f>
        <v>no calc</v>
      </c>
      <c r="H210" s="622" t="str">
        <f>IF(C210="YES",Param!AD210,"no calc")</f>
        <v>no calc</v>
      </c>
      <c r="I210" s="596" t="str">
        <f>IF(C210="YES",Param!AE210,"no calc")</f>
        <v>no calc</v>
      </c>
      <c r="J210" s="582" t="str">
        <f>IF(OR($D210="na",$D210="no calc"),"na",0.000001*Eqtn!D$419/(Eqtn!D$415*$H210*$D210+Eqtn!D$420*$I210*$E210))</f>
        <v>na</v>
      </c>
      <c r="K210" s="582" t="str">
        <f>IF(OR($D210="na",$D210="no calc"),"na",0.000001*Eqtn!E$419/(Eqtn!E$415*$H210*$D210+Eqtn!E$420*$I210*$E210))</f>
        <v>na</v>
      </c>
      <c r="L210" s="582" t="str">
        <f>IF(OR($D210="na",$D210="no calc"),"na",0.000001*Eqtn!F$419/(Eqtn!F$415*$H210*$D210+Eqtn!F$420*$I210*$E210))</f>
        <v>na</v>
      </c>
      <c r="M210" s="348" t="str">
        <f>IF(OR($D210="na",$D210="no calc"),"na",0.00001*Eqtn!D$419/(Eqtn!D$415*$H210*$D210+Eqtn!D$420*$I210*$E210))</f>
        <v>na</v>
      </c>
      <c r="N210" s="348" t="str">
        <f>IF(OR($D210="na",$D210="no calc"),"na",0.00001*Eqtn!E$419/(Eqtn!E$415*$H210*$D210+Eqtn!E$420*$I210*$E210))</f>
        <v>na</v>
      </c>
      <c r="O210" s="695" t="str">
        <f>IF(OR($D210="na",$D210="no calc"),"na",0.00001*Eqtn!F$419/(Eqtn!F$415*$H210*$D210+Eqtn!F$420*$I210*$E210))</f>
        <v>na</v>
      </c>
      <c r="P210" s="806" t="str">
        <f>IF(OR($F210="na",$F210="no calc"),"na",1*Eqtn!D$451/(Eqtn!D$447*$H210/$F210+Eqtn!D$452*$I210/$G210))</f>
        <v>na</v>
      </c>
      <c r="Q210" s="806" t="str">
        <f>IF(OR($F210="na",$F210="no calc"),"na",1*Eqtn!E$451/(Eqtn!E$447*$H210/$F210+Eqtn!E$452*$I210/$G210))</f>
        <v>na</v>
      </c>
      <c r="R210" s="806" t="str">
        <f>IF(OR($F210="na",$F210="no calc"),"na",1*Eqtn!F$451/(Eqtn!F$447*$H210/$F210+Eqtn!F$452*$I210/$G210))</f>
        <v>na</v>
      </c>
      <c r="S210" s="1426" t="str">
        <f t="shared" si="97"/>
        <v>na</v>
      </c>
      <c r="T210" s="1426" t="str">
        <f t="shared" si="98"/>
        <v>na</v>
      </c>
      <c r="U210" s="1426" t="str">
        <f t="shared" si="99"/>
        <v>na</v>
      </c>
      <c r="V210" s="1415" t="str">
        <f t="shared" si="84"/>
        <v>na</v>
      </c>
      <c r="W210" s="1399" t="str">
        <f t="shared" si="100"/>
        <v>na</v>
      </c>
      <c r="X210" s="1399" t="str">
        <f t="shared" si="101"/>
        <v>na</v>
      </c>
      <c r="Y210" s="1399" t="str">
        <f t="shared" si="102"/>
        <v>na</v>
      </c>
      <c r="Z210" s="716" t="str">
        <f t="shared" si="88"/>
        <v>na</v>
      </c>
      <c r="AB210" s="1062"/>
    </row>
    <row r="211" spans="1:28" ht="13.9" customHeight="1" x14ac:dyDescent="0.25">
      <c r="A211" s="846">
        <f>Chem!A211</f>
        <v>209</v>
      </c>
      <c r="B211" s="916" t="str">
        <f>Chem!B211</f>
        <v>1,1,2,2-Tetrachloroethane</v>
      </c>
      <c r="C211" s="2305" t="str">
        <f>Param!AK211</f>
        <v>no</v>
      </c>
      <c r="D211" s="384" t="str">
        <f>IF(C211="YES",Param!V211,"no calc")</f>
        <v>no calc</v>
      </c>
      <c r="E211" s="552" t="str">
        <f>IF(C211="YES",Param!X211,"no calc")</f>
        <v>no calc</v>
      </c>
      <c r="F211" s="384" t="str">
        <f>IF(C211="YES",Param!O211,"no calc")</f>
        <v>no calc</v>
      </c>
      <c r="G211" s="622" t="str">
        <f>IF(C211="YES",Param!S211,"no calc")</f>
        <v>no calc</v>
      </c>
      <c r="H211" s="622" t="str">
        <f>IF(C211="YES",Param!AD211,"no calc")</f>
        <v>no calc</v>
      </c>
      <c r="I211" s="596" t="str">
        <f>IF(C211="YES",Param!AE211,"no calc")</f>
        <v>no calc</v>
      </c>
      <c r="J211" s="582" t="str">
        <f>IF(OR($D211="na",$D211="no calc"),"na",0.000001*Eqtn!D$419/(Eqtn!D$415*$H211*$D211+Eqtn!D$420*$I211*$E211))</f>
        <v>na</v>
      </c>
      <c r="K211" s="582" t="str">
        <f>IF(OR($D211="na",$D211="no calc"),"na",0.000001*Eqtn!E$419/(Eqtn!E$415*$H211*$D211+Eqtn!E$420*$I211*$E211))</f>
        <v>na</v>
      </c>
      <c r="L211" s="582" t="str">
        <f>IF(OR($D211="na",$D211="no calc"),"na",0.000001*Eqtn!F$419/(Eqtn!F$415*$H211*$D211+Eqtn!F$420*$I211*$E211))</f>
        <v>na</v>
      </c>
      <c r="M211" s="348" t="str">
        <f>IF(OR($D211="na",$D211="no calc"),"na",0.00001*Eqtn!D$419/(Eqtn!D$415*$H211*$D211+Eqtn!D$420*$I211*$E211))</f>
        <v>na</v>
      </c>
      <c r="N211" s="348" t="str">
        <f>IF(OR($D211="na",$D211="no calc"),"na",0.00001*Eqtn!E$419/(Eqtn!E$415*$H211*$D211+Eqtn!E$420*$I211*$E211))</f>
        <v>na</v>
      </c>
      <c r="O211" s="695" t="str">
        <f>IF(OR($D211="na",$D211="no calc"),"na",0.00001*Eqtn!F$419/(Eqtn!F$415*$H211*$D211+Eqtn!F$420*$I211*$E211))</f>
        <v>na</v>
      </c>
      <c r="P211" s="806" t="str">
        <f>IF(OR($F211="na",$F211="no calc"),"na",1*Eqtn!D$451/(Eqtn!D$447*$H211/$F211+Eqtn!D$452*$I211/$G211))</f>
        <v>na</v>
      </c>
      <c r="Q211" s="806" t="str">
        <f>IF(OR($F211="na",$F211="no calc"),"na",1*Eqtn!E$451/(Eqtn!E$447*$H211/$F211+Eqtn!E$452*$I211/$G211))</f>
        <v>na</v>
      </c>
      <c r="R211" s="806" t="str">
        <f>IF(OR($F211="na",$F211="no calc"),"na",1*Eqtn!F$451/(Eqtn!F$447*$H211/$F211+Eqtn!F$452*$I211/$G211))</f>
        <v>na</v>
      </c>
      <c r="S211" s="1426" t="str">
        <f t="shared" si="97"/>
        <v>na</v>
      </c>
      <c r="T211" s="1426" t="str">
        <f t="shared" si="98"/>
        <v>na</v>
      </c>
      <c r="U211" s="1426" t="str">
        <f t="shared" si="99"/>
        <v>na</v>
      </c>
      <c r="V211" s="1415" t="str">
        <f t="shared" si="84"/>
        <v>na</v>
      </c>
      <c r="W211" s="1399" t="str">
        <f t="shared" si="100"/>
        <v>na</v>
      </c>
      <c r="X211" s="1399" t="str">
        <f t="shared" si="101"/>
        <v>na</v>
      </c>
      <c r="Y211" s="1399" t="str">
        <f t="shared" si="102"/>
        <v>na</v>
      </c>
      <c r="Z211" s="716" t="str">
        <f t="shared" si="88"/>
        <v>na</v>
      </c>
      <c r="AB211" s="1062"/>
    </row>
    <row r="212" spans="1:28" ht="13.9" customHeight="1" x14ac:dyDescent="0.25">
      <c r="A212" s="846">
        <f>Chem!A212</f>
        <v>210</v>
      </c>
      <c r="B212" s="916" t="str">
        <f>Chem!B212</f>
        <v>Tetrachloroethylene (PCE)</v>
      </c>
      <c r="C212" s="2305" t="str">
        <f>Param!AK212</f>
        <v>no</v>
      </c>
      <c r="D212" s="384" t="str">
        <f>IF(C212="YES",Param!V212,"no calc")</f>
        <v>no calc</v>
      </c>
      <c r="E212" s="552" t="str">
        <f>IF(C212="YES",Param!X212,"no calc")</f>
        <v>no calc</v>
      </c>
      <c r="F212" s="384" t="str">
        <f>IF(C212="YES",Param!O212,"no calc")</f>
        <v>no calc</v>
      </c>
      <c r="G212" s="622" t="str">
        <f>IF(C212="YES",Param!S212,"no calc")</f>
        <v>no calc</v>
      </c>
      <c r="H212" s="622" t="str">
        <f>IF(C212="YES",Param!AD212,"no calc")</f>
        <v>no calc</v>
      </c>
      <c r="I212" s="596" t="str">
        <f>IF(C212="YES",Param!AE212,"no calc")</f>
        <v>no calc</v>
      </c>
      <c r="J212" s="582" t="str">
        <f>IF(OR($D212="na",$D212="no calc"),"na",0.000001*Eqtn!D$419/(Eqtn!D$415*$H212*$D212+Eqtn!D$420*$I212*$E212))</f>
        <v>na</v>
      </c>
      <c r="K212" s="582" t="str">
        <f>IF(OR($D212="na",$D212="no calc"),"na",0.000001*Eqtn!E$419/(Eqtn!E$415*$H212*$D212+Eqtn!E$420*$I212*$E212))</f>
        <v>na</v>
      </c>
      <c r="L212" s="582" t="str">
        <f>IF(OR($D212="na",$D212="no calc"),"na",0.000001*Eqtn!F$419/(Eqtn!F$415*$H212*$D212+Eqtn!F$420*$I212*$E212))</f>
        <v>na</v>
      </c>
      <c r="M212" s="348" t="str">
        <f>IF(OR($D212="na",$D212="no calc"),"na",0.00001*Eqtn!D$419/(Eqtn!D$415*$H212*$D212+Eqtn!D$420*$I212*$E212))</f>
        <v>na</v>
      </c>
      <c r="N212" s="348" t="str">
        <f>IF(OR($D212="na",$D212="no calc"),"na",0.00001*Eqtn!E$419/(Eqtn!E$415*$H212*$D212+Eqtn!E$420*$I212*$E212))</f>
        <v>na</v>
      </c>
      <c r="O212" s="695" t="str">
        <f>IF(OR($D212="na",$D212="no calc"),"na",0.00001*Eqtn!F$419/(Eqtn!F$415*$H212*$D212+Eqtn!F$420*$I212*$E212))</f>
        <v>na</v>
      </c>
      <c r="P212" s="806" t="str">
        <f>IF(OR($F212="na",$F212="no calc"),"na",1*Eqtn!D$451/(Eqtn!D$447*$H212/$F212+Eqtn!D$452*$I212/$G212))</f>
        <v>na</v>
      </c>
      <c r="Q212" s="806" t="str">
        <f>IF(OR($F212="na",$F212="no calc"),"na",1*Eqtn!E$451/(Eqtn!E$447*$H212/$F212+Eqtn!E$452*$I212/$G212))</f>
        <v>na</v>
      </c>
      <c r="R212" s="806" t="str">
        <f>IF(OR($F212="na",$F212="no calc"),"na",1*Eqtn!F$451/(Eqtn!F$447*$H212/$F212+Eqtn!F$452*$I212/$G212))</f>
        <v>na</v>
      </c>
      <c r="S212" s="1426" t="str">
        <f t="shared" si="97"/>
        <v>na</v>
      </c>
      <c r="T212" s="1426" t="str">
        <f t="shared" si="98"/>
        <v>na</v>
      </c>
      <c r="U212" s="1426" t="str">
        <f t="shared" si="99"/>
        <v>na</v>
      </c>
      <c r="V212" s="1415" t="str">
        <f t="shared" si="84"/>
        <v>na</v>
      </c>
      <c r="W212" s="1399" t="str">
        <f t="shared" si="100"/>
        <v>na</v>
      </c>
      <c r="X212" s="1399" t="str">
        <f t="shared" si="101"/>
        <v>na</v>
      </c>
      <c r="Y212" s="1399" t="str">
        <f t="shared" si="102"/>
        <v>na</v>
      </c>
      <c r="Z212" s="716" t="str">
        <f t="shared" si="88"/>
        <v>na</v>
      </c>
      <c r="AB212" s="1062"/>
    </row>
    <row r="213" spans="1:28" ht="13.9" customHeight="1" x14ac:dyDescent="0.25">
      <c r="A213" s="846">
        <f>Chem!A213</f>
        <v>211</v>
      </c>
      <c r="B213" s="916" t="str">
        <f>Chem!B213</f>
        <v>Tetrahydrofuran</v>
      </c>
      <c r="C213" s="2305" t="str">
        <f>Param!AK213</f>
        <v>no</v>
      </c>
      <c r="D213" s="384" t="str">
        <f>IF(C213="YES",Param!V213,"no calc")</f>
        <v>no calc</v>
      </c>
      <c r="E213" s="552" t="str">
        <f>IF(C213="YES",Param!X213,"no calc")</f>
        <v>no calc</v>
      </c>
      <c r="F213" s="384" t="str">
        <f>IF(C213="YES",Param!O213,"no calc")</f>
        <v>no calc</v>
      </c>
      <c r="G213" s="622" t="str">
        <f>IF(C213="YES",Param!S213,"no calc")</f>
        <v>no calc</v>
      </c>
      <c r="H213" s="622" t="str">
        <f>IF(C213="YES",Param!AD213,"no calc")</f>
        <v>no calc</v>
      </c>
      <c r="I213" s="596" t="str">
        <f>IF(C213="YES",Param!AE213,"no calc")</f>
        <v>no calc</v>
      </c>
      <c r="J213" s="582" t="str">
        <f>IF(OR($D213="na",$D213="no calc"),"na",0.000001*Eqtn!D$419/(Eqtn!D$415*$H213*$D213+Eqtn!D$420*$I213*$E213))</f>
        <v>na</v>
      </c>
      <c r="K213" s="582" t="str">
        <f>IF(OR($D213="na",$D213="no calc"),"na",0.000001*Eqtn!E$419/(Eqtn!E$415*$H213*$D213+Eqtn!E$420*$I213*$E213))</f>
        <v>na</v>
      </c>
      <c r="L213" s="582" t="str">
        <f>IF(OR($D213="na",$D213="no calc"),"na",0.000001*Eqtn!F$419/(Eqtn!F$415*$H213*$D213+Eqtn!F$420*$I213*$E213))</f>
        <v>na</v>
      </c>
      <c r="M213" s="348" t="str">
        <f>IF(OR($D213="na",$D213="no calc"),"na",0.00001*Eqtn!D$419/(Eqtn!D$415*$H213*$D213+Eqtn!D$420*$I213*$E213))</f>
        <v>na</v>
      </c>
      <c r="N213" s="348" t="str">
        <f>IF(OR($D213="na",$D213="no calc"),"na",0.00001*Eqtn!E$419/(Eqtn!E$415*$H213*$D213+Eqtn!E$420*$I213*$E213))</f>
        <v>na</v>
      </c>
      <c r="O213" s="695" t="str">
        <f>IF(OR($D213="na",$D213="no calc"),"na",0.00001*Eqtn!F$419/(Eqtn!F$415*$H213*$D213+Eqtn!F$420*$I213*$E213))</f>
        <v>na</v>
      </c>
      <c r="P213" s="806" t="str">
        <f>IF(OR($F213="na",$F213="no calc"),"na",1*Eqtn!D$451/(Eqtn!D$447*$H213/$F213+Eqtn!D$452*$I213/$G213))</f>
        <v>na</v>
      </c>
      <c r="Q213" s="806" t="str">
        <f>IF(OR($F213="na",$F213="no calc"),"na",1*Eqtn!E$451/(Eqtn!E$447*$H213/$F213+Eqtn!E$452*$I213/$G213))</f>
        <v>na</v>
      </c>
      <c r="R213" s="806" t="str">
        <f>IF(OR($F213="na",$F213="no calc"),"na",1*Eqtn!F$451/(Eqtn!F$447*$H213/$F213+Eqtn!F$452*$I213/$G213))</f>
        <v>na</v>
      </c>
      <c r="S213" s="1426" t="str">
        <f t="shared" ref="S213" si="113">IF(OR(ISNUMBER(J213),ISNUMBER(P213)),MIN(J213,P213),"na")</f>
        <v>na</v>
      </c>
      <c r="T213" s="1426" t="str">
        <f t="shared" ref="T213" si="114">IF(OR(ISNUMBER(K213),ISNUMBER(Q213)),MIN(K213,Q213),"na")</f>
        <v>na</v>
      </c>
      <c r="U213" s="1426" t="str">
        <f t="shared" ref="U213" si="115">IF(OR(ISNUMBER(L213),ISNUMBER(R213)),MIN(L213,R213),"na")</f>
        <v>na</v>
      </c>
      <c r="V213" s="1415" t="str">
        <f t="shared" ref="V213" si="116">IF(OR(ISNUMBER(S213),ISNUMBER(T213),ISNUMBER(U213)),MIN(S213,T213,U213),"na")</f>
        <v>na</v>
      </c>
      <c r="W213" s="1399" t="str">
        <f t="shared" ref="W213" si="117">IF(OR(ISNUMBER(M213),ISNUMBER(P213)),MIN(M213,P213),"na")</f>
        <v>na</v>
      </c>
      <c r="X213" s="1399" t="str">
        <f t="shared" ref="X213" si="118">IF(OR(ISNUMBER(N213),ISNUMBER(Q213)),MIN(N213,Q213),"na")</f>
        <v>na</v>
      </c>
      <c r="Y213" s="1399" t="str">
        <f t="shared" ref="Y213" si="119">IF(OR(ISNUMBER(O213),ISNUMBER(R213)),MIN(O213,R213),"na")</f>
        <v>na</v>
      </c>
      <c r="Z213" s="716" t="str">
        <f t="shared" ref="Z213" si="120">IF(OR(ISNUMBER(W213),ISNUMBER(X213),ISNUMBER(Y213)),MIN(W213,X213,Y213),"na")</f>
        <v>na</v>
      </c>
      <c r="AB213" s="1062"/>
    </row>
    <row r="214" spans="1:28" ht="13.9" customHeight="1" x14ac:dyDescent="0.25">
      <c r="A214" s="846">
        <f>Chem!A214</f>
        <v>212</v>
      </c>
      <c r="B214" s="916" t="str">
        <f>Chem!B214</f>
        <v>Toluene</v>
      </c>
      <c r="C214" s="2305" t="str">
        <f>Param!AK214</f>
        <v>no</v>
      </c>
      <c r="D214" s="384" t="str">
        <f>IF(C214="YES",Param!V214,"no calc")</f>
        <v>no calc</v>
      </c>
      <c r="E214" s="552" t="str">
        <f>IF(C214="YES",Param!X214,"no calc")</f>
        <v>no calc</v>
      </c>
      <c r="F214" s="384" t="str">
        <f>IF(C214="YES",Param!O214,"no calc")</f>
        <v>no calc</v>
      </c>
      <c r="G214" s="622" t="str">
        <f>IF(C214="YES",Param!S214,"no calc")</f>
        <v>no calc</v>
      </c>
      <c r="H214" s="622" t="str">
        <f>IF(C214="YES",Param!AD214,"no calc")</f>
        <v>no calc</v>
      </c>
      <c r="I214" s="596" t="str">
        <f>IF(C214="YES",Param!AE214,"no calc")</f>
        <v>no calc</v>
      </c>
      <c r="J214" s="582" t="str">
        <f>IF(OR($D214="na",$D214="no calc"),"na",0.000001*Eqtn!D$419/(Eqtn!D$415*$H214*$D214+Eqtn!D$420*$I214*$E214))</f>
        <v>na</v>
      </c>
      <c r="K214" s="582" t="str">
        <f>IF(OR($D214="na",$D214="no calc"),"na",0.000001*Eqtn!E$419/(Eqtn!E$415*$H214*$D214+Eqtn!E$420*$I214*$E214))</f>
        <v>na</v>
      </c>
      <c r="L214" s="582" t="str">
        <f>IF(OR($D214="na",$D214="no calc"),"na",0.000001*Eqtn!F$419/(Eqtn!F$415*$H214*$D214+Eqtn!F$420*$I214*$E214))</f>
        <v>na</v>
      </c>
      <c r="M214" s="348" t="str">
        <f>IF(OR($D214="na",$D214="no calc"),"na",0.00001*Eqtn!D$419/(Eqtn!D$415*$H214*$D214+Eqtn!D$420*$I214*$E214))</f>
        <v>na</v>
      </c>
      <c r="N214" s="348" t="str">
        <f>IF(OR($D214="na",$D214="no calc"),"na",0.00001*Eqtn!E$419/(Eqtn!E$415*$H214*$D214+Eqtn!E$420*$I214*$E214))</f>
        <v>na</v>
      </c>
      <c r="O214" s="695" t="str">
        <f>IF(OR($D214="na",$D214="no calc"),"na",0.00001*Eqtn!F$419/(Eqtn!F$415*$H214*$D214+Eqtn!F$420*$I214*$E214))</f>
        <v>na</v>
      </c>
      <c r="P214" s="806" t="str">
        <f>IF(OR($F214="na",$F214="no calc"),"na",1*Eqtn!D$451/(Eqtn!D$447*$H214/$F214+Eqtn!D$452*$I214/$G214))</f>
        <v>na</v>
      </c>
      <c r="Q214" s="806" t="str">
        <f>IF(OR($F214="na",$F214="no calc"),"na",1*Eqtn!E$451/(Eqtn!E$447*$H214/$F214+Eqtn!E$452*$I214/$G214))</f>
        <v>na</v>
      </c>
      <c r="R214" s="806" t="str">
        <f>IF(OR($F214="na",$F214="no calc"),"na",1*Eqtn!F$451/(Eqtn!F$447*$H214/$F214+Eqtn!F$452*$I214/$G214))</f>
        <v>na</v>
      </c>
      <c r="S214" s="1426" t="str">
        <f t="shared" ref="S214:S228" si="121">IF(OR(ISNUMBER(J214),ISNUMBER(P214)),MIN(J214,P214),"na")</f>
        <v>na</v>
      </c>
      <c r="T214" s="1426" t="str">
        <f t="shared" ref="T214:T228" si="122">IF(OR(ISNUMBER(K214),ISNUMBER(Q214)),MIN(K214,Q214),"na")</f>
        <v>na</v>
      </c>
      <c r="U214" s="1426" t="str">
        <f t="shared" ref="U214:U228" si="123">IF(OR(ISNUMBER(L214),ISNUMBER(R214)),MIN(L214,R214),"na")</f>
        <v>na</v>
      </c>
      <c r="V214" s="1415" t="str">
        <f t="shared" si="84"/>
        <v>na</v>
      </c>
      <c r="W214" s="1399" t="str">
        <f t="shared" ref="W214:W228" si="124">IF(OR(ISNUMBER(M214),ISNUMBER(P214)),MIN(M214,P214),"na")</f>
        <v>na</v>
      </c>
      <c r="X214" s="1399" t="str">
        <f t="shared" ref="X214:X228" si="125">IF(OR(ISNUMBER(N214),ISNUMBER(Q214)),MIN(N214,Q214),"na")</f>
        <v>na</v>
      </c>
      <c r="Y214" s="1399" t="str">
        <f t="shared" ref="Y214:Y228" si="126">IF(OR(ISNUMBER(O214),ISNUMBER(R214)),MIN(O214,R214),"na")</f>
        <v>na</v>
      </c>
      <c r="Z214" s="716" t="str">
        <f t="shared" si="88"/>
        <v>na</v>
      </c>
      <c r="AB214" s="1062"/>
    </row>
    <row r="215" spans="1:28" ht="13.9" customHeight="1" x14ac:dyDescent="0.25">
      <c r="A215" s="846">
        <f>Chem!A215</f>
        <v>213</v>
      </c>
      <c r="B215" s="916" t="str">
        <f>Chem!B215</f>
        <v>1,2,3-Trichlorobenzene</v>
      </c>
      <c r="C215" s="2305" t="str">
        <f>Param!AK215</f>
        <v>no</v>
      </c>
      <c r="D215" s="384" t="str">
        <f>IF(C215="YES",Param!V215,"no calc")</f>
        <v>no calc</v>
      </c>
      <c r="E215" s="552" t="str">
        <f>IF(C215="YES",Param!X215,"no calc")</f>
        <v>no calc</v>
      </c>
      <c r="F215" s="384" t="str">
        <f>IF(C215="YES",Param!O215,"no calc")</f>
        <v>no calc</v>
      </c>
      <c r="G215" s="622" t="str">
        <f>IF(C215="YES",Param!S215,"no calc")</f>
        <v>no calc</v>
      </c>
      <c r="H215" s="622" t="str">
        <f>IF(C215="YES",Param!AD215,"no calc")</f>
        <v>no calc</v>
      </c>
      <c r="I215" s="596" t="str">
        <f>IF(C215="YES",Param!AE215,"no calc")</f>
        <v>no calc</v>
      </c>
      <c r="J215" s="582" t="str">
        <f>IF(OR($D215="na",$D215="no calc"),"na",0.000001*Eqtn!D$419/(Eqtn!D$415*$H215*$D215+Eqtn!D$420*$I215*$E215))</f>
        <v>na</v>
      </c>
      <c r="K215" s="582" t="str">
        <f>IF(OR($D215="na",$D215="no calc"),"na",0.000001*Eqtn!E$419/(Eqtn!E$415*$H215*$D215+Eqtn!E$420*$I215*$E215))</f>
        <v>na</v>
      </c>
      <c r="L215" s="582" t="str">
        <f>IF(OR($D215="na",$D215="no calc"),"na",0.000001*Eqtn!F$419/(Eqtn!F$415*$H215*$D215+Eqtn!F$420*$I215*$E215))</f>
        <v>na</v>
      </c>
      <c r="M215" s="348" t="str">
        <f>IF(OR($D215="na",$D215="no calc"),"na",0.00001*Eqtn!D$419/(Eqtn!D$415*$H215*$D215+Eqtn!D$420*$I215*$E215))</f>
        <v>na</v>
      </c>
      <c r="N215" s="348" t="str">
        <f>IF(OR($D215="na",$D215="no calc"),"na",0.00001*Eqtn!E$419/(Eqtn!E$415*$H215*$D215+Eqtn!E$420*$I215*$E215))</f>
        <v>na</v>
      </c>
      <c r="O215" s="695" t="str">
        <f>IF(OR($D215="na",$D215="no calc"),"na",0.00001*Eqtn!F$419/(Eqtn!F$415*$H215*$D215+Eqtn!F$420*$I215*$E215))</f>
        <v>na</v>
      </c>
      <c r="P215" s="806" t="str">
        <f>IF(OR($F215="na",$F215="no calc"),"na",1*Eqtn!D$451/(Eqtn!D$447*$H215/$F215+Eqtn!D$452*$I215/$G215))</f>
        <v>na</v>
      </c>
      <c r="Q215" s="806" t="str">
        <f>IF(OR($F215="na",$F215="no calc"),"na",1*Eqtn!E$451/(Eqtn!E$447*$H215/$F215+Eqtn!E$452*$I215/$G215))</f>
        <v>na</v>
      </c>
      <c r="R215" s="806" t="str">
        <f>IF(OR($F215="na",$F215="no calc"),"na",1*Eqtn!F$451/(Eqtn!F$447*$H215/$F215+Eqtn!F$452*$I215/$G215))</f>
        <v>na</v>
      </c>
      <c r="S215" s="1426" t="str">
        <f t="shared" si="121"/>
        <v>na</v>
      </c>
      <c r="T215" s="1426" t="str">
        <f t="shared" si="122"/>
        <v>na</v>
      </c>
      <c r="U215" s="1426" t="str">
        <f t="shared" si="123"/>
        <v>na</v>
      </c>
      <c r="V215" s="1415" t="str">
        <f t="shared" ref="V215:V228" si="127">IF(OR(ISNUMBER(S215),ISNUMBER(T215),ISNUMBER(U215)),MIN(S215,T215,U215),"na")</f>
        <v>na</v>
      </c>
      <c r="W215" s="1399" t="str">
        <f t="shared" si="124"/>
        <v>na</v>
      </c>
      <c r="X215" s="1399" t="str">
        <f t="shared" si="125"/>
        <v>na</v>
      </c>
      <c r="Y215" s="1399" t="str">
        <f t="shared" si="126"/>
        <v>na</v>
      </c>
      <c r="Z215" s="716" t="str">
        <f t="shared" ref="Z215:Z228" si="128">IF(OR(ISNUMBER(W215),ISNUMBER(X215),ISNUMBER(Y215)),MIN(W215,X215,Y215),"na")</f>
        <v>na</v>
      </c>
      <c r="AB215" s="1062"/>
    </row>
    <row r="216" spans="1:28" ht="13.9" customHeight="1" x14ac:dyDescent="0.25">
      <c r="A216" s="846">
        <f>Chem!A216</f>
        <v>214</v>
      </c>
      <c r="B216" s="916" t="str">
        <f>Chem!B216</f>
        <v>1,1,1-Trichloroethane</v>
      </c>
      <c r="C216" s="2305" t="str">
        <f>Param!AK216</f>
        <v>no</v>
      </c>
      <c r="D216" s="384" t="str">
        <f>IF(C216="YES",Param!V216,"no calc")</f>
        <v>no calc</v>
      </c>
      <c r="E216" s="552" t="str">
        <f>IF(C216="YES",Param!X216,"no calc")</f>
        <v>no calc</v>
      </c>
      <c r="F216" s="384" t="str">
        <f>IF(C216="YES",Param!O216,"no calc")</f>
        <v>no calc</v>
      </c>
      <c r="G216" s="622" t="str">
        <f>IF(C216="YES",Param!S216,"no calc")</f>
        <v>no calc</v>
      </c>
      <c r="H216" s="622" t="str">
        <f>IF(C216="YES",Param!AD216,"no calc")</f>
        <v>no calc</v>
      </c>
      <c r="I216" s="596" t="str">
        <f>IF(C216="YES",Param!AE216,"no calc")</f>
        <v>no calc</v>
      </c>
      <c r="J216" s="582" t="str">
        <f>IF(OR($D216="na",$D216="no calc"),"na",0.000001*Eqtn!D$419/(Eqtn!D$415*$H216*$D216+Eqtn!D$420*$I216*$E216))</f>
        <v>na</v>
      </c>
      <c r="K216" s="582" t="str">
        <f>IF(OR($D216="na",$D216="no calc"),"na",0.000001*Eqtn!E$419/(Eqtn!E$415*$H216*$D216+Eqtn!E$420*$I216*$E216))</f>
        <v>na</v>
      </c>
      <c r="L216" s="582" t="str">
        <f>IF(OR($D216="na",$D216="no calc"),"na",0.000001*Eqtn!F$419/(Eqtn!F$415*$H216*$D216+Eqtn!F$420*$I216*$E216))</f>
        <v>na</v>
      </c>
      <c r="M216" s="348" t="str">
        <f>IF(OR($D216="na",$D216="no calc"),"na",0.00001*Eqtn!D$419/(Eqtn!D$415*$H216*$D216+Eqtn!D$420*$I216*$E216))</f>
        <v>na</v>
      </c>
      <c r="N216" s="348" t="str">
        <f>IF(OR($D216="na",$D216="no calc"),"na",0.00001*Eqtn!E$419/(Eqtn!E$415*$H216*$D216+Eqtn!E$420*$I216*$E216))</f>
        <v>na</v>
      </c>
      <c r="O216" s="695" t="str">
        <f>IF(OR($D216="na",$D216="no calc"),"na",0.00001*Eqtn!F$419/(Eqtn!F$415*$H216*$D216+Eqtn!F$420*$I216*$E216))</f>
        <v>na</v>
      </c>
      <c r="P216" s="806" t="str">
        <f>IF(OR($F216="na",$F216="no calc"),"na",1*Eqtn!D$451/(Eqtn!D$447*$H216/$F216+Eqtn!D$452*$I216/$G216))</f>
        <v>na</v>
      </c>
      <c r="Q216" s="806" t="str">
        <f>IF(OR($F216="na",$F216="no calc"),"na",1*Eqtn!E$451/(Eqtn!E$447*$H216/$F216+Eqtn!E$452*$I216/$G216))</f>
        <v>na</v>
      </c>
      <c r="R216" s="806" t="str">
        <f>IF(OR($F216="na",$F216="no calc"),"na",1*Eqtn!F$451/(Eqtn!F$447*$H216/$F216+Eqtn!F$452*$I216/$G216))</f>
        <v>na</v>
      </c>
      <c r="S216" s="1426" t="str">
        <f t="shared" si="121"/>
        <v>na</v>
      </c>
      <c r="T216" s="1426" t="str">
        <f t="shared" si="122"/>
        <v>na</v>
      </c>
      <c r="U216" s="1426" t="str">
        <f t="shared" si="123"/>
        <v>na</v>
      </c>
      <c r="V216" s="1415" t="str">
        <f t="shared" si="127"/>
        <v>na</v>
      </c>
      <c r="W216" s="1399" t="str">
        <f t="shared" si="124"/>
        <v>na</v>
      </c>
      <c r="X216" s="1399" t="str">
        <f t="shared" si="125"/>
        <v>na</v>
      </c>
      <c r="Y216" s="1399" t="str">
        <f t="shared" si="126"/>
        <v>na</v>
      </c>
      <c r="Z216" s="716" t="str">
        <f t="shared" si="128"/>
        <v>na</v>
      </c>
      <c r="AB216" s="1062"/>
    </row>
    <row r="217" spans="1:28" ht="13.9" customHeight="1" x14ac:dyDescent="0.25">
      <c r="A217" s="846">
        <f>Chem!A217</f>
        <v>215</v>
      </c>
      <c r="B217" s="916" t="str">
        <f>Chem!B217</f>
        <v>1,1,2-Trichloroethane</v>
      </c>
      <c r="C217" s="2305" t="str">
        <f>Param!AK217</f>
        <v>no</v>
      </c>
      <c r="D217" s="384" t="str">
        <f>IF(C217="YES",Param!V217,"no calc")</f>
        <v>no calc</v>
      </c>
      <c r="E217" s="552" t="str">
        <f>IF(C217="YES",Param!X217,"no calc")</f>
        <v>no calc</v>
      </c>
      <c r="F217" s="384" t="str">
        <f>IF(C217="YES",Param!O217,"no calc")</f>
        <v>no calc</v>
      </c>
      <c r="G217" s="622" t="str">
        <f>IF(C217="YES",Param!S217,"no calc")</f>
        <v>no calc</v>
      </c>
      <c r="H217" s="622" t="str">
        <f>IF(C217="YES",Param!AD217,"no calc")</f>
        <v>no calc</v>
      </c>
      <c r="I217" s="596" t="str">
        <f>IF(C217="YES",Param!AE217,"no calc")</f>
        <v>no calc</v>
      </c>
      <c r="J217" s="582" t="str">
        <f>IF(OR($D217="na",$D217="no calc"),"na",0.000001*Eqtn!D$419/(Eqtn!D$415*$H217*$D217+Eqtn!D$420*$I217*$E217))</f>
        <v>na</v>
      </c>
      <c r="K217" s="582" t="str">
        <f>IF(OR($D217="na",$D217="no calc"),"na",0.000001*Eqtn!E$419/(Eqtn!E$415*$H217*$D217+Eqtn!E$420*$I217*$E217))</f>
        <v>na</v>
      </c>
      <c r="L217" s="582" t="str">
        <f>IF(OR($D217="na",$D217="no calc"),"na",0.000001*Eqtn!F$419/(Eqtn!F$415*$H217*$D217+Eqtn!F$420*$I217*$E217))</f>
        <v>na</v>
      </c>
      <c r="M217" s="348" t="str">
        <f>IF(OR($D217="na",$D217="no calc"),"na",0.00001*Eqtn!D$419/(Eqtn!D$415*$H217*$D217+Eqtn!D$420*$I217*$E217))</f>
        <v>na</v>
      </c>
      <c r="N217" s="348" t="str">
        <f>IF(OR($D217="na",$D217="no calc"),"na",0.00001*Eqtn!E$419/(Eqtn!E$415*$H217*$D217+Eqtn!E$420*$I217*$E217))</f>
        <v>na</v>
      </c>
      <c r="O217" s="695" t="str">
        <f>IF(OR($D217="na",$D217="no calc"),"na",0.00001*Eqtn!F$419/(Eqtn!F$415*$H217*$D217+Eqtn!F$420*$I217*$E217))</f>
        <v>na</v>
      </c>
      <c r="P217" s="806" t="str">
        <f>IF(OR($F217="na",$F217="no calc"),"na",1*Eqtn!D$451/(Eqtn!D$447*$H217/$F217+Eqtn!D$452*$I217/$G217))</f>
        <v>na</v>
      </c>
      <c r="Q217" s="806" t="str">
        <f>IF(OR($F217="na",$F217="no calc"),"na",1*Eqtn!E$451/(Eqtn!E$447*$H217/$F217+Eqtn!E$452*$I217/$G217))</f>
        <v>na</v>
      </c>
      <c r="R217" s="806" t="str">
        <f>IF(OR($F217="na",$F217="no calc"),"na",1*Eqtn!F$451/(Eqtn!F$447*$H217/$F217+Eqtn!F$452*$I217/$G217))</f>
        <v>na</v>
      </c>
      <c r="S217" s="1426" t="str">
        <f t="shared" si="121"/>
        <v>na</v>
      </c>
      <c r="T217" s="1426" t="str">
        <f t="shared" si="122"/>
        <v>na</v>
      </c>
      <c r="U217" s="1426" t="str">
        <f t="shared" si="123"/>
        <v>na</v>
      </c>
      <c r="V217" s="1415" t="str">
        <f t="shared" si="127"/>
        <v>na</v>
      </c>
      <c r="W217" s="1399" t="str">
        <f t="shared" si="124"/>
        <v>na</v>
      </c>
      <c r="X217" s="1399" t="str">
        <f t="shared" si="125"/>
        <v>na</v>
      </c>
      <c r="Y217" s="1399" t="str">
        <f t="shared" si="126"/>
        <v>na</v>
      </c>
      <c r="Z217" s="716" t="str">
        <f t="shared" si="128"/>
        <v>na</v>
      </c>
      <c r="AB217" s="1062"/>
    </row>
    <row r="218" spans="1:28" ht="13.9" customHeight="1" x14ac:dyDescent="0.25">
      <c r="A218" s="846">
        <f>Chem!A218</f>
        <v>216</v>
      </c>
      <c r="B218" s="1843" t="str">
        <f>Chem!B218</f>
        <v>Trichloroethylene (TCE)</v>
      </c>
      <c r="C218" s="2305" t="str">
        <f>Param!AK218</f>
        <v>no</v>
      </c>
      <c r="D218" s="384" t="str">
        <f>IF(C218="YES",Param!V218,"no calc")</f>
        <v>no calc</v>
      </c>
      <c r="E218" s="552" t="str">
        <f>IF(C218="YES",Param!X218,"no calc")</f>
        <v>no calc</v>
      </c>
      <c r="F218" s="384" t="str">
        <f>IF(C218="YES",Param!O218,"no calc")</f>
        <v>no calc</v>
      </c>
      <c r="G218" s="622" t="str">
        <f>IF(C218="YES",Param!S218,"no calc")</f>
        <v>no calc</v>
      </c>
      <c r="H218" s="622" t="str">
        <f>IF(C218="YES",Param!AD218,"no calc")</f>
        <v>no calc</v>
      </c>
      <c r="I218" s="596" t="str">
        <f>IF(C218="YES",Param!AE218,"no calc")</f>
        <v>no calc</v>
      </c>
      <c r="J218" s="582" t="str">
        <f>IF(OR($D218="na",$D218="no calc"),"na",0.000001*Eqtn!D$419/(Eqtn!D$415*$H218*$D218+Eqtn!D$420*$I218*$E218))</f>
        <v>na</v>
      </c>
      <c r="K218" s="582" t="str">
        <f>IF(OR($D218="na",$D218="no calc"),"na",0.000001*Eqtn!E$419/(Eqtn!E$415*$H218*$D218+Eqtn!E$420*$I218*$E218))</f>
        <v>na</v>
      </c>
      <c r="L218" s="582" t="str">
        <f>IF(OR($D218="na",$D218="no calc"),"na",0.000001*Eqtn!F$419/(Eqtn!F$415*$H218*$D218+Eqtn!F$420*$I218*$E218))</f>
        <v>na</v>
      </c>
      <c r="M218" s="348" t="str">
        <f>IF(OR($D218="na",$D218="no calc"),"na",0.00001*Eqtn!D$419/(Eqtn!D$415*$H218*$D218+Eqtn!D$420*$I218*$E218))</f>
        <v>na</v>
      </c>
      <c r="N218" s="348" t="str">
        <f>IF(OR($D218="na",$D218="no calc"),"na",0.00001*Eqtn!E$419/(Eqtn!E$415*$H218*$D218+Eqtn!E$420*$I218*$E218))</f>
        <v>na</v>
      </c>
      <c r="O218" s="695" t="str">
        <f>IF(OR($D218="na",$D218="no calc"),"na",0.00001*Eqtn!F$419/(Eqtn!F$415*$H218*$D218+Eqtn!F$420*$I218*$E218))</f>
        <v>na</v>
      </c>
      <c r="P218" s="806" t="str">
        <f>IF(OR($F218="na",$F218="no calc"),"na",1*Eqtn!D$451/(Eqtn!D$447*$H218/$F218+Eqtn!D$452*$I218/$G218))</f>
        <v>na</v>
      </c>
      <c r="Q218" s="806" t="str">
        <f>IF(OR($F218="na",$F218="no calc"),"na",1*Eqtn!E$451/(Eqtn!E$447*$H218/$F218+Eqtn!E$452*$I218/$G218))</f>
        <v>na</v>
      </c>
      <c r="R218" s="806" t="str">
        <f>IF(OR($F218="na",$F218="no calc"),"na",1*Eqtn!F$451/(Eqtn!F$447*$H218/$F218+Eqtn!F$452*$I218/$G218))</f>
        <v>na</v>
      </c>
      <c r="S218" s="1426" t="str">
        <f t="shared" si="121"/>
        <v>na</v>
      </c>
      <c r="T218" s="1426" t="str">
        <f t="shared" si="122"/>
        <v>na</v>
      </c>
      <c r="U218" s="1426" t="str">
        <f t="shared" si="123"/>
        <v>na</v>
      </c>
      <c r="V218" s="1415" t="str">
        <f t="shared" si="127"/>
        <v>na</v>
      </c>
      <c r="W218" s="1399" t="str">
        <f t="shared" si="124"/>
        <v>na</v>
      </c>
      <c r="X218" s="1399" t="str">
        <f t="shared" si="125"/>
        <v>na</v>
      </c>
      <c r="Y218" s="1399" t="str">
        <f t="shared" si="126"/>
        <v>na</v>
      </c>
      <c r="Z218" s="716" t="str">
        <f t="shared" si="128"/>
        <v>na</v>
      </c>
      <c r="AB218" s="1062"/>
    </row>
    <row r="219" spans="1:28" ht="13.9" customHeight="1" x14ac:dyDescent="0.25">
      <c r="A219" s="846">
        <f>Chem!A219</f>
        <v>217</v>
      </c>
      <c r="B219" s="916" t="str">
        <f>Chem!B219</f>
        <v>Trichlorofluoroethane</v>
      </c>
      <c r="C219" s="2305" t="str">
        <f>Param!AK219</f>
        <v>no</v>
      </c>
      <c r="D219" s="384" t="str">
        <f>IF(C219="YES",Param!V219,"no calc")</f>
        <v>no calc</v>
      </c>
      <c r="E219" s="552" t="str">
        <f>IF(C219="YES",Param!X219,"no calc")</f>
        <v>no calc</v>
      </c>
      <c r="F219" s="384" t="str">
        <f>IF(C219="YES",Param!O219,"no calc")</f>
        <v>no calc</v>
      </c>
      <c r="G219" s="622" t="str">
        <f>IF(C219="YES",Param!S219,"no calc")</f>
        <v>no calc</v>
      </c>
      <c r="H219" s="622" t="str">
        <f>IF(C219="YES",Param!AD219,"no calc")</f>
        <v>no calc</v>
      </c>
      <c r="I219" s="596" t="str">
        <f>IF(C219="YES",Param!AE219,"no calc")</f>
        <v>no calc</v>
      </c>
      <c r="J219" s="582" t="str">
        <f>IF(OR($D219="na",$D219="no calc"),"na",0.000001*Eqtn!D$419/(Eqtn!D$415*$H219*$D219+Eqtn!D$420*$I219*$E219))</f>
        <v>na</v>
      </c>
      <c r="K219" s="582" t="str">
        <f>IF(OR($D219="na",$D219="no calc"),"na",0.000001*Eqtn!E$419/(Eqtn!E$415*$H219*$D219+Eqtn!E$420*$I219*$E219))</f>
        <v>na</v>
      </c>
      <c r="L219" s="582" t="str">
        <f>IF(OR($D219="na",$D219="no calc"),"na",0.000001*Eqtn!F$419/(Eqtn!F$415*$H219*$D219+Eqtn!F$420*$I219*$E219))</f>
        <v>na</v>
      </c>
      <c r="M219" s="348" t="str">
        <f>IF(OR($D219="na",$D219="no calc"),"na",0.00001*Eqtn!D$419/(Eqtn!D$415*$H219*$D219+Eqtn!D$420*$I219*$E219))</f>
        <v>na</v>
      </c>
      <c r="N219" s="348" t="str">
        <f>IF(OR($D219="na",$D219="no calc"),"na",0.00001*Eqtn!E$419/(Eqtn!E$415*$H219*$D219+Eqtn!E$420*$I219*$E219))</f>
        <v>na</v>
      </c>
      <c r="O219" s="695" t="str">
        <f>IF(OR($D219="na",$D219="no calc"),"na",0.00001*Eqtn!F$419/(Eqtn!F$415*$H219*$D219+Eqtn!F$420*$I219*$E219))</f>
        <v>na</v>
      </c>
      <c r="P219" s="806" t="str">
        <f>IF(OR($F219="na",$F219="no calc"),"na",1*Eqtn!D$451/(Eqtn!D$447*$H219/$F219+Eqtn!D$452*$I219/$G219))</f>
        <v>na</v>
      </c>
      <c r="Q219" s="806" t="str">
        <f>IF(OR($F219="na",$F219="no calc"),"na",1*Eqtn!E$451/(Eqtn!E$447*$H219/$F219+Eqtn!E$452*$I219/$G219))</f>
        <v>na</v>
      </c>
      <c r="R219" s="806" t="str">
        <f>IF(OR($F219="na",$F219="no calc"),"na",1*Eqtn!F$451/(Eqtn!F$447*$H219/$F219+Eqtn!F$452*$I219/$G219))</f>
        <v>na</v>
      </c>
      <c r="S219" s="1426" t="str">
        <f t="shared" si="121"/>
        <v>na</v>
      </c>
      <c r="T219" s="1426" t="str">
        <f t="shared" si="122"/>
        <v>na</v>
      </c>
      <c r="U219" s="1426" t="str">
        <f t="shared" si="123"/>
        <v>na</v>
      </c>
      <c r="V219" s="1415" t="str">
        <f t="shared" si="127"/>
        <v>na</v>
      </c>
      <c r="W219" s="1399" t="str">
        <f t="shared" si="124"/>
        <v>na</v>
      </c>
      <c r="X219" s="1399" t="str">
        <f t="shared" si="125"/>
        <v>na</v>
      </c>
      <c r="Y219" s="1399" t="str">
        <f t="shared" si="126"/>
        <v>na</v>
      </c>
      <c r="Z219" s="716" t="str">
        <f t="shared" si="128"/>
        <v>na</v>
      </c>
      <c r="AB219" s="1062"/>
    </row>
    <row r="220" spans="1:28" ht="13.9" customHeight="1" x14ac:dyDescent="0.25">
      <c r="A220" s="846">
        <f>Chem!A220</f>
        <v>218</v>
      </c>
      <c r="B220" s="916" t="str">
        <f>Chem!B220</f>
        <v>Trichlorofluoromethane</v>
      </c>
      <c r="C220" s="2305" t="str">
        <f>Param!AK220</f>
        <v>no</v>
      </c>
      <c r="D220" s="384" t="str">
        <f>IF(C220="YES",Param!V220,"no calc")</f>
        <v>no calc</v>
      </c>
      <c r="E220" s="552" t="str">
        <f>IF(C220="YES",Param!X220,"no calc")</f>
        <v>no calc</v>
      </c>
      <c r="F220" s="384" t="str">
        <f>IF(C220="YES",Param!O220,"no calc")</f>
        <v>no calc</v>
      </c>
      <c r="G220" s="622" t="str">
        <f>IF(C220="YES",Param!S220,"no calc")</f>
        <v>no calc</v>
      </c>
      <c r="H220" s="622" t="str">
        <f>IF(C220="YES",Param!AD220,"no calc")</f>
        <v>no calc</v>
      </c>
      <c r="I220" s="596" t="str">
        <f>IF(C220="YES",Param!AE220,"no calc")</f>
        <v>no calc</v>
      </c>
      <c r="J220" s="582" t="str">
        <f>IF(OR($D220="na",$D220="no calc"),"na",0.000001*Eqtn!D$419/(Eqtn!D$415*$H220*$D220+Eqtn!D$420*$I220*$E220))</f>
        <v>na</v>
      </c>
      <c r="K220" s="582" t="str">
        <f>IF(OR($D220="na",$D220="no calc"),"na",0.000001*Eqtn!E$419/(Eqtn!E$415*$H220*$D220+Eqtn!E$420*$I220*$E220))</f>
        <v>na</v>
      </c>
      <c r="L220" s="582" t="str">
        <f>IF(OR($D220="na",$D220="no calc"),"na",0.000001*Eqtn!F$419/(Eqtn!F$415*$H220*$D220+Eqtn!F$420*$I220*$E220))</f>
        <v>na</v>
      </c>
      <c r="M220" s="348" t="str">
        <f>IF(OR($D220="na",$D220="no calc"),"na",0.00001*Eqtn!D$419/(Eqtn!D$415*$H220*$D220+Eqtn!D$420*$I220*$E220))</f>
        <v>na</v>
      </c>
      <c r="N220" s="348" t="str">
        <f>IF(OR($D220="na",$D220="no calc"),"na",0.00001*Eqtn!E$419/(Eqtn!E$415*$H220*$D220+Eqtn!E$420*$I220*$E220))</f>
        <v>na</v>
      </c>
      <c r="O220" s="695" t="str">
        <f>IF(OR($D220="na",$D220="no calc"),"na",0.00001*Eqtn!F$419/(Eqtn!F$415*$H220*$D220+Eqtn!F$420*$I220*$E220))</f>
        <v>na</v>
      </c>
      <c r="P220" s="806" t="str">
        <f>IF(OR($F220="na",$F220="no calc"),"na",1*Eqtn!D$451/(Eqtn!D$447*$H220/$F220+Eqtn!D$452*$I220/$G220))</f>
        <v>na</v>
      </c>
      <c r="Q220" s="806" t="str">
        <f>IF(OR($F220="na",$F220="no calc"),"na",1*Eqtn!E$451/(Eqtn!E$447*$H220/$F220+Eqtn!E$452*$I220/$G220))</f>
        <v>na</v>
      </c>
      <c r="R220" s="806" t="str">
        <f>IF(OR($F220="na",$F220="no calc"),"na",1*Eqtn!F$451/(Eqtn!F$447*$H220/$F220+Eqtn!F$452*$I220/$G220))</f>
        <v>na</v>
      </c>
      <c r="S220" s="1426" t="str">
        <f t="shared" si="121"/>
        <v>na</v>
      </c>
      <c r="T220" s="1426" t="str">
        <f t="shared" si="122"/>
        <v>na</v>
      </c>
      <c r="U220" s="1426" t="str">
        <f t="shared" si="123"/>
        <v>na</v>
      </c>
      <c r="V220" s="1415" t="str">
        <f t="shared" si="127"/>
        <v>na</v>
      </c>
      <c r="W220" s="1399" t="str">
        <f t="shared" si="124"/>
        <v>na</v>
      </c>
      <c r="X220" s="1399" t="str">
        <f t="shared" si="125"/>
        <v>na</v>
      </c>
      <c r="Y220" s="1399" t="str">
        <f t="shared" si="126"/>
        <v>na</v>
      </c>
      <c r="Z220" s="716" t="str">
        <f t="shared" si="128"/>
        <v>na</v>
      </c>
      <c r="AB220" s="1062"/>
    </row>
    <row r="221" spans="1:28" ht="13.9" customHeight="1" x14ac:dyDescent="0.25">
      <c r="A221" s="846">
        <f>Chem!A221</f>
        <v>219</v>
      </c>
      <c r="B221" s="1843" t="str">
        <f>Chem!B221</f>
        <v>1,2,3-Trichloropropane</v>
      </c>
      <c r="C221" s="2305" t="str">
        <f>Param!AK221</f>
        <v>no</v>
      </c>
      <c r="D221" s="384" t="str">
        <f>IF(C221="YES",Param!V221,"no calc")</f>
        <v>no calc</v>
      </c>
      <c r="E221" s="552" t="str">
        <f>IF(C221="YES",Param!X221,"no calc")</f>
        <v>no calc</v>
      </c>
      <c r="F221" s="384" t="str">
        <f>IF(C221="YES",Param!O221,"no calc")</f>
        <v>no calc</v>
      </c>
      <c r="G221" s="622" t="str">
        <f>IF(C221="YES",Param!S221,"no calc")</f>
        <v>no calc</v>
      </c>
      <c r="H221" s="622" t="str">
        <f>IF(C221="YES",Param!AD221,"no calc")</f>
        <v>no calc</v>
      </c>
      <c r="I221" s="596" t="str">
        <f>IF(C221="YES",Param!AE221,"no calc")</f>
        <v>no calc</v>
      </c>
      <c r="J221" s="582" t="str">
        <f>IF(OR($D221="na",$D221="no calc"),"na",0.000001*Eqtn!D$419/(Eqtn!D$415*$H221*$D221+Eqtn!D$420*$I221*$E221))</f>
        <v>na</v>
      </c>
      <c r="K221" s="582" t="str">
        <f>IF(OR($D221="na",$D221="no calc"),"na",0.000001*Eqtn!E$419/(Eqtn!E$415*$H221*$D221+Eqtn!E$420*$I221*$E221))</f>
        <v>na</v>
      </c>
      <c r="L221" s="582" t="str">
        <f>IF(OR($D221="na",$D221="no calc"),"na",0.000001*Eqtn!F$419/(Eqtn!F$415*$H221*$D221+Eqtn!F$420*$I221*$E221))</f>
        <v>na</v>
      </c>
      <c r="M221" s="348" t="str">
        <f>IF(OR($D221="na",$D221="no calc"),"na",0.00001*Eqtn!D$419/(Eqtn!D$415*$H221*$D221+Eqtn!D$420*$I221*$E221))</f>
        <v>na</v>
      </c>
      <c r="N221" s="348" t="str">
        <f>IF(OR($D221="na",$D221="no calc"),"na",0.00001*Eqtn!E$419/(Eqtn!E$415*$H221*$D221+Eqtn!E$420*$I221*$E221))</f>
        <v>na</v>
      </c>
      <c r="O221" s="695" t="str">
        <f>IF(OR($D221="na",$D221="no calc"),"na",0.00001*Eqtn!F$419/(Eqtn!F$415*$H221*$D221+Eqtn!F$420*$I221*$E221))</f>
        <v>na</v>
      </c>
      <c r="P221" s="806" t="str">
        <f>IF(OR($F221="na",$F221="no calc"),"na",1*Eqtn!D$451/(Eqtn!D$447*$H221/$F221+Eqtn!D$452*$I221/$G221))</f>
        <v>na</v>
      </c>
      <c r="Q221" s="806" t="str">
        <f>IF(OR($F221="na",$F221="no calc"),"na",1*Eqtn!E$451/(Eqtn!E$447*$H221/$F221+Eqtn!E$452*$I221/$G221))</f>
        <v>na</v>
      </c>
      <c r="R221" s="806" t="str">
        <f>IF(OR($F221="na",$F221="no calc"),"na",1*Eqtn!F$451/(Eqtn!F$447*$H221/$F221+Eqtn!F$452*$I221/$G221))</f>
        <v>na</v>
      </c>
      <c r="S221" s="1426" t="str">
        <f t="shared" si="121"/>
        <v>na</v>
      </c>
      <c r="T221" s="1426" t="str">
        <f t="shared" si="122"/>
        <v>na</v>
      </c>
      <c r="U221" s="1426" t="str">
        <f t="shared" si="123"/>
        <v>na</v>
      </c>
      <c r="V221" s="1415" t="str">
        <f t="shared" si="127"/>
        <v>na</v>
      </c>
      <c r="W221" s="1399" t="str">
        <f t="shared" si="124"/>
        <v>na</v>
      </c>
      <c r="X221" s="1399" t="str">
        <f t="shared" si="125"/>
        <v>na</v>
      </c>
      <c r="Y221" s="1399" t="str">
        <f t="shared" si="126"/>
        <v>na</v>
      </c>
      <c r="Z221" s="716" t="str">
        <f t="shared" si="128"/>
        <v>na</v>
      </c>
      <c r="AB221" s="1062"/>
    </row>
    <row r="222" spans="1:28" ht="13.9" customHeight="1" x14ac:dyDescent="0.25">
      <c r="A222" s="846">
        <f>Chem!A222</f>
        <v>220</v>
      </c>
      <c r="B222" s="916" t="str">
        <f>Chem!B222</f>
        <v>Trichlorotrifluoroethane</v>
      </c>
      <c r="C222" s="2305" t="str">
        <f>Param!AK222</f>
        <v>no</v>
      </c>
      <c r="D222" s="384" t="str">
        <f>IF(C222="YES",Param!V222,"no calc")</f>
        <v>no calc</v>
      </c>
      <c r="E222" s="552" t="str">
        <f>IF(C222="YES",Param!X222,"no calc")</f>
        <v>no calc</v>
      </c>
      <c r="F222" s="384" t="str">
        <f>IF(C222="YES",Param!O222,"no calc")</f>
        <v>no calc</v>
      </c>
      <c r="G222" s="622" t="str">
        <f>IF(C222="YES",Param!S222,"no calc")</f>
        <v>no calc</v>
      </c>
      <c r="H222" s="622" t="str">
        <f>IF(C222="YES",Param!AD222,"no calc")</f>
        <v>no calc</v>
      </c>
      <c r="I222" s="596" t="str">
        <f>IF(C222="YES",Param!AE222,"no calc")</f>
        <v>no calc</v>
      </c>
      <c r="J222" s="582" t="str">
        <f>IF(OR($D222="na",$D222="no calc"),"na",0.000001*Eqtn!D$419/(Eqtn!D$415*$H222*$D222+Eqtn!D$420*$I222*$E222))</f>
        <v>na</v>
      </c>
      <c r="K222" s="582" t="str">
        <f>IF(OR($D222="na",$D222="no calc"),"na",0.000001*Eqtn!E$419/(Eqtn!E$415*$H222*$D222+Eqtn!E$420*$I222*$E222))</f>
        <v>na</v>
      </c>
      <c r="L222" s="582" t="str">
        <f>IF(OR($D222="na",$D222="no calc"),"na",0.000001*Eqtn!F$419/(Eqtn!F$415*$H222*$D222+Eqtn!F$420*$I222*$E222))</f>
        <v>na</v>
      </c>
      <c r="M222" s="348" t="str">
        <f>IF(OR($D222="na",$D222="no calc"),"na",0.00001*Eqtn!D$419/(Eqtn!D$415*$H222*$D222+Eqtn!D$420*$I222*$E222))</f>
        <v>na</v>
      </c>
      <c r="N222" s="348" t="str">
        <f>IF(OR($D222="na",$D222="no calc"),"na",0.00001*Eqtn!E$419/(Eqtn!E$415*$H222*$D222+Eqtn!E$420*$I222*$E222))</f>
        <v>na</v>
      </c>
      <c r="O222" s="695" t="str">
        <f>IF(OR($D222="na",$D222="no calc"),"na",0.00001*Eqtn!F$419/(Eqtn!F$415*$H222*$D222+Eqtn!F$420*$I222*$E222))</f>
        <v>na</v>
      </c>
      <c r="P222" s="806" t="str">
        <f>IF(OR($F222="na",$F222="no calc"),"na",1*Eqtn!D$451/(Eqtn!D$447*$H222/$F222+Eqtn!D$452*$I222/$G222))</f>
        <v>na</v>
      </c>
      <c r="Q222" s="806" t="str">
        <f>IF(OR($F222="na",$F222="no calc"),"na",1*Eqtn!E$451/(Eqtn!E$447*$H222/$F222+Eqtn!E$452*$I222/$G222))</f>
        <v>na</v>
      </c>
      <c r="R222" s="806" t="str">
        <f>IF(OR($F222="na",$F222="no calc"),"na",1*Eqtn!F$451/(Eqtn!F$447*$H222/$F222+Eqtn!F$452*$I222/$G222))</f>
        <v>na</v>
      </c>
      <c r="S222" s="1426" t="str">
        <f t="shared" si="121"/>
        <v>na</v>
      </c>
      <c r="T222" s="1426" t="str">
        <f t="shared" si="122"/>
        <v>na</v>
      </c>
      <c r="U222" s="1426" t="str">
        <f t="shared" si="123"/>
        <v>na</v>
      </c>
      <c r="V222" s="1415" t="str">
        <f t="shared" si="127"/>
        <v>na</v>
      </c>
      <c r="W222" s="1399" t="str">
        <f t="shared" si="124"/>
        <v>na</v>
      </c>
      <c r="X222" s="1399" t="str">
        <f t="shared" si="125"/>
        <v>na</v>
      </c>
      <c r="Y222" s="1399" t="str">
        <f t="shared" si="126"/>
        <v>na</v>
      </c>
      <c r="Z222" s="716" t="str">
        <f t="shared" si="128"/>
        <v>na</v>
      </c>
      <c r="AB222" s="1062"/>
    </row>
    <row r="223" spans="1:28" ht="13.9" customHeight="1" x14ac:dyDescent="0.25">
      <c r="A223" s="846">
        <f>Chem!A223</f>
        <v>221</v>
      </c>
      <c r="B223" s="916" t="str">
        <f>Chem!B223</f>
        <v>1,2,3-Trimethylbenzene</v>
      </c>
      <c r="C223" s="2305" t="str">
        <f>Param!AK223</f>
        <v>no</v>
      </c>
      <c r="D223" s="394" t="str">
        <f>IF(C223="YES",Param!V223,"no calc")</f>
        <v>no calc</v>
      </c>
      <c r="E223" s="552" t="str">
        <f>IF(C223="YES",Param!X223,"no calc")</f>
        <v>no calc</v>
      </c>
      <c r="F223" s="394" t="str">
        <f>IF(C223="YES",Param!O223,"no calc")</f>
        <v>no calc</v>
      </c>
      <c r="G223" s="622" t="str">
        <f>IF(C223="YES",Param!S223,"no calc")</f>
        <v>no calc</v>
      </c>
      <c r="H223" s="622" t="str">
        <f>IF(C223="YES",Param!AD223,"no calc")</f>
        <v>no calc</v>
      </c>
      <c r="I223" s="598" t="str">
        <f>IF(C223="YES",Param!AE223,"no calc")</f>
        <v>no calc</v>
      </c>
      <c r="J223" s="582" t="str">
        <f>IF(OR($D223="na",$D223="no calc"),"na",0.000001*Eqtn!D$419/(Eqtn!D$415*$H223*$D223+Eqtn!D$420*$I223*$E223))</f>
        <v>na</v>
      </c>
      <c r="K223" s="582" t="str">
        <f>IF(OR($D223="na",$D223="no calc"),"na",0.000001*Eqtn!E$419/(Eqtn!E$415*$H223*$D223+Eqtn!E$420*$I223*$E223))</f>
        <v>na</v>
      </c>
      <c r="L223" s="582" t="str">
        <f>IF(OR($D223="na",$D223="no calc"),"na",0.000001*Eqtn!F$419/(Eqtn!F$415*$H223*$D223+Eqtn!F$420*$I223*$E223))</f>
        <v>na</v>
      </c>
      <c r="M223" s="348" t="str">
        <f>IF(OR($D223="na",$D223="no calc"),"na",0.00001*Eqtn!D$419/(Eqtn!D$415*$H223*$D223+Eqtn!D$420*$I223*$E223))</f>
        <v>na</v>
      </c>
      <c r="N223" s="348" t="str">
        <f>IF(OR($D223="na",$D223="no calc"),"na",0.00001*Eqtn!E$419/(Eqtn!E$415*$H223*$D223+Eqtn!E$420*$I223*$E223))</f>
        <v>na</v>
      </c>
      <c r="O223" s="695" t="str">
        <f>IF(OR($D223="na",$D223="no calc"),"na",0.00001*Eqtn!F$419/(Eqtn!F$415*$H223*$D223+Eqtn!F$420*$I223*$E223))</f>
        <v>na</v>
      </c>
      <c r="P223" s="806" t="str">
        <f>IF(OR($F223="na",$F223="no calc"),"na",1*Eqtn!D$451/(Eqtn!D$447*$H223/$F223+Eqtn!D$452*$I223/$G223))</f>
        <v>na</v>
      </c>
      <c r="Q223" s="806" t="str">
        <f>IF(OR($F223="na",$F223="no calc"),"na",1*Eqtn!E$451/(Eqtn!E$447*$H223/$F223+Eqtn!E$452*$I223/$G223))</f>
        <v>na</v>
      </c>
      <c r="R223" s="806" t="str">
        <f>IF(OR($F223="na",$F223="no calc"),"na",1*Eqtn!F$451/(Eqtn!F$447*$H223/$F223+Eqtn!F$452*$I223/$G223))</f>
        <v>na</v>
      </c>
      <c r="S223" s="1426" t="str">
        <f t="shared" si="121"/>
        <v>na</v>
      </c>
      <c r="T223" s="1426" t="str">
        <f t="shared" si="122"/>
        <v>na</v>
      </c>
      <c r="U223" s="1426" t="str">
        <f t="shared" si="123"/>
        <v>na</v>
      </c>
      <c r="V223" s="1415" t="str">
        <f t="shared" si="127"/>
        <v>na</v>
      </c>
      <c r="W223" s="1399" t="str">
        <f t="shared" si="124"/>
        <v>na</v>
      </c>
      <c r="X223" s="1399" t="str">
        <f t="shared" si="125"/>
        <v>na</v>
      </c>
      <c r="Y223" s="1399" t="str">
        <f t="shared" si="126"/>
        <v>na</v>
      </c>
      <c r="Z223" s="716" t="str">
        <f t="shared" si="128"/>
        <v>na</v>
      </c>
      <c r="AB223" s="1062"/>
    </row>
    <row r="224" spans="1:28" ht="13.9" customHeight="1" x14ac:dyDescent="0.25">
      <c r="A224" s="846">
        <f>Chem!A224</f>
        <v>222</v>
      </c>
      <c r="B224" s="916" t="str">
        <f>Chem!B224</f>
        <v>1,2,4-Trimethylbenzene</v>
      </c>
      <c r="C224" s="2305" t="str">
        <f>Param!AK224</f>
        <v>no</v>
      </c>
      <c r="D224" s="384" t="str">
        <f>IF(C224="YES",Param!V224,"no calc")</f>
        <v>no calc</v>
      </c>
      <c r="E224" s="552" t="str">
        <f>IF(C224="YES",Param!X224,"no calc")</f>
        <v>no calc</v>
      </c>
      <c r="F224" s="384" t="str">
        <f>IF(C224="YES",Param!O224,"no calc")</f>
        <v>no calc</v>
      </c>
      <c r="G224" s="622" t="str">
        <f>IF(C224="YES",Param!S224,"no calc")</f>
        <v>no calc</v>
      </c>
      <c r="H224" s="622" t="str">
        <f>IF(C224="YES",Param!AD224,"no calc")</f>
        <v>no calc</v>
      </c>
      <c r="I224" s="596" t="str">
        <f>IF(C224="YES",Param!AE224,"no calc")</f>
        <v>no calc</v>
      </c>
      <c r="J224" s="582" t="str">
        <f>IF(OR($D224="na",$D224="no calc"),"na",0.000001*Eqtn!D$419/(Eqtn!D$415*$H224*$D224+Eqtn!D$420*$I224*$E224))</f>
        <v>na</v>
      </c>
      <c r="K224" s="582" t="str">
        <f>IF(OR($D224="na",$D224="no calc"),"na",0.000001*Eqtn!E$419/(Eqtn!E$415*$H224*$D224+Eqtn!E$420*$I224*$E224))</f>
        <v>na</v>
      </c>
      <c r="L224" s="582" t="str">
        <f>IF(OR($D224="na",$D224="no calc"),"na",0.000001*Eqtn!F$419/(Eqtn!F$415*$H224*$D224+Eqtn!F$420*$I224*$E224))</f>
        <v>na</v>
      </c>
      <c r="M224" s="348" t="str">
        <f>IF(OR($D224="na",$D224="no calc"),"na",0.00001*Eqtn!D$419/(Eqtn!D$415*$H224*$D224+Eqtn!D$420*$I224*$E224))</f>
        <v>na</v>
      </c>
      <c r="N224" s="348" t="str">
        <f>IF(OR($D224="na",$D224="no calc"),"na",0.00001*Eqtn!E$419/(Eqtn!E$415*$H224*$D224+Eqtn!E$420*$I224*$E224))</f>
        <v>na</v>
      </c>
      <c r="O224" s="695" t="str">
        <f>IF(OR($D224="na",$D224="no calc"),"na",0.00001*Eqtn!F$419/(Eqtn!F$415*$H224*$D224+Eqtn!F$420*$I224*$E224))</f>
        <v>na</v>
      </c>
      <c r="P224" s="806" t="str">
        <f>IF(OR($F224="na",$F224="no calc"),"na",1*Eqtn!D$451/(Eqtn!D$447*$H224/$F224+Eqtn!D$452*$I224/$G224))</f>
        <v>na</v>
      </c>
      <c r="Q224" s="806" t="str">
        <f>IF(OR($F224="na",$F224="no calc"),"na",1*Eqtn!E$451/(Eqtn!E$447*$H224/$F224+Eqtn!E$452*$I224/$G224))</f>
        <v>na</v>
      </c>
      <c r="R224" s="806" t="str">
        <f>IF(OR($F224="na",$F224="no calc"),"na",1*Eqtn!F$451/(Eqtn!F$447*$H224/$F224+Eqtn!F$452*$I224/$G224))</f>
        <v>na</v>
      </c>
      <c r="S224" s="1426" t="str">
        <f t="shared" si="121"/>
        <v>na</v>
      </c>
      <c r="T224" s="1426" t="str">
        <f t="shared" si="122"/>
        <v>na</v>
      </c>
      <c r="U224" s="1426" t="str">
        <f t="shared" si="123"/>
        <v>na</v>
      </c>
      <c r="V224" s="1415" t="str">
        <f t="shared" si="127"/>
        <v>na</v>
      </c>
      <c r="W224" s="1399" t="str">
        <f t="shared" si="124"/>
        <v>na</v>
      </c>
      <c r="X224" s="1399" t="str">
        <f t="shared" si="125"/>
        <v>na</v>
      </c>
      <c r="Y224" s="1399" t="str">
        <f t="shared" si="126"/>
        <v>na</v>
      </c>
      <c r="Z224" s="716" t="str">
        <f t="shared" si="128"/>
        <v>na</v>
      </c>
      <c r="AB224" s="1062"/>
    </row>
    <row r="225" spans="1:28" ht="13.9" customHeight="1" x14ac:dyDescent="0.25">
      <c r="A225" s="846">
        <f>Chem!A225</f>
        <v>223</v>
      </c>
      <c r="B225" s="916" t="str">
        <f>Chem!B225</f>
        <v>1,3,5-Trimethylbenzene</v>
      </c>
      <c r="C225" s="2305" t="str">
        <f>Param!AK225</f>
        <v>no</v>
      </c>
      <c r="D225" s="384" t="str">
        <f>IF(C225="YES",Param!V225,"no calc")</f>
        <v>no calc</v>
      </c>
      <c r="E225" s="552" t="str">
        <f>IF(C225="YES",Param!X225,"no calc")</f>
        <v>no calc</v>
      </c>
      <c r="F225" s="384" t="str">
        <f>IF(C225="YES",Param!O225,"no calc")</f>
        <v>no calc</v>
      </c>
      <c r="G225" s="622" t="str">
        <f>IF(C225="YES",Param!S225,"no calc")</f>
        <v>no calc</v>
      </c>
      <c r="H225" s="622" t="str">
        <f>IF(C225="YES",Param!AD225,"no calc")</f>
        <v>no calc</v>
      </c>
      <c r="I225" s="596" t="str">
        <f>IF(C225="YES",Param!AE225,"no calc")</f>
        <v>no calc</v>
      </c>
      <c r="J225" s="582" t="str">
        <f>IF(OR($D225="na",$D225="no calc"),"na",0.000001*Eqtn!D$419/(Eqtn!D$415*$H225*$D225+Eqtn!D$420*$I225*$E225))</f>
        <v>na</v>
      </c>
      <c r="K225" s="582" t="str">
        <f>IF(OR($D225="na",$D225="no calc"),"na",0.000001*Eqtn!E$419/(Eqtn!E$415*$H225*$D225+Eqtn!E$420*$I225*$E225))</f>
        <v>na</v>
      </c>
      <c r="L225" s="582" t="str">
        <f>IF(OR($D225="na",$D225="no calc"),"na",0.000001*Eqtn!F$419/(Eqtn!F$415*$H225*$D225+Eqtn!F$420*$I225*$E225))</f>
        <v>na</v>
      </c>
      <c r="M225" s="348" t="str">
        <f>IF(OR($D225="na",$D225="no calc"),"na",0.00001*Eqtn!D$419/(Eqtn!D$415*$H225*$D225+Eqtn!D$420*$I225*$E225))</f>
        <v>na</v>
      </c>
      <c r="N225" s="348" t="str">
        <f>IF(OR($D225="na",$D225="no calc"),"na",0.00001*Eqtn!E$419/(Eqtn!E$415*$H225*$D225+Eqtn!E$420*$I225*$E225))</f>
        <v>na</v>
      </c>
      <c r="O225" s="695" t="str">
        <f>IF(OR($D225="na",$D225="no calc"),"na",0.00001*Eqtn!F$419/(Eqtn!F$415*$H225*$D225+Eqtn!F$420*$I225*$E225))</f>
        <v>na</v>
      </c>
      <c r="P225" s="806" t="str">
        <f>IF(OR($F225="na",$F225="no calc"),"na",1*Eqtn!D$451/(Eqtn!D$447*$H225/$F225+Eqtn!D$452*$I225/$G225))</f>
        <v>na</v>
      </c>
      <c r="Q225" s="806" t="str">
        <f>IF(OR($F225="na",$F225="no calc"),"na",1*Eqtn!E$451/(Eqtn!E$447*$H225/$F225+Eqtn!E$452*$I225/$G225))</f>
        <v>na</v>
      </c>
      <c r="R225" s="806" t="str">
        <f>IF(OR($F225="na",$F225="no calc"),"na",1*Eqtn!F$451/(Eqtn!F$447*$H225/$F225+Eqtn!F$452*$I225/$G225))</f>
        <v>na</v>
      </c>
      <c r="S225" s="1426" t="str">
        <f t="shared" si="121"/>
        <v>na</v>
      </c>
      <c r="T225" s="1426" t="str">
        <f t="shared" si="122"/>
        <v>na</v>
      </c>
      <c r="U225" s="1426" t="str">
        <f t="shared" si="123"/>
        <v>na</v>
      </c>
      <c r="V225" s="1415" t="str">
        <f t="shared" si="127"/>
        <v>na</v>
      </c>
      <c r="W225" s="1399" t="str">
        <f t="shared" si="124"/>
        <v>na</v>
      </c>
      <c r="X225" s="1399" t="str">
        <f t="shared" si="125"/>
        <v>na</v>
      </c>
      <c r="Y225" s="1399" t="str">
        <f t="shared" si="126"/>
        <v>na</v>
      </c>
      <c r="Z225" s="716" t="str">
        <f t="shared" si="128"/>
        <v>na</v>
      </c>
      <c r="AB225" s="1062"/>
    </row>
    <row r="226" spans="1:28" ht="13.9" customHeight="1" x14ac:dyDescent="0.25">
      <c r="A226" s="846">
        <f>Chem!A226</f>
        <v>224</v>
      </c>
      <c r="B226" s="916" t="str">
        <f>Chem!B226</f>
        <v>Vinyl acetate</v>
      </c>
      <c r="C226" s="2305" t="str">
        <f>Param!AK226</f>
        <v>no</v>
      </c>
      <c r="D226" s="384" t="str">
        <f>IF(C226="YES",Param!V226,"no calc")</f>
        <v>no calc</v>
      </c>
      <c r="E226" s="552" t="str">
        <f>IF(C226="YES",Param!X226,"no calc")</f>
        <v>no calc</v>
      </c>
      <c r="F226" s="384" t="str">
        <f>IF(C226="YES",Param!O226,"no calc")</f>
        <v>no calc</v>
      </c>
      <c r="G226" s="622" t="str">
        <f>IF(C226="YES",Param!S226,"no calc")</f>
        <v>no calc</v>
      </c>
      <c r="H226" s="622" t="str">
        <f>IF(C226="YES",Param!AD226,"no calc")</f>
        <v>no calc</v>
      </c>
      <c r="I226" s="596" t="str">
        <f>IF(C226="YES",Param!AE226,"no calc")</f>
        <v>no calc</v>
      </c>
      <c r="J226" s="582" t="str">
        <f>IF(OR($D226="na",$D226="no calc"),"na",0.000001*Eqtn!D$419/(Eqtn!D$415*$H226*$D226+Eqtn!D$420*$I226*$E226))</f>
        <v>na</v>
      </c>
      <c r="K226" s="582" t="str">
        <f>IF(OR($D226="na",$D226="no calc"),"na",0.000001*Eqtn!E$419/(Eqtn!E$415*$H226*$D226+Eqtn!E$420*$I226*$E226))</f>
        <v>na</v>
      </c>
      <c r="L226" s="582" t="str">
        <f>IF(OR($D226="na",$D226="no calc"),"na",0.000001*Eqtn!F$419/(Eqtn!F$415*$H226*$D226+Eqtn!F$420*$I226*$E226))</f>
        <v>na</v>
      </c>
      <c r="M226" s="348" t="str">
        <f>IF(OR($D226="na",$D226="no calc"),"na",0.00001*Eqtn!D$419/(Eqtn!D$415*$H226*$D226+Eqtn!D$420*$I226*$E226))</f>
        <v>na</v>
      </c>
      <c r="N226" s="348" t="str">
        <f>IF(OR($D226="na",$D226="no calc"),"na",0.00001*Eqtn!E$419/(Eqtn!E$415*$H226*$D226+Eqtn!E$420*$I226*$E226))</f>
        <v>na</v>
      </c>
      <c r="O226" s="695" t="str">
        <f>IF(OR($D226="na",$D226="no calc"),"na",0.00001*Eqtn!F$419/(Eqtn!F$415*$H226*$D226+Eqtn!F$420*$I226*$E226))</f>
        <v>na</v>
      </c>
      <c r="P226" s="806" t="str">
        <f>IF(OR($F226="na",$F226="no calc"),"na",1*Eqtn!D$451/(Eqtn!D$447*$H226/$F226+Eqtn!D$452*$I226/$G226))</f>
        <v>na</v>
      </c>
      <c r="Q226" s="806" t="str">
        <f>IF(OR($F226="na",$F226="no calc"),"na",1*Eqtn!E$451/(Eqtn!E$447*$H226/$F226+Eqtn!E$452*$I226/$G226))</f>
        <v>na</v>
      </c>
      <c r="R226" s="806" t="str">
        <f>IF(OR($F226="na",$F226="no calc"),"na",1*Eqtn!F$451/(Eqtn!F$447*$H226/$F226+Eqtn!F$452*$I226/$G226))</f>
        <v>na</v>
      </c>
      <c r="S226" s="1426" t="str">
        <f t="shared" si="121"/>
        <v>na</v>
      </c>
      <c r="T226" s="1426" t="str">
        <f t="shared" si="122"/>
        <v>na</v>
      </c>
      <c r="U226" s="1426" t="str">
        <f t="shared" si="123"/>
        <v>na</v>
      </c>
      <c r="V226" s="1415" t="str">
        <f t="shared" si="127"/>
        <v>na</v>
      </c>
      <c r="W226" s="1399" t="str">
        <f t="shared" si="124"/>
        <v>na</v>
      </c>
      <c r="X226" s="1399" t="str">
        <f t="shared" si="125"/>
        <v>na</v>
      </c>
      <c r="Y226" s="1399" t="str">
        <f t="shared" si="126"/>
        <v>na</v>
      </c>
      <c r="Z226" s="716" t="str">
        <f t="shared" si="128"/>
        <v>na</v>
      </c>
      <c r="AB226" s="1062"/>
    </row>
    <row r="227" spans="1:28" ht="13.9" customHeight="1" x14ac:dyDescent="0.25">
      <c r="A227" s="846">
        <f>Chem!A227</f>
        <v>225</v>
      </c>
      <c r="B227" s="916" t="str">
        <f>Chem!B227</f>
        <v>Vinyl chloride</v>
      </c>
      <c r="C227" s="2305" t="str">
        <f>Param!AK227</f>
        <v>no</v>
      </c>
      <c r="D227" s="384" t="str">
        <f>IF(C227="YES",Param!V227,"no calc")</f>
        <v>no calc</v>
      </c>
      <c r="E227" s="552" t="str">
        <f>IF(C227="YES",Param!X227,"no calc")</f>
        <v>no calc</v>
      </c>
      <c r="F227" s="384" t="str">
        <f>IF(C227="YES",Param!O227,"no calc")</f>
        <v>no calc</v>
      </c>
      <c r="G227" s="622" t="str">
        <f>IF(C227="YES",Param!S227,"no calc")</f>
        <v>no calc</v>
      </c>
      <c r="H227" s="622" t="str">
        <f>IF(C227="YES",Param!AD227,"no calc")</f>
        <v>no calc</v>
      </c>
      <c r="I227" s="596" t="str">
        <f>IF(C227="YES",Param!AE227,"no calc")</f>
        <v>no calc</v>
      </c>
      <c r="J227" s="582" t="str">
        <f>IF(OR($D227="na",$D227="no calc"),"na",0.000001*Eqtn!D$419/(Eqtn!D$415*$H227*$D227+Eqtn!D$420*$I227*$E227))</f>
        <v>na</v>
      </c>
      <c r="K227" s="582" t="str">
        <f>IF(OR($D227="na",$D227="no calc"),"na",0.000001*Eqtn!E$419/(Eqtn!E$415*$H227*$D227+Eqtn!E$420*$I227*$E227))</f>
        <v>na</v>
      </c>
      <c r="L227" s="582" t="str">
        <f>IF(OR($D227="na",$D227="no calc"),"na",0.000001*Eqtn!F$419/(Eqtn!F$415*$H227*$D227+Eqtn!F$420*$I227*$E227))</f>
        <v>na</v>
      </c>
      <c r="M227" s="348" t="str">
        <f>IF(OR($D227="na",$D227="no calc"),"na",0.00001*Eqtn!D$419/(Eqtn!D$415*$H227*$D227+Eqtn!D$420*$I227*$E227))</f>
        <v>na</v>
      </c>
      <c r="N227" s="348" t="str">
        <f>IF(OR($D227="na",$D227="no calc"),"na",0.00001*Eqtn!E$419/(Eqtn!E$415*$H227*$D227+Eqtn!E$420*$I227*$E227))</f>
        <v>na</v>
      </c>
      <c r="O227" s="695" t="str">
        <f>IF(OR($D227="na",$D227="no calc"),"na",0.00001*Eqtn!F$419/(Eqtn!F$415*$H227*$D227+Eqtn!F$420*$I227*$E227))</f>
        <v>na</v>
      </c>
      <c r="P227" s="806" t="str">
        <f>IF(OR($F227="na",$F227="no calc"),"na",1*Eqtn!D$451/(Eqtn!D$447*$H227/$F227+Eqtn!D$452*$I227/$G227))</f>
        <v>na</v>
      </c>
      <c r="Q227" s="806" t="str">
        <f>IF(OR($F227="na",$F227="no calc"),"na",1*Eqtn!E$451/(Eqtn!E$447*$H227/$F227+Eqtn!E$452*$I227/$G227))</f>
        <v>na</v>
      </c>
      <c r="R227" s="806" t="str">
        <f>IF(OR($F227="na",$F227="no calc"),"na",1*Eqtn!F$451/(Eqtn!F$447*$H227/$F227+Eqtn!F$452*$I227/$G227))</f>
        <v>na</v>
      </c>
      <c r="S227" s="1426" t="str">
        <f t="shared" si="121"/>
        <v>na</v>
      </c>
      <c r="T227" s="1426" t="str">
        <f t="shared" si="122"/>
        <v>na</v>
      </c>
      <c r="U227" s="1426" t="str">
        <f t="shared" si="123"/>
        <v>na</v>
      </c>
      <c r="V227" s="1415" t="str">
        <f t="shared" si="127"/>
        <v>na</v>
      </c>
      <c r="W227" s="1399" t="str">
        <f t="shared" si="124"/>
        <v>na</v>
      </c>
      <c r="X227" s="1399" t="str">
        <f t="shared" si="125"/>
        <v>na</v>
      </c>
      <c r="Y227" s="1399" t="str">
        <f t="shared" si="126"/>
        <v>na</v>
      </c>
      <c r="Z227" s="716" t="str">
        <f t="shared" si="128"/>
        <v>na</v>
      </c>
      <c r="AB227" s="1062"/>
    </row>
    <row r="228" spans="1:28" ht="13.9" customHeight="1" x14ac:dyDescent="0.25">
      <c r="A228" s="1661">
        <f>Chem!A228</f>
        <v>226</v>
      </c>
      <c r="B228" s="916" t="str">
        <f>Chem!B228</f>
        <v>Total xylenes</v>
      </c>
      <c r="C228" s="2304" t="str">
        <f>Param!AK228</f>
        <v>no</v>
      </c>
      <c r="D228" s="392" t="str">
        <f>IF(C228="YES",Param!V228,"no calc")</f>
        <v>no calc</v>
      </c>
      <c r="E228" s="589" t="str">
        <f>IF(C228="YES",Param!X228,"no calc")</f>
        <v>no calc</v>
      </c>
      <c r="F228" s="392" t="str">
        <f>IF(C228="YES",Param!O228,"no calc")</f>
        <v>no calc</v>
      </c>
      <c r="G228" s="623" t="str">
        <f>IF(C228="YES",Param!S228,"no calc")</f>
        <v>no calc</v>
      </c>
      <c r="H228" s="625" t="str">
        <f>IF(C228="YES",Param!AD228,"no calc")</f>
        <v>no calc</v>
      </c>
      <c r="I228" s="588" t="str">
        <f>IF(C228="YES",Param!AE228,"no calc")</f>
        <v>no calc</v>
      </c>
      <c r="J228" s="583" t="str">
        <f>IF(OR($D228="na",$D228="no calc"),"na",0.000001*Eqtn!D$419/(Eqtn!D$415*$H228*$D228+Eqtn!D$420*$I228*$E228))</f>
        <v>na</v>
      </c>
      <c r="K228" s="583" t="str">
        <f>IF(OR($D228="na",$D228="no calc"),"na",0.000001*Eqtn!E$419/(Eqtn!E$415*$H228*$D228+Eqtn!E$420*$I228*$E228))</f>
        <v>na</v>
      </c>
      <c r="L228" s="583" t="str">
        <f>IF(OR($D228="na",$D228="no calc"),"na",0.000001*Eqtn!F$419/(Eqtn!F$415*$H228*$D228+Eqtn!F$420*$I228*$E228))</f>
        <v>na</v>
      </c>
      <c r="M228" s="737" t="str">
        <f>IF(OR($D228="na",$D228="no calc"),"na",0.00001*Eqtn!D$419/(Eqtn!D$415*$H228*$D228+Eqtn!D$420*$I228*$E228))</f>
        <v>na</v>
      </c>
      <c r="N228" s="737" t="str">
        <f>IF(OR($D228="na",$D228="no calc"),"na",0.00001*Eqtn!E$419/(Eqtn!E$415*$H228*$D228+Eqtn!E$420*$I228*$E228))</f>
        <v>na</v>
      </c>
      <c r="O228" s="741" t="str">
        <f>IF(OR($D228="na",$D228="no calc"),"na",0.00001*Eqtn!F$419/(Eqtn!F$415*$H228*$D228+Eqtn!F$420*$I228*$E228))</f>
        <v>na</v>
      </c>
      <c r="P228" s="807" t="str">
        <f>IF(OR($F228="na",$F228="no calc"),"na",1*Eqtn!D$451/(Eqtn!D$447*$H228/$F228+Eqtn!D$452*$I228/$G228))</f>
        <v>na</v>
      </c>
      <c r="Q228" s="807" t="str">
        <f>IF(OR($F228="na",$F228="no calc"),"na",1*Eqtn!E$451/(Eqtn!E$447*$H228/$F228+Eqtn!E$452*$I228/$G228))</f>
        <v>na</v>
      </c>
      <c r="R228" s="807" t="str">
        <f>IF(OR($F228="na",$F228="no calc"),"na",1*Eqtn!F$451/(Eqtn!F$447*$H228/$F228+Eqtn!F$452*$I228/$G228))</f>
        <v>na</v>
      </c>
      <c r="S228" s="1427" t="str">
        <f t="shared" si="121"/>
        <v>na</v>
      </c>
      <c r="T228" s="1427" t="str">
        <f t="shared" si="122"/>
        <v>na</v>
      </c>
      <c r="U228" s="1427" t="str">
        <f t="shared" si="123"/>
        <v>na</v>
      </c>
      <c r="V228" s="1416" t="str">
        <f t="shared" si="127"/>
        <v>na</v>
      </c>
      <c r="W228" s="1400" t="str">
        <f t="shared" si="124"/>
        <v>na</v>
      </c>
      <c r="X228" s="1400" t="str">
        <f t="shared" si="125"/>
        <v>na</v>
      </c>
      <c r="Y228" s="1400" t="str">
        <f t="shared" si="126"/>
        <v>na</v>
      </c>
      <c r="Z228" s="738" t="str">
        <f t="shared" si="128"/>
        <v>na</v>
      </c>
      <c r="AB228" s="1062"/>
    </row>
    <row r="229" spans="1:28" ht="13.9" customHeight="1" x14ac:dyDescent="0.25">
      <c r="A229" s="1197">
        <f>Chem!A229</f>
        <v>227</v>
      </c>
      <c r="B229" s="887" t="str">
        <f>Chem!B229</f>
        <v>PFAS</v>
      </c>
      <c r="C229" s="2343"/>
      <c r="D229" s="259"/>
      <c r="E229" s="127"/>
      <c r="F229" s="259"/>
      <c r="G229" s="44"/>
      <c r="H229" s="44"/>
      <c r="I229" s="327"/>
      <c r="J229" s="127"/>
      <c r="K229" s="127"/>
      <c r="L229" s="127"/>
      <c r="M229" s="127"/>
      <c r="N229" s="127"/>
      <c r="O229" s="127"/>
      <c r="P229" s="44"/>
      <c r="Q229" s="44"/>
      <c r="R229" s="44"/>
      <c r="S229" s="44"/>
      <c r="T229" s="44"/>
      <c r="U229" s="44"/>
      <c r="V229" s="44"/>
      <c r="W229" s="44"/>
      <c r="X229" s="44"/>
      <c r="Y229" s="44"/>
      <c r="Z229" s="55"/>
      <c r="AA229" s="133"/>
      <c r="AB229" s="1063"/>
    </row>
    <row r="230" spans="1:28" s="380" customFormat="1" ht="13.9" customHeight="1" x14ac:dyDescent="0.25">
      <c r="A230" s="1661">
        <f>Chem!A230</f>
        <v>228</v>
      </c>
      <c r="B230" s="923" t="str">
        <f>Chem!B230</f>
        <v>6:2 Fluorotelomer sulfonic acid (6:2 FTS)</v>
      </c>
      <c r="C230" s="2310" t="str">
        <f>Param!AK230</f>
        <v>no</v>
      </c>
      <c r="D230" s="1801" t="str">
        <f>IF(C230="YES",Param!V230,"no calc")</f>
        <v>no calc</v>
      </c>
      <c r="E230" s="2255" t="str">
        <f>IF(C230="YES",Param!X230,"no calc")</f>
        <v>no calc</v>
      </c>
      <c r="F230" s="1801" t="str">
        <f>IF(C230="YES",Param!O230,"no calc")</f>
        <v>no calc</v>
      </c>
      <c r="G230" s="2256" t="str">
        <f>IF(C230="YES",Param!S230,"no calc")</f>
        <v>no calc</v>
      </c>
      <c r="H230" s="2256" t="str">
        <f>IF(C230="YES",Param!AD230,"no calc")</f>
        <v>no calc</v>
      </c>
      <c r="I230" s="1995" t="str">
        <f>IF(C230="YES",Param!AE230,"no calc")</f>
        <v>no calc</v>
      </c>
      <c r="J230" s="2257" t="str">
        <f>IF(OR($D230="na",$D230="no calc"),"na",0.000001*Eqtn!D$419/(Eqtn!D$415*$H230*$D230+Eqtn!D$420*$I230*$E230))</f>
        <v>na</v>
      </c>
      <c r="K230" s="2257" t="str">
        <f>IF(OR($D230="na",$D230="no calc"),"na",0.000001*Eqtn!E$419/(Eqtn!E$415*$H230*$D230+Eqtn!E$420*$I230*$E230))</f>
        <v>na</v>
      </c>
      <c r="L230" s="2257" t="str">
        <f>IF(OR($D230="na",$D230="no calc"),"na",0.000001*Eqtn!F$419/(Eqtn!F$415*$H230*$D230+Eqtn!F$420*$I230*$E230))</f>
        <v>na</v>
      </c>
      <c r="M230" s="2258" t="str">
        <f>IF(OR($D230="na",$D230="no calc"),"na",0.00001*Eqtn!D$419/(Eqtn!D$415*$H230*$D230+Eqtn!D$420*$I230*$E230))</f>
        <v>na</v>
      </c>
      <c r="N230" s="2258" t="str">
        <f>IF(OR($D230="na",$D230="no calc"),"na",0.00001*Eqtn!E$419/(Eqtn!E$415*$H230*$D230+Eqtn!E$420*$I230*$E230))</f>
        <v>na</v>
      </c>
      <c r="O230" s="2258" t="str">
        <f>IF(OR($D230="na",$D230="no calc"),"na",0.00001*Eqtn!F$419/(Eqtn!F$415*$H230*$D230+Eqtn!F$420*$I230*$E230))</f>
        <v>na</v>
      </c>
      <c r="P230" s="2259" t="str">
        <f>IF(OR($F230="na",$F230="no calc"),"na",1*Eqtn!D$451/(Eqtn!D$447*$H230/$F230+Eqtn!D$452*$I230/$G230))</f>
        <v>na</v>
      </c>
      <c r="Q230" s="2259" t="str">
        <f>IF(OR($F230="na",$F230="no calc"),"na",1*Eqtn!E$451/(Eqtn!E$447*$H230/$F230+Eqtn!E$452*$I230/$G230))</f>
        <v>na</v>
      </c>
      <c r="R230" s="2259" t="str">
        <f>IF(OR($F230="na",$F230="no calc"),"na",1*Eqtn!F$451/(Eqtn!F$447*$H230/$F230+Eqtn!F$452*$I230/$G230))</f>
        <v>na</v>
      </c>
      <c r="S230" s="2260" t="str">
        <f t="shared" ref="S230" si="129">IF(OR(ISNUMBER(J230),ISNUMBER(P230)),MIN(J230,P230),"na")</f>
        <v>na</v>
      </c>
      <c r="T230" s="2260" t="str">
        <f t="shared" ref="T230" si="130">IF(OR(ISNUMBER(K230),ISNUMBER(Q230)),MIN(K230,Q230),"na")</f>
        <v>na</v>
      </c>
      <c r="U230" s="2260" t="str">
        <f t="shared" ref="U230" si="131">IF(OR(ISNUMBER(L230),ISNUMBER(R230)),MIN(L230,R230),"na")</f>
        <v>na</v>
      </c>
      <c r="V230" s="2204" t="str">
        <f t="shared" ref="V230" si="132">IF(OR(ISNUMBER(S230),ISNUMBER(T230),ISNUMBER(U230)),MIN(S230,T230,U230),"na")</f>
        <v>na</v>
      </c>
      <c r="W230" s="2261" t="str">
        <f t="shared" ref="W230" si="133">IF(OR(ISNUMBER(M230),ISNUMBER(P230)),MIN(M230,P230),"na")</f>
        <v>na</v>
      </c>
      <c r="X230" s="2261" t="str">
        <f t="shared" ref="X230" si="134">IF(OR(ISNUMBER(N230),ISNUMBER(Q230)),MIN(N230,Q230),"na")</f>
        <v>na</v>
      </c>
      <c r="Y230" s="2261" t="str">
        <f t="shared" ref="Y230" si="135">IF(OR(ISNUMBER(O230),ISNUMBER(R230)),MIN(O230,R230),"na")</f>
        <v>na</v>
      </c>
      <c r="Z230" s="2262" t="str">
        <f t="shared" ref="Z230" si="136">IF(OR(ISNUMBER(W230),ISNUMBER(X230),ISNUMBER(Y230)),MIN(W230,X230,Y230),"na")</f>
        <v>na</v>
      </c>
      <c r="AA230" s="295"/>
      <c r="AB230" s="1987"/>
    </row>
    <row r="231" spans="1:28" ht="13.9" customHeight="1" x14ac:dyDescent="0.25">
      <c r="A231" s="1661">
        <f>Chem!A231</f>
        <v>229</v>
      </c>
      <c r="B231" s="918" t="str">
        <f>Chem!B231</f>
        <v>GenX (HFPO-DA)</v>
      </c>
      <c r="C231" s="2311" t="str">
        <f>Param!AK231</f>
        <v>no</v>
      </c>
      <c r="D231" s="531" t="str">
        <f>IF(C231="YES",Param!V231,"no calc")</f>
        <v>no calc</v>
      </c>
      <c r="E231" s="1119" t="str">
        <f>IF(C231="YES",Param!X231,"no calc")</f>
        <v>no calc</v>
      </c>
      <c r="F231" s="531" t="str">
        <f>IF(C231="YES",Param!O231,"no calc")</f>
        <v>no calc</v>
      </c>
      <c r="G231" s="803" t="str">
        <f>IF(C231="YES",Param!S231,"no calc")</f>
        <v>no calc</v>
      </c>
      <c r="H231" s="803" t="str">
        <f>IF(C231="YES",Param!AD231,"no calc")</f>
        <v>no calc</v>
      </c>
      <c r="I231" s="595" t="str">
        <f>IF(C231="YES",Param!AE231,"no calc")</f>
        <v>no calc</v>
      </c>
      <c r="J231" s="1327" t="str">
        <f>IF(OR($D231="na",$D231="no calc"),"na",0.000001*Eqtn!D$419/(Eqtn!D$415*$H231*$D231+Eqtn!D$420*$I231*$E231))</f>
        <v>na</v>
      </c>
      <c r="K231" s="1327" t="str">
        <f>IF(OR($D231="na",$D231="no calc"),"na",0.000001*Eqtn!E$419/(Eqtn!E$415*$H231*$D231+Eqtn!E$420*$I231*$E231))</f>
        <v>na</v>
      </c>
      <c r="L231" s="1327" t="str">
        <f>IF(OR($D231="na",$D231="no calc"),"na",0.000001*Eqtn!F$419/(Eqtn!F$415*$H231*$D231+Eqtn!F$420*$I231*$E231))</f>
        <v>na</v>
      </c>
      <c r="M231" s="721" t="str">
        <f>IF(OR($D231="na",$D231="no calc"),"na",0.00001*Eqtn!D$419/(Eqtn!D$415*$H231*$D231+Eqtn!D$420*$I231*$E231))</f>
        <v>na</v>
      </c>
      <c r="N231" s="721" t="str">
        <f>IF(OR($D231="na",$D231="no calc"),"na",0.00001*Eqtn!E$419/(Eqtn!E$415*$H231*$D231+Eqtn!E$420*$I231*$E231))</f>
        <v>na</v>
      </c>
      <c r="O231" s="721" t="str">
        <f>IF(OR($D231="na",$D231="no calc"),"na",0.00001*Eqtn!F$419/(Eqtn!F$415*$H231*$D231+Eqtn!F$420*$I231*$E231))</f>
        <v>na</v>
      </c>
      <c r="P231" s="1617" t="str">
        <f>IF(OR($F231="na",$F231="no calc"),"na",1*Eqtn!D$451/(Eqtn!D$447*$H231/$F231+Eqtn!D$452*$I231/$G231))</f>
        <v>na</v>
      </c>
      <c r="Q231" s="1617" t="str">
        <f>IF(OR($F231="na",$F231="no calc"),"na",1*Eqtn!E$451/(Eqtn!E$447*$H231/$F231+Eqtn!E$452*$I231/$G231))</f>
        <v>na</v>
      </c>
      <c r="R231" s="1617" t="str">
        <f>IF(OR($F231="na",$F231="no calc"),"na",1*Eqtn!F$451/(Eqtn!F$447*$H231/$F231+Eqtn!F$452*$I231/$G231))</f>
        <v>na</v>
      </c>
      <c r="S231" s="1618" t="str">
        <f t="shared" ref="S231:S239" si="137">IF(OR(ISNUMBER(J231),ISNUMBER(P231)),MIN(J231,P231),"na")</f>
        <v>na</v>
      </c>
      <c r="T231" s="1618" t="str">
        <f t="shared" ref="T231:T239" si="138">IF(OR(ISNUMBER(K231),ISNUMBER(Q231)),MIN(K231,Q231),"na")</f>
        <v>na</v>
      </c>
      <c r="U231" s="1618" t="str">
        <f t="shared" ref="U231:U239" si="139">IF(OR(ISNUMBER(L231),ISNUMBER(R231)),MIN(L231,R231),"na")</f>
        <v>na</v>
      </c>
      <c r="V231" s="1619" t="str">
        <f t="shared" ref="V231:V239" si="140">IF(OR(ISNUMBER(S231),ISNUMBER(T231),ISNUMBER(U231)),MIN(S231,T231,U231),"na")</f>
        <v>na</v>
      </c>
      <c r="W231" s="1472" t="str">
        <f t="shared" ref="W231:W239" si="141">IF(OR(ISNUMBER(M231),ISNUMBER(P231)),MIN(M231,P231),"na")</f>
        <v>na</v>
      </c>
      <c r="X231" s="1472" t="str">
        <f t="shared" ref="X231:X239" si="142">IF(OR(ISNUMBER(N231),ISNUMBER(Q231)),MIN(N231,Q231),"na")</f>
        <v>na</v>
      </c>
      <c r="Y231" s="1472" t="str">
        <f t="shared" ref="Y231:Y239" si="143">IF(OR(ISNUMBER(O231),ISNUMBER(R231)),MIN(O231,R231),"na")</f>
        <v>na</v>
      </c>
      <c r="Z231" s="1473" t="str">
        <f t="shared" ref="Z231:Z239" si="144">IF(OR(ISNUMBER(W231),ISNUMBER(X231),ISNUMBER(Y231)),MIN(W231,X231,Y231),"na")</f>
        <v>na</v>
      </c>
      <c r="AB231" s="1062"/>
    </row>
    <row r="232" spans="1:28" ht="13.9" customHeight="1" x14ac:dyDescent="0.25">
      <c r="A232" s="1661">
        <f>Chem!A232</f>
        <v>230</v>
      </c>
      <c r="B232" s="918" t="str">
        <f>Chem!B232</f>
        <v>Perfluorobutanoic acid (PFBA)</v>
      </c>
      <c r="C232" s="2311" t="str">
        <f>Param!AK232</f>
        <v>no</v>
      </c>
      <c r="D232" s="531" t="str">
        <f>IF(C232="YES",Param!V232,"no calc")</f>
        <v>no calc</v>
      </c>
      <c r="E232" s="1119" t="str">
        <f>IF(C232="YES",Param!X232,"no calc")</f>
        <v>no calc</v>
      </c>
      <c r="F232" s="531" t="str">
        <f>IF(C232="YES",Param!O232,"no calc")</f>
        <v>no calc</v>
      </c>
      <c r="G232" s="803" t="str">
        <f>IF(C232="YES",Param!S232,"no calc")</f>
        <v>no calc</v>
      </c>
      <c r="H232" s="803" t="str">
        <f>IF(C232="YES",Param!AD232,"no calc")</f>
        <v>no calc</v>
      </c>
      <c r="I232" s="595" t="str">
        <f>IF(C232="YES",Param!AE232,"no calc")</f>
        <v>no calc</v>
      </c>
      <c r="J232" s="1327" t="str">
        <f>IF(OR($D232="na",$D232="no calc"),"na",0.000001*Eqtn!D$419/(Eqtn!D$415*$H232*$D232+Eqtn!D$420*$I232*$E232))</f>
        <v>na</v>
      </c>
      <c r="K232" s="1327" t="str">
        <f>IF(OR($D232="na",$D232="no calc"),"na",0.000001*Eqtn!E$419/(Eqtn!E$415*$H232*$D232+Eqtn!E$420*$I232*$E232))</f>
        <v>na</v>
      </c>
      <c r="L232" s="1327" t="str">
        <f>IF(OR($D232="na",$D232="no calc"),"na",0.000001*Eqtn!F$419/(Eqtn!F$415*$H232*$D232+Eqtn!F$420*$I232*$E232))</f>
        <v>na</v>
      </c>
      <c r="M232" s="721" t="str">
        <f>IF(OR($D232="na",$D232="no calc"),"na",0.00001*Eqtn!D$419/(Eqtn!D$415*$H232*$D232+Eqtn!D$420*$I232*$E232))</f>
        <v>na</v>
      </c>
      <c r="N232" s="721" t="str">
        <f>IF(OR($D232="na",$D232="no calc"),"na",0.00001*Eqtn!E$419/(Eqtn!E$415*$H232*$D232+Eqtn!E$420*$I232*$E232))</f>
        <v>na</v>
      </c>
      <c r="O232" s="721" t="str">
        <f>IF(OR($D232="na",$D232="no calc"),"na",0.00001*Eqtn!F$419/(Eqtn!F$415*$H232*$D232+Eqtn!F$420*$I232*$E232))</f>
        <v>na</v>
      </c>
      <c r="P232" s="1617" t="str">
        <f>IF(OR($F232="na",$F232="no calc"),"na",1*Eqtn!D$451/(Eqtn!D$447*$H232/$F232+Eqtn!D$452*$I232/$G232))</f>
        <v>na</v>
      </c>
      <c r="Q232" s="1617" t="str">
        <f>IF(OR($F232="na",$F232="no calc"),"na",1*Eqtn!E$451/(Eqtn!E$447*$H232/$F232+Eqtn!E$452*$I232/$G232))</f>
        <v>na</v>
      </c>
      <c r="R232" s="1617" t="str">
        <f>IF(OR($F232="na",$F232="no calc"),"na",1*Eqtn!F$451/(Eqtn!F$447*$H232/$F232+Eqtn!F$452*$I232/$G232))</f>
        <v>na</v>
      </c>
      <c r="S232" s="1618" t="str">
        <f t="shared" ref="S232" si="145">IF(OR(ISNUMBER(J232),ISNUMBER(P232)),MIN(J232,P232),"na")</f>
        <v>na</v>
      </c>
      <c r="T232" s="1618" t="str">
        <f t="shared" ref="T232" si="146">IF(OR(ISNUMBER(K232),ISNUMBER(Q232)),MIN(K232,Q232),"na")</f>
        <v>na</v>
      </c>
      <c r="U232" s="1618" t="str">
        <f t="shared" ref="U232" si="147">IF(OR(ISNUMBER(L232),ISNUMBER(R232)),MIN(L232,R232),"na")</f>
        <v>na</v>
      </c>
      <c r="V232" s="1619" t="str">
        <f t="shared" ref="V232" si="148">IF(OR(ISNUMBER(S232),ISNUMBER(T232),ISNUMBER(U232)),MIN(S232,T232,U232),"na")</f>
        <v>na</v>
      </c>
      <c r="W232" s="1472" t="str">
        <f t="shared" ref="W232" si="149">IF(OR(ISNUMBER(M232),ISNUMBER(P232)),MIN(M232,P232),"na")</f>
        <v>na</v>
      </c>
      <c r="X232" s="1472" t="str">
        <f t="shared" ref="X232" si="150">IF(OR(ISNUMBER(N232),ISNUMBER(Q232)),MIN(N232,Q232),"na")</f>
        <v>na</v>
      </c>
      <c r="Y232" s="1472" t="str">
        <f t="shared" ref="Y232" si="151">IF(OR(ISNUMBER(O232),ISNUMBER(R232)),MIN(O232,R232),"na")</f>
        <v>na</v>
      </c>
      <c r="Z232" s="1473" t="str">
        <f t="shared" ref="Z232" si="152">IF(OR(ISNUMBER(W232),ISNUMBER(X232),ISNUMBER(Y232)),MIN(W232,X232,Y232),"na")</f>
        <v>na</v>
      </c>
      <c r="AB232" s="1062"/>
    </row>
    <row r="233" spans="1:28" ht="13.9" customHeight="1" x14ac:dyDescent="0.25">
      <c r="A233" s="1661">
        <f>Chem!A233</f>
        <v>231</v>
      </c>
      <c r="B233" s="916" t="str">
        <f>Chem!B233</f>
        <v>Perfluorobutanesulfonic acid (PFBS)</v>
      </c>
      <c r="C233" s="2307" t="str">
        <f>Param!AK233</f>
        <v>no</v>
      </c>
      <c r="D233" s="343" t="str">
        <f>IF(C233="YES",Param!V233,"no calc")</f>
        <v>no calc</v>
      </c>
      <c r="E233" s="552" t="str">
        <f>IF(C233="YES",Param!X233,"no calc")</f>
        <v>no calc</v>
      </c>
      <c r="F233" s="343" t="str">
        <f>IF(C233="YES",Param!O233,"no calc")</f>
        <v>no calc</v>
      </c>
      <c r="G233" s="622" t="str">
        <f>IF(C233="YES",Param!S233,"no calc")</f>
        <v>no calc</v>
      </c>
      <c r="H233" s="622" t="str">
        <f>IF(C233="YES",Param!AD233,"no calc")</f>
        <v>no calc</v>
      </c>
      <c r="I233" s="596" t="str">
        <f>IF(C233="YES",Param!AE233,"no calc")</f>
        <v>no calc</v>
      </c>
      <c r="J233" s="582" t="str">
        <f>IF(OR($D233="na",$D233="no calc"),"na",0.000001*Eqtn!D$419/(Eqtn!D$415*$H233*$D233+Eqtn!D$420*$I233*$E233))</f>
        <v>na</v>
      </c>
      <c r="K233" s="582" t="str">
        <f>IF(OR($D233="na",$D233="no calc"),"na",0.000001*Eqtn!E$419/(Eqtn!E$415*$H233*$D233+Eqtn!E$420*$I233*$E233))</f>
        <v>na</v>
      </c>
      <c r="L233" s="582" t="str">
        <f>IF(OR($D233="na",$D233="no calc"),"na",0.000001*Eqtn!F$419/(Eqtn!F$415*$H233*$D233+Eqtn!F$420*$I233*$E233))</f>
        <v>na</v>
      </c>
      <c r="M233" s="348" t="str">
        <f>IF(OR($D233="na",$D233="no calc"),"na",0.00001*Eqtn!D$419/(Eqtn!D$415*$H233*$D233+Eqtn!D$420*$I233*$E233))</f>
        <v>na</v>
      </c>
      <c r="N233" s="348" t="str">
        <f>IF(OR($D233="na",$D233="no calc"),"na",0.00001*Eqtn!E$419/(Eqtn!E$415*$H233*$D233+Eqtn!E$420*$I233*$E233))</f>
        <v>na</v>
      </c>
      <c r="O233" s="348" t="str">
        <f>IF(OR($D233="na",$D233="no calc"),"na",0.00001*Eqtn!F$419/(Eqtn!F$415*$H233*$D233+Eqtn!F$420*$I233*$E233))</f>
        <v>na</v>
      </c>
      <c r="P233" s="806" t="str">
        <f>IF(OR($F233="na",$F233="no calc"),"na",1*Eqtn!D$451/(Eqtn!D$447*$H233/$F233+Eqtn!D$452*$I233/$G233))</f>
        <v>na</v>
      </c>
      <c r="Q233" s="806" t="str">
        <f>IF(OR($F233="na",$F233="no calc"),"na",1*Eqtn!E$451/(Eqtn!E$447*$H233/$F233+Eqtn!E$452*$I233/$G233))</f>
        <v>na</v>
      </c>
      <c r="R233" s="806" t="str">
        <f>IF(OR($F233="na",$F233="no calc"),"na",1*Eqtn!F$451/(Eqtn!F$447*$H233/$F233+Eqtn!F$452*$I233/$G233))</f>
        <v>na</v>
      </c>
      <c r="S233" s="1544" t="str">
        <f t="shared" si="137"/>
        <v>na</v>
      </c>
      <c r="T233" s="1544" t="str">
        <f t="shared" si="138"/>
        <v>na</v>
      </c>
      <c r="U233" s="1544" t="str">
        <f t="shared" si="139"/>
        <v>na</v>
      </c>
      <c r="V233" s="1545" t="str">
        <f t="shared" si="140"/>
        <v>na</v>
      </c>
      <c r="W233" s="715" t="str">
        <f t="shared" si="141"/>
        <v>na</v>
      </c>
      <c r="X233" s="715" t="str">
        <f t="shared" si="142"/>
        <v>na</v>
      </c>
      <c r="Y233" s="715" t="str">
        <f t="shared" si="143"/>
        <v>na</v>
      </c>
      <c r="Z233" s="716" t="str">
        <f t="shared" si="144"/>
        <v>na</v>
      </c>
      <c r="AB233" s="1062"/>
    </row>
    <row r="234" spans="1:28" ht="13.9" customHeight="1" x14ac:dyDescent="0.25">
      <c r="A234" s="1661">
        <f>Chem!A234</f>
        <v>232</v>
      </c>
      <c r="B234" s="916" t="str">
        <f>Chem!B234</f>
        <v>Perfluorodecanoic acid (PFDA)</v>
      </c>
      <c r="C234" s="2307" t="str">
        <f>Param!AK234</f>
        <v>no</v>
      </c>
      <c r="D234" s="343" t="str">
        <f>IF(C234="YES",Param!V234,"no calc")</f>
        <v>no calc</v>
      </c>
      <c r="E234" s="552" t="str">
        <f>IF(C234="YES",Param!X234,"no calc")</f>
        <v>no calc</v>
      </c>
      <c r="F234" s="343" t="str">
        <f>IF(C234="YES",Param!O234,"no calc")</f>
        <v>no calc</v>
      </c>
      <c r="G234" s="622" t="str">
        <f>IF(C234="YES",Param!S234,"no calc")</f>
        <v>no calc</v>
      </c>
      <c r="H234" s="622" t="str">
        <f>IF(C234="YES",Param!AD234,"no calc")</f>
        <v>no calc</v>
      </c>
      <c r="I234" s="596" t="str">
        <f>IF(C234="YES",Param!AE234,"no calc")</f>
        <v>no calc</v>
      </c>
      <c r="J234" s="582" t="str">
        <f>IF(OR($D234="na",$D234="no calc"),"na",0.000001*Eqtn!D$419/(Eqtn!D$415*$H234*$D234+Eqtn!D$420*$I234*$E234))</f>
        <v>na</v>
      </c>
      <c r="K234" s="582" t="str">
        <f>IF(OR($D234="na",$D234="no calc"),"na",0.000001*Eqtn!E$419/(Eqtn!E$415*$H234*$D234+Eqtn!E$420*$I234*$E234))</f>
        <v>na</v>
      </c>
      <c r="L234" s="582" t="str">
        <f>IF(OR($D234="na",$D234="no calc"),"na",0.000001*Eqtn!F$419/(Eqtn!F$415*$H234*$D234+Eqtn!F$420*$I234*$E234))</f>
        <v>na</v>
      </c>
      <c r="M234" s="348" t="str">
        <f>IF(OR($D234="na",$D234="no calc"),"na",0.00001*Eqtn!D$419/(Eqtn!D$415*$H234*$D234+Eqtn!D$420*$I234*$E234))</f>
        <v>na</v>
      </c>
      <c r="N234" s="348" t="str">
        <f>IF(OR($D234="na",$D234="no calc"),"na",0.00001*Eqtn!E$419/(Eqtn!E$415*$H234*$D234+Eqtn!E$420*$I234*$E234))</f>
        <v>na</v>
      </c>
      <c r="O234" s="348" t="str">
        <f>IF(OR($D234="na",$D234="no calc"),"na",0.00001*Eqtn!F$419/(Eqtn!F$415*$H234*$D234+Eqtn!F$420*$I234*$E234))</f>
        <v>na</v>
      </c>
      <c r="P234" s="806" t="str">
        <f>IF(OR($F234="na",$F234="no calc"),"na",1*Eqtn!D$451/(Eqtn!D$447*$H234/$F234+Eqtn!D$452*$I234/$G234))</f>
        <v>na</v>
      </c>
      <c r="Q234" s="806" t="str">
        <f>IF(OR($F234="na",$F234="no calc"),"na",1*Eqtn!E$451/(Eqtn!E$447*$H234/$F234+Eqtn!E$452*$I234/$G234))</f>
        <v>na</v>
      </c>
      <c r="R234" s="806" t="str">
        <f>IF(OR($F234="na",$F234="no calc"),"na",1*Eqtn!F$451/(Eqtn!F$447*$H234/$F234+Eqtn!F$452*$I234/$G234))</f>
        <v>na</v>
      </c>
      <c r="S234" s="1544" t="str">
        <f t="shared" ref="S234" si="153">IF(OR(ISNUMBER(J234),ISNUMBER(P234)),MIN(J234,P234),"na")</f>
        <v>na</v>
      </c>
      <c r="T234" s="1544" t="str">
        <f t="shared" ref="T234" si="154">IF(OR(ISNUMBER(K234),ISNUMBER(Q234)),MIN(K234,Q234),"na")</f>
        <v>na</v>
      </c>
      <c r="U234" s="1544" t="str">
        <f t="shared" ref="U234" si="155">IF(OR(ISNUMBER(L234),ISNUMBER(R234)),MIN(L234,R234),"na")</f>
        <v>na</v>
      </c>
      <c r="V234" s="1545" t="str">
        <f t="shared" ref="V234" si="156">IF(OR(ISNUMBER(S234),ISNUMBER(T234),ISNUMBER(U234)),MIN(S234,T234,U234),"na")</f>
        <v>na</v>
      </c>
      <c r="W234" s="715" t="str">
        <f t="shared" ref="W234" si="157">IF(OR(ISNUMBER(M234),ISNUMBER(P234)),MIN(M234,P234),"na")</f>
        <v>na</v>
      </c>
      <c r="X234" s="715" t="str">
        <f t="shared" ref="X234" si="158">IF(OR(ISNUMBER(N234),ISNUMBER(Q234)),MIN(N234,Q234),"na")</f>
        <v>na</v>
      </c>
      <c r="Y234" s="715" t="str">
        <f t="shared" ref="Y234" si="159">IF(OR(ISNUMBER(O234),ISNUMBER(R234)),MIN(O234,R234),"na")</f>
        <v>na</v>
      </c>
      <c r="Z234" s="716" t="str">
        <f t="shared" ref="Z234" si="160">IF(OR(ISNUMBER(W234),ISNUMBER(X234),ISNUMBER(Y234)),MIN(W234,X234,Y234),"na")</f>
        <v>na</v>
      </c>
      <c r="AB234" s="1062"/>
    </row>
    <row r="235" spans="1:28" ht="13.9" customHeight="1" x14ac:dyDescent="0.25">
      <c r="A235" s="846">
        <f>Chem!A235</f>
        <v>233</v>
      </c>
      <c r="B235" s="916" t="str">
        <f>Chem!B235</f>
        <v>Perfluorohexanoic acid (PFHxA)</v>
      </c>
      <c r="C235" s="2307" t="str">
        <f>Param!AK235</f>
        <v>no</v>
      </c>
      <c r="D235" s="343" t="str">
        <f>IF(C235="YES",Param!V235,"no calc")</f>
        <v>no calc</v>
      </c>
      <c r="E235" s="552" t="str">
        <f>IF(C235="YES",Param!X235,"no calc")</f>
        <v>no calc</v>
      </c>
      <c r="F235" s="343" t="str">
        <f>IF(C235="YES",Param!O235,"no calc")</f>
        <v>no calc</v>
      </c>
      <c r="G235" s="622" t="str">
        <f>IF(C235="YES",Param!S235,"no calc")</f>
        <v>no calc</v>
      </c>
      <c r="H235" s="622" t="str">
        <f>IF(C235="YES",Param!AD235,"no calc")</f>
        <v>no calc</v>
      </c>
      <c r="I235" s="596" t="str">
        <f>IF(C235="YES",Param!AE235,"no calc")</f>
        <v>no calc</v>
      </c>
      <c r="J235" s="582" t="str">
        <f>IF(OR($D235="na",$D235="no calc"),"na",0.000001*Eqtn!D$419/(Eqtn!D$415*$H235*$D235+Eqtn!D$420*$I235*$E235))</f>
        <v>na</v>
      </c>
      <c r="K235" s="582" t="str">
        <f>IF(OR($D235="na",$D235="no calc"),"na",0.000001*Eqtn!E$419/(Eqtn!E$415*$H235*$D235+Eqtn!E$420*$I235*$E235))</f>
        <v>na</v>
      </c>
      <c r="L235" s="582" t="str">
        <f>IF(OR($D235="na",$D235="no calc"),"na",0.000001*Eqtn!F$419/(Eqtn!F$415*$H235*$D235+Eqtn!F$420*$I235*$E235))</f>
        <v>na</v>
      </c>
      <c r="M235" s="348" t="str">
        <f>IF(OR($D235="na",$D235="no calc"),"na",0.00001*Eqtn!D$419/(Eqtn!D$415*$H235*$D235+Eqtn!D$420*$I235*$E235))</f>
        <v>na</v>
      </c>
      <c r="N235" s="348" t="str">
        <f>IF(OR($D235="na",$D235="no calc"),"na",0.00001*Eqtn!E$419/(Eqtn!E$415*$H235*$D235+Eqtn!E$420*$I235*$E235))</f>
        <v>na</v>
      </c>
      <c r="O235" s="348" t="str">
        <f>IF(OR($D235="na",$D235="no calc"),"na",0.00001*Eqtn!F$419/(Eqtn!F$415*$H235*$D235+Eqtn!F$420*$I235*$E235))</f>
        <v>na</v>
      </c>
      <c r="P235" s="806" t="str">
        <f>IF(OR($F235="na",$F235="no calc"),"na",1*Eqtn!D$451/(Eqtn!D$447*$H235/$F235+Eqtn!D$452*$I235/$G235))</f>
        <v>na</v>
      </c>
      <c r="Q235" s="806" t="str">
        <f>IF(OR($F235="na",$F235="no calc"),"na",1*Eqtn!E$451/(Eqtn!E$447*$H235/$F235+Eqtn!E$452*$I235/$G235))</f>
        <v>na</v>
      </c>
      <c r="R235" s="806" t="str">
        <f>IF(OR($F235="na",$F235="no calc"),"na",1*Eqtn!F$451/(Eqtn!F$447*$H235/$F235+Eqtn!F$452*$I235/$G235))</f>
        <v>na</v>
      </c>
      <c r="S235" s="1544" t="str">
        <f t="shared" ref="S235" si="161">IF(OR(ISNUMBER(J235),ISNUMBER(P235)),MIN(J235,P235),"na")</f>
        <v>na</v>
      </c>
      <c r="T235" s="1544" t="str">
        <f t="shared" ref="T235" si="162">IF(OR(ISNUMBER(K235),ISNUMBER(Q235)),MIN(K235,Q235),"na")</f>
        <v>na</v>
      </c>
      <c r="U235" s="1544" t="str">
        <f t="shared" ref="U235" si="163">IF(OR(ISNUMBER(L235),ISNUMBER(R235)),MIN(L235,R235),"na")</f>
        <v>na</v>
      </c>
      <c r="V235" s="1545" t="str">
        <f t="shared" ref="V235" si="164">IF(OR(ISNUMBER(S235),ISNUMBER(T235),ISNUMBER(U235)),MIN(S235,T235,U235),"na")</f>
        <v>na</v>
      </c>
      <c r="W235" s="715" t="str">
        <f t="shared" ref="W235" si="165">IF(OR(ISNUMBER(M235),ISNUMBER(P235)),MIN(M235,P235),"na")</f>
        <v>na</v>
      </c>
      <c r="X235" s="715" t="str">
        <f t="shared" ref="X235" si="166">IF(OR(ISNUMBER(N235),ISNUMBER(Q235)),MIN(N235,Q235),"na")</f>
        <v>na</v>
      </c>
      <c r="Y235" s="715" t="str">
        <f t="shared" ref="Y235" si="167">IF(OR(ISNUMBER(O235),ISNUMBER(R235)),MIN(O235,R235),"na")</f>
        <v>na</v>
      </c>
      <c r="Z235" s="716" t="str">
        <f t="shared" ref="Z235" si="168">IF(OR(ISNUMBER(W235),ISNUMBER(X235),ISNUMBER(Y235)),MIN(W235,X235,Y235),"na")</f>
        <v>na</v>
      </c>
      <c r="AB235" s="1062"/>
    </row>
    <row r="236" spans="1:28" ht="13.9" customHeight="1" x14ac:dyDescent="0.25">
      <c r="A236" s="846">
        <f>Chem!A236</f>
        <v>234</v>
      </c>
      <c r="B236" s="916" t="str">
        <f>Chem!B236</f>
        <v>Perfluorohexanesulfonic acid (PFHxS)</v>
      </c>
      <c r="C236" s="2307" t="str">
        <f>Param!AK236</f>
        <v>no</v>
      </c>
      <c r="D236" s="343" t="str">
        <f>IF(C236="YES",Param!V236,"no calc")</f>
        <v>no calc</v>
      </c>
      <c r="E236" s="552" t="str">
        <f>IF(C236="YES",Param!X236,"no calc")</f>
        <v>no calc</v>
      </c>
      <c r="F236" s="343" t="str">
        <f>IF(C236="YES",Param!O236,"no calc")</f>
        <v>no calc</v>
      </c>
      <c r="G236" s="622" t="str">
        <f>IF(C236="YES",Param!S236,"no calc")</f>
        <v>no calc</v>
      </c>
      <c r="H236" s="622" t="str">
        <f>IF(C236="YES",Param!AD236,"no calc")</f>
        <v>no calc</v>
      </c>
      <c r="I236" s="596" t="str">
        <f>IF(C236="YES",Param!AE236,"no calc")</f>
        <v>no calc</v>
      </c>
      <c r="J236" s="582" t="str">
        <f>IF(OR($D236="na",$D236="no calc"),"na",0.000001*Eqtn!D$419/(Eqtn!D$415*$H236*$D236+Eqtn!D$420*$I236*$E236))</f>
        <v>na</v>
      </c>
      <c r="K236" s="582" t="str">
        <f>IF(OR($D236="na",$D236="no calc"),"na",0.000001*Eqtn!E$419/(Eqtn!E$415*$H236*$D236+Eqtn!E$420*$I236*$E236))</f>
        <v>na</v>
      </c>
      <c r="L236" s="582" t="str">
        <f>IF(OR($D236="na",$D236="no calc"),"na",0.000001*Eqtn!F$419/(Eqtn!F$415*$H236*$D236+Eqtn!F$420*$I236*$E236))</f>
        <v>na</v>
      </c>
      <c r="M236" s="348" t="str">
        <f>IF(OR($D236="na",$D236="no calc"),"na",0.00001*Eqtn!D$419/(Eqtn!D$415*$H236*$D236+Eqtn!D$420*$I236*$E236))</f>
        <v>na</v>
      </c>
      <c r="N236" s="348" t="str">
        <f>IF(OR($D236="na",$D236="no calc"),"na",0.00001*Eqtn!E$419/(Eqtn!E$415*$H236*$D236+Eqtn!E$420*$I236*$E236))</f>
        <v>na</v>
      </c>
      <c r="O236" s="348" t="str">
        <f>IF(OR($D236="na",$D236="no calc"),"na",0.00001*Eqtn!F$419/(Eqtn!F$415*$H236*$D236+Eqtn!F$420*$I236*$E236))</f>
        <v>na</v>
      </c>
      <c r="P236" s="806" t="str">
        <f>IF(OR($F236="na",$F236="no calc"),"na",1*Eqtn!D$451/(Eqtn!D$447*$H236/$F236+Eqtn!D$452*$I236/$G236))</f>
        <v>na</v>
      </c>
      <c r="Q236" s="806" t="str">
        <f>IF(OR($F236="na",$F236="no calc"),"na",1*Eqtn!E$451/(Eqtn!E$447*$H236/$F236+Eqtn!E$452*$I236/$G236))</f>
        <v>na</v>
      </c>
      <c r="R236" s="806" t="str">
        <f>IF(OR($F236="na",$F236="no calc"),"na",1*Eqtn!F$451/(Eqtn!F$447*$H236/$F236+Eqtn!F$452*$I236/$G236))</f>
        <v>na</v>
      </c>
      <c r="S236" s="1544" t="str">
        <f t="shared" si="137"/>
        <v>na</v>
      </c>
      <c r="T236" s="1544" t="str">
        <f t="shared" si="138"/>
        <v>na</v>
      </c>
      <c r="U236" s="1544" t="str">
        <f t="shared" si="139"/>
        <v>na</v>
      </c>
      <c r="V236" s="1545" t="str">
        <f t="shared" si="140"/>
        <v>na</v>
      </c>
      <c r="W236" s="715" t="str">
        <f t="shared" si="141"/>
        <v>na</v>
      </c>
      <c r="X236" s="715" t="str">
        <f t="shared" si="142"/>
        <v>na</v>
      </c>
      <c r="Y236" s="715" t="str">
        <f t="shared" si="143"/>
        <v>na</v>
      </c>
      <c r="Z236" s="716" t="str">
        <f t="shared" si="144"/>
        <v>na</v>
      </c>
      <c r="AB236" s="1062"/>
    </row>
    <row r="237" spans="1:28" ht="13.9" customHeight="1" x14ac:dyDescent="0.25">
      <c r="A237" s="846">
        <f>Chem!A237</f>
        <v>235</v>
      </c>
      <c r="B237" s="916" t="str">
        <f>Chem!B237</f>
        <v>Perfluorononanoic acid (PFNA)</v>
      </c>
      <c r="C237" s="2307" t="str">
        <f>Param!AK237</f>
        <v>no</v>
      </c>
      <c r="D237" s="343" t="str">
        <f>IF(C237="YES",Param!V237,"no calc")</f>
        <v>no calc</v>
      </c>
      <c r="E237" s="552" t="str">
        <f>IF(C237="YES",Param!X237,"no calc")</f>
        <v>no calc</v>
      </c>
      <c r="F237" s="343" t="str">
        <f>IF(C237="YES",Param!O237,"no calc")</f>
        <v>no calc</v>
      </c>
      <c r="G237" s="622" t="str">
        <f>IF(C237="YES",Param!S237,"no calc")</f>
        <v>no calc</v>
      </c>
      <c r="H237" s="622" t="str">
        <f>IF(C237="YES",Param!AD237,"no calc")</f>
        <v>no calc</v>
      </c>
      <c r="I237" s="596" t="str">
        <f>IF(C237="YES",Param!AE237,"no calc")</f>
        <v>no calc</v>
      </c>
      <c r="J237" s="582" t="str">
        <f>IF(OR($D237="na",$D237="no calc"),"na",0.000001*Eqtn!D$419/(Eqtn!D$415*$H237*$D237+Eqtn!D$420*$I237*$E237))</f>
        <v>na</v>
      </c>
      <c r="K237" s="582" t="str">
        <f>IF(OR($D237="na",$D237="no calc"),"na",0.000001*Eqtn!E$419/(Eqtn!E$415*$H237*$D237+Eqtn!E$420*$I237*$E237))</f>
        <v>na</v>
      </c>
      <c r="L237" s="582" t="str">
        <f>IF(OR($D237="na",$D237="no calc"),"na",0.000001*Eqtn!F$419/(Eqtn!F$415*$H237*$D237+Eqtn!F$420*$I237*$E237))</f>
        <v>na</v>
      </c>
      <c r="M237" s="348" t="str">
        <f>IF(OR($D237="na",$D237="no calc"),"na",0.00001*Eqtn!D$419/(Eqtn!D$415*$H237*$D237+Eqtn!D$420*$I237*$E237))</f>
        <v>na</v>
      </c>
      <c r="N237" s="348" t="str">
        <f>IF(OR($D237="na",$D237="no calc"),"na",0.00001*Eqtn!E$419/(Eqtn!E$415*$H237*$D237+Eqtn!E$420*$I237*$E237))</f>
        <v>na</v>
      </c>
      <c r="O237" s="348" t="str">
        <f>IF(OR($D237="na",$D237="no calc"),"na",0.00001*Eqtn!F$419/(Eqtn!F$415*$H237*$D237+Eqtn!F$420*$I237*$E237))</f>
        <v>na</v>
      </c>
      <c r="P237" s="806" t="str">
        <f>IF(OR($F237="na",$F237="no calc"),"na",1*Eqtn!D$451/(Eqtn!D$447*$H237/$F237+Eqtn!D$452*$I237/$G237))</f>
        <v>na</v>
      </c>
      <c r="Q237" s="806" t="str">
        <f>IF(OR($F237="na",$F237="no calc"),"na",1*Eqtn!E$451/(Eqtn!E$447*$H237/$F237+Eqtn!E$452*$I237/$G237))</f>
        <v>na</v>
      </c>
      <c r="R237" s="806" t="str">
        <f>IF(OR($F237="na",$F237="no calc"),"na",1*Eqtn!F$451/(Eqtn!F$447*$H237/$F237+Eqtn!F$452*$I237/$G237))</f>
        <v>na</v>
      </c>
      <c r="S237" s="1544" t="str">
        <f t="shared" si="137"/>
        <v>na</v>
      </c>
      <c r="T237" s="1544" t="str">
        <f t="shared" si="138"/>
        <v>na</v>
      </c>
      <c r="U237" s="1544" t="str">
        <f t="shared" si="139"/>
        <v>na</v>
      </c>
      <c r="V237" s="1545" t="str">
        <f t="shared" si="140"/>
        <v>na</v>
      </c>
      <c r="W237" s="715" t="str">
        <f t="shared" si="141"/>
        <v>na</v>
      </c>
      <c r="X237" s="715" t="str">
        <f t="shared" si="142"/>
        <v>na</v>
      </c>
      <c r="Y237" s="715" t="str">
        <f t="shared" si="143"/>
        <v>na</v>
      </c>
      <c r="Z237" s="716" t="str">
        <f t="shared" si="144"/>
        <v>na</v>
      </c>
      <c r="AB237" s="1062"/>
    </row>
    <row r="238" spans="1:28" ht="13.9" customHeight="1" x14ac:dyDescent="0.25">
      <c r="A238" s="846">
        <f>Chem!A238</f>
        <v>236</v>
      </c>
      <c r="B238" s="916" t="str">
        <f>Chem!B238</f>
        <v>Perfluorooctanesulfonic acid (PFOS)</v>
      </c>
      <c r="C238" s="2307" t="str">
        <f>Param!AK238</f>
        <v>no</v>
      </c>
      <c r="D238" s="343" t="str">
        <f>IF(C238="YES",Param!V238,"no calc")</f>
        <v>no calc</v>
      </c>
      <c r="E238" s="552" t="str">
        <f>IF(C238="YES",Param!X238,"no calc")</f>
        <v>no calc</v>
      </c>
      <c r="F238" s="343" t="str">
        <f>IF(C238="YES",Param!O238,"no calc")</f>
        <v>no calc</v>
      </c>
      <c r="G238" s="622" t="str">
        <f>IF(C238="YES",Param!S238,"no calc")</f>
        <v>no calc</v>
      </c>
      <c r="H238" s="622" t="str">
        <f>IF(C238="YES",Param!AD238,"no calc")</f>
        <v>no calc</v>
      </c>
      <c r="I238" s="596" t="str">
        <f>IF(C238="YES",Param!AE238,"no calc")</f>
        <v>no calc</v>
      </c>
      <c r="J238" s="582" t="str">
        <f>IF(OR($D238="na",$D238="no calc"),"na",0.000001*Eqtn!D$419/(Eqtn!D$415*$H238*$D238+Eqtn!D$420*$I238*$E238))</f>
        <v>na</v>
      </c>
      <c r="K238" s="582" t="str">
        <f>IF(OR($D238="na",$D238="no calc"),"na",0.000001*Eqtn!E$419/(Eqtn!E$415*$H238*$D238+Eqtn!E$420*$I238*$E238))</f>
        <v>na</v>
      </c>
      <c r="L238" s="582" t="str">
        <f>IF(OR($D238="na",$D238="no calc"),"na",0.000001*Eqtn!F$419/(Eqtn!F$415*$H238*$D238+Eqtn!F$420*$I238*$E238))</f>
        <v>na</v>
      </c>
      <c r="M238" s="348" t="str">
        <f>IF(OR($D238="na",$D238="no calc"),"na",0.00001*Eqtn!D$419/(Eqtn!D$415*$H238*$D238+Eqtn!D$420*$I238*$E238))</f>
        <v>na</v>
      </c>
      <c r="N238" s="348" t="str">
        <f>IF(OR($D238="na",$D238="no calc"),"na",0.00001*Eqtn!E$419/(Eqtn!E$415*$H238*$D238+Eqtn!E$420*$I238*$E238))</f>
        <v>na</v>
      </c>
      <c r="O238" s="348" t="str">
        <f>IF(OR($D238="na",$D238="no calc"),"na",0.00001*Eqtn!F$419/(Eqtn!F$415*$H238*$D238+Eqtn!F$420*$I238*$E238))</f>
        <v>na</v>
      </c>
      <c r="P238" s="806" t="str">
        <f>IF(OR($F238="na",$F238="no calc"),"na",1*Eqtn!D$451/(Eqtn!D$447*$H238/$F238+Eqtn!D$452*$I238/$G238))</f>
        <v>na</v>
      </c>
      <c r="Q238" s="806" t="str">
        <f>IF(OR($F238="na",$F238="no calc"),"na",1*Eqtn!E$451/(Eqtn!E$447*$H238/$F238+Eqtn!E$452*$I238/$G238))</f>
        <v>na</v>
      </c>
      <c r="R238" s="806" t="str">
        <f>IF(OR($F238="na",$F238="no calc"),"na",1*Eqtn!F$451/(Eqtn!F$447*$H238/$F238+Eqtn!F$452*$I238/$G238))</f>
        <v>na</v>
      </c>
      <c r="S238" s="1544" t="str">
        <f t="shared" si="137"/>
        <v>na</v>
      </c>
      <c r="T238" s="1544" t="str">
        <f t="shared" si="138"/>
        <v>na</v>
      </c>
      <c r="U238" s="1544" t="str">
        <f t="shared" si="139"/>
        <v>na</v>
      </c>
      <c r="V238" s="1545" t="str">
        <f t="shared" si="140"/>
        <v>na</v>
      </c>
      <c r="W238" s="715" t="str">
        <f t="shared" si="141"/>
        <v>na</v>
      </c>
      <c r="X238" s="715" t="str">
        <f t="shared" si="142"/>
        <v>na</v>
      </c>
      <c r="Y238" s="715" t="str">
        <f t="shared" si="143"/>
        <v>na</v>
      </c>
      <c r="Z238" s="716" t="str">
        <f t="shared" si="144"/>
        <v>na</v>
      </c>
      <c r="AB238" s="1062"/>
    </row>
    <row r="239" spans="1:28" ht="13.9" customHeight="1" x14ac:dyDescent="0.25">
      <c r="A239" s="1661">
        <f>Chem!A239</f>
        <v>237</v>
      </c>
      <c r="B239" s="1142" t="str">
        <f>Chem!B239</f>
        <v>Perfluorooctanoic acid (PFOA)</v>
      </c>
      <c r="C239" s="2308" t="str">
        <f>Param!AK239</f>
        <v>no</v>
      </c>
      <c r="D239" s="533" t="str">
        <f>IF(C239="YES",Param!V239,"no calc")</f>
        <v>no calc</v>
      </c>
      <c r="E239" s="589" t="str">
        <f>IF(C239="YES",Param!X239,"no calc")</f>
        <v>no calc</v>
      </c>
      <c r="F239" s="533" t="str">
        <f>IF(C239="YES",Param!O239,"no calc")</f>
        <v>no calc</v>
      </c>
      <c r="G239" s="623" t="str">
        <f>IF(C239="YES",Param!S239,"no calc")</f>
        <v>no calc</v>
      </c>
      <c r="H239" s="623" t="str">
        <f>IF(C239="YES",Param!AD239,"no calc")</f>
        <v>no calc</v>
      </c>
      <c r="I239" s="1147" t="str">
        <f>IF(C239="YES",Param!AE239,"no calc")</f>
        <v>no calc</v>
      </c>
      <c r="J239" s="583" t="str">
        <f>IF(OR($D239="na",$D239="no calc"),"na",0.000001*Eqtn!D$419/(Eqtn!D$415*$H239*$D239+Eqtn!D$420*$I239*$E239))</f>
        <v>na</v>
      </c>
      <c r="K239" s="583" t="str">
        <f>IF(OR($D239="na",$D239="no calc"),"na",0.000001*Eqtn!E$419/(Eqtn!E$415*$H239*$D239+Eqtn!E$420*$I239*$E239))</f>
        <v>na</v>
      </c>
      <c r="L239" s="583" t="str">
        <f>IF(OR($D239="na",$D239="no calc"),"na",0.000001*Eqtn!F$419/(Eqtn!F$415*$H239*$D239+Eqtn!F$420*$I239*$E239))</f>
        <v>na</v>
      </c>
      <c r="M239" s="737" t="str">
        <f>IF(OR($D239="na",$D239="no calc"),"na",0.00001*Eqtn!D$419/(Eqtn!D$415*$H239*$D239+Eqtn!D$420*$I239*$E239))</f>
        <v>na</v>
      </c>
      <c r="N239" s="737" t="str">
        <f>IF(OR($D239="na",$D239="no calc"),"na",0.00001*Eqtn!E$419/(Eqtn!E$415*$H239*$D239+Eqtn!E$420*$I239*$E239))</f>
        <v>na</v>
      </c>
      <c r="O239" s="737" t="str">
        <f>IF(OR($D239="na",$D239="no calc"),"na",0.00001*Eqtn!F$419/(Eqtn!F$415*$H239*$D239+Eqtn!F$420*$I239*$E239))</f>
        <v>na</v>
      </c>
      <c r="P239" s="807" t="str">
        <f>IF(OR($F239="na",$F239="no calc"),"na",1*Eqtn!D$451/(Eqtn!D$447*$H239/$F239+Eqtn!D$452*$I239/$G239))</f>
        <v>na</v>
      </c>
      <c r="Q239" s="807" t="str">
        <f>IF(OR($F239="na",$F239="no calc"),"na",1*Eqtn!E$451/(Eqtn!E$447*$H239/$F239+Eqtn!E$452*$I239/$G239))</f>
        <v>na</v>
      </c>
      <c r="R239" s="807" t="str">
        <f>IF(OR($F239="na",$F239="no calc"),"na",1*Eqtn!F$451/(Eqtn!F$447*$H239/$F239+Eqtn!F$452*$I239/$G239))</f>
        <v>na</v>
      </c>
      <c r="S239" s="1546" t="str">
        <f t="shared" si="137"/>
        <v>na</v>
      </c>
      <c r="T239" s="1546" t="str">
        <f t="shared" si="138"/>
        <v>na</v>
      </c>
      <c r="U239" s="1546" t="str">
        <f t="shared" si="139"/>
        <v>na</v>
      </c>
      <c r="V239" s="1547" t="str">
        <f t="shared" si="140"/>
        <v>na</v>
      </c>
      <c r="W239" s="1354" t="str">
        <f t="shared" si="141"/>
        <v>na</v>
      </c>
      <c r="X239" s="1354" t="str">
        <f t="shared" si="142"/>
        <v>na</v>
      </c>
      <c r="Y239" s="1354" t="str">
        <f t="shared" si="143"/>
        <v>na</v>
      </c>
      <c r="Z239" s="738" t="str">
        <f t="shared" si="144"/>
        <v>na</v>
      </c>
      <c r="AB239" s="1062"/>
    </row>
    <row r="240" spans="1:28" ht="13.9" customHeight="1" x14ac:dyDescent="0.25">
      <c r="A240" s="1197">
        <f>Chem!A240</f>
        <v>238</v>
      </c>
      <c r="B240" s="887" t="str">
        <f>Chem!B240</f>
        <v>Petroleum Hydrocarbons</v>
      </c>
      <c r="C240" s="2343"/>
      <c r="D240" s="259"/>
      <c r="E240" s="127"/>
      <c r="F240" s="259"/>
      <c r="G240" s="44"/>
      <c r="H240" s="44"/>
      <c r="I240" s="327"/>
      <c r="J240" s="127"/>
      <c r="K240" s="127"/>
      <c r="L240" s="127"/>
      <c r="M240" s="127"/>
      <c r="N240" s="127"/>
      <c r="O240" s="127"/>
      <c r="P240" s="44"/>
      <c r="Q240" s="44"/>
      <c r="R240" s="44"/>
      <c r="S240" s="44"/>
      <c r="T240" s="44"/>
      <c r="U240" s="44"/>
      <c r="V240" s="44"/>
      <c r="W240" s="44"/>
      <c r="X240" s="44"/>
      <c r="Y240" s="44"/>
      <c r="Z240" s="55"/>
      <c r="AA240" s="133"/>
      <c r="AB240" s="1063"/>
    </row>
    <row r="241" spans="1:28" ht="13.9" customHeight="1" x14ac:dyDescent="0.25">
      <c r="A241" s="846">
        <f>Chem!A241</f>
        <v>239</v>
      </c>
      <c r="B241" s="916" t="str">
        <f>Chem!B241</f>
        <v>Gasoline range hydrocarbons, fresh</v>
      </c>
      <c r="C241" s="2309" t="str">
        <f>Param!AK241</f>
        <v>no</v>
      </c>
      <c r="D241" s="681" t="str">
        <f>IF(C241="YES",Param!V241,"no calc")</f>
        <v>no calc</v>
      </c>
      <c r="E241" s="591" t="str">
        <f>IF(C241="YES",Param!X241,"no calc")</f>
        <v>no calc</v>
      </c>
      <c r="F241" s="396" t="str">
        <f>IF(C241="YES",Param!O241,"no calc")</f>
        <v>no calc</v>
      </c>
      <c r="G241" s="624" t="str">
        <f>IF(C241="YES",Param!S241,"no calc")</f>
        <v>no calc</v>
      </c>
      <c r="H241" s="624" t="str">
        <f>IF(C241="YES",Param!AD241,"no calc")</f>
        <v>no calc</v>
      </c>
      <c r="I241" s="599" t="str">
        <f>IF(C241="YES",Param!AE241,"no calc")</f>
        <v>no calc</v>
      </c>
      <c r="J241" s="607" t="str">
        <f>IF(OR($D241="na",$D241="no calc"),"na",0.000001*Eqtn!D$419/(Eqtn!D$415*$H241*$D241+Eqtn!D$420*$I241*$E241))</f>
        <v>na</v>
      </c>
      <c r="K241" s="607" t="str">
        <f>IF(OR($D241="na",$D241="no calc"),"na",0.000001*Eqtn!E$419/(Eqtn!E$415*$H241*$D241+Eqtn!E$420*$I241*$E241))</f>
        <v>na</v>
      </c>
      <c r="L241" s="607" t="str">
        <f>IF(OR($D241="na",$D241="no calc"),"na",0.000001*Eqtn!F$419/(Eqtn!F$415*$H241*$D241+Eqtn!F$420*$I241*$E241))</f>
        <v>na</v>
      </c>
      <c r="M241" s="821" t="str">
        <f>IF(OR($D241="na",$D241="no calc"),"na",0.00001*Eqtn!D$419/(Eqtn!D$415*$H241*$D241+Eqtn!D$420*$I241*$E241))</f>
        <v>na</v>
      </c>
      <c r="N241" s="821" t="str">
        <f>IF(OR($D241="na",$D241="no calc"),"na",0.00001*Eqtn!E$419/(Eqtn!E$415*$H241*$D241+Eqtn!E$420*$I241*$E241))</f>
        <v>na</v>
      </c>
      <c r="O241" s="706" t="str">
        <f>IF(OR($D241="na",$D241="no calc"),"na",0.00001*Eqtn!F$419/(Eqtn!F$415*$H241*$D241+Eqtn!F$420*$I241*$E241))</f>
        <v>na</v>
      </c>
      <c r="P241" s="665" t="str">
        <f>IF(OR($F241="na",$F241="no calc"),"na",1*Eqtn!D$451/(Eqtn!D$447*$H241/$F241+Eqtn!D$452*$I241/$G241))</f>
        <v>na</v>
      </c>
      <c r="Q241" s="665" t="str">
        <f>IF(OR($F241="na",$F241="no calc"),"na",1*Eqtn!E$451/(Eqtn!E$447*$H241/$F241+Eqtn!E$452*$I241/$G241))</f>
        <v>na</v>
      </c>
      <c r="R241" s="665" t="str">
        <f>IF(OR($F241="na",$F241="no calc"),"na",1*Eqtn!F$451/(Eqtn!F$447*$H241/$F241+Eqtn!F$452*$I241/$G241))</f>
        <v>na</v>
      </c>
      <c r="S241" s="1424" t="str">
        <f t="shared" ref="S241:U246" si="169">IF(OR(ISNUMBER(J241),ISNUMBER(P241)),MIN(J241,P241),"na")</f>
        <v>na</v>
      </c>
      <c r="T241" s="1424" t="str">
        <f t="shared" si="169"/>
        <v>na</v>
      </c>
      <c r="U241" s="1424" t="str">
        <f t="shared" si="169"/>
        <v>na</v>
      </c>
      <c r="V241" s="1412" t="str">
        <f t="shared" ref="V241:V246" si="170">IF(OR(ISNUMBER(S241),ISNUMBER(T241),ISNUMBER(U241)),MIN(S241,T241,U241),"na")</f>
        <v>na</v>
      </c>
      <c r="W241" s="1395" t="str">
        <f t="shared" ref="W241:Y246" si="171">IF(OR(ISNUMBER(M241),ISNUMBER(P241)),MIN(M241,P241),"na")</f>
        <v>na</v>
      </c>
      <c r="X241" s="1395" t="str">
        <f t="shared" si="171"/>
        <v>na</v>
      </c>
      <c r="Y241" s="1395" t="str">
        <f t="shared" si="171"/>
        <v>na</v>
      </c>
      <c r="Z241" s="1396" t="str">
        <f t="shared" ref="Z241:Z246" si="172">IF(OR(ISNUMBER(W241),ISNUMBER(X241),ISNUMBER(Y241)),MIN(W241,X241,Y241),"na")</f>
        <v>na</v>
      </c>
      <c r="AB241" s="1062"/>
    </row>
    <row r="242" spans="1:28" ht="13.9" customHeight="1" x14ac:dyDescent="0.25">
      <c r="A242" s="846">
        <f>Chem!A242</f>
        <v>240</v>
      </c>
      <c r="B242" s="916" t="str">
        <f>Chem!B242</f>
        <v>Gasoline range hydrocarbons, weathered</v>
      </c>
      <c r="C242" s="2309" t="str">
        <f>Param!AK242</f>
        <v>no</v>
      </c>
      <c r="D242" s="1007" t="str">
        <f>IF(C242="YES",Param!V242,"no calc")</f>
        <v>no calc</v>
      </c>
      <c r="E242" s="1119" t="str">
        <f>IF(C242="YES",Param!X242,"no calc")</f>
        <v>no calc</v>
      </c>
      <c r="F242" s="1320" t="str">
        <f>IF(C242="YES",Param!O242,"no calc")</f>
        <v>no calc</v>
      </c>
      <c r="G242" s="803" t="str">
        <f>IF(C242="YES",Param!S242,"no calc")</f>
        <v>no calc</v>
      </c>
      <c r="H242" s="803" t="str">
        <f>IF(C242="YES",Param!AD242,"no calc")</f>
        <v>no calc</v>
      </c>
      <c r="I242" s="1009" t="str">
        <f>IF(C242="YES",Param!AE242,"no calc")</f>
        <v>no calc</v>
      </c>
      <c r="J242" s="1326" t="str">
        <f>IF(OR($D242="na",$D242="no calc"),"na",0.000001*Eqtn!D$419/(Eqtn!D$415*$H242*$D242+Eqtn!D$420*$I242*$E242))</f>
        <v>na</v>
      </c>
      <c r="K242" s="1326" t="str">
        <f>IF(OR($D242="na",$D242="no calc"),"na",0.000001*Eqtn!E$419/(Eqtn!E$415*$H242*$D242+Eqtn!E$420*$I242*$E242))</f>
        <v>na</v>
      </c>
      <c r="L242" s="1326" t="str">
        <f>IF(OR($D242="na",$D242="no calc"),"na",0.000001*Eqtn!F$419/(Eqtn!F$415*$H242*$D242+Eqtn!F$420*$I242*$E242))</f>
        <v>na</v>
      </c>
      <c r="M242" s="1328" t="str">
        <f>IF(OR($D242="na",$D242="no calc"),"na",0.00001*Eqtn!D$419/(Eqtn!D$415*$H242*$D242+Eqtn!D$420*$I242*$E242))</f>
        <v>na</v>
      </c>
      <c r="N242" s="1328" t="str">
        <f>IF(OR($D242="na",$D242="no calc"),"na",0.00001*Eqtn!E$419/(Eqtn!E$415*$H242*$D242+Eqtn!E$420*$I242*$E242))</f>
        <v>na</v>
      </c>
      <c r="O242" s="703" t="str">
        <f>IF(OR($D242="na",$D242="no calc"),"na",0.00001*Eqtn!F$419/(Eqtn!F$415*$H242*$D242+Eqtn!F$420*$I242*$E242))</f>
        <v>na</v>
      </c>
      <c r="P242" s="1430" t="str">
        <f>IF(OR($F242="na",$F242="no calc"),"na",1*Eqtn!D$451/(Eqtn!D$447*$H242/$F242+Eqtn!D$452*$I242/$G242))</f>
        <v>na</v>
      </c>
      <c r="Q242" s="1430" t="str">
        <f>IF(OR($F242="na",$F242="no calc"),"na",1*Eqtn!E$451/(Eqtn!E$447*$H242/$F242+Eqtn!E$452*$I242/$G242))</f>
        <v>na</v>
      </c>
      <c r="R242" s="1430" t="str">
        <f>IF(OR($F242="na",$F242="no calc"),"na",1*Eqtn!F$451/(Eqtn!F$447*$H242/$F242+Eqtn!F$452*$I242/$G242))</f>
        <v>na</v>
      </c>
      <c r="S242" s="1431" t="str">
        <f t="shared" si="169"/>
        <v>na</v>
      </c>
      <c r="T242" s="1431" t="str">
        <f t="shared" si="169"/>
        <v>na</v>
      </c>
      <c r="U242" s="1431" t="str">
        <f t="shared" si="169"/>
        <v>na</v>
      </c>
      <c r="V242" s="1432" t="str">
        <f t="shared" ref="V242" si="173">IF(OR(ISNUMBER(S242),ISNUMBER(T242),ISNUMBER(U242)),MIN(S242,T242,U242),"na")</f>
        <v>na</v>
      </c>
      <c r="W242" s="1433" t="str">
        <f t="shared" si="171"/>
        <v>na</v>
      </c>
      <c r="X242" s="1433" t="str">
        <f t="shared" si="171"/>
        <v>na</v>
      </c>
      <c r="Y242" s="1433" t="str">
        <f t="shared" si="171"/>
        <v>na</v>
      </c>
      <c r="Z242" s="1434" t="str">
        <f t="shared" ref="Z242" si="174">IF(OR(ISNUMBER(W242),ISNUMBER(X242),ISNUMBER(Y242)),MIN(W242,X242,Y242),"na")</f>
        <v>na</v>
      </c>
      <c r="AB242" s="1062"/>
    </row>
    <row r="243" spans="1:28" ht="13.9" customHeight="1" x14ac:dyDescent="0.25">
      <c r="A243" s="846">
        <f>Chem!A243</f>
        <v>241</v>
      </c>
      <c r="B243" s="916" t="str">
        <f>Chem!B243</f>
        <v>Diesel range hydrocarbons, fresh</v>
      </c>
      <c r="C243" s="2305" t="str">
        <f>Param!AK243</f>
        <v>no</v>
      </c>
      <c r="D243" s="398" t="str">
        <f>IF(C243="YES",Param!V243,"no calc")</f>
        <v>no calc</v>
      </c>
      <c r="E243" s="552" t="str">
        <f>IF(C243="YES",Param!X243,"no calc")</f>
        <v>no calc</v>
      </c>
      <c r="F243" s="397" t="str">
        <f>IF(C243="YES",Param!O243,"no calc")</f>
        <v>no calc</v>
      </c>
      <c r="G243" s="622" t="str">
        <f>IF(C243="YES",Param!S243,"no calc")</f>
        <v>no calc</v>
      </c>
      <c r="H243" s="622" t="str">
        <f>IF(C243="YES",Param!AD243,"no calc")</f>
        <v>no calc</v>
      </c>
      <c r="I243" s="600" t="str">
        <f>IF(C243="YES",Param!AE243,"no calc")</f>
        <v>no calc</v>
      </c>
      <c r="J243" s="602" t="str">
        <f>IF(OR($D243="na",$D243="no calc"),"na",0.000001*Eqtn!D$419/(Eqtn!D$415*$H243*$D243+Eqtn!D$420*$I243*$E243))</f>
        <v>na</v>
      </c>
      <c r="K243" s="602" t="str">
        <f>IF(OR($D243="na",$D243="no calc"),"na",0.000001*Eqtn!E$419/(Eqtn!E$415*$H243*$D243+Eqtn!E$420*$I243*$E243))</f>
        <v>na</v>
      </c>
      <c r="L243" s="602" t="str">
        <f>IF(OR($D243="na",$D243="no calc"),"na",0.000001*Eqtn!F$419/(Eqtn!F$415*$H243*$D243+Eqtn!F$420*$I243*$E243))</f>
        <v>na</v>
      </c>
      <c r="M243" s="17" t="str">
        <f>IF(OR($D243="na",$D243="no calc"),"na",0.00001*Eqtn!D$419/(Eqtn!D$415*$H243*$D243+Eqtn!D$420*$I243*$E243))</f>
        <v>na</v>
      </c>
      <c r="N243" s="17" t="str">
        <f>IF(OR($D243="na",$D243="no calc"),"na",0.00001*Eqtn!E$419/(Eqtn!E$415*$H243*$D243+Eqtn!E$420*$I243*$E243))</f>
        <v>na</v>
      </c>
      <c r="O243" s="694" t="str">
        <f>IF(OR($D243="na",$D243="no calc"),"na",0.00001*Eqtn!F$419/(Eqtn!F$415*$H243*$D243+Eqtn!F$420*$I243*$E243))</f>
        <v>na</v>
      </c>
      <c r="P243" s="662" t="str">
        <f>IF(OR($F243="na",$F243="no calc"),"na",1*Eqtn!D$451/(Eqtn!D$447*$H243/$F243+Eqtn!D$452*$I243/$G243))</f>
        <v>na</v>
      </c>
      <c r="Q243" s="662" t="str">
        <f>IF(OR($F243="na",$F243="no calc"),"na",1*Eqtn!E$451/(Eqtn!E$447*$H243/$F243+Eqtn!E$452*$I243/$G243))</f>
        <v>na</v>
      </c>
      <c r="R243" s="662" t="str">
        <f>IF(OR($F243="na",$F243="no calc"),"na",1*Eqtn!F$451/(Eqtn!F$447*$H243/$F243+Eqtn!F$452*$I243/$G243))</f>
        <v>na</v>
      </c>
      <c r="S243" s="1418" t="str">
        <f t="shared" si="169"/>
        <v>na</v>
      </c>
      <c r="T243" s="1418" t="str">
        <f t="shared" si="169"/>
        <v>na</v>
      </c>
      <c r="U243" s="1418" t="str">
        <f t="shared" si="169"/>
        <v>na</v>
      </c>
      <c r="V243" s="1405" t="str">
        <f t="shared" si="170"/>
        <v>na</v>
      </c>
      <c r="W243" s="1383" t="str">
        <f t="shared" si="171"/>
        <v>na</v>
      </c>
      <c r="X243" s="1383" t="str">
        <f t="shared" si="171"/>
        <v>na</v>
      </c>
      <c r="Y243" s="1383" t="str">
        <f t="shared" si="171"/>
        <v>na</v>
      </c>
      <c r="Z243" s="1384" t="str">
        <f t="shared" si="172"/>
        <v>na</v>
      </c>
      <c r="AB243" s="1062"/>
    </row>
    <row r="244" spans="1:28" ht="13.9" customHeight="1" x14ac:dyDescent="0.25">
      <c r="A244" s="846">
        <f>Chem!A244</f>
        <v>242</v>
      </c>
      <c r="B244" s="916" t="str">
        <f>Chem!B244</f>
        <v>Diesel range hydrocarbons, weathered</v>
      </c>
      <c r="C244" s="2305" t="str">
        <f>Param!AK244</f>
        <v>no</v>
      </c>
      <c r="D244" s="398" t="str">
        <f>IF(C244="YES",Param!V244,"no calc")</f>
        <v>no calc</v>
      </c>
      <c r="E244" s="552" t="str">
        <f>IF(C244="YES",Param!X244,"no calc")</f>
        <v>no calc</v>
      </c>
      <c r="F244" s="397" t="str">
        <f>IF(C244="YES",Param!O244,"no calc")</f>
        <v>no calc</v>
      </c>
      <c r="G244" s="622" t="str">
        <f>IF(C244="YES",Param!S244,"no calc")</f>
        <v>no calc</v>
      </c>
      <c r="H244" s="622" t="str">
        <f>IF(C244="YES",Param!AD244,"no calc")</f>
        <v>no calc</v>
      </c>
      <c r="I244" s="600" t="str">
        <f>IF(C244="YES",Param!AE244,"no calc")</f>
        <v>no calc</v>
      </c>
      <c r="J244" s="602" t="str">
        <f>IF(OR($D244="na",$D244="no calc"),"na",0.000001*Eqtn!D$419/(Eqtn!D$415*$H244*$D244+Eqtn!D$420*$I244*$E244))</f>
        <v>na</v>
      </c>
      <c r="K244" s="602" t="str">
        <f>IF(OR($D244="na",$D244="no calc"),"na",0.000001*Eqtn!E$419/(Eqtn!E$415*$H244*$D244+Eqtn!E$420*$I244*$E244))</f>
        <v>na</v>
      </c>
      <c r="L244" s="602" t="str">
        <f>IF(OR($D244="na",$D244="no calc"),"na",0.000001*Eqtn!F$419/(Eqtn!F$415*$H244*$D244+Eqtn!F$420*$I244*$E244))</f>
        <v>na</v>
      </c>
      <c r="M244" s="17" t="str">
        <f>IF(OR($D244="na",$D244="no calc"),"na",0.00001*Eqtn!D$419/(Eqtn!D$415*$H244*$D244+Eqtn!D$420*$I244*$E244))</f>
        <v>na</v>
      </c>
      <c r="N244" s="17" t="str">
        <f>IF(OR($D244="na",$D244="no calc"),"na",0.00001*Eqtn!E$419/(Eqtn!E$415*$H244*$D244+Eqtn!E$420*$I244*$E244))</f>
        <v>na</v>
      </c>
      <c r="O244" s="694" t="str">
        <f>IF(OR($D244="na",$D244="no calc"),"na",0.00001*Eqtn!F$419/(Eqtn!F$415*$H244*$D244+Eqtn!F$420*$I244*$E244))</f>
        <v>na</v>
      </c>
      <c r="P244" s="662" t="str">
        <f>IF(OR($F244="na",$F244="no calc"),"na",1*Eqtn!D$451/(Eqtn!D$447*$H244/$F244+Eqtn!D$452*$I244/$G244))</f>
        <v>na</v>
      </c>
      <c r="Q244" s="662" t="str">
        <f>IF(OR($F244="na",$F244="no calc"),"na",1*Eqtn!E$451/(Eqtn!E$447*$H244/$F244+Eqtn!E$452*$I244/$G244))</f>
        <v>na</v>
      </c>
      <c r="R244" s="662" t="str">
        <f>IF(OR($F244="na",$F244="no calc"),"na",1*Eqtn!F$451/(Eqtn!F$447*$H244/$F244+Eqtn!F$452*$I244/$G244))</f>
        <v>na</v>
      </c>
      <c r="S244" s="1418" t="str">
        <f t="shared" si="169"/>
        <v>na</v>
      </c>
      <c r="T244" s="1418" t="str">
        <f t="shared" si="169"/>
        <v>na</v>
      </c>
      <c r="U244" s="1418" t="str">
        <f t="shared" si="169"/>
        <v>na</v>
      </c>
      <c r="V244" s="1405" t="str">
        <f t="shared" si="170"/>
        <v>na</v>
      </c>
      <c r="W244" s="1383" t="str">
        <f t="shared" si="171"/>
        <v>na</v>
      </c>
      <c r="X244" s="1383" t="str">
        <f t="shared" si="171"/>
        <v>na</v>
      </c>
      <c r="Y244" s="1383" t="str">
        <f t="shared" si="171"/>
        <v>na</v>
      </c>
      <c r="Z244" s="1384" t="str">
        <f t="shared" si="172"/>
        <v>na</v>
      </c>
      <c r="AB244" s="1062"/>
    </row>
    <row r="245" spans="1:28" ht="13.9" customHeight="1" x14ac:dyDescent="0.25">
      <c r="A245" s="846">
        <f>Chem!A245</f>
        <v>243</v>
      </c>
      <c r="B245" s="917" t="str">
        <f>Chem!B245</f>
        <v>Oil range hydrocarbons</v>
      </c>
      <c r="C245" s="2312" t="str">
        <f>Param!AK245</f>
        <v>no</v>
      </c>
      <c r="D245" s="397" t="str">
        <f>IF(C245="YES",Param!V245,"no calc")</f>
        <v>no calc</v>
      </c>
      <c r="E245" s="552" t="str">
        <f>IF(C245="YES",Param!X245,"no calc")</f>
        <v>no calc</v>
      </c>
      <c r="F245" s="398" t="str">
        <f>IF(C245="YES",Param!O245,"no calc")</f>
        <v>no calc</v>
      </c>
      <c r="G245" s="622" t="str">
        <f>IF(C245="YES",Param!S245,"no calc")</f>
        <v>no calc</v>
      </c>
      <c r="H245" s="622" t="str">
        <f>IF(C245="YES",Param!AD245,"no calc")</f>
        <v>no calc</v>
      </c>
      <c r="I245" s="600" t="str">
        <f>IF(C245="YES",Param!AE245,"no calc")</f>
        <v>no calc</v>
      </c>
      <c r="J245" s="602" t="str">
        <f>IF(OR($D245="na",$D245="no calc"),"na",0.000001*Eqtn!D$419/(Eqtn!D$415*$H245*$D245+Eqtn!D$420*$I245*$E245))</f>
        <v>na</v>
      </c>
      <c r="K245" s="602" t="str">
        <f>IF(OR($D245="na",$D245="no calc"),"na",0.000001*Eqtn!E$419/(Eqtn!E$415*$H245*$D245+Eqtn!E$420*$I245*$E245))</f>
        <v>na</v>
      </c>
      <c r="L245" s="602" t="str">
        <f>IF(OR($D245="na",$D245="no calc"),"na",0.000001*Eqtn!F$419/(Eqtn!F$415*$H245*$D245+Eqtn!F$420*$I245*$E245))</f>
        <v>na</v>
      </c>
      <c r="M245" s="17" t="str">
        <f>IF(OR($D245="na",$D245="no calc"),"na",0.00001*Eqtn!D$419/(Eqtn!D$415*$H245*$D245+Eqtn!D$420*$I245*$E245))</f>
        <v>na</v>
      </c>
      <c r="N245" s="17" t="str">
        <f>IF(OR($D245="na",$D245="no calc"),"na",0.00001*Eqtn!E$419/(Eqtn!E$415*$H245*$D245+Eqtn!E$420*$I245*$E245))</f>
        <v>na</v>
      </c>
      <c r="O245" s="694" t="str">
        <f>IF(OR($D245="na",$D245="no calc"),"na",0.00001*Eqtn!F$419/(Eqtn!F$415*$H245*$D245+Eqtn!F$420*$I245*$E245))</f>
        <v>na</v>
      </c>
      <c r="P245" s="662" t="str">
        <f>IF(OR($F245="na",$F245="no calc"),"na",1*Eqtn!D$451/(Eqtn!D$447*$H245/$F245+Eqtn!D$452*$I245/$G245))</f>
        <v>na</v>
      </c>
      <c r="Q245" s="662" t="str">
        <f>IF(OR($F245="na",$F245="no calc"),"na",1*Eqtn!E$451/(Eqtn!E$447*$H245/$F245+Eqtn!E$452*$I245/$G245))</f>
        <v>na</v>
      </c>
      <c r="R245" s="662" t="str">
        <f>IF(OR($F245="na",$F245="no calc"),"na",1*Eqtn!F$451/(Eqtn!F$447*$H245/$F245+Eqtn!F$452*$I245/$G245))</f>
        <v>na</v>
      </c>
      <c r="S245" s="1418" t="str">
        <f t="shared" si="169"/>
        <v>na</v>
      </c>
      <c r="T245" s="1418" t="str">
        <f t="shared" si="169"/>
        <v>na</v>
      </c>
      <c r="U245" s="1418" t="str">
        <f t="shared" si="169"/>
        <v>na</v>
      </c>
      <c r="V245" s="1405" t="str">
        <f t="shared" si="170"/>
        <v>na</v>
      </c>
      <c r="W245" s="1383" t="str">
        <f t="shared" si="171"/>
        <v>na</v>
      </c>
      <c r="X245" s="1383" t="str">
        <f t="shared" si="171"/>
        <v>na</v>
      </c>
      <c r="Y245" s="1383" t="str">
        <f t="shared" si="171"/>
        <v>na</v>
      </c>
      <c r="Z245" s="1384" t="str">
        <f t="shared" si="172"/>
        <v>na</v>
      </c>
      <c r="AB245" s="1062"/>
    </row>
    <row r="246" spans="1:28" ht="13.9" customHeight="1" x14ac:dyDescent="0.25">
      <c r="A246" s="1661">
        <f>Chem!A246</f>
        <v>244</v>
      </c>
      <c r="B246" s="917" t="str">
        <f>Chem!B246</f>
        <v>Total diesel &amp; oil range hydrocarbons</v>
      </c>
      <c r="C246" s="2313" t="str">
        <f>Param!AK246</f>
        <v>no</v>
      </c>
      <c r="D246" s="1007" t="str">
        <f>IF(C246="YES",Param!V246,"no calc")</f>
        <v>no calc</v>
      </c>
      <c r="E246" s="997" t="str">
        <f>IF(C246="YES",Param!X246,"no calc")</f>
        <v>no calc</v>
      </c>
      <c r="F246" s="1007" t="str">
        <f>IF(C246="YES",Param!O246,"no calc")</f>
        <v>no calc</v>
      </c>
      <c r="G246" s="1008" t="str">
        <f>IF(C246="YES",Param!S246,"no calc")</f>
        <v>no calc</v>
      </c>
      <c r="H246" s="804" t="str">
        <f>IF(C246="YES",Param!AD246,"no calc")</f>
        <v>no calc</v>
      </c>
      <c r="I246" s="1009" t="str">
        <f>IF(C246="YES",Param!AE246,"no calc")</f>
        <v>no calc</v>
      </c>
      <c r="J246" s="1010" t="str">
        <f>IF(OR($D246="na",$D246="no calc"),"na",0.000001*Eqtn!D$419/(Eqtn!D$415*$H246*$D246+Eqtn!D$420*$I246*$E246))</f>
        <v>na</v>
      </c>
      <c r="K246" s="1010" t="str">
        <f>IF(OR($D246="na",$D246="no calc"),"na",0.000001*Eqtn!E$419/(Eqtn!E$415*$H246*$D246+Eqtn!E$420*$I246*$E246))</f>
        <v>na</v>
      </c>
      <c r="L246" s="1010" t="str">
        <f>IF(OR($D246="na",$D246="no calc"),"na",0.000001*Eqtn!F$419/(Eqtn!F$415*$H246*$D246+Eqtn!F$420*$I246*$E246))</f>
        <v>na</v>
      </c>
      <c r="M246" s="1011" t="str">
        <f>IF(OR($D246="na",$D246="no calc"),"na",0.00001*Eqtn!D$419/(Eqtn!D$415*$H246*$D246+Eqtn!D$420*$I246*$E246))</f>
        <v>na</v>
      </c>
      <c r="N246" s="1011" t="str">
        <f>IF(OR($D246="na",$D246="no calc"),"na",0.00001*Eqtn!E$419/(Eqtn!E$415*$H246*$D246+Eqtn!E$420*$I246*$E246))</f>
        <v>na</v>
      </c>
      <c r="O246" s="1012" t="str">
        <f>IF(OR($D246="na",$D246="no calc"),"na",0.00001*Eqtn!F$419/(Eqtn!F$415*$H246*$D246+Eqtn!F$420*$I246*$E246))</f>
        <v>na</v>
      </c>
      <c r="P246" s="1013" t="str">
        <f>IF(OR($F246="na",$F246="no calc"),"na",1*Eqtn!D$451/(Eqtn!D$447*$H246/$F246+Eqtn!D$452*$I246/$G246))</f>
        <v>na</v>
      </c>
      <c r="Q246" s="1013" t="str">
        <f>IF(OR($F246="na",$F246="no calc"),"na",1*Eqtn!E$451/(Eqtn!E$447*$H246/$F246+Eqtn!E$452*$I246/$G246))</f>
        <v>na</v>
      </c>
      <c r="R246" s="1013" t="str">
        <f>IF(OR($F246="na",$F246="no calc"),"na",1*Eqtn!F$451/(Eqtn!F$447*$H246/$F246+Eqtn!F$452*$I246/$G246))</f>
        <v>na</v>
      </c>
      <c r="S246" s="1428" t="str">
        <f t="shared" si="169"/>
        <v>na</v>
      </c>
      <c r="T246" s="1428" t="str">
        <f t="shared" si="169"/>
        <v>na</v>
      </c>
      <c r="U246" s="1428" t="str">
        <f t="shared" si="169"/>
        <v>na</v>
      </c>
      <c r="V246" s="1417" t="str">
        <f t="shared" si="170"/>
        <v>na</v>
      </c>
      <c r="W246" s="1401" t="str">
        <f t="shared" si="171"/>
        <v>na</v>
      </c>
      <c r="X246" s="1401" t="str">
        <f t="shared" si="171"/>
        <v>na</v>
      </c>
      <c r="Y246" s="1401" t="str">
        <f t="shared" si="171"/>
        <v>na</v>
      </c>
      <c r="Z246" s="1402" t="str">
        <f t="shared" si="172"/>
        <v>na</v>
      </c>
      <c r="AB246" s="1062"/>
    </row>
    <row r="247" spans="1:28" ht="13.9" customHeight="1" x14ac:dyDescent="0.25">
      <c r="A247" s="1197">
        <f>Chem!A247</f>
        <v>245</v>
      </c>
      <c r="B247" s="887" t="str">
        <f>Chem!B247</f>
        <v>Pesticides</v>
      </c>
      <c r="C247" s="2343"/>
      <c r="D247" s="259"/>
      <c r="E247" s="127"/>
      <c r="F247" s="259"/>
      <c r="G247" s="44"/>
      <c r="H247" s="44"/>
      <c r="I247" s="327"/>
      <c r="J247" s="127"/>
      <c r="K247" s="127"/>
      <c r="L247" s="127"/>
      <c r="M247" s="127"/>
      <c r="N247" s="127"/>
      <c r="O247" s="127"/>
      <c r="P247" s="44"/>
      <c r="Q247" s="44"/>
      <c r="R247" s="44"/>
      <c r="S247" s="44"/>
      <c r="T247" s="44"/>
      <c r="U247" s="44"/>
      <c r="V247" s="44"/>
      <c r="W247" s="44"/>
      <c r="X247" s="44"/>
      <c r="Y247" s="44"/>
      <c r="Z247" s="55"/>
      <c r="AA247" s="133"/>
      <c r="AB247" s="1063"/>
    </row>
    <row r="248" spans="1:28" ht="13.9" customHeight="1" x14ac:dyDescent="0.25">
      <c r="A248" s="846">
        <f>Chem!A248</f>
        <v>246</v>
      </c>
      <c r="B248" s="918" t="str">
        <f>Chem!B248</f>
        <v>Aldrin</v>
      </c>
      <c r="C248" s="2309" t="str">
        <f>Param!AK248</f>
        <v>YES</v>
      </c>
      <c r="D248" s="681">
        <f>IF(C248="YES",Param!V248,"no calc")</f>
        <v>17</v>
      </c>
      <c r="E248" s="591">
        <f>IF(C248="YES",Param!X248,"no calc")</f>
        <v>17</v>
      </c>
      <c r="F248" s="396">
        <f>IF(C248="YES",Param!O248,"no calc")</f>
        <v>3.0000000000000001E-5</v>
      </c>
      <c r="G248" s="624">
        <f>IF(C248="YES",Param!S248,"no calc")</f>
        <v>3.0000000000000001E-5</v>
      </c>
      <c r="H248" s="624">
        <f>IF(C248="YES",Param!AD248,"no calc")</f>
        <v>1</v>
      </c>
      <c r="I248" s="599">
        <f>IF(C248="YES",Param!AE248,"no calc")</f>
        <v>0</v>
      </c>
      <c r="J248" s="607">
        <f>IF(OR($D248="na",$D248="no calc"),"na",0.000001*Eqtn!D$419/(Eqtn!D$415*$H248*$D248+Eqtn!D$420*$I248*$E248))</f>
        <v>0.17892156862745098</v>
      </c>
      <c r="K248" s="607">
        <f>IF(OR($D248="na",$D248="no calc"),"na",0.000001*Eqtn!E$419/(Eqtn!E$415*$H248*$D248+Eqtn!E$420*$I248*$E248))</f>
        <v>0.17151309742647058</v>
      </c>
      <c r="L248" s="607">
        <f>IF(OR($D248="na",$D248="no calc"),"na",0.000001*Eqtn!F$419/(Eqtn!F$415*$H248*$D248+Eqtn!F$420*$I248*$E248))</f>
        <v>0.5031400260639014</v>
      </c>
      <c r="M248" s="821">
        <f>IF(OR($D248="na",$D248="no calc"),"na",0.00001*Eqtn!D$419/(Eqtn!D$415*$H248*$D248+Eqtn!D$420*$I248*$E248))</f>
        <v>1.7892156862745099</v>
      </c>
      <c r="N248" s="821">
        <f>IF(OR($D248="na",$D248="no calc"),"na",0.00001*Eqtn!E$419/(Eqtn!E$415*$H248*$D248+Eqtn!E$420*$I248*$E248))</f>
        <v>1.7151309742647061</v>
      </c>
      <c r="O248" s="703">
        <f>IF(OR($D248="na",$D248="no calc"),"na",0.00001*Eqtn!F$419/(Eqtn!F$415*$H248*$D248+Eqtn!F$420*$I248*$E248))</f>
        <v>5.0314002606390149</v>
      </c>
      <c r="P248" s="665">
        <f>IF(OR($F248="na",$F248="no calc"),"na",1*Eqtn!D$451/(Eqtn!D$447*$H248/$F248+Eqtn!D$452*$I248/$G248))</f>
        <v>7.3000000000000007</v>
      </c>
      <c r="Q248" s="665">
        <f>IF(OR($F248="na",$F248="no calc"),"na",1*Eqtn!E$451/(Eqtn!E$447*$H248/$F248+Eqtn!E$452*$I248/$G248))</f>
        <v>74.642500000000013</v>
      </c>
      <c r="R248" s="665">
        <f>IF(OR($F248="na",$F248="no calc"),"na",1*Eqtn!F$451/(Eqtn!F$447*$H248/$F248+Eqtn!F$452*$I248/$G248))</f>
        <v>150.53949579831934</v>
      </c>
      <c r="S248" s="1424">
        <f t="shared" ref="S248:S280" si="175">IF(OR(ISNUMBER(J248),ISNUMBER(P248)),MIN(J248,P248),"na")</f>
        <v>0.17892156862745098</v>
      </c>
      <c r="T248" s="1424">
        <f t="shared" ref="T248:T280" si="176">IF(OR(ISNUMBER(K248),ISNUMBER(Q248)),MIN(K248,Q248),"na")</f>
        <v>0.17151309742647058</v>
      </c>
      <c r="U248" s="1424">
        <f t="shared" ref="U248:U280" si="177">IF(OR(ISNUMBER(L248),ISNUMBER(R248)),MIN(L248,R248),"na")</f>
        <v>0.5031400260639014</v>
      </c>
      <c r="V248" s="1412">
        <f t="shared" ref="V248:V280" si="178">IF(OR(ISNUMBER(S248),ISNUMBER(T248),ISNUMBER(U248)),MIN(S248,T248,U248),"na")</f>
        <v>0.17151309742647058</v>
      </c>
      <c r="W248" s="1395">
        <f t="shared" ref="W248:W280" si="179">IF(OR(ISNUMBER(M248),ISNUMBER(P248)),MIN(M248,P248),"na")</f>
        <v>1.7892156862745099</v>
      </c>
      <c r="X248" s="1395">
        <f t="shared" ref="X248:X280" si="180">IF(OR(ISNUMBER(N248),ISNUMBER(Q248)),MIN(N248,Q248),"na")</f>
        <v>1.7151309742647061</v>
      </c>
      <c r="Y248" s="1395">
        <f t="shared" ref="Y248:Y280" si="181">IF(OR(ISNUMBER(O248),ISNUMBER(R248)),MIN(O248,R248),"na")</f>
        <v>5.0314002606390149</v>
      </c>
      <c r="Z248" s="1396">
        <f t="shared" ref="Z248:Z280" si="182">IF(OR(ISNUMBER(W248),ISNUMBER(X248),ISNUMBER(Y248)),MIN(W248,X248,Y248),"na")</f>
        <v>1.7151309742647061</v>
      </c>
      <c r="AB248" s="1062"/>
    </row>
    <row r="249" spans="1:28" ht="13.9" customHeight="1" x14ac:dyDescent="0.25">
      <c r="A249" s="846">
        <f>Chem!A249</f>
        <v>247</v>
      </c>
      <c r="B249" s="916" t="str">
        <f>Chem!B249</f>
        <v>alpha-BHC (alpha-HCH)</v>
      </c>
      <c r="C249" s="2309" t="str">
        <f>Param!AK249</f>
        <v>no</v>
      </c>
      <c r="D249" s="387" t="str">
        <f>IF(C249="YES",Param!V249,"no calc")</f>
        <v>no calc</v>
      </c>
      <c r="E249" s="552" t="str">
        <f>IF(C249="YES",Param!X249,"no calc")</f>
        <v>no calc</v>
      </c>
      <c r="F249" s="387" t="str">
        <f>IF(C249="YES",Param!O249,"no calc")</f>
        <v>no calc</v>
      </c>
      <c r="G249" s="622" t="str">
        <f>IF(C249="YES",Param!S249,"no calc")</f>
        <v>no calc</v>
      </c>
      <c r="H249" s="803" t="str">
        <f>IF(C249="YES",Param!AD249,"no calc")</f>
        <v>no calc</v>
      </c>
      <c r="I249" s="595" t="str">
        <f>IF(C249="YES",Param!AE249,"no calc")</f>
        <v>no calc</v>
      </c>
      <c r="J249" s="602" t="str">
        <f>IF(OR($D249="na",$D249="no calc"),"na",0.000001*Eqtn!D$419/(Eqtn!D$415*$H249*$D249+Eqtn!D$420*$I249*$E249))</f>
        <v>na</v>
      </c>
      <c r="K249" s="602" t="str">
        <f>IF(OR($D249="na",$D249="no calc"),"na",0.000001*Eqtn!E$419/(Eqtn!E$415*$H249*$D249+Eqtn!E$420*$I249*$E249))</f>
        <v>na</v>
      </c>
      <c r="L249" s="602" t="str">
        <f>IF(OR($D249="na",$D249="no calc"),"na",0.000001*Eqtn!F$419/(Eqtn!F$415*$H249*$D249+Eqtn!F$420*$I249*$E249))</f>
        <v>na</v>
      </c>
      <c r="M249" s="17" t="str">
        <f>IF(OR($D249="na",$D249="no calc"),"na",0.00001*Eqtn!D$419/(Eqtn!D$415*$H249*$D249+Eqtn!D$420*$I249*$E249))</f>
        <v>na</v>
      </c>
      <c r="N249" s="17" t="str">
        <f>IF(OR($D249="na",$D249="no calc"),"na",0.00001*Eqtn!E$419/(Eqtn!E$415*$H249*$D249+Eqtn!E$420*$I249*$E249))</f>
        <v>na</v>
      </c>
      <c r="O249" s="694" t="str">
        <f>IF(OR($D249="na",$D249="no calc"),"na",0.00001*Eqtn!F$419/(Eqtn!F$415*$H249*$D249+Eqtn!F$420*$I249*$E249))</f>
        <v>na</v>
      </c>
      <c r="P249" s="662" t="str">
        <f>IF(OR($F249="na",$F249="no calc"),"na",1*Eqtn!D$451/(Eqtn!D$447*$H249/$F249+Eqtn!D$452*$I249/$G249))</f>
        <v>na</v>
      </c>
      <c r="Q249" s="662" t="str">
        <f>IF(OR($F249="na",$F249="no calc"),"na",1*Eqtn!E$451/(Eqtn!E$447*$H249/$F249+Eqtn!E$452*$I249/$G249))</f>
        <v>na</v>
      </c>
      <c r="R249" s="662" t="str">
        <f>IF(OR($F249="na",$F249="no calc"),"na",1*Eqtn!F$451/(Eqtn!F$447*$H249/$F249+Eqtn!F$452*$I249/$G249))</f>
        <v>na</v>
      </c>
      <c r="S249" s="1418" t="str">
        <f t="shared" si="175"/>
        <v>na</v>
      </c>
      <c r="T249" s="1418" t="str">
        <f t="shared" si="176"/>
        <v>na</v>
      </c>
      <c r="U249" s="1418" t="str">
        <f t="shared" si="177"/>
        <v>na</v>
      </c>
      <c r="V249" s="1405" t="str">
        <f t="shared" si="178"/>
        <v>na</v>
      </c>
      <c r="W249" s="1383" t="str">
        <f t="shared" si="179"/>
        <v>na</v>
      </c>
      <c r="X249" s="1383" t="str">
        <f t="shared" si="180"/>
        <v>na</v>
      </c>
      <c r="Y249" s="1383" t="str">
        <f t="shared" si="181"/>
        <v>na</v>
      </c>
      <c r="Z249" s="1384" t="str">
        <f t="shared" si="182"/>
        <v>na</v>
      </c>
      <c r="AB249" s="1062"/>
    </row>
    <row r="250" spans="1:28" ht="13.9" customHeight="1" x14ac:dyDescent="0.25">
      <c r="A250" s="846">
        <f>Chem!A250</f>
        <v>248</v>
      </c>
      <c r="B250" s="916" t="str">
        <f>Chem!B250</f>
        <v>beta-BHC (beta-HCH)</v>
      </c>
      <c r="C250" s="2305" t="str">
        <f>Param!AK250</f>
        <v>no</v>
      </c>
      <c r="D250" s="384" t="str">
        <f>IF(C250="YES",Param!V250,"no calc")</f>
        <v>no calc</v>
      </c>
      <c r="E250" s="552" t="str">
        <f>IF(C250="YES",Param!X250,"no calc")</f>
        <v>no calc</v>
      </c>
      <c r="F250" s="384" t="str">
        <f>IF(C250="YES",Param!O250,"no calc")</f>
        <v>no calc</v>
      </c>
      <c r="G250" s="622" t="str">
        <f>IF(C250="YES",Param!S250,"no calc")</f>
        <v>no calc</v>
      </c>
      <c r="H250" s="803" t="str">
        <f>IF(C250="YES",Param!AD250,"no calc")</f>
        <v>no calc</v>
      </c>
      <c r="I250" s="595" t="str">
        <f>IF(C250="YES",Param!AE250,"no calc")</f>
        <v>no calc</v>
      </c>
      <c r="J250" s="602" t="str">
        <f>IF(OR($D250="na",$D250="no calc"),"na",0.000001*Eqtn!D$419/(Eqtn!D$415*$H250*$D250+Eqtn!D$420*$I250*$E250))</f>
        <v>na</v>
      </c>
      <c r="K250" s="602" t="str">
        <f>IF(OR($D250="na",$D250="no calc"),"na",0.000001*Eqtn!E$419/(Eqtn!E$415*$H250*$D250+Eqtn!E$420*$I250*$E250))</f>
        <v>na</v>
      </c>
      <c r="L250" s="602" t="str">
        <f>IF(OR($D250="na",$D250="no calc"),"na",0.000001*Eqtn!F$419/(Eqtn!F$415*$H250*$D250+Eqtn!F$420*$I250*$E250))</f>
        <v>na</v>
      </c>
      <c r="M250" s="17" t="str">
        <f>IF(OR($D250="na",$D250="no calc"),"na",0.00001*Eqtn!D$419/(Eqtn!D$415*$H250*$D250+Eqtn!D$420*$I250*$E250))</f>
        <v>na</v>
      </c>
      <c r="N250" s="17" t="str">
        <f>IF(OR($D250="na",$D250="no calc"),"na",0.00001*Eqtn!E$419/(Eqtn!E$415*$H250*$D250+Eqtn!E$420*$I250*$E250))</f>
        <v>na</v>
      </c>
      <c r="O250" s="694" t="str">
        <f>IF(OR($D250="na",$D250="no calc"),"na",0.00001*Eqtn!F$419/(Eqtn!F$415*$H250*$D250+Eqtn!F$420*$I250*$E250))</f>
        <v>na</v>
      </c>
      <c r="P250" s="662" t="str">
        <f>IF(OR($F250="na",$F250="no calc"),"na",1*Eqtn!D$451/(Eqtn!D$447*$H250/$F250+Eqtn!D$452*$I250/$G250))</f>
        <v>na</v>
      </c>
      <c r="Q250" s="662" t="str">
        <f>IF(OR($F250="na",$F250="no calc"),"na",1*Eqtn!E$451/(Eqtn!E$447*$H250/$F250+Eqtn!E$452*$I250/$G250))</f>
        <v>na</v>
      </c>
      <c r="R250" s="662" t="str">
        <f>IF(OR($F250="na",$F250="no calc"),"na",1*Eqtn!F$451/(Eqtn!F$447*$H250/$F250+Eqtn!F$452*$I250/$G250))</f>
        <v>na</v>
      </c>
      <c r="S250" s="1418" t="str">
        <f t="shared" si="175"/>
        <v>na</v>
      </c>
      <c r="T250" s="1418" t="str">
        <f t="shared" si="176"/>
        <v>na</v>
      </c>
      <c r="U250" s="1418" t="str">
        <f t="shared" si="177"/>
        <v>na</v>
      </c>
      <c r="V250" s="1405" t="str">
        <f t="shared" si="178"/>
        <v>na</v>
      </c>
      <c r="W250" s="1383" t="str">
        <f t="shared" si="179"/>
        <v>na</v>
      </c>
      <c r="X250" s="1383" t="str">
        <f t="shared" si="180"/>
        <v>na</v>
      </c>
      <c r="Y250" s="1383" t="str">
        <f t="shared" si="181"/>
        <v>na</v>
      </c>
      <c r="Z250" s="1384" t="str">
        <f t="shared" si="182"/>
        <v>na</v>
      </c>
      <c r="AB250" s="1062"/>
    </row>
    <row r="251" spans="1:28" ht="13.9" customHeight="1" x14ac:dyDescent="0.25">
      <c r="A251" s="846">
        <f>Chem!A251</f>
        <v>249</v>
      </c>
      <c r="B251" s="916" t="str">
        <f>Chem!B251</f>
        <v>delta-BHC (delta-HCH)</v>
      </c>
      <c r="C251" s="2305" t="str">
        <f>Param!AK251</f>
        <v>no</v>
      </c>
      <c r="D251" s="384" t="str">
        <f>IF(C251="YES",Param!V251,"no calc")</f>
        <v>no calc</v>
      </c>
      <c r="E251" s="552" t="str">
        <f>IF(C251="YES",Param!X251,"no calc")</f>
        <v>no calc</v>
      </c>
      <c r="F251" s="384" t="str">
        <f>IF(C251="YES",Param!O251,"no calc")</f>
        <v>no calc</v>
      </c>
      <c r="G251" s="622" t="str">
        <f>IF(C251="YES",Param!S251,"no calc")</f>
        <v>no calc</v>
      </c>
      <c r="H251" s="803" t="str">
        <f>IF(C251="YES",Param!AD251,"no calc")</f>
        <v>no calc</v>
      </c>
      <c r="I251" s="595" t="str">
        <f>IF(C251="YES",Param!AE251,"no calc")</f>
        <v>no calc</v>
      </c>
      <c r="J251" s="602" t="str">
        <f>IF(OR($D251="na",$D251="no calc"),"na",0.000001*Eqtn!D$419/(Eqtn!D$415*$H251*$D251+Eqtn!D$420*$I251*$E251))</f>
        <v>na</v>
      </c>
      <c r="K251" s="602" t="str">
        <f>IF(OR($D251="na",$D251="no calc"),"na",0.000001*Eqtn!E$419/(Eqtn!E$415*$H251*$D251+Eqtn!E$420*$I251*$E251))</f>
        <v>na</v>
      </c>
      <c r="L251" s="602" t="str">
        <f>IF(OR($D251="na",$D251="no calc"),"na",0.000001*Eqtn!F$419/(Eqtn!F$415*$H251*$D251+Eqtn!F$420*$I251*$E251))</f>
        <v>na</v>
      </c>
      <c r="M251" s="17" t="str">
        <f>IF(OR($D251="na",$D251="no calc"),"na",0.00001*Eqtn!D$419/(Eqtn!D$415*$H251*$D251+Eqtn!D$420*$I251*$E251))</f>
        <v>na</v>
      </c>
      <c r="N251" s="17" t="str">
        <f>IF(OR($D251="na",$D251="no calc"),"na",0.00001*Eqtn!E$419/(Eqtn!E$415*$H251*$D251+Eqtn!E$420*$I251*$E251))</f>
        <v>na</v>
      </c>
      <c r="O251" s="694" t="str">
        <f>IF(OR($D251="na",$D251="no calc"),"na",0.00001*Eqtn!F$419/(Eqtn!F$415*$H251*$D251+Eqtn!F$420*$I251*$E251))</f>
        <v>na</v>
      </c>
      <c r="P251" s="662" t="str">
        <f>IF(OR($F251="na",$F251="no calc"),"na",1*Eqtn!D$451/(Eqtn!D$447*$H251/$F251+Eqtn!D$452*$I251/$G251))</f>
        <v>na</v>
      </c>
      <c r="Q251" s="662" t="str">
        <f>IF(OR($F251="na",$F251="no calc"),"na",1*Eqtn!E$451/(Eqtn!E$447*$H251/$F251+Eqtn!E$452*$I251/$G251))</f>
        <v>na</v>
      </c>
      <c r="R251" s="662" t="str">
        <f>IF(OR($F251="na",$F251="no calc"),"na",1*Eqtn!F$451/(Eqtn!F$447*$H251/$F251+Eqtn!F$452*$I251/$G251))</f>
        <v>na</v>
      </c>
      <c r="S251" s="1418" t="str">
        <f t="shared" si="175"/>
        <v>na</v>
      </c>
      <c r="T251" s="1418" t="str">
        <f t="shared" si="176"/>
        <v>na</v>
      </c>
      <c r="U251" s="1418" t="str">
        <f t="shared" si="177"/>
        <v>na</v>
      </c>
      <c r="V251" s="1405" t="str">
        <f t="shared" si="178"/>
        <v>na</v>
      </c>
      <c r="W251" s="1383" t="str">
        <f t="shared" si="179"/>
        <v>na</v>
      </c>
      <c r="X251" s="1383" t="str">
        <f t="shared" si="180"/>
        <v>na</v>
      </c>
      <c r="Y251" s="1383" t="str">
        <f t="shared" si="181"/>
        <v>na</v>
      </c>
      <c r="Z251" s="1384" t="str">
        <f t="shared" si="182"/>
        <v>na</v>
      </c>
      <c r="AB251" s="1062"/>
    </row>
    <row r="252" spans="1:28" ht="13.9" customHeight="1" x14ac:dyDescent="0.25">
      <c r="A252" s="846">
        <f>Chem!A252</f>
        <v>250</v>
      </c>
      <c r="B252" s="916" t="str">
        <f>Chem!B252</f>
        <v>Carbaryl</v>
      </c>
      <c r="C252" s="2305" t="str">
        <f>Param!AK252</f>
        <v>no</v>
      </c>
      <c r="D252" s="384" t="str">
        <f>IF(C252="YES",Param!V252,"no calc")</f>
        <v>no calc</v>
      </c>
      <c r="E252" s="552" t="str">
        <f>IF(C252="YES",Param!X252,"no calc")</f>
        <v>no calc</v>
      </c>
      <c r="F252" s="384" t="str">
        <f>IF(C252="YES",Param!O252,"no calc")</f>
        <v>no calc</v>
      </c>
      <c r="G252" s="622" t="str">
        <f>IF(C252="YES",Param!S252,"no calc")</f>
        <v>no calc</v>
      </c>
      <c r="H252" s="803" t="str">
        <f>IF(C252="YES",Param!AD252,"no calc")</f>
        <v>no calc</v>
      </c>
      <c r="I252" s="595" t="str">
        <f>IF(C252="YES",Param!AE252,"no calc")</f>
        <v>no calc</v>
      </c>
      <c r="J252" s="602" t="str">
        <f>IF(OR($D252="na",$D252="no calc"),"na",0.000001*Eqtn!D$419/(Eqtn!D$415*$H252*$D252+Eqtn!D$420*$I252*$E252))</f>
        <v>na</v>
      </c>
      <c r="K252" s="602" t="str">
        <f>IF(OR($D252="na",$D252="no calc"),"na",0.000001*Eqtn!E$419/(Eqtn!E$415*$H252*$D252+Eqtn!E$420*$I252*$E252))</f>
        <v>na</v>
      </c>
      <c r="L252" s="602" t="str">
        <f>IF(OR($D252="na",$D252="no calc"),"na",0.000001*Eqtn!F$419/(Eqtn!F$415*$H252*$D252+Eqtn!F$420*$I252*$E252))</f>
        <v>na</v>
      </c>
      <c r="M252" s="17" t="str">
        <f>IF(OR($D252="na",$D252="no calc"),"na",0.00001*Eqtn!D$419/(Eqtn!D$415*$H252*$D252+Eqtn!D$420*$I252*$E252))</f>
        <v>na</v>
      </c>
      <c r="N252" s="17" t="str">
        <f>IF(OR($D252="na",$D252="no calc"),"na",0.00001*Eqtn!E$419/(Eqtn!E$415*$H252*$D252+Eqtn!E$420*$I252*$E252))</f>
        <v>na</v>
      </c>
      <c r="O252" s="694" t="str">
        <f>IF(OR($D252="na",$D252="no calc"),"na",0.00001*Eqtn!F$419/(Eqtn!F$415*$H252*$D252+Eqtn!F$420*$I252*$E252))</f>
        <v>na</v>
      </c>
      <c r="P252" s="662" t="str">
        <f>IF(OR($F252="na",$F252="no calc"),"na",1*Eqtn!D$451/(Eqtn!D$447*$H252/$F252+Eqtn!D$452*$I252/$G252))</f>
        <v>na</v>
      </c>
      <c r="Q252" s="662" t="str">
        <f>IF(OR($F252="na",$F252="no calc"),"na",1*Eqtn!E$451/(Eqtn!E$447*$H252/$F252+Eqtn!E$452*$I252/$G252))</f>
        <v>na</v>
      </c>
      <c r="R252" s="662" t="str">
        <f>IF(OR($F252="na",$F252="no calc"),"na",1*Eqtn!F$451/(Eqtn!F$447*$H252/$F252+Eqtn!F$452*$I252/$G252))</f>
        <v>na</v>
      </c>
      <c r="S252" s="1418" t="str">
        <f t="shared" ref="S252" si="183">IF(OR(ISNUMBER(J252),ISNUMBER(P252)),MIN(J252,P252),"na")</f>
        <v>na</v>
      </c>
      <c r="T252" s="1418" t="str">
        <f t="shared" ref="T252" si="184">IF(OR(ISNUMBER(K252),ISNUMBER(Q252)),MIN(K252,Q252),"na")</f>
        <v>na</v>
      </c>
      <c r="U252" s="1418" t="str">
        <f t="shared" ref="U252" si="185">IF(OR(ISNUMBER(L252),ISNUMBER(R252)),MIN(L252,R252),"na")</f>
        <v>na</v>
      </c>
      <c r="V252" s="1405" t="str">
        <f t="shared" ref="V252" si="186">IF(OR(ISNUMBER(S252),ISNUMBER(T252),ISNUMBER(U252)),MIN(S252,T252,U252),"na")</f>
        <v>na</v>
      </c>
      <c r="W252" s="1383" t="str">
        <f t="shared" ref="W252" si="187">IF(OR(ISNUMBER(M252),ISNUMBER(P252)),MIN(M252,P252),"na")</f>
        <v>na</v>
      </c>
      <c r="X252" s="1383" t="str">
        <f t="shared" ref="X252" si="188">IF(OR(ISNUMBER(N252),ISNUMBER(Q252)),MIN(N252,Q252),"na")</f>
        <v>na</v>
      </c>
      <c r="Y252" s="1383" t="str">
        <f t="shared" ref="Y252" si="189">IF(OR(ISNUMBER(O252),ISNUMBER(R252)),MIN(O252,R252),"na")</f>
        <v>na</v>
      </c>
      <c r="Z252" s="1384" t="str">
        <f t="shared" ref="Z252" si="190">IF(OR(ISNUMBER(W252),ISNUMBER(X252),ISNUMBER(Y252)),MIN(W252,X252,Y252),"na")</f>
        <v>na</v>
      </c>
      <c r="AB252" s="1062"/>
    </row>
    <row r="253" spans="1:28" ht="13.9" customHeight="1" x14ac:dyDescent="0.25">
      <c r="A253" s="846">
        <f>Chem!A253</f>
        <v>251</v>
      </c>
      <c r="B253" s="916" t="str">
        <f>Chem!B253</f>
        <v>cis-Chlordane (alpha)</v>
      </c>
      <c r="C253" s="2305" t="str">
        <f>Param!AK253</f>
        <v>YES</v>
      </c>
      <c r="D253" s="384" t="str">
        <f>IF(C253="YES",Param!V253,"no calc")</f>
        <v>na</v>
      </c>
      <c r="E253" s="552" t="str">
        <f>IF(C253="YES",Param!X253,"no calc")</f>
        <v>na</v>
      </c>
      <c r="F253" s="384">
        <f>IF(C253="YES",Param!O253,"no calc")</f>
        <v>5.0000000000000001E-4</v>
      </c>
      <c r="G253" s="622">
        <f>IF(C253="YES",Param!S253,"no calc")</f>
        <v>5.0000000000000001E-4</v>
      </c>
      <c r="H253" s="803">
        <f>IF(C253="YES",Param!AD253,"no calc")</f>
        <v>1</v>
      </c>
      <c r="I253" s="595">
        <f>IF(C253="YES",Param!AE253,"no calc")</f>
        <v>0.04</v>
      </c>
      <c r="J253" s="602" t="str">
        <f>IF(OR($D253="na",$D253="no calc"),"na",0.000001*Eqtn!D$419/(Eqtn!D$415*$H253*$D253+Eqtn!D$420*$I253*$E253))</f>
        <v>na</v>
      </c>
      <c r="K253" s="602" t="str">
        <f>IF(OR($D253="na",$D253="no calc"),"na",0.000001*Eqtn!E$419/(Eqtn!E$415*$H253*$D253+Eqtn!E$420*$I253*$E253))</f>
        <v>na</v>
      </c>
      <c r="L253" s="602" t="str">
        <f>IF(OR($D253="na",$D253="no calc"),"na",0.000001*Eqtn!F$419/(Eqtn!F$415*$H253*$D253+Eqtn!F$420*$I253*$E253))</f>
        <v>na</v>
      </c>
      <c r="M253" s="17" t="str">
        <f>IF(OR($D253="na",$D253="no calc"),"na",0.00001*Eqtn!D$419/(Eqtn!D$415*$H253*$D253+Eqtn!D$420*$I253*$E253))</f>
        <v>na</v>
      </c>
      <c r="N253" s="17" t="str">
        <f>IF(OR($D253="na",$D253="no calc"),"na",0.00001*Eqtn!E$419/(Eqtn!E$415*$H253*$D253+Eqtn!E$420*$I253*$E253))</f>
        <v>na</v>
      </c>
      <c r="O253" s="694" t="str">
        <f>IF(OR($D253="na",$D253="no calc"),"na",0.00001*Eqtn!F$419/(Eqtn!F$415*$H253*$D253+Eqtn!F$420*$I253*$E253))</f>
        <v>na</v>
      </c>
      <c r="P253" s="662">
        <f>IF(OR($F253="na",$F253="no calc"),"na",1*Eqtn!D$451/(Eqtn!D$447*$H253/$F253+Eqtn!D$452*$I253/$G253))</f>
        <v>111.82598039215685</v>
      </c>
      <c r="Q253" s="662">
        <f>IF(OR($F253="na",$F253="no calc"),"na",1*Eqtn!E$451/(Eqtn!E$447*$H253/$F253+Eqtn!E$452*$I253/$G253))</f>
        <v>838.75516900395542</v>
      </c>
      <c r="R253" s="662">
        <f>IF(OR($F253="na",$F253="no calc"),"na",1*Eqtn!F$451/(Eqtn!F$447*$H253/$F253+Eqtn!F$452*$I253/$G253))</f>
        <v>1591.9997440600605</v>
      </c>
      <c r="S253" s="1418">
        <f t="shared" si="175"/>
        <v>111.82598039215685</v>
      </c>
      <c r="T253" s="1418">
        <f t="shared" si="176"/>
        <v>838.75516900395542</v>
      </c>
      <c r="U253" s="1418">
        <f t="shared" si="177"/>
        <v>1591.9997440600605</v>
      </c>
      <c r="V253" s="1405">
        <f t="shared" si="178"/>
        <v>111.82598039215685</v>
      </c>
      <c r="W253" s="1383">
        <f t="shared" si="179"/>
        <v>111.82598039215685</v>
      </c>
      <c r="X253" s="1383">
        <f t="shared" si="180"/>
        <v>838.75516900395542</v>
      </c>
      <c r="Y253" s="1383">
        <f t="shared" si="181"/>
        <v>1591.9997440600605</v>
      </c>
      <c r="Z253" s="1384">
        <f t="shared" si="182"/>
        <v>111.82598039215685</v>
      </c>
      <c r="AB253" s="1062"/>
    </row>
    <row r="254" spans="1:28" ht="13.9" customHeight="1" x14ac:dyDescent="0.25">
      <c r="A254" s="846">
        <f>Chem!A254</f>
        <v>252</v>
      </c>
      <c r="B254" s="916" t="str">
        <f>Chem!B254</f>
        <v>trans-Chlordane (gamma)</v>
      </c>
      <c r="C254" s="2305" t="str">
        <f>Param!AK254</f>
        <v>YES</v>
      </c>
      <c r="D254" s="384" t="str">
        <f>IF(C254="YES",Param!V254,"no calc")</f>
        <v>na</v>
      </c>
      <c r="E254" s="552" t="str">
        <f>IF(C254="YES",Param!X254,"no calc")</f>
        <v>na</v>
      </c>
      <c r="F254" s="384">
        <f>IF(C254="YES",Param!O254,"no calc")</f>
        <v>5.0000000000000001E-4</v>
      </c>
      <c r="G254" s="622">
        <f>IF(C254="YES",Param!S254,"no calc")</f>
        <v>5.0000000000000001E-4</v>
      </c>
      <c r="H254" s="803">
        <f>IF(C254="YES",Param!AD254,"no calc")</f>
        <v>1</v>
      </c>
      <c r="I254" s="595">
        <f>IF(C254="YES",Param!AE254,"no calc")</f>
        <v>0.04</v>
      </c>
      <c r="J254" s="602" t="str">
        <f>IF(OR($D254="na",$D254="no calc"),"na",0.000001*Eqtn!D$419/(Eqtn!D$415*$H254*$D254+Eqtn!D$420*$I254*$E254))</f>
        <v>na</v>
      </c>
      <c r="K254" s="602" t="str">
        <f>IF(OR($D254="na",$D254="no calc"),"na",0.000001*Eqtn!E$419/(Eqtn!E$415*$H254*$D254+Eqtn!E$420*$I254*$E254))</f>
        <v>na</v>
      </c>
      <c r="L254" s="602" t="str">
        <f>IF(OR($D254="na",$D254="no calc"),"na",0.000001*Eqtn!F$419/(Eqtn!F$415*$H254*$D254+Eqtn!F$420*$I254*$E254))</f>
        <v>na</v>
      </c>
      <c r="M254" s="17" t="str">
        <f>IF(OR($D254="na",$D254="no calc"),"na",0.00001*Eqtn!D$419/(Eqtn!D$415*$H254*$D254+Eqtn!D$420*$I254*$E254))</f>
        <v>na</v>
      </c>
      <c r="N254" s="17" t="str">
        <f>IF(OR($D254="na",$D254="no calc"),"na",0.00001*Eqtn!E$419/(Eqtn!E$415*$H254*$D254+Eqtn!E$420*$I254*$E254))</f>
        <v>na</v>
      </c>
      <c r="O254" s="694" t="str">
        <f>IF(OR($D254="na",$D254="no calc"),"na",0.00001*Eqtn!F$419/(Eqtn!F$415*$H254*$D254+Eqtn!F$420*$I254*$E254))</f>
        <v>na</v>
      </c>
      <c r="P254" s="662">
        <f>IF(OR($F254="na",$F254="no calc"),"na",1*Eqtn!D$451/(Eqtn!D$447*$H254/$F254+Eqtn!D$452*$I254/$G254))</f>
        <v>111.82598039215685</v>
      </c>
      <c r="Q254" s="662">
        <f>IF(OR($F254="na",$F254="no calc"),"na",1*Eqtn!E$451/(Eqtn!E$447*$H254/$F254+Eqtn!E$452*$I254/$G254))</f>
        <v>838.75516900395542</v>
      </c>
      <c r="R254" s="662">
        <f>IF(OR($F254="na",$F254="no calc"),"na",1*Eqtn!F$451/(Eqtn!F$447*$H254/$F254+Eqtn!F$452*$I254/$G254))</f>
        <v>1591.9997440600605</v>
      </c>
      <c r="S254" s="1418">
        <f t="shared" si="175"/>
        <v>111.82598039215685</v>
      </c>
      <c r="T254" s="1418">
        <f t="shared" si="176"/>
        <v>838.75516900395542</v>
      </c>
      <c r="U254" s="1418">
        <f t="shared" si="177"/>
        <v>1591.9997440600605</v>
      </c>
      <c r="V254" s="1405">
        <f t="shared" si="178"/>
        <v>111.82598039215685</v>
      </c>
      <c r="W254" s="1383">
        <f t="shared" si="179"/>
        <v>111.82598039215685</v>
      </c>
      <c r="X254" s="1383">
        <f t="shared" si="180"/>
        <v>838.75516900395542</v>
      </c>
      <c r="Y254" s="1383">
        <f t="shared" si="181"/>
        <v>1591.9997440600605</v>
      </c>
      <c r="Z254" s="1384">
        <f t="shared" si="182"/>
        <v>111.82598039215685</v>
      </c>
      <c r="AB254" s="1062"/>
    </row>
    <row r="255" spans="1:28" ht="13.9" customHeight="1" x14ac:dyDescent="0.25">
      <c r="A255" s="846">
        <f>Chem!A255</f>
        <v>253</v>
      </c>
      <c r="B255" s="916" t="str">
        <f>Chem!B255</f>
        <v>Chlordane</v>
      </c>
      <c r="C255" s="2305" t="str">
        <f>Param!AK255</f>
        <v>YES</v>
      </c>
      <c r="D255" s="384">
        <f>IF(C255="YES",Param!V255,"no calc")</f>
        <v>0.35</v>
      </c>
      <c r="E255" s="552">
        <f>IF(C255="YES",Param!X255,"no calc")</f>
        <v>0.35</v>
      </c>
      <c r="F255" s="384">
        <f>IF(C255="YES",Param!O255,"no calc")</f>
        <v>5.0000000000000001E-4</v>
      </c>
      <c r="G255" s="622">
        <f>IF(C255="YES",Param!S255,"no calc")</f>
        <v>5.0000000000000001E-4</v>
      </c>
      <c r="H255" s="803">
        <f>IF(C255="YES",Param!AD255,"no calc")</f>
        <v>1</v>
      </c>
      <c r="I255" s="595">
        <f>IF(C255="YES",Param!AE255,"no calc")</f>
        <v>0.04</v>
      </c>
      <c r="J255" s="602">
        <f>IF(OR($D255="na",$D255="no calc"),"na",0.000001*Eqtn!D$419/(Eqtn!D$415*$H255*$D255+Eqtn!D$420*$I255*$E255))</f>
        <v>7.9875700280112056</v>
      </c>
      <c r="K255" s="602">
        <f>IF(OR($D255="na",$D255="no calc"),"na",0.000001*Eqtn!E$419/(Eqtn!E$415*$H255*$D255+Eqtn!E$420*$I255*$E255))</f>
        <v>5.6166640781514872</v>
      </c>
      <c r="L255" s="602">
        <f>IF(OR($D255="na",$D255="no calc"),"na",0.000001*Eqtn!F$419/(Eqtn!F$415*$H255*$D255+Eqtn!F$420*$I255*$E255))</f>
        <v>15.506491013572019</v>
      </c>
      <c r="M255" s="17">
        <f>IF(OR($D255="na",$D255="no calc"),"na",0.00001*Eqtn!D$419/(Eqtn!D$415*$H255*$D255+Eqtn!D$420*$I255*$E255))</f>
        <v>79.875700280112056</v>
      </c>
      <c r="N255" s="17">
        <f>IF(OR($D255="na",$D255="no calc"),"na",0.00001*Eqtn!E$419/(Eqtn!E$415*$H255*$D255+Eqtn!E$420*$I255*$E255))</f>
        <v>56.166640781514879</v>
      </c>
      <c r="O255" s="694">
        <f>IF(OR($D255="na",$D255="no calc"),"na",0.00001*Eqtn!F$419/(Eqtn!F$415*$H255*$D255+Eqtn!F$420*$I255*$E255))</f>
        <v>155.0649101357202</v>
      </c>
      <c r="P255" s="662">
        <f>IF(OR($F255="na",$F255="no calc"),"na",1*Eqtn!D$451/(Eqtn!D$447*$H255/$F255+Eqtn!D$452*$I255/$G255))</f>
        <v>111.82598039215685</v>
      </c>
      <c r="Q255" s="662">
        <f>IF(OR($F255="na",$F255="no calc"),"na",1*Eqtn!E$451/(Eqtn!E$447*$H255/$F255+Eqtn!E$452*$I255/$G255))</f>
        <v>838.75516900395542</v>
      </c>
      <c r="R255" s="662">
        <f>IF(OR($F255="na",$F255="no calc"),"na",1*Eqtn!F$451/(Eqtn!F$447*$H255/$F255+Eqtn!F$452*$I255/$G255))</f>
        <v>1591.9997440600605</v>
      </c>
      <c r="S255" s="1418">
        <f t="shared" si="175"/>
        <v>7.9875700280112056</v>
      </c>
      <c r="T255" s="1418">
        <f t="shared" si="176"/>
        <v>5.6166640781514872</v>
      </c>
      <c r="U255" s="1418">
        <f t="shared" si="177"/>
        <v>15.506491013572019</v>
      </c>
      <c r="V255" s="1405">
        <f t="shared" si="178"/>
        <v>5.6166640781514872</v>
      </c>
      <c r="W255" s="1383">
        <f t="shared" si="179"/>
        <v>79.875700280112056</v>
      </c>
      <c r="X255" s="1383">
        <f t="shared" si="180"/>
        <v>56.166640781514879</v>
      </c>
      <c r="Y255" s="1383">
        <f t="shared" si="181"/>
        <v>155.0649101357202</v>
      </c>
      <c r="Z255" s="1384">
        <f t="shared" si="182"/>
        <v>56.166640781514879</v>
      </c>
      <c r="AB255" s="1062"/>
    </row>
    <row r="256" spans="1:28" ht="13.9" customHeight="1" x14ac:dyDescent="0.25">
      <c r="A256" s="846">
        <f>Chem!A256</f>
        <v>254</v>
      </c>
      <c r="B256" s="916" t="str">
        <f>Chem!B256</f>
        <v>Chlorpyrifos</v>
      </c>
      <c r="C256" s="2305" t="str">
        <f>Param!AK256</f>
        <v>no</v>
      </c>
      <c r="D256" s="384" t="str">
        <f>IF(C256="YES",Param!V256,"no calc")</f>
        <v>no calc</v>
      </c>
      <c r="E256" s="552" t="str">
        <f>IF(C256="YES",Param!X256,"no calc")</f>
        <v>no calc</v>
      </c>
      <c r="F256" s="384" t="str">
        <f>IF(C256="YES",Param!O256,"no calc")</f>
        <v>no calc</v>
      </c>
      <c r="G256" s="622" t="str">
        <f>IF(C256="YES",Param!S256,"no calc")</f>
        <v>no calc</v>
      </c>
      <c r="H256" s="803" t="str">
        <f>IF(C256="YES",Param!AD256,"no calc")</f>
        <v>no calc</v>
      </c>
      <c r="I256" s="595" t="str">
        <f>IF(C256="YES",Param!AE256,"no calc")</f>
        <v>no calc</v>
      </c>
      <c r="J256" s="602" t="str">
        <f>IF(OR($D256="na",$D256="no calc"),"na",0.000001*Eqtn!D$419/(Eqtn!D$415*$H256*$D256+Eqtn!D$420*$I256*$E256))</f>
        <v>na</v>
      </c>
      <c r="K256" s="602" t="str">
        <f>IF(OR($D256="na",$D256="no calc"),"na",0.000001*Eqtn!E$419/(Eqtn!E$415*$H256*$D256+Eqtn!E$420*$I256*$E256))</f>
        <v>na</v>
      </c>
      <c r="L256" s="602" t="str">
        <f>IF(OR($D256="na",$D256="no calc"),"na",0.000001*Eqtn!F$419/(Eqtn!F$415*$H256*$D256+Eqtn!F$420*$I256*$E256))</f>
        <v>na</v>
      </c>
      <c r="M256" s="17" t="str">
        <f>IF(OR($D256="na",$D256="no calc"),"na",0.00001*Eqtn!D$419/(Eqtn!D$415*$H256*$D256+Eqtn!D$420*$I256*$E256))</f>
        <v>na</v>
      </c>
      <c r="N256" s="17" t="str">
        <f>IF(OR($D256="na",$D256="no calc"),"na",0.00001*Eqtn!E$419/(Eqtn!E$415*$H256*$D256+Eqtn!E$420*$I256*$E256))</f>
        <v>na</v>
      </c>
      <c r="O256" s="694" t="str">
        <f>IF(OR($D256="na",$D256="no calc"),"na",0.00001*Eqtn!F$419/(Eqtn!F$415*$H256*$D256+Eqtn!F$420*$I256*$E256))</f>
        <v>na</v>
      </c>
      <c r="P256" s="662" t="str">
        <f>IF(OR($F256="na",$F256="no calc"),"na",1*Eqtn!D$451/(Eqtn!D$447*$H256/$F256+Eqtn!D$452*$I256/$G256))</f>
        <v>na</v>
      </c>
      <c r="Q256" s="662" t="str">
        <f>IF(OR($F256="na",$F256="no calc"),"na",1*Eqtn!E$451/(Eqtn!E$447*$H256/$F256+Eqtn!E$452*$I256/$G256))</f>
        <v>na</v>
      </c>
      <c r="R256" s="662" t="str">
        <f>IF(OR($F256="na",$F256="no calc"),"na",1*Eqtn!F$451/(Eqtn!F$447*$H256/$F256+Eqtn!F$452*$I256/$G256))</f>
        <v>na</v>
      </c>
      <c r="S256" s="1418" t="str">
        <f t="shared" si="175"/>
        <v>na</v>
      </c>
      <c r="T256" s="1418" t="str">
        <f t="shared" si="176"/>
        <v>na</v>
      </c>
      <c r="U256" s="1418" t="str">
        <f t="shared" si="177"/>
        <v>na</v>
      </c>
      <c r="V256" s="1405" t="str">
        <f t="shared" si="178"/>
        <v>na</v>
      </c>
      <c r="W256" s="1383" t="str">
        <f t="shared" si="179"/>
        <v>na</v>
      </c>
      <c r="X256" s="1383" t="str">
        <f t="shared" si="180"/>
        <v>na</v>
      </c>
      <c r="Y256" s="1383" t="str">
        <f t="shared" si="181"/>
        <v>na</v>
      </c>
      <c r="Z256" s="1384" t="str">
        <f t="shared" si="182"/>
        <v>na</v>
      </c>
      <c r="AB256" s="1062"/>
    </row>
    <row r="257" spans="1:28" ht="13.9" customHeight="1" x14ac:dyDescent="0.25">
      <c r="A257" s="846">
        <f>Chem!A257</f>
        <v>255</v>
      </c>
      <c r="B257" s="916" t="str">
        <f>Chem!B257</f>
        <v>4,4'-DDD</v>
      </c>
      <c r="C257" s="2305" t="str">
        <f>Param!AK257</f>
        <v>no</v>
      </c>
      <c r="D257" s="384" t="str">
        <f>IF(C257="YES",Param!V257,"no calc")</f>
        <v>no calc</v>
      </c>
      <c r="E257" s="552" t="str">
        <f>IF(C257="YES",Param!X257,"no calc")</f>
        <v>no calc</v>
      </c>
      <c r="F257" s="384" t="str">
        <f>IF(C257="YES",Param!O257,"no calc")</f>
        <v>no calc</v>
      </c>
      <c r="G257" s="622" t="str">
        <f>IF(C257="YES",Param!S257,"no calc")</f>
        <v>no calc</v>
      </c>
      <c r="H257" s="803" t="str">
        <f>IF(C257="YES",Param!AD257,"no calc")</f>
        <v>no calc</v>
      </c>
      <c r="I257" s="595" t="str">
        <f>IF(C257="YES",Param!AE257,"no calc")</f>
        <v>no calc</v>
      </c>
      <c r="J257" s="602" t="str">
        <f>IF(OR($D257="na",$D257="no calc"),"na",0.000001*Eqtn!D$419/(Eqtn!D$415*$H257*$D257+Eqtn!D$420*$I257*$E257))</f>
        <v>na</v>
      </c>
      <c r="K257" s="602" t="str">
        <f>IF(OR($D257="na",$D257="no calc"),"na",0.000001*Eqtn!E$419/(Eqtn!E$415*$H257*$D257+Eqtn!E$420*$I257*$E257))</f>
        <v>na</v>
      </c>
      <c r="L257" s="602" t="str">
        <f>IF(OR($D257="na",$D257="no calc"),"na",0.000001*Eqtn!F$419/(Eqtn!F$415*$H257*$D257+Eqtn!F$420*$I257*$E257))</f>
        <v>na</v>
      </c>
      <c r="M257" s="17" t="str">
        <f>IF(OR($D257="na",$D257="no calc"),"na",0.00001*Eqtn!D$419/(Eqtn!D$415*$H257*$D257+Eqtn!D$420*$I257*$E257))</f>
        <v>na</v>
      </c>
      <c r="N257" s="17" t="str">
        <f>IF(OR($D257="na",$D257="no calc"),"na",0.00001*Eqtn!E$419/(Eqtn!E$415*$H257*$D257+Eqtn!E$420*$I257*$E257))</f>
        <v>na</v>
      </c>
      <c r="O257" s="694" t="str">
        <f>IF(OR($D257="na",$D257="no calc"),"na",0.00001*Eqtn!F$419/(Eqtn!F$415*$H257*$D257+Eqtn!F$420*$I257*$E257))</f>
        <v>na</v>
      </c>
      <c r="P257" s="662" t="str">
        <f>IF(OR($F257="na",$F257="no calc"),"na",1*Eqtn!D$451/(Eqtn!D$447*$H257/$F257+Eqtn!D$452*$I257/$G257))</f>
        <v>na</v>
      </c>
      <c r="Q257" s="662" t="str">
        <f>IF(OR($F257="na",$F257="no calc"),"na",1*Eqtn!E$451/(Eqtn!E$447*$H257/$F257+Eqtn!E$452*$I257/$G257))</f>
        <v>na</v>
      </c>
      <c r="R257" s="662" t="str">
        <f>IF(OR($F257="na",$F257="no calc"),"na",1*Eqtn!F$451/(Eqtn!F$447*$H257/$F257+Eqtn!F$452*$I257/$G257))</f>
        <v>na</v>
      </c>
      <c r="S257" s="1418" t="str">
        <f t="shared" si="175"/>
        <v>na</v>
      </c>
      <c r="T257" s="1418" t="str">
        <f t="shared" si="176"/>
        <v>na</v>
      </c>
      <c r="U257" s="1418" t="str">
        <f t="shared" si="177"/>
        <v>na</v>
      </c>
      <c r="V257" s="1405" t="str">
        <f t="shared" si="178"/>
        <v>na</v>
      </c>
      <c r="W257" s="1383" t="str">
        <f t="shared" si="179"/>
        <v>na</v>
      </c>
      <c r="X257" s="1383" t="str">
        <f t="shared" si="180"/>
        <v>na</v>
      </c>
      <c r="Y257" s="1383" t="str">
        <f t="shared" si="181"/>
        <v>na</v>
      </c>
      <c r="Z257" s="1384" t="str">
        <f t="shared" si="182"/>
        <v>na</v>
      </c>
      <c r="AB257" s="1062"/>
    </row>
    <row r="258" spans="1:28" ht="13.9" customHeight="1" x14ac:dyDescent="0.25">
      <c r="A258" s="846">
        <f>Chem!A258</f>
        <v>256</v>
      </c>
      <c r="B258" s="916" t="str">
        <f>Chem!B258</f>
        <v>4,4'-DDE</v>
      </c>
      <c r="C258" s="2305" t="str">
        <f>Param!AK258</f>
        <v>no</v>
      </c>
      <c r="D258" s="384" t="str">
        <f>IF(C258="YES",Param!V258,"no calc")</f>
        <v>no calc</v>
      </c>
      <c r="E258" s="552" t="str">
        <f>IF(C258="YES",Param!X258,"no calc")</f>
        <v>no calc</v>
      </c>
      <c r="F258" s="384" t="str">
        <f>IF(C258="YES",Param!O258,"no calc")</f>
        <v>no calc</v>
      </c>
      <c r="G258" s="622" t="str">
        <f>IF(C258="YES",Param!S258,"no calc")</f>
        <v>no calc</v>
      </c>
      <c r="H258" s="803" t="str">
        <f>IF(C258="YES",Param!AD258,"no calc")</f>
        <v>no calc</v>
      </c>
      <c r="I258" s="595" t="str">
        <f>IF(C258="YES",Param!AE258,"no calc")</f>
        <v>no calc</v>
      </c>
      <c r="J258" s="602" t="str">
        <f>IF(OR($D258="na",$D258="no calc"),"na",0.000001*Eqtn!D$419/(Eqtn!D$415*$H258*$D258+Eqtn!D$420*$I258*$E258))</f>
        <v>na</v>
      </c>
      <c r="K258" s="602" t="str">
        <f>IF(OR($D258="na",$D258="no calc"),"na",0.000001*Eqtn!E$419/(Eqtn!E$415*$H258*$D258+Eqtn!E$420*$I258*$E258))</f>
        <v>na</v>
      </c>
      <c r="L258" s="602" t="str">
        <f>IF(OR($D258="na",$D258="no calc"),"na",0.000001*Eqtn!F$419/(Eqtn!F$415*$H258*$D258+Eqtn!F$420*$I258*$E258))</f>
        <v>na</v>
      </c>
      <c r="M258" s="17" t="str">
        <f>IF(OR($D258="na",$D258="no calc"),"na",0.00001*Eqtn!D$419/(Eqtn!D$415*$H258*$D258+Eqtn!D$420*$I258*$E258))</f>
        <v>na</v>
      </c>
      <c r="N258" s="17" t="str">
        <f>IF(OR($D258="na",$D258="no calc"),"na",0.00001*Eqtn!E$419/(Eqtn!E$415*$H258*$D258+Eqtn!E$420*$I258*$E258))</f>
        <v>na</v>
      </c>
      <c r="O258" s="694" t="str">
        <f>IF(OR($D258="na",$D258="no calc"),"na",0.00001*Eqtn!F$419/(Eqtn!F$415*$H258*$D258+Eqtn!F$420*$I258*$E258))</f>
        <v>na</v>
      </c>
      <c r="P258" s="662" t="str">
        <f>IF(OR($F258="na",$F258="no calc"),"na",1*Eqtn!D$451/(Eqtn!D$447*$H258/$F258+Eqtn!D$452*$I258/$G258))</f>
        <v>na</v>
      </c>
      <c r="Q258" s="662" t="str">
        <f>IF(OR($F258="na",$F258="no calc"),"na",1*Eqtn!E$451/(Eqtn!E$447*$H258/$F258+Eqtn!E$452*$I258/$G258))</f>
        <v>na</v>
      </c>
      <c r="R258" s="662" t="str">
        <f>IF(OR($F258="na",$F258="no calc"),"na",1*Eqtn!F$451/(Eqtn!F$447*$H258/$F258+Eqtn!F$452*$I258/$G258))</f>
        <v>na</v>
      </c>
      <c r="S258" s="1418" t="str">
        <f t="shared" si="175"/>
        <v>na</v>
      </c>
      <c r="T258" s="1418" t="str">
        <f t="shared" si="176"/>
        <v>na</v>
      </c>
      <c r="U258" s="1418" t="str">
        <f t="shared" si="177"/>
        <v>na</v>
      </c>
      <c r="V258" s="1405" t="str">
        <f t="shared" si="178"/>
        <v>na</v>
      </c>
      <c r="W258" s="1383" t="str">
        <f t="shared" si="179"/>
        <v>na</v>
      </c>
      <c r="X258" s="1383" t="str">
        <f t="shared" si="180"/>
        <v>na</v>
      </c>
      <c r="Y258" s="1383" t="str">
        <f t="shared" si="181"/>
        <v>na</v>
      </c>
      <c r="Z258" s="1384" t="str">
        <f t="shared" si="182"/>
        <v>na</v>
      </c>
      <c r="AB258" s="1062"/>
    </row>
    <row r="259" spans="1:28" ht="13.9" customHeight="1" x14ac:dyDescent="0.25">
      <c r="A259" s="846">
        <f>Chem!A259</f>
        <v>257</v>
      </c>
      <c r="B259" s="916" t="str">
        <f>Chem!B259</f>
        <v>4,4'-DDT</v>
      </c>
      <c r="C259" s="2305" t="str">
        <f>Param!AK259</f>
        <v>YES</v>
      </c>
      <c r="D259" s="384">
        <f>IF(C259="YES",Param!V259,"no calc")</f>
        <v>0.34</v>
      </c>
      <c r="E259" s="552">
        <f>IF(C259="YES",Param!X259,"no calc")</f>
        <v>0.34</v>
      </c>
      <c r="F259" s="384">
        <f>IF(C259="YES",Param!O259,"no calc")</f>
        <v>5.0000000000000001E-4</v>
      </c>
      <c r="G259" s="622">
        <f>IF(C259="YES",Param!S259,"no calc")</f>
        <v>5.0000000000000001E-4</v>
      </c>
      <c r="H259" s="803">
        <f>IF(C259="YES",Param!AD259,"no calc")</f>
        <v>1</v>
      </c>
      <c r="I259" s="595">
        <f>IF(C259="YES",Param!AE259,"no calc")</f>
        <v>0.03</v>
      </c>
      <c r="J259" s="602">
        <f>IF(OR($D259="na",$D259="no calc"),"na",0.000001*Eqtn!D$419/(Eqtn!D$415*$H259*$D259+Eqtn!D$420*$I259*$E259))</f>
        <v>8.3921936504432928</v>
      </c>
      <c r="K259" s="602">
        <f>IF(OR($D259="na",$D259="no calc"),"na",0.000001*Eqtn!E$419/(Eqtn!E$415*$H259*$D259+Eqtn!E$420*$I259*$E259))</f>
        <v>6.2945206043185031</v>
      </c>
      <c r="L259" s="602">
        <f>IF(OR($D259="na",$D259="no calc"),"na",0.000001*Eqtn!F$419/(Eqtn!F$415*$H259*$D259+Eqtn!F$420*$I259*$E259))</f>
        <v>17.567738340220021</v>
      </c>
      <c r="M259" s="17">
        <f>IF(OR($D259="na",$D259="no calc"),"na",0.00001*Eqtn!D$419/(Eqtn!D$415*$H259*$D259+Eqtn!D$420*$I259*$E259))</f>
        <v>83.921936504432921</v>
      </c>
      <c r="N259" s="17">
        <f>IF(OR($D259="na",$D259="no calc"),"na",0.00001*Eqtn!E$419/(Eqtn!E$415*$H259*$D259+Eqtn!E$420*$I259*$E259))</f>
        <v>62.945206043185038</v>
      </c>
      <c r="O259" s="694">
        <f>IF(OR($D259="na",$D259="no calc"),"na",0.00001*Eqtn!F$419/(Eqtn!F$415*$H259*$D259+Eqtn!F$420*$I259*$E259))</f>
        <v>175.67738340220023</v>
      </c>
      <c r="P259" s="662">
        <f>IF(OR($F259="na",$F259="no calc"),"na",1*Eqtn!D$451/(Eqtn!D$447*$H259/$F259+Eqtn!D$452*$I259/$G259))</f>
        <v>114.13383364602876</v>
      </c>
      <c r="Q259" s="662">
        <f>IF(OR($F259="na",$F259="no calc"),"na",1*Eqtn!E$451/(Eqtn!E$447*$H259/$F259+Eqtn!E$452*$I259/$G259))</f>
        <v>913.1251223331376</v>
      </c>
      <c r="R259" s="662">
        <f>IF(OR($F259="na",$F259="no calc"),"na",1*Eqtn!F$451/(Eqtn!F$447*$H259/$F259+Eqtn!F$452*$I259/$G259))</f>
        <v>1752.0891037979436</v>
      </c>
      <c r="S259" s="1418">
        <f t="shared" si="175"/>
        <v>8.3921936504432928</v>
      </c>
      <c r="T259" s="1418">
        <f t="shared" si="176"/>
        <v>6.2945206043185031</v>
      </c>
      <c r="U259" s="1418">
        <f t="shared" si="177"/>
        <v>17.567738340220021</v>
      </c>
      <c r="V259" s="1405">
        <f t="shared" si="178"/>
        <v>6.2945206043185031</v>
      </c>
      <c r="W259" s="1383">
        <f t="shared" si="179"/>
        <v>83.921936504432921</v>
      </c>
      <c r="X259" s="1383">
        <f t="shared" si="180"/>
        <v>62.945206043185038</v>
      </c>
      <c r="Y259" s="1383">
        <f t="shared" si="181"/>
        <v>175.67738340220023</v>
      </c>
      <c r="Z259" s="1384">
        <f t="shared" si="182"/>
        <v>62.945206043185038</v>
      </c>
      <c r="AB259" s="1062"/>
    </row>
    <row r="260" spans="1:28" ht="13.9" customHeight="1" x14ac:dyDescent="0.25">
      <c r="A260" s="846">
        <f>Chem!A260</f>
        <v>258</v>
      </c>
      <c r="B260" s="916" t="str">
        <f>Chem!B260</f>
        <v xml:space="preserve">Total DDD </v>
      </c>
      <c r="C260" s="2305" t="str">
        <f>Param!AK260</f>
        <v>no</v>
      </c>
      <c r="D260" s="384" t="str">
        <f>IF(C260="YES",Param!V260,"no calc")</f>
        <v>no calc</v>
      </c>
      <c r="E260" s="552" t="str">
        <f>IF(C260="YES",Param!X260,"no calc")</f>
        <v>no calc</v>
      </c>
      <c r="F260" s="384" t="str">
        <f>IF(C260="YES",Param!O260,"no calc")</f>
        <v>no calc</v>
      </c>
      <c r="G260" s="622" t="str">
        <f>IF(C260="YES",Param!S260,"no calc")</f>
        <v>no calc</v>
      </c>
      <c r="H260" s="803" t="str">
        <f>IF(C260="YES",Param!AD260,"no calc")</f>
        <v>no calc</v>
      </c>
      <c r="I260" s="595" t="str">
        <f>IF(C260="YES",Param!AE260,"no calc")</f>
        <v>no calc</v>
      </c>
      <c r="J260" s="602" t="str">
        <f>IF(OR($D260="na",$D260="no calc"),"na",0.000001*Eqtn!D$419/(Eqtn!D$415*$H260*$D260+Eqtn!D$420*$I260*$E260))</f>
        <v>na</v>
      </c>
      <c r="K260" s="602" t="str">
        <f>IF(OR($D260="na",$D260="no calc"),"na",0.000001*Eqtn!E$419/(Eqtn!E$415*$H260*$D260+Eqtn!E$420*$I260*$E260))</f>
        <v>na</v>
      </c>
      <c r="L260" s="602" t="str">
        <f>IF(OR($D260="na",$D260="no calc"),"na",0.000001*Eqtn!F$419/(Eqtn!F$415*$H260*$D260+Eqtn!F$420*$I260*$E260))</f>
        <v>na</v>
      </c>
      <c r="M260" s="17" t="str">
        <f>IF(OR($D260="na",$D260="no calc"),"na",0.00001*Eqtn!D$419/(Eqtn!D$415*$H260*$D260+Eqtn!D$420*$I260*$E260))</f>
        <v>na</v>
      </c>
      <c r="N260" s="17" t="str">
        <f>IF(OR($D260="na",$D260="no calc"),"na",0.00001*Eqtn!E$419/(Eqtn!E$415*$H260*$D260+Eqtn!E$420*$I260*$E260))</f>
        <v>na</v>
      </c>
      <c r="O260" s="694" t="str">
        <f>IF(OR($D260="na",$D260="no calc"),"na",0.00001*Eqtn!F$419/(Eqtn!F$415*$H260*$D260+Eqtn!F$420*$I260*$E260))</f>
        <v>na</v>
      </c>
      <c r="P260" s="662" t="str">
        <f>IF(OR($F260="na",$F260="no calc"),"na",1*Eqtn!D$451/(Eqtn!D$447*$H260/$F260+Eqtn!D$452*$I260/$G260))</f>
        <v>na</v>
      </c>
      <c r="Q260" s="662" t="str">
        <f>IF(OR($F260="na",$F260="no calc"),"na",1*Eqtn!E$451/(Eqtn!E$447*$H260/$F260+Eqtn!E$452*$I260/$G260))</f>
        <v>na</v>
      </c>
      <c r="R260" s="662" t="str">
        <f>IF(OR($F260="na",$F260="no calc"),"na",1*Eqtn!F$451/(Eqtn!F$447*$H260/$F260+Eqtn!F$452*$I260/$G260))</f>
        <v>na</v>
      </c>
      <c r="S260" s="1418" t="str">
        <f t="shared" si="175"/>
        <v>na</v>
      </c>
      <c r="T260" s="1418" t="str">
        <f t="shared" si="176"/>
        <v>na</v>
      </c>
      <c r="U260" s="1418" t="str">
        <f t="shared" si="177"/>
        <v>na</v>
      </c>
      <c r="V260" s="1405" t="str">
        <f t="shared" si="178"/>
        <v>na</v>
      </c>
      <c r="W260" s="1383" t="str">
        <f t="shared" si="179"/>
        <v>na</v>
      </c>
      <c r="X260" s="1383" t="str">
        <f t="shared" si="180"/>
        <v>na</v>
      </c>
      <c r="Y260" s="1383" t="str">
        <f t="shared" si="181"/>
        <v>na</v>
      </c>
      <c r="Z260" s="1384" t="str">
        <f t="shared" si="182"/>
        <v>na</v>
      </c>
      <c r="AB260" s="1062"/>
    </row>
    <row r="261" spans="1:28" ht="13.9" customHeight="1" x14ac:dyDescent="0.25">
      <c r="A261" s="846">
        <f>Chem!A261</f>
        <v>259</v>
      </c>
      <c r="B261" s="916" t="str">
        <f>Chem!B261</f>
        <v>Total DDE</v>
      </c>
      <c r="C261" s="2305" t="str">
        <f>Param!AK261</f>
        <v>no</v>
      </c>
      <c r="D261" s="384" t="str">
        <f>IF(C261="YES",Param!V261,"no calc")</f>
        <v>no calc</v>
      </c>
      <c r="E261" s="552" t="str">
        <f>IF(C261="YES",Param!X261,"no calc")</f>
        <v>no calc</v>
      </c>
      <c r="F261" s="384" t="str">
        <f>IF(C261="YES",Param!O261,"no calc")</f>
        <v>no calc</v>
      </c>
      <c r="G261" s="622" t="str">
        <f>IF(C261="YES",Param!S261,"no calc")</f>
        <v>no calc</v>
      </c>
      <c r="H261" s="803" t="str">
        <f>IF(C261="YES",Param!AD261,"no calc")</f>
        <v>no calc</v>
      </c>
      <c r="I261" s="595" t="str">
        <f>IF(C261="YES",Param!AE261,"no calc")</f>
        <v>no calc</v>
      </c>
      <c r="J261" s="602" t="str">
        <f>IF(OR($D261="na",$D261="no calc"),"na",0.000001*Eqtn!D$419/(Eqtn!D$415*$H261*$D261+Eqtn!D$420*$I261*$E261))</f>
        <v>na</v>
      </c>
      <c r="K261" s="602" t="str">
        <f>IF(OR($D261="na",$D261="no calc"),"na",0.000001*Eqtn!E$419/(Eqtn!E$415*$H261*$D261+Eqtn!E$420*$I261*$E261))</f>
        <v>na</v>
      </c>
      <c r="L261" s="602" t="str">
        <f>IF(OR($D261="na",$D261="no calc"),"na",0.000001*Eqtn!F$419/(Eqtn!F$415*$H261*$D261+Eqtn!F$420*$I261*$E261))</f>
        <v>na</v>
      </c>
      <c r="M261" s="17" t="str">
        <f>IF(OR($D261="na",$D261="no calc"),"na",0.00001*Eqtn!D$419/(Eqtn!D$415*$H261*$D261+Eqtn!D$420*$I261*$E261))</f>
        <v>na</v>
      </c>
      <c r="N261" s="17" t="str">
        <f>IF(OR($D261="na",$D261="no calc"),"na",0.00001*Eqtn!E$419/(Eqtn!E$415*$H261*$D261+Eqtn!E$420*$I261*$E261))</f>
        <v>na</v>
      </c>
      <c r="O261" s="694" t="str">
        <f>IF(OR($D261="na",$D261="no calc"),"na",0.00001*Eqtn!F$419/(Eqtn!F$415*$H261*$D261+Eqtn!F$420*$I261*$E261))</f>
        <v>na</v>
      </c>
      <c r="P261" s="662" t="str">
        <f>IF(OR($F261="na",$F261="no calc"),"na",1*Eqtn!D$451/(Eqtn!D$447*$H261/$F261+Eqtn!D$452*$I261/$G261))</f>
        <v>na</v>
      </c>
      <c r="Q261" s="662" t="str">
        <f>IF(OR($F261="na",$F261="no calc"),"na",1*Eqtn!E$451/(Eqtn!E$447*$H261/$F261+Eqtn!E$452*$I261/$G261))</f>
        <v>na</v>
      </c>
      <c r="R261" s="662" t="str">
        <f>IF(OR($F261="na",$F261="no calc"),"na",1*Eqtn!F$451/(Eqtn!F$447*$H261/$F261+Eqtn!F$452*$I261/$G261))</f>
        <v>na</v>
      </c>
      <c r="S261" s="1418" t="str">
        <f t="shared" si="175"/>
        <v>na</v>
      </c>
      <c r="T261" s="1418" t="str">
        <f t="shared" si="176"/>
        <v>na</v>
      </c>
      <c r="U261" s="1418" t="str">
        <f t="shared" si="177"/>
        <v>na</v>
      </c>
      <c r="V261" s="1405" t="str">
        <f t="shared" si="178"/>
        <v>na</v>
      </c>
      <c r="W261" s="1383" t="str">
        <f t="shared" si="179"/>
        <v>na</v>
      </c>
      <c r="X261" s="1383" t="str">
        <f t="shared" si="180"/>
        <v>na</v>
      </c>
      <c r="Y261" s="1383" t="str">
        <f t="shared" si="181"/>
        <v>na</v>
      </c>
      <c r="Z261" s="1384" t="str">
        <f t="shared" si="182"/>
        <v>na</v>
      </c>
      <c r="AB261" s="1062"/>
    </row>
    <row r="262" spans="1:28" ht="13.9" customHeight="1" x14ac:dyDescent="0.25">
      <c r="A262" s="846">
        <f>Chem!A262</f>
        <v>260</v>
      </c>
      <c r="B262" s="916" t="str">
        <f>Chem!B262</f>
        <v>Total DDT</v>
      </c>
      <c r="C262" s="2305" t="str">
        <f>Param!AK262</f>
        <v>YES</v>
      </c>
      <c r="D262" s="384">
        <f>IF(C262="YES",Param!V262,"no calc")</f>
        <v>0.34</v>
      </c>
      <c r="E262" s="552">
        <f>IF(C262="YES",Param!X262,"no calc")</f>
        <v>0.34</v>
      </c>
      <c r="F262" s="384">
        <f>IF(C262="YES",Param!O262,"no calc")</f>
        <v>5.0000000000000001E-4</v>
      </c>
      <c r="G262" s="622">
        <f>IF(C262="YES",Param!S262,"no calc")</f>
        <v>5.0000000000000001E-4</v>
      </c>
      <c r="H262" s="803">
        <f>IF(C262="YES",Param!AD262,"no calc")</f>
        <v>1</v>
      </c>
      <c r="I262" s="595">
        <f>IF(C262="YES",Param!AE262,"no calc")</f>
        <v>0.03</v>
      </c>
      <c r="J262" s="602">
        <f>IF(OR($D262="na",$D262="no calc"),"na",0.000001*Eqtn!D$419/(Eqtn!D$415*$H262*$D262+Eqtn!D$420*$I262*$E262))</f>
        <v>8.3921936504432928</v>
      </c>
      <c r="K262" s="602">
        <f>IF(OR($D262="na",$D262="no calc"),"na",0.000001*Eqtn!E$419/(Eqtn!E$415*$H262*$D262+Eqtn!E$420*$I262*$E262))</f>
        <v>6.2945206043185031</v>
      </c>
      <c r="L262" s="602">
        <f>IF(OR($D262="na",$D262="no calc"),"na",0.000001*Eqtn!F$419/(Eqtn!F$415*$H262*$D262+Eqtn!F$420*$I262*$E262))</f>
        <v>17.567738340220021</v>
      </c>
      <c r="M262" s="17">
        <f>IF(OR($D262="na",$D262="no calc"),"na",0.00001*Eqtn!D$419/(Eqtn!D$415*$H262*$D262+Eqtn!D$420*$I262*$E262))</f>
        <v>83.921936504432921</v>
      </c>
      <c r="N262" s="17">
        <f>IF(OR($D262="na",$D262="no calc"),"na",0.00001*Eqtn!E$419/(Eqtn!E$415*$H262*$D262+Eqtn!E$420*$I262*$E262))</f>
        <v>62.945206043185038</v>
      </c>
      <c r="O262" s="694">
        <f>IF(OR($D262="na",$D262="no calc"),"na",0.00001*Eqtn!F$419/(Eqtn!F$415*$H262*$D262+Eqtn!F$420*$I262*$E262))</f>
        <v>175.67738340220023</v>
      </c>
      <c r="P262" s="662">
        <f>IF(OR($F262="na",$F262="no calc"),"na",1*Eqtn!D$451/(Eqtn!D$447*$H262/$F262+Eqtn!D$452*$I262/$G262))</f>
        <v>114.13383364602876</v>
      </c>
      <c r="Q262" s="662">
        <f>IF(OR($F262="na",$F262="no calc"),"na",1*Eqtn!E$451/(Eqtn!E$447*$H262/$F262+Eqtn!E$452*$I262/$G262))</f>
        <v>913.1251223331376</v>
      </c>
      <c r="R262" s="662">
        <f>IF(OR($F262="na",$F262="no calc"),"na",1*Eqtn!F$451/(Eqtn!F$447*$H262/$F262+Eqtn!F$452*$I262/$G262))</f>
        <v>1752.0891037979436</v>
      </c>
      <c r="S262" s="1418">
        <f t="shared" si="175"/>
        <v>8.3921936504432928</v>
      </c>
      <c r="T262" s="1418">
        <f t="shared" si="176"/>
        <v>6.2945206043185031</v>
      </c>
      <c r="U262" s="1418">
        <f t="shared" si="177"/>
        <v>17.567738340220021</v>
      </c>
      <c r="V262" s="1405">
        <f t="shared" si="178"/>
        <v>6.2945206043185031</v>
      </c>
      <c r="W262" s="1383">
        <f t="shared" si="179"/>
        <v>83.921936504432921</v>
      </c>
      <c r="X262" s="1383">
        <f t="shared" si="180"/>
        <v>62.945206043185038</v>
      </c>
      <c r="Y262" s="1383">
        <f t="shared" si="181"/>
        <v>175.67738340220023</v>
      </c>
      <c r="Z262" s="1384">
        <f t="shared" si="182"/>
        <v>62.945206043185038</v>
      </c>
      <c r="AB262" s="1062"/>
    </row>
    <row r="263" spans="1:28" ht="13.9" customHeight="1" x14ac:dyDescent="0.25">
      <c r="A263" s="846">
        <f>Chem!A263</f>
        <v>261</v>
      </c>
      <c r="B263" s="916" t="str">
        <f>Chem!B263</f>
        <v>Diazinon</v>
      </c>
      <c r="C263" s="2305" t="str">
        <f>Param!AK263</f>
        <v>no</v>
      </c>
      <c r="D263" s="384" t="str">
        <f>IF(C263="YES",Param!V263,"no calc")</f>
        <v>no calc</v>
      </c>
      <c r="E263" s="552" t="str">
        <f>IF(C263="YES",Param!X263,"no calc")</f>
        <v>no calc</v>
      </c>
      <c r="F263" s="384" t="str">
        <f>IF(C263="YES",Param!O263,"no calc")</f>
        <v>no calc</v>
      </c>
      <c r="G263" s="622" t="str">
        <f>IF(C263="YES",Param!S263,"no calc")</f>
        <v>no calc</v>
      </c>
      <c r="H263" s="803" t="str">
        <f>IF(C263="YES",Param!AD263,"no calc")</f>
        <v>no calc</v>
      </c>
      <c r="I263" s="595" t="str">
        <f>IF(C263="YES",Param!AE263,"no calc")</f>
        <v>no calc</v>
      </c>
      <c r="J263" s="602" t="str">
        <f>IF(OR($D263="na",$D263="no calc"),"na",0.000001*Eqtn!D$419/(Eqtn!D$415*$H263*$D263+Eqtn!D$420*$I263*$E263))</f>
        <v>na</v>
      </c>
      <c r="K263" s="602" t="str">
        <f>IF(OR($D263="na",$D263="no calc"),"na",0.000001*Eqtn!E$419/(Eqtn!E$415*$H263*$D263+Eqtn!E$420*$I263*$E263))</f>
        <v>na</v>
      </c>
      <c r="L263" s="602" t="str">
        <f>IF(OR($D263="na",$D263="no calc"),"na",0.000001*Eqtn!F$419/(Eqtn!F$415*$H263*$D263+Eqtn!F$420*$I263*$E263))</f>
        <v>na</v>
      </c>
      <c r="M263" s="17" t="str">
        <f>IF(OR($D263="na",$D263="no calc"),"na",0.00001*Eqtn!D$419/(Eqtn!D$415*$H263*$D263+Eqtn!D$420*$I263*$E263))</f>
        <v>na</v>
      </c>
      <c r="N263" s="17" t="str">
        <f>IF(OR($D263="na",$D263="no calc"),"na",0.00001*Eqtn!E$419/(Eqtn!E$415*$H263*$D263+Eqtn!E$420*$I263*$E263))</f>
        <v>na</v>
      </c>
      <c r="O263" s="694" t="str">
        <f>IF(OR($D263="na",$D263="no calc"),"na",0.00001*Eqtn!F$419/(Eqtn!F$415*$H263*$D263+Eqtn!F$420*$I263*$E263))</f>
        <v>na</v>
      </c>
      <c r="P263" s="662" t="str">
        <f>IF(OR($F263="na",$F263="no calc"),"na",1*Eqtn!D$451/(Eqtn!D$447*$H263/$F263+Eqtn!D$452*$I263/$G263))</f>
        <v>na</v>
      </c>
      <c r="Q263" s="662" t="str">
        <f>IF(OR($F263="na",$F263="no calc"),"na",1*Eqtn!E$451/(Eqtn!E$447*$H263/$F263+Eqtn!E$452*$I263/$G263))</f>
        <v>na</v>
      </c>
      <c r="R263" s="662" t="str">
        <f>IF(OR($F263="na",$F263="no calc"),"na",1*Eqtn!F$451/(Eqtn!F$447*$H263/$F263+Eqtn!F$452*$I263/$G263))</f>
        <v>na</v>
      </c>
      <c r="S263" s="1418" t="str">
        <f t="shared" si="175"/>
        <v>na</v>
      </c>
      <c r="T263" s="1418" t="str">
        <f t="shared" si="176"/>
        <v>na</v>
      </c>
      <c r="U263" s="1418" t="str">
        <f t="shared" si="177"/>
        <v>na</v>
      </c>
      <c r="V263" s="1405" t="str">
        <f t="shared" si="178"/>
        <v>na</v>
      </c>
      <c r="W263" s="1383" t="str">
        <f t="shared" si="179"/>
        <v>na</v>
      </c>
      <c r="X263" s="1383" t="str">
        <f t="shared" si="180"/>
        <v>na</v>
      </c>
      <c r="Y263" s="1383" t="str">
        <f t="shared" si="181"/>
        <v>na</v>
      </c>
      <c r="Z263" s="1384" t="str">
        <f t="shared" si="182"/>
        <v>na</v>
      </c>
      <c r="AB263" s="1062"/>
    </row>
    <row r="264" spans="1:28" ht="13.9" customHeight="1" x14ac:dyDescent="0.25">
      <c r="A264" s="846">
        <f>Chem!A264</f>
        <v>262</v>
      </c>
      <c r="B264" s="916" t="str">
        <f>Chem!B264</f>
        <v>Dieldrin</v>
      </c>
      <c r="C264" s="2305" t="str">
        <f>Param!AK264</f>
        <v>YES</v>
      </c>
      <c r="D264" s="384">
        <f>IF(C264="YES",Param!V264,"no calc")</f>
        <v>16</v>
      </c>
      <c r="E264" s="552">
        <f>IF(C264="YES",Param!X264,"no calc")</f>
        <v>16</v>
      </c>
      <c r="F264" s="384">
        <f>IF(C264="YES",Param!O264,"no calc")</f>
        <v>5.0000000000000002E-5</v>
      </c>
      <c r="G264" s="622">
        <f>IF(C264="YES",Param!S264,"no calc")</f>
        <v>5.0000000000000002E-5</v>
      </c>
      <c r="H264" s="803">
        <f>IF(C264="YES",Param!AD264,"no calc")</f>
        <v>1</v>
      </c>
      <c r="I264" s="595">
        <f>IF(C264="YES",Param!AE264,"no calc")</f>
        <v>0.1</v>
      </c>
      <c r="J264" s="602">
        <f>IF(OR($D264="na",$D264="no calc"),"na",0.000001*Eqtn!D$419/(Eqtn!D$415*$H264*$D264+Eqtn!D$420*$I264*$E264))</f>
        <v>0.15582308743169399</v>
      </c>
      <c r="K264" s="602">
        <f>IF(OR($D264="na",$D264="no calc"),"na",0.000001*Eqtn!E$419/(Eqtn!E$415*$H264*$D264+Eqtn!E$420*$I264*$E264))</f>
        <v>8.2532910333163498E-2</v>
      </c>
      <c r="L264" s="602">
        <f>IF(OR($D264="na",$D264="no calc"),"na",0.000001*Eqtn!F$419/(Eqtn!F$415*$H264*$D264+Eqtn!F$420*$I264*$E264))</f>
        <v>0.21909273675938332</v>
      </c>
      <c r="M264" s="17">
        <f>IF(OR($D264="na",$D264="no calc"),"na",0.00001*Eqtn!D$419/(Eqtn!D$415*$H264*$D264+Eqtn!D$420*$I264*$E264))</f>
        <v>1.55823087431694</v>
      </c>
      <c r="N264" s="17">
        <f>IF(OR($D264="na",$D264="no calc"),"na",0.00001*Eqtn!E$419/(Eqtn!E$415*$H264*$D264+Eqtn!E$420*$I264*$E264))</f>
        <v>0.82532910333163501</v>
      </c>
      <c r="O264" s="694">
        <f>IF(OR($D264="na",$D264="no calc"),"na",0.00001*Eqtn!F$419/(Eqtn!F$415*$H264*$D264+Eqtn!F$420*$I264*$E264))</f>
        <v>2.1909273675938334</v>
      </c>
      <c r="P264" s="662">
        <f>IF(OR($F264="na",$F264="no calc"),"na",1*Eqtn!D$451/(Eqtn!D$447*$H264/$F264+Eqtn!D$452*$I264/$G264))</f>
        <v>9.972677595628415</v>
      </c>
      <c r="Q264" s="662">
        <f>IF(OR($F264="na",$F264="no calc"),"na",1*Eqtn!E$451/(Eqtn!E$447*$H264/$F264+Eqtn!E$452*$I264/$G264))</f>
        <v>56.342466787439619</v>
      </c>
      <c r="R264" s="662">
        <f>IF(OR($F264="na",$F264="no calc"),"na",1*Eqtn!F$451/(Eqtn!F$447*$H264/$F264+Eqtn!F$452*$I264/$G264))</f>
        <v>102.82752445240391</v>
      </c>
      <c r="S264" s="1418">
        <f t="shared" si="175"/>
        <v>0.15582308743169399</v>
      </c>
      <c r="T264" s="1418">
        <f t="shared" si="176"/>
        <v>8.2532910333163498E-2</v>
      </c>
      <c r="U264" s="1418">
        <f t="shared" si="177"/>
        <v>0.21909273675938332</v>
      </c>
      <c r="V264" s="1405">
        <f t="shared" si="178"/>
        <v>8.2532910333163498E-2</v>
      </c>
      <c r="W264" s="1383">
        <f t="shared" si="179"/>
        <v>1.55823087431694</v>
      </c>
      <c r="X264" s="1383">
        <f t="shared" si="180"/>
        <v>0.82532910333163501</v>
      </c>
      <c r="Y264" s="1383">
        <f t="shared" si="181"/>
        <v>2.1909273675938334</v>
      </c>
      <c r="Z264" s="1384">
        <f t="shared" si="182"/>
        <v>0.82532910333163501</v>
      </c>
      <c r="AB264" s="1062"/>
    </row>
    <row r="265" spans="1:28" ht="13.9" customHeight="1" x14ac:dyDescent="0.25">
      <c r="A265" s="846">
        <f>Chem!A265</f>
        <v>263</v>
      </c>
      <c r="B265" s="916" t="str">
        <f>Chem!B265</f>
        <v>alpha-Endosulfan</v>
      </c>
      <c r="C265" s="2305" t="str">
        <f>Param!AK265</f>
        <v>no</v>
      </c>
      <c r="D265" s="384" t="str">
        <f>IF(C265="YES",Param!V265,"no calc")</f>
        <v>no calc</v>
      </c>
      <c r="E265" s="552" t="str">
        <f>IF(C265="YES",Param!X265,"no calc")</f>
        <v>no calc</v>
      </c>
      <c r="F265" s="384" t="str">
        <f>IF(C265="YES",Param!O265,"no calc")</f>
        <v>no calc</v>
      </c>
      <c r="G265" s="622" t="str">
        <f>IF(C265="YES",Param!S265,"no calc")</f>
        <v>no calc</v>
      </c>
      <c r="H265" s="803" t="str">
        <f>IF(C265="YES",Param!AD265,"no calc")</f>
        <v>no calc</v>
      </c>
      <c r="I265" s="595" t="str">
        <f>IF(C265="YES",Param!AE265,"no calc")</f>
        <v>no calc</v>
      </c>
      <c r="J265" s="602" t="str">
        <f>IF(OR($D265="na",$D265="no calc"),"na",0.000001*Eqtn!D$419/(Eqtn!D$415*$H265*$D265+Eqtn!D$420*$I265*$E265))</f>
        <v>na</v>
      </c>
      <c r="K265" s="602" t="str">
        <f>IF(OR($D265="na",$D265="no calc"),"na",0.000001*Eqtn!E$419/(Eqtn!E$415*$H265*$D265+Eqtn!E$420*$I265*$E265))</f>
        <v>na</v>
      </c>
      <c r="L265" s="602" t="str">
        <f>IF(OR($D265="na",$D265="no calc"),"na",0.000001*Eqtn!F$419/(Eqtn!F$415*$H265*$D265+Eqtn!F$420*$I265*$E265))</f>
        <v>na</v>
      </c>
      <c r="M265" s="17" t="str">
        <f>IF(OR($D265="na",$D265="no calc"),"na",0.00001*Eqtn!D$419/(Eqtn!D$415*$H265*$D265+Eqtn!D$420*$I265*$E265))</f>
        <v>na</v>
      </c>
      <c r="N265" s="17" t="str">
        <f>IF(OR($D265="na",$D265="no calc"),"na",0.00001*Eqtn!E$419/(Eqtn!E$415*$H265*$D265+Eqtn!E$420*$I265*$E265))</f>
        <v>na</v>
      </c>
      <c r="O265" s="694" t="str">
        <f>IF(OR($D265="na",$D265="no calc"),"na",0.00001*Eqtn!F$419/(Eqtn!F$415*$H265*$D265+Eqtn!F$420*$I265*$E265))</f>
        <v>na</v>
      </c>
      <c r="P265" s="662" t="str">
        <f>IF(OR($F265="na",$F265="no calc"),"na",1*Eqtn!D$451/(Eqtn!D$447*$H265/$F265+Eqtn!D$452*$I265/$G265))</f>
        <v>na</v>
      </c>
      <c r="Q265" s="662" t="str">
        <f>IF(OR($F265="na",$F265="no calc"),"na",1*Eqtn!E$451/(Eqtn!E$447*$H265/$F265+Eqtn!E$452*$I265/$G265))</f>
        <v>na</v>
      </c>
      <c r="R265" s="662" t="str">
        <f>IF(OR($F265="na",$F265="no calc"),"na",1*Eqtn!F$451/(Eqtn!F$447*$H265/$F265+Eqtn!F$452*$I265/$G265))</f>
        <v>na</v>
      </c>
      <c r="S265" s="1418" t="str">
        <f t="shared" ref="S265:S269" si="191">IF(OR(ISNUMBER(J265),ISNUMBER(P265)),MIN(J265,P265),"na")</f>
        <v>na</v>
      </c>
      <c r="T265" s="1418" t="str">
        <f t="shared" ref="T265:T269" si="192">IF(OR(ISNUMBER(K265),ISNUMBER(Q265)),MIN(K265,Q265),"na")</f>
        <v>na</v>
      </c>
      <c r="U265" s="1418" t="str">
        <f t="shared" ref="U265:U269" si="193">IF(OR(ISNUMBER(L265),ISNUMBER(R265)),MIN(L265,R265),"na")</f>
        <v>na</v>
      </c>
      <c r="V265" s="1405" t="str">
        <f t="shared" ref="V265:V269" si="194">IF(OR(ISNUMBER(S265),ISNUMBER(T265),ISNUMBER(U265)),MIN(S265,T265,U265),"na")</f>
        <v>na</v>
      </c>
      <c r="W265" s="1383" t="str">
        <f t="shared" ref="W265:W269" si="195">IF(OR(ISNUMBER(M265),ISNUMBER(P265)),MIN(M265,P265),"na")</f>
        <v>na</v>
      </c>
      <c r="X265" s="1383" t="str">
        <f t="shared" ref="X265:X269" si="196">IF(OR(ISNUMBER(N265),ISNUMBER(Q265)),MIN(N265,Q265),"na")</f>
        <v>na</v>
      </c>
      <c r="Y265" s="1383" t="str">
        <f t="shared" ref="Y265:Y269" si="197">IF(OR(ISNUMBER(O265),ISNUMBER(R265)),MIN(O265,R265),"na")</f>
        <v>na</v>
      </c>
      <c r="Z265" s="1384" t="str">
        <f t="shared" ref="Z265:Z269" si="198">IF(OR(ISNUMBER(W265),ISNUMBER(X265),ISNUMBER(Y265)),MIN(W265,X265,Y265),"na")</f>
        <v>na</v>
      </c>
      <c r="AB265" s="1062"/>
    </row>
    <row r="266" spans="1:28" ht="13.9" customHeight="1" x14ac:dyDescent="0.25">
      <c r="A266" s="846">
        <f>Chem!A266</f>
        <v>264</v>
      </c>
      <c r="B266" s="916" t="str">
        <f>Chem!B266</f>
        <v>beta-Endosulfan</v>
      </c>
      <c r="C266" s="2305" t="str">
        <f>Param!AK266</f>
        <v>no</v>
      </c>
      <c r="D266" s="384" t="str">
        <f>IF(C266="YES",Param!V266,"no calc")</f>
        <v>no calc</v>
      </c>
      <c r="E266" s="552" t="str">
        <f>IF(C266="YES",Param!X266,"no calc")</f>
        <v>no calc</v>
      </c>
      <c r="F266" s="384" t="str">
        <f>IF(C266="YES",Param!O266,"no calc")</f>
        <v>no calc</v>
      </c>
      <c r="G266" s="622" t="str">
        <f>IF(C266="YES",Param!S266,"no calc")</f>
        <v>no calc</v>
      </c>
      <c r="H266" s="803" t="str">
        <f>IF(C266="YES",Param!AD266,"no calc")</f>
        <v>no calc</v>
      </c>
      <c r="I266" s="595" t="str">
        <f>IF(C266="YES",Param!AE266,"no calc")</f>
        <v>no calc</v>
      </c>
      <c r="J266" s="602" t="str">
        <f>IF(OR($D266="na",$D266="no calc"),"na",0.000001*Eqtn!D$419/(Eqtn!D$415*$H266*$D266+Eqtn!D$420*$I266*$E266))</f>
        <v>na</v>
      </c>
      <c r="K266" s="602" t="str">
        <f>IF(OR($D266="na",$D266="no calc"),"na",0.000001*Eqtn!E$419/(Eqtn!E$415*$H266*$D266+Eqtn!E$420*$I266*$E266))</f>
        <v>na</v>
      </c>
      <c r="L266" s="602" t="str">
        <f>IF(OR($D266="na",$D266="no calc"),"na",0.000001*Eqtn!F$419/(Eqtn!F$415*$H266*$D266+Eqtn!F$420*$I266*$E266))</f>
        <v>na</v>
      </c>
      <c r="M266" s="17" t="str">
        <f>IF(OR($D266="na",$D266="no calc"),"na",0.00001*Eqtn!D$419/(Eqtn!D$415*$H266*$D266+Eqtn!D$420*$I266*$E266))</f>
        <v>na</v>
      </c>
      <c r="N266" s="17" t="str">
        <f>IF(OR($D266="na",$D266="no calc"),"na",0.00001*Eqtn!E$419/(Eqtn!E$415*$H266*$D266+Eqtn!E$420*$I266*$E266))</f>
        <v>na</v>
      </c>
      <c r="O266" s="694" t="str">
        <f>IF(OR($D266="na",$D266="no calc"),"na",0.00001*Eqtn!F$419/(Eqtn!F$415*$H266*$D266+Eqtn!F$420*$I266*$E266))</f>
        <v>na</v>
      </c>
      <c r="P266" s="662" t="str">
        <f>IF(OR($F266="na",$F266="no calc"),"na",1*Eqtn!D$451/(Eqtn!D$447*$H266/$F266+Eqtn!D$452*$I266/$G266))</f>
        <v>na</v>
      </c>
      <c r="Q266" s="662" t="str">
        <f>IF(OR($F266="na",$F266="no calc"),"na",1*Eqtn!E$451/(Eqtn!E$447*$H266/$F266+Eqtn!E$452*$I266/$G266))</f>
        <v>na</v>
      </c>
      <c r="R266" s="662" t="str">
        <f>IF(OR($F266="na",$F266="no calc"),"na",1*Eqtn!F$451/(Eqtn!F$447*$H266/$F266+Eqtn!F$452*$I266/$G266))</f>
        <v>na</v>
      </c>
      <c r="S266" s="1418" t="str">
        <f t="shared" si="191"/>
        <v>na</v>
      </c>
      <c r="T266" s="1418" t="str">
        <f t="shared" si="192"/>
        <v>na</v>
      </c>
      <c r="U266" s="1418" t="str">
        <f t="shared" si="193"/>
        <v>na</v>
      </c>
      <c r="V266" s="1405" t="str">
        <f t="shared" si="194"/>
        <v>na</v>
      </c>
      <c r="W266" s="1383" t="str">
        <f t="shared" si="195"/>
        <v>na</v>
      </c>
      <c r="X266" s="1383" t="str">
        <f t="shared" si="196"/>
        <v>na</v>
      </c>
      <c r="Y266" s="1383" t="str">
        <f t="shared" si="197"/>
        <v>na</v>
      </c>
      <c r="Z266" s="1384" t="str">
        <f t="shared" si="198"/>
        <v>na</v>
      </c>
      <c r="AB266" s="1062"/>
    </row>
    <row r="267" spans="1:28" ht="13.9" customHeight="1" x14ac:dyDescent="0.25">
      <c r="A267" s="846">
        <f>Chem!A267</f>
        <v>265</v>
      </c>
      <c r="B267" s="916" t="str">
        <f>Chem!B267</f>
        <v>Sum of alpha and beta endosuflan</v>
      </c>
      <c r="C267" s="2305" t="str">
        <f>Param!AK267</f>
        <v>no</v>
      </c>
      <c r="D267" s="384" t="str">
        <f>IF(C267="YES",Param!V267,"no calc")</f>
        <v>no calc</v>
      </c>
      <c r="E267" s="552" t="str">
        <f>IF(C267="YES",Param!X267,"no calc")</f>
        <v>no calc</v>
      </c>
      <c r="F267" s="384" t="str">
        <f>IF(C267="YES",Param!O267,"no calc")</f>
        <v>no calc</v>
      </c>
      <c r="G267" s="622" t="str">
        <f>IF(C267="YES",Param!S267,"no calc")</f>
        <v>no calc</v>
      </c>
      <c r="H267" s="803" t="str">
        <f>IF(C267="YES",Param!AD267,"no calc")</f>
        <v>no calc</v>
      </c>
      <c r="I267" s="595" t="str">
        <f>IF(C267="YES",Param!AE267,"no calc")</f>
        <v>no calc</v>
      </c>
      <c r="J267" s="602" t="str">
        <f>IF(OR($D267="na",$D267="no calc"),"na",0.000001*Eqtn!D$419/(Eqtn!D$415*$H267*$D267+Eqtn!D$420*$I267*$E267))</f>
        <v>na</v>
      </c>
      <c r="K267" s="602" t="str">
        <f>IF(OR($D267="na",$D267="no calc"),"na",0.000001*Eqtn!E$419/(Eqtn!E$415*$H267*$D267+Eqtn!E$420*$I267*$E267))</f>
        <v>na</v>
      </c>
      <c r="L267" s="602" t="str">
        <f>IF(OR($D267="na",$D267="no calc"),"na",0.000001*Eqtn!F$419/(Eqtn!F$415*$H267*$D267+Eqtn!F$420*$I267*$E267))</f>
        <v>na</v>
      </c>
      <c r="M267" s="17" t="str">
        <f>IF(OR($D267="na",$D267="no calc"),"na",0.00001*Eqtn!D$419/(Eqtn!D$415*$H267*$D267+Eqtn!D$420*$I267*$E267))</f>
        <v>na</v>
      </c>
      <c r="N267" s="17" t="str">
        <f>IF(OR($D267="na",$D267="no calc"),"na",0.00001*Eqtn!E$419/(Eqtn!E$415*$H267*$D267+Eqtn!E$420*$I267*$E267))</f>
        <v>na</v>
      </c>
      <c r="O267" s="694" t="str">
        <f>IF(OR($D267="na",$D267="no calc"),"na",0.00001*Eqtn!F$419/(Eqtn!F$415*$H267*$D267+Eqtn!F$420*$I267*$E267))</f>
        <v>na</v>
      </c>
      <c r="P267" s="662" t="str">
        <f>IF(OR($F267="na",$F267="no calc"),"na",1*Eqtn!D$451/(Eqtn!D$447*$H267/$F267+Eqtn!D$452*$I267/$G267))</f>
        <v>na</v>
      </c>
      <c r="Q267" s="662" t="str">
        <f>IF(OR($F267="na",$F267="no calc"),"na",1*Eqtn!E$451/(Eqtn!E$447*$H267/$F267+Eqtn!E$452*$I267/$G267))</f>
        <v>na</v>
      </c>
      <c r="R267" s="662" t="str">
        <f>IF(OR($F267="na",$F267="no calc"),"na",1*Eqtn!F$451/(Eqtn!F$447*$H267/$F267+Eqtn!F$452*$I267/$G267))</f>
        <v>na</v>
      </c>
      <c r="S267" s="1418" t="str">
        <f t="shared" si="191"/>
        <v>na</v>
      </c>
      <c r="T267" s="1418" t="str">
        <f t="shared" si="192"/>
        <v>na</v>
      </c>
      <c r="U267" s="1418" t="str">
        <f t="shared" si="193"/>
        <v>na</v>
      </c>
      <c r="V267" s="1405" t="str">
        <f t="shared" si="194"/>
        <v>na</v>
      </c>
      <c r="W267" s="1383" t="str">
        <f t="shared" si="195"/>
        <v>na</v>
      </c>
      <c r="X267" s="1383" t="str">
        <f t="shared" si="196"/>
        <v>na</v>
      </c>
      <c r="Y267" s="1383" t="str">
        <f t="shared" si="197"/>
        <v>na</v>
      </c>
      <c r="Z267" s="1384" t="str">
        <f t="shared" si="198"/>
        <v>na</v>
      </c>
      <c r="AB267" s="1062"/>
    </row>
    <row r="268" spans="1:28" ht="13.9" customHeight="1" x14ac:dyDescent="0.25">
      <c r="A268" s="846">
        <f>Chem!A268</f>
        <v>266</v>
      </c>
      <c r="B268" s="916" t="str">
        <f>Chem!B268</f>
        <v>Endosulfan sulfate</v>
      </c>
      <c r="C268" s="2305" t="str">
        <f>Param!AK268</f>
        <v>no</v>
      </c>
      <c r="D268" s="384" t="str">
        <f>IF(C268="YES",Param!V268,"no calc")</f>
        <v>no calc</v>
      </c>
      <c r="E268" s="552" t="str">
        <f>IF(C268="YES",Param!X268,"no calc")</f>
        <v>no calc</v>
      </c>
      <c r="F268" s="384" t="str">
        <f>IF(C268="YES",Param!O268,"no calc")</f>
        <v>no calc</v>
      </c>
      <c r="G268" s="622" t="str">
        <f>IF(C268="YES",Param!S268,"no calc")</f>
        <v>no calc</v>
      </c>
      <c r="H268" s="803" t="str">
        <f>IF(C268="YES",Param!AD268,"no calc")</f>
        <v>no calc</v>
      </c>
      <c r="I268" s="595" t="str">
        <f>IF(C268="YES",Param!AE268,"no calc")</f>
        <v>no calc</v>
      </c>
      <c r="J268" s="602" t="str">
        <f>IF(OR($D268="na",$D268="no calc"),"na",0.000001*Eqtn!D$419/(Eqtn!D$415*$H268*$D268+Eqtn!D$420*$I268*$E268))</f>
        <v>na</v>
      </c>
      <c r="K268" s="602" t="str">
        <f>IF(OR($D268="na",$D268="no calc"),"na",0.000001*Eqtn!E$419/(Eqtn!E$415*$H268*$D268+Eqtn!E$420*$I268*$E268))</f>
        <v>na</v>
      </c>
      <c r="L268" s="602" t="str">
        <f>IF(OR($D268="na",$D268="no calc"),"na",0.000001*Eqtn!F$419/(Eqtn!F$415*$H268*$D268+Eqtn!F$420*$I268*$E268))</f>
        <v>na</v>
      </c>
      <c r="M268" s="17" t="str">
        <f>IF(OR($D268="na",$D268="no calc"),"na",0.00001*Eqtn!D$419/(Eqtn!D$415*$H268*$D268+Eqtn!D$420*$I268*$E268))</f>
        <v>na</v>
      </c>
      <c r="N268" s="17" t="str">
        <f>IF(OR($D268="na",$D268="no calc"),"na",0.00001*Eqtn!E$419/(Eqtn!E$415*$H268*$D268+Eqtn!E$420*$I268*$E268))</f>
        <v>na</v>
      </c>
      <c r="O268" s="694" t="str">
        <f>IF(OR($D268="na",$D268="no calc"),"na",0.00001*Eqtn!F$419/(Eqtn!F$415*$H268*$D268+Eqtn!F$420*$I268*$E268))</f>
        <v>na</v>
      </c>
      <c r="P268" s="662" t="str">
        <f>IF(OR($F268="na",$F268="no calc"),"na",1*Eqtn!D$451/(Eqtn!D$447*$H268/$F268+Eqtn!D$452*$I268/$G268))</f>
        <v>na</v>
      </c>
      <c r="Q268" s="662" t="str">
        <f>IF(OR($F268="na",$F268="no calc"),"na",1*Eqtn!E$451/(Eqtn!E$447*$H268/$F268+Eqtn!E$452*$I268/$G268))</f>
        <v>na</v>
      </c>
      <c r="R268" s="662" t="str">
        <f>IF(OR($F268="na",$F268="no calc"),"na",1*Eqtn!F$451/(Eqtn!F$447*$H268/$F268+Eqtn!F$452*$I268/$G268))</f>
        <v>na</v>
      </c>
      <c r="S268" s="1418" t="str">
        <f t="shared" si="191"/>
        <v>na</v>
      </c>
      <c r="T268" s="1418" t="str">
        <f t="shared" si="192"/>
        <v>na</v>
      </c>
      <c r="U268" s="1418" t="str">
        <f t="shared" si="193"/>
        <v>na</v>
      </c>
      <c r="V268" s="1405" t="str">
        <f t="shared" si="194"/>
        <v>na</v>
      </c>
      <c r="W268" s="1383" t="str">
        <f t="shared" si="195"/>
        <v>na</v>
      </c>
      <c r="X268" s="1383" t="str">
        <f t="shared" si="196"/>
        <v>na</v>
      </c>
      <c r="Y268" s="1383" t="str">
        <f t="shared" si="197"/>
        <v>na</v>
      </c>
      <c r="Z268" s="1384" t="str">
        <f t="shared" si="198"/>
        <v>na</v>
      </c>
      <c r="AB268" s="1062"/>
    </row>
    <row r="269" spans="1:28" ht="13.9" customHeight="1" x14ac:dyDescent="0.25">
      <c r="A269" s="846">
        <f>Chem!A269</f>
        <v>267</v>
      </c>
      <c r="B269" s="916" t="str">
        <f>Chem!B269</f>
        <v>Sum of alpha, beta, and endosulfan sulfate</v>
      </c>
      <c r="C269" s="2305" t="str">
        <f>Param!AK269</f>
        <v>no</v>
      </c>
      <c r="D269" s="384" t="str">
        <f>IF(C269="YES",Param!V269,"no calc")</f>
        <v>no calc</v>
      </c>
      <c r="E269" s="552" t="str">
        <f>IF(C269="YES",Param!X269,"no calc")</f>
        <v>no calc</v>
      </c>
      <c r="F269" s="384" t="str">
        <f>IF(C269="YES",Param!O269,"no calc")</f>
        <v>no calc</v>
      </c>
      <c r="G269" s="622" t="str">
        <f>IF(C269="YES",Param!S269,"no calc")</f>
        <v>no calc</v>
      </c>
      <c r="H269" s="803" t="str">
        <f>IF(C269="YES",Param!AD269,"no calc")</f>
        <v>no calc</v>
      </c>
      <c r="I269" s="595" t="str">
        <f>IF(C269="YES",Param!AE269,"no calc")</f>
        <v>no calc</v>
      </c>
      <c r="J269" s="602" t="str">
        <f>IF(OR($D269="na",$D269="no calc"),"na",0.000001*Eqtn!D$419/(Eqtn!D$415*$H269*$D269+Eqtn!D$420*$I269*$E269))</f>
        <v>na</v>
      </c>
      <c r="K269" s="602" t="str">
        <f>IF(OR($D269="na",$D269="no calc"),"na",0.000001*Eqtn!E$419/(Eqtn!E$415*$H269*$D269+Eqtn!E$420*$I269*$E269))</f>
        <v>na</v>
      </c>
      <c r="L269" s="602" t="str">
        <f>IF(OR($D269="na",$D269="no calc"),"na",0.000001*Eqtn!F$419/(Eqtn!F$415*$H269*$D269+Eqtn!F$420*$I269*$E269))</f>
        <v>na</v>
      </c>
      <c r="M269" s="17" t="str">
        <f>IF(OR($D269="na",$D269="no calc"),"na",0.00001*Eqtn!D$419/(Eqtn!D$415*$H269*$D269+Eqtn!D$420*$I269*$E269))</f>
        <v>na</v>
      </c>
      <c r="N269" s="17" t="str">
        <f>IF(OR($D269="na",$D269="no calc"),"na",0.00001*Eqtn!E$419/(Eqtn!E$415*$H269*$D269+Eqtn!E$420*$I269*$E269))</f>
        <v>na</v>
      </c>
      <c r="O269" s="694" t="str">
        <f>IF(OR($D269="na",$D269="no calc"),"na",0.00001*Eqtn!F$419/(Eqtn!F$415*$H269*$D269+Eqtn!F$420*$I269*$E269))</f>
        <v>na</v>
      </c>
      <c r="P269" s="662" t="str">
        <f>IF(OR($F269="na",$F269="no calc"),"na",1*Eqtn!D$451/(Eqtn!D$447*$H269/$F269+Eqtn!D$452*$I269/$G269))</f>
        <v>na</v>
      </c>
      <c r="Q269" s="662" t="str">
        <f>IF(OR($F269="na",$F269="no calc"),"na",1*Eqtn!E$451/(Eqtn!E$447*$H269/$F269+Eqtn!E$452*$I269/$G269))</f>
        <v>na</v>
      </c>
      <c r="R269" s="662" t="str">
        <f>IF(OR($F269="na",$F269="no calc"),"na",1*Eqtn!F$451/(Eqtn!F$447*$H269/$F269+Eqtn!F$452*$I269/$G269))</f>
        <v>na</v>
      </c>
      <c r="S269" s="1418" t="str">
        <f t="shared" si="191"/>
        <v>na</v>
      </c>
      <c r="T269" s="1418" t="str">
        <f t="shared" si="192"/>
        <v>na</v>
      </c>
      <c r="U269" s="1418" t="str">
        <f t="shared" si="193"/>
        <v>na</v>
      </c>
      <c r="V269" s="1405" t="str">
        <f t="shared" si="194"/>
        <v>na</v>
      </c>
      <c r="W269" s="1383" t="str">
        <f t="shared" si="195"/>
        <v>na</v>
      </c>
      <c r="X269" s="1383" t="str">
        <f t="shared" si="196"/>
        <v>na</v>
      </c>
      <c r="Y269" s="1383" t="str">
        <f t="shared" si="197"/>
        <v>na</v>
      </c>
      <c r="Z269" s="1384" t="str">
        <f t="shared" si="198"/>
        <v>na</v>
      </c>
      <c r="AB269" s="1062"/>
    </row>
    <row r="270" spans="1:28" ht="13.9" customHeight="1" x14ac:dyDescent="0.25">
      <c r="A270" s="846">
        <f>Chem!A270</f>
        <v>268</v>
      </c>
      <c r="B270" s="916" t="str">
        <f>Chem!B270</f>
        <v>Endrin</v>
      </c>
      <c r="C270" s="2305" t="str">
        <f>Param!AK270</f>
        <v>no</v>
      </c>
      <c r="D270" s="384" t="str">
        <f>IF(C270="YES",Param!V270,"no calc")</f>
        <v>no calc</v>
      </c>
      <c r="E270" s="552" t="str">
        <f>IF(C270="YES",Param!X270,"no calc")</f>
        <v>no calc</v>
      </c>
      <c r="F270" s="384" t="str">
        <f>IF(C270="YES",Param!O270,"no calc")</f>
        <v>no calc</v>
      </c>
      <c r="G270" s="622" t="str">
        <f>IF(C270="YES",Param!S270,"no calc")</f>
        <v>no calc</v>
      </c>
      <c r="H270" s="803" t="str">
        <f>IF(C270="YES",Param!AD270,"no calc")</f>
        <v>no calc</v>
      </c>
      <c r="I270" s="595" t="str">
        <f>IF(C270="YES",Param!AE270,"no calc")</f>
        <v>no calc</v>
      </c>
      <c r="J270" s="602" t="str">
        <f>IF(OR($D270="na",$D270="no calc"),"na",0.000001*Eqtn!D$419/(Eqtn!D$415*$H270*$D270+Eqtn!D$420*$I270*$E270))</f>
        <v>na</v>
      </c>
      <c r="K270" s="602" t="str">
        <f>IF(OR($D270="na",$D270="no calc"),"na",0.000001*Eqtn!E$419/(Eqtn!E$415*$H270*$D270+Eqtn!E$420*$I270*$E270))</f>
        <v>na</v>
      </c>
      <c r="L270" s="602" t="str">
        <f>IF(OR($D270="na",$D270="no calc"),"na",0.000001*Eqtn!F$419/(Eqtn!F$415*$H270*$D270+Eqtn!F$420*$I270*$E270))</f>
        <v>na</v>
      </c>
      <c r="M270" s="17" t="str">
        <f>IF(OR($D270="na",$D270="no calc"),"na",0.00001*Eqtn!D$419/(Eqtn!D$415*$H270*$D270+Eqtn!D$420*$I270*$E270))</f>
        <v>na</v>
      </c>
      <c r="N270" s="17" t="str">
        <f>IF(OR($D270="na",$D270="no calc"),"na",0.00001*Eqtn!E$419/(Eqtn!E$415*$H270*$D270+Eqtn!E$420*$I270*$E270))</f>
        <v>na</v>
      </c>
      <c r="O270" s="694" t="str">
        <f>IF(OR($D270="na",$D270="no calc"),"na",0.00001*Eqtn!F$419/(Eqtn!F$415*$H270*$D270+Eqtn!F$420*$I270*$E270))</f>
        <v>na</v>
      </c>
      <c r="P270" s="662" t="str">
        <f>IF(OR($F270="na",$F270="no calc"),"na",1*Eqtn!D$451/(Eqtn!D$447*$H270/$F270+Eqtn!D$452*$I270/$G270))</f>
        <v>na</v>
      </c>
      <c r="Q270" s="662" t="str">
        <f>IF(OR($F270="na",$F270="no calc"),"na",1*Eqtn!E$451/(Eqtn!E$447*$H270/$F270+Eqtn!E$452*$I270/$G270))</f>
        <v>na</v>
      </c>
      <c r="R270" s="662" t="str">
        <f>IF(OR($F270="na",$F270="no calc"),"na",1*Eqtn!F$451/(Eqtn!F$447*$H270/$F270+Eqtn!F$452*$I270/$G270))</f>
        <v>na</v>
      </c>
      <c r="S270" s="1418" t="str">
        <f t="shared" si="175"/>
        <v>na</v>
      </c>
      <c r="T270" s="1418" t="str">
        <f t="shared" si="176"/>
        <v>na</v>
      </c>
      <c r="U270" s="1418" t="str">
        <f t="shared" si="177"/>
        <v>na</v>
      </c>
      <c r="V270" s="1405" t="str">
        <f t="shared" si="178"/>
        <v>na</v>
      </c>
      <c r="W270" s="1383" t="str">
        <f t="shared" si="179"/>
        <v>na</v>
      </c>
      <c r="X270" s="1383" t="str">
        <f t="shared" si="180"/>
        <v>na</v>
      </c>
      <c r="Y270" s="1383" t="str">
        <f t="shared" si="181"/>
        <v>na</v>
      </c>
      <c r="Z270" s="1384" t="str">
        <f t="shared" si="182"/>
        <v>na</v>
      </c>
      <c r="AB270" s="1062"/>
    </row>
    <row r="271" spans="1:28" ht="13.9" customHeight="1" x14ac:dyDescent="0.25">
      <c r="A271" s="846">
        <f>Chem!A271</f>
        <v>269</v>
      </c>
      <c r="B271" s="916" t="str">
        <f>Chem!B271</f>
        <v>Endrin aldehyde</v>
      </c>
      <c r="C271" s="2305" t="str">
        <f>Param!AK271</f>
        <v>no</v>
      </c>
      <c r="D271" s="384" t="str">
        <f>IF(C271="YES",Param!V271,"no calc")</f>
        <v>no calc</v>
      </c>
      <c r="E271" s="552" t="str">
        <f>IF(C271="YES",Param!X271,"no calc")</f>
        <v>no calc</v>
      </c>
      <c r="F271" s="384" t="str">
        <f>IF(C271="YES",Param!O271,"no calc")</f>
        <v>no calc</v>
      </c>
      <c r="G271" s="622" t="str">
        <f>IF(C271="YES",Param!S271,"no calc")</f>
        <v>no calc</v>
      </c>
      <c r="H271" s="803" t="str">
        <f>IF(C271="YES",Param!AD271,"no calc")</f>
        <v>no calc</v>
      </c>
      <c r="I271" s="595" t="str">
        <f>IF(C271="YES",Param!AE271,"no calc")</f>
        <v>no calc</v>
      </c>
      <c r="J271" s="602" t="str">
        <f>IF(OR($D271="na",$D271="no calc"),"na",0.000001*Eqtn!D$419/(Eqtn!D$415*$H271*$D271+Eqtn!D$420*$I271*$E271))</f>
        <v>na</v>
      </c>
      <c r="K271" s="602" t="str">
        <f>IF(OR($D271="na",$D271="no calc"),"na",0.000001*Eqtn!E$419/(Eqtn!E$415*$H271*$D271+Eqtn!E$420*$I271*$E271))</f>
        <v>na</v>
      </c>
      <c r="L271" s="602" t="str">
        <f>IF(OR($D271="na",$D271="no calc"),"na",0.000001*Eqtn!F$419/(Eqtn!F$415*$H271*$D271+Eqtn!F$420*$I271*$E271))</f>
        <v>na</v>
      </c>
      <c r="M271" s="17" t="str">
        <f>IF(OR($D271="na",$D271="no calc"),"na",0.00001*Eqtn!D$419/(Eqtn!D$415*$H271*$D271+Eqtn!D$420*$I271*$E271))</f>
        <v>na</v>
      </c>
      <c r="N271" s="17" t="str">
        <f>IF(OR($D271="na",$D271="no calc"),"na",0.00001*Eqtn!E$419/(Eqtn!E$415*$H271*$D271+Eqtn!E$420*$I271*$E271))</f>
        <v>na</v>
      </c>
      <c r="O271" s="694" t="str">
        <f>IF(OR($D271="na",$D271="no calc"),"na",0.00001*Eqtn!F$419/(Eqtn!F$415*$H271*$D271+Eqtn!F$420*$I271*$E271))</f>
        <v>na</v>
      </c>
      <c r="P271" s="662" t="str">
        <f>IF(OR($F271="na",$F271="no calc"),"na",1*Eqtn!D$451/(Eqtn!D$447*$H271/$F271+Eqtn!D$452*$I271/$G271))</f>
        <v>na</v>
      </c>
      <c r="Q271" s="662" t="str">
        <f>IF(OR($F271="na",$F271="no calc"),"na",1*Eqtn!E$451/(Eqtn!E$447*$H271/$F271+Eqtn!E$452*$I271/$G271))</f>
        <v>na</v>
      </c>
      <c r="R271" s="662" t="str">
        <f>IF(OR($F271="na",$F271="no calc"),"na",1*Eqtn!F$451/(Eqtn!F$447*$H271/$F271+Eqtn!F$452*$I271/$G271))</f>
        <v>na</v>
      </c>
      <c r="S271" s="1418" t="str">
        <f t="shared" si="175"/>
        <v>na</v>
      </c>
      <c r="T271" s="1418" t="str">
        <f t="shared" si="176"/>
        <v>na</v>
      </c>
      <c r="U271" s="1418" t="str">
        <f t="shared" si="177"/>
        <v>na</v>
      </c>
      <c r="V271" s="1405" t="str">
        <f t="shared" si="178"/>
        <v>na</v>
      </c>
      <c r="W271" s="1383" t="str">
        <f t="shared" si="179"/>
        <v>na</v>
      </c>
      <c r="X271" s="1383" t="str">
        <f t="shared" si="180"/>
        <v>na</v>
      </c>
      <c r="Y271" s="1383" t="str">
        <f t="shared" si="181"/>
        <v>na</v>
      </c>
      <c r="Z271" s="1384" t="str">
        <f t="shared" si="182"/>
        <v>na</v>
      </c>
      <c r="AB271" s="1062"/>
    </row>
    <row r="272" spans="1:28" ht="13.9" customHeight="1" x14ac:dyDescent="0.25">
      <c r="A272" s="846">
        <f>Chem!A272</f>
        <v>270</v>
      </c>
      <c r="B272" s="916" t="str">
        <f>Chem!B272</f>
        <v>Endrin ketone</v>
      </c>
      <c r="C272" s="2305" t="str">
        <f>Param!AK272</f>
        <v>no</v>
      </c>
      <c r="D272" s="384" t="str">
        <f>IF(C272="YES",Param!V272,"no calc")</f>
        <v>no calc</v>
      </c>
      <c r="E272" s="552" t="str">
        <f>IF(C272="YES",Param!X272,"no calc")</f>
        <v>no calc</v>
      </c>
      <c r="F272" s="384" t="str">
        <f>IF(C272="YES",Param!O272,"no calc")</f>
        <v>no calc</v>
      </c>
      <c r="G272" s="622" t="str">
        <f>IF(C272="YES",Param!S272,"no calc")</f>
        <v>no calc</v>
      </c>
      <c r="H272" s="803" t="str">
        <f>IF(C272="YES",Param!AD272,"no calc")</f>
        <v>no calc</v>
      </c>
      <c r="I272" s="595" t="str">
        <f>IF(C272="YES",Param!AE272,"no calc")</f>
        <v>no calc</v>
      </c>
      <c r="J272" s="602" t="str">
        <f>IF(OR($D272="na",$D272="no calc"),"na",0.000001*Eqtn!D$419/(Eqtn!D$415*$H272*$D272+Eqtn!D$420*$I272*$E272))</f>
        <v>na</v>
      </c>
      <c r="K272" s="602" t="str">
        <f>IF(OR($D272="na",$D272="no calc"),"na",0.000001*Eqtn!E$419/(Eqtn!E$415*$H272*$D272+Eqtn!E$420*$I272*$E272))</f>
        <v>na</v>
      </c>
      <c r="L272" s="602" t="str">
        <f>IF(OR($D272="na",$D272="no calc"),"na",0.000001*Eqtn!F$419/(Eqtn!F$415*$H272*$D272+Eqtn!F$420*$I272*$E272))</f>
        <v>na</v>
      </c>
      <c r="M272" s="17" t="str">
        <f>IF(OR($D272="na",$D272="no calc"),"na",0.00001*Eqtn!D$419/(Eqtn!D$415*$H272*$D272+Eqtn!D$420*$I272*$E272))</f>
        <v>na</v>
      </c>
      <c r="N272" s="17" t="str">
        <f>IF(OR($D272="na",$D272="no calc"),"na",0.00001*Eqtn!E$419/(Eqtn!E$415*$H272*$D272+Eqtn!E$420*$I272*$E272))</f>
        <v>na</v>
      </c>
      <c r="O272" s="694" t="str">
        <f>IF(OR($D272="na",$D272="no calc"),"na",0.00001*Eqtn!F$419/(Eqtn!F$415*$H272*$D272+Eqtn!F$420*$I272*$E272))</f>
        <v>na</v>
      </c>
      <c r="P272" s="662" t="str">
        <f>IF(OR($F272="na",$F272="no calc"),"na",1*Eqtn!D$451/(Eqtn!D$447*$H272/$F272+Eqtn!D$452*$I272/$G272))</f>
        <v>na</v>
      </c>
      <c r="Q272" s="662" t="str">
        <f>IF(OR($F272="na",$F272="no calc"),"na",1*Eqtn!E$451/(Eqtn!E$447*$H272/$F272+Eqtn!E$452*$I272/$G272))</f>
        <v>na</v>
      </c>
      <c r="R272" s="662" t="str">
        <f>IF(OR($F272="na",$F272="no calc"),"na",1*Eqtn!F$451/(Eqtn!F$447*$H272/$F272+Eqtn!F$452*$I272/$G272))</f>
        <v>na</v>
      </c>
      <c r="S272" s="1418" t="str">
        <f t="shared" si="175"/>
        <v>na</v>
      </c>
      <c r="T272" s="1418" t="str">
        <f t="shared" si="176"/>
        <v>na</v>
      </c>
      <c r="U272" s="1418" t="str">
        <f t="shared" si="177"/>
        <v>na</v>
      </c>
      <c r="V272" s="1405" t="str">
        <f t="shared" si="178"/>
        <v>na</v>
      </c>
      <c r="W272" s="1383" t="str">
        <f t="shared" si="179"/>
        <v>na</v>
      </c>
      <c r="X272" s="1383" t="str">
        <f t="shared" si="180"/>
        <v>na</v>
      </c>
      <c r="Y272" s="1383" t="str">
        <f t="shared" si="181"/>
        <v>na</v>
      </c>
      <c r="Z272" s="1384" t="str">
        <f t="shared" si="182"/>
        <v>na</v>
      </c>
      <c r="AB272" s="1062"/>
    </row>
    <row r="273" spans="1:28" ht="13.9" customHeight="1" x14ac:dyDescent="0.25">
      <c r="A273" s="846">
        <f>Chem!A273</f>
        <v>271</v>
      </c>
      <c r="B273" s="916" t="str">
        <f>Chem!B273</f>
        <v>Heptachlor</v>
      </c>
      <c r="C273" s="2305" t="str">
        <f>Param!AK273</f>
        <v>YES</v>
      </c>
      <c r="D273" s="384">
        <f>IF(C273="YES",Param!V273,"no calc")</f>
        <v>4.5</v>
      </c>
      <c r="E273" s="552">
        <f>IF(C273="YES",Param!X273,"no calc")</f>
        <v>4.5</v>
      </c>
      <c r="F273" s="384">
        <f>IF(C273="YES",Param!O273,"no calc")</f>
        <v>5.0000000000000001E-4</v>
      </c>
      <c r="G273" s="622">
        <f>IF(C273="YES",Param!S273,"no calc")</f>
        <v>5.0000000000000001E-4</v>
      </c>
      <c r="H273" s="803">
        <f>IF(C273="YES",Param!AD273,"no calc")</f>
        <v>1</v>
      </c>
      <c r="I273" s="595">
        <f>IF(C273="YES",Param!AE273,"no calc")</f>
        <v>0</v>
      </c>
      <c r="J273" s="602">
        <f>IF(OR($D273="na",$D273="no calc"),"na",0.000001*Eqtn!D$419/(Eqtn!D$415*$H273*$D273+Eqtn!D$420*$I273*$E273))</f>
        <v>0.67592592592592593</v>
      </c>
      <c r="K273" s="602">
        <f>IF(OR($D273="na",$D273="no calc"),"na",0.000001*Eqtn!E$419/(Eqtn!E$415*$H273*$D273+Eqtn!E$420*$I273*$E273))</f>
        <v>0.6479383680555556</v>
      </c>
      <c r="L273" s="602">
        <f>IF(OR($D273="na",$D273="no calc"),"na",0.000001*Eqtn!F$419/(Eqtn!F$415*$H273*$D273+Eqtn!F$420*$I273*$E273))</f>
        <v>1.9007512095747388</v>
      </c>
      <c r="M273" s="17">
        <f>IF(OR($D273="na",$D273="no calc"),"na",0.00001*Eqtn!D$419/(Eqtn!D$415*$H273*$D273+Eqtn!D$420*$I273*$E273))</f>
        <v>6.7592592592592595</v>
      </c>
      <c r="N273" s="17">
        <f>IF(OR($D273="na",$D273="no calc"),"na",0.00001*Eqtn!E$419/(Eqtn!E$415*$H273*$D273+Eqtn!E$420*$I273*$E273))</f>
        <v>6.4793836805555562</v>
      </c>
      <c r="O273" s="694">
        <f>IF(OR($D273="na",$D273="no calc"),"na",0.00001*Eqtn!F$419/(Eqtn!F$415*$H273*$D273+Eqtn!F$420*$I273*$E273))</f>
        <v>19.007512095747391</v>
      </c>
      <c r="P273" s="662">
        <f>IF(OR($F273="na",$F273="no calc"),"na",1*Eqtn!D$451/(Eqtn!D$447*$H273/$F273+Eqtn!D$452*$I273/$G273))</f>
        <v>121.66666666666666</v>
      </c>
      <c r="Q273" s="662">
        <f>IF(OR($F273="na",$F273="no calc"),"na",1*Eqtn!E$451/(Eqtn!E$447*$H273/$F273+Eqtn!E$452*$I273/$G273))</f>
        <v>1244.0416666666667</v>
      </c>
      <c r="R273" s="662">
        <f>IF(OR($F273="na",$F273="no calc"),"na",1*Eqtn!F$451/(Eqtn!F$447*$H273/$F273+Eqtn!F$452*$I273/$G273))</f>
        <v>2508.9915966386552</v>
      </c>
      <c r="S273" s="1418">
        <f t="shared" si="175"/>
        <v>0.67592592592592593</v>
      </c>
      <c r="T273" s="1418">
        <f t="shared" si="176"/>
        <v>0.6479383680555556</v>
      </c>
      <c r="U273" s="1418">
        <f t="shared" si="177"/>
        <v>1.9007512095747388</v>
      </c>
      <c r="V273" s="1405">
        <f t="shared" si="178"/>
        <v>0.6479383680555556</v>
      </c>
      <c r="W273" s="1383">
        <f t="shared" si="179"/>
        <v>6.7592592592592595</v>
      </c>
      <c r="X273" s="1383">
        <f t="shared" si="180"/>
        <v>6.4793836805555562</v>
      </c>
      <c r="Y273" s="1383">
        <f t="shared" si="181"/>
        <v>19.007512095747391</v>
      </c>
      <c r="Z273" s="1384">
        <f t="shared" si="182"/>
        <v>6.4793836805555562</v>
      </c>
      <c r="AB273" s="1062"/>
    </row>
    <row r="274" spans="1:28" ht="13.9" customHeight="1" x14ac:dyDescent="0.25">
      <c r="A274" s="846">
        <f>Chem!A274</f>
        <v>272</v>
      </c>
      <c r="B274" s="916" t="str">
        <f>Chem!B274</f>
        <v>Heptachlor epoxide</v>
      </c>
      <c r="C274" s="2305" t="str">
        <f>Param!AK274</f>
        <v>YES</v>
      </c>
      <c r="D274" s="384">
        <f>IF(C274="YES",Param!V274,"no calc")</f>
        <v>9.1</v>
      </c>
      <c r="E274" s="552">
        <f>IF(C274="YES",Param!X274,"no calc")</f>
        <v>9.1</v>
      </c>
      <c r="F274" s="384">
        <f>IF(C274="YES",Param!O274,"no calc")</f>
        <v>1.2999999999999999E-5</v>
      </c>
      <c r="G274" s="622">
        <f>IF(C274="YES",Param!S274,"no calc")</f>
        <v>1.2999999999999999E-5</v>
      </c>
      <c r="H274" s="803">
        <f>IF(C274="YES",Param!AD274,"no calc")</f>
        <v>1</v>
      </c>
      <c r="I274" s="595">
        <f>IF(C274="YES",Param!AE274,"no calc")</f>
        <v>0</v>
      </c>
      <c r="J274" s="602">
        <f>IF(OR($D274="na",$D274="no calc"),"na",0.000001*Eqtn!D$419/(Eqtn!D$415*$H274*$D274+Eqtn!D$420*$I274*$E274))</f>
        <v>0.33424908424908428</v>
      </c>
      <c r="K274" s="602">
        <f>IF(OR($D274="na",$D274="no calc"),"na",0.000001*Eqtn!E$419/(Eqtn!E$415*$H274*$D274+Eqtn!E$420*$I274*$E274))</f>
        <v>0.32040908310439559</v>
      </c>
      <c r="L274" s="602">
        <f>IF(OR($D274="na",$D274="no calc"),"na",0.000001*Eqtn!F$419/(Eqtn!F$415*$H274*$D274+Eqtn!F$420*$I274*$E274))</f>
        <v>0.93993191682267307</v>
      </c>
      <c r="M274" s="17">
        <f>IF(OR($D274="na",$D274="no calc"),"na",0.00001*Eqtn!D$419/(Eqtn!D$415*$H274*$D274+Eqtn!D$420*$I274*$E274))</f>
        <v>3.3424908424908426</v>
      </c>
      <c r="N274" s="17">
        <f>IF(OR($D274="na",$D274="no calc"),"na",0.00001*Eqtn!E$419/(Eqtn!E$415*$H274*$D274+Eqtn!E$420*$I274*$E274))</f>
        <v>3.2040908310439566</v>
      </c>
      <c r="O274" s="694">
        <f>IF(OR($D274="na",$D274="no calc"),"na",0.00001*Eqtn!F$419/(Eqtn!F$415*$H274*$D274+Eqtn!F$420*$I274*$E274))</f>
        <v>9.3993191682267323</v>
      </c>
      <c r="P274" s="662">
        <f>IF(OR($F274="na",$F274="no calc"),"na",1*Eqtn!D$451/(Eqtn!D$447*$H274/$F274+Eqtn!D$452*$I274/$G274))</f>
        <v>3.1633333333333331</v>
      </c>
      <c r="Q274" s="662">
        <f>IF(OR($F274="na",$F274="no calc"),"na",1*Eqtn!E$451/(Eqtn!E$447*$H274/$F274+Eqtn!E$452*$I274/$G274))</f>
        <v>32.345083333333335</v>
      </c>
      <c r="R274" s="662">
        <f>IF(OR($F274="na",$F274="no calc"),"na",1*Eqtn!F$451/(Eqtn!F$447*$H274/$F274+Eqtn!F$452*$I274/$G274))</f>
        <v>65.233781512605034</v>
      </c>
      <c r="S274" s="1418">
        <f t="shared" si="175"/>
        <v>0.33424908424908428</v>
      </c>
      <c r="T274" s="1418">
        <f t="shared" si="176"/>
        <v>0.32040908310439559</v>
      </c>
      <c r="U274" s="1418">
        <f t="shared" si="177"/>
        <v>0.93993191682267307</v>
      </c>
      <c r="V274" s="1405">
        <f t="shared" si="178"/>
        <v>0.32040908310439559</v>
      </c>
      <c r="W274" s="1383">
        <f t="shared" si="179"/>
        <v>3.1633333333333331</v>
      </c>
      <c r="X274" s="1383">
        <f t="shared" si="180"/>
        <v>3.2040908310439566</v>
      </c>
      <c r="Y274" s="1383">
        <f t="shared" si="181"/>
        <v>9.3993191682267323</v>
      </c>
      <c r="Z274" s="1384">
        <f t="shared" si="182"/>
        <v>3.1633333333333331</v>
      </c>
      <c r="AB274" s="1062"/>
    </row>
    <row r="275" spans="1:28" ht="13.9" customHeight="1" x14ac:dyDescent="0.25">
      <c r="A275" s="846">
        <f>Chem!A275</f>
        <v>273</v>
      </c>
      <c r="B275" s="916" t="str">
        <f>Chem!B275</f>
        <v>Lindane (gamma-BHC)</v>
      </c>
      <c r="C275" s="2305" t="str">
        <f>Param!AK275</f>
        <v>no</v>
      </c>
      <c r="D275" s="384" t="str">
        <f>IF(C275="YES",Param!V275,"no calc")</f>
        <v>no calc</v>
      </c>
      <c r="E275" s="552" t="str">
        <f>IF(C275="YES",Param!X275,"no calc")</f>
        <v>no calc</v>
      </c>
      <c r="F275" s="384" t="str">
        <f>IF(C275="YES",Param!O275,"no calc")</f>
        <v>no calc</v>
      </c>
      <c r="G275" s="622" t="str">
        <f>IF(C275="YES",Param!S275,"no calc")</f>
        <v>no calc</v>
      </c>
      <c r="H275" s="803" t="str">
        <f>IF(C275="YES",Param!AD275,"no calc")</f>
        <v>no calc</v>
      </c>
      <c r="I275" s="595" t="str">
        <f>IF(C275="YES",Param!AE275,"no calc")</f>
        <v>no calc</v>
      </c>
      <c r="J275" s="602" t="str">
        <f>IF(OR($D275="na",$D275="no calc"),"na",0.000001*Eqtn!D$419/(Eqtn!D$415*$H275*$D275+Eqtn!D$420*$I275*$E275))</f>
        <v>na</v>
      </c>
      <c r="K275" s="602" t="str">
        <f>IF(OR($D275="na",$D275="no calc"),"na",0.000001*Eqtn!E$419/(Eqtn!E$415*$H275*$D275+Eqtn!E$420*$I275*$E275))</f>
        <v>na</v>
      </c>
      <c r="L275" s="602" t="str">
        <f>IF(OR($D275="na",$D275="no calc"),"na",0.000001*Eqtn!F$419/(Eqtn!F$415*$H275*$D275+Eqtn!F$420*$I275*$E275))</f>
        <v>na</v>
      </c>
      <c r="M275" s="17" t="str">
        <f>IF(OR($D275="na",$D275="no calc"),"na",0.00001*Eqtn!D$419/(Eqtn!D$415*$H275*$D275+Eqtn!D$420*$I275*$E275))</f>
        <v>na</v>
      </c>
      <c r="N275" s="17" t="str">
        <f>IF(OR($D275="na",$D275="no calc"),"na",0.00001*Eqtn!E$419/(Eqtn!E$415*$H275*$D275+Eqtn!E$420*$I275*$E275))</f>
        <v>na</v>
      </c>
      <c r="O275" s="694" t="str">
        <f>IF(OR($D275="na",$D275="no calc"),"na",0.00001*Eqtn!F$419/(Eqtn!F$415*$H275*$D275+Eqtn!F$420*$I275*$E275))</f>
        <v>na</v>
      </c>
      <c r="P275" s="662" t="str">
        <f>IF(OR($F275="na",$F275="no calc"),"na",1*Eqtn!D$451/(Eqtn!D$447*$H275/$F275+Eqtn!D$452*$I275/$G275))</f>
        <v>na</v>
      </c>
      <c r="Q275" s="662" t="str">
        <f>IF(OR($F275="na",$F275="no calc"),"na",1*Eqtn!E$451/(Eqtn!E$447*$H275/$F275+Eqtn!E$452*$I275/$G275))</f>
        <v>na</v>
      </c>
      <c r="R275" s="662" t="str">
        <f>IF(OR($F275="na",$F275="no calc"),"na",1*Eqtn!F$451/(Eqtn!F$447*$H275/$F275+Eqtn!F$452*$I275/$G275))</f>
        <v>na</v>
      </c>
      <c r="S275" s="1418" t="str">
        <f t="shared" ref="S275" si="199">IF(OR(ISNUMBER(J275),ISNUMBER(P275)),MIN(J275,P275),"na")</f>
        <v>na</v>
      </c>
      <c r="T275" s="1418" t="str">
        <f t="shared" ref="T275" si="200">IF(OR(ISNUMBER(K275),ISNUMBER(Q275)),MIN(K275,Q275),"na")</f>
        <v>na</v>
      </c>
      <c r="U275" s="1418" t="str">
        <f t="shared" ref="U275" si="201">IF(OR(ISNUMBER(L275),ISNUMBER(R275)),MIN(L275,R275),"na")</f>
        <v>na</v>
      </c>
      <c r="V275" s="1405" t="str">
        <f t="shared" ref="V275" si="202">IF(OR(ISNUMBER(S275),ISNUMBER(T275),ISNUMBER(U275)),MIN(S275,T275,U275),"na")</f>
        <v>na</v>
      </c>
      <c r="W275" s="1383" t="str">
        <f t="shared" ref="W275" si="203">IF(OR(ISNUMBER(M275),ISNUMBER(P275)),MIN(M275,P275),"na")</f>
        <v>na</v>
      </c>
      <c r="X275" s="1383" t="str">
        <f t="shared" ref="X275" si="204">IF(OR(ISNUMBER(N275),ISNUMBER(Q275)),MIN(N275,Q275),"na")</f>
        <v>na</v>
      </c>
      <c r="Y275" s="1383" t="str">
        <f t="shared" ref="Y275" si="205">IF(OR(ISNUMBER(O275),ISNUMBER(R275)),MIN(O275,R275),"na")</f>
        <v>na</v>
      </c>
      <c r="Z275" s="1384" t="str">
        <f t="shared" ref="Z275" si="206">IF(OR(ISNUMBER(W275),ISNUMBER(X275),ISNUMBER(Y275)),MIN(W275,X275,Y275),"na")</f>
        <v>na</v>
      </c>
      <c r="AB275" s="1062"/>
    </row>
    <row r="276" spans="1:28" ht="13.9" customHeight="1" x14ac:dyDescent="0.25">
      <c r="A276" s="846">
        <f>Chem!A276</f>
        <v>274</v>
      </c>
      <c r="B276" s="916" t="str">
        <f>Chem!B276</f>
        <v>Malathion</v>
      </c>
      <c r="C276" s="2305" t="str">
        <f>Param!AK276</f>
        <v>no</v>
      </c>
      <c r="D276" s="384" t="str">
        <f>IF(C276="YES",Param!V276,"no calc")</f>
        <v>no calc</v>
      </c>
      <c r="E276" s="552" t="str">
        <f>IF(C276="YES",Param!X276,"no calc")</f>
        <v>no calc</v>
      </c>
      <c r="F276" s="384" t="str">
        <f>IF(C276="YES",Param!O276,"no calc")</f>
        <v>no calc</v>
      </c>
      <c r="G276" s="622" t="str">
        <f>IF(C276="YES",Param!S276,"no calc")</f>
        <v>no calc</v>
      </c>
      <c r="H276" s="803" t="str">
        <f>IF(C276="YES",Param!AD276,"no calc")</f>
        <v>no calc</v>
      </c>
      <c r="I276" s="595" t="str">
        <f>IF(C276="YES",Param!AE276,"no calc")</f>
        <v>no calc</v>
      </c>
      <c r="J276" s="602" t="str">
        <f>IF(OR($D276="na",$D276="no calc"),"na",0.000001*Eqtn!D$419/(Eqtn!D$415*$H276*$D276+Eqtn!D$420*$I276*$E276))</f>
        <v>na</v>
      </c>
      <c r="K276" s="602" t="str">
        <f>IF(OR($D276="na",$D276="no calc"),"na",0.000001*Eqtn!E$419/(Eqtn!E$415*$H276*$D276+Eqtn!E$420*$I276*$E276))</f>
        <v>na</v>
      </c>
      <c r="L276" s="602" t="str">
        <f>IF(OR($D276="na",$D276="no calc"),"na",0.000001*Eqtn!F$419/(Eqtn!F$415*$H276*$D276+Eqtn!F$420*$I276*$E276))</f>
        <v>na</v>
      </c>
      <c r="M276" s="17" t="str">
        <f>IF(OR($D276="na",$D276="no calc"),"na",0.00001*Eqtn!D$419/(Eqtn!D$415*$H276*$D276+Eqtn!D$420*$I276*$E276))</f>
        <v>na</v>
      </c>
      <c r="N276" s="17" t="str">
        <f>IF(OR($D276="na",$D276="no calc"),"na",0.00001*Eqtn!E$419/(Eqtn!E$415*$H276*$D276+Eqtn!E$420*$I276*$E276))</f>
        <v>na</v>
      </c>
      <c r="O276" s="694" t="str">
        <f>IF(OR($D276="na",$D276="no calc"),"na",0.00001*Eqtn!F$419/(Eqtn!F$415*$H276*$D276+Eqtn!F$420*$I276*$E276))</f>
        <v>na</v>
      </c>
      <c r="P276" s="662" t="str">
        <f>IF(OR($F276="na",$F276="no calc"),"na",1*Eqtn!D$451/(Eqtn!D$447*$H276/$F276+Eqtn!D$452*$I276/$G276))</f>
        <v>na</v>
      </c>
      <c r="Q276" s="662" t="str">
        <f>IF(OR($F276="na",$F276="no calc"),"na",1*Eqtn!E$451/(Eqtn!E$447*$H276/$F276+Eqtn!E$452*$I276/$G276))</f>
        <v>na</v>
      </c>
      <c r="R276" s="662" t="str">
        <f>IF(OR($F276="na",$F276="no calc"),"na",1*Eqtn!F$451/(Eqtn!F$447*$H276/$F276+Eqtn!F$452*$I276/$G276))</f>
        <v>na</v>
      </c>
      <c r="S276" s="1418" t="str">
        <f t="shared" si="175"/>
        <v>na</v>
      </c>
      <c r="T276" s="1418" t="str">
        <f t="shared" si="176"/>
        <v>na</v>
      </c>
      <c r="U276" s="1418" t="str">
        <f t="shared" si="177"/>
        <v>na</v>
      </c>
      <c r="V276" s="1405" t="str">
        <f t="shared" si="178"/>
        <v>na</v>
      </c>
      <c r="W276" s="1383" t="str">
        <f t="shared" si="179"/>
        <v>na</v>
      </c>
      <c r="X276" s="1383" t="str">
        <f t="shared" si="180"/>
        <v>na</v>
      </c>
      <c r="Y276" s="1383" t="str">
        <f t="shared" si="181"/>
        <v>na</v>
      </c>
      <c r="Z276" s="1384" t="str">
        <f t="shared" si="182"/>
        <v>na</v>
      </c>
      <c r="AB276" s="1062"/>
    </row>
    <row r="277" spans="1:28" ht="13.9" customHeight="1" x14ac:dyDescent="0.25">
      <c r="A277" s="846">
        <f>Chem!A277</f>
        <v>275</v>
      </c>
      <c r="B277" s="916" t="str">
        <f>Chem!B277</f>
        <v>Methoxychlor</v>
      </c>
      <c r="C277" s="2305" t="str">
        <f>Param!AK277</f>
        <v>no</v>
      </c>
      <c r="D277" s="384" t="str">
        <f>IF(C277="YES",Param!V277,"no calc")</f>
        <v>no calc</v>
      </c>
      <c r="E277" s="552" t="str">
        <f>IF(C277="YES",Param!X277,"no calc")</f>
        <v>no calc</v>
      </c>
      <c r="F277" s="384" t="str">
        <f>IF(C277="YES",Param!O277,"no calc")</f>
        <v>no calc</v>
      </c>
      <c r="G277" s="622" t="str">
        <f>IF(C277="YES",Param!S277,"no calc")</f>
        <v>no calc</v>
      </c>
      <c r="H277" s="803" t="str">
        <f>IF(C277="YES",Param!AD277,"no calc")</f>
        <v>no calc</v>
      </c>
      <c r="I277" s="595" t="str">
        <f>IF(C277="YES",Param!AE277,"no calc")</f>
        <v>no calc</v>
      </c>
      <c r="J277" s="602" t="str">
        <f>IF(OR($D277="na",$D277="no calc"),"na",0.000001*Eqtn!D$419/(Eqtn!D$415*$H277*$D277+Eqtn!D$420*$I277*$E277))</f>
        <v>na</v>
      </c>
      <c r="K277" s="602" t="str">
        <f>IF(OR($D277="na",$D277="no calc"),"na",0.000001*Eqtn!E$419/(Eqtn!E$415*$H277*$D277+Eqtn!E$420*$I277*$E277))</f>
        <v>na</v>
      </c>
      <c r="L277" s="602" t="str">
        <f>IF(OR($D277="na",$D277="no calc"),"na",0.000001*Eqtn!F$419/(Eqtn!F$415*$H277*$D277+Eqtn!F$420*$I277*$E277))</f>
        <v>na</v>
      </c>
      <c r="M277" s="17" t="str">
        <f>IF(OR($D277="na",$D277="no calc"),"na",0.00001*Eqtn!D$419/(Eqtn!D$415*$H277*$D277+Eqtn!D$420*$I277*$E277))</f>
        <v>na</v>
      </c>
      <c r="N277" s="17" t="str">
        <f>IF(OR($D277="na",$D277="no calc"),"na",0.00001*Eqtn!E$419/(Eqtn!E$415*$H277*$D277+Eqtn!E$420*$I277*$E277))</f>
        <v>na</v>
      </c>
      <c r="O277" s="694" t="str">
        <f>IF(OR($D277="na",$D277="no calc"),"na",0.00001*Eqtn!F$419/(Eqtn!F$415*$H277*$D277+Eqtn!F$420*$I277*$E277))</f>
        <v>na</v>
      </c>
      <c r="P277" s="662" t="str">
        <f>IF(OR($F277="na",$F277="no calc"),"na",1*Eqtn!D$451/(Eqtn!D$447*$H277/$F277+Eqtn!D$452*$I277/$G277))</f>
        <v>na</v>
      </c>
      <c r="Q277" s="662" t="str">
        <f>IF(OR($F277="na",$F277="no calc"),"na",1*Eqtn!E$451/(Eqtn!E$447*$H277/$F277+Eqtn!E$452*$I277/$G277))</f>
        <v>na</v>
      </c>
      <c r="R277" s="662" t="str">
        <f>IF(OR($F277="na",$F277="no calc"),"na",1*Eqtn!F$451/(Eqtn!F$447*$H277/$F277+Eqtn!F$452*$I277/$G277))</f>
        <v>na</v>
      </c>
      <c r="S277" s="1418" t="str">
        <f t="shared" si="175"/>
        <v>na</v>
      </c>
      <c r="T277" s="1418" t="str">
        <f t="shared" si="176"/>
        <v>na</v>
      </c>
      <c r="U277" s="1418" t="str">
        <f t="shared" si="177"/>
        <v>na</v>
      </c>
      <c r="V277" s="1405" t="str">
        <f t="shared" si="178"/>
        <v>na</v>
      </c>
      <c r="W277" s="1383" t="str">
        <f t="shared" si="179"/>
        <v>na</v>
      </c>
      <c r="X277" s="1383" t="str">
        <f t="shared" si="180"/>
        <v>na</v>
      </c>
      <c r="Y277" s="1383" t="str">
        <f t="shared" si="181"/>
        <v>na</v>
      </c>
      <c r="Z277" s="1384" t="str">
        <f t="shared" si="182"/>
        <v>na</v>
      </c>
      <c r="AB277" s="1062"/>
    </row>
    <row r="278" spans="1:28" ht="13.9" customHeight="1" x14ac:dyDescent="0.25">
      <c r="A278" s="846">
        <f>Chem!A278</f>
        <v>276</v>
      </c>
      <c r="B278" s="916" t="str">
        <f>Chem!B278</f>
        <v>Mirex</v>
      </c>
      <c r="C278" s="2305" t="str">
        <f>Param!AK278</f>
        <v>no</v>
      </c>
      <c r="D278" s="384" t="str">
        <f>IF(C278="YES",Param!V278,"no calc")</f>
        <v>no calc</v>
      </c>
      <c r="E278" s="552" t="str">
        <f>IF(C278="YES",Param!X278,"no calc")</f>
        <v>no calc</v>
      </c>
      <c r="F278" s="384" t="str">
        <f>IF(C278="YES",Param!O278,"no calc")</f>
        <v>no calc</v>
      </c>
      <c r="G278" s="622" t="str">
        <f>IF(C278="YES",Param!S278,"no calc")</f>
        <v>no calc</v>
      </c>
      <c r="H278" s="803" t="str">
        <f>IF(C278="YES",Param!AD278,"no calc")</f>
        <v>no calc</v>
      </c>
      <c r="I278" s="595" t="str">
        <f>IF(C278="YES",Param!AE278,"no calc")</f>
        <v>no calc</v>
      </c>
      <c r="J278" s="602" t="str">
        <f>IF(OR($D278="na",$D278="no calc"),"na",0.000001*Eqtn!D$419/(Eqtn!D$415*$H278*$D278+Eqtn!D$420*$I278*$E278))</f>
        <v>na</v>
      </c>
      <c r="K278" s="602" t="str">
        <f>IF(OR($D278="na",$D278="no calc"),"na",0.000001*Eqtn!E$419/(Eqtn!E$415*$H278*$D278+Eqtn!E$420*$I278*$E278))</f>
        <v>na</v>
      </c>
      <c r="L278" s="602" t="str">
        <f>IF(OR($D278="na",$D278="no calc"),"na",0.000001*Eqtn!F$419/(Eqtn!F$415*$H278*$D278+Eqtn!F$420*$I278*$E278))</f>
        <v>na</v>
      </c>
      <c r="M278" s="17" t="str">
        <f>IF(OR($D278="na",$D278="no calc"),"na",0.00001*Eqtn!D$419/(Eqtn!D$415*$H278*$D278+Eqtn!D$420*$I278*$E278))</f>
        <v>na</v>
      </c>
      <c r="N278" s="17" t="str">
        <f>IF(OR($D278="na",$D278="no calc"),"na",0.00001*Eqtn!E$419/(Eqtn!E$415*$H278*$D278+Eqtn!E$420*$I278*$E278))</f>
        <v>na</v>
      </c>
      <c r="O278" s="694" t="str">
        <f>IF(OR($D278="na",$D278="no calc"),"na",0.00001*Eqtn!F$419/(Eqtn!F$415*$H278*$D278+Eqtn!F$420*$I278*$E278))</f>
        <v>na</v>
      </c>
      <c r="P278" s="662" t="str">
        <f>IF(OR($F278="na",$F278="no calc"),"na",1*Eqtn!D$451/(Eqtn!D$447*$H278/$F278+Eqtn!D$452*$I278/$G278))</f>
        <v>na</v>
      </c>
      <c r="Q278" s="662" t="str">
        <f>IF(OR($F278="na",$F278="no calc"),"na",1*Eqtn!E$451/(Eqtn!E$447*$H278/$F278+Eqtn!E$452*$I278/$G278))</f>
        <v>na</v>
      </c>
      <c r="R278" s="662" t="str">
        <f>IF(OR($F278="na",$F278="no calc"),"na",1*Eqtn!F$451/(Eqtn!F$447*$H278/$F278+Eqtn!F$452*$I278/$G278))</f>
        <v>na</v>
      </c>
      <c r="S278" s="1418" t="str">
        <f t="shared" si="175"/>
        <v>na</v>
      </c>
      <c r="T278" s="1418" t="str">
        <f t="shared" si="176"/>
        <v>na</v>
      </c>
      <c r="U278" s="1418" t="str">
        <f t="shared" si="177"/>
        <v>na</v>
      </c>
      <c r="V278" s="1405" t="str">
        <f t="shared" si="178"/>
        <v>na</v>
      </c>
      <c r="W278" s="1383" t="str">
        <f t="shared" si="179"/>
        <v>na</v>
      </c>
      <c r="X278" s="1383" t="str">
        <f t="shared" si="180"/>
        <v>na</v>
      </c>
      <c r="Y278" s="1383" t="str">
        <f t="shared" si="181"/>
        <v>na</v>
      </c>
      <c r="Z278" s="1384" t="str">
        <f t="shared" si="182"/>
        <v>na</v>
      </c>
      <c r="AB278" s="1062"/>
    </row>
    <row r="279" spans="1:28" ht="13.9" customHeight="1" x14ac:dyDescent="0.25">
      <c r="A279" s="846">
        <f>Chem!A279</f>
        <v>277</v>
      </c>
      <c r="B279" s="916" t="str">
        <f>Chem!B279</f>
        <v>Nonachlor</v>
      </c>
      <c r="C279" s="2304" t="str">
        <f>Param!AK279</f>
        <v>no</v>
      </c>
      <c r="D279" s="392" t="str">
        <f>IF(C279="YES",Param!V279,"no calc")</f>
        <v>no calc</v>
      </c>
      <c r="E279" s="552" t="str">
        <f>IF(C279="YES",Param!X279,"no calc")</f>
        <v>no calc</v>
      </c>
      <c r="F279" s="392" t="str">
        <f>IF(C279="YES",Param!O279,"no calc")</f>
        <v>no calc</v>
      </c>
      <c r="G279" s="622" t="str">
        <f>IF(C279="YES",Param!S279,"no calc")</f>
        <v>no calc</v>
      </c>
      <c r="H279" s="803" t="str">
        <f>IF(C279="YES",Param!AD279,"no calc")</f>
        <v>no calc</v>
      </c>
      <c r="I279" s="595" t="str">
        <f>IF(C279="YES",Param!AE279,"no calc")</f>
        <v>no calc</v>
      </c>
      <c r="J279" s="602" t="str">
        <f>IF(OR($D279="na",$D279="no calc"),"na",0.000001*Eqtn!D$419/(Eqtn!D$415*$H279*$D279+Eqtn!D$420*$I279*$E279))</f>
        <v>na</v>
      </c>
      <c r="K279" s="602" t="str">
        <f>IF(OR($D279="na",$D279="no calc"),"na",0.000001*Eqtn!E$419/(Eqtn!E$415*$H279*$D279+Eqtn!E$420*$I279*$E279))</f>
        <v>na</v>
      </c>
      <c r="L279" s="602" t="str">
        <f>IF(OR($D279="na",$D279="no calc"),"na",0.000001*Eqtn!F$419/(Eqtn!F$415*$H279*$D279+Eqtn!F$420*$I279*$E279))</f>
        <v>na</v>
      </c>
      <c r="M279" s="17" t="str">
        <f>IF(OR($D279="na",$D279="no calc"),"na",0.00001*Eqtn!D$419/(Eqtn!D$415*$H279*$D279+Eqtn!D$420*$I279*$E279))</f>
        <v>na</v>
      </c>
      <c r="N279" s="17" t="str">
        <f>IF(OR($D279="na",$D279="no calc"),"na",0.00001*Eqtn!E$419/(Eqtn!E$415*$H279*$D279+Eqtn!E$420*$I279*$E279))</f>
        <v>na</v>
      </c>
      <c r="O279" s="694" t="str">
        <f>IF(OR($D279="na",$D279="no calc"),"na",0.00001*Eqtn!F$419/(Eqtn!F$415*$H279*$D279+Eqtn!F$420*$I279*$E279))</f>
        <v>na</v>
      </c>
      <c r="P279" s="662" t="str">
        <f>IF(OR($F279="na",$F279="no calc"),"na",1*Eqtn!D$451/(Eqtn!D$447*$H279/$F279+Eqtn!D$452*$I279/$G279))</f>
        <v>na</v>
      </c>
      <c r="Q279" s="662" t="str">
        <f>IF(OR($F279="na",$F279="no calc"),"na",1*Eqtn!E$451/(Eqtn!E$447*$H279/$F279+Eqtn!E$452*$I279/$G279))</f>
        <v>na</v>
      </c>
      <c r="R279" s="662" t="str">
        <f>IF(OR($F279="na",$F279="no calc"),"na",1*Eqtn!F$451/(Eqtn!F$447*$H279/$F279+Eqtn!F$452*$I279/$G279))</f>
        <v>na</v>
      </c>
      <c r="S279" s="1418" t="str">
        <f t="shared" si="175"/>
        <v>na</v>
      </c>
      <c r="T279" s="1418" t="str">
        <f t="shared" si="176"/>
        <v>na</v>
      </c>
      <c r="U279" s="1418" t="str">
        <f t="shared" si="177"/>
        <v>na</v>
      </c>
      <c r="V279" s="1405" t="str">
        <f t="shared" si="178"/>
        <v>na</v>
      </c>
      <c r="W279" s="1383" t="str">
        <f t="shared" si="179"/>
        <v>na</v>
      </c>
      <c r="X279" s="1383" t="str">
        <f t="shared" si="180"/>
        <v>na</v>
      </c>
      <c r="Y279" s="1383" t="str">
        <f t="shared" si="181"/>
        <v>na</v>
      </c>
      <c r="Z279" s="1384" t="str">
        <f t="shared" si="182"/>
        <v>na</v>
      </c>
      <c r="AB279" s="1062"/>
    </row>
    <row r="280" spans="1:28" ht="13.9" customHeight="1" x14ac:dyDescent="0.25">
      <c r="A280" s="1661">
        <f>Chem!A280</f>
        <v>278</v>
      </c>
      <c r="B280" s="1142" t="str">
        <f>Chem!B280</f>
        <v>Toxaphene</v>
      </c>
      <c r="C280" s="2314" t="str">
        <f>Param!AK280</f>
        <v>no</v>
      </c>
      <c r="D280" s="385" t="str">
        <f>IF(C280="YES",Param!V280,"no calc")</f>
        <v>no calc</v>
      </c>
      <c r="E280" s="589" t="str">
        <f>IF(C280="YES",Param!X280,"no calc")</f>
        <v>no calc</v>
      </c>
      <c r="F280" s="385" t="str">
        <f>IF(C280="YES",Param!O280,"no calc")</f>
        <v>no calc</v>
      </c>
      <c r="G280" s="623" t="str">
        <f>IF(C280="YES",Param!S280,"no calc")</f>
        <v>no calc</v>
      </c>
      <c r="H280" s="623" t="str">
        <f>IF(C280="YES",Param!AD280,"no calc")</f>
        <v>no calc</v>
      </c>
      <c r="I280" s="1147" t="str">
        <f>IF(C280="YES",Param!AE280,"no calc")</f>
        <v>no calc</v>
      </c>
      <c r="J280" s="609" t="str">
        <f>IF(OR($D280="na",$D280="no calc"),"na",0.000001*Eqtn!D$419/(Eqtn!D$415*$H280*$D280+Eqtn!D$420*$I280*$E280))</f>
        <v>na</v>
      </c>
      <c r="K280" s="609" t="str">
        <f>IF(OR($D280="na",$D280="no calc"),"na",0.000001*Eqtn!E$419/(Eqtn!E$415*$H280*$D280+Eqtn!E$420*$I280*$E280))</f>
        <v>na</v>
      </c>
      <c r="L280" s="609" t="str">
        <f>IF(OR($D280="na",$D280="no calc"),"na",0.000001*Eqtn!F$419/(Eqtn!F$415*$H280*$D280+Eqtn!F$420*$I280*$E280))</f>
        <v>na</v>
      </c>
      <c r="M280" s="820" t="str">
        <f>IF(OR($D280="na",$D280="no calc"),"na",0.00001*Eqtn!D$419/(Eqtn!D$415*$H280*$D280+Eqtn!D$420*$I280*$E280))</f>
        <v>na</v>
      </c>
      <c r="N280" s="820" t="str">
        <f>IF(OR($D280="na",$D280="no calc"),"na",0.00001*Eqtn!E$419/(Eqtn!E$415*$H280*$D280+Eqtn!E$420*$I280*$E280))</f>
        <v>na</v>
      </c>
      <c r="O280" s="707" t="str">
        <f>IF(OR($D280="na",$D280="no calc"),"na",0.00001*Eqtn!F$419/(Eqtn!F$415*$H280*$D280+Eqtn!F$420*$I280*$E280))</f>
        <v>na</v>
      </c>
      <c r="P280" s="667" t="str">
        <f>IF(OR($F280="na",$F280="no calc"),"na",1*Eqtn!D$451/(Eqtn!D$447*$H280/$F280+Eqtn!D$452*$I280/$G280))</f>
        <v>na</v>
      </c>
      <c r="Q280" s="667" t="str">
        <f>IF(OR($F280="na",$F280="no calc"),"na",1*Eqtn!E$451/(Eqtn!E$447*$H280/$F280+Eqtn!E$452*$I280/$G280))</f>
        <v>na</v>
      </c>
      <c r="R280" s="667" t="str">
        <f>IF(OR($F280="na",$F280="no calc"),"na",1*Eqtn!F$451/(Eqtn!F$447*$H280/$F280+Eqtn!F$452*$I280/$G280))</f>
        <v>na</v>
      </c>
      <c r="S280" s="1422" t="str">
        <f t="shared" si="175"/>
        <v>na</v>
      </c>
      <c r="T280" s="1422" t="str">
        <f t="shared" si="176"/>
        <v>na</v>
      </c>
      <c r="U280" s="1422" t="str">
        <f t="shared" si="177"/>
        <v>na</v>
      </c>
      <c r="V280" s="1410" t="str">
        <f t="shared" si="178"/>
        <v>na</v>
      </c>
      <c r="W280" s="1391" t="str">
        <f t="shared" si="179"/>
        <v>na</v>
      </c>
      <c r="X280" s="1391" t="str">
        <f t="shared" si="180"/>
        <v>na</v>
      </c>
      <c r="Y280" s="1391" t="str">
        <f t="shared" si="181"/>
        <v>na</v>
      </c>
      <c r="Z280" s="1392" t="str">
        <f t="shared" si="182"/>
        <v>na</v>
      </c>
      <c r="AB280" s="1137"/>
    </row>
    <row r="281" spans="1:28" ht="13.9" customHeight="1" x14ac:dyDescent="0.25">
      <c r="A281" s="1198">
        <f>Chem!A281</f>
        <v>279</v>
      </c>
      <c r="B281" s="1143" t="str">
        <f>Chem!B281</f>
        <v>Herbicides</v>
      </c>
      <c r="C281" s="2343"/>
      <c r="D281" s="2348"/>
      <c r="E281" s="127"/>
      <c r="F281" s="2348"/>
      <c r="G281" s="44"/>
      <c r="H281" s="44"/>
      <c r="I281" s="2357"/>
      <c r="J281" s="127"/>
      <c r="K281" s="127"/>
      <c r="L281" s="127"/>
      <c r="M281" s="127"/>
      <c r="N281" s="127"/>
      <c r="O281" s="127"/>
      <c r="P281" s="44"/>
      <c r="Q281" s="44"/>
      <c r="R281" s="44"/>
      <c r="S281" s="44"/>
      <c r="T281" s="44"/>
      <c r="U281" s="44"/>
      <c r="V281" s="44"/>
      <c r="W281" s="44"/>
      <c r="X281" s="44"/>
      <c r="Y281" s="44"/>
      <c r="Z281" s="55"/>
      <c r="AB281" s="1063"/>
    </row>
    <row r="282" spans="1:28" ht="13.9" customHeight="1" x14ac:dyDescent="0.25">
      <c r="A282" s="846">
        <f>Chem!A282</f>
        <v>280</v>
      </c>
      <c r="B282" s="1690" t="str">
        <f>Chem!B282</f>
        <v>2,4-Dichlorophenoxyacetic acid (2,4-D)</v>
      </c>
      <c r="C282" s="2309" t="str">
        <f>Param!AK282</f>
        <v>no</v>
      </c>
      <c r="D282" s="384" t="str">
        <f>IF(C282="YES",Param!V282,"no calc")</f>
        <v>no calc</v>
      </c>
      <c r="E282" s="552" t="str">
        <f>IF(C282="YES",Param!X282,"no calc")</f>
        <v>no calc</v>
      </c>
      <c r="F282" s="384" t="str">
        <f>IF(C282="YES",Param!O282,"no calc")</f>
        <v>no calc</v>
      </c>
      <c r="G282" s="622" t="str">
        <f>IF(C282="YES",Param!S282,"no calc")</f>
        <v>no calc</v>
      </c>
      <c r="H282" s="803" t="str">
        <f>IF(C282="YES",Param!AD282,"no calc")</f>
        <v>no calc</v>
      </c>
      <c r="I282" s="595" t="str">
        <f>IF(C282="YES",Param!AE282,"no calc")</f>
        <v>no calc</v>
      </c>
      <c r="J282" s="602" t="str">
        <f>IF(OR($D282="na",$D282="no calc"),"na",0.000001*Eqtn!D$419/(Eqtn!D$415*$H282*$D282+Eqtn!D$420*$I282*$E282))</f>
        <v>na</v>
      </c>
      <c r="K282" s="602" t="str">
        <f>IF(OR($D282="na",$D282="no calc"),"na",0.000001*Eqtn!E$419/(Eqtn!E$415*$H282*$D282+Eqtn!E$420*$I282*$E282))</f>
        <v>na</v>
      </c>
      <c r="L282" s="602" t="str">
        <f>IF(OR($D282="na",$D282="no calc"),"na",0.000001*Eqtn!F$419/(Eqtn!F$415*$H282*$D282+Eqtn!F$420*$I282*$E282))</f>
        <v>na</v>
      </c>
      <c r="M282" s="17" t="str">
        <f>IF(OR($D282="na",$D282="no calc"),"na",0.00001*Eqtn!D$419/(Eqtn!D$415*$H282*$D282+Eqtn!D$420*$I282*$E282))</f>
        <v>na</v>
      </c>
      <c r="N282" s="17" t="str">
        <f>IF(OR($D282="na",$D282="no calc"),"na",0.00001*Eqtn!E$419/(Eqtn!E$415*$H282*$D282+Eqtn!E$420*$I282*$E282))</f>
        <v>na</v>
      </c>
      <c r="O282" s="694" t="str">
        <f>IF(OR($D282="na",$D282="no calc"),"na",0.00001*Eqtn!F$419/(Eqtn!F$415*$H282*$D282+Eqtn!F$420*$I282*$E282))</f>
        <v>na</v>
      </c>
      <c r="P282" s="662" t="str">
        <f>IF(OR($F282="na",$F282="no calc"),"na",1*Eqtn!D$451/(Eqtn!D$447*$H282/$F282+Eqtn!D$452*$I282/$G282))</f>
        <v>na</v>
      </c>
      <c r="Q282" s="662" t="str">
        <f>IF(OR($F282="na",$F282="no calc"),"na",1*Eqtn!E$451/(Eqtn!E$447*$H282/$F282+Eqtn!E$452*$I282/$G282))</f>
        <v>na</v>
      </c>
      <c r="R282" s="662" t="str">
        <f>IF(OR($F282="na",$F282="no calc"),"na",1*Eqtn!F$451/(Eqtn!F$447*$H282/$F282+Eqtn!F$452*$I282/$G282))</f>
        <v>na</v>
      </c>
      <c r="S282" s="1418" t="str">
        <f t="shared" ref="S282:S291" si="207">IF(OR(ISNUMBER(J282),ISNUMBER(P282)),MIN(J282,P282),"na")</f>
        <v>na</v>
      </c>
      <c r="T282" s="1418" t="str">
        <f t="shared" ref="T282:T291" si="208">IF(OR(ISNUMBER(K282),ISNUMBER(Q282)),MIN(K282,Q282),"na")</f>
        <v>na</v>
      </c>
      <c r="U282" s="1418" t="str">
        <f t="shared" ref="U282:U291" si="209">IF(OR(ISNUMBER(L282),ISNUMBER(R282)),MIN(L282,R282),"na")</f>
        <v>na</v>
      </c>
      <c r="V282" s="1405" t="str">
        <f t="shared" ref="V282:V291" si="210">IF(OR(ISNUMBER(S282),ISNUMBER(T282),ISNUMBER(U282)),MIN(S282,T282,U282),"na")</f>
        <v>na</v>
      </c>
      <c r="W282" s="1383" t="str">
        <f t="shared" ref="W282:W291" si="211">IF(OR(ISNUMBER(M282),ISNUMBER(P282)),MIN(M282,P282),"na")</f>
        <v>na</v>
      </c>
      <c r="X282" s="1383" t="str">
        <f t="shared" ref="X282:X291" si="212">IF(OR(ISNUMBER(N282),ISNUMBER(Q282)),MIN(N282,Q282),"na")</f>
        <v>na</v>
      </c>
      <c r="Y282" s="1383" t="str">
        <f t="shared" ref="Y282:Y291" si="213">IF(OR(ISNUMBER(O282),ISNUMBER(R282)),MIN(O282,R282),"na")</f>
        <v>na</v>
      </c>
      <c r="Z282" s="1384" t="str">
        <f t="shared" ref="Z282:Z291" si="214">IF(OR(ISNUMBER(W282),ISNUMBER(X282),ISNUMBER(Y282)),MIN(W282,X282,Y282),"na")</f>
        <v>na</v>
      </c>
      <c r="AB282" s="1062"/>
    </row>
    <row r="283" spans="1:28" ht="13.9" customHeight="1" x14ac:dyDescent="0.25">
      <c r="A283" s="846">
        <f>Chem!A283</f>
        <v>281</v>
      </c>
      <c r="B283" s="1580" t="str">
        <f>Chem!B283</f>
        <v>4-(2,4-Dichlorophenoxy)butanoic acid 2,4-DB</v>
      </c>
      <c r="C283" s="2305" t="str">
        <f>Param!AK283</f>
        <v>no</v>
      </c>
      <c r="D283" s="384" t="str">
        <f>IF(C283="YES",Param!V283,"no calc")</f>
        <v>no calc</v>
      </c>
      <c r="E283" s="552" t="str">
        <f>IF(C283="YES",Param!X283,"no calc")</f>
        <v>no calc</v>
      </c>
      <c r="F283" s="384" t="str">
        <f>IF(C283="YES",Param!O283,"no calc")</f>
        <v>no calc</v>
      </c>
      <c r="G283" s="622" t="str">
        <f>IF(C283="YES",Param!S283,"no calc")</f>
        <v>no calc</v>
      </c>
      <c r="H283" s="803" t="str">
        <f>IF(C283="YES",Param!AD283,"no calc")</f>
        <v>no calc</v>
      </c>
      <c r="I283" s="595" t="str">
        <f>IF(C283="YES",Param!AE283,"no calc")</f>
        <v>no calc</v>
      </c>
      <c r="J283" s="602" t="str">
        <f>IF(OR($D283="na",$D283="no calc"),"na",0.000001*Eqtn!D$419/(Eqtn!D$415*$H283*$D283+Eqtn!D$420*$I283*$E283))</f>
        <v>na</v>
      </c>
      <c r="K283" s="602" t="str">
        <f>IF(OR($D283="na",$D283="no calc"),"na",0.000001*Eqtn!E$419/(Eqtn!E$415*$H283*$D283+Eqtn!E$420*$I283*$E283))</f>
        <v>na</v>
      </c>
      <c r="L283" s="602" t="str">
        <f>IF(OR($D283="na",$D283="no calc"),"na",0.000001*Eqtn!F$419/(Eqtn!F$415*$H283*$D283+Eqtn!F$420*$I283*$E283))</f>
        <v>na</v>
      </c>
      <c r="M283" s="17" t="str">
        <f>IF(OR($D283="na",$D283="no calc"),"na",0.00001*Eqtn!D$419/(Eqtn!D$415*$H283*$D283+Eqtn!D$420*$I283*$E283))</f>
        <v>na</v>
      </c>
      <c r="N283" s="17" t="str">
        <f>IF(OR($D283="na",$D283="no calc"),"na",0.00001*Eqtn!E$419/(Eqtn!E$415*$H283*$D283+Eqtn!E$420*$I283*$E283))</f>
        <v>na</v>
      </c>
      <c r="O283" s="694" t="str">
        <f>IF(OR($D283="na",$D283="no calc"),"na",0.00001*Eqtn!F$419/(Eqtn!F$415*$H283*$D283+Eqtn!F$420*$I283*$E283))</f>
        <v>na</v>
      </c>
      <c r="P283" s="662" t="str">
        <f>IF(OR($F283="na",$F283="no calc"),"na",1*Eqtn!D$451/(Eqtn!D$447*$H283/$F283+Eqtn!D$452*$I283/$G283))</f>
        <v>na</v>
      </c>
      <c r="Q283" s="662" t="str">
        <f>IF(OR($F283="na",$F283="no calc"),"na",1*Eqtn!E$451/(Eqtn!E$447*$H283/$F283+Eqtn!E$452*$I283/$G283))</f>
        <v>na</v>
      </c>
      <c r="R283" s="662" t="str">
        <f>IF(OR($F283="na",$F283="no calc"),"na",1*Eqtn!F$451/(Eqtn!F$447*$H283/$F283+Eqtn!F$452*$I283/$G283))</f>
        <v>na</v>
      </c>
      <c r="S283" s="1418" t="str">
        <f t="shared" si="207"/>
        <v>na</v>
      </c>
      <c r="T283" s="1418" t="str">
        <f t="shared" si="208"/>
        <v>na</v>
      </c>
      <c r="U283" s="1418" t="str">
        <f t="shared" si="209"/>
        <v>na</v>
      </c>
      <c r="V283" s="1405" t="str">
        <f t="shared" si="210"/>
        <v>na</v>
      </c>
      <c r="W283" s="1383" t="str">
        <f t="shared" si="211"/>
        <v>na</v>
      </c>
      <c r="X283" s="1383" t="str">
        <f t="shared" si="212"/>
        <v>na</v>
      </c>
      <c r="Y283" s="1383" t="str">
        <f t="shared" si="213"/>
        <v>na</v>
      </c>
      <c r="Z283" s="1384" t="str">
        <f t="shared" si="214"/>
        <v>na</v>
      </c>
      <c r="AB283" s="1062"/>
    </row>
    <row r="284" spans="1:28" ht="13.9" customHeight="1" x14ac:dyDescent="0.25">
      <c r="A284" s="846">
        <f>Chem!A284</f>
        <v>282</v>
      </c>
      <c r="B284" s="1580" t="str">
        <f>Chem!B284</f>
        <v>2-(2,4,5-Trichlorophenoxy)propionic acid (2,4,5-TP)</v>
      </c>
      <c r="C284" s="2305" t="str">
        <f>Param!AK284</f>
        <v>no</v>
      </c>
      <c r="D284" s="384" t="str">
        <f>IF(C284="YES",Param!V284,"no calc")</f>
        <v>no calc</v>
      </c>
      <c r="E284" s="552" t="str">
        <f>IF(C284="YES",Param!X284,"no calc")</f>
        <v>no calc</v>
      </c>
      <c r="F284" s="384" t="str">
        <f>IF(C284="YES",Param!O284,"no calc")</f>
        <v>no calc</v>
      </c>
      <c r="G284" s="622" t="str">
        <f>IF(C284="YES",Param!S284,"no calc")</f>
        <v>no calc</v>
      </c>
      <c r="H284" s="803" t="str">
        <f>IF(C284="YES",Param!AD284,"no calc")</f>
        <v>no calc</v>
      </c>
      <c r="I284" s="595" t="str">
        <f>IF(C284="YES",Param!AE284,"no calc")</f>
        <v>no calc</v>
      </c>
      <c r="J284" s="602" t="str">
        <f>IF(OR($D284="na",$D284="no calc"),"na",0.000001*Eqtn!D$419/(Eqtn!D$415*$H284*$D284+Eqtn!D$420*$I284*$E284))</f>
        <v>na</v>
      </c>
      <c r="K284" s="602" t="str">
        <f>IF(OR($D284="na",$D284="no calc"),"na",0.000001*Eqtn!E$419/(Eqtn!E$415*$H284*$D284+Eqtn!E$420*$I284*$E284))</f>
        <v>na</v>
      </c>
      <c r="L284" s="602" t="str">
        <f>IF(OR($D284="na",$D284="no calc"),"na",0.000001*Eqtn!F$419/(Eqtn!F$415*$H284*$D284+Eqtn!F$420*$I284*$E284))</f>
        <v>na</v>
      </c>
      <c r="M284" s="17" t="str">
        <f>IF(OR($D284="na",$D284="no calc"),"na",0.00001*Eqtn!D$419/(Eqtn!D$415*$H284*$D284+Eqtn!D$420*$I284*$E284))</f>
        <v>na</v>
      </c>
      <c r="N284" s="17" t="str">
        <f>IF(OR($D284="na",$D284="no calc"),"na",0.00001*Eqtn!E$419/(Eqtn!E$415*$H284*$D284+Eqtn!E$420*$I284*$E284))</f>
        <v>na</v>
      </c>
      <c r="O284" s="694" t="str">
        <f>IF(OR($D284="na",$D284="no calc"),"na",0.00001*Eqtn!F$419/(Eqtn!F$415*$H284*$D284+Eqtn!F$420*$I284*$E284))</f>
        <v>na</v>
      </c>
      <c r="P284" s="662" t="str">
        <f>IF(OR($F284="na",$F284="no calc"),"na",1*Eqtn!D$451/(Eqtn!D$447*$H284/$F284+Eqtn!D$452*$I284/$G284))</f>
        <v>na</v>
      </c>
      <c r="Q284" s="662" t="str">
        <f>IF(OR($F284="na",$F284="no calc"),"na",1*Eqtn!E$451/(Eqtn!E$447*$H284/$F284+Eqtn!E$452*$I284/$G284))</f>
        <v>na</v>
      </c>
      <c r="R284" s="662" t="str">
        <f>IF(OR($F284="na",$F284="no calc"),"na",1*Eqtn!F$451/(Eqtn!F$447*$H284/$F284+Eqtn!F$452*$I284/$G284))</f>
        <v>na</v>
      </c>
      <c r="S284" s="1418" t="str">
        <f t="shared" si="207"/>
        <v>na</v>
      </c>
      <c r="T284" s="1418" t="str">
        <f t="shared" si="208"/>
        <v>na</v>
      </c>
      <c r="U284" s="1418" t="str">
        <f t="shared" si="209"/>
        <v>na</v>
      </c>
      <c r="V284" s="1405" t="str">
        <f t="shared" si="210"/>
        <v>na</v>
      </c>
      <c r="W284" s="1383" t="str">
        <f t="shared" si="211"/>
        <v>na</v>
      </c>
      <c r="X284" s="1383" t="str">
        <f t="shared" si="212"/>
        <v>na</v>
      </c>
      <c r="Y284" s="1383" t="str">
        <f t="shared" si="213"/>
        <v>na</v>
      </c>
      <c r="Z284" s="1384" t="str">
        <f t="shared" si="214"/>
        <v>na</v>
      </c>
      <c r="AB284" s="1062"/>
    </row>
    <row r="285" spans="1:28" ht="13.9" customHeight="1" x14ac:dyDescent="0.25">
      <c r="A285" s="846">
        <f>Chem!A285</f>
        <v>283</v>
      </c>
      <c r="B285" s="1580" t="str">
        <f>Chem!B285</f>
        <v>2,4,5-Trichlorophenoxyacetic acid (2,4,5-T)</v>
      </c>
      <c r="C285" s="2305" t="str">
        <f>Param!AK285</f>
        <v>no</v>
      </c>
      <c r="D285" s="384" t="str">
        <f>IF(C285="YES",Param!V285,"no calc")</f>
        <v>no calc</v>
      </c>
      <c r="E285" s="552" t="str">
        <f>IF(C285="YES",Param!X285,"no calc")</f>
        <v>no calc</v>
      </c>
      <c r="F285" s="384" t="str">
        <f>IF(C285="YES",Param!O285,"no calc")</f>
        <v>no calc</v>
      </c>
      <c r="G285" s="622" t="str">
        <f>IF(C285="YES",Param!S285,"no calc")</f>
        <v>no calc</v>
      </c>
      <c r="H285" s="803" t="str">
        <f>IF(C285="YES",Param!AD285,"no calc")</f>
        <v>no calc</v>
      </c>
      <c r="I285" s="595" t="str">
        <f>IF(C285="YES",Param!AE285,"no calc")</f>
        <v>no calc</v>
      </c>
      <c r="J285" s="602" t="str">
        <f>IF(OR($D285="na",$D285="no calc"),"na",0.000001*Eqtn!D$419/(Eqtn!D$415*$H285*$D285+Eqtn!D$420*$I285*$E285))</f>
        <v>na</v>
      </c>
      <c r="K285" s="602" t="str">
        <f>IF(OR($D285="na",$D285="no calc"),"na",0.000001*Eqtn!E$419/(Eqtn!E$415*$H285*$D285+Eqtn!E$420*$I285*$E285))</f>
        <v>na</v>
      </c>
      <c r="L285" s="602" t="str">
        <f>IF(OR($D285="na",$D285="no calc"),"na",0.000001*Eqtn!F$419/(Eqtn!F$415*$H285*$D285+Eqtn!F$420*$I285*$E285))</f>
        <v>na</v>
      </c>
      <c r="M285" s="17" t="str">
        <f>IF(OR($D285="na",$D285="no calc"),"na",0.00001*Eqtn!D$419/(Eqtn!D$415*$H285*$D285+Eqtn!D$420*$I285*$E285))</f>
        <v>na</v>
      </c>
      <c r="N285" s="17" t="str">
        <f>IF(OR($D285="na",$D285="no calc"),"na",0.00001*Eqtn!E$419/(Eqtn!E$415*$H285*$D285+Eqtn!E$420*$I285*$E285))</f>
        <v>na</v>
      </c>
      <c r="O285" s="694" t="str">
        <f>IF(OR($D285="na",$D285="no calc"),"na",0.00001*Eqtn!F$419/(Eqtn!F$415*$H285*$D285+Eqtn!F$420*$I285*$E285))</f>
        <v>na</v>
      </c>
      <c r="P285" s="662" t="str">
        <f>IF(OR($F285="na",$F285="no calc"),"na",1*Eqtn!D$451/(Eqtn!D$447*$H285/$F285+Eqtn!D$452*$I285/$G285))</f>
        <v>na</v>
      </c>
      <c r="Q285" s="662" t="str">
        <f>IF(OR($F285="na",$F285="no calc"),"na",1*Eqtn!E$451/(Eqtn!E$447*$H285/$F285+Eqtn!E$452*$I285/$G285))</f>
        <v>na</v>
      </c>
      <c r="R285" s="662" t="str">
        <f>IF(OR($F285="na",$F285="no calc"),"na",1*Eqtn!F$451/(Eqtn!F$447*$H285/$F285+Eqtn!F$452*$I285/$G285))</f>
        <v>na</v>
      </c>
      <c r="S285" s="1418" t="str">
        <f t="shared" si="207"/>
        <v>na</v>
      </c>
      <c r="T285" s="1418" t="str">
        <f t="shared" si="208"/>
        <v>na</v>
      </c>
      <c r="U285" s="1418" t="str">
        <f t="shared" si="209"/>
        <v>na</v>
      </c>
      <c r="V285" s="1405" t="str">
        <f t="shared" si="210"/>
        <v>na</v>
      </c>
      <c r="W285" s="1383" t="str">
        <f t="shared" si="211"/>
        <v>na</v>
      </c>
      <c r="X285" s="1383" t="str">
        <f t="shared" si="212"/>
        <v>na</v>
      </c>
      <c r="Y285" s="1383" t="str">
        <f t="shared" si="213"/>
        <v>na</v>
      </c>
      <c r="Z285" s="1384" t="str">
        <f t="shared" si="214"/>
        <v>na</v>
      </c>
      <c r="AB285" s="1062"/>
    </row>
    <row r="286" spans="1:28" ht="13.9" customHeight="1" x14ac:dyDescent="0.25">
      <c r="A286" s="846">
        <f>Chem!A286</f>
        <v>284</v>
      </c>
      <c r="B286" s="1580" t="str">
        <f>Chem!B286</f>
        <v>Dalapon</v>
      </c>
      <c r="C286" s="2305" t="str">
        <f>Param!AK286</f>
        <v>no</v>
      </c>
      <c r="D286" s="384" t="str">
        <f>IF(C286="YES",Param!V286,"no calc")</f>
        <v>no calc</v>
      </c>
      <c r="E286" s="552" t="str">
        <f>IF(C286="YES",Param!X286,"no calc")</f>
        <v>no calc</v>
      </c>
      <c r="F286" s="384" t="str">
        <f>IF(C286="YES",Param!O286,"no calc")</f>
        <v>no calc</v>
      </c>
      <c r="G286" s="622" t="str">
        <f>IF(C286="YES",Param!S286,"no calc")</f>
        <v>no calc</v>
      </c>
      <c r="H286" s="803" t="str">
        <f>IF(C286="YES",Param!AD286,"no calc")</f>
        <v>no calc</v>
      </c>
      <c r="I286" s="595" t="str">
        <f>IF(C286="YES",Param!AE286,"no calc")</f>
        <v>no calc</v>
      </c>
      <c r="J286" s="602" t="str">
        <f>IF(OR($D286="na",$D286="no calc"),"na",0.000001*Eqtn!D$419/(Eqtn!D$415*$H286*$D286+Eqtn!D$420*$I286*$E286))</f>
        <v>na</v>
      </c>
      <c r="K286" s="602" t="str">
        <f>IF(OR($D286="na",$D286="no calc"),"na",0.000001*Eqtn!E$419/(Eqtn!E$415*$H286*$D286+Eqtn!E$420*$I286*$E286))</f>
        <v>na</v>
      </c>
      <c r="L286" s="602" t="str">
        <f>IF(OR($D286="na",$D286="no calc"),"na",0.000001*Eqtn!F$419/(Eqtn!F$415*$H286*$D286+Eqtn!F$420*$I286*$E286))</f>
        <v>na</v>
      </c>
      <c r="M286" s="17" t="str">
        <f>IF(OR($D286="na",$D286="no calc"),"na",0.00001*Eqtn!D$419/(Eqtn!D$415*$H286*$D286+Eqtn!D$420*$I286*$E286))</f>
        <v>na</v>
      </c>
      <c r="N286" s="17" t="str">
        <f>IF(OR($D286="na",$D286="no calc"),"na",0.00001*Eqtn!E$419/(Eqtn!E$415*$H286*$D286+Eqtn!E$420*$I286*$E286))</f>
        <v>na</v>
      </c>
      <c r="O286" s="694" t="str">
        <f>IF(OR($D286="na",$D286="no calc"),"na",0.00001*Eqtn!F$419/(Eqtn!F$415*$H286*$D286+Eqtn!F$420*$I286*$E286))</f>
        <v>na</v>
      </c>
      <c r="P286" s="662" t="str">
        <f>IF(OR($F286="na",$F286="no calc"),"na",1*Eqtn!D$451/(Eqtn!D$447*$H286/$F286+Eqtn!D$452*$I286/$G286))</f>
        <v>na</v>
      </c>
      <c r="Q286" s="662" t="str">
        <f>IF(OR($F286="na",$F286="no calc"),"na",1*Eqtn!E$451/(Eqtn!E$447*$H286/$F286+Eqtn!E$452*$I286/$G286))</f>
        <v>na</v>
      </c>
      <c r="R286" s="662" t="str">
        <f>IF(OR($F286="na",$F286="no calc"),"na",1*Eqtn!F$451/(Eqtn!F$447*$H286/$F286+Eqtn!F$452*$I286/$G286))</f>
        <v>na</v>
      </c>
      <c r="S286" s="1418" t="str">
        <f t="shared" si="207"/>
        <v>na</v>
      </c>
      <c r="T286" s="1418" t="str">
        <f t="shared" si="208"/>
        <v>na</v>
      </c>
      <c r="U286" s="1418" t="str">
        <f t="shared" si="209"/>
        <v>na</v>
      </c>
      <c r="V286" s="1405" t="str">
        <f t="shared" si="210"/>
        <v>na</v>
      </c>
      <c r="W286" s="1383" t="str">
        <f t="shared" si="211"/>
        <v>na</v>
      </c>
      <c r="X286" s="1383" t="str">
        <f t="shared" si="212"/>
        <v>na</v>
      </c>
      <c r="Y286" s="1383" t="str">
        <f t="shared" si="213"/>
        <v>na</v>
      </c>
      <c r="Z286" s="1384" t="str">
        <f t="shared" si="214"/>
        <v>na</v>
      </c>
      <c r="AB286" s="1062"/>
    </row>
    <row r="287" spans="1:28" ht="13.9" customHeight="1" x14ac:dyDescent="0.25">
      <c r="A287" s="846">
        <f>Chem!A287</f>
        <v>285</v>
      </c>
      <c r="B287" s="1580" t="str">
        <f>Chem!B287</f>
        <v>Dicamba</v>
      </c>
      <c r="C287" s="2305" t="str">
        <f>Param!AK287</f>
        <v>no</v>
      </c>
      <c r="D287" s="384" t="str">
        <f>IF(C287="YES",Param!V287,"no calc")</f>
        <v>no calc</v>
      </c>
      <c r="E287" s="552" t="str">
        <f>IF(C287="YES",Param!X287,"no calc")</f>
        <v>no calc</v>
      </c>
      <c r="F287" s="384" t="str">
        <f>IF(C287="YES",Param!O287,"no calc")</f>
        <v>no calc</v>
      </c>
      <c r="G287" s="622" t="str">
        <f>IF(C287="YES",Param!S287,"no calc")</f>
        <v>no calc</v>
      </c>
      <c r="H287" s="803" t="str">
        <f>IF(C287="YES",Param!AD287,"no calc")</f>
        <v>no calc</v>
      </c>
      <c r="I287" s="595" t="str">
        <f>IF(C287="YES",Param!AE287,"no calc")</f>
        <v>no calc</v>
      </c>
      <c r="J287" s="602" t="str">
        <f>IF(OR($D287="na",$D287="no calc"),"na",0.000001*Eqtn!D$419/(Eqtn!D$415*$H287*$D287+Eqtn!D$420*$I287*$E287))</f>
        <v>na</v>
      </c>
      <c r="K287" s="602" t="str">
        <f>IF(OR($D287="na",$D287="no calc"),"na",0.000001*Eqtn!E$419/(Eqtn!E$415*$H287*$D287+Eqtn!E$420*$I287*$E287))</f>
        <v>na</v>
      </c>
      <c r="L287" s="602" t="str">
        <f>IF(OR($D287="na",$D287="no calc"),"na",0.000001*Eqtn!F$419/(Eqtn!F$415*$H287*$D287+Eqtn!F$420*$I287*$E287))</f>
        <v>na</v>
      </c>
      <c r="M287" s="17" t="str">
        <f>IF(OR($D287="na",$D287="no calc"),"na",0.00001*Eqtn!D$419/(Eqtn!D$415*$H287*$D287+Eqtn!D$420*$I287*$E287))</f>
        <v>na</v>
      </c>
      <c r="N287" s="17" t="str">
        <f>IF(OR($D287="na",$D287="no calc"),"na",0.00001*Eqtn!E$419/(Eqtn!E$415*$H287*$D287+Eqtn!E$420*$I287*$E287))</f>
        <v>na</v>
      </c>
      <c r="O287" s="694" t="str">
        <f>IF(OR($D287="na",$D287="no calc"),"na",0.00001*Eqtn!F$419/(Eqtn!F$415*$H287*$D287+Eqtn!F$420*$I287*$E287))</f>
        <v>na</v>
      </c>
      <c r="P287" s="662" t="str">
        <f>IF(OR($F287="na",$F287="no calc"),"na",1*Eqtn!D$451/(Eqtn!D$447*$H287/$F287+Eqtn!D$452*$I287/$G287))</f>
        <v>na</v>
      </c>
      <c r="Q287" s="662" t="str">
        <f>IF(OR($F287="na",$F287="no calc"),"na",1*Eqtn!E$451/(Eqtn!E$447*$H287/$F287+Eqtn!E$452*$I287/$G287))</f>
        <v>na</v>
      </c>
      <c r="R287" s="662" t="str">
        <f>IF(OR($F287="na",$F287="no calc"),"na",1*Eqtn!F$451/(Eqtn!F$447*$H287/$F287+Eqtn!F$452*$I287/$G287))</f>
        <v>na</v>
      </c>
      <c r="S287" s="1418" t="str">
        <f t="shared" si="207"/>
        <v>na</v>
      </c>
      <c r="T287" s="1418" t="str">
        <f t="shared" si="208"/>
        <v>na</v>
      </c>
      <c r="U287" s="1418" t="str">
        <f t="shared" si="209"/>
        <v>na</v>
      </c>
      <c r="V287" s="1405" t="str">
        <f t="shared" si="210"/>
        <v>na</v>
      </c>
      <c r="W287" s="1383" t="str">
        <f t="shared" si="211"/>
        <v>na</v>
      </c>
      <c r="X287" s="1383" t="str">
        <f t="shared" si="212"/>
        <v>na</v>
      </c>
      <c r="Y287" s="1383" t="str">
        <f t="shared" si="213"/>
        <v>na</v>
      </c>
      <c r="Z287" s="1384" t="str">
        <f t="shared" si="214"/>
        <v>na</v>
      </c>
      <c r="AB287" s="1062"/>
    </row>
    <row r="288" spans="1:28" ht="13.9" customHeight="1" x14ac:dyDescent="0.25">
      <c r="A288" s="846">
        <f>Chem!A288</f>
        <v>286</v>
      </c>
      <c r="B288" s="1580" t="str">
        <f>Chem!B288</f>
        <v>Dichloroprop</v>
      </c>
      <c r="C288" s="2305" t="str">
        <f>Param!AK288</f>
        <v>no</v>
      </c>
      <c r="D288" s="384" t="str">
        <f>IF(C288="YES",Param!V288,"no calc")</f>
        <v>no calc</v>
      </c>
      <c r="E288" s="552" t="str">
        <f>IF(C288="YES",Param!X288,"no calc")</f>
        <v>no calc</v>
      </c>
      <c r="F288" s="384" t="str">
        <f>IF(C288="YES",Param!O288,"no calc")</f>
        <v>no calc</v>
      </c>
      <c r="G288" s="622" t="str">
        <f>IF(C288="YES",Param!S288,"no calc")</f>
        <v>no calc</v>
      </c>
      <c r="H288" s="803" t="str">
        <f>IF(C288="YES",Param!AD288,"no calc")</f>
        <v>no calc</v>
      </c>
      <c r="I288" s="595" t="str">
        <f>IF(C288="YES",Param!AE288,"no calc")</f>
        <v>no calc</v>
      </c>
      <c r="J288" s="602" t="str">
        <f>IF(OR($D288="na",$D288="no calc"),"na",0.000001*Eqtn!D$419/(Eqtn!D$415*$H288*$D288+Eqtn!D$420*$I288*$E288))</f>
        <v>na</v>
      </c>
      <c r="K288" s="602" t="str">
        <f>IF(OR($D288="na",$D288="no calc"),"na",0.000001*Eqtn!E$419/(Eqtn!E$415*$H288*$D288+Eqtn!E$420*$I288*$E288))</f>
        <v>na</v>
      </c>
      <c r="L288" s="602" t="str">
        <f>IF(OR($D288="na",$D288="no calc"),"na",0.000001*Eqtn!F$419/(Eqtn!F$415*$H288*$D288+Eqtn!F$420*$I288*$E288))</f>
        <v>na</v>
      </c>
      <c r="M288" s="17" t="str">
        <f>IF(OR($D288="na",$D288="no calc"),"na",0.00001*Eqtn!D$419/(Eqtn!D$415*$H288*$D288+Eqtn!D$420*$I288*$E288))</f>
        <v>na</v>
      </c>
      <c r="N288" s="17" t="str">
        <f>IF(OR($D288="na",$D288="no calc"),"na",0.00001*Eqtn!E$419/(Eqtn!E$415*$H288*$D288+Eqtn!E$420*$I288*$E288))</f>
        <v>na</v>
      </c>
      <c r="O288" s="694" t="str">
        <f>IF(OR($D288="na",$D288="no calc"),"na",0.00001*Eqtn!F$419/(Eqtn!F$415*$H288*$D288+Eqtn!F$420*$I288*$E288))</f>
        <v>na</v>
      </c>
      <c r="P288" s="662" t="str">
        <f>IF(OR($F288="na",$F288="no calc"),"na",1*Eqtn!D$451/(Eqtn!D$447*$H288/$F288+Eqtn!D$452*$I288/$G288))</f>
        <v>na</v>
      </c>
      <c r="Q288" s="662" t="str">
        <f>IF(OR($F288="na",$F288="no calc"),"na",1*Eqtn!E$451/(Eqtn!E$447*$H288/$F288+Eqtn!E$452*$I288/$G288))</f>
        <v>na</v>
      </c>
      <c r="R288" s="662" t="str">
        <f>IF(OR($F288="na",$F288="no calc"),"na",1*Eqtn!F$451/(Eqtn!F$447*$H288/$F288+Eqtn!F$452*$I288/$G288))</f>
        <v>na</v>
      </c>
      <c r="S288" s="1418" t="str">
        <f t="shared" si="207"/>
        <v>na</v>
      </c>
      <c r="T288" s="1418" t="str">
        <f t="shared" si="208"/>
        <v>na</v>
      </c>
      <c r="U288" s="1418" t="str">
        <f t="shared" si="209"/>
        <v>na</v>
      </c>
      <c r="V288" s="1405" t="str">
        <f t="shared" si="210"/>
        <v>na</v>
      </c>
      <c r="W288" s="1383" t="str">
        <f t="shared" si="211"/>
        <v>na</v>
      </c>
      <c r="X288" s="1383" t="str">
        <f t="shared" si="212"/>
        <v>na</v>
      </c>
      <c r="Y288" s="1383" t="str">
        <f t="shared" si="213"/>
        <v>na</v>
      </c>
      <c r="Z288" s="1384" t="str">
        <f t="shared" si="214"/>
        <v>na</v>
      </c>
      <c r="AB288" s="1062"/>
    </row>
    <row r="289" spans="1:28" ht="13.9" customHeight="1" x14ac:dyDescent="0.25">
      <c r="A289" s="846">
        <f>Chem!A289</f>
        <v>287</v>
      </c>
      <c r="B289" s="1580" t="str">
        <f>Chem!B289</f>
        <v>Dinoseb</v>
      </c>
      <c r="C289" s="2305" t="str">
        <f>Param!AK289</f>
        <v>no</v>
      </c>
      <c r="D289" s="384" t="str">
        <f>IF(C289="YES",Param!V289,"no calc")</f>
        <v>no calc</v>
      </c>
      <c r="E289" s="552" t="str">
        <f>IF(C289="YES",Param!X289,"no calc")</f>
        <v>no calc</v>
      </c>
      <c r="F289" s="384" t="str">
        <f>IF(C289="YES",Param!O289,"no calc")</f>
        <v>no calc</v>
      </c>
      <c r="G289" s="622" t="str">
        <f>IF(C289="YES",Param!S289,"no calc")</f>
        <v>no calc</v>
      </c>
      <c r="H289" s="803" t="str">
        <f>IF(C289="YES",Param!AD289,"no calc")</f>
        <v>no calc</v>
      </c>
      <c r="I289" s="595" t="str">
        <f>IF(C289="YES",Param!AE289,"no calc")</f>
        <v>no calc</v>
      </c>
      <c r="J289" s="602" t="str">
        <f>IF(OR($D289="na",$D289="no calc"),"na",0.000001*Eqtn!D$419/(Eqtn!D$415*$H289*$D289+Eqtn!D$420*$I289*$E289))</f>
        <v>na</v>
      </c>
      <c r="K289" s="602" t="str">
        <f>IF(OR($D289="na",$D289="no calc"),"na",0.000001*Eqtn!E$419/(Eqtn!E$415*$H289*$D289+Eqtn!E$420*$I289*$E289))</f>
        <v>na</v>
      </c>
      <c r="L289" s="602" t="str">
        <f>IF(OR($D289="na",$D289="no calc"),"na",0.000001*Eqtn!F$419/(Eqtn!F$415*$H289*$D289+Eqtn!F$420*$I289*$E289))</f>
        <v>na</v>
      </c>
      <c r="M289" s="17" t="str">
        <f>IF(OR($D289="na",$D289="no calc"),"na",0.00001*Eqtn!D$419/(Eqtn!D$415*$H289*$D289+Eqtn!D$420*$I289*$E289))</f>
        <v>na</v>
      </c>
      <c r="N289" s="17" t="str">
        <f>IF(OR($D289="na",$D289="no calc"),"na",0.00001*Eqtn!E$419/(Eqtn!E$415*$H289*$D289+Eqtn!E$420*$I289*$E289))</f>
        <v>na</v>
      </c>
      <c r="O289" s="694" t="str">
        <f>IF(OR($D289="na",$D289="no calc"),"na",0.00001*Eqtn!F$419/(Eqtn!F$415*$H289*$D289+Eqtn!F$420*$I289*$E289))</f>
        <v>na</v>
      </c>
      <c r="P289" s="662" t="str">
        <f>IF(OR($F289="na",$F289="no calc"),"na",1*Eqtn!D$451/(Eqtn!D$447*$H289/$F289+Eqtn!D$452*$I289/$G289))</f>
        <v>na</v>
      </c>
      <c r="Q289" s="662" t="str">
        <f>IF(OR($F289="na",$F289="no calc"),"na",1*Eqtn!E$451/(Eqtn!E$447*$H289/$F289+Eqtn!E$452*$I289/$G289))</f>
        <v>na</v>
      </c>
      <c r="R289" s="662" t="str">
        <f>IF(OR($F289="na",$F289="no calc"),"na",1*Eqtn!F$451/(Eqtn!F$447*$H289/$F289+Eqtn!F$452*$I289/$G289))</f>
        <v>na</v>
      </c>
      <c r="S289" s="1418" t="str">
        <f t="shared" si="207"/>
        <v>na</v>
      </c>
      <c r="T289" s="1418" t="str">
        <f t="shared" si="208"/>
        <v>na</v>
      </c>
      <c r="U289" s="1418" t="str">
        <f t="shared" si="209"/>
        <v>na</v>
      </c>
      <c r="V289" s="1405" t="str">
        <f t="shared" si="210"/>
        <v>na</v>
      </c>
      <c r="W289" s="1383" t="str">
        <f t="shared" si="211"/>
        <v>na</v>
      </c>
      <c r="X289" s="1383" t="str">
        <f t="shared" si="212"/>
        <v>na</v>
      </c>
      <c r="Y289" s="1383" t="str">
        <f t="shared" si="213"/>
        <v>na</v>
      </c>
      <c r="Z289" s="1384" t="str">
        <f t="shared" si="214"/>
        <v>na</v>
      </c>
      <c r="AB289" s="1062"/>
    </row>
    <row r="290" spans="1:28" ht="13.9" customHeight="1" x14ac:dyDescent="0.25">
      <c r="A290" s="846">
        <f>Chem!A290</f>
        <v>288</v>
      </c>
      <c r="B290" s="1580" t="str">
        <f>Chem!B290</f>
        <v>2-Methyl-4-chlorophenoxy acetic acid (MCPA)</v>
      </c>
      <c r="C290" s="2305" t="str">
        <f>Param!AK290</f>
        <v>no</v>
      </c>
      <c r="D290" s="384" t="str">
        <f>IF(C290="YES",Param!V290,"no calc")</f>
        <v>no calc</v>
      </c>
      <c r="E290" s="552" t="str">
        <f>IF(C290="YES",Param!X290,"no calc")</f>
        <v>no calc</v>
      </c>
      <c r="F290" s="384" t="str">
        <f>IF(C290="YES",Param!O290,"no calc")</f>
        <v>no calc</v>
      </c>
      <c r="G290" s="622" t="str">
        <f>IF(C290="YES",Param!S290,"no calc")</f>
        <v>no calc</v>
      </c>
      <c r="H290" s="803" t="str">
        <f>IF(C290="YES",Param!AD290,"no calc")</f>
        <v>no calc</v>
      </c>
      <c r="I290" s="595" t="str">
        <f>IF(C290="YES",Param!AE290,"no calc")</f>
        <v>no calc</v>
      </c>
      <c r="J290" s="602" t="str">
        <f>IF(OR($D290="na",$D290="no calc"),"na",0.000001*Eqtn!D$419/(Eqtn!D$415*$H290*$D290+Eqtn!D$420*$I290*$E290))</f>
        <v>na</v>
      </c>
      <c r="K290" s="602" t="str">
        <f>IF(OR($D290="na",$D290="no calc"),"na",0.000001*Eqtn!E$419/(Eqtn!E$415*$H290*$D290+Eqtn!E$420*$I290*$E290))</f>
        <v>na</v>
      </c>
      <c r="L290" s="602" t="str">
        <f>IF(OR($D290="na",$D290="no calc"),"na",0.000001*Eqtn!F$419/(Eqtn!F$415*$H290*$D290+Eqtn!F$420*$I290*$E290))</f>
        <v>na</v>
      </c>
      <c r="M290" s="17" t="str">
        <f>IF(OR($D290="na",$D290="no calc"),"na",0.00001*Eqtn!D$419/(Eqtn!D$415*$H290*$D290+Eqtn!D$420*$I290*$E290))</f>
        <v>na</v>
      </c>
      <c r="N290" s="17" t="str">
        <f>IF(OR($D290="na",$D290="no calc"),"na",0.00001*Eqtn!E$419/(Eqtn!E$415*$H290*$D290+Eqtn!E$420*$I290*$E290))</f>
        <v>na</v>
      </c>
      <c r="O290" s="694" t="str">
        <f>IF(OR($D290="na",$D290="no calc"),"na",0.00001*Eqtn!F$419/(Eqtn!F$415*$H290*$D290+Eqtn!F$420*$I290*$E290))</f>
        <v>na</v>
      </c>
      <c r="P290" s="662" t="str">
        <f>IF(OR($F290="na",$F290="no calc"),"na",1*Eqtn!D$451/(Eqtn!D$447*$H290/$F290+Eqtn!D$452*$I290/$G290))</f>
        <v>na</v>
      </c>
      <c r="Q290" s="662" t="str">
        <f>IF(OR($F290="na",$F290="no calc"),"na",1*Eqtn!E$451/(Eqtn!E$447*$H290/$F290+Eqtn!E$452*$I290/$G290))</f>
        <v>na</v>
      </c>
      <c r="R290" s="662" t="str">
        <f>IF(OR($F290="na",$F290="no calc"),"na",1*Eqtn!F$451/(Eqtn!F$447*$H290/$F290+Eqtn!F$452*$I290/$G290))</f>
        <v>na</v>
      </c>
      <c r="S290" s="1418" t="str">
        <f t="shared" si="207"/>
        <v>na</v>
      </c>
      <c r="T290" s="1418" t="str">
        <f t="shared" si="208"/>
        <v>na</v>
      </c>
      <c r="U290" s="1418" t="str">
        <f t="shared" si="209"/>
        <v>na</v>
      </c>
      <c r="V290" s="1405" t="str">
        <f t="shared" si="210"/>
        <v>na</v>
      </c>
      <c r="W290" s="1383" t="str">
        <f t="shared" si="211"/>
        <v>na</v>
      </c>
      <c r="X290" s="1383" t="str">
        <f t="shared" si="212"/>
        <v>na</v>
      </c>
      <c r="Y290" s="1383" t="str">
        <f t="shared" si="213"/>
        <v>na</v>
      </c>
      <c r="Z290" s="1384" t="str">
        <f t="shared" si="214"/>
        <v>na</v>
      </c>
      <c r="AB290" s="1062"/>
    </row>
    <row r="291" spans="1:28" ht="13.9" customHeight="1" thickBot="1" x14ac:dyDescent="0.3">
      <c r="A291" s="1662">
        <f>Chem!A291</f>
        <v>289</v>
      </c>
      <c r="B291" s="1581" t="str">
        <f>Chem!B291</f>
        <v>(2-Methyl-4-chlorophenol)2-propionic acid (MCPP)</v>
      </c>
      <c r="C291" s="2315" t="str">
        <f>Param!AK291</f>
        <v>no</v>
      </c>
      <c r="D291" s="399" t="str">
        <f>IF(C291="YES",Param!V291,"no calc")</f>
        <v>no calc</v>
      </c>
      <c r="E291" s="561" t="str">
        <f>IF(C291="YES",Param!X291,"no calc")</f>
        <v>no calc</v>
      </c>
      <c r="F291" s="399" t="str">
        <f>IF(C291="YES",Param!O291,"no calc")</f>
        <v>no calc</v>
      </c>
      <c r="G291" s="626" t="str">
        <f>IF(C291="YES",Param!S291,"no calc")</f>
        <v>no calc</v>
      </c>
      <c r="H291" s="626" t="str">
        <f>IF(C291="YES",Param!AD291,"no calc")</f>
        <v>no calc</v>
      </c>
      <c r="I291" s="601" t="str">
        <f>IF(C291="YES",Param!AE291,"no calc")</f>
        <v>no calc</v>
      </c>
      <c r="J291" s="610" t="str">
        <f>IF(OR($D291="na",$D291="no calc"),"na",0.000001*Eqtn!D$419/(Eqtn!D$415*$H291*$D291+Eqtn!D$420*$I291*$E291))</f>
        <v>na</v>
      </c>
      <c r="K291" s="610" t="str">
        <f>IF(OR($D291="na",$D291="no calc"),"na",0.000001*Eqtn!E$419/(Eqtn!E$415*$H291*$D291+Eqtn!E$420*$I291*$E291))</f>
        <v>na</v>
      </c>
      <c r="L291" s="610" t="str">
        <f>IF(OR($D291="na",$D291="no calc"),"na",0.000001*Eqtn!F$419/(Eqtn!F$415*$H291*$D291+Eqtn!F$420*$I291*$E291))</f>
        <v>na</v>
      </c>
      <c r="M291" s="824" t="str">
        <f>IF(OR($D291="na",$D291="no calc"),"na",0.00001*Eqtn!D$419/(Eqtn!D$415*$H291*$D291+Eqtn!D$420*$I291*$E291))</f>
        <v>na</v>
      </c>
      <c r="N291" s="824" t="str">
        <f>IF(OR($D291="na",$D291="no calc"),"na",0.00001*Eqtn!E$419/(Eqtn!E$415*$H291*$D291+Eqtn!E$420*$I291*$E291))</f>
        <v>na</v>
      </c>
      <c r="O291" s="708" t="str">
        <f>IF(OR($D291="na",$D291="no calc"),"na",0.00001*Eqtn!F$419/(Eqtn!F$415*$H291*$D291+Eqtn!F$420*$I291*$E291))</f>
        <v>na</v>
      </c>
      <c r="P291" s="669" t="str">
        <f>IF(OR($F291="na",$F291="no calc"),"na",1*Eqtn!D$451/(Eqtn!D$447*$H291/$F291+Eqtn!D$452*$I291/$G291))</f>
        <v>na</v>
      </c>
      <c r="Q291" s="669" t="str">
        <f>IF(OR($F291="na",$F291="no calc"),"na",1*Eqtn!E$451/(Eqtn!E$447*$H291/$F291+Eqtn!E$452*$I291/$G291))</f>
        <v>na</v>
      </c>
      <c r="R291" s="669" t="str">
        <f>IF(OR($F291="na",$F291="no calc"),"na",1*Eqtn!F$451/(Eqtn!F$447*$H291/$F291+Eqtn!F$452*$I291/$G291))</f>
        <v>na</v>
      </c>
      <c r="S291" s="1429" t="str">
        <f t="shared" si="207"/>
        <v>na</v>
      </c>
      <c r="T291" s="1429" t="str">
        <f t="shared" si="208"/>
        <v>na</v>
      </c>
      <c r="U291" s="1429" t="str">
        <f t="shared" si="209"/>
        <v>na</v>
      </c>
      <c r="V291" s="1406" t="str">
        <f t="shared" si="210"/>
        <v>na</v>
      </c>
      <c r="W291" s="1403" t="str">
        <f t="shared" si="211"/>
        <v>na</v>
      </c>
      <c r="X291" s="1403" t="str">
        <f t="shared" si="212"/>
        <v>na</v>
      </c>
      <c r="Y291" s="1403" t="str">
        <f t="shared" si="213"/>
        <v>na</v>
      </c>
      <c r="Z291" s="1404" t="str">
        <f t="shared" si="214"/>
        <v>na</v>
      </c>
      <c r="AB291" s="1065"/>
    </row>
    <row r="292" spans="1:28" ht="15.75" thickTop="1" x14ac:dyDescent="0.25">
      <c r="B292" s="280"/>
      <c r="C292" s="10"/>
      <c r="D292" s="10"/>
      <c r="I292" s="325"/>
    </row>
    <row r="293" spans="1:28" x14ac:dyDescent="0.25">
      <c r="B293" s="280"/>
      <c r="C293" s="10"/>
      <c r="D293" s="10"/>
      <c r="I293" s="325"/>
    </row>
    <row r="294" spans="1:28" x14ac:dyDescent="0.25">
      <c r="B294" s="280"/>
      <c r="C294" s="10"/>
      <c r="D294" s="10"/>
      <c r="I294" s="325"/>
    </row>
    <row r="295" spans="1:28" x14ac:dyDescent="0.25">
      <c r="B295" s="280"/>
      <c r="C295" s="10"/>
      <c r="D295" s="10"/>
      <c r="I295" s="328"/>
    </row>
    <row r="296" spans="1:28" x14ac:dyDescent="0.25">
      <c r="B296" s="280"/>
      <c r="C296" s="10"/>
      <c r="D296" s="10"/>
      <c r="I296" s="328"/>
    </row>
    <row r="297" spans="1:28" x14ac:dyDescent="0.25">
      <c r="B297" s="280"/>
      <c r="C297" s="10"/>
      <c r="D297" s="10"/>
      <c r="I297" s="328"/>
    </row>
    <row r="298" spans="1:28" x14ac:dyDescent="0.25">
      <c r="B298" s="280"/>
      <c r="C298" s="10"/>
      <c r="D298" s="10"/>
      <c r="I298" s="328"/>
    </row>
    <row r="299" spans="1:28" x14ac:dyDescent="0.25">
      <c r="B299" s="280"/>
      <c r="C299" s="10"/>
      <c r="D299" s="10"/>
      <c r="E299" s="130"/>
      <c r="F299" s="130"/>
      <c r="G299" s="130"/>
      <c r="H299" s="130"/>
      <c r="I299" s="328"/>
      <c r="J299" s="130"/>
      <c r="K299" s="130"/>
      <c r="L299" s="130"/>
      <c r="M299" s="130"/>
      <c r="N299" s="130"/>
      <c r="O299" s="130"/>
      <c r="P299" s="130"/>
      <c r="Q299" s="130"/>
      <c r="R299" s="130"/>
      <c r="S299" s="130"/>
      <c r="T299" s="130"/>
      <c r="U299" s="130"/>
      <c r="V299" s="130"/>
      <c r="W299" s="130"/>
      <c r="X299" s="130"/>
      <c r="Y299" s="130"/>
      <c r="Z299" s="130"/>
      <c r="AA299" s="130"/>
    </row>
    <row r="300" spans="1:28" x14ac:dyDescent="0.25">
      <c r="B300" s="280"/>
      <c r="C300" s="10"/>
      <c r="D300" s="10"/>
      <c r="E300" s="130"/>
      <c r="F300" s="130"/>
      <c r="G300" s="130"/>
      <c r="H300" s="130"/>
      <c r="I300" s="328"/>
      <c r="J300" s="130"/>
      <c r="K300" s="130"/>
      <c r="L300" s="130"/>
      <c r="M300" s="130"/>
      <c r="N300" s="130"/>
      <c r="O300" s="130"/>
      <c r="P300" s="130"/>
      <c r="Q300" s="130"/>
      <c r="R300" s="130"/>
      <c r="S300" s="130"/>
      <c r="T300" s="130"/>
      <c r="U300" s="130"/>
      <c r="V300" s="130"/>
      <c r="W300" s="130"/>
      <c r="X300" s="130"/>
      <c r="Y300" s="130"/>
      <c r="Z300" s="130"/>
      <c r="AA300" s="130"/>
    </row>
    <row r="301" spans="1:28" x14ac:dyDescent="0.25">
      <c r="B301" s="280"/>
      <c r="C301" s="10"/>
      <c r="D301" s="10"/>
      <c r="E301" s="130"/>
      <c r="F301" s="130"/>
      <c r="G301" s="130"/>
      <c r="H301" s="130"/>
      <c r="I301" s="328"/>
      <c r="J301" s="130"/>
      <c r="K301" s="130"/>
      <c r="L301" s="130"/>
      <c r="M301" s="130"/>
      <c r="N301" s="130"/>
      <c r="O301" s="130"/>
      <c r="P301" s="130"/>
      <c r="Q301" s="130"/>
      <c r="R301" s="130"/>
      <c r="S301" s="130"/>
      <c r="T301" s="130"/>
      <c r="U301" s="130"/>
      <c r="V301" s="130"/>
      <c r="W301" s="130"/>
      <c r="X301" s="130"/>
      <c r="Y301" s="130"/>
      <c r="Z301" s="130"/>
      <c r="AA301" s="130"/>
    </row>
    <row r="302" spans="1:28" x14ac:dyDescent="0.25">
      <c r="B302" s="280"/>
      <c r="C302" s="10"/>
      <c r="D302" s="10"/>
      <c r="E302" s="130"/>
      <c r="F302" s="130"/>
      <c r="G302" s="130"/>
      <c r="H302" s="130"/>
      <c r="I302" s="328"/>
      <c r="J302" s="130"/>
      <c r="K302" s="130"/>
      <c r="L302" s="130"/>
      <c r="M302" s="130"/>
      <c r="N302" s="130"/>
      <c r="O302" s="130"/>
      <c r="P302" s="130"/>
      <c r="Q302" s="130"/>
      <c r="R302" s="130"/>
      <c r="S302" s="130"/>
      <c r="T302" s="130"/>
      <c r="U302" s="130"/>
      <c r="V302" s="130"/>
      <c r="W302" s="130"/>
      <c r="X302" s="130"/>
      <c r="Y302" s="130"/>
      <c r="Z302" s="130"/>
      <c r="AA302" s="130"/>
    </row>
    <row r="303" spans="1:28" x14ac:dyDescent="0.25">
      <c r="D303" s="10"/>
      <c r="E303" s="130"/>
      <c r="F303" s="130"/>
      <c r="G303" s="130"/>
      <c r="H303" s="130"/>
      <c r="I303" s="328"/>
      <c r="J303" s="130"/>
      <c r="K303" s="130"/>
      <c r="L303" s="130"/>
      <c r="M303" s="130"/>
      <c r="N303" s="130"/>
      <c r="O303" s="130"/>
      <c r="P303" s="130"/>
      <c r="Q303" s="130"/>
      <c r="R303" s="130"/>
      <c r="S303" s="130"/>
      <c r="T303" s="130"/>
      <c r="U303" s="130"/>
      <c r="V303" s="130"/>
      <c r="W303" s="130"/>
      <c r="X303" s="130"/>
      <c r="Y303" s="130"/>
      <c r="Z303" s="130"/>
      <c r="AA303" s="130"/>
    </row>
    <row r="304" spans="1:28" x14ac:dyDescent="0.25">
      <c r="D304" s="10"/>
      <c r="E304" s="130"/>
      <c r="F304" s="130"/>
      <c r="G304" s="130"/>
      <c r="H304" s="130"/>
      <c r="I304" s="328"/>
      <c r="J304" s="130"/>
      <c r="K304" s="130"/>
      <c r="L304" s="130"/>
      <c r="M304" s="130"/>
      <c r="N304" s="130"/>
      <c r="O304" s="130"/>
      <c r="P304" s="130"/>
      <c r="Q304" s="130"/>
      <c r="R304" s="130"/>
      <c r="S304" s="130"/>
      <c r="T304" s="130"/>
      <c r="U304" s="130"/>
      <c r="V304" s="130"/>
      <c r="W304" s="130"/>
      <c r="X304" s="130"/>
      <c r="Y304" s="130"/>
      <c r="Z304" s="130"/>
      <c r="AA304" s="130"/>
    </row>
    <row r="305" spans="4:27" x14ac:dyDescent="0.25">
      <c r="D305" s="10"/>
      <c r="E305" s="130"/>
      <c r="F305" s="130"/>
      <c r="G305" s="130"/>
      <c r="H305" s="130"/>
      <c r="I305" s="328"/>
      <c r="J305" s="130"/>
      <c r="K305" s="130"/>
      <c r="L305" s="130"/>
      <c r="M305" s="130"/>
      <c r="N305" s="130"/>
      <c r="O305" s="130"/>
      <c r="P305" s="130"/>
      <c r="Q305" s="130"/>
      <c r="R305" s="130"/>
      <c r="S305" s="130"/>
      <c r="T305" s="130"/>
      <c r="U305" s="130"/>
      <c r="V305" s="130"/>
      <c r="W305" s="130"/>
      <c r="X305" s="130"/>
      <c r="Y305" s="130"/>
      <c r="Z305" s="130"/>
      <c r="AA305" s="130"/>
    </row>
    <row r="306" spans="4:27" x14ac:dyDescent="0.25">
      <c r="D306" s="10"/>
      <c r="E306" s="130"/>
      <c r="F306" s="130"/>
      <c r="G306" s="130"/>
      <c r="H306" s="130"/>
      <c r="I306" s="328"/>
      <c r="J306" s="130"/>
      <c r="K306" s="130"/>
      <c r="L306" s="130"/>
      <c r="M306" s="130"/>
      <c r="N306" s="130"/>
      <c r="O306" s="130"/>
      <c r="P306" s="130"/>
      <c r="Q306" s="130"/>
      <c r="R306" s="130"/>
      <c r="S306" s="130"/>
      <c r="T306" s="130"/>
      <c r="U306" s="130"/>
      <c r="V306" s="130"/>
      <c r="W306" s="130"/>
      <c r="X306" s="130"/>
      <c r="Y306" s="130"/>
      <c r="Z306" s="130"/>
      <c r="AA306" s="130"/>
    </row>
    <row r="307" spans="4:27" x14ac:dyDescent="0.25">
      <c r="I307" s="328"/>
    </row>
    <row r="308" spans="4:27" x14ac:dyDescent="0.25">
      <c r="I308" s="328"/>
    </row>
    <row r="309" spans="4:27" x14ac:dyDescent="0.25">
      <c r="I309" s="328"/>
    </row>
    <row r="310" spans="4:27" x14ac:dyDescent="0.25">
      <c r="I310" s="328"/>
    </row>
    <row r="311" spans="4:27" x14ac:dyDescent="0.25">
      <c r="I311" s="328"/>
    </row>
    <row r="312" spans="4:27" x14ac:dyDescent="0.25">
      <c r="I312" s="328"/>
    </row>
    <row r="313" spans="4:27" x14ac:dyDescent="0.25">
      <c r="I313" s="328"/>
    </row>
    <row r="314" spans="4:27" x14ac:dyDescent="0.25">
      <c r="I314" s="328"/>
    </row>
    <row r="315" spans="4:27" x14ac:dyDescent="0.25">
      <c r="I315" s="328"/>
    </row>
    <row r="316" spans="4:27" x14ac:dyDescent="0.25">
      <c r="I316" s="328"/>
    </row>
    <row r="317" spans="4:27" x14ac:dyDescent="0.25">
      <c r="I317" s="328"/>
    </row>
    <row r="318" spans="4:27" x14ac:dyDescent="0.25">
      <c r="I318" s="328"/>
    </row>
  </sheetData>
  <autoFilter ref="A2:AB280" xr:uid="{00000000-0009-0000-0000-000011000000}"/>
  <printOptions horizontalCentered="1"/>
  <pageMargins left="0.7" right="0.7" top="0.75" bottom="0.75" header="0.3" footer="0.3"/>
  <pageSetup paperSize="3" orientation="landscape" r:id="rId1"/>
  <headerFooter scaleWithDoc="0">
    <oddFooter>&amp;R&amp;"Arial,Regular"&amp;9Page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F"/>
  </sheetPr>
  <dimension ref="A1:AY293"/>
  <sheetViews>
    <sheetView zoomScaleNormal="100" workbookViewId="0">
      <pane xSplit="2" ySplit="2" topLeftCell="C3" activePane="bottomRight" state="frozen"/>
      <selection pane="topRight" activeCell="B1" sqref="B1"/>
      <selection pane="bottomLeft" activeCell="A3" sqref="A3"/>
      <selection pane="bottomRight" activeCell="B1" sqref="B1"/>
    </sheetView>
  </sheetViews>
  <sheetFormatPr defaultRowHeight="13.9" customHeight="1" x14ac:dyDescent="0.25"/>
  <cols>
    <col min="1" max="1" width="6" style="945" customWidth="1"/>
    <col min="2" max="2" width="34.7109375" style="135" customWidth="1"/>
    <col min="3" max="3" width="13.5703125" style="135" customWidth="1"/>
    <col min="4" max="4" width="14" style="135" customWidth="1"/>
    <col min="5" max="5" width="15.28515625" style="135" customWidth="1"/>
    <col min="6" max="6" width="14.42578125" style="135" customWidth="1"/>
    <col min="7" max="7" width="13.28515625" style="135" customWidth="1"/>
    <col min="8" max="8" width="13.7109375" customWidth="1"/>
    <col min="9" max="9" width="14" customWidth="1"/>
    <col min="10" max="10" width="16.28515625" customWidth="1"/>
    <col min="11" max="11" width="16.7109375" customWidth="1"/>
    <col min="12" max="12" width="14.140625" customWidth="1"/>
    <col min="13" max="13" width="15.42578125" customWidth="1"/>
    <col min="14" max="14" width="16.28515625" customWidth="1"/>
    <col min="15" max="15" width="18.28515625" customWidth="1"/>
    <col min="16" max="16" width="12.7109375" customWidth="1"/>
    <col min="17" max="17" width="13.42578125" customWidth="1"/>
    <col min="18" max="18" width="4.42578125" customWidth="1"/>
    <col min="19" max="44" width="4.28515625" style="199" customWidth="1"/>
    <col min="45" max="45" width="4.28515625" style="945" customWidth="1"/>
    <col min="46" max="46" width="8.85546875" style="1031"/>
  </cols>
  <sheetData>
    <row r="1" spans="1:51" s="2" customFormat="1" ht="16.5" thickTop="1" thickBot="1" x14ac:dyDescent="0.25">
      <c r="A1" s="199"/>
      <c r="B1" s="1203" t="s">
        <v>1685</v>
      </c>
      <c r="C1" s="240"/>
      <c r="D1" s="240"/>
      <c r="E1" s="240"/>
      <c r="F1" s="240"/>
      <c r="G1" s="240"/>
      <c r="H1" s="187"/>
      <c r="I1" s="187"/>
      <c r="J1" s="187"/>
      <c r="K1" s="187"/>
      <c r="L1" s="187"/>
      <c r="M1" s="187"/>
      <c r="N1" s="187"/>
      <c r="O1" s="187"/>
      <c r="P1" s="187"/>
      <c r="Q1" s="187"/>
      <c r="S1" s="2639" t="s">
        <v>437</v>
      </c>
      <c r="T1" s="2640"/>
      <c r="U1" s="2640"/>
      <c r="V1" s="2640"/>
      <c r="W1" s="2640"/>
      <c r="X1" s="2640"/>
      <c r="Y1" s="2640"/>
      <c r="Z1" s="2639" t="s">
        <v>438</v>
      </c>
      <c r="AA1" s="2640"/>
      <c r="AB1" s="2640"/>
      <c r="AC1" s="2640"/>
      <c r="AD1" s="2640"/>
      <c r="AE1" s="2640"/>
      <c r="AF1" s="2641"/>
      <c r="AG1" s="2642" t="s">
        <v>439</v>
      </c>
      <c r="AH1" s="2643"/>
      <c r="AI1" s="2643"/>
      <c r="AJ1" s="2643"/>
      <c r="AK1" s="2643"/>
      <c r="AL1" s="2643"/>
      <c r="AM1" s="2642" t="s">
        <v>448</v>
      </c>
      <c r="AN1" s="2643"/>
      <c r="AO1" s="2643"/>
      <c r="AP1" s="2643"/>
      <c r="AQ1" s="2643"/>
      <c r="AR1" s="2644"/>
      <c r="AS1" s="199"/>
      <c r="AT1" s="837"/>
    </row>
    <row r="2" spans="1:51" s="837" customFormat="1" ht="72" customHeight="1" thickTop="1" thickBot="1" x14ac:dyDescent="0.25">
      <c r="A2" s="1709" t="s">
        <v>445</v>
      </c>
      <c r="B2" s="1710" t="s">
        <v>639</v>
      </c>
      <c r="C2" s="1711" t="s">
        <v>452</v>
      </c>
      <c r="D2" s="1711" t="s">
        <v>453</v>
      </c>
      <c r="E2" s="1711" t="s">
        <v>454</v>
      </c>
      <c r="F2" s="1711" t="s">
        <v>455</v>
      </c>
      <c r="G2" s="1712" t="s">
        <v>436</v>
      </c>
      <c r="H2" s="1713" t="s">
        <v>507</v>
      </c>
      <c r="I2" s="1711" t="s">
        <v>508</v>
      </c>
      <c r="J2" s="1711" t="s">
        <v>509</v>
      </c>
      <c r="K2" s="1711" t="s">
        <v>510</v>
      </c>
      <c r="L2" s="1711" t="s">
        <v>511</v>
      </c>
      <c r="M2" s="1711" t="s">
        <v>512</v>
      </c>
      <c r="N2" s="1711" t="s">
        <v>513</v>
      </c>
      <c r="O2" s="1714" t="s">
        <v>741</v>
      </c>
      <c r="P2" s="1711" t="s">
        <v>514</v>
      </c>
      <c r="Q2" s="1715" t="s">
        <v>415</v>
      </c>
      <c r="S2" s="1716" t="s">
        <v>230</v>
      </c>
      <c r="T2" s="1717" t="s">
        <v>257</v>
      </c>
      <c r="U2" s="1717" t="s">
        <v>591</v>
      </c>
      <c r="V2" s="1717" t="s">
        <v>592</v>
      </c>
      <c r="W2" s="1717" t="s">
        <v>231</v>
      </c>
      <c r="X2" s="1717" t="s">
        <v>219</v>
      </c>
      <c r="Y2" s="1718" t="s">
        <v>260</v>
      </c>
      <c r="Z2" s="1716" t="s">
        <v>230</v>
      </c>
      <c r="AA2" s="1717" t="s">
        <v>257</v>
      </c>
      <c r="AB2" s="1717" t="s">
        <v>591</v>
      </c>
      <c r="AC2" s="1717" t="s">
        <v>592</v>
      </c>
      <c r="AD2" s="1717" t="s">
        <v>231</v>
      </c>
      <c r="AE2" s="1717" t="s">
        <v>219</v>
      </c>
      <c r="AF2" s="1719" t="s">
        <v>260</v>
      </c>
      <c r="AG2" s="1720" t="s">
        <v>230</v>
      </c>
      <c r="AH2" s="1717" t="s">
        <v>591</v>
      </c>
      <c r="AI2" s="1717" t="s">
        <v>592</v>
      </c>
      <c r="AJ2" s="1721" t="s">
        <v>231</v>
      </c>
      <c r="AK2" s="1721" t="s">
        <v>219</v>
      </c>
      <c r="AL2" s="1722" t="s">
        <v>260</v>
      </c>
      <c r="AM2" s="1723" t="s">
        <v>230</v>
      </c>
      <c r="AN2" s="1717" t="s">
        <v>591</v>
      </c>
      <c r="AO2" s="1717" t="s">
        <v>592</v>
      </c>
      <c r="AP2" s="1721" t="s">
        <v>231</v>
      </c>
      <c r="AQ2" s="1721" t="s">
        <v>219</v>
      </c>
      <c r="AR2" s="1722" t="s">
        <v>260</v>
      </c>
      <c r="AS2" s="968"/>
      <c r="AT2" s="1724" t="s">
        <v>465</v>
      </c>
    </row>
    <row r="3" spans="1:51" ht="13.9" customHeight="1" thickTop="1" x14ac:dyDescent="0.25">
      <c r="A3" s="907">
        <f>Chem!A3</f>
        <v>1</v>
      </c>
      <c r="B3" s="953" t="str">
        <f>Chem!B3</f>
        <v>PCBs</v>
      </c>
      <c r="C3" s="2316"/>
      <c r="D3" s="2316"/>
      <c r="E3" s="2316"/>
      <c r="F3" s="2316"/>
      <c r="G3" s="2316"/>
      <c r="H3" s="2316"/>
      <c r="I3" s="2316"/>
      <c r="J3" s="2316"/>
      <c r="K3" s="2316"/>
      <c r="L3" s="2316"/>
      <c r="M3" s="2316"/>
      <c r="N3" s="2316"/>
      <c r="O3" s="2317"/>
      <c r="P3" s="2318"/>
      <c r="Q3" s="2319"/>
      <c r="S3" s="26" t="str">
        <f>B3</f>
        <v>PCBs</v>
      </c>
      <c r="T3" s="976"/>
      <c r="U3" s="976"/>
      <c r="V3" s="976"/>
      <c r="W3" s="976"/>
      <c r="X3" s="976"/>
      <c r="Y3" s="976"/>
      <c r="Z3" s="976"/>
      <c r="AA3" s="976"/>
      <c r="AB3" s="976"/>
      <c r="AC3" s="976"/>
      <c r="AD3" s="976"/>
      <c r="AE3" s="976"/>
      <c r="AF3" s="976"/>
      <c r="AG3" s="841"/>
      <c r="AH3" s="976"/>
      <c r="AI3" s="976"/>
      <c r="AJ3" s="976"/>
      <c r="AK3" s="976"/>
      <c r="AL3" s="976"/>
      <c r="AM3" s="976"/>
      <c r="AN3" s="976"/>
      <c r="AO3" s="976"/>
      <c r="AP3" s="976"/>
      <c r="AQ3" s="976"/>
      <c r="AR3" s="977"/>
      <c r="AT3" s="1061"/>
      <c r="AY3" s="4"/>
    </row>
    <row r="4" spans="1:51" ht="13.9" customHeight="1" x14ac:dyDescent="0.25">
      <c r="A4" s="842">
        <f>Chem!A4</f>
        <v>2</v>
      </c>
      <c r="B4" s="951" t="str">
        <f>Chem!B4</f>
        <v>Total PCB Aroclors</v>
      </c>
      <c r="C4" s="946">
        <f>IF(MIN($H4,$I4:$K4,$O4,$P4)=0,"na",IF($Q4="na",MIN($H4,$I4:$K4,$O4,$P4),IF($Q4&gt;MIN($H4,$I4:$K4,$O4,$P4),$Q4,MIN($H4,$I4:$K4,$O4,$P4))))</f>
        <v>1.0962205859907333E-5</v>
      </c>
      <c r="D4" s="463">
        <f>IF(MIN($H4,$L4:$N4,$O4,$P4)=0,"na",IF($Q4="na",MIN($H4,$L4:$N4,$O4,$P4),IF($Q4&gt;MIN($H4,$L4:$N4,$O4,$P4),$Q4,MIN($H4,$L4:$N4,$O4,$P4))))</f>
        <v>5.4870666666666668E-7</v>
      </c>
      <c r="E4" s="463">
        <f>IF(MIN($H4,$J4:$K4,$O4,$P4)=0,"na",IF($Q4="na",MIN($H4,$J4:$K4,$O4,$P4),IF($Q4&gt;MIN($H4,$J4:$K4,$O4,$P4),$Q4,MIN($H4,$J4:$K4,$O4,$P4))))</f>
        <v>1.0962205859907333E-5</v>
      </c>
      <c r="F4" s="463">
        <f>IF(MIN($H4,$M4:$P4)=0,"na",IF($Q4="na",MIN($H4,$M4:$P4),IF($Q4&gt;MIN($H4,$M4:$P4),$Q4,MIN($H4,$M4:$P4))))</f>
        <v>5.4870666666666668E-7</v>
      </c>
      <c r="G4" s="634"/>
      <c r="H4" s="467">
        <f>'SL-Det'!E4</f>
        <v>1</v>
      </c>
      <c r="I4" s="469">
        <f>Leach!F4</f>
        <v>0.34256893312210407</v>
      </c>
      <c r="J4" s="469">
        <f>Leach!I4</f>
        <v>1.0962205859907333E-5</v>
      </c>
      <c r="K4" s="469">
        <f>Leach!L4</f>
        <v>2.109836720588927E-3</v>
      </c>
      <c r="L4" s="474">
        <f>Leach!G4</f>
        <v>1.714708333333333E-2</v>
      </c>
      <c r="M4" s="474">
        <f>Leach!J4</f>
        <v>5.4870666666666668E-7</v>
      </c>
      <c r="N4" s="474">
        <f>Leach!M4</f>
        <v>1.056066168579567E-4</v>
      </c>
      <c r="O4" s="483">
        <f>'SD-Det'!Z4</f>
        <v>2E-3</v>
      </c>
      <c r="P4" s="492">
        <f>'SL-Det'!I4</f>
        <v>0.65</v>
      </c>
      <c r="Q4" s="970" t="s">
        <v>232</v>
      </c>
      <c r="S4" s="978" t="str">
        <f t="shared" ref="S4:V6" si="0">IF($C4="na","",IF($C4=H4,"X",""))</f>
        <v/>
      </c>
      <c r="T4" s="979" t="str">
        <f t="shared" si="0"/>
        <v/>
      </c>
      <c r="U4" s="979" t="str">
        <f t="shared" si="0"/>
        <v>X</v>
      </c>
      <c r="V4" s="979" t="str">
        <f t="shared" si="0"/>
        <v/>
      </c>
      <c r="W4" s="979" t="str">
        <f t="shared" ref="W4:Y6" si="1">IF($C4="na","",IF($C4=O4,"X",""))</f>
        <v/>
      </c>
      <c r="X4" s="979" t="str">
        <f t="shared" si="1"/>
        <v/>
      </c>
      <c r="Y4" s="988" t="str">
        <f t="shared" si="1"/>
        <v/>
      </c>
      <c r="Z4" s="978" t="str">
        <f>IF($D4="na","",IF($D4=H4,"X",""))</f>
        <v/>
      </c>
      <c r="AA4" s="979" t="str">
        <f t="shared" ref="AA4:AF6" si="2">IF($D4="na","",IF($D4=L4,"X",""))</f>
        <v/>
      </c>
      <c r="AB4" s="979" t="str">
        <f t="shared" si="2"/>
        <v>X</v>
      </c>
      <c r="AC4" s="979" t="str">
        <f t="shared" si="2"/>
        <v/>
      </c>
      <c r="AD4" s="979" t="str">
        <f t="shared" si="2"/>
        <v/>
      </c>
      <c r="AE4" s="979" t="str">
        <f t="shared" si="2"/>
        <v/>
      </c>
      <c r="AF4" s="980" t="str">
        <f t="shared" si="2"/>
        <v/>
      </c>
      <c r="AG4" s="978" t="str">
        <f>IF($E4="na","",IF($E4=H4,"X",""))</f>
        <v/>
      </c>
      <c r="AH4" s="979" t="str">
        <f t="shared" ref="AH4:AI6" si="3">IF($E4="na","",IF($E4=J4,"X",""))</f>
        <v>X</v>
      </c>
      <c r="AI4" s="979" t="str">
        <f t="shared" si="3"/>
        <v/>
      </c>
      <c r="AJ4" s="979" t="str">
        <f t="shared" ref="AJ4:AL6" si="4">IF($E4="na","",IF($E4=O4,"X",""))</f>
        <v/>
      </c>
      <c r="AK4" s="979" t="str">
        <f t="shared" si="4"/>
        <v/>
      </c>
      <c r="AL4" s="980" t="str">
        <f t="shared" si="4"/>
        <v/>
      </c>
      <c r="AM4" s="978" t="str">
        <f>IF($F4="na","",IF($F4=H4,"X",""))</f>
        <v/>
      </c>
      <c r="AN4" s="979" t="str">
        <f t="shared" ref="AN4:AR6" si="5">IF($F4="na","",IF($F4=M4,"X",""))</f>
        <v>X</v>
      </c>
      <c r="AO4" s="979" t="str">
        <f t="shared" si="5"/>
        <v/>
      </c>
      <c r="AP4" s="979" t="str">
        <f t="shared" si="5"/>
        <v/>
      </c>
      <c r="AQ4" s="979" t="str">
        <f t="shared" si="5"/>
        <v/>
      </c>
      <c r="AR4" s="980" t="str">
        <f t="shared" si="5"/>
        <v/>
      </c>
      <c r="AT4" s="1062"/>
      <c r="AY4" s="4"/>
    </row>
    <row r="5" spans="1:51" ht="13.9" customHeight="1" x14ac:dyDescent="0.25">
      <c r="A5" s="842">
        <f>Chem!A5</f>
        <v>3</v>
      </c>
      <c r="B5" s="951" t="str">
        <f>Chem!B5</f>
        <v>Total PCB congeners</v>
      </c>
      <c r="C5" s="946">
        <f>IF(MIN($H5,$I5:$K5,$O5,$P5)=0,"na",IF($Q5="na",MIN($H5,$I5:$K5,$O5,$P5),IF($Q5&gt;MIN($H5,$I5:$K5,$O5,$P5),$Q5,MIN($H5,$I5:$K5,$O5,$P5))))</f>
        <v>1.0962205859907333E-5</v>
      </c>
      <c r="D5" s="463">
        <f>IF(MIN($H5,$L5:$N5,$O5,$P5)=0,"na",IF($Q5="na",MIN($H5,$L5:$N5,$O5,$P5),IF($Q5&gt;MIN($H5,$L5:$N5,$O5,$P5),$Q5,MIN($H5,$L5:$N5,$O5,$P5))))</f>
        <v>5.4870666666666668E-7</v>
      </c>
      <c r="E5" s="634">
        <f t="shared" ref="E5:E6" si="6">IF(MIN($H5,$J5:$K5,$O5,$P5)=0,"na",IF($Q5="na",MIN($H5,$J5:$K5,$O5,$P5),IF($Q5&gt;MIN($H5,$J5:$K5,$O5,$P5),$Q5,MIN($H5,$J5:$K5,$O5,$P5))))</f>
        <v>1.0962205859907333E-5</v>
      </c>
      <c r="F5" s="634">
        <f t="shared" ref="F5:F6" si="7">IF(MIN($H5,$M5:$P5)=0,"na",IF($Q5="na",MIN($H5,$M5:$P5),IF($Q5&gt;MIN($H5,$M5:$P5),$Q5,MIN($H5,$M5:$P5))))</f>
        <v>5.4870666666666668E-7</v>
      </c>
      <c r="G5" s="634"/>
      <c r="H5" s="467">
        <f>'SL-Det'!E5</f>
        <v>1</v>
      </c>
      <c r="I5" s="233">
        <f>Leach!F5</f>
        <v>0.34256893312210407</v>
      </c>
      <c r="J5" s="233">
        <f>Leach!I5</f>
        <v>1.0962205859907333E-5</v>
      </c>
      <c r="K5" s="233">
        <f>Leach!L5</f>
        <v>3.6922142610306226E-3</v>
      </c>
      <c r="L5" s="475">
        <f>Leach!G5</f>
        <v>1.714708333333333E-2</v>
      </c>
      <c r="M5" s="475">
        <f>Leach!J5</f>
        <v>5.4870666666666668E-7</v>
      </c>
      <c r="N5" s="475">
        <f>Leach!M5</f>
        <v>1.8481157950142425E-4</v>
      </c>
      <c r="O5" s="483">
        <f>'SD-Det'!Z5</f>
        <v>3.5000000000000001E-3</v>
      </c>
      <c r="P5" s="492">
        <f>'SL-Det'!I5</f>
        <v>0.65</v>
      </c>
      <c r="Q5" s="970" t="s">
        <v>232</v>
      </c>
      <c r="S5" s="832" t="str">
        <f t="shared" si="0"/>
        <v/>
      </c>
      <c r="T5" s="366" t="str">
        <f t="shared" si="0"/>
        <v/>
      </c>
      <c r="U5" s="366" t="str">
        <f t="shared" si="0"/>
        <v>X</v>
      </c>
      <c r="V5" s="366" t="str">
        <f t="shared" si="0"/>
        <v/>
      </c>
      <c r="W5" s="366" t="str">
        <f t="shared" si="1"/>
        <v/>
      </c>
      <c r="X5" s="366" t="str">
        <f t="shared" si="1"/>
        <v/>
      </c>
      <c r="Y5" s="989" t="str">
        <f t="shared" si="1"/>
        <v/>
      </c>
      <c r="Z5" s="832" t="str">
        <f>IF($D5="na","",IF($D5=H5,"X",""))</f>
        <v/>
      </c>
      <c r="AA5" s="366" t="str">
        <f t="shared" si="2"/>
        <v/>
      </c>
      <c r="AB5" s="366" t="str">
        <f t="shared" si="2"/>
        <v>X</v>
      </c>
      <c r="AC5" s="366" t="str">
        <f t="shared" si="2"/>
        <v/>
      </c>
      <c r="AD5" s="366" t="str">
        <f t="shared" si="2"/>
        <v/>
      </c>
      <c r="AE5" s="366" t="str">
        <f t="shared" si="2"/>
        <v/>
      </c>
      <c r="AF5" s="833" t="str">
        <f t="shared" si="2"/>
        <v/>
      </c>
      <c r="AG5" s="832" t="str">
        <f>IF($E5="na","",IF($E5=H5,"X",""))</f>
        <v/>
      </c>
      <c r="AH5" s="366" t="str">
        <f t="shared" si="3"/>
        <v>X</v>
      </c>
      <c r="AI5" s="366" t="str">
        <f t="shared" si="3"/>
        <v/>
      </c>
      <c r="AJ5" s="366" t="str">
        <f t="shared" si="4"/>
        <v/>
      </c>
      <c r="AK5" s="366" t="str">
        <f t="shared" si="4"/>
        <v/>
      </c>
      <c r="AL5" s="833" t="str">
        <f t="shared" si="4"/>
        <v/>
      </c>
      <c r="AM5" s="832" t="str">
        <f>IF($F5="na","",IF($F5=H5,"X",""))</f>
        <v/>
      </c>
      <c r="AN5" s="366" t="str">
        <f t="shared" si="5"/>
        <v>X</v>
      </c>
      <c r="AO5" s="366" t="str">
        <f t="shared" si="5"/>
        <v/>
      </c>
      <c r="AP5" s="366" t="str">
        <f t="shared" si="5"/>
        <v/>
      </c>
      <c r="AQ5" s="366" t="str">
        <f t="shared" si="5"/>
        <v/>
      </c>
      <c r="AR5" s="833" t="str">
        <f t="shared" si="5"/>
        <v/>
      </c>
      <c r="AT5" s="1062"/>
      <c r="AY5" s="4"/>
    </row>
    <row r="6" spans="1:51" ht="13.9" customHeight="1" x14ac:dyDescent="0.25">
      <c r="A6" s="842">
        <f>Chem!A6</f>
        <v>4</v>
      </c>
      <c r="B6" s="951" t="str">
        <f>Chem!B6</f>
        <v>Total PCB TEQ</v>
      </c>
      <c r="C6" s="946">
        <f>IF(MIN($H6,$I6:$K6,$O6,$P6)=0,"na",IF($Q6="na",MIN($H6,$I6:$K6,$O6,$P6),IF($Q6&gt;MIN($H6,$I6:$K6,$O6,$P6),$Q6,MIN($H6,$I6:$K6,$O6,$P6))))</f>
        <v>6.9300345546372152E-9</v>
      </c>
      <c r="D6" s="463">
        <f>IF(MIN($H6,$L6:$N6,$O6,$P6)=0,"na",IF($Q6="na",MIN($H6,$L6:$N6,$O6,$P6),IF($Q6&gt;MIN($H6,$L6:$N6,$O6,$P6),$Q6,MIN($H6,$L6:$N6,$O6,$P6))))</f>
        <v>3.4687874036986457E-10</v>
      </c>
      <c r="E6" s="635">
        <f t="shared" si="6"/>
        <v>6.9300345546372152E-9</v>
      </c>
      <c r="F6" s="635">
        <f t="shared" si="7"/>
        <v>3.4687874036986457E-10</v>
      </c>
      <c r="G6" s="635"/>
      <c r="H6" s="468">
        <f>'SL-Det'!E6</f>
        <v>1.282051282051282E-5</v>
      </c>
      <c r="I6" s="470">
        <f>Leach!F6</f>
        <v>5.2702912788016024E-6</v>
      </c>
      <c r="J6" s="470">
        <f>Leach!I6</f>
        <v>6.9300345546372152E-9</v>
      </c>
      <c r="K6" s="470">
        <f>Leach!L6</f>
        <v>7.3844285220612452E-7</v>
      </c>
      <c r="L6" s="477">
        <f>Leach!G6</f>
        <v>2.6380128205128203E-7</v>
      </c>
      <c r="M6" s="477">
        <f>Leach!J6</f>
        <v>3.4687874036986457E-10</v>
      </c>
      <c r="N6" s="477">
        <f>Leach!M6</f>
        <v>3.6962315900284845E-8</v>
      </c>
      <c r="O6" s="483">
        <f>'SD-Det'!Z6</f>
        <v>6.9999999999999997E-7</v>
      </c>
      <c r="P6" s="493" t="str">
        <f>'SL-Det'!I6</f>
        <v>na</v>
      </c>
      <c r="Q6" s="974" t="s">
        <v>232</v>
      </c>
      <c r="S6" s="834" t="str">
        <f t="shared" si="0"/>
        <v/>
      </c>
      <c r="T6" s="368" t="str">
        <f t="shared" si="0"/>
        <v/>
      </c>
      <c r="U6" s="368" t="str">
        <f t="shared" si="0"/>
        <v>X</v>
      </c>
      <c r="V6" s="368" t="str">
        <f t="shared" si="0"/>
        <v/>
      </c>
      <c r="W6" s="368" t="str">
        <f t="shared" si="1"/>
        <v/>
      </c>
      <c r="X6" s="368" t="str">
        <f t="shared" si="1"/>
        <v/>
      </c>
      <c r="Y6" s="990" t="str">
        <f t="shared" si="1"/>
        <v/>
      </c>
      <c r="Z6" s="834" t="str">
        <f>IF($D6="na","",IF($D6=H6,"X",""))</f>
        <v/>
      </c>
      <c r="AA6" s="368" t="str">
        <f t="shared" si="2"/>
        <v/>
      </c>
      <c r="AB6" s="368" t="str">
        <f t="shared" si="2"/>
        <v>X</v>
      </c>
      <c r="AC6" s="368" t="str">
        <f t="shared" si="2"/>
        <v/>
      </c>
      <c r="AD6" s="368" t="str">
        <f t="shared" si="2"/>
        <v/>
      </c>
      <c r="AE6" s="368" t="str">
        <f t="shared" si="2"/>
        <v/>
      </c>
      <c r="AF6" s="835" t="str">
        <f t="shared" si="2"/>
        <v/>
      </c>
      <c r="AG6" s="834" t="str">
        <f>IF($E6="na","",IF($E6=H6,"X",""))</f>
        <v/>
      </c>
      <c r="AH6" s="368" t="str">
        <f t="shared" si="3"/>
        <v>X</v>
      </c>
      <c r="AI6" s="368" t="str">
        <f t="shared" si="3"/>
        <v/>
      </c>
      <c r="AJ6" s="368" t="str">
        <f t="shared" si="4"/>
        <v/>
      </c>
      <c r="AK6" s="368" t="str">
        <f t="shared" si="4"/>
        <v/>
      </c>
      <c r="AL6" s="835" t="str">
        <f t="shared" si="4"/>
        <v/>
      </c>
      <c r="AM6" s="834" t="str">
        <f>IF($F6="na","",IF($F6=H6,"X",""))</f>
        <v/>
      </c>
      <c r="AN6" s="368" t="str">
        <f t="shared" si="5"/>
        <v>X</v>
      </c>
      <c r="AO6" s="368" t="str">
        <f t="shared" si="5"/>
        <v/>
      </c>
      <c r="AP6" s="368" t="str">
        <f t="shared" si="5"/>
        <v/>
      </c>
      <c r="AQ6" s="368" t="str">
        <f t="shared" si="5"/>
        <v/>
      </c>
      <c r="AR6" s="835" t="str">
        <f t="shared" si="5"/>
        <v/>
      </c>
      <c r="AT6" s="1062"/>
      <c r="AY6" s="4"/>
    </row>
    <row r="7" spans="1:51" ht="13.9" customHeight="1" x14ac:dyDescent="0.25">
      <c r="A7" s="906">
        <f>Chem!A7</f>
        <v>5</v>
      </c>
      <c r="B7" s="953" t="str">
        <f>Chem!B7</f>
        <v xml:space="preserve">Dioxins/Furans </v>
      </c>
      <c r="C7" s="28"/>
      <c r="D7" s="28"/>
      <c r="E7" s="28"/>
      <c r="F7" s="28"/>
      <c r="G7" s="28"/>
      <c r="H7" s="28"/>
      <c r="I7" s="28"/>
      <c r="J7" s="28"/>
      <c r="K7" s="28"/>
      <c r="L7" s="28"/>
      <c r="M7" s="28"/>
      <c r="N7" s="28"/>
      <c r="O7" s="43"/>
      <c r="P7" s="2323"/>
      <c r="Q7" s="2324"/>
      <c r="S7" s="26" t="str">
        <f>B7</f>
        <v xml:space="preserve">Dioxins/Furans </v>
      </c>
      <c r="T7" s="2328"/>
      <c r="U7" s="2328"/>
      <c r="V7" s="2328"/>
      <c r="W7" s="2328"/>
      <c r="X7" s="2328"/>
      <c r="Y7" s="2328"/>
      <c r="Z7" s="2328"/>
      <c r="AA7" s="2328"/>
      <c r="AB7" s="2328"/>
      <c r="AC7" s="2328"/>
      <c r="AD7" s="2328"/>
      <c r="AE7" s="2328"/>
      <c r="AF7" s="2328"/>
      <c r="AG7" s="2329"/>
      <c r="AH7" s="2328"/>
      <c r="AI7" s="2328"/>
      <c r="AJ7" s="2328"/>
      <c r="AK7" s="2328"/>
      <c r="AL7" s="2328"/>
      <c r="AM7" s="2328"/>
      <c r="AN7" s="2328"/>
      <c r="AO7" s="2328"/>
      <c r="AP7" s="2328"/>
      <c r="AQ7" s="2328"/>
      <c r="AR7" s="2330"/>
      <c r="AT7" s="2325"/>
      <c r="AY7" s="4"/>
    </row>
    <row r="8" spans="1:51" ht="13.9" customHeight="1" x14ac:dyDescent="0.25">
      <c r="A8" s="844">
        <f>Chem!A8</f>
        <v>6</v>
      </c>
      <c r="B8" s="951" t="str">
        <f>Chem!B8</f>
        <v>Total dioxin/furan TEQ</v>
      </c>
      <c r="C8" s="946">
        <f>IF(MIN($H8,$I8:$K8,$O8,$P8)=0,"na",IF($Q8="na",MIN($H8,$I8:$K8,$O8,$P8),IF($Q8&gt;MIN($H8,$I8:$K8,$O8,$P8),$Q8,MIN($H8,$I8:$K8,$O8,$P8))))</f>
        <v>5.2000000000000002E-6</v>
      </c>
      <c r="D8" s="463">
        <f>IF(MIN($H8,$L8:$N8,$O8,$P8)=0,"na",IF($Q8="na",MIN($H8,$L8:$N8,$O8,$P8),IF($Q8&gt;MIN($H8,$L8:$N8,$O8,$P8),$Q8,MIN($H8,$L8:$N8,$O8,$P8))))</f>
        <v>5.2000000000000002E-6</v>
      </c>
      <c r="E8" s="634">
        <f t="shared" ref="E8:E20" si="8">IF(MIN($H8,$J8:$K8,$O8,$P8)=0,"na",IF($Q8="na",MIN($H8,$J8:$K8,$O8,$P8),IF($Q8&gt;MIN($H8,$J8:$K8,$O8,$P8),$Q8,MIN($H8,$J8:$K8,$O8,$P8))))</f>
        <v>5.2000000000000002E-6</v>
      </c>
      <c r="F8" s="634">
        <f t="shared" ref="F8:F20" si="9">IF(MIN($H8,$M8:$P8)=0,"na",IF($Q8="na",MIN($H8,$M8:$P8),IF($Q8&gt;MIN($H8,$M8:$P8),$Q8,MIN($H8,$M8:$P8))))</f>
        <v>5.2000000000000002E-6</v>
      </c>
      <c r="G8" s="634"/>
      <c r="H8" s="467">
        <f>'SL-Det'!E8</f>
        <v>1.282051282051282E-5</v>
      </c>
      <c r="I8" s="232">
        <f>Leach!F8</f>
        <v>1.6779819616537725E-5</v>
      </c>
      <c r="J8" s="232">
        <f>Leach!I8</f>
        <v>2.5428618070318888E-8</v>
      </c>
      <c r="K8" s="232">
        <f>Leach!L8</f>
        <v>2.1066865723592666E-6</v>
      </c>
      <c r="L8" s="478">
        <f>Leach!G8</f>
        <v>8.3928205128205124E-7</v>
      </c>
      <c r="M8" s="478">
        <f>Leach!J8</f>
        <v>1.2718720000000001E-9</v>
      </c>
      <c r="N8" s="478">
        <f>Leach!M8</f>
        <v>1.0537087217048769E-7</v>
      </c>
      <c r="O8" s="484">
        <f>'SD-Det'!Z8</f>
        <v>1.9999999999999999E-6</v>
      </c>
      <c r="P8" s="494" t="str">
        <f>'SL-Det'!I8</f>
        <v>na</v>
      </c>
      <c r="Q8" s="970">
        <v>5.2000000000000002E-6</v>
      </c>
      <c r="S8" s="832" t="str">
        <f t="shared" ref="S8:V11" si="10">IF($C8="na","",IF($C8=H8,"X",""))</f>
        <v/>
      </c>
      <c r="T8" s="366" t="str">
        <f t="shared" si="10"/>
        <v/>
      </c>
      <c r="U8" s="366" t="str">
        <f t="shared" si="10"/>
        <v/>
      </c>
      <c r="V8" s="366" t="str">
        <f t="shared" si="10"/>
        <v/>
      </c>
      <c r="W8" s="366" t="str">
        <f t="shared" ref="W8:Y11" si="11">IF($C8="na","",IF($C8=O8,"X",""))</f>
        <v/>
      </c>
      <c r="X8" s="366" t="str">
        <f t="shared" si="11"/>
        <v/>
      </c>
      <c r="Y8" s="989" t="str">
        <f t="shared" si="11"/>
        <v>X</v>
      </c>
      <c r="Z8" s="832" t="str">
        <f>IF($D8="na","",IF($D8=H8,"X",""))</f>
        <v/>
      </c>
      <c r="AA8" s="366" t="str">
        <f t="shared" ref="AA8:AF11" si="12">IF($D8="na","",IF($D8=L8,"X",""))</f>
        <v/>
      </c>
      <c r="AB8" s="366" t="str">
        <f t="shared" si="12"/>
        <v/>
      </c>
      <c r="AC8" s="366" t="str">
        <f t="shared" si="12"/>
        <v/>
      </c>
      <c r="AD8" s="366" t="str">
        <f t="shared" si="12"/>
        <v/>
      </c>
      <c r="AE8" s="366" t="str">
        <f t="shared" si="12"/>
        <v/>
      </c>
      <c r="AF8" s="833" t="str">
        <f t="shared" si="12"/>
        <v>X</v>
      </c>
      <c r="AG8" s="832" t="str">
        <f>IF($E8="na","",IF($E8=H8,"X",""))</f>
        <v/>
      </c>
      <c r="AH8" s="366" t="str">
        <f t="shared" ref="AH8:AI11" si="13">IF($E8="na","",IF($E8=J8,"X",""))</f>
        <v/>
      </c>
      <c r="AI8" s="366" t="str">
        <f t="shared" si="13"/>
        <v/>
      </c>
      <c r="AJ8" s="366" t="str">
        <f t="shared" ref="AJ8:AL11" si="14">IF($E8="na","",IF($E8=O8,"X",""))</f>
        <v/>
      </c>
      <c r="AK8" s="366" t="str">
        <f t="shared" si="14"/>
        <v/>
      </c>
      <c r="AL8" s="833" t="str">
        <f t="shared" si="14"/>
        <v>X</v>
      </c>
      <c r="AM8" s="832" t="str">
        <f>IF($F8="na","",IF($F8=H8,"X",""))</f>
        <v/>
      </c>
      <c r="AN8" s="366" t="str">
        <f t="shared" ref="AN8:AR11" si="15">IF($F8="na","",IF($F8=M8,"X",""))</f>
        <v/>
      </c>
      <c r="AO8" s="366" t="str">
        <f t="shared" si="15"/>
        <v/>
      </c>
      <c r="AP8" s="366" t="str">
        <f t="shared" si="15"/>
        <v/>
      </c>
      <c r="AQ8" s="366" t="str">
        <f t="shared" si="15"/>
        <v/>
      </c>
      <c r="AR8" s="833" t="str">
        <f t="shared" si="15"/>
        <v>X</v>
      </c>
      <c r="AT8" s="1062"/>
      <c r="AY8" s="4"/>
    </row>
    <row r="9" spans="1:51" ht="13.9" customHeight="1" x14ac:dyDescent="0.25">
      <c r="A9" s="845">
        <f>Chem!A9</f>
        <v>7</v>
      </c>
      <c r="B9" s="951" t="str">
        <f>Chem!B9</f>
        <v>2,3,7,8-TCDD</v>
      </c>
      <c r="C9" s="946">
        <f>IF(MIN($H9,$I9:$K9,$O9,$P9)=0,"na",IF($Q9="na",MIN($H9,$I9:$K9,$O9,$P9),IF($Q9&gt;MIN($H9,$I9:$K9,$O9,$P9),$Q9,MIN($H9,$I9:$K9,$O9,$P9))))</f>
        <v>5.2000000000000002E-6</v>
      </c>
      <c r="D9" s="463">
        <f>IF(MIN($H9,$L9:$N9,$O9,$P9)=0,"na",IF($Q9="na",MIN($H9,$L9:$N9,$O9,$P9),IF($Q9&gt;MIN($H9,$L9:$N9,$O9,$P9),$Q9,MIN($H9,$L9:$N9,$O9,$P9))))</f>
        <v>5.2000000000000002E-6</v>
      </c>
      <c r="E9" s="634">
        <f t="shared" si="8"/>
        <v>5.2000000000000002E-6</v>
      </c>
      <c r="F9" s="634">
        <f t="shared" si="9"/>
        <v>5.2000000000000002E-6</v>
      </c>
      <c r="G9" s="634"/>
      <c r="H9" s="467">
        <f>'SL-Det'!E9</f>
        <v>1.282051282051282E-5</v>
      </c>
      <c r="I9" s="232">
        <f>Leach!F9</f>
        <v>1.6779819616537725E-5</v>
      </c>
      <c r="J9" s="232">
        <f>Leach!I9</f>
        <v>2.5428618070318888E-8</v>
      </c>
      <c r="K9" s="232">
        <f>Leach!L9</f>
        <v>2.4548060012810801E-5</v>
      </c>
      <c r="L9" s="478">
        <f>Leach!G9</f>
        <v>8.3928205128205124E-7</v>
      </c>
      <c r="M9" s="478">
        <f>Leach!J9</f>
        <v>1.2718720000000001E-9</v>
      </c>
      <c r="N9" s="478">
        <f>Leach!M9</f>
        <v>1.2278288225602406E-6</v>
      </c>
      <c r="O9" s="484">
        <f>'SD-Det'!Z9</f>
        <v>2.3304900059546648E-5</v>
      </c>
      <c r="P9" s="494" t="str">
        <f>'SL-Det'!I9</f>
        <v>na</v>
      </c>
      <c r="Q9" s="970">
        <v>5.2000000000000002E-6</v>
      </c>
      <c r="S9" s="832" t="str">
        <f t="shared" ref="S9" si="16">IF($C9="na","",IF($C9=H9,"X",""))</f>
        <v/>
      </c>
      <c r="T9" s="366" t="str">
        <f t="shared" ref="T9" si="17">IF($C9="na","",IF($C9=I9,"X",""))</f>
        <v/>
      </c>
      <c r="U9" s="366" t="str">
        <f t="shared" ref="U9" si="18">IF($C9="na","",IF($C9=J9,"X",""))</f>
        <v/>
      </c>
      <c r="V9" s="366" t="str">
        <f t="shared" ref="V9" si="19">IF($C9="na","",IF($C9=K9,"X",""))</f>
        <v/>
      </c>
      <c r="W9" s="366" t="str">
        <f t="shared" ref="W9" si="20">IF($C9="na","",IF($C9=O9,"X",""))</f>
        <v/>
      </c>
      <c r="X9" s="366" t="str">
        <f t="shared" ref="X9" si="21">IF($C9="na","",IF($C9=P9,"X",""))</f>
        <v/>
      </c>
      <c r="Y9" s="989" t="str">
        <f t="shared" ref="Y9" si="22">IF($C9="na","",IF($C9=Q9,"X",""))</f>
        <v>X</v>
      </c>
      <c r="Z9" s="832" t="str">
        <f>IF($D9="na","",IF($D9=H9,"X",""))</f>
        <v/>
      </c>
      <c r="AA9" s="366" t="str">
        <f t="shared" ref="AA9" si="23">IF($D9="na","",IF($D9=L9,"X",""))</f>
        <v/>
      </c>
      <c r="AB9" s="366" t="str">
        <f t="shared" ref="AB9" si="24">IF($D9="na","",IF($D9=M9,"X",""))</f>
        <v/>
      </c>
      <c r="AC9" s="366" t="str">
        <f t="shared" ref="AC9" si="25">IF($D9="na","",IF($D9=N9,"X",""))</f>
        <v/>
      </c>
      <c r="AD9" s="366" t="str">
        <f t="shared" ref="AD9" si="26">IF($D9="na","",IF($D9=O9,"X",""))</f>
        <v/>
      </c>
      <c r="AE9" s="366" t="str">
        <f t="shared" ref="AE9" si="27">IF($D9="na","",IF($D9=P9,"X",""))</f>
        <v/>
      </c>
      <c r="AF9" s="833" t="str">
        <f t="shared" ref="AF9" si="28">IF($D9="na","",IF($D9=Q9,"X",""))</f>
        <v>X</v>
      </c>
      <c r="AG9" s="832" t="str">
        <f>IF($E9="na","",IF($E9=H9,"X",""))</f>
        <v/>
      </c>
      <c r="AH9" s="366" t="str">
        <f t="shared" ref="AH9" si="29">IF($E9="na","",IF($E9=J9,"X",""))</f>
        <v/>
      </c>
      <c r="AI9" s="366" t="str">
        <f t="shared" ref="AI9" si="30">IF($E9="na","",IF($E9=K9,"X",""))</f>
        <v/>
      </c>
      <c r="AJ9" s="366" t="str">
        <f t="shared" ref="AJ9" si="31">IF($E9="na","",IF($E9=O9,"X",""))</f>
        <v/>
      </c>
      <c r="AK9" s="366" t="str">
        <f t="shared" ref="AK9" si="32">IF($E9="na","",IF($E9=P9,"X",""))</f>
        <v/>
      </c>
      <c r="AL9" s="833" t="str">
        <f t="shared" ref="AL9" si="33">IF($E9="na","",IF($E9=Q9,"X",""))</f>
        <v>X</v>
      </c>
      <c r="AM9" s="832" t="str">
        <f>IF($F9="na","",IF($F9=H9,"X",""))</f>
        <v/>
      </c>
      <c r="AN9" s="366" t="str">
        <f t="shared" ref="AN9" si="34">IF($F9="na","",IF($F9=M9,"X",""))</f>
        <v/>
      </c>
      <c r="AO9" s="366" t="str">
        <f t="shared" ref="AO9" si="35">IF($F9="na","",IF($F9=N9,"X",""))</f>
        <v/>
      </c>
      <c r="AP9" s="366" t="str">
        <f t="shared" ref="AP9" si="36">IF($F9="na","",IF($F9=O9,"X",""))</f>
        <v/>
      </c>
      <c r="AQ9" s="366" t="str">
        <f t="shared" ref="AQ9" si="37">IF($F9="na","",IF($F9=P9,"X",""))</f>
        <v/>
      </c>
      <c r="AR9" s="833" t="str">
        <f t="shared" ref="AR9" si="38">IF($F9="na","",IF($F9=Q9,"X",""))</f>
        <v>X</v>
      </c>
      <c r="AT9" s="1062"/>
      <c r="AY9" s="4"/>
    </row>
    <row r="10" spans="1:51" s="199" customFormat="1" ht="13.9" customHeight="1" x14ac:dyDescent="0.25">
      <c r="A10" s="845">
        <f>Chem!A10</f>
        <v>8</v>
      </c>
      <c r="B10" s="951" t="str">
        <f>Chem!B10</f>
        <v>Total chlorinated dioxins</v>
      </c>
      <c r="C10" s="946">
        <f>IF(MIN($H10,$I10:$K10,$O10,$P10)=0,"na",IF($Q10="na",MIN($H10,$I10:$K10,$O10,$P10),IF($Q10&gt;MIN($H10,$I10:$K10,$O10,$P10),$Q10,MIN($H10,$I10:$K10,$O10,$P10))))</f>
        <v>1.9999999999999999E-6</v>
      </c>
      <c r="D10" s="463">
        <f>IF(MIN($H10,$L10:$N10,$O10,$P10)=0,"na",IF($Q10="na",MIN($H10,$L10:$N10,$O10,$P10),IF($Q10&gt;MIN($H10,$L10:$N10,$O10,$P10),$Q10,MIN($H10,$L10:$N10,$O10,$P10))))</f>
        <v>1.9999999999999999E-6</v>
      </c>
      <c r="E10" s="634">
        <f t="shared" si="8"/>
        <v>1.9999999999999999E-6</v>
      </c>
      <c r="F10" s="634">
        <f t="shared" si="9"/>
        <v>1.9999999999999999E-6</v>
      </c>
      <c r="G10" s="634"/>
      <c r="H10" s="467" t="str">
        <f>'SL-Det'!E10</f>
        <v>na</v>
      </c>
      <c r="I10" s="231" t="str">
        <f>Leach!F10</f>
        <v>na</v>
      </c>
      <c r="J10" s="231" t="str">
        <f>Leach!I10</f>
        <v>na</v>
      </c>
      <c r="K10" s="231" t="str">
        <f>Leach!L10</f>
        <v>na</v>
      </c>
      <c r="L10" s="476" t="str">
        <f>Leach!G10</f>
        <v>na</v>
      </c>
      <c r="M10" s="476" t="str">
        <f>Leach!J10</f>
        <v>na</v>
      </c>
      <c r="N10" s="476" t="str">
        <f>Leach!M10</f>
        <v>na</v>
      </c>
      <c r="O10" s="484" t="str">
        <f>'SD-Det'!Z10</f>
        <v>na</v>
      </c>
      <c r="P10" s="494">
        <f>'SL-Det'!I10</f>
        <v>1.9999999999999999E-6</v>
      </c>
      <c r="Q10" s="970" t="s">
        <v>232</v>
      </c>
      <c r="S10" s="832" t="str">
        <f t="shared" si="10"/>
        <v/>
      </c>
      <c r="T10" s="366" t="str">
        <f t="shared" si="10"/>
        <v/>
      </c>
      <c r="U10" s="366" t="str">
        <f t="shared" si="10"/>
        <v/>
      </c>
      <c r="V10" s="366" t="str">
        <f t="shared" si="10"/>
        <v/>
      </c>
      <c r="W10" s="366" t="str">
        <f t="shared" si="11"/>
        <v/>
      </c>
      <c r="X10" s="366" t="str">
        <f t="shared" si="11"/>
        <v>X</v>
      </c>
      <c r="Y10" s="989" t="str">
        <f t="shared" si="11"/>
        <v/>
      </c>
      <c r="Z10" s="832" t="str">
        <f>IF($D10="na","",IF($D10=H10,"X",""))</f>
        <v/>
      </c>
      <c r="AA10" s="366" t="str">
        <f t="shared" si="12"/>
        <v/>
      </c>
      <c r="AB10" s="366" t="str">
        <f t="shared" si="12"/>
        <v/>
      </c>
      <c r="AC10" s="366" t="str">
        <f t="shared" si="12"/>
        <v/>
      </c>
      <c r="AD10" s="366" t="str">
        <f t="shared" si="12"/>
        <v/>
      </c>
      <c r="AE10" s="366" t="str">
        <f t="shared" si="12"/>
        <v>X</v>
      </c>
      <c r="AF10" s="833" t="str">
        <f t="shared" si="12"/>
        <v/>
      </c>
      <c r="AG10" s="832" t="str">
        <f>IF($E10="na","",IF($E10=H10,"X",""))</f>
        <v/>
      </c>
      <c r="AH10" s="366" t="str">
        <f t="shared" si="13"/>
        <v/>
      </c>
      <c r="AI10" s="366" t="str">
        <f t="shared" si="13"/>
        <v/>
      </c>
      <c r="AJ10" s="366" t="str">
        <f t="shared" si="14"/>
        <v/>
      </c>
      <c r="AK10" s="366" t="str">
        <f t="shared" si="14"/>
        <v>X</v>
      </c>
      <c r="AL10" s="833" t="str">
        <f t="shared" si="14"/>
        <v/>
      </c>
      <c r="AM10" s="832" t="str">
        <f>IF($F10="na","",IF($F10=H10,"X",""))</f>
        <v/>
      </c>
      <c r="AN10" s="366" t="str">
        <f t="shared" si="15"/>
        <v/>
      </c>
      <c r="AO10" s="366" t="str">
        <f t="shared" si="15"/>
        <v/>
      </c>
      <c r="AP10" s="366" t="str">
        <f t="shared" si="15"/>
        <v/>
      </c>
      <c r="AQ10" s="366" t="str">
        <f t="shared" si="15"/>
        <v>X</v>
      </c>
      <c r="AR10" s="833" t="str">
        <f t="shared" si="15"/>
        <v/>
      </c>
      <c r="AT10" s="1064"/>
      <c r="AV10"/>
      <c r="AW10"/>
      <c r="AY10" s="4"/>
    </row>
    <row r="11" spans="1:51" s="199" customFormat="1" ht="13.9" customHeight="1" x14ac:dyDescent="0.25">
      <c r="A11" s="845">
        <f>Chem!A11</f>
        <v>9</v>
      </c>
      <c r="B11" s="951" t="str">
        <f>Chem!B11</f>
        <v>Total chlorinated furans</v>
      </c>
      <c r="C11" s="946">
        <f>IF(MIN($H11,$I11:$K11,$O11,$P11)=0,"na",IF($Q11="na",MIN($H11,$I11:$K11,$O11,$P11),IF($Q11&gt;MIN($H11,$I11:$K11,$O11,$P11),$Q11,MIN($H11,$I11:$K11,$O11,$P11))))</f>
        <v>1.9999999999999999E-6</v>
      </c>
      <c r="D11" s="463">
        <f>IF(MIN($H11,$L11:$N11,$O11,$P11)=0,"na",IF($Q11="na",MIN($H11,$L11:$N11,$O11,$P11),IF($Q11&gt;MIN($H11,$L11:$N11,$O11,$P11),$Q11,MIN($H11,$L11:$N11,$O11,$P11))))</f>
        <v>1.9999999999999999E-6</v>
      </c>
      <c r="E11" s="634">
        <f t="shared" si="8"/>
        <v>1.9999999999999999E-6</v>
      </c>
      <c r="F11" s="634">
        <f t="shared" si="9"/>
        <v>1.9999999999999999E-6</v>
      </c>
      <c r="G11" s="634"/>
      <c r="H11" s="467" t="str">
        <f>'SL-Det'!E11</f>
        <v>na</v>
      </c>
      <c r="I11" s="471" t="str">
        <f>Leach!F11</f>
        <v>na</v>
      </c>
      <c r="J11" s="471" t="str">
        <f>Leach!I11</f>
        <v>na</v>
      </c>
      <c r="K11" s="471" t="str">
        <f>Leach!L11</f>
        <v>na</v>
      </c>
      <c r="L11" s="479" t="str">
        <f>Leach!G11</f>
        <v>na</v>
      </c>
      <c r="M11" s="479" t="str">
        <f>Leach!J11</f>
        <v>na</v>
      </c>
      <c r="N11" s="479" t="str">
        <f>Leach!M11</f>
        <v>na</v>
      </c>
      <c r="O11" s="484" t="str">
        <f>'SD-Det'!Z11</f>
        <v>na</v>
      </c>
      <c r="P11" s="494">
        <f>'SL-Det'!I11</f>
        <v>1.9999999999999999E-6</v>
      </c>
      <c r="Q11" s="970" t="s">
        <v>232</v>
      </c>
      <c r="S11" s="834" t="str">
        <f t="shared" si="10"/>
        <v/>
      </c>
      <c r="T11" s="368" t="str">
        <f t="shared" si="10"/>
        <v/>
      </c>
      <c r="U11" s="368" t="str">
        <f t="shared" si="10"/>
        <v/>
      </c>
      <c r="V11" s="368" t="str">
        <f t="shared" si="10"/>
        <v/>
      </c>
      <c r="W11" s="368" t="str">
        <f t="shared" si="11"/>
        <v/>
      </c>
      <c r="X11" s="368" t="str">
        <f t="shared" si="11"/>
        <v>X</v>
      </c>
      <c r="Y11" s="990" t="str">
        <f t="shared" si="11"/>
        <v/>
      </c>
      <c r="Z11" s="834" t="str">
        <f>IF($D11="na","",IF($D11=H11,"X",""))</f>
        <v/>
      </c>
      <c r="AA11" s="368" t="str">
        <f t="shared" si="12"/>
        <v/>
      </c>
      <c r="AB11" s="368" t="str">
        <f t="shared" si="12"/>
        <v/>
      </c>
      <c r="AC11" s="368" t="str">
        <f t="shared" si="12"/>
        <v/>
      </c>
      <c r="AD11" s="368" t="str">
        <f t="shared" si="12"/>
        <v/>
      </c>
      <c r="AE11" s="368" t="str">
        <f t="shared" si="12"/>
        <v>X</v>
      </c>
      <c r="AF11" s="835" t="str">
        <f t="shared" si="12"/>
        <v/>
      </c>
      <c r="AG11" s="834" t="str">
        <f>IF($E11="na","",IF($E11=H11,"X",""))</f>
        <v/>
      </c>
      <c r="AH11" s="368" t="str">
        <f t="shared" si="13"/>
        <v/>
      </c>
      <c r="AI11" s="368" t="str">
        <f t="shared" si="13"/>
        <v/>
      </c>
      <c r="AJ11" s="368" t="str">
        <f t="shared" si="14"/>
        <v/>
      </c>
      <c r="AK11" s="368" t="str">
        <f t="shared" si="14"/>
        <v>X</v>
      </c>
      <c r="AL11" s="835" t="str">
        <f t="shared" si="14"/>
        <v/>
      </c>
      <c r="AM11" s="834" t="str">
        <f>IF($F11="na","",IF($F11=H11,"X",""))</f>
        <v/>
      </c>
      <c r="AN11" s="368" t="str">
        <f t="shared" si="15"/>
        <v/>
      </c>
      <c r="AO11" s="368" t="str">
        <f t="shared" si="15"/>
        <v/>
      </c>
      <c r="AP11" s="368" t="str">
        <f t="shared" si="15"/>
        <v/>
      </c>
      <c r="AQ11" s="368" t="str">
        <f t="shared" si="15"/>
        <v>X</v>
      </c>
      <c r="AR11" s="835" t="str">
        <f t="shared" si="15"/>
        <v/>
      </c>
      <c r="AT11" s="1064"/>
      <c r="AV11"/>
      <c r="AW11"/>
      <c r="AY11" s="4"/>
    </row>
    <row r="12" spans="1:51" s="199" customFormat="1" ht="13.9" customHeight="1" x14ac:dyDescent="0.25">
      <c r="A12" s="906">
        <f>Chem!A12</f>
        <v>10</v>
      </c>
      <c r="B12" s="953" t="str">
        <f>Chem!B12</f>
        <v>Inorganics</v>
      </c>
      <c r="C12" s="28"/>
      <c r="D12" s="28"/>
      <c r="E12" s="28"/>
      <c r="F12" s="28"/>
      <c r="G12" s="28"/>
      <c r="H12" s="28"/>
      <c r="I12" s="28"/>
      <c r="J12" s="28"/>
      <c r="K12" s="28"/>
      <c r="L12" s="28"/>
      <c r="M12" s="28"/>
      <c r="N12" s="28"/>
      <c r="O12" s="43"/>
      <c r="P12" s="2323"/>
      <c r="Q12" s="2324"/>
      <c r="R12"/>
      <c r="S12" s="26" t="str">
        <f>B12</f>
        <v>Inorganics</v>
      </c>
      <c r="T12" s="2328"/>
      <c r="U12" s="2328"/>
      <c r="V12" s="2328"/>
      <c r="W12" s="2328"/>
      <c r="X12" s="2328"/>
      <c r="Y12" s="2328"/>
      <c r="Z12" s="2328"/>
      <c r="AA12" s="2328"/>
      <c r="AB12" s="2328"/>
      <c r="AC12" s="2328"/>
      <c r="AD12" s="2328"/>
      <c r="AE12" s="2328"/>
      <c r="AF12" s="2328"/>
      <c r="AG12" s="2329"/>
      <c r="AH12" s="2328"/>
      <c r="AI12" s="2328"/>
      <c r="AJ12" s="2328"/>
      <c r="AK12" s="2328"/>
      <c r="AL12" s="2328"/>
      <c r="AM12" s="2328"/>
      <c r="AN12" s="2328"/>
      <c r="AO12" s="2328"/>
      <c r="AP12" s="2328"/>
      <c r="AQ12" s="2328"/>
      <c r="AR12" s="2330"/>
      <c r="AS12" s="945"/>
      <c r="AT12" s="2325"/>
      <c r="AV12"/>
      <c r="AW12"/>
      <c r="AY12" s="4"/>
    </row>
    <row r="13" spans="1:51" s="199" customFormat="1" ht="13.9" customHeight="1" x14ac:dyDescent="0.25">
      <c r="A13" s="2076">
        <f>Chem!A13</f>
        <v>11</v>
      </c>
      <c r="B13" s="1214" t="str">
        <f>Chem!B13</f>
        <v>Ammonia</v>
      </c>
      <c r="C13" s="2139" t="str">
        <f t="shared" ref="C13:C20" si="39">IF(MIN($H13,$I13:$K13,$O13,$P13)=0,"na",IF($Q13="na",MIN($H13,$I13:$K13,$O13,$P13),IF($Q13&gt;MIN($H13,$I13:$K13,$O13,$P13),$Q13,MIN($H13,$I13:$K13,$O13,$P13))))</f>
        <v>na</v>
      </c>
      <c r="D13" s="2139" t="str">
        <f t="shared" ref="D13:D20" si="40">IF(MIN($H13,$L13:$N13,$O13,$P13)=0,"na",IF($Q13="na",MIN($H13,$L13:$N13,$O13,$P13),IF($Q13&gt;MIN($H13,$L13:$N13,$O13,$P13),$Q13,MIN($H13,$L13:$N13,$O13,$P13))))</f>
        <v>na</v>
      </c>
      <c r="E13" s="2139" t="str">
        <f t="shared" si="8"/>
        <v>na</v>
      </c>
      <c r="F13" s="2139" t="str">
        <f t="shared" si="9"/>
        <v>na</v>
      </c>
      <c r="G13" s="2139"/>
      <c r="H13" s="2137" t="str">
        <f>'SL-Det'!E13</f>
        <v>na</v>
      </c>
      <c r="I13" s="2135" t="str">
        <f>Leach!F13</f>
        <v>na</v>
      </c>
      <c r="J13" s="2135" t="str">
        <f>Leach!I13</f>
        <v>na</v>
      </c>
      <c r="K13" s="2135" t="str">
        <f>Leach!L13</f>
        <v>na</v>
      </c>
      <c r="L13" s="2133" t="str">
        <f>Leach!G13</f>
        <v>na</v>
      </c>
      <c r="M13" s="2133" t="str">
        <f>Leach!J13</f>
        <v>na</v>
      </c>
      <c r="N13" s="2133" t="str">
        <f>Leach!M13</f>
        <v>na</v>
      </c>
      <c r="O13" s="2131" t="str">
        <f>'SD-Det'!Z13</f>
        <v>na</v>
      </c>
      <c r="P13" s="2129" t="str">
        <f>'SL-Det'!I13</f>
        <v>na</v>
      </c>
      <c r="Q13" s="2127" t="s">
        <v>232</v>
      </c>
      <c r="R13" s="2120"/>
      <c r="S13" s="2122" t="str">
        <f t="shared" ref="S13:S14" si="41">IF($C13="na","",IF($C13=H13,"X",""))</f>
        <v/>
      </c>
      <c r="T13" s="2123" t="str">
        <f t="shared" ref="T13:T14" si="42">IF($C13="na","",IF($C13=I13,"X",""))</f>
        <v/>
      </c>
      <c r="U13" s="2123" t="str">
        <f t="shared" ref="U13:U14" si="43">IF($C13="na","",IF($C13=J13,"X",""))</f>
        <v/>
      </c>
      <c r="V13" s="2123" t="str">
        <f t="shared" ref="V13:V14" si="44">IF($C13="na","",IF($C13=K13,"X",""))</f>
        <v/>
      </c>
      <c r="W13" s="2123" t="str">
        <f t="shared" ref="W13:W14" si="45">IF($C13="na","",IF($C13=O13,"X",""))</f>
        <v/>
      </c>
      <c r="X13" s="2123" t="str">
        <f t="shared" ref="X13:X14" si="46">IF($C13="na","",IF($C13=P13,"X",""))</f>
        <v/>
      </c>
      <c r="Y13" s="2141" t="str">
        <f t="shared" ref="Y13:Y14" si="47">IF($C13="na","",IF($C13=Q13,"X",""))</f>
        <v/>
      </c>
      <c r="Z13" s="2143" t="str">
        <f t="shared" ref="Z13:Z14" si="48">IF($D13="na","",IF($D13=H13,"X",""))</f>
        <v/>
      </c>
      <c r="AA13" s="2123" t="str">
        <f t="shared" ref="AA13:AA14" si="49">IF($D13="na","",IF($D13=L13,"X",""))</f>
        <v/>
      </c>
      <c r="AB13" s="2123" t="str">
        <f t="shared" ref="AB13:AB14" si="50">IF($D13="na","",IF($D13=M13,"X",""))</f>
        <v/>
      </c>
      <c r="AC13" s="2123" t="str">
        <f t="shared" ref="AC13:AC14" si="51">IF($D13="na","",IF($D13=N13,"X",""))</f>
        <v/>
      </c>
      <c r="AD13" s="2123" t="str">
        <f t="shared" ref="AD13:AD14" si="52">IF($D13="na","",IF($D13=O13,"X",""))</f>
        <v/>
      </c>
      <c r="AE13" s="2123" t="str">
        <f t="shared" ref="AE13:AE14" si="53">IF($D13="na","",IF($D13=P13,"X",""))</f>
        <v/>
      </c>
      <c r="AF13" s="2141" t="str">
        <f t="shared" ref="AF13:AF14" si="54">IF($D13="na","",IF($D13=Q13,"X",""))</f>
        <v/>
      </c>
      <c r="AG13" s="2122" t="str">
        <f t="shared" ref="AG13:AG14" si="55">IF($E13="na","",IF($E13=H13,"X",""))</f>
        <v/>
      </c>
      <c r="AH13" s="2123" t="str">
        <f t="shared" ref="AH13:AH14" si="56">IF($E13="na","",IF($E13=J13,"X",""))</f>
        <v/>
      </c>
      <c r="AI13" s="2123" t="str">
        <f t="shared" ref="AI13:AI14" si="57">IF($E13="na","",IF($E13=K13,"X",""))</f>
        <v/>
      </c>
      <c r="AJ13" s="2123" t="str">
        <f t="shared" ref="AJ13:AJ14" si="58">IF($E13="na","",IF($E13=O13,"X",""))</f>
        <v/>
      </c>
      <c r="AK13" s="2123" t="str">
        <f t="shared" ref="AK13:AK14" si="59">IF($E13="na","",IF($E13=P13,"X",""))</f>
        <v/>
      </c>
      <c r="AL13" s="2141" t="str">
        <f t="shared" ref="AL13:AL14" si="60">IF($E13="na","",IF($E13=Q13,"X",""))</f>
        <v/>
      </c>
      <c r="AM13" s="2143" t="str">
        <f t="shared" ref="AM13:AM14" si="61">IF($F13="na","",IF($F13=H13,"X",""))</f>
        <v/>
      </c>
      <c r="AN13" s="2123" t="str">
        <f t="shared" ref="AN13:AN14" si="62">IF($F13="na","",IF($F13=M13,"X",""))</f>
        <v/>
      </c>
      <c r="AO13" s="2123" t="str">
        <f t="shared" ref="AO13:AO14" si="63">IF($F13="na","",IF($F13=N13,"X",""))</f>
        <v/>
      </c>
      <c r="AP13" s="2123" t="str">
        <f t="shared" ref="AP13:AP14" si="64">IF($F13="na","",IF($F13=O13,"X",""))</f>
        <v/>
      </c>
      <c r="AQ13" s="2123" t="str">
        <f t="shared" ref="AQ13:AQ14" si="65">IF($F13="na","",IF($F13=P13,"X",""))</f>
        <v/>
      </c>
      <c r="AR13" s="2124" t="str">
        <f t="shared" ref="AR13:AR14" si="66">IF($F13="na","",IF($F13=Q13,"X",""))</f>
        <v/>
      </c>
      <c r="AS13" s="945"/>
      <c r="AT13" s="2107"/>
      <c r="AV13" s="2120"/>
      <c r="AW13" s="2120"/>
      <c r="AY13" s="4"/>
    </row>
    <row r="14" spans="1:51" s="199" customFormat="1" ht="13.9" customHeight="1" x14ac:dyDescent="0.25">
      <c r="A14" s="2079">
        <f>Chem!A14</f>
        <v>12</v>
      </c>
      <c r="B14" s="951" t="str">
        <f>Chem!B14</f>
        <v>Chloride</v>
      </c>
      <c r="C14" s="2140" t="str">
        <f t="shared" si="39"/>
        <v>na</v>
      </c>
      <c r="D14" s="2140" t="str">
        <f t="shared" si="40"/>
        <v>na</v>
      </c>
      <c r="E14" s="2140" t="str">
        <f t="shared" si="8"/>
        <v>na</v>
      </c>
      <c r="F14" s="2140" t="str">
        <f t="shared" si="9"/>
        <v>na</v>
      </c>
      <c r="G14" s="2140"/>
      <c r="H14" s="2138" t="str">
        <f>'SL-Det'!E14</f>
        <v>na</v>
      </c>
      <c r="I14" s="2136" t="str">
        <f>Leach!F14</f>
        <v>na</v>
      </c>
      <c r="J14" s="2136" t="str">
        <f>Leach!I14</f>
        <v>na</v>
      </c>
      <c r="K14" s="2136" t="str">
        <f>Leach!L14</f>
        <v>na</v>
      </c>
      <c r="L14" s="2134" t="str">
        <f>Leach!G14</f>
        <v>na</v>
      </c>
      <c r="M14" s="2134" t="str">
        <f>Leach!J14</f>
        <v>na</v>
      </c>
      <c r="N14" s="2134" t="str">
        <f>Leach!M14</f>
        <v>na</v>
      </c>
      <c r="O14" s="2132" t="str">
        <f>'SD-Det'!Z14</f>
        <v>na</v>
      </c>
      <c r="P14" s="2130" t="str">
        <f>'SL-Det'!I14</f>
        <v>na</v>
      </c>
      <c r="Q14" s="2128" t="s">
        <v>232</v>
      </c>
      <c r="R14" s="2120"/>
      <c r="S14" s="2125" t="str">
        <f t="shared" si="41"/>
        <v/>
      </c>
      <c r="T14" s="899" t="str">
        <f t="shared" si="42"/>
        <v/>
      </c>
      <c r="U14" s="899" t="str">
        <f t="shared" si="43"/>
        <v/>
      </c>
      <c r="V14" s="899" t="str">
        <f t="shared" si="44"/>
        <v/>
      </c>
      <c r="W14" s="899" t="str">
        <f t="shared" si="45"/>
        <v/>
      </c>
      <c r="X14" s="899" t="str">
        <f t="shared" si="46"/>
        <v/>
      </c>
      <c r="Y14" s="2142" t="str">
        <f t="shared" si="47"/>
        <v/>
      </c>
      <c r="Z14" s="2144" t="str">
        <f t="shared" si="48"/>
        <v/>
      </c>
      <c r="AA14" s="899" t="str">
        <f t="shared" si="49"/>
        <v/>
      </c>
      <c r="AB14" s="899" t="str">
        <f t="shared" si="50"/>
        <v/>
      </c>
      <c r="AC14" s="899" t="str">
        <f t="shared" si="51"/>
        <v/>
      </c>
      <c r="AD14" s="899" t="str">
        <f t="shared" si="52"/>
        <v/>
      </c>
      <c r="AE14" s="899" t="str">
        <f t="shared" si="53"/>
        <v/>
      </c>
      <c r="AF14" s="2142" t="str">
        <f t="shared" si="54"/>
        <v/>
      </c>
      <c r="AG14" s="2125" t="str">
        <f t="shared" si="55"/>
        <v/>
      </c>
      <c r="AH14" s="899" t="str">
        <f t="shared" si="56"/>
        <v/>
      </c>
      <c r="AI14" s="899" t="str">
        <f t="shared" si="57"/>
        <v/>
      </c>
      <c r="AJ14" s="899" t="str">
        <f t="shared" si="58"/>
        <v/>
      </c>
      <c r="AK14" s="899" t="str">
        <f t="shared" si="59"/>
        <v/>
      </c>
      <c r="AL14" s="2142" t="str">
        <f t="shared" si="60"/>
        <v/>
      </c>
      <c r="AM14" s="2144" t="str">
        <f t="shared" si="61"/>
        <v/>
      </c>
      <c r="AN14" s="899" t="str">
        <f t="shared" si="62"/>
        <v/>
      </c>
      <c r="AO14" s="899" t="str">
        <f t="shared" si="63"/>
        <v/>
      </c>
      <c r="AP14" s="899" t="str">
        <f t="shared" si="64"/>
        <v/>
      </c>
      <c r="AQ14" s="899" t="str">
        <f t="shared" si="65"/>
        <v/>
      </c>
      <c r="AR14" s="2126" t="str">
        <f t="shared" si="66"/>
        <v/>
      </c>
      <c r="AS14" s="945"/>
      <c r="AT14" s="2107"/>
      <c r="AV14" s="2120"/>
      <c r="AW14" s="2120"/>
      <c r="AY14" s="4"/>
    </row>
    <row r="15" spans="1:51" s="199" customFormat="1" ht="13.9" customHeight="1" x14ac:dyDescent="0.25">
      <c r="A15" s="843">
        <f>Chem!A15</f>
        <v>13</v>
      </c>
      <c r="B15" s="950" t="str">
        <f>Chem!B15</f>
        <v>Cyanide (multiple forms, see notes)</v>
      </c>
      <c r="C15" s="956">
        <f t="shared" si="39"/>
        <v>0.20200719333333333</v>
      </c>
      <c r="D15" s="497">
        <f t="shared" si="40"/>
        <v>1.0186666666666667E-2</v>
      </c>
      <c r="E15" s="634">
        <f t="shared" si="8"/>
        <v>0.20200719333333333</v>
      </c>
      <c r="F15" s="634">
        <f t="shared" si="9"/>
        <v>1.0186666666666667E-2</v>
      </c>
      <c r="G15" s="634"/>
      <c r="H15" s="467">
        <f>'SL-Det'!E15</f>
        <v>50.4</v>
      </c>
      <c r="I15" s="233">
        <f>Leach!F15</f>
        <v>1.0181162544</v>
      </c>
      <c r="J15" s="233">
        <f>Leach!I15</f>
        <v>0.20200719333333333</v>
      </c>
      <c r="K15" s="233" t="str">
        <f>Leach!L15</f>
        <v>na</v>
      </c>
      <c r="L15" s="475">
        <f>Leach!G15</f>
        <v>5.1340800000000006E-2</v>
      </c>
      <c r="M15" s="475">
        <f>Leach!J15</f>
        <v>1.0186666666666667E-2</v>
      </c>
      <c r="N15" s="475" t="str">
        <f>Leach!M15</f>
        <v>na</v>
      </c>
      <c r="O15" s="2121" t="str">
        <f>'SD-Det'!Z15</f>
        <v>na</v>
      </c>
      <c r="P15" s="494" t="str">
        <f>'SL-Det'!I15</f>
        <v>na</v>
      </c>
      <c r="Q15" s="975" t="s">
        <v>232</v>
      </c>
      <c r="S15" s="1361" t="str">
        <f t="shared" ref="S15:S19" si="67">IF($C15="na","",IF($C15=H15,"X",""))</f>
        <v/>
      </c>
      <c r="T15" s="1362" t="str">
        <f t="shared" ref="T15:T19" si="68">IF($C15="na","",IF($C15=I15,"X",""))</f>
        <v/>
      </c>
      <c r="U15" s="1362" t="str">
        <f t="shared" ref="U15:U19" si="69">IF($C15="na","",IF($C15=J15,"X",""))</f>
        <v>X</v>
      </c>
      <c r="V15" s="1362" t="str">
        <f t="shared" ref="V15:V19" si="70">IF($C15="na","",IF($C15=K15,"X",""))</f>
        <v/>
      </c>
      <c r="W15" s="1362" t="str">
        <f t="shared" ref="W15:W19" si="71">IF($C15="na","",IF($C15=O15,"X",""))</f>
        <v/>
      </c>
      <c r="X15" s="1362" t="str">
        <f t="shared" ref="X15:X19" si="72">IF($C15="na","",IF($C15=P15,"X",""))</f>
        <v/>
      </c>
      <c r="Y15" s="1363" t="str">
        <f t="shared" ref="Y15:Y19" si="73">IF($C15="na","",IF($C15=Q15,"X",""))</f>
        <v/>
      </c>
      <c r="Z15" s="1361" t="str">
        <f t="shared" ref="Z15:Z19" si="74">IF($D15="na","",IF($D15=H15,"X",""))</f>
        <v/>
      </c>
      <c r="AA15" s="1362" t="str">
        <f t="shared" ref="AA15:AA19" si="75">IF($D15="na","",IF($D15=L15,"X",""))</f>
        <v/>
      </c>
      <c r="AB15" s="1362" t="str">
        <f t="shared" ref="AB15:AB19" si="76">IF($D15="na","",IF($D15=M15,"X",""))</f>
        <v>X</v>
      </c>
      <c r="AC15" s="1362" t="str">
        <f t="shared" ref="AC15:AC19" si="77">IF($D15="na","",IF($D15=N15,"X",""))</f>
        <v/>
      </c>
      <c r="AD15" s="1362" t="str">
        <f t="shared" ref="AD15:AD19" si="78">IF($D15="na","",IF($D15=O15,"X",""))</f>
        <v/>
      </c>
      <c r="AE15" s="1362" t="str">
        <f t="shared" ref="AE15:AE19" si="79">IF($D15="na","",IF($D15=P15,"X",""))</f>
        <v/>
      </c>
      <c r="AF15" s="1364" t="str">
        <f t="shared" ref="AF15:AF19" si="80">IF($D15="na","",IF($D15=Q15,"X",""))</f>
        <v/>
      </c>
      <c r="AG15" s="1361" t="str">
        <f t="shared" ref="AG15:AG19" si="81">IF($E15="na","",IF($E15=H15,"X",""))</f>
        <v/>
      </c>
      <c r="AH15" s="1362" t="str">
        <f t="shared" ref="AH15:AH19" si="82">IF($E15="na","",IF($E15=J15,"X",""))</f>
        <v>X</v>
      </c>
      <c r="AI15" s="1362" t="str">
        <f t="shared" ref="AI15:AI19" si="83">IF($E15="na","",IF($E15=K15,"X",""))</f>
        <v/>
      </c>
      <c r="AJ15" s="1362" t="str">
        <f t="shared" ref="AJ15:AJ19" si="84">IF($E15="na","",IF($E15=O15,"X",""))</f>
        <v/>
      </c>
      <c r="AK15" s="1362" t="str">
        <f t="shared" ref="AK15:AK19" si="85">IF($E15="na","",IF($E15=P15,"X",""))</f>
        <v/>
      </c>
      <c r="AL15" s="1364" t="str">
        <f t="shared" ref="AL15:AL19" si="86">IF($E15="na","",IF($E15=Q15,"X",""))</f>
        <v/>
      </c>
      <c r="AM15" s="1361" t="str">
        <f t="shared" ref="AM15:AM19" si="87">IF($F15="na","",IF($F15=H15,"X",""))</f>
        <v/>
      </c>
      <c r="AN15" s="1362" t="str">
        <f t="shared" ref="AN15:AN19" si="88">IF($F15="na","",IF($F15=M15,"X",""))</f>
        <v>X</v>
      </c>
      <c r="AO15" s="1362" t="str">
        <f t="shared" ref="AO15:AO19" si="89">IF($F15="na","",IF($F15=N15,"X",""))</f>
        <v/>
      </c>
      <c r="AP15" s="1362" t="str">
        <f t="shared" ref="AP15:AP19" si="90">IF($F15="na","",IF($F15=O15,"X",""))</f>
        <v/>
      </c>
      <c r="AQ15" s="1362" t="str">
        <f t="shared" ref="AQ15:AQ19" si="91">IF($F15="na","",IF($F15=P15,"X",""))</f>
        <v/>
      </c>
      <c r="AR15" s="1364" t="str">
        <f t="shared" ref="AR15:AR19" si="92">IF($F15="na","",IF($F15=Q15,"X",""))</f>
        <v/>
      </c>
      <c r="AT15" s="1064"/>
      <c r="AV15"/>
      <c r="AW15"/>
      <c r="AY15" s="4"/>
    </row>
    <row r="16" spans="1:51" s="199" customFormat="1" ht="13.9" customHeight="1" x14ac:dyDescent="0.25">
      <c r="A16" s="843">
        <f>Chem!A16</f>
        <v>14</v>
      </c>
      <c r="B16" s="951" t="str">
        <f>Chem!B16</f>
        <v>Fluoride</v>
      </c>
      <c r="C16" s="946">
        <f t="shared" si="39"/>
        <v>2883.8399999999997</v>
      </c>
      <c r="D16" s="463">
        <f t="shared" si="40"/>
        <v>144.27519999999998</v>
      </c>
      <c r="E16" s="634">
        <f t="shared" si="8"/>
        <v>4800</v>
      </c>
      <c r="F16" s="634">
        <f t="shared" si="9"/>
        <v>4800</v>
      </c>
      <c r="G16" s="634"/>
      <c r="H16" s="467">
        <f>'SL-Det'!E16</f>
        <v>4800</v>
      </c>
      <c r="I16" s="231">
        <f>Leach!F16</f>
        <v>2883.8399999999997</v>
      </c>
      <c r="J16" s="231" t="str">
        <f>Leach!I16</f>
        <v>na</v>
      </c>
      <c r="K16" s="231" t="str">
        <f>Leach!L16</f>
        <v>na</v>
      </c>
      <c r="L16" s="476">
        <f>Leach!G16</f>
        <v>144.27519999999998</v>
      </c>
      <c r="M16" s="476" t="str">
        <f>Leach!J16</f>
        <v>na</v>
      </c>
      <c r="N16" s="476" t="str">
        <f>Leach!M16</f>
        <v>na</v>
      </c>
      <c r="O16" s="484" t="str">
        <f>'SD-Det'!Z16</f>
        <v>na</v>
      </c>
      <c r="P16" s="494" t="str">
        <f>'SL-Det'!I16</f>
        <v>na</v>
      </c>
      <c r="Q16" s="970" t="s">
        <v>232</v>
      </c>
      <c r="S16" s="832" t="str">
        <f t="shared" ref="S16" si="93">IF($C16="na","",IF($C16=H16,"X",""))</f>
        <v/>
      </c>
      <c r="T16" s="366" t="str">
        <f t="shared" ref="T16" si="94">IF($C16="na","",IF($C16=I16,"X",""))</f>
        <v>X</v>
      </c>
      <c r="U16" s="366" t="str">
        <f t="shared" ref="U16" si="95">IF($C16="na","",IF($C16=J16,"X",""))</f>
        <v/>
      </c>
      <c r="V16" s="366" t="str">
        <f t="shared" ref="V16" si="96">IF($C16="na","",IF($C16=K16,"X",""))</f>
        <v/>
      </c>
      <c r="W16" s="366" t="str">
        <f t="shared" ref="W16" si="97">IF($C16="na","",IF($C16=O16,"X",""))</f>
        <v/>
      </c>
      <c r="X16" s="366" t="str">
        <f t="shared" ref="X16" si="98">IF($C16="na","",IF($C16=P16,"X",""))</f>
        <v/>
      </c>
      <c r="Y16" s="989" t="str">
        <f t="shared" ref="Y16" si="99">IF($C16="na","",IF($C16=Q16,"X",""))</f>
        <v/>
      </c>
      <c r="Z16" s="832" t="str">
        <f t="shared" ref="Z16" si="100">IF($D16="na","",IF($D16=H16,"X",""))</f>
        <v/>
      </c>
      <c r="AA16" s="366" t="str">
        <f t="shared" ref="AA16" si="101">IF($D16="na","",IF($D16=L16,"X",""))</f>
        <v>X</v>
      </c>
      <c r="AB16" s="366" t="str">
        <f t="shared" ref="AB16" si="102">IF($D16="na","",IF($D16=M16,"X",""))</f>
        <v/>
      </c>
      <c r="AC16" s="366" t="str">
        <f t="shared" ref="AC16" si="103">IF($D16="na","",IF($D16=N16,"X",""))</f>
        <v/>
      </c>
      <c r="AD16" s="366" t="str">
        <f t="shared" ref="AD16" si="104">IF($D16="na","",IF($D16=O16,"X",""))</f>
        <v/>
      </c>
      <c r="AE16" s="366" t="str">
        <f t="shared" ref="AE16" si="105">IF($D16="na","",IF($D16=P16,"X",""))</f>
        <v/>
      </c>
      <c r="AF16" s="833" t="str">
        <f t="shared" ref="AF16" si="106">IF($D16="na","",IF($D16=Q16,"X",""))</f>
        <v/>
      </c>
      <c r="AG16" s="832" t="str">
        <f t="shared" ref="AG16" si="107">IF($E16="na","",IF($E16=H16,"X",""))</f>
        <v>X</v>
      </c>
      <c r="AH16" s="366" t="str">
        <f t="shared" ref="AH16" si="108">IF($E16="na","",IF($E16=J16,"X",""))</f>
        <v/>
      </c>
      <c r="AI16" s="366" t="str">
        <f t="shared" ref="AI16" si="109">IF($E16="na","",IF($E16=K16,"X",""))</f>
        <v/>
      </c>
      <c r="AJ16" s="366" t="str">
        <f t="shared" ref="AJ16" si="110">IF($E16="na","",IF($E16=O16,"X",""))</f>
        <v/>
      </c>
      <c r="AK16" s="366" t="str">
        <f t="shared" ref="AK16" si="111">IF($E16="na","",IF($E16=P16,"X",""))</f>
        <v/>
      </c>
      <c r="AL16" s="833" t="str">
        <f t="shared" ref="AL16" si="112">IF($E16="na","",IF($E16=Q16,"X",""))</f>
        <v/>
      </c>
      <c r="AM16" s="832" t="str">
        <f t="shared" ref="AM16" si="113">IF($F16="na","",IF($F16=H16,"X",""))</f>
        <v>X</v>
      </c>
      <c r="AN16" s="366" t="str">
        <f t="shared" ref="AN16" si="114">IF($F16="na","",IF($F16=M16,"X",""))</f>
        <v/>
      </c>
      <c r="AO16" s="366" t="str">
        <f t="shared" ref="AO16" si="115">IF($F16="na","",IF($F16=N16,"X",""))</f>
        <v/>
      </c>
      <c r="AP16" s="366" t="str">
        <f t="shared" ref="AP16" si="116">IF($F16="na","",IF($F16=O16,"X",""))</f>
        <v/>
      </c>
      <c r="AQ16" s="366" t="str">
        <f t="shared" ref="AQ16" si="117">IF($F16="na","",IF($F16=P16,"X",""))</f>
        <v/>
      </c>
      <c r="AR16" s="833" t="str">
        <f t="shared" ref="AR16" si="118">IF($F16="na","",IF($F16=Q16,"X",""))</f>
        <v/>
      </c>
      <c r="AT16" s="1064"/>
      <c r="AV16"/>
      <c r="AW16"/>
      <c r="AY16" s="4"/>
    </row>
    <row r="17" spans="1:51" s="199" customFormat="1" ht="13.9" customHeight="1" x14ac:dyDescent="0.25">
      <c r="A17" s="1069">
        <f>Chem!A17</f>
        <v>15</v>
      </c>
      <c r="B17" s="951" t="str">
        <f>Chem!B17</f>
        <v>Nitrate</v>
      </c>
      <c r="C17" s="946">
        <f t="shared" si="39"/>
        <v>128000</v>
      </c>
      <c r="D17" s="463">
        <f t="shared" si="40"/>
        <v>128000</v>
      </c>
      <c r="E17" s="634">
        <f t="shared" si="8"/>
        <v>128000</v>
      </c>
      <c r="F17" s="634">
        <f t="shared" si="9"/>
        <v>128000</v>
      </c>
      <c r="G17" s="634"/>
      <c r="H17" s="467">
        <f>'SL-Det'!E17</f>
        <v>128000</v>
      </c>
      <c r="I17" s="231" t="str">
        <f>Leach!F17</f>
        <v>na</v>
      </c>
      <c r="J17" s="231" t="str">
        <f>Leach!I17</f>
        <v>na</v>
      </c>
      <c r="K17" s="231" t="str">
        <f>Leach!L17</f>
        <v>na</v>
      </c>
      <c r="L17" s="476" t="str">
        <f>Leach!G17</f>
        <v>na</v>
      </c>
      <c r="M17" s="476" t="str">
        <f>Leach!J17</f>
        <v>na</v>
      </c>
      <c r="N17" s="476" t="str">
        <f>Leach!M17</f>
        <v>na</v>
      </c>
      <c r="O17" s="484" t="str">
        <f>'SD-Det'!Z17</f>
        <v>na</v>
      </c>
      <c r="P17" s="494" t="str">
        <f>'SL-Det'!I17</f>
        <v>na</v>
      </c>
      <c r="Q17" s="970" t="s">
        <v>232</v>
      </c>
      <c r="S17" s="832" t="str">
        <f t="shared" si="67"/>
        <v>X</v>
      </c>
      <c r="T17" s="366" t="str">
        <f t="shared" si="68"/>
        <v/>
      </c>
      <c r="U17" s="366" t="str">
        <f t="shared" si="69"/>
        <v/>
      </c>
      <c r="V17" s="366" t="str">
        <f t="shared" si="70"/>
        <v/>
      </c>
      <c r="W17" s="366" t="str">
        <f t="shared" si="71"/>
        <v/>
      </c>
      <c r="X17" s="366" t="str">
        <f t="shared" si="72"/>
        <v/>
      </c>
      <c r="Y17" s="989" t="str">
        <f t="shared" si="73"/>
        <v/>
      </c>
      <c r="Z17" s="832" t="str">
        <f t="shared" si="74"/>
        <v>X</v>
      </c>
      <c r="AA17" s="366" t="str">
        <f t="shared" si="75"/>
        <v/>
      </c>
      <c r="AB17" s="366" t="str">
        <f t="shared" si="76"/>
        <v/>
      </c>
      <c r="AC17" s="366" t="str">
        <f t="shared" si="77"/>
        <v/>
      </c>
      <c r="AD17" s="366" t="str">
        <f t="shared" si="78"/>
        <v/>
      </c>
      <c r="AE17" s="366" t="str">
        <f t="shared" si="79"/>
        <v/>
      </c>
      <c r="AF17" s="833" t="str">
        <f t="shared" si="80"/>
        <v/>
      </c>
      <c r="AG17" s="832" t="str">
        <f t="shared" si="81"/>
        <v>X</v>
      </c>
      <c r="AH17" s="366" t="str">
        <f t="shared" si="82"/>
        <v/>
      </c>
      <c r="AI17" s="366" t="str">
        <f t="shared" si="83"/>
        <v/>
      </c>
      <c r="AJ17" s="366" t="str">
        <f t="shared" si="84"/>
        <v/>
      </c>
      <c r="AK17" s="366" t="str">
        <f t="shared" si="85"/>
        <v/>
      </c>
      <c r="AL17" s="833" t="str">
        <f t="shared" si="86"/>
        <v/>
      </c>
      <c r="AM17" s="832" t="str">
        <f t="shared" si="87"/>
        <v>X</v>
      </c>
      <c r="AN17" s="366" t="str">
        <f t="shared" si="88"/>
        <v/>
      </c>
      <c r="AO17" s="366" t="str">
        <f t="shared" si="89"/>
        <v/>
      </c>
      <c r="AP17" s="366" t="str">
        <f t="shared" si="90"/>
        <v/>
      </c>
      <c r="AQ17" s="366" t="str">
        <f t="shared" si="91"/>
        <v/>
      </c>
      <c r="AR17" s="833" t="str">
        <f t="shared" si="92"/>
        <v/>
      </c>
      <c r="AT17" s="1064"/>
      <c r="AV17"/>
      <c r="AW17"/>
      <c r="AY17" s="4"/>
    </row>
    <row r="18" spans="1:51" s="199" customFormat="1" ht="13.9" customHeight="1" x14ac:dyDescent="0.25">
      <c r="A18" s="844">
        <f>Chem!A18</f>
        <v>16</v>
      </c>
      <c r="B18" s="951" t="str">
        <f>Chem!B18</f>
        <v>Nitrite</v>
      </c>
      <c r="C18" s="946">
        <f t="shared" si="39"/>
        <v>8000</v>
      </c>
      <c r="D18" s="463">
        <f t="shared" si="40"/>
        <v>8000</v>
      </c>
      <c r="E18" s="634">
        <f t="shared" si="8"/>
        <v>8000</v>
      </c>
      <c r="F18" s="634">
        <f t="shared" si="9"/>
        <v>8000</v>
      </c>
      <c r="G18" s="634"/>
      <c r="H18" s="467">
        <f>'SL-Det'!E18</f>
        <v>8000</v>
      </c>
      <c r="I18" s="231" t="str">
        <f>Leach!F18</f>
        <v>na</v>
      </c>
      <c r="J18" s="231" t="str">
        <f>Leach!I18</f>
        <v>na</v>
      </c>
      <c r="K18" s="231" t="str">
        <f>Leach!L18</f>
        <v>na</v>
      </c>
      <c r="L18" s="476" t="str">
        <f>Leach!G18</f>
        <v>na</v>
      </c>
      <c r="M18" s="476" t="str">
        <f>Leach!J18</f>
        <v>na</v>
      </c>
      <c r="N18" s="476" t="str">
        <f>Leach!M18</f>
        <v>na</v>
      </c>
      <c r="O18" s="484" t="str">
        <f>'SD-Det'!Z18</f>
        <v>na</v>
      </c>
      <c r="P18" s="494" t="str">
        <f>'SL-Det'!I18</f>
        <v>na</v>
      </c>
      <c r="Q18" s="970" t="s">
        <v>232</v>
      </c>
      <c r="S18" s="832" t="str">
        <f t="shared" si="67"/>
        <v>X</v>
      </c>
      <c r="T18" s="366" t="str">
        <f t="shared" si="68"/>
        <v/>
      </c>
      <c r="U18" s="366" t="str">
        <f t="shared" si="69"/>
        <v/>
      </c>
      <c r="V18" s="366" t="str">
        <f t="shared" si="70"/>
        <v/>
      </c>
      <c r="W18" s="366" t="str">
        <f t="shared" si="71"/>
        <v/>
      </c>
      <c r="X18" s="366" t="str">
        <f t="shared" si="72"/>
        <v/>
      </c>
      <c r="Y18" s="989" t="str">
        <f t="shared" si="73"/>
        <v/>
      </c>
      <c r="Z18" s="832" t="str">
        <f t="shared" si="74"/>
        <v>X</v>
      </c>
      <c r="AA18" s="366" t="str">
        <f t="shared" si="75"/>
        <v/>
      </c>
      <c r="AB18" s="366" t="str">
        <f t="shared" si="76"/>
        <v/>
      </c>
      <c r="AC18" s="366" t="str">
        <f t="shared" si="77"/>
        <v/>
      </c>
      <c r="AD18" s="366" t="str">
        <f t="shared" si="78"/>
        <v/>
      </c>
      <c r="AE18" s="366" t="str">
        <f t="shared" si="79"/>
        <v/>
      </c>
      <c r="AF18" s="833" t="str">
        <f t="shared" si="80"/>
        <v/>
      </c>
      <c r="AG18" s="832" t="str">
        <f t="shared" si="81"/>
        <v>X</v>
      </c>
      <c r="AH18" s="366" t="str">
        <f t="shared" si="82"/>
        <v/>
      </c>
      <c r="AI18" s="366" t="str">
        <f t="shared" si="83"/>
        <v/>
      </c>
      <c r="AJ18" s="366" t="str">
        <f t="shared" si="84"/>
        <v/>
      </c>
      <c r="AK18" s="366" t="str">
        <f t="shared" si="85"/>
        <v/>
      </c>
      <c r="AL18" s="833" t="str">
        <f t="shared" si="86"/>
        <v/>
      </c>
      <c r="AM18" s="832" t="str">
        <f t="shared" si="87"/>
        <v>X</v>
      </c>
      <c r="AN18" s="366" t="str">
        <f t="shared" si="88"/>
        <v/>
      </c>
      <c r="AO18" s="366" t="str">
        <f t="shared" si="89"/>
        <v/>
      </c>
      <c r="AP18" s="366" t="str">
        <f t="shared" si="90"/>
        <v/>
      </c>
      <c r="AQ18" s="366" t="str">
        <f t="shared" si="91"/>
        <v/>
      </c>
      <c r="AR18" s="833" t="str">
        <f t="shared" si="92"/>
        <v/>
      </c>
      <c r="AT18" s="1064"/>
      <c r="AV18"/>
      <c r="AW18"/>
      <c r="AY18" s="4"/>
    </row>
    <row r="19" spans="1:51" s="199" customFormat="1" ht="13.9" customHeight="1" x14ac:dyDescent="0.25">
      <c r="A19" s="1321">
        <f>Chem!A19</f>
        <v>17</v>
      </c>
      <c r="B19" s="951" t="str">
        <f>Chem!B19</f>
        <v>Sulfate</v>
      </c>
      <c r="C19" s="463" t="str">
        <f t="shared" si="39"/>
        <v>na</v>
      </c>
      <c r="D19" s="463" t="str">
        <f t="shared" si="40"/>
        <v>na</v>
      </c>
      <c r="E19" s="463" t="str">
        <f t="shared" si="8"/>
        <v>na</v>
      </c>
      <c r="F19" s="463" t="str">
        <f t="shared" si="9"/>
        <v>na</v>
      </c>
      <c r="G19" s="463"/>
      <c r="H19" s="501" t="str">
        <f>'SL-Det'!E19</f>
        <v>na</v>
      </c>
      <c r="I19" s="231" t="str">
        <f>Leach!F19</f>
        <v>na</v>
      </c>
      <c r="J19" s="231" t="str">
        <f>Leach!I19</f>
        <v>na</v>
      </c>
      <c r="K19" s="231" t="str">
        <f>Leach!L19</f>
        <v>na</v>
      </c>
      <c r="L19" s="476" t="str">
        <f>Leach!G19</f>
        <v>na</v>
      </c>
      <c r="M19" s="476" t="str">
        <f>Leach!J19</f>
        <v>na</v>
      </c>
      <c r="N19" s="476" t="str">
        <f>Leach!M19</f>
        <v>na</v>
      </c>
      <c r="O19" s="1358" t="str">
        <f>'SD-Det'!Z19</f>
        <v>na</v>
      </c>
      <c r="P19" s="492" t="str">
        <f>'SL-Det'!I19</f>
        <v>na</v>
      </c>
      <c r="Q19" s="970" t="s">
        <v>232</v>
      </c>
      <c r="S19" s="832" t="str">
        <f t="shared" si="67"/>
        <v/>
      </c>
      <c r="T19" s="366" t="str">
        <f t="shared" si="68"/>
        <v/>
      </c>
      <c r="U19" s="366" t="str">
        <f t="shared" si="69"/>
        <v/>
      </c>
      <c r="V19" s="366" t="str">
        <f t="shared" si="70"/>
        <v/>
      </c>
      <c r="W19" s="366" t="str">
        <f t="shared" si="71"/>
        <v/>
      </c>
      <c r="X19" s="366" t="str">
        <f t="shared" si="72"/>
        <v/>
      </c>
      <c r="Y19" s="833" t="str">
        <f t="shared" si="73"/>
        <v/>
      </c>
      <c r="Z19" s="832" t="str">
        <f t="shared" si="74"/>
        <v/>
      </c>
      <c r="AA19" s="366" t="str">
        <f t="shared" si="75"/>
        <v/>
      </c>
      <c r="AB19" s="366" t="str">
        <f t="shared" si="76"/>
        <v/>
      </c>
      <c r="AC19" s="366" t="str">
        <f t="shared" si="77"/>
        <v/>
      </c>
      <c r="AD19" s="366" t="str">
        <f t="shared" si="78"/>
        <v/>
      </c>
      <c r="AE19" s="366" t="str">
        <f t="shared" si="79"/>
        <v/>
      </c>
      <c r="AF19" s="833" t="str">
        <f t="shared" si="80"/>
        <v/>
      </c>
      <c r="AG19" s="832" t="str">
        <f t="shared" si="81"/>
        <v/>
      </c>
      <c r="AH19" s="366" t="str">
        <f t="shared" si="82"/>
        <v/>
      </c>
      <c r="AI19" s="366" t="str">
        <f t="shared" si="83"/>
        <v/>
      </c>
      <c r="AJ19" s="366" t="str">
        <f t="shared" si="84"/>
        <v/>
      </c>
      <c r="AK19" s="366" t="str">
        <f t="shared" si="85"/>
        <v/>
      </c>
      <c r="AL19" s="833" t="str">
        <f t="shared" si="86"/>
        <v/>
      </c>
      <c r="AM19" s="832" t="str">
        <f t="shared" si="87"/>
        <v/>
      </c>
      <c r="AN19" s="366" t="str">
        <f t="shared" si="88"/>
        <v/>
      </c>
      <c r="AO19" s="366" t="str">
        <f t="shared" si="89"/>
        <v/>
      </c>
      <c r="AP19" s="366" t="str">
        <f t="shared" si="90"/>
        <v/>
      </c>
      <c r="AQ19" s="366" t="str">
        <f t="shared" si="91"/>
        <v/>
      </c>
      <c r="AR19" s="833" t="str">
        <f t="shared" si="92"/>
        <v/>
      </c>
      <c r="AT19" s="1064"/>
      <c r="AV19"/>
      <c r="AW19"/>
      <c r="AY19" s="4"/>
    </row>
    <row r="20" spans="1:51" s="199" customFormat="1" ht="13.9" customHeight="1" x14ac:dyDescent="0.25">
      <c r="A20" s="1322">
        <f>Chem!A20</f>
        <v>18</v>
      </c>
      <c r="B20" s="1166" t="str">
        <f>Chem!B20</f>
        <v>Sulfide</v>
      </c>
      <c r="C20" s="499" t="str">
        <f t="shared" si="39"/>
        <v>na</v>
      </c>
      <c r="D20" s="499" t="str">
        <f t="shared" si="40"/>
        <v>na</v>
      </c>
      <c r="E20" s="499" t="str">
        <f t="shared" si="8"/>
        <v>na</v>
      </c>
      <c r="F20" s="499" t="str">
        <f t="shared" si="9"/>
        <v>na</v>
      </c>
      <c r="G20" s="499"/>
      <c r="H20" s="506" t="str">
        <f>'SL-Det'!E20</f>
        <v>na</v>
      </c>
      <c r="I20" s="470" t="str">
        <f>Leach!F20</f>
        <v>na</v>
      </c>
      <c r="J20" s="470" t="str">
        <f>Leach!I20</f>
        <v>na</v>
      </c>
      <c r="K20" s="470" t="str">
        <f>Leach!L20</f>
        <v>na</v>
      </c>
      <c r="L20" s="477" t="str">
        <f>Leach!G20</f>
        <v>na</v>
      </c>
      <c r="M20" s="477" t="str">
        <f>Leach!J20</f>
        <v>na</v>
      </c>
      <c r="N20" s="477" t="str">
        <f>Leach!M20</f>
        <v>na</v>
      </c>
      <c r="O20" s="1359" t="str">
        <f>'SD-Det'!Z20</f>
        <v>na</v>
      </c>
      <c r="P20" s="810" t="str">
        <f>'SL-Det'!I20</f>
        <v>na</v>
      </c>
      <c r="Q20" s="1169" t="s">
        <v>232</v>
      </c>
      <c r="S20" s="1121" t="str">
        <f t="shared" ref="S20" si="119">IF($C20="na","",IF($C20=H20,"X",""))</f>
        <v/>
      </c>
      <c r="T20" s="1171" t="str">
        <f t="shared" ref="T20" si="120">IF($C20="na","",IF($C20=I20,"X",""))</f>
        <v/>
      </c>
      <c r="U20" s="1171" t="str">
        <f t="shared" ref="U20" si="121">IF($C20="na","",IF($C20=J20,"X",""))</f>
        <v/>
      </c>
      <c r="V20" s="1171" t="str">
        <f t="shared" ref="V20" si="122">IF($C20="na","",IF($C20=K20,"X",""))</f>
        <v/>
      </c>
      <c r="W20" s="1171" t="str">
        <f t="shared" ref="W20" si="123">IF($C20="na","",IF($C20=O20,"X",""))</f>
        <v/>
      </c>
      <c r="X20" s="1171" t="str">
        <f t="shared" ref="X20" si="124">IF($C20="na","",IF($C20=P20,"X",""))</f>
        <v/>
      </c>
      <c r="Y20" s="1173" t="str">
        <f t="shared" ref="Y20" si="125">IF($C20="na","",IF($C20=Q20,"X",""))</f>
        <v/>
      </c>
      <c r="Z20" s="1121" t="str">
        <f t="shared" ref="Z20" si="126">IF($D20="na","",IF($D20=H20,"X",""))</f>
        <v/>
      </c>
      <c r="AA20" s="1171" t="str">
        <f t="shared" ref="AA20" si="127">IF($D20="na","",IF($D20=L20,"X",""))</f>
        <v/>
      </c>
      <c r="AB20" s="1171" t="str">
        <f t="shared" ref="AB20" si="128">IF($D20="na","",IF($D20=M20,"X",""))</f>
        <v/>
      </c>
      <c r="AC20" s="1171" t="str">
        <f t="shared" ref="AC20" si="129">IF($D20="na","",IF($D20=N20,"X",""))</f>
        <v/>
      </c>
      <c r="AD20" s="1171" t="str">
        <f t="shared" ref="AD20" si="130">IF($D20="na","",IF($D20=O20,"X",""))</f>
        <v/>
      </c>
      <c r="AE20" s="1171" t="str">
        <f t="shared" ref="AE20" si="131">IF($D20="na","",IF($D20=P20,"X",""))</f>
        <v/>
      </c>
      <c r="AF20" s="1173" t="str">
        <f t="shared" ref="AF20" si="132">IF($D20="na","",IF($D20=Q20,"X",""))</f>
        <v/>
      </c>
      <c r="AG20" s="1121" t="str">
        <f t="shared" ref="AG20" si="133">IF($E20="na","",IF($E20=H20,"X",""))</f>
        <v/>
      </c>
      <c r="AH20" s="1171" t="str">
        <f t="shared" ref="AH20" si="134">IF($E20="na","",IF($E20=J20,"X",""))</f>
        <v/>
      </c>
      <c r="AI20" s="1171" t="str">
        <f t="shared" ref="AI20" si="135">IF($E20="na","",IF($E20=K20,"X",""))</f>
        <v/>
      </c>
      <c r="AJ20" s="1171" t="str">
        <f t="shared" ref="AJ20" si="136">IF($E20="na","",IF($E20=O20,"X",""))</f>
        <v/>
      </c>
      <c r="AK20" s="1171" t="str">
        <f t="shared" ref="AK20" si="137">IF($E20="na","",IF($E20=P20,"X",""))</f>
        <v/>
      </c>
      <c r="AL20" s="1173" t="str">
        <f t="shared" ref="AL20" si="138">IF($E20="na","",IF($E20=Q20,"X",""))</f>
        <v/>
      </c>
      <c r="AM20" s="1121" t="str">
        <f t="shared" ref="AM20" si="139">IF($F20="na","",IF($F20=H20,"X",""))</f>
        <v/>
      </c>
      <c r="AN20" s="1171" t="str">
        <f t="shared" ref="AN20" si="140">IF($F20="na","",IF($F20=M20,"X",""))</f>
        <v/>
      </c>
      <c r="AO20" s="1171" t="str">
        <f t="shared" ref="AO20" si="141">IF($F20="na","",IF($F20=N20,"X",""))</f>
        <v/>
      </c>
      <c r="AP20" s="1171" t="str">
        <f t="shared" ref="AP20" si="142">IF($F20="na","",IF($F20=O20,"X",""))</f>
        <v/>
      </c>
      <c r="AQ20" s="1171" t="str">
        <f t="shared" ref="AQ20" si="143">IF($F20="na","",IF($F20=P20,"X",""))</f>
        <v/>
      </c>
      <c r="AR20" s="1173" t="str">
        <f t="shared" ref="AR20" si="144">IF($F20="na","",IF($F20=Q20,"X",""))</f>
        <v/>
      </c>
      <c r="AT20" s="1064"/>
      <c r="AV20"/>
      <c r="AW20"/>
      <c r="AY20" s="4"/>
    </row>
    <row r="21" spans="1:51" ht="13.9" customHeight="1" x14ac:dyDescent="0.25">
      <c r="A21" s="906">
        <f>Chem!A21</f>
        <v>19</v>
      </c>
      <c r="B21" s="953" t="str">
        <f>Chem!B21</f>
        <v>Metals</v>
      </c>
      <c r="C21" s="28"/>
      <c r="D21" s="28"/>
      <c r="E21" s="28"/>
      <c r="F21" s="28"/>
      <c r="G21" s="28"/>
      <c r="H21" s="28"/>
      <c r="I21" s="28"/>
      <c r="J21" s="28"/>
      <c r="K21" s="28"/>
      <c r="L21" s="28"/>
      <c r="M21" s="28"/>
      <c r="N21" s="28"/>
      <c r="O21" s="43"/>
      <c r="P21" s="2323"/>
      <c r="Q21" s="2324"/>
      <c r="S21" s="26" t="str">
        <f>B21</f>
        <v>Metals</v>
      </c>
      <c r="T21" s="2328"/>
      <c r="U21" s="2328"/>
      <c r="V21" s="2328"/>
      <c r="W21" s="2328"/>
      <c r="X21" s="2328"/>
      <c r="Y21" s="2328"/>
      <c r="Z21" s="2328"/>
      <c r="AA21" s="2328"/>
      <c r="AB21" s="2328"/>
      <c r="AC21" s="2328"/>
      <c r="AD21" s="2328"/>
      <c r="AE21" s="2328"/>
      <c r="AF21" s="2328"/>
      <c r="AG21" s="2329"/>
      <c r="AH21" s="2328"/>
      <c r="AI21" s="2328"/>
      <c r="AJ21" s="2328"/>
      <c r="AK21" s="2328"/>
      <c r="AL21" s="2328"/>
      <c r="AM21" s="2328"/>
      <c r="AN21" s="2328"/>
      <c r="AO21" s="2328"/>
      <c r="AP21" s="2328"/>
      <c r="AQ21" s="2328"/>
      <c r="AR21" s="2330"/>
      <c r="AT21" s="2325"/>
      <c r="AY21" s="4"/>
    </row>
    <row r="22" spans="1:51" ht="13.9" customHeight="1" x14ac:dyDescent="0.25">
      <c r="A22" s="846">
        <f>Chem!A22</f>
        <v>20</v>
      </c>
      <c r="B22" s="951" t="str">
        <f>Chem!B22</f>
        <v>Aluminum</v>
      </c>
      <c r="C22" s="946">
        <f t="shared" ref="C22:C45" si="145">IF(MIN($H22,$I22:$K22,$O22,$P22)=0,"na",IF($Q22="na",MIN($H22,$I22:$K22,$O22,$P22),IF($Q22&gt;MIN($H22,$I22:$K22,$O22,$P22),$Q22,MIN($H22,$I22:$K22,$O22,$P22))))</f>
        <v>33000</v>
      </c>
      <c r="D22" s="463">
        <f t="shared" ref="D22:D45" si="146">IF(MIN($H22,$L22:$N22,$O22,$P22)=0,"na",IF($Q22="na",MIN($H22,$L22:$N22,$O22,$P22),IF($Q22&gt;MIN($H22,$L22:$N22,$O22,$P22),$Q22,MIN($H22,$L22:$N22,$O22,$P22))))</f>
        <v>33000</v>
      </c>
      <c r="E22" s="634">
        <f t="shared" ref="E22:E45" si="147">IF(MIN($H22,$J22:$K22,$O22,$P22)=0,"na",IF($Q22="na",MIN($H22,$J22:$K22,$O22,$P22),IF($Q22&gt;MIN($H22,$J22:$K22,$O22,$P22),$Q22,MIN($H22,$J22:$K22,$O22,$P22))))</f>
        <v>33000</v>
      </c>
      <c r="F22" s="634">
        <f t="shared" ref="F22:F45" si="148">IF(MIN($H22,$M22:$P22)=0,"na",IF($Q22="na",MIN($H22,$M22:$P22),IF($Q22&gt;MIN($H22,$M22:$P22),$Q22,MIN($H22,$M22:$P22))))</f>
        <v>33000</v>
      </c>
      <c r="G22" s="634"/>
      <c r="H22" s="467">
        <f>'SL-Det'!E22</f>
        <v>80000</v>
      </c>
      <c r="I22" s="469">
        <f>Leach!F22</f>
        <v>480064</v>
      </c>
      <c r="J22" s="469" t="str">
        <f>Leach!I22</f>
        <v>na</v>
      </c>
      <c r="K22" s="469" t="str">
        <f>Leach!L22</f>
        <v>na</v>
      </c>
      <c r="L22" s="474">
        <f>Leach!G22</f>
        <v>24004.586666666666</v>
      </c>
      <c r="M22" s="474" t="str">
        <f>Leach!J22</f>
        <v>na</v>
      </c>
      <c r="N22" s="474" t="str">
        <f>Leach!M22</f>
        <v>na</v>
      </c>
      <c r="O22" s="485" t="str">
        <f>'SD-Det'!Z22</f>
        <v>na</v>
      </c>
      <c r="P22" s="494">
        <f>'SL-Det'!I22</f>
        <v>50</v>
      </c>
      <c r="Q22" s="970">
        <f>Param!AL22</f>
        <v>33000</v>
      </c>
      <c r="S22" s="978" t="str">
        <f t="shared" ref="S22:S45" si="149">IF($C22="na","",IF($C22=H22,"X",""))</f>
        <v/>
      </c>
      <c r="T22" s="979" t="str">
        <f t="shared" ref="T22:T45" si="150">IF($C22="na","",IF($C22=I22,"X",""))</f>
        <v/>
      </c>
      <c r="U22" s="979" t="str">
        <f t="shared" ref="U22:U45" si="151">IF($C22="na","",IF($C22=J22,"X",""))</f>
        <v/>
      </c>
      <c r="V22" s="979" t="str">
        <f t="shared" ref="V22:V45" si="152">IF($C22="na","",IF($C22=K22,"X",""))</f>
        <v/>
      </c>
      <c r="W22" s="979" t="str">
        <f t="shared" ref="W22:W45" si="153">IF($C22="na","",IF($C22=O22,"X",""))</f>
        <v/>
      </c>
      <c r="X22" s="979" t="str">
        <f t="shared" ref="X22:X45" si="154">IF($C22="na","",IF($C22=P22,"X",""))</f>
        <v/>
      </c>
      <c r="Y22" s="988" t="str">
        <f t="shared" ref="Y22:Y45" si="155">IF($C22="na","",IF($C22=Q22,"X",""))</f>
        <v>X</v>
      </c>
      <c r="Z22" s="978" t="str">
        <f t="shared" ref="Z22:Z45" si="156">IF($D22="na","",IF($D22=H22,"X",""))</f>
        <v/>
      </c>
      <c r="AA22" s="979" t="str">
        <f t="shared" ref="AA22:AA45" si="157">IF($D22="na","",IF($D22=L22,"X",""))</f>
        <v/>
      </c>
      <c r="AB22" s="979" t="str">
        <f t="shared" ref="AB22:AB45" si="158">IF($D22="na","",IF($D22=M22,"X",""))</f>
        <v/>
      </c>
      <c r="AC22" s="979" t="str">
        <f t="shared" ref="AC22:AC45" si="159">IF($D22="na","",IF($D22=N22,"X",""))</f>
        <v/>
      </c>
      <c r="AD22" s="979" t="str">
        <f t="shared" ref="AD22:AD45" si="160">IF($D22="na","",IF($D22=O22,"X",""))</f>
        <v/>
      </c>
      <c r="AE22" s="979" t="str">
        <f t="shared" ref="AE22:AE45" si="161">IF($D22="na","",IF($D22=P22,"X",""))</f>
        <v/>
      </c>
      <c r="AF22" s="980" t="str">
        <f t="shared" ref="AF22:AF45" si="162">IF($D22="na","",IF($D22=Q22,"X",""))</f>
        <v>X</v>
      </c>
      <c r="AG22" s="978" t="str">
        <f t="shared" ref="AG22:AG45" si="163">IF($E22="na","",IF($E22=H22,"X",""))</f>
        <v/>
      </c>
      <c r="AH22" s="979" t="str">
        <f t="shared" ref="AH22:AH45" si="164">IF($E22="na","",IF($E22=J22,"X",""))</f>
        <v/>
      </c>
      <c r="AI22" s="979" t="str">
        <f t="shared" ref="AI22:AI45" si="165">IF($E22="na","",IF($E22=K22,"X",""))</f>
        <v/>
      </c>
      <c r="AJ22" s="979" t="str">
        <f t="shared" ref="AJ22:AJ45" si="166">IF($E22="na","",IF($E22=O22,"X",""))</f>
        <v/>
      </c>
      <c r="AK22" s="979" t="str">
        <f t="shared" ref="AK22:AK45" si="167">IF($E22="na","",IF($E22=P22,"X",""))</f>
        <v/>
      </c>
      <c r="AL22" s="980" t="str">
        <f t="shared" ref="AL22:AL45" si="168">IF($E22="na","",IF($E22=Q22,"X",""))</f>
        <v>X</v>
      </c>
      <c r="AM22" s="978" t="str">
        <f t="shared" ref="AM22:AM45" si="169">IF($F22="na","",IF($F22=H22,"X",""))</f>
        <v/>
      </c>
      <c r="AN22" s="979" t="str">
        <f t="shared" ref="AN22:AN45" si="170">IF($F22="na","",IF($F22=M22,"X",""))</f>
        <v/>
      </c>
      <c r="AO22" s="979" t="str">
        <f t="shared" ref="AO22:AO45" si="171">IF($F22="na","",IF($F22=N22,"X",""))</f>
        <v/>
      </c>
      <c r="AP22" s="979" t="str">
        <f t="shared" ref="AP22:AP45" si="172">IF($F22="na","",IF($F22=O22,"X",""))</f>
        <v/>
      </c>
      <c r="AQ22" s="979" t="str">
        <f t="shared" ref="AQ22:AQ45" si="173">IF($F22="na","",IF($F22=P22,"X",""))</f>
        <v/>
      </c>
      <c r="AR22" s="980" t="str">
        <f t="shared" ref="AR22:AR45" si="174">IF($F22="na","",IF($F22=Q22,"X",""))</f>
        <v>X</v>
      </c>
      <c r="AT22" s="1062"/>
      <c r="AY22" s="4"/>
    </row>
    <row r="23" spans="1:51" ht="13.9" customHeight="1" x14ac:dyDescent="0.25">
      <c r="A23" s="847">
        <f>Chem!A23</f>
        <v>21</v>
      </c>
      <c r="B23" s="951" t="str">
        <f>Chem!B23</f>
        <v>Antimony</v>
      </c>
      <c r="C23" s="946">
        <f t="shared" si="145"/>
        <v>5.2</v>
      </c>
      <c r="D23" s="463">
        <f t="shared" si="146"/>
        <v>5.2</v>
      </c>
      <c r="E23" s="634">
        <f t="shared" si="147"/>
        <v>5.2</v>
      </c>
      <c r="F23" s="634">
        <f t="shared" si="148"/>
        <v>5.2</v>
      </c>
      <c r="G23" s="634"/>
      <c r="H23" s="467">
        <f>'SL-Det'!E23</f>
        <v>32</v>
      </c>
      <c r="I23" s="231">
        <f>Leach!F23</f>
        <v>5.4240000000000004</v>
      </c>
      <c r="J23" s="231">
        <f>Leach!I23</f>
        <v>81.360000000000014</v>
      </c>
      <c r="K23" s="231" t="str">
        <f>Leach!L23</f>
        <v>na</v>
      </c>
      <c r="L23" s="476">
        <f>Leach!G23</f>
        <v>0.27172000000000002</v>
      </c>
      <c r="M23" s="476">
        <f>Leach!J23</f>
        <v>4.0758000000000001</v>
      </c>
      <c r="N23" s="476" t="str">
        <f>Leach!M23</f>
        <v>na</v>
      </c>
      <c r="O23" s="485" t="str">
        <f>'SD-Det'!Z23</f>
        <v>na</v>
      </c>
      <c r="P23" s="494">
        <f>'SL-Det'!I23</f>
        <v>5</v>
      </c>
      <c r="Q23" s="970">
        <f>Param!AL23</f>
        <v>5.2</v>
      </c>
      <c r="S23" s="832" t="str">
        <f t="shared" si="149"/>
        <v/>
      </c>
      <c r="T23" s="366" t="str">
        <f t="shared" si="150"/>
        <v/>
      </c>
      <c r="U23" s="366" t="str">
        <f t="shared" si="151"/>
        <v/>
      </c>
      <c r="V23" s="366" t="str">
        <f t="shared" si="152"/>
        <v/>
      </c>
      <c r="W23" s="366" t="str">
        <f t="shared" si="153"/>
        <v/>
      </c>
      <c r="X23" s="366" t="str">
        <f t="shared" si="154"/>
        <v/>
      </c>
      <c r="Y23" s="989" t="str">
        <f t="shared" si="155"/>
        <v>X</v>
      </c>
      <c r="Z23" s="832" t="str">
        <f t="shared" si="156"/>
        <v/>
      </c>
      <c r="AA23" s="366" t="str">
        <f t="shared" si="157"/>
        <v/>
      </c>
      <c r="AB23" s="366" t="str">
        <f t="shared" si="158"/>
        <v/>
      </c>
      <c r="AC23" s="366" t="str">
        <f t="shared" si="159"/>
        <v/>
      </c>
      <c r="AD23" s="366" t="str">
        <f t="shared" si="160"/>
        <v/>
      </c>
      <c r="AE23" s="366" t="str">
        <f t="shared" si="161"/>
        <v/>
      </c>
      <c r="AF23" s="833" t="str">
        <f t="shared" si="162"/>
        <v>X</v>
      </c>
      <c r="AG23" s="832" t="str">
        <f t="shared" si="163"/>
        <v/>
      </c>
      <c r="AH23" s="366" t="str">
        <f t="shared" si="164"/>
        <v/>
      </c>
      <c r="AI23" s="366" t="str">
        <f t="shared" si="165"/>
        <v/>
      </c>
      <c r="AJ23" s="366" t="str">
        <f t="shared" si="166"/>
        <v/>
      </c>
      <c r="AK23" s="366" t="str">
        <f t="shared" si="167"/>
        <v/>
      </c>
      <c r="AL23" s="833" t="str">
        <f t="shared" si="168"/>
        <v>X</v>
      </c>
      <c r="AM23" s="832" t="str">
        <f t="shared" si="169"/>
        <v/>
      </c>
      <c r="AN23" s="366" t="str">
        <f t="shared" si="170"/>
        <v/>
      </c>
      <c r="AO23" s="366" t="str">
        <f t="shared" si="171"/>
        <v/>
      </c>
      <c r="AP23" s="366" t="str">
        <f t="shared" si="172"/>
        <v/>
      </c>
      <c r="AQ23" s="366" t="str">
        <f t="shared" si="173"/>
        <v/>
      </c>
      <c r="AR23" s="833" t="str">
        <f t="shared" si="174"/>
        <v>X</v>
      </c>
      <c r="AT23" s="1062"/>
      <c r="AY23" s="4"/>
    </row>
    <row r="24" spans="1:51" ht="13.9" customHeight="1" x14ac:dyDescent="0.25">
      <c r="A24" s="847">
        <f>Chem!A24</f>
        <v>22</v>
      </c>
      <c r="B24" s="951" t="str">
        <f>Chem!B24</f>
        <v>Arsenic</v>
      </c>
      <c r="C24" s="946">
        <f t="shared" si="145"/>
        <v>7.3</v>
      </c>
      <c r="D24" s="463">
        <f t="shared" si="146"/>
        <v>7.3</v>
      </c>
      <c r="E24" s="634">
        <f t="shared" si="147"/>
        <v>7.3</v>
      </c>
      <c r="F24" s="634">
        <f t="shared" si="148"/>
        <v>7.3</v>
      </c>
      <c r="G24" s="634"/>
      <c r="H24" s="467">
        <f>'SL-Det'!E24</f>
        <v>3.125E-2</v>
      </c>
      <c r="I24" s="1606">
        <f>Leach!$O24</f>
        <v>4.6719999999999997</v>
      </c>
      <c r="J24" s="1606">
        <f>Leach!$O24</f>
        <v>4.6719999999999997</v>
      </c>
      <c r="K24" s="231">
        <f>Leach!L24</f>
        <v>129.35504885993484</v>
      </c>
      <c r="L24" s="1606">
        <f>Leach!P24</f>
        <v>0.23429333333333333</v>
      </c>
      <c r="M24" s="1606">
        <f>Leach!P24</f>
        <v>0.23429333333333333</v>
      </c>
      <c r="N24" s="476">
        <f>Leach!M24</f>
        <v>6.4869489685124861</v>
      </c>
      <c r="O24" s="485">
        <f>'SD-Det'!Z24</f>
        <v>7</v>
      </c>
      <c r="P24" s="492">
        <f>'SL-Det'!I24</f>
        <v>10</v>
      </c>
      <c r="Q24" s="970">
        <f>Param!AL24</f>
        <v>7.3</v>
      </c>
      <c r="S24" s="832" t="str">
        <f t="shared" si="149"/>
        <v/>
      </c>
      <c r="T24" s="366" t="str">
        <f t="shared" si="150"/>
        <v/>
      </c>
      <c r="U24" s="366" t="str">
        <f t="shared" si="151"/>
        <v/>
      </c>
      <c r="V24" s="366" t="str">
        <f t="shared" si="152"/>
        <v/>
      </c>
      <c r="W24" s="366" t="str">
        <f t="shared" si="153"/>
        <v/>
      </c>
      <c r="X24" s="366" t="str">
        <f t="shared" si="154"/>
        <v/>
      </c>
      <c r="Y24" s="989" t="str">
        <f t="shared" si="155"/>
        <v>X</v>
      </c>
      <c r="Z24" s="832" t="str">
        <f t="shared" si="156"/>
        <v/>
      </c>
      <c r="AA24" s="366" t="str">
        <f t="shared" si="157"/>
        <v/>
      </c>
      <c r="AB24" s="366" t="str">
        <f t="shared" si="158"/>
        <v/>
      </c>
      <c r="AC24" s="366" t="str">
        <f t="shared" si="159"/>
        <v/>
      </c>
      <c r="AD24" s="366" t="str">
        <f t="shared" si="160"/>
        <v/>
      </c>
      <c r="AE24" s="366" t="str">
        <f t="shared" si="161"/>
        <v/>
      </c>
      <c r="AF24" s="833" t="str">
        <f t="shared" si="162"/>
        <v>X</v>
      </c>
      <c r="AG24" s="832" t="str">
        <f t="shared" si="163"/>
        <v/>
      </c>
      <c r="AH24" s="366" t="str">
        <f t="shared" si="164"/>
        <v/>
      </c>
      <c r="AI24" s="366" t="str">
        <f t="shared" si="165"/>
        <v/>
      </c>
      <c r="AJ24" s="366" t="str">
        <f t="shared" si="166"/>
        <v/>
      </c>
      <c r="AK24" s="366" t="str">
        <f t="shared" si="167"/>
        <v/>
      </c>
      <c r="AL24" s="833" t="str">
        <f t="shared" si="168"/>
        <v>X</v>
      </c>
      <c r="AM24" s="832" t="str">
        <f t="shared" si="169"/>
        <v/>
      </c>
      <c r="AN24" s="366" t="str">
        <f t="shared" si="170"/>
        <v/>
      </c>
      <c r="AO24" s="366" t="str">
        <f t="shared" si="171"/>
        <v/>
      </c>
      <c r="AP24" s="366" t="str">
        <f t="shared" si="172"/>
        <v/>
      </c>
      <c r="AQ24" s="366" t="str">
        <f t="shared" si="173"/>
        <v/>
      </c>
      <c r="AR24" s="833" t="str">
        <f t="shared" si="174"/>
        <v>X</v>
      </c>
      <c r="AT24" s="1062"/>
      <c r="AY24" s="4"/>
    </row>
    <row r="25" spans="1:51" ht="13.9" customHeight="1" x14ac:dyDescent="0.25">
      <c r="A25" s="847">
        <f>Chem!A25</f>
        <v>23</v>
      </c>
      <c r="B25" s="951" t="str">
        <f>Chem!B25</f>
        <v>Barium</v>
      </c>
      <c r="C25" s="946">
        <f t="shared" si="145"/>
        <v>250</v>
      </c>
      <c r="D25" s="463">
        <f t="shared" si="146"/>
        <v>250</v>
      </c>
      <c r="E25" s="634">
        <f t="shared" si="147"/>
        <v>250</v>
      </c>
      <c r="F25" s="634">
        <f t="shared" si="148"/>
        <v>250</v>
      </c>
      <c r="G25" s="634"/>
      <c r="H25" s="467">
        <f>'SL-Det'!E25</f>
        <v>16000</v>
      </c>
      <c r="I25" s="231">
        <f>Leach!F25</f>
        <v>1648</v>
      </c>
      <c r="J25" s="231">
        <f>Leach!I25</f>
        <v>164.8</v>
      </c>
      <c r="K25" s="231" t="str">
        <f>Leach!L25</f>
        <v>na</v>
      </c>
      <c r="L25" s="476">
        <f>Leach!G25</f>
        <v>82.573333333333338</v>
      </c>
      <c r="M25" s="476">
        <f>Leach!J25</f>
        <v>8.2573333333333334</v>
      </c>
      <c r="N25" s="476" t="str">
        <f>Leach!M25</f>
        <v>na</v>
      </c>
      <c r="O25" s="485" t="str">
        <f>'SD-Det'!Z25</f>
        <v>na</v>
      </c>
      <c r="P25" s="492">
        <f>'SL-Det'!I25</f>
        <v>102</v>
      </c>
      <c r="Q25" s="975">
        <f>Param!AL25</f>
        <v>250</v>
      </c>
      <c r="S25" s="832" t="str">
        <f t="shared" si="149"/>
        <v/>
      </c>
      <c r="T25" s="366" t="str">
        <f t="shared" si="150"/>
        <v/>
      </c>
      <c r="U25" s="366" t="str">
        <f t="shared" si="151"/>
        <v/>
      </c>
      <c r="V25" s="366" t="str">
        <f t="shared" si="152"/>
        <v/>
      </c>
      <c r="W25" s="366" t="str">
        <f t="shared" si="153"/>
        <v/>
      </c>
      <c r="X25" s="366" t="str">
        <f t="shared" si="154"/>
        <v/>
      </c>
      <c r="Y25" s="989" t="str">
        <f t="shared" si="155"/>
        <v>X</v>
      </c>
      <c r="Z25" s="832" t="str">
        <f t="shared" si="156"/>
        <v/>
      </c>
      <c r="AA25" s="366" t="str">
        <f t="shared" si="157"/>
        <v/>
      </c>
      <c r="AB25" s="366" t="str">
        <f t="shared" si="158"/>
        <v/>
      </c>
      <c r="AC25" s="366" t="str">
        <f t="shared" si="159"/>
        <v/>
      </c>
      <c r="AD25" s="366" t="str">
        <f t="shared" si="160"/>
        <v/>
      </c>
      <c r="AE25" s="366" t="str">
        <f t="shared" si="161"/>
        <v/>
      </c>
      <c r="AF25" s="833" t="str">
        <f t="shared" si="162"/>
        <v>X</v>
      </c>
      <c r="AG25" s="832" t="str">
        <f t="shared" si="163"/>
        <v/>
      </c>
      <c r="AH25" s="366" t="str">
        <f t="shared" si="164"/>
        <v/>
      </c>
      <c r="AI25" s="366" t="str">
        <f t="shared" si="165"/>
        <v/>
      </c>
      <c r="AJ25" s="366" t="str">
        <f t="shared" si="166"/>
        <v/>
      </c>
      <c r="AK25" s="366" t="str">
        <f t="shared" si="167"/>
        <v/>
      </c>
      <c r="AL25" s="833" t="str">
        <f t="shared" si="168"/>
        <v>X</v>
      </c>
      <c r="AM25" s="832" t="str">
        <f t="shared" si="169"/>
        <v/>
      </c>
      <c r="AN25" s="366" t="str">
        <f t="shared" si="170"/>
        <v/>
      </c>
      <c r="AO25" s="366" t="str">
        <f t="shared" si="171"/>
        <v/>
      </c>
      <c r="AP25" s="366" t="str">
        <f t="shared" si="172"/>
        <v/>
      </c>
      <c r="AQ25" s="366" t="str">
        <f t="shared" si="173"/>
        <v/>
      </c>
      <c r="AR25" s="833" t="str">
        <f t="shared" si="174"/>
        <v>X</v>
      </c>
      <c r="AT25" s="1062"/>
      <c r="AY25" s="4"/>
    </row>
    <row r="26" spans="1:51" ht="13.9" customHeight="1" x14ac:dyDescent="0.25">
      <c r="A26" s="847">
        <f>Chem!A26</f>
        <v>24</v>
      </c>
      <c r="B26" s="951" t="str">
        <f>Chem!B26</f>
        <v>Beryllium</v>
      </c>
      <c r="C26" s="946">
        <f t="shared" si="145"/>
        <v>10</v>
      </c>
      <c r="D26" s="463">
        <f t="shared" si="146"/>
        <v>3.1611466666666668</v>
      </c>
      <c r="E26" s="634">
        <f t="shared" si="147"/>
        <v>10</v>
      </c>
      <c r="F26" s="634">
        <f t="shared" si="148"/>
        <v>10</v>
      </c>
      <c r="G26" s="634"/>
      <c r="H26" s="467">
        <f>'SL-Det'!E26</f>
        <v>160</v>
      </c>
      <c r="I26" s="231">
        <f>Leach!F26</f>
        <v>63.216000000000008</v>
      </c>
      <c r="J26" s="231">
        <f>Leach!I26</f>
        <v>1194.364372469636</v>
      </c>
      <c r="K26" s="231" t="str">
        <f>Leach!L26</f>
        <v>na</v>
      </c>
      <c r="L26" s="476">
        <f>Leach!G26</f>
        <v>3.1611466666666668</v>
      </c>
      <c r="M26" s="476">
        <f>Leach!J26</f>
        <v>59.724768331084121</v>
      </c>
      <c r="N26" s="476" t="str">
        <f>Leach!M26</f>
        <v>na</v>
      </c>
      <c r="O26" s="485" t="str">
        <f>'SD-Det'!Z26</f>
        <v>na</v>
      </c>
      <c r="P26" s="492">
        <f>'SL-Det'!I26</f>
        <v>10</v>
      </c>
      <c r="Q26" s="970">
        <f>Param!AL26</f>
        <v>0.61</v>
      </c>
      <c r="S26" s="832" t="str">
        <f t="shared" si="149"/>
        <v/>
      </c>
      <c r="T26" s="366" t="str">
        <f t="shared" si="150"/>
        <v/>
      </c>
      <c r="U26" s="366" t="str">
        <f t="shared" si="151"/>
        <v/>
      </c>
      <c r="V26" s="366" t="str">
        <f t="shared" si="152"/>
        <v/>
      </c>
      <c r="W26" s="366" t="str">
        <f t="shared" si="153"/>
        <v/>
      </c>
      <c r="X26" s="366" t="str">
        <f t="shared" si="154"/>
        <v>X</v>
      </c>
      <c r="Y26" s="989" t="str">
        <f t="shared" si="155"/>
        <v/>
      </c>
      <c r="Z26" s="832" t="str">
        <f t="shared" si="156"/>
        <v/>
      </c>
      <c r="AA26" s="366" t="str">
        <f t="shared" si="157"/>
        <v>X</v>
      </c>
      <c r="AB26" s="366" t="str">
        <f t="shared" si="158"/>
        <v/>
      </c>
      <c r="AC26" s="366" t="str">
        <f t="shared" si="159"/>
        <v/>
      </c>
      <c r="AD26" s="366" t="str">
        <f t="shared" si="160"/>
        <v/>
      </c>
      <c r="AE26" s="366" t="str">
        <f t="shared" si="161"/>
        <v/>
      </c>
      <c r="AF26" s="833" t="str">
        <f t="shared" si="162"/>
        <v/>
      </c>
      <c r="AG26" s="832" t="str">
        <f t="shared" si="163"/>
        <v/>
      </c>
      <c r="AH26" s="366" t="str">
        <f t="shared" si="164"/>
        <v/>
      </c>
      <c r="AI26" s="366" t="str">
        <f t="shared" si="165"/>
        <v/>
      </c>
      <c r="AJ26" s="366" t="str">
        <f t="shared" si="166"/>
        <v/>
      </c>
      <c r="AK26" s="366" t="str">
        <f t="shared" si="167"/>
        <v>X</v>
      </c>
      <c r="AL26" s="833" t="str">
        <f t="shared" si="168"/>
        <v/>
      </c>
      <c r="AM26" s="832" t="str">
        <f t="shared" si="169"/>
        <v/>
      </c>
      <c r="AN26" s="366" t="str">
        <f t="shared" si="170"/>
        <v/>
      </c>
      <c r="AO26" s="366" t="str">
        <f t="shared" si="171"/>
        <v/>
      </c>
      <c r="AP26" s="366" t="str">
        <f t="shared" si="172"/>
        <v/>
      </c>
      <c r="AQ26" s="366" t="str">
        <f t="shared" si="173"/>
        <v>X</v>
      </c>
      <c r="AR26" s="833" t="str">
        <f t="shared" si="174"/>
        <v/>
      </c>
      <c r="AT26" s="1062"/>
      <c r="AY26" s="4"/>
    </row>
    <row r="27" spans="1:51" ht="13.9" customHeight="1" x14ac:dyDescent="0.25">
      <c r="A27" s="847">
        <f>Chem!A27</f>
        <v>25</v>
      </c>
      <c r="B27" s="951" t="str">
        <f>Chem!B27</f>
        <v>Cadmium</v>
      </c>
      <c r="C27" s="946">
        <f t="shared" si="145"/>
        <v>0.77</v>
      </c>
      <c r="D27" s="463">
        <f t="shared" si="146"/>
        <v>0.77</v>
      </c>
      <c r="E27" s="634">
        <f t="shared" si="147"/>
        <v>0.77</v>
      </c>
      <c r="F27" s="634">
        <f t="shared" si="148"/>
        <v>0.77</v>
      </c>
      <c r="G27" s="634"/>
      <c r="H27" s="467">
        <f>'SL-Det'!E27</f>
        <v>80</v>
      </c>
      <c r="I27" s="231">
        <f>Leach!F27</f>
        <v>0.69000000000000006</v>
      </c>
      <c r="J27" s="231">
        <f>Leach!I27</f>
        <v>1.0902000000000001</v>
      </c>
      <c r="K27" s="231">
        <f>Leach!L27</f>
        <v>0.16365147157888257</v>
      </c>
      <c r="L27" s="476">
        <f>Leach!G27</f>
        <v>3.4933333333333337E-2</v>
      </c>
      <c r="M27" s="476">
        <f>Leach!J27</f>
        <v>5.5194666666666677E-2</v>
      </c>
      <c r="N27" s="476">
        <f>Leach!M27</f>
        <v>8.2853498654429439E-3</v>
      </c>
      <c r="O27" s="485">
        <f>'SD-Det'!Z27</f>
        <v>5.0999999999999996</v>
      </c>
      <c r="P27" s="492">
        <f>'SL-Det'!I27</f>
        <v>4</v>
      </c>
      <c r="Q27" s="970">
        <f>Param!AL27</f>
        <v>0.77</v>
      </c>
      <c r="S27" s="832" t="str">
        <f t="shared" si="149"/>
        <v/>
      </c>
      <c r="T27" s="366" t="str">
        <f t="shared" si="150"/>
        <v/>
      </c>
      <c r="U27" s="366" t="str">
        <f t="shared" si="151"/>
        <v/>
      </c>
      <c r="V27" s="366" t="str">
        <f t="shared" si="152"/>
        <v/>
      </c>
      <c r="W27" s="366" t="str">
        <f t="shared" si="153"/>
        <v/>
      </c>
      <c r="X27" s="366" t="str">
        <f t="shared" si="154"/>
        <v/>
      </c>
      <c r="Y27" s="989" t="str">
        <f t="shared" si="155"/>
        <v>X</v>
      </c>
      <c r="Z27" s="832" t="str">
        <f t="shared" si="156"/>
        <v/>
      </c>
      <c r="AA27" s="366" t="str">
        <f t="shared" si="157"/>
        <v/>
      </c>
      <c r="AB27" s="366" t="str">
        <f t="shared" si="158"/>
        <v/>
      </c>
      <c r="AC27" s="366" t="str">
        <f t="shared" si="159"/>
        <v/>
      </c>
      <c r="AD27" s="366" t="str">
        <f t="shared" si="160"/>
        <v/>
      </c>
      <c r="AE27" s="366" t="str">
        <f t="shared" si="161"/>
        <v/>
      </c>
      <c r="AF27" s="833" t="str">
        <f t="shared" si="162"/>
        <v>X</v>
      </c>
      <c r="AG27" s="832" t="str">
        <f t="shared" si="163"/>
        <v/>
      </c>
      <c r="AH27" s="366" t="str">
        <f t="shared" si="164"/>
        <v/>
      </c>
      <c r="AI27" s="366" t="str">
        <f t="shared" si="165"/>
        <v/>
      </c>
      <c r="AJ27" s="366" t="str">
        <f t="shared" si="166"/>
        <v/>
      </c>
      <c r="AK27" s="366" t="str">
        <f t="shared" si="167"/>
        <v/>
      </c>
      <c r="AL27" s="833" t="str">
        <f t="shared" si="168"/>
        <v>X</v>
      </c>
      <c r="AM27" s="832" t="str">
        <f t="shared" si="169"/>
        <v/>
      </c>
      <c r="AN27" s="366" t="str">
        <f t="shared" si="170"/>
        <v/>
      </c>
      <c r="AO27" s="366" t="str">
        <f t="shared" si="171"/>
        <v/>
      </c>
      <c r="AP27" s="366" t="str">
        <f t="shared" si="172"/>
        <v/>
      </c>
      <c r="AQ27" s="366" t="str">
        <f t="shared" si="173"/>
        <v/>
      </c>
      <c r="AR27" s="833" t="str">
        <f t="shared" si="174"/>
        <v>X</v>
      </c>
      <c r="AT27" s="1062"/>
      <c r="AY27" s="4"/>
    </row>
    <row r="28" spans="1:51" ht="13.9" customHeight="1" x14ac:dyDescent="0.25">
      <c r="A28" s="847">
        <f>Chem!A28</f>
        <v>26</v>
      </c>
      <c r="B28" s="951" t="str">
        <f>Chem!B28</f>
        <v>Chromium, total</v>
      </c>
      <c r="C28" s="946">
        <f t="shared" si="145"/>
        <v>48</v>
      </c>
      <c r="D28" s="463">
        <f t="shared" si="146"/>
        <v>48</v>
      </c>
      <c r="E28" s="634">
        <f t="shared" si="147"/>
        <v>48</v>
      </c>
      <c r="F28" s="634">
        <f t="shared" si="148"/>
        <v>48</v>
      </c>
      <c r="G28" s="634"/>
      <c r="H28" s="467" t="str">
        <f>'SL-Det'!E28</f>
        <v>na</v>
      </c>
      <c r="I28" s="231">
        <f>Leach!F28</f>
        <v>2000.4</v>
      </c>
      <c r="J28" s="231" t="str">
        <f>Leach!I28</f>
        <v>na</v>
      </c>
      <c r="K28" s="231" t="str">
        <f>Leach!L28</f>
        <v>na</v>
      </c>
      <c r="L28" s="476">
        <f>Leach!G28</f>
        <v>100.02866666666667</v>
      </c>
      <c r="M28" s="476" t="str">
        <f>Leach!J28</f>
        <v>na</v>
      </c>
      <c r="N28" s="476" t="str">
        <f>Leach!M28</f>
        <v>na</v>
      </c>
      <c r="O28" s="485">
        <f>'SD-Det'!Z28</f>
        <v>260</v>
      </c>
      <c r="P28" s="492">
        <f>'SL-Det'!I28</f>
        <v>42</v>
      </c>
      <c r="Q28" s="970">
        <f>Param!AL28</f>
        <v>48</v>
      </c>
      <c r="S28" s="832" t="str">
        <f t="shared" ref="S28" si="175">IF($C28="na","",IF($C28=H28,"X",""))</f>
        <v/>
      </c>
      <c r="T28" s="366" t="str">
        <f t="shared" ref="T28" si="176">IF($C28="na","",IF($C28=I28,"X",""))</f>
        <v/>
      </c>
      <c r="U28" s="366" t="str">
        <f t="shared" ref="U28" si="177">IF($C28="na","",IF($C28=J28,"X",""))</f>
        <v/>
      </c>
      <c r="V28" s="366" t="str">
        <f t="shared" ref="V28" si="178">IF($C28="na","",IF($C28=K28,"X",""))</f>
        <v/>
      </c>
      <c r="W28" s="366" t="str">
        <f t="shared" ref="W28" si="179">IF($C28="na","",IF($C28=O28,"X",""))</f>
        <v/>
      </c>
      <c r="X28" s="366" t="str">
        <f t="shared" ref="X28" si="180">IF($C28="na","",IF($C28=P28,"X",""))</f>
        <v/>
      </c>
      <c r="Y28" s="989" t="str">
        <f t="shared" ref="Y28" si="181">IF($C28="na","",IF($C28=Q28,"X",""))</f>
        <v>X</v>
      </c>
      <c r="Z28" s="832" t="str">
        <f t="shared" ref="Z28" si="182">IF($D28="na","",IF($D28=H28,"X",""))</f>
        <v/>
      </c>
      <c r="AA28" s="366" t="str">
        <f t="shared" ref="AA28" si="183">IF($D28="na","",IF($D28=L28,"X",""))</f>
        <v/>
      </c>
      <c r="AB28" s="366" t="str">
        <f t="shared" ref="AB28" si="184">IF($D28="na","",IF($D28=M28,"X",""))</f>
        <v/>
      </c>
      <c r="AC28" s="366" t="str">
        <f t="shared" ref="AC28" si="185">IF($D28="na","",IF($D28=N28,"X",""))</f>
        <v/>
      </c>
      <c r="AD28" s="366" t="str">
        <f t="shared" ref="AD28" si="186">IF($D28="na","",IF($D28=O28,"X",""))</f>
        <v/>
      </c>
      <c r="AE28" s="366" t="str">
        <f t="shared" ref="AE28" si="187">IF($D28="na","",IF($D28=P28,"X",""))</f>
        <v/>
      </c>
      <c r="AF28" s="833" t="str">
        <f t="shared" ref="AF28" si="188">IF($D28="na","",IF($D28=Q28,"X",""))</f>
        <v>X</v>
      </c>
      <c r="AG28" s="832" t="str">
        <f t="shared" ref="AG28" si="189">IF($E28="na","",IF($E28=H28,"X",""))</f>
        <v/>
      </c>
      <c r="AH28" s="366" t="str">
        <f t="shared" ref="AH28" si="190">IF($E28="na","",IF($E28=J28,"X",""))</f>
        <v/>
      </c>
      <c r="AI28" s="366" t="str">
        <f t="shared" ref="AI28" si="191">IF($E28="na","",IF($E28=K28,"X",""))</f>
        <v/>
      </c>
      <c r="AJ28" s="366" t="str">
        <f t="shared" ref="AJ28" si="192">IF($E28="na","",IF($E28=O28,"X",""))</f>
        <v/>
      </c>
      <c r="AK28" s="366" t="str">
        <f t="shared" ref="AK28" si="193">IF($E28="na","",IF($E28=P28,"X",""))</f>
        <v/>
      </c>
      <c r="AL28" s="833" t="str">
        <f t="shared" ref="AL28" si="194">IF($E28="na","",IF($E28=Q28,"X",""))</f>
        <v>X</v>
      </c>
      <c r="AM28" s="832" t="str">
        <f t="shared" ref="AM28" si="195">IF($F28="na","",IF($F28=H28,"X",""))</f>
        <v/>
      </c>
      <c r="AN28" s="366" t="str">
        <f t="shared" ref="AN28" si="196">IF($F28="na","",IF($F28=M28,"X",""))</f>
        <v/>
      </c>
      <c r="AO28" s="366" t="str">
        <f t="shared" ref="AO28" si="197">IF($F28="na","",IF($F28=N28,"X",""))</f>
        <v/>
      </c>
      <c r="AP28" s="366" t="str">
        <f t="shared" ref="AP28" si="198">IF($F28="na","",IF($F28=O28,"X",""))</f>
        <v/>
      </c>
      <c r="AQ28" s="366" t="str">
        <f t="shared" ref="AQ28" si="199">IF($F28="na","",IF($F28=P28,"X",""))</f>
        <v/>
      </c>
      <c r="AR28" s="833" t="str">
        <f t="shared" ref="AR28" si="200">IF($F28="na","",IF($F28=Q28,"X",""))</f>
        <v>X</v>
      </c>
      <c r="AT28" s="1062"/>
      <c r="AY28" s="4"/>
    </row>
    <row r="29" spans="1:51" ht="13.9" customHeight="1" x14ac:dyDescent="0.25">
      <c r="A29" s="847">
        <f>Chem!A29</f>
        <v>27</v>
      </c>
      <c r="B29" s="951" t="str">
        <f>Chem!B29</f>
        <v>Chromium, trivalent</v>
      </c>
      <c r="C29" s="946">
        <f t="shared" si="145"/>
        <v>548.1096</v>
      </c>
      <c r="D29" s="463">
        <f t="shared" si="146"/>
        <v>27.407854666666665</v>
      </c>
      <c r="E29" s="634">
        <f t="shared" si="147"/>
        <v>548.1096</v>
      </c>
      <c r="F29" s="634">
        <f t="shared" si="148"/>
        <v>27.407854666666665</v>
      </c>
      <c r="G29" s="634"/>
      <c r="H29" s="467">
        <f>'SL-Det'!E29</f>
        <v>120000</v>
      </c>
      <c r="I29" s="231">
        <f>Leach!F29</f>
        <v>2000.4</v>
      </c>
      <c r="J29" s="231">
        <f>Leach!I29</f>
        <v>548.1096</v>
      </c>
      <c r="K29" s="231" t="str">
        <f>Leach!L29</f>
        <v>na</v>
      </c>
      <c r="L29" s="476">
        <f>Leach!G29</f>
        <v>100.02866666666667</v>
      </c>
      <c r="M29" s="476">
        <f>Leach!J29</f>
        <v>27.407854666666665</v>
      </c>
      <c r="N29" s="476" t="str">
        <f>Leach!M29</f>
        <v>na</v>
      </c>
      <c r="O29" s="485" t="str">
        <f>'SD-Det'!Z29</f>
        <v>na</v>
      </c>
      <c r="P29" s="492" t="str">
        <f>'SL-Det'!I29</f>
        <v>na</v>
      </c>
      <c r="Q29" s="970" t="str">
        <f>Param!AL29</f>
        <v>na</v>
      </c>
      <c r="S29" s="832" t="str">
        <f t="shared" si="149"/>
        <v/>
      </c>
      <c r="T29" s="366" t="str">
        <f t="shared" si="150"/>
        <v/>
      </c>
      <c r="U29" s="366" t="str">
        <f t="shared" si="151"/>
        <v>X</v>
      </c>
      <c r="V29" s="366" t="str">
        <f t="shared" si="152"/>
        <v/>
      </c>
      <c r="W29" s="366" t="str">
        <f t="shared" si="153"/>
        <v/>
      </c>
      <c r="X29" s="366" t="str">
        <f t="shared" si="154"/>
        <v/>
      </c>
      <c r="Y29" s="989" t="str">
        <f t="shared" si="155"/>
        <v/>
      </c>
      <c r="Z29" s="832" t="str">
        <f t="shared" si="156"/>
        <v/>
      </c>
      <c r="AA29" s="366" t="str">
        <f t="shared" si="157"/>
        <v/>
      </c>
      <c r="AB29" s="366" t="str">
        <f t="shared" si="158"/>
        <v>X</v>
      </c>
      <c r="AC29" s="366" t="str">
        <f t="shared" si="159"/>
        <v/>
      </c>
      <c r="AD29" s="366" t="str">
        <f t="shared" si="160"/>
        <v/>
      </c>
      <c r="AE29" s="366" t="str">
        <f t="shared" si="161"/>
        <v/>
      </c>
      <c r="AF29" s="833" t="str">
        <f t="shared" si="162"/>
        <v/>
      </c>
      <c r="AG29" s="832" t="str">
        <f t="shared" si="163"/>
        <v/>
      </c>
      <c r="AH29" s="366" t="str">
        <f t="shared" si="164"/>
        <v>X</v>
      </c>
      <c r="AI29" s="366" t="str">
        <f t="shared" si="165"/>
        <v/>
      </c>
      <c r="AJ29" s="366" t="str">
        <f t="shared" si="166"/>
        <v/>
      </c>
      <c r="AK29" s="366" t="str">
        <f t="shared" si="167"/>
        <v/>
      </c>
      <c r="AL29" s="833" t="str">
        <f t="shared" si="168"/>
        <v/>
      </c>
      <c r="AM29" s="832" t="str">
        <f t="shared" si="169"/>
        <v/>
      </c>
      <c r="AN29" s="366" t="str">
        <f t="shared" si="170"/>
        <v>X</v>
      </c>
      <c r="AO29" s="366" t="str">
        <f t="shared" si="171"/>
        <v/>
      </c>
      <c r="AP29" s="366" t="str">
        <f t="shared" si="172"/>
        <v/>
      </c>
      <c r="AQ29" s="366" t="str">
        <f t="shared" si="173"/>
        <v/>
      </c>
      <c r="AR29" s="833" t="str">
        <f t="shared" si="174"/>
        <v/>
      </c>
      <c r="AT29" s="1062"/>
      <c r="AY29" s="4"/>
    </row>
    <row r="30" spans="1:51" ht="13.9" customHeight="1" x14ac:dyDescent="0.25">
      <c r="A30" s="847">
        <f>Chem!A30</f>
        <v>28</v>
      </c>
      <c r="B30" s="951" t="str">
        <f>Chem!B30</f>
        <v>Chromium, hexavalent</v>
      </c>
      <c r="C30" s="946">
        <f t="shared" si="145"/>
        <v>0.53759999999999997</v>
      </c>
      <c r="D30" s="463">
        <f t="shared" si="146"/>
        <v>2.7001333333333332E-2</v>
      </c>
      <c r="E30" s="634">
        <f t="shared" si="147"/>
        <v>0.62022629981568522</v>
      </c>
      <c r="F30" s="634">
        <f t="shared" si="148"/>
        <v>3.1151296620951001E-2</v>
      </c>
      <c r="G30" s="634"/>
      <c r="H30" s="467">
        <f>'SL-Det'!E30</f>
        <v>1.2</v>
      </c>
      <c r="I30" s="231">
        <f>Leach!F30</f>
        <v>0.53759999999999997</v>
      </c>
      <c r="J30" s="231">
        <f>Leach!I30</f>
        <v>0.62022629981568522</v>
      </c>
      <c r="K30" s="231" t="str">
        <f>Leach!L30</f>
        <v>na</v>
      </c>
      <c r="L30" s="476">
        <f>Leach!G30</f>
        <v>2.7001333333333332E-2</v>
      </c>
      <c r="M30" s="476">
        <f>Leach!J30</f>
        <v>3.1151296620951001E-2</v>
      </c>
      <c r="N30" s="476" t="str">
        <f>Leach!M30</f>
        <v>na</v>
      </c>
      <c r="O30" s="485" t="str">
        <f>'SD-Det'!Z30</f>
        <v>na</v>
      </c>
      <c r="P30" s="494" t="str">
        <f>'SL-Det'!I30</f>
        <v>na</v>
      </c>
      <c r="Q30" s="975" t="str">
        <f>Param!AL30</f>
        <v>na</v>
      </c>
      <c r="S30" s="832" t="str">
        <f t="shared" si="149"/>
        <v/>
      </c>
      <c r="T30" s="366" t="str">
        <f t="shared" si="150"/>
        <v>X</v>
      </c>
      <c r="U30" s="366" t="str">
        <f t="shared" si="151"/>
        <v/>
      </c>
      <c r="V30" s="366" t="str">
        <f t="shared" si="152"/>
        <v/>
      </c>
      <c r="W30" s="366" t="str">
        <f t="shared" si="153"/>
        <v/>
      </c>
      <c r="X30" s="366" t="str">
        <f t="shared" si="154"/>
        <v/>
      </c>
      <c r="Y30" s="989" t="str">
        <f t="shared" si="155"/>
        <v/>
      </c>
      <c r="Z30" s="832" t="str">
        <f t="shared" si="156"/>
        <v/>
      </c>
      <c r="AA30" s="366" t="str">
        <f t="shared" si="157"/>
        <v>X</v>
      </c>
      <c r="AB30" s="366" t="str">
        <f t="shared" si="158"/>
        <v/>
      </c>
      <c r="AC30" s="366" t="str">
        <f t="shared" si="159"/>
        <v/>
      </c>
      <c r="AD30" s="366" t="str">
        <f t="shared" si="160"/>
        <v/>
      </c>
      <c r="AE30" s="366" t="str">
        <f t="shared" si="161"/>
        <v/>
      </c>
      <c r="AF30" s="833" t="str">
        <f t="shared" si="162"/>
        <v/>
      </c>
      <c r="AG30" s="832" t="str">
        <f t="shared" si="163"/>
        <v/>
      </c>
      <c r="AH30" s="366" t="str">
        <f t="shared" si="164"/>
        <v>X</v>
      </c>
      <c r="AI30" s="366" t="str">
        <f t="shared" si="165"/>
        <v/>
      </c>
      <c r="AJ30" s="366" t="str">
        <f t="shared" si="166"/>
        <v/>
      </c>
      <c r="AK30" s="366" t="str">
        <f t="shared" si="167"/>
        <v/>
      </c>
      <c r="AL30" s="833" t="str">
        <f t="shared" si="168"/>
        <v/>
      </c>
      <c r="AM30" s="832" t="str">
        <f t="shared" si="169"/>
        <v/>
      </c>
      <c r="AN30" s="366" t="str">
        <f t="shared" si="170"/>
        <v>X</v>
      </c>
      <c r="AO30" s="366" t="str">
        <f t="shared" si="171"/>
        <v/>
      </c>
      <c r="AP30" s="366" t="str">
        <f t="shared" si="172"/>
        <v/>
      </c>
      <c r="AQ30" s="366" t="str">
        <f t="shared" si="173"/>
        <v/>
      </c>
      <c r="AR30" s="833" t="str">
        <f t="shared" si="174"/>
        <v/>
      </c>
      <c r="AT30" s="1062"/>
      <c r="AY30" s="4"/>
    </row>
    <row r="31" spans="1:51" ht="13.9" customHeight="1" x14ac:dyDescent="0.25">
      <c r="A31" s="847">
        <f>Chem!A31</f>
        <v>29</v>
      </c>
      <c r="B31" s="951" t="str">
        <f>Chem!B31</f>
        <v>Cobalt</v>
      </c>
      <c r="C31" s="946">
        <f t="shared" si="145"/>
        <v>11</v>
      </c>
      <c r="D31" s="463">
        <f t="shared" si="146"/>
        <v>11</v>
      </c>
      <c r="E31" s="634">
        <f t="shared" si="147"/>
        <v>20</v>
      </c>
      <c r="F31" s="634">
        <f t="shared" si="148"/>
        <v>20</v>
      </c>
      <c r="G31" s="634"/>
      <c r="H31" s="467">
        <f>'SL-Det'!E31</f>
        <v>23.999999999999996</v>
      </c>
      <c r="I31" s="231">
        <f>Leach!F31</f>
        <v>4.3391999999999999</v>
      </c>
      <c r="J31" s="231" t="str">
        <f>Leach!I31</f>
        <v>na</v>
      </c>
      <c r="K31" s="231" t="str">
        <f>Leach!L31</f>
        <v>na</v>
      </c>
      <c r="L31" s="476">
        <f>Leach!G31</f>
        <v>0.21737599999999999</v>
      </c>
      <c r="M31" s="476" t="str">
        <f>Leach!J31</f>
        <v>na</v>
      </c>
      <c r="N31" s="476" t="str">
        <f>Leach!M31</f>
        <v>na</v>
      </c>
      <c r="O31" s="485" t="str">
        <f>'SD-Det'!Z31</f>
        <v>na</v>
      </c>
      <c r="P31" s="494">
        <f>'SL-Det'!I31</f>
        <v>20</v>
      </c>
      <c r="Q31" s="975">
        <f>Param!AL31</f>
        <v>11</v>
      </c>
      <c r="S31" s="832" t="str">
        <f t="shared" si="149"/>
        <v/>
      </c>
      <c r="T31" s="366" t="str">
        <f t="shared" si="150"/>
        <v/>
      </c>
      <c r="U31" s="366" t="str">
        <f t="shared" si="151"/>
        <v/>
      </c>
      <c r="V31" s="366" t="str">
        <f t="shared" si="152"/>
        <v/>
      </c>
      <c r="W31" s="366" t="str">
        <f t="shared" si="153"/>
        <v/>
      </c>
      <c r="X31" s="366" t="str">
        <f t="shared" si="154"/>
        <v/>
      </c>
      <c r="Y31" s="989" t="str">
        <f t="shared" si="155"/>
        <v>X</v>
      </c>
      <c r="Z31" s="832" t="str">
        <f t="shared" si="156"/>
        <v/>
      </c>
      <c r="AA31" s="366" t="str">
        <f t="shared" si="157"/>
        <v/>
      </c>
      <c r="AB31" s="366" t="str">
        <f t="shared" si="158"/>
        <v/>
      </c>
      <c r="AC31" s="366" t="str">
        <f t="shared" si="159"/>
        <v/>
      </c>
      <c r="AD31" s="366" t="str">
        <f t="shared" si="160"/>
        <v/>
      </c>
      <c r="AE31" s="366" t="str">
        <f t="shared" si="161"/>
        <v/>
      </c>
      <c r="AF31" s="833" t="str">
        <f t="shared" si="162"/>
        <v>X</v>
      </c>
      <c r="AG31" s="832" t="str">
        <f t="shared" si="163"/>
        <v/>
      </c>
      <c r="AH31" s="366" t="str">
        <f t="shared" si="164"/>
        <v/>
      </c>
      <c r="AI31" s="366" t="str">
        <f t="shared" si="165"/>
        <v/>
      </c>
      <c r="AJ31" s="366" t="str">
        <f t="shared" si="166"/>
        <v/>
      </c>
      <c r="AK31" s="366" t="str">
        <f t="shared" si="167"/>
        <v>X</v>
      </c>
      <c r="AL31" s="833" t="str">
        <f t="shared" si="168"/>
        <v/>
      </c>
      <c r="AM31" s="832" t="str">
        <f t="shared" si="169"/>
        <v/>
      </c>
      <c r="AN31" s="366" t="str">
        <f t="shared" si="170"/>
        <v/>
      </c>
      <c r="AO31" s="366" t="str">
        <f t="shared" si="171"/>
        <v/>
      </c>
      <c r="AP31" s="366" t="str">
        <f t="shared" si="172"/>
        <v/>
      </c>
      <c r="AQ31" s="366" t="str">
        <f t="shared" si="173"/>
        <v>X</v>
      </c>
      <c r="AR31" s="833" t="str">
        <f t="shared" si="174"/>
        <v/>
      </c>
      <c r="AT31" s="1062"/>
      <c r="AY31" s="4"/>
    </row>
    <row r="32" spans="1:51" ht="13.9" customHeight="1" x14ac:dyDescent="0.25">
      <c r="A32" s="847">
        <f>Chem!A32</f>
        <v>30</v>
      </c>
      <c r="B32" s="951" t="str">
        <f>Chem!B32</f>
        <v>Copper</v>
      </c>
      <c r="C32" s="946">
        <f t="shared" si="145"/>
        <v>36</v>
      </c>
      <c r="D32" s="463">
        <f t="shared" si="146"/>
        <v>36</v>
      </c>
      <c r="E32" s="634">
        <f t="shared" si="147"/>
        <v>36</v>
      </c>
      <c r="F32" s="634">
        <f t="shared" si="148"/>
        <v>36</v>
      </c>
      <c r="G32" s="634"/>
      <c r="H32" s="467">
        <f>'SL-Det'!E32</f>
        <v>3200</v>
      </c>
      <c r="I32" s="231">
        <f>Leach!F32</f>
        <v>284.16000000000003</v>
      </c>
      <c r="J32" s="231">
        <f>Leach!I32</f>
        <v>1.3764000000000001</v>
      </c>
      <c r="K32" s="231">
        <f>Leach!L32</f>
        <v>6.0756609380296895</v>
      </c>
      <c r="L32" s="476">
        <f>Leach!G32</f>
        <v>14.263466666666666</v>
      </c>
      <c r="M32" s="476">
        <f>Leach!J32</f>
        <v>6.9088666666666673E-2</v>
      </c>
      <c r="N32" s="476">
        <f>Leach!M32</f>
        <v>0.30496898672422301</v>
      </c>
      <c r="O32" s="485">
        <f>'SD-Det'!Z32</f>
        <v>390</v>
      </c>
      <c r="P32" s="492">
        <f>'SL-Det'!I32</f>
        <v>50</v>
      </c>
      <c r="Q32" s="970">
        <f>Param!AL32</f>
        <v>36</v>
      </c>
      <c r="S32" s="832" t="str">
        <f t="shared" si="149"/>
        <v/>
      </c>
      <c r="T32" s="366" t="str">
        <f t="shared" si="150"/>
        <v/>
      </c>
      <c r="U32" s="366" t="str">
        <f t="shared" si="151"/>
        <v/>
      </c>
      <c r="V32" s="366" t="str">
        <f t="shared" si="152"/>
        <v/>
      </c>
      <c r="W32" s="366" t="str">
        <f t="shared" si="153"/>
        <v/>
      </c>
      <c r="X32" s="366" t="str">
        <f t="shared" si="154"/>
        <v/>
      </c>
      <c r="Y32" s="989" t="str">
        <f t="shared" si="155"/>
        <v>X</v>
      </c>
      <c r="Z32" s="832" t="str">
        <f t="shared" si="156"/>
        <v/>
      </c>
      <c r="AA32" s="366" t="str">
        <f t="shared" si="157"/>
        <v/>
      </c>
      <c r="AB32" s="366" t="str">
        <f t="shared" si="158"/>
        <v/>
      </c>
      <c r="AC32" s="366" t="str">
        <f t="shared" si="159"/>
        <v/>
      </c>
      <c r="AD32" s="366" t="str">
        <f t="shared" si="160"/>
        <v/>
      </c>
      <c r="AE32" s="366" t="str">
        <f t="shared" si="161"/>
        <v/>
      </c>
      <c r="AF32" s="833" t="str">
        <f t="shared" si="162"/>
        <v>X</v>
      </c>
      <c r="AG32" s="832" t="str">
        <f t="shared" si="163"/>
        <v/>
      </c>
      <c r="AH32" s="366" t="str">
        <f t="shared" si="164"/>
        <v/>
      </c>
      <c r="AI32" s="366" t="str">
        <f t="shared" si="165"/>
        <v/>
      </c>
      <c r="AJ32" s="366" t="str">
        <f t="shared" si="166"/>
        <v/>
      </c>
      <c r="AK32" s="366" t="str">
        <f t="shared" si="167"/>
        <v/>
      </c>
      <c r="AL32" s="833" t="str">
        <f t="shared" si="168"/>
        <v>X</v>
      </c>
      <c r="AM32" s="832" t="str">
        <f t="shared" si="169"/>
        <v/>
      </c>
      <c r="AN32" s="366" t="str">
        <f t="shared" si="170"/>
        <v/>
      </c>
      <c r="AO32" s="366" t="str">
        <f t="shared" si="171"/>
        <v/>
      </c>
      <c r="AP32" s="366" t="str">
        <f t="shared" si="172"/>
        <v/>
      </c>
      <c r="AQ32" s="366" t="str">
        <f t="shared" si="173"/>
        <v/>
      </c>
      <c r="AR32" s="833" t="str">
        <f t="shared" si="174"/>
        <v>X</v>
      </c>
      <c r="AT32" s="1062"/>
      <c r="AY32" s="4"/>
    </row>
    <row r="33" spans="1:51" ht="13.9" customHeight="1" x14ac:dyDescent="0.25">
      <c r="A33" s="847">
        <f>Chem!A33</f>
        <v>31</v>
      </c>
      <c r="B33" s="951" t="str">
        <f>Chem!B33</f>
        <v>Iron</v>
      </c>
      <c r="C33" s="946">
        <f t="shared" si="145"/>
        <v>36000</v>
      </c>
      <c r="D33" s="463">
        <f t="shared" si="146"/>
        <v>36000</v>
      </c>
      <c r="E33" s="634">
        <f t="shared" si="147"/>
        <v>56000</v>
      </c>
      <c r="F33" s="634">
        <f t="shared" si="148"/>
        <v>56000</v>
      </c>
      <c r="G33" s="634"/>
      <c r="H33" s="467">
        <f>'SL-Det'!E33</f>
        <v>56000</v>
      </c>
      <c r="I33" s="231">
        <f>Leach!F33</f>
        <v>151.19999999999999</v>
      </c>
      <c r="J33" s="231" t="str">
        <f>Leach!I33</f>
        <v>na</v>
      </c>
      <c r="K33" s="231" t="str">
        <f>Leach!L33</f>
        <v>na</v>
      </c>
      <c r="L33" s="476">
        <f>Leach!G33</f>
        <v>7.5859999999999994</v>
      </c>
      <c r="M33" s="476" t="str">
        <f>Leach!J33</f>
        <v>na</v>
      </c>
      <c r="N33" s="476" t="str">
        <f>Leach!M33</f>
        <v>na</v>
      </c>
      <c r="O33" s="485" t="str">
        <f>'SD-Det'!Z33</f>
        <v>na</v>
      </c>
      <c r="P33" s="494" t="str">
        <f>'SL-Det'!I33</f>
        <v>na</v>
      </c>
      <c r="Q33" s="970">
        <f>Param!AL33</f>
        <v>36000</v>
      </c>
      <c r="S33" s="832" t="str">
        <f t="shared" si="149"/>
        <v/>
      </c>
      <c r="T33" s="366" t="str">
        <f t="shared" si="150"/>
        <v/>
      </c>
      <c r="U33" s="366" t="str">
        <f t="shared" si="151"/>
        <v/>
      </c>
      <c r="V33" s="366" t="str">
        <f t="shared" si="152"/>
        <v/>
      </c>
      <c r="W33" s="366" t="str">
        <f t="shared" si="153"/>
        <v/>
      </c>
      <c r="X33" s="366" t="str">
        <f t="shared" si="154"/>
        <v/>
      </c>
      <c r="Y33" s="989" t="str">
        <f t="shared" si="155"/>
        <v>X</v>
      </c>
      <c r="Z33" s="832" t="str">
        <f t="shared" si="156"/>
        <v/>
      </c>
      <c r="AA33" s="366" t="str">
        <f t="shared" si="157"/>
        <v/>
      </c>
      <c r="AB33" s="366" t="str">
        <f t="shared" si="158"/>
        <v/>
      </c>
      <c r="AC33" s="366" t="str">
        <f t="shared" si="159"/>
        <v/>
      </c>
      <c r="AD33" s="366" t="str">
        <f t="shared" si="160"/>
        <v/>
      </c>
      <c r="AE33" s="366" t="str">
        <f t="shared" si="161"/>
        <v/>
      </c>
      <c r="AF33" s="833" t="str">
        <f t="shared" si="162"/>
        <v>X</v>
      </c>
      <c r="AG33" s="832" t="str">
        <f t="shared" si="163"/>
        <v>X</v>
      </c>
      <c r="AH33" s="366" t="str">
        <f t="shared" si="164"/>
        <v/>
      </c>
      <c r="AI33" s="366" t="str">
        <f t="shared" si="165"/>
        <v/>
      </c>
      <c r="AJ33" s="366" t="str">
        <f t="shared" si="166"/>
        <v/>
      </c>
      <c r="AK33" s="366" t="str">
        <f t="shared" si="167"/>
        <v/>
      </c>
      <c r="AL33" s="833" t="str">
        <f t="shared" si="168"/>
        <v/>
      </c>
      <c r="AM33" s="832" t="str">
        <f t="shared" si="169"/>
        <v>X</v>
      </c>
      <c r="AN33" s="366" t="str">
        <f t="shared" si="170"/>
        <v/>
      </c>
      <c r="AO33" s="366" t="str">
        <f t="shared" si="171"/>
        <v/>
      </c>
      <c r="AP33" s="366" t="str">
        <f t="shared" si="172"/>
        <v/>
      </c>
      <c r="AQ33" s="366" t="str">
        <f t="shared" si="173"/>
        <v/>
      </c>
      <c r="AR33" s="833" t="str">
        <f t="shared" si="174"/>
        <v/>
      </c>
      <c r="AT33" s="1062"/>
      <c r="AY33" s="4"/>
    </row>
    <row r="34" spans="1:51" ht="13.9" customHeight="1" x14ac:dyDescent="0.25">
      <c r="A34" s="847">
        <f>Chem!A34</f>
        <v>32</v>
      </c>
      <c r="B34" s="951" t="str">
        <f>Chem!B34</f>
        <v>Lead</v>
      </c>
      <c r="C34" s="946">
        <f t="shared" si="145"/>
        <v>50</v>
      </c>
      <c r="D34" s="463">
        <f t="shared" si="146"/>
        <v>50</v>
      </c>
      <c r="E34" s="634">
        <f t="shared" si="147"/>
        <v>50</v>
      </c>
      <c r="F34" s="634">
        <f t="shared" si="148"/>
        <v>50</v>
      </c>
      <c r="G34" s="634"/>
      <c r="H34" s="467">
        <f>'SL-Det'!E34</f>
        <v>250</v>
      </c>
      <c r="I34" s="231">
        <f>Leach!F34</f>
        <v>2000.0400000000002</v>
      </c>
      <c r="J34" s="231">
        <f>Leach!I34</f>
        <v>1620.0324000000003</v>
      </c>
      <c r="K34" s="231">
        <f>Leach!L34</f>
        <v>3867.6178794123607</v>
      </c>
      <c r="L34" s="476">
        <f>Leach!G34</f>
        <v>100.00286666666668</v>
      </c>
      <c r="M34" s="476">
        <f>Leach!J34</f>
        <v>81.002321999999992</v>
      </c>
      <c r="N34" s="476">
        <f>Leach!M34</f>
        <v>193.38256990484709</v>
      </c>
      <c r="O34" s="485">
        <f>'SD-Det'!Z34</f>
        <v>450</v>
      </c>
      <c r="P34" s="492">
        <f>'SL-Det'!I34</f>
        <v>50</v>
      </c>
      <c r="Q34" s="970">
        <f>Param!AL34</f>
        <v>24</v>
      </c>
      <c r="S34" s="832" t="str">
        <f t="shared" si="149"/>
        <v/>
      </c>
      <c r="T34" s="366" t="str">
        <f t="shared" si="150"/>
        <v/>
      </c>
      <c r="U34" s="366" t="str">
        <f t="shared" si="151"/>
        <v/>
      </c>
      <c r="V34" s="366" t="str">
        <f t="shared" si="152"/>
        <v/>
      </c>
      <c r="W34" s="366" t="str">
        <f t="shared" si="153"/>
        <v/>
      </c>
      <c r="X34" s="366" t="str">
        <f t="shared" si="154"/>
        <v>X</v>
      </c>
      <c r="Y34" s="989" t="str">
        <f t="shared" si="155"/>
        <v/>
      </c>
      <c r="Z34" s="832" t="str">
        <f t="shared" si="156"/>
        <v/>
      </c>
      <c r="AA34" s="366" t="str">
        <f t="shared" si="157"/>
        <v/>
      </c>
      <c r="AB34" s="366" t="str">
        <f t="shared" si="158"/>
        <v/>
      </c>
      <c r="AC34" s="366" t="str">
        <f t="shared" si="159"/>
        <v/>
      </c>
      <c r="AD34" s="366" t="str">
        <f t="shared" si="160"/>
        <v/>
      </c>
      <c r="AE34" s="366" t="str">
        <f t="shared" si="161"/>
        <v>X</v>
      </c>
      <c r="AF34" s="833" t="str">
        <f t="shared" si="162"/>
        <v/>
      </c>
      <c r="AG34" s="832" t="str">
        <f t="shared" si="163"/>
        <v/>
      </c>
      <c r="AH34" s="366" t="str">
        <f t="shared" si="164"/>
        <v/>
      </c>
      <c r="AI34" s="366" t="str">
        <f t="shared" si="165"/>
        <v/>
      </c>
      <c r="AJ34" s="366" t="str">
        <f t="shared" si="166"/>
        <v/>
      </c>
      <c r="AK34" s="366" t="str">
        <f t="shared" si="167"/>
        <v>X</v>
      </c>
      <c r="AL34" s="833" t="str">
        <f t="shared" si="168"/>
        <v/>
      </c>
      <c r="AM34" s="832" t="str">
        <f t="shared" si="169"/>
        <v/>
      </c>
      <c r="AN34" s="366" t="str">
        <f t="shared" si="170"/>
        <v/>
      </c>
      <c r="AO34" s="366" t="str">
        <f t="shared" si="171"/>
        <v/>
      </c>
      <c r="AP34" s="366" t="str">
        <f t="shared" si="172"/>
        <v/>
      </c>
      <c r="AQ34" s="366" t="str">
        <f t="shared" si="173"/>
        <v>X</v>
      </c>
      <c r="AR34" s="833" t="str">
        <f t="shared" si="174"/>
        <v/>
      </c>
      <c r="AT34" s="1062"/>
      <c r="AY34" s="4"/>
    </row>
    <row r="35" spans="1:51" ht="13.9" customHeight="1" x14ac:dyDescent="0.25">
      <c r="A35" s="847">
        <f>Chem!A35</f>
        <v>33</v>
      </c>
      <c r="B35" s="951" t="str">
        <f>Chem!B35</f>
        <v>Manganese</v>
      </c>
      <c r="C35" s="946">
        <f t="shared" si="145"/>
        <v>1100</v>
      </c>
      <c r="D35" s="463">
        <f t="shared" si="146"/>
        <v>1100</v>
      </c>
      <c r="E35" s="634">
        <f t="shared" si="147"/>
        <v>1100</v>
      </c>
      <c r="F35" s="634">
        <f t="shared" si="148"/>
        <v>1100</v>
      </c>
      <c r="G35" s="634"/>
      <c r="H35" s="467">
        <f>'SL-Det'!E35</f>
        <v>3736</v>
      </c>
      <c r="I35" s="231">
        <f>Leach!F35</f>
        <v>65.2</v>
      </c>
      <c r="J35" s="231">
        <f>Leach!I35</f>
        <v>130.4</v>
      </c>
      <c r="K35" s="231" t="str">
        <f>Leach!L35</f>
        <v>na</v>
      </c>
      <c r="L35" s="476">
        <f>Leach!G35</f>
        <v>3.2643333333333331</v>
      </c>
      <c r="M35" s="476">
        <f>Leach!J35</f>
        <v>6.5286666666666662</v>
      </c>
      <c r="N35" s="476" t="str">
        <f>Leach!M35</f>
        <v>na</v>
      </c>
      <c r="O35" s="485" t="str">
        <f>'SD-Det'!Z35</f>
        <v>na</v>
      </c>
      <c r="P35" s="494">
        <f>'SL-Det'!I35</f>
        <v>1100</v>
      </c>
      <c r="Q35" s="970">
        <f>Param!AL35</f>
        <v>1100</v>
      </c>
      <c r="S35" s="832" t="str">
        <f t="shared" si="149"/>
        <v/>
      </c>
      <c r="T35" s="366" t="str">
        <f t="shared" si="150"/>
        <v/>
      </c>
      <c r="U35" s="366" t="str">
        <f t="shared" si="151"/>
        <v/>
      </c>
      <c r="V35" s="366" t="str">
        <f t="shared" si="152"/>
        <v/>
      </c>
      <c r="W35" s="366" t="str">
        <f t="shared" si="153"/>
        <v/>
      </c>
      <c r="X35" s="366" t="str">
        <f t="shared" si="154"/>
        <v>X</v>
      </c>
      <c r="Y35" s="989" t="str">
        <f t="shared" si="155"/>
        <v>X</v>
      </c>
      <c r="Z35" s="832" t="str">
        <f t="shared" si="156"/>
        <v/>
      </c>
      <c r="AA35" s="366" t="str">
        <f t="shared" si="157"/>
        <v/>
      </c>
      <c r="AB35" s="366" t="str">
        <f t="shared" si="158"/>
        <v/>
      </c>
      <c r="AC35" s="366" t="str">
        <f t="shared" si="159"/>
        <v/>
      </c>
      <c r="AD35" s="366" t="str">
        <f t="shared" si="160"/>
        <v/>
      </c>
      <c r="AE35" s="366" t="str">
        <f t="shared" si="161"/>
        <v>X</v>
      </c>
      <c r="AF35" s="833" t="str">
        <f t="shared" si="162"/>
        <v>X</v>
      </c>
      <c r="AG35" s="832" t="str">
        <f t="shared" si="163"/>
        <v/>
      </c>
      <c r="AH35" s="366" t="str">
        <f t="shared" si="164"/>
        <v/>
      </c>
      <c r="AI35" s="366" t="str">
        <f t="shared" si="165"/>
        <v/>
      </c>
      <c r="AJ35" s="366" t="str">
        <f t="shared" si="166"/>
        <v/>
      </c>
      <c r="AK35" s="366" t="str">
        <f t="shared" si="167"/>
        <v>X</v>
      </c>
      <c r="AL35" s="833" t="str">
        <f t="shared" si="168"/>
        <v>X</v>
      </c>
      <c r="AM35" s="832" t="str">
        <f t="shared" si="169"/>
        <v/>
      </c>
      <c r="AN35" s="366" t="str">
        <f t="shared" si="170"/>
        <v/>
      </c>
      <c r="AO35" s="366" t="str">
        <f t="shared" si="171"/>
        <v/>
      </c>
      <c r="AP35" s="366" t="str">
        <f t="shared" si="172"/>
        <v/>
      </c>
      <c r="AQ35" s="366" t="str">
        <f t="shared" si="173"/>
        <v>X</v>
      </c>
      <c r="AR35" s="833" t="str">
        <f t="shared" si="174"/>
        <v>X</v>
      </c>
      <c r="AT35" s="1062"/>
      <c r="AY35" s="4"/>
    </row>
    <row r="36" spans="1:51" ht="13.9" customHeight="1" x14ac:dyDescent="0.25">
      <c r="A36" s="847">
        <f>Chem!A36</f>
        <v>34</v>
      </c>
      <c r="B36" s="951" t="str">
        <f>Chem!B36</f>
        <v>Mercury, inorganic</v>
      </c>
      <c r="C36" s="946">
        <f t="shared" si="145"/>
        <v>7.0000000000000007E-2</v>
      </c>
      <c r="D36" s="463">
        <f t="shared" si="146"/>
        <v>7.0000000000000007E-2</v>
      </c>
      <c r="E36" s="634">
        <f t="shared" si="147"/>
        <v>7.0000000000000007E-2</v>
      </c>
      <c r="F36" s="634">
        <f t="shared" si="148"/>
        <v>7.0000000000000007E-2</v>
      </c>
      <c r="G36" s="634"/>
      <c r="H36" s="467" t="str">
        <f>'SL-Det'!E36</f>
        <v>na</v>
      </c>
      <c r="I36" s="231">
        <f>Leach!F36</f>
        <v>2.0885745554038779</v>
      </c>
      <c r="J36" s="231">
        <f>Leach!I36</f>
        <v>2.6107181942548473E-2</v>
      </c>
      <c r="K36" s="231">
        <f>Leach!L36</f>
        <v>2.1343544683183091</v>
      </c>
      <c r="L36" s="476">
        <f>Leach!G36</f>
        <v>0.10457333333333334</v>
      </c>
      <c r="M36" s="476">
        <f>Leach!J36</f>
        <v>1.3071666666666668E-3</v>
      </c>
      <c r="N36" s="476">
        <f>Leach!M36</f>
        <v>0.1068654986193583</v>
      </c>
      <c r="O36" s="486">
        <f>'SD-Det'!Z36</f>
        <v>0.41</v>
      </c>
      <c r="P36" s="492">
        <f>'SL-Det'!I36</f>
        <v>0.1</v>
      </c>
      <c r="Q36" s="970">
        <f>Param!AL36</f>
        <v>7.0000000000000007E-2</v>
      </c>
      <c r="S36" s="832" t="str">
        <f t="shared" si="149"/>
        <v/>
      </c>
      <c r="T36" s="366" t="str">
        <f t="shared" si="150"/>
        <v/>
      </c>
      <c r="U36" s="366" t="str">
        <f t="shared" si="151"/>
        <v/>
      </c>
      <c r="V36" s="366" t="str">
        <f t="shared" si="152"/>
        <v/>
      </c>
      <c r="W36" s="366" t="str">
        <f t="shared" si="153"/>
        <v/>
      </c>
      <c r="X36" s="366" t="str">
        <f t="shared" si="154"/>
        <v/>
      </c>
      <c r="Y36" s="989" t="str">
        <f t="shared" si="155"/>
        <v>X</v>
      </c>
      <c r="Z36" s="832" t="str">
        <f t="shared" si="156"/>
        <v/>
      </c>
      <c r="AA36" s="366" t="str">
        <f t="shared" si="157"/>
        <v/>
      </c>
      <c r="AB36" s="366" t="str">
        <f t="shared" si="158"/>
        <v/>
      </c>
      <c r="AC36" s="366" t="str">
        <f t="shared" si="159"/>
        <v/>
      </c>
      <c r="AD36" s="366" t="str">
        <f t="shared" si="160"/>
        <v/>
      </c>
      <c r="AE36" s="366" t="str">
        <f t="shared" si="161"/>
        <v/>
      </c>
      <c r="AF36" s="833" t="str">
        <f t="shared" si="162"/>
        <v>X</v>
      </c>
      <c r="AG36" s="832" t="str">
        <f t="shared" si="163"/>
        <v/>
      </c>
      <c r="AH36" s="366" t="str">
        <f t="shared" si="164"/>
        <v/>
      </c>
      <c r="AI36" s="366" t="str">
        <f t="shared" si="165"/>
        <v/>
      </c>
      <c r="AJ36" s="366" t="str">
        <f t="shared" si="166"/>
        <v/>
      </c>
      <c r="AK36" s="366" t="str">
        <f t="shared" si="167"/>
        <v/>
      </c>
      <c r="AL36" s="833" t="str">
        <f t="shared" si="168"/>
        <v>X</v>
      </c>
      <c r="AM36" s="832" t="str">
        <f t="shared" si="169"/>
        <v/>
      </c>
      <c r="AN36" s="366" t="str">
        <f t="shared" si="170"/>
        <v/>
      </c>
      <c r="AO36" s="366" t="str">
        <f t="shared" si="171"/>
        <v/>
      </c>
      <c r="AP36" s="366" t="str">
        <f t="shared" si="172"/>
        <v/>
      </c>
      <c r="AQ36" s="366" t="str">
        <f t="shared" si="173"/>
        <v/>
      </c>
      <c r="AR36" s="833" t="str">
        <f t="shared" si="174"/>
        <v>X</v>
      </c>
      <c r="AT36" s="1062"/>
      <c r="AY36" s="4"/>
    </row>
    <row r="37" spans="1:51" ht="13.9" customHeight="1" x14ac:dyDescent="0.25">
      <c r="A37" s="847">
        <f>Chem!A37</f>
        <v>35</v>
      </c>
      <c r="B37" s="951" t="str">
        <f>Chem!B37</f>
        <v>Methylmercury</v>
      </c>
      <c r="C37" s="946">
        <f t="shared" si="145"/>
        <v>0.4</v>
      </c>
      <c r="D37" s="463">
        <f t="shared" si="146"/>
        <v>0.4</v>
      </c>
      <c r="E37" s="634">
        <f t="shared" si="147"/>
        <v>0.4</v>
      </c>
      <c r="F37" s="634">
        <f t="shared" si="148"/>
        <v>0.4</v>
      </c>
      <c r="G37" s="634"/>
      <c r="H37" s="467">
        <f>'SL-Det'!E37</f>
        <v>8</v>
      </c>
      <c r="I37" s="231">
        <f>Leach!F37</f>
        <v>224.00639999999999</v>
      </c>
      <c r="J37" s="231" t="str">
        <f>Leach!I37</f>
        <v>na</v>
      </c>
      <c r="K37" s="231" t="str">
        <f>Leach!L37</f>
        <v>na</v>
      </c>
      <c r="L37" s="476">
        <f>Leach!G37</f>
        <v>11.200458666666668</v>
      </c>
      <c r="M37" s="476" t="str">
        <f>Leach!J37</f>
        <v>na</v>
      </c>
      <c r="N37" s="476" t="str">
        <f>Leach!M37</f>
        <v>na</v>
      </c>
      <c r="O37" s="485" t="str">
        <f>'SD-Det'!Z37</f>
        <v>na</v>
      </c>
      <c r="P37" s="492">
        <f>'SL-Det'!I37</f>
        <v>0.4</v>
      </c>
      <c r="Q37" s="975" t="str">
        <f>Param!AL37</f>
        <v>na</v>
      </c>
      <c r="S37" s="832" t="str">
        <f t="shared" si="149"/>
        <v/>
      </c>
      <c r="T37" s="366" t="str">
        <f t="shared" si="150"/>
        <v/>
      </c>
      <c r="U37" s="366" t="str">
        <f t="shared" si="151"/>
        <v/>
      </c>
      <c r="V37" s="366" t="str">
        <f t="shared" si="152"/>
        <v/>
      </c>
      <c r="W37" s="366" t="str">
        <f t="shared" si="153"/>
        <v/>
      </c>
      <c r="X37" s="366" t="str">
        <f t="shared" si="154"/>
        <v>X</v>
      </c>
      <c r="Y37" s="989" t="str">
        <f t="shared" si="155"/>
        <v/>
      </c>
      <c r="Z37" s="832" t="str">
        <f t="shared" si="156"/>
        <v/>
      </c>
      <c r="AA37" s="366" t="str">
        <f t="shared" si="157"/>
        <v/>
      </c>
      <c r="AB37" s="366" t="str">
        <f t="shared" si="158"/>
        <v/>
      </c>
      <c r="AC37" s="366" t="str">
        <f t="shared" si="159"/>
        <v/>
      </c>
      <c r="AD37" s="366" t="str">
        <f t="shared" si="160"/>
        <v/>
      </c>
      <c r="AE37" s="366" t="str">
        <f t="shared" si="161"/>
        <v>X</v>
      </c>
      <c r="AF37" s="833" t="str">
        <f t="shared" si="162"/>
        <v/>
      </c>
      <c r="AG37" s="832" t="str">
        <f t="shared" si="163"/>
        <v/>
      </c>
      <c r="AH37" s="366" t="str">
        <f t="shared" si="164"/>
        <v/>
      </c>
      <c r="AI37" s="366" t="str">
        <f t="shared" si="165"/>
        <v/>
      </c>
      <c r="AJ37" s="366" t="str">
        <f t="shared" si="166"/>
        <v/>
      </c>
      <c r="AK37" s="366" t="str">
        <f t="shared" si="167"/>
        <v>X</v>
      </c>
      <c r="AL37" s="833" t="str">
        <f t="shared" si="168"/>
        <v/>
      </c>
      <c r="AM37" s="832" t="str">
        <f t="shared" si="169"/>
        <v/>
      </c>
      <c r="AN37" s="366" t="str">
        <f t="shared" si="170"/>
        <v/>
      </c>
      <c r="AO37" s="366" t="str">
        <f t="shared" si="171"/>
        <v/>
      </c>
      <c r="AP37" s="366" t="str">
        <f t="shared" si="172"/>
        <v/>
      </c>
      <c r="AQ37" s="366" t="str">
        <f t="shared" si="173"/>
        <v>X</v>
      </c>
      <c r="AR37" s="833" t="str">
        <f t="shared" si="174"/>
        <v/>
      </c>
      <c r="AT37" s="1062"/>
      <c r="AY37" s="4"/>
    </row>
    <row r="38" spans="1:51" ht="13.9" customHeight="1" x14ac:dyDescent="0.25">
      <c r="A38" s="847">
        <f>Chem!A38</f>
        <v>36</v>
      </c>
      <c r="B38" s="951" t="str">
        <f>Chem!B38</f>
        <v>Molybdenum</v>
      </c>
      <c r="C38" s="946">
        <f t="shared" si="145"/>
        <v>2</v>
      </c>
      <c r="D38" s="463">
        <f t="shared" si="146"/>
        <v>1.6229333333333333</v>
      </c>
      <c r="E38" s="634">
        <f t="shared" si="147"/>
        <v>2</v>
      </c>
      <c r="F38" s="634">
        <f t="shared" si="148"/>
        <v>2</v>
      </c>
      <c r="G38" s="634"/>
      <c r="H38" s="467">
        <f>'SL-Det'!E38</f>
        <v>400</v>
      </c>
      <c r="I38" s="231">
        <f>Leach!F38</f>
        <v>32.32</v>
      </c>
      <c r="J38" s="231" t="str">
        <f>Leach!I38</f>
        <v>na</v>
      </c>
      <c r="K38" s="231" t="str">
        <f>Leach!L38</f>
        <v>na</v>
      </c>
      <c r="L38" s="476">
        <f>Leach!G38</f>
        <v>1.6229333333333333</v>
      </c>
      <c r="M38" s="476" t="str">
        <f>Leach!J38</f>
        <v>na</v>
      </c>
      <c r="N38" s="476" t="str">
        <f>Leach!M38</f>
        <v>na</v>
      </c>
      <c r="O38" s="485" t="str">
        <f>'SD-Det'!Z38</f>
        <v>na</v>
      </c>
      <c r="P38" s="494">
        <f>'SL-Det'!I38</f>
        <v>2</v>
      </c>
      <c r="Q38" s="975" t="str">
        <f>Param!AL38</f>
        <v>na</v>
      </c>
      <c r="S38" s="832" t="str">
        <f t="shared" si="149"/>
        <v/>
      </c>
      <c r="T38" s="366" t="str">
        <f t="shared" si="150"/>
        <v/>
      </c>
      <c r="U38" s="366" t="str">
        <f t="shared" si="151"/>
        <v/>
      </c>
      <c r="V38" s="366" t="str">
        <f t="shared" si="152"/>
        <v/>
      </c>
      <c r="W38" s="366" t="str">
        <f t="shared" si="153"/>
        <v/>
      </c>
      <c r="X38" s="366" t="str">
        <f t="shared" si="154"/>
        <v>X</v>
      </c>
      <c r="Y38" s="989" t="str">
        <f t="shared" si="155"/>
        <v/>
      </c>
      <c r="Z38" s="832" t="str">
        <f t="shared" si="156"/>
        <v/>
      </c>
      <c r="AA38" s="366" t="str">
        <f t="shared" si="157"/>
        <v>X</v>
      </c>
      <c r="AB38" s="366" t="str">
        <f t="shared" si="158"/>
        <v/>
      </c>
      <c r="AC38" s="366" t="str">
        <f t="shared" si="159"/>
        <v/>
      </c>
      <c r="AD38" s="366" t="str">
        <f t="shared" si="160"/>
        <v/>
      </c>
      <c r="AE38" s="366" t="str">
        <f t="shared" si="161"/>
        <v/>
      </c>
      <c r="AF38" s="833" t="str">
        <f t="shared" si="162"/>
        <v/>
      </c>
      <c r="AG38" s="832" t="str">
        <f t="shared" si="163"/>
        <v/>
      </c>
      <c r="AH38" s="366" t="str">
        <f t="shared" si="164"/>
        <v/>
      </c>
      <c r="AI38" s="366" t="str">
        <f t="shared" si="165"/>
        <v/>
      </c>
      <c r="AJ38" s="366" t="str">
        <f t="shared" si="166"/>
        <v/>
      </c>
      <c r="AK38" s="366" t="str">
        <f t="shared" si="167"/>
        <v>X</v>
      </c>
      <c r="AL38" s="833" t="str">
        <f t="shared" si="168"/>
        <v/>
      </c>
      <c r="AM38" s="832" t="str">
        <f t="shared" si="169"/>
        <v/>
      </c>
      <c r="AN38" s="366" t="str">
        <f t="shared" si="170"/>
        <v/>
      </c>
      <c r="AO38" s="366" t="str">
        <f t="shared" si="171"/>
        <v/>
      </c>
      <c r="AP38" s="366" t="str">
        <f t="shared" si="172"/>
        <v/>
      </c>
      <c r="AQ38" s="366" t="str">
        <f t="shared" si="173"/>
        <v>X</v>
      </c>
      <c r="AR38" s="833" t="str">
        <f t="shared" si="174"/>
        <v/>
      </c>
      <c r="AT38" s="1062"/>
      <c r="AY38" s="4"/>
    </row>
    <row r="39" spans="1:51" ht="13.9" customHeight="1" x14ac:dyDescent="0.25">
      <c r="A39" s="847">
        <f>Chem!A39</f>
        <v>37</v>
      </c>
      <c r="B39" s="951" t="str">
        <f>Chem!B39</f>
        <v>Nickel</v>
      </c>
      <c r="C39" s="946">
        <f t="shared" si="145"/>
        <v>48</v>
      </c>
      <c r="D39" s="463">
        <f t="shared" si="146"/>
        <v>48</v>
      </c>
      <c r="E39" s="634">
        <f t="shared" si="147"/>
        <v>48</v>
      </c>
      <c r="F39" s="634">
        <f t="shared" si="148"/>
        <v>48</v>
      </c>
      <c r="G39" s="634"/>
      <c r="H39" s="467">
        <f>'SL-Det'!E39</f>
        <v>1600</v>
      </c>
      <c r="I39" s="231">
        <f>Leach!F39</f>
        <v>417.28000000000003</v>
      </c>
      <c r="J39" s="231">
        <f>Leach!I39</f>
        <v>10.692799999999998</v>
      </c>
      <c r="K39" s="231" t="str">
        <f>Leach!L39</f>
        <v>na</v>
      </c>
      <c r="L39" s="476">
        <f>Leach!G39</f>
        <v>20.891733333333331</v>
      </c>
      <c r="M39" s="476">
        <f>Leach!J39</f>
        <v>0.53535066666666653</v>
      </c>
      <c r="N39" s="476" t="str">
        <f>Leach!M39</f>
        <v>na</v>
      </c>
      <c r="O39" s="485" t="str">
        <f>'SD-Det'!Z39</f>
        <v>na</v>
      </c>
      <c r="P39" s="492">
        <f>'SL-Det'!I39</f>
        <v>30</v>
      </c>
      <c r="Q39" s="970">
        <f>Param!AL39</f>
        <v>48</v>
      </c>
      <c r="S39" s="832" t="str">
        <f t="shared" si="149"/>
        <v/>
      </c>
      <c r="T39" s="366" t="str">
        <f t="shared" si="150"/>
        <v/>
      </c>
      <c r="U39" s="366" t="str">
        <f t="shared" si="151"/>
        <v/>
      </c>
      <c r="V39" s="366" t="str">
        <f t="shared" si="152"/>
        <v/>
      </c>
      <c r="W39" s="366" t="str">
        <f t="shared" si="153"/>
        <v/>
      </c>
      <c r="X39" s="366" t="str">
        <f t="shared" si="154"/>
        <v/>
      </c>
      <c r="Y39" s="989" t="str">
        <f t="shared" si="155"/>
        <v>X</v>
      </c>
      <c r="Z39" s="832" t="str">
        <f t="shared" si="156"/>
        <v/>
      </c>
      <c r="AA39" s="366" t="str">
        <f t="shared" si="157"/>
        <v/>
      </c>
      <c r="AB39" s="366" t="str">
        <f t="shared" si="158"/>
        <v/>
      </c>
      <c r="AC39" s="366" t="str">
        <f t="shared" si="159"/>
        <v/>
      </c>
      <c r="AD39" s="366" t="str">
        <f t="shared" si="160"/>
        <v/>
      </c>
      <c r="AE39" s="366" t="str">
        <f t="shared" si="161"/>
        <v/>
      </c>
      <c r="AF39" s="833" t="str">
        <f t="shared" si="162"/>
        <v>X</v>
      </c>
      <c r="AG39" s="832" t="str">
        <f t="shared" si="163"/>
        <v/>
      </c>
      <c r="AH39" s="366" t="str">
        <f t="shared" si="164"/>
        <v/>
      </c>
      <c r="AI39" s="366" t="str">
        <f t="shared" si="165"/>
        <v/>
      </c>
      <c r="AJ39" s="366" t="str">
        <f t="shared" si="166"/>
        <v/>
      </c>
      <c r="AK39" s="366" t="str">
        <f t="shared" si="167"/>
        <v/>
      </c>
      <c r="AL39" s="833" t="str">
        <f t="shared" si="168"/>
        <v>X</v>
      </c>
      <c r="AM39" s="832" t="str">
        <f t="shared" si="169"/>
        <v/>
      </c>
      <c r="AN39" s="366" t="str">
        <f t="shared" si="170"/>
        <v/>
      </c>
      <c r="AO39" s="366" t="str">
        <f t="shared" si="171"/>
        <v/>
      </c>
      <c r="AP39" s="366" t="str">
        <f t="shared" si="172"/>
        <v/>
      </c>
      <c r="AQ39" s="366" t="str">
        <f t="shared" si="173"/>
        <v/>
      </c>
      <c r="AR39" s="833" t="str">
        <f t="shared" si="174"/>
        <v>X</v>
      </c>
      <c r="AT39" s="1062"/>
      <c r="AY39" s="4"/>
    </row>
    <row r="40" spans="1:51" ht="13.9" customHeight="1" x14ac:dyDescent="0.25">
      <c r="A40" s="847">
        <f>Chem!A40</f>
        <v>38</v>
      </c>
      <c r="B40" s="951" t="str">
        <f>Chem!B40</f>
        <v>Selenium</v>
      </c>
      <c r="C40" s="946">
        <f t="shared" si="145"/>
        <v>0.78</v>
      </c>
      <c r="D40" s="463">
        <f t="shared" si="146"/>
        <v>0.78</v>
      </c>
      <c r="E40" s="634">
        <f t="shared" si="147"/>
        <v>0.78</v>
      </c>
      <c r="F40" s="634">
        <f t="shared" si="148"/>
        <v>0.78</v>
      </c>
      <c r="G40" s="634"/>
      <c r="H40" s="467">
        <f>'SL-Det'!E40</f>
        <v>400</v>
      </c>
      <c r="I40" s="231">
        <f>Leach!F40</f>
        <v>5.2</v>
      </c>
      <c r="J40" s="231">
        <f>Leach!I40</f>
        <v>7.3839999999999995</v>
      </c>
      <c r="K40" s="231" t="str">
        <f>Leach!L40</f>
        <v>na</v>
      </c>
      <c r="L40" s="476">
        <f>Leach!G40</f>
        <v>0.26433333333333336</v>
      </c>
      <c r="M40" s="476">
        <f>Leach!J40</f>
        <v>0.37535333333333343</v>
      </c>
      <c r="N40" s="476" t="str">
        <f>Leach!M40</f>
        <v>na</v>
      </c>
      <c r="O40" s="485" t="str">
        <f>'SD-Det'!Z40</f>
        <v>na</v>
      </c>
      <c r="P40" s="492">
        <f>'SL-Det'!I40</f>
        <v>0.3</v>
      </c>
      <c r="Q40" s="975">
        <f>Param!AL40</f>
        <v>0.78</v>
      </c>
      <c r="S40" s="832" t="str">
        <f t="shared" si="149"/>
        <v/>
      </c>
      <c r="T40" s="366" t="str">
        <f t="shared" si="150"/>
        <v/>
      </c>
      <c r="U40" s="366" t="str">
        <f t="shared" si="151"/>
        <v/>
      </c>
      <c r="V40" s="366" t="str">
        <f t="shared" si="152"/>
        <v/>
      </c>
      <c r="W40" s="366" t="str">
        <f t="shared" si="153"/>
        <v/>
      </c>
      <c r="X40" s="366" t="str">
        <f t="shared" si="154"/>
        <v/>
      </c>
      <c r="Y40" s="989" t="str">
        <f t="shared" si="155"/>
        <v>X</v>
      </c>
      <c r="Z40" s="832" t="str">
        <f t="shared" si="156"/>
        <v/>
      </c>
      <c r="AA40" s="366" t="str">
        <f t="shared" si="157"/>
        <v/>
      </c>
      <c r="AB40" s="366" t="str">
        <f t="shared" si="158"/>
        <v/>
      </c>
      <c r="AC40" s="366" t="str">
        <f t="shared" si="159"/>
        <v/>
      </c>
      <c r="AD40" s="366" t="str">
        <f t="shared" si="160"/>
        <v/>
      </c>
      <c r="AE40" s="366" t="str">
        <f t="shared" si="161"/>
        <v/>
      </c>
      <c r="AF40" s="833" t="str">
        <f t="shared" si="162"/>
        <v>X</v>
      </c>
      <c r="AG40" s="832" t="str">
        <f t="shared" si="163"/>
        <v/>
      </c>
      <c r="AH40" s="366" t="str">
        <f t="shared" si="164"/>
        <v/>
      </c>
      <c r="AI40" s="366" t="str">
        <f t="shared" si="165"/>
        <v/>
      </c>
      <c r="AJ40" s="366" t="str">
        <f t="shared" si="166"/>
        <v/>
      </c>
      <c r="AK40" s="366" t="str">
        <f t="shared" si="167"/>
        <v/>
      </c>
      <c r="AL40" s="833" t="str">
        <f t="shared" si="168"/>
        <v>X</v>
      </c>
      <c r="AM40" s="832" t="str">
        <f t="shared" si="169"/>
        <v/>
      </c>
      <c r="AN40" s="366" t="str">
        <f t="shared" si="170"/>
        <v/>
      </c>
      <c r="AO40" s="366" t="str">
        <f t="shared" si="171"/>
        <v/>
      </c>
      <c r="AP40" s="366" t="str">
        <f t="shared" si="172"/>
        <v/>
      </c>
      <c r="AQ40" s="366" t="str">
        <f t="shared" si="173"/>
        <v/>
      </c>
      <c r="AR40" s="833" t="str">
        <f t="shared" si="174"/>
        <v>X</v>
      </c>
      <c r="AT40" s="1062"/>
      <c r="AY40" s="4"/>
    </row>
    <row r="41" spans="1:51" ht="13.9" customHeight="1" x14ac:dyDescent="0.25">
      <c r="A41" s="847">
        <f>Chem!A41</f>
        <v>39</v>
      </c>
      <c r="B41" s="951" t="str">
        <f>Chem!B41</f>
        <v>Silver</v>
      </c>
      <c r="C41" s="946">
        <f t="shared" si="145"/>
        <v>0.61</v>
      </c>
      <c r="D41" s="463">
        <f t="shared" si="146"/>
        <v>0.61</v>
      </c>
      <c r="E41" s="634">
        <f t="shared" si="147"/>
        <v>0.61</v>
      </c>
      <c r="F41" s="634">
        <f t="shared" si="148"/>
        <v>0.61</v>
      </c>
      <c r="G41" s="634"/>
      <c r="H41" s="467">
        <f>'SL-Det'!E41</f>
        <v>400</v>
      </c>
      <c r="I41" s="231">
        <f>Leach!F41</f>
        <v>13.600000000000001</v>
      </c>
      <c r="J41" s="231">
        <f>Leach!I41</f>
        <v>0.1547</v>
      </c>
      <c r="K41" s="231">
        <f>Leach!L41</f>
        <v>9.3758808669059945</v>
      </c>
      <c r="L41" s="476">
        <f>Leach!G41</f>
        <v>0.6869333333333334</v>
      </c>
      <c r="M41" s="476">
        <f>Leach!J41</f>
        <v>7.8138666666666672E-3</v>
      </c>
      <c r="N41" s="476">
        <f>Leach!M41</f>
        <v>0.47357390417940876</v>
      </c>
      <c r="O41" s="485">
        <f>'SD-Det'!Z41</f>
        <v>6.1</v>
      </c>
      <c r="P41" s="494">
        <f>'SL-Det'!I41</f>
        <v>2</v>
      </c>
      <c r="Q41" s="975">
        <f>Param!AL41</f>
        <v>0.61</v>
      </c>
      <c r="S41" s="832" t="str">
        <f t="shared" si="149"/>
        <v/>
      </c>
      <c r="T41" s="366" t="str">
        <f t="shared" si="150"/>
        <v/>
      </c>
      <c r="U41" s="366" t="str">
        <f t="shared" si="151"/>
        <v/>
      </c>
      <c r="V41" s="366" t="str">
        <f t="shared" si="152"/>
        <v/>
      </c>
      <c r="W41" s="366" t="str">
        <f t="shared" si="153"/>
        <v/>
      </c>
      <c r="X41" s="366" t="str">
        <f t="shared" si="154"/>
        <v/>
      </c>
      <c r="Y41" s="989" t="str">
        <f t="shared" si="155"/>
        <v>X</v>
      </c>
      <c r="Z41" s="832" t="str">
        <f t="shared" si="156"/>
        <v/>
      </c>
      <c r="AA41" s="366" t="str">
        <f t="shared" si="157"/>
        <v/>
      </c>
      <c r="AB41" s="366" t="str">
        <f t="shared" si="158"/>
        <v/>
      </c>
      <c r="AC41" s="366" t="str">
        <f t="shared" si="159"/>
        <v/>
      </c>
      <c r="AD41" s="366" t="str">
        <f t="shared" si="160"/>
        <v/>
      </c>
      <c r="AE41" s="366" t="str">
        <f t="shared" si="161"/>
        <v/>
      </c>
      <c r="AF41" s="833" t="str">
        <f t="shared" si="162"/>
        <v>X</v>
      </c>
      <c r="AG41" s="832" t="str">
        <f t="shared" si="163"/>
        <v/>
      </c>
      <c r="AH41" s="366" t="str">
        <f t="shared" si="164"/>
        <v/>
      </c>
      <c r="AI41" s="366" t="str">
        <f t="shared" si="165"/>
        <v/>
      </c>
      <c r="AJ41" s="366" t="str">
        <f t="shared" si="166"/>
        <v/>
      </c>
      <c r="AK41" s="366" t="str">
        <f t="shared" si="167"/>
        <v/>
      </c>
      <c r="AL41" s="833" t="str">
        <f t="shared" si="168"/>
        <v>X</v>
      </c>
      <c r="AM41" s="832" t="str">
        <f t="shared" si="169"/>
        <v/>
      </c>
      <c r="AN41" s="366" t="str">
        <f t="shared" si="170"/>
        <v/>
      </c>
      <c r="AO41" s="366" t="str">
        <f t="shared" si="171"/>
        <v/>
      </c>
      <c r="AP41" s="366" t="str">
        <f t="shared" si="172"/>
        <v/>
      </c>
      <c r="AQ41" s="366" t="str">
        <f t="shared" si="173"/>
        <v/>
      </c>
      <c r="AR41" s="833" t="str">
        <f t="shared" si="174"/>
        <v>X</v>
      </c>
      <c r="AT41" s="1062"/>
      <c r="AY41" s="4"/>
    </row>
    <row r="42" spans="1:51" ht="13.9" customHeight="1" x14ac:dyDescent="0.25">
      <c r="A42" s="847">
        <f>Chem!A42</f>
        <v>40</v>
      </c>
      <c r="B42" s="951" t="str">
        <f>Chem!B42</f>
        <v>Thallium</v>
      </c>
      <c r="C42" s="946">
        <f t="shared" si="145"/>
        <v>8.8134394341290917E-2</v>
      </c>
      <c r="D42" s="463">
        <f t="shared" si="146"/>
        <v>4.4120837017388743E-3</v>
      </c>
      <c r="E42" s="634">
        <f t="shared" si="147"/>
        <v>8.8134394341290917E-2</v>
      </c>
      <c r="F42" s="634">
        <f t="shared" si="148"/>
        <v>4.4120837017388743E-3</v>
      </c>
      <c r="G42" s="634"/>
      <c r="H42" s="467">
        <f>'SL-Det'!E42</f>
        <v>0.8</v>
      </c>
      <c r="I42" s="231">
        <f>Leach!F42</f>
        <v>0.22784000000000001</v>
      </c>
      <c r="J42" s="231">
        <f>Leach!I42</f>
        <v>8.8134394341290917E-2</v>
      </c>
      <c r="K42" s="231" t="str">
        <f>Leach!L42</f>
        <v>na</v>
      </c>
      <c r="L42" s="476">
        <f>Leach!G42</f>
        <v>1.1405866666666667E-2</v>
      </c>
      <c r="M42" s="476">
        <f>Leach!J42</f>
        <v>4.4120837017388743E-3</v>
      </c>
      <c r="N42" s="476" t="str">
        <f>Leach!M42</f>
        <v>na</v>
      </c>
      <c r="O42" s="485" t="str">
        <f>'SD-Det'!Z42</f>
        <v>na</v>
      </c>
      <c r="P42" s="494">
        <f>'SL-Det'!I42</f>
        <v>1</v>
      </c>
      <c r="Q42" s="975" t="str">
        <f>Param!AL42</f>
        <v>na</v>
      </c>
      <c r="S42" s="832" t="str">
        <f t="shared" si="149"/>
        <v/>
      </c>
      <c r="T42" s="366" t="str">
        <f t="shared" si="150"/>
        <v/>
      </c>
      <c r="U42" s="366" t="str">
        <f t="shared" si="151"/>
        <v>X</v>
      </c>
      <c r="V42" s="366" t="str">
        <f t="shared" si="152"/>
        <v/>
      </c>
      <c r="W42" s="366" t="str">
        <f t="shared" si="153"/>
        <v/>
      </c>
      <c r="X42" s="366" t="str">
        <f t="shared" si="154"/>
        <v/>
      </c>
      <c r="Y42" s="989" t="str">
        <f t="shared" si="155"/>
        <v/>
      </c>
      <c r="Z42" s="832" t="str">
        <f t="shared" si="156"/>
        <v/>
      </c>
      <c r="AA42" s="366" t="str">
        <f t="shared" si="157"/>
        <v/>
      </c>
      <c r="AB42" s="366" t="str">
        <f t="shared" si="158"/>
        <v>X</v>
      </c>
      <c r="AC42" s="366" t="str">
        <f t="shared" si="159"/>
        <v/>
      </c>
      <c r="AD42" s="366" t="str">
        <f t="shared" si="160"/>
        <v/>
      </c>
      <c r="AE42" s="366" t="str">
        <f t="shared" si="161"/>
        <v/>
      </c>
      <c r="AF42" s="833" t="str">
        <f t="shared" si="162"/>
        <v/>
      </c>
      <c r="AG42" s="832" t="str">
        <f t="shared" si="163"/>
        <v/>
      </c>
      <c r="AH42" s="366" t="str">
        <f t="shared" si="164"/>
        <v>X</v>
      </c>
      <c r="AI42" s="366" t="str">
        <f t="shared" si="165"/>
        <v/>
      </c>
      <c r="AJ42" s="366" t="str">
        <f t="shared" si="166"/>
        <v/>
      </c>
      <c r="AK42" s="366" t="str">
        <f t="shared" si="167"/>
        <v/>
      </c>
      <c r="AL42" s="833" t="str">
        <f t="shared" si="168"/>
        <v/>
      </c>
      <c r="AM42" s="832" t="str">
        <f t="shared" si="169"/>
        <v/>
      </c>
      <c r="AN42" s="366" t="str">
        <f t="shared" si="170"/>
        <v>X</v>
      </c>
      <c r="AO42" s="366" t="str">
        <f t="shared" si="171"/>
        <v/>
      </c>
      <c r="AP42" s="366" t="str">
        <f t="shared" si="172"/>
        <v/>
      </c>
      <c r="AQ42" s="366" t="str">
        <f t="shared" si="173"/>
        <v/>
      </c>
      <c r="AR42" s="833" t="str">
        <f t="shared" si="174"/>
        <v/>
      </c>
      <c r="AT42" s="1062"/>
      <c r="AY42" s="4"/>
    </row>
    <row r="43" spans="1:51" ht="13.9" customHeight="1" x14ac:dyDescent="0.25">
      <c r="A43" s="847">
        <f>Chem!A43</f>
        <v>41</v>
      </c>
      <c r="B43" s="951" t="str">
        <f>Chem!B43</f>
        <v>Tin</v>
      </c>
      <c r="C43" s="946">
        <f t="shared" si="145"/>
        <v>50</v>
      </c>
      <c r="D43" s="463">
        <f t="shared" si="146"/>
        <v>50</v>
      </c>
      <c r="E43" s="634">
        <f t="shared" si="147"/>
        <v>50</v>
      </c>
      <c r="F43" s="634">
        <f t="shared" si="148"/>
        <v>50</v>
      </c>
      <c r="G43" s="634"/>
      <c r="H43" s="467">
        <f>'SL-Det'!E43</f>
        <v>48000</v>
      </c>
      <c r="I43" s="231">
        <f>Leach!F43</f>
        <v>48038.399999999994</v>
      </c>
      <c r="J43" s="231" t="str">
        <f>Leach!I43</f>
        <v>na</v>
      </c>
      <c r="K43" s="231" t="str">
        <f>Leach!L43</f>
        <v>na</v>
      </c>
      <c r="L43" s="476">
        <f>Leach!G43</f>
        <v>2402.752</v>
      </c>
      <c r="M43" s="476" t="str">
        <f>Leach!J43</f>
        <v>na</v>
      </c>
      <c r="N43" s="476" t="str">
        <f>Leach!M43</f>
        <v>na</v>
      </c>
      <c r="O43" s="485" t="str">
        <f>'SD-Det'!Z43</f>
        <v>na</v>
      </c>
      <c r="P43" s="492">
        <f>'SL-Det'!I43</f>
        <v>50</v>
      </c>
      <c r="Q43" s="975" t="str">
        <f>Param!AL43</f>
        <v>na</v>
      </c>
      <c r="S43" s="832" t="str">
        <f t="shared" si="149"/>
        <v/>
      </c>
      <c r="T43" s="366" t="str">
        <f t="shared" si="150"/>
        <v/>
      </c>
      <c r="U43" s="366" t="str">
        <f t="shared" si="151"/>
        <v/>
      </c>
      <c r="V43" s="366" t="str">
        <f t="shared" si="152"/>
        <v/>
      </c>
      <c r="W43" s="366" t="str">
        <f t="shared" si="153"/>
        <v/>
      </c>
      <c r="X43" s="366" t="str">
        <f t="shared" si="154"/>
        <v>X</v>
      </c>
      <c r="Y43" s="989" t="str">
        <f t="shared" si="155"/>
        <v/>
      </c>
      <c r="Z43" s="832" t="str">
        <f t="shared" si="156"/>
        <v/>
      </c>
      <c r="AA43" s="366" t="str">
        <f t="shared" si="157"/>
        <v/>
      </c>
      <c r="AB43" s="366" t="str">
        <f t="shared" si="158"/>
        <v/>
      </c>
      <c r="AC43" s="366" t="str">
        <f t="shared" si="159"/>
        <v/>
      </c>
      <c r="AD43" s="366" t="str">
        <f t="shared" si="160"/>
        <v/>
      </c>
      <c r="AE43" s="366" t="str">
        <f t="shared" si="161"/>
        <v>X</v>
      </c>
      <c r="AF43" s="833" t="str">
        <f t="shared" si="162"/>
        <v/>
      </c>
      <c r="AG43" s="832" t="str">
        <f t="shared" si="163"/>
        <v/>
      </c>
      <c r="AH43" s="366" t="str">
        <f t="shared" si="164"/>
        <v/>
      </c>
      <c r="AI43" s="366" t="str">
        <f t="shared" si="165"/>
        <v/>
      </c>
      <c r="AJ43" s="366" t="str">
        <f t="shared" si="166"/>
        <v/>
      </c>
      <c r="AK43" s="366" t="str">
        <f t="shared" si="167"/>
        <v>X</v>
      </c>
      <c r="AL43" s="833" t="str">
        <f t="shared" si="168"/>
        <v/>
      </c>
      <c r="AM43" s="832" t="str">
        <f t="shared" si="169"/>
        <v/>
      </c>
      <c r="AN43" s="366" t="str">
        <f t="shared" si="170"/>
        <v/>
      </c>
      <c r="AO43" s="366" t="str">
        <f t="shared" si="171"/>
        <v/>
      </c>
      <c r="AP43" s="366" t="str">
        <f t="shared" si="172"/>
        <v/>
      </c>
      <c r="AQ43" s="366" t="str">
        <f t="shared" si="173"/>
        <v>X</v>
      </c>
      <c r="AR43" s="833" t="str">
        <f t="shared" si="174"/>
        <v/>
      </c>
      <c r="AT43" s="1062"/>
      <c r="AY43" s="4"/>
    </row>
    <row r="44" spans="1:51" ht="13.9" customHeight="1" x14ac:dyDescent="0.25">
      <c r="A44" s="847">
        <f>Chem!A44</f>
        <v>42</v>
      </c>
      <c r="B44" s="951" t="str">
        <f>Chem!B44</f>
        <v>Vanadium</v>
      </c>
      <c r="C44" s="946">
        <f t="shared" si="145"/>
        <v>45</v>
      </c>
      <c r="D44" s="463">
        <f t="shared" si="146"/>
        <v>45</v>
      </c>
      <c r="E44" s="634">
        <f t="shared" si="147"/>
        <v>45</v>
      </c>
      <c r="F44" s="634">
        <f t="shared" si="148"/>
        <v>45</v>
      </c>
      <c r="G44" s="634"/>
      <c r="H44" s="467">
        <f>'SL-Det'!E44</f>
        <v>400</v>
      </c>
      <c r="I44" s="231">
        <f>Leach!F44</f>
        <v>1600.3200000000002</v>
      </c>
      <c r="J44" s="231" t="str">
        <f>Leach!I44</f>
        <v>na</v>
      </c>
      <c r="K44" s="231" t="str">
        <f>Leach!L44</f>
        <v>na</v>
      </c>
      <c r="L44" s="476">
        <f>Leach!G44</f>
        <v>80.022933333333327</v>
      </c>
      <c r="M44" s="476" t="str">
        <f>Leach!J44</f>
        <v>na</v>
      </c>
      <c r="N44" s="476" t="str">
        <f>Leach!M44</f>
        <v>na</v>
      </c>
      <c r="O44" s="483" t="str">
        <f>'SD-Det'!Z44</f>
        <v>na</v>
      </c>
      <c r="P44" s="494">
        <f>'SL-Det'!I44</f>
        <v>2</v>
      </c>
      <c r="Q44" s="975">
        <f>Param!AL44</f>
        <v>45</v>
      </c>
      <c r="S44" s="832" t="str">
        <f t="shared" si="149"/>
        <v/>
      </c>
      <c r="T44" s="366" t="str">
        <f t="shared" si="150"/>
        <v/>
      </c>
      <c r="U44" s="366" t="str">
        <f t="shared" si="151"/>
        <v/>
      </c>
      <c r="V44" s="366" t="str">
        <f t="shared" si="152"/>
        <v/>
      </c>
      <c r="W44" s="366" t="str">
        <f t="shared" si="153"/>
        <v/>
      </c>
      <c r="X44" s="366" t="str">
        <f t="shared" si="154"/>
        <v/>
      </c>
      <c r="Y44" s="989" t="str">
        <f t="shared" si="155"/>
        <v>X</v>
      </c>
      <c r="Z44" s="832" t="str">
        <f t="shared" si="156"/>
        <v/>
      </c>
      <c r="AA44" s="366" t="str">
        <f t="shared" si="157"/>
        <v/>
      </c>
      <c r="AB44" s="366" t="str">
        <f t="shared" si="158"/>
        <v/>
      </c>
      <c r="AC44" s="366" t="str">
        <f t="shared" si="159"/>
        <v/>
      </c>
      <c r="AD44" s="366" t="str">
        <f t="shared" si="160"/>
        <v/>
      </c>
      <c r="AE44" s="366" t="str">
        <f t="shared" si="161"/>
        <v/>
      </c>
      <c r="AF44" s="833" t="str">
        <f t="shared" si="162"/>
        <v>X</v>
      </c>
      <c r="AG44" s="832" t="str">
        <f t="shared" si="163"/>
        <v/>
      </c>
      <c r="AH44" s="366" t="str">
        <f t="shared" si="164"/>
        <v/>
      </c>
      <c r="AI44" s="366" t="str">
        <f t="shared" si="165"/>
        <v/>
      </c>
      <c r="AJ44" s="366" t="str">
        <f t="shared" si="166"/>
        <v/>
      </c>
      <c r="AK44" s="366" t="str">
        <f t="shared" si="167"/>
        <v/>
      </c>
      <c r="AL44" s="833" t="str">
        <f t="shared" si="168"/>
        <v>X</v>
      </c>
      <c r="AM44" s="832" t="str">
        <f t="shared" si="169"/>
        <v/>
      </c>
      <c r="AN44" s="366" t="str">
        <f t="shared" si="170"/>
        <v/>
      </c>
      <c r="AO44" s="366" t="str">
        <f t="shared" si="171"/>
        <v/>
      </c>
      <c r="AP44" s="366" t="str">
        <f t="shared" si="172"/>
        <v/>
      </c>
      <c r="AQ44" s="366" t="str">
        <f t="shared" si="173"/>
        <v/>
      </c>
      <c r="AR44" s="833" t="str">
        <f t="shared" si="174"/>
        <v>X</v>
      </c>
      <c r="AT44" s="1062"/>
      <c r="AY44" s="4"/>
    </row>
    <row r="45" spans="1:51" ht="13.9" customHeight="1" x14ac:dyDescent="0.25">
      <c r="A45" s="844">
        <f>Chem!A45</f>
        <v>43</v>
      </c>
      <c r="B45" s="951" t="str">
        <f>Chem!B45</f>
        <v>Zinc</v>
      </c>
      <c r="C45" s="946">
        <f t="shared" si="145"/>
        <v>86</v>
      </c>
      <c r="D45" s="463">
        <f t="shared" si="146"/>
        <v>85</v>
      </c>
      <c r="E45" s="634">
        <f t="shared" si="147"/>
        <v>86</v>
      </c>
      <c r="F45" s="634">
        <f t="shared" si="148"/>
        <v>85</v>
      </c>
      <c r="G45" s="634"/>
      <c r="H45" s="467">
        <f>'SL-Det'!E45</f>
        <v>24000</v>
      </c>
      <c r="I45" s="470">
        <f>Leach!F45</f>
        <v>5971.2000000000007</v>
      </c>
      <c r="J45" s="470">
        <f>Leach!I45</f>
        <v>100.76400000000001</v>
      </c>
      <c r="K45" s="470">
        <f>Leach!L45</f>
        <v>961.24608519719516</v>
      </c>
      <c r="L45" s="477">
        <f>Leach!G45</f>
        <v>298.976</v>
      </c>
      <c r="M45" s="477">
        <f>Leach!J45</f>
        <v>5.0452200000000005</v>
      </c>
      <c r="N45" s="477">
        <f>Leach!M45</f>
        <v>48.129272100736301</v>
      </c>
      <c r="O45" s="483">
        <f>'SD-Det'!Z45</f>
        <v>410</v>
      </c>
      <c r="P45" s="493">
        <f>'SL-Det'!I45</f>
        <v>86</v>
      </c>
      <c r="Q45" s="974">
        <f>Param!AL45</f>
        <v>85</v>
      </c>
      <c r="S45" s="834" t="str">
        <f t="shared" si="149"/>
        <v/>
      </c>
      <c r="T45" s="368" t="str">
        <f t="shared" si="150"/>
        <v/>
      </c>
      <c r="U45" s="368" t="str">
        <f t="shared" si="151"/>
        <v/>
      </c>
      <c r="V45" s="368" t="str">
        <f t="shared" si="152"/>
        <v/>
      </c>
      <c r="W45" s="368" t="str">
        <f t="shared" si="153"/>
        <v/>
      </c>
      <c r="X45" s="368" t="str">
        <f t="shared" si="154"/>
        <v>X</v>
      </c>
      <c r="Y45" s="990" t="str">
        <f t="shared" si="155"/>
        <v/>
      </c>
      <c r="Z45" s="834" t="str">
        <f t="shared" si="156"/>
        <v/>
      </c>
      <c r="AA45" s="368" t="str">
        <f t="shared" si="157"/>
        <v/>
      </c>
      <c r="AB45" s="368" t="str">
        <f t="shared" si="158"/>
        <v/>
      </c>
      <c r="AC45" s="368" t="str">
        <f t="shared" si="159"/>
        <v/>
      </c>
      <c r="AD45" s="368" t="str">
        <f t="shared" si="160"/>
        <v/>
      </c>
      <c r="AE45" s="368" t="str">
        <f t="shared" si="161"/>
        <v/>
      </c>
      <c r="AF45" s="835" t="str">
        <f t="shared" si="162"/>
        <v>X</v>
      </c>
      <c r="AG45" s="834" t="str">
        <f t="shared" si="163"/>
        <v/>
      </c>
      <c r="AH45" s="368" t="str">
        <f t="shared" si="164"/>
        <v/>
      </c>
      <c r="AI45" s="368" t="str">
        <f t="shared" si="165"/>
        <v/>
      </c>
      <c r="AJ45" s="368" t="str">
        <f t="shared" si="166"/>
        <v/>
      </c>
      <c r="AK45" s="368" t="str">
        <f t="shared" si="167"/>
        <v>X</v>
      </c>
      <c r="AL45" s="835" t="str">
        <f t="shared" si="168"/>
        <v/>
      </c>
      <c r="AM45" s="834" t="str">
        <f t="shared" si="169"/>
        <v/>
      </c>
      <c r="AN45" s="368" t="str">
        <f t="shared" si="170"/>
        <v/>
      </c>
      <c r="AO45" s="368" t="str">
        <f t="shared" si="171"/>
        <v/>
      </c>
      <c r="AP45" s="368" t="str">
        <f t="shared" si="172"/>
        <v/>
      </c>
      <c r="AQ45" s="368" t="str">
        <f t="shared" si="173"/>
        <v/>
      </c>
      <c r="AR45" s="835" t="str">
        <f t="shared" si="174"/>
        <v>X</v>
      </c>
      <c r="AT45" s="1062"/>
      <c r="AY45" s="4"/>
    </row>
    <row r="46" spans="1:51" ht="13.9" customHeight="1" x14ac:dyDescent="0.25">
      <c r="A46" s="906">
        <f>Chem!A46</f>
        <v>44</v>
      </c>
      <c r="B46" s="953" t="str">
        <f>Chem!B46</f>
        <v>Metals - Butyltins</v>
      </c>
      <c r="C46" s="28"/>
      <c r="D46" s="28"/>
      <c r="E46" s="28"/>
      <c r="F46" s="28"/>
      <c r="G46" s="28"/>
      <c r="H46" s="28"/>
      <c r="I46" s="28"/>
      <c r="J46" s="28"/>
      <c r="K46" s="28"/>
      <c r="L46" s="28"/>
      <c r="M46" s="28"/>
      <c r="N46" s="28"/>
      <c r="O46" s="43"/>
      <c r="P46" s="2323"/>
      <c r="Q46" s="2324"/>
      <c r="S46" s="26" t="str">
        <f>B46</f>
        <v>Metals - Butyltins</v>
      </c>
      <c r="T46" s="2328"/>
      <c r="U46" s="2328"/>
      <c r="V46" s="2328"/>
      <c r="W46" s="2328"/>
      <c r="X46" s="2328"/>
      <c r="Y46" s="2328"/>
      <c r="Z46" s="2328"/>
      <c r="AA46" s="2328"/>
      <c r="AB46" s="2328"/>
      <c r="AC46" s="2328"/>
      <c r="AD46" s="2328"/>
      <c r="AE46" s="2328"/>
      <c r="AF46" s="2328"/>
      <c r="AG46" s="2329"/>
      <c r="AH46" s="2328"/>
      <c r="AI46" s="2328"/>
      <c r="AJ46" s="2328"/>
      <c r="AK46" s="2328"/>
      <c r="AL46" s="2328"/>
      <c r="AM46" s="2328"/>
      <c r="AN46" s="2328"/>
      <c r="AO46" s="2328"/>
      <c r="AP46" s="2328"/>
      <c r="AQ46" s="2328"/>
      <c r="AR46" s="2330"/>
      <c r="AT46" s="2325"/>
      <c r="AY46" s="4"/>
    </row>
    <row r="47" spans="1:51" ht="13.9" customHeight="1" x14ac:dyDescent="0.25">
      <c r="A47" s="847">
        <f>Chem!A47</f>
        <v>45</v>
      </c>
      <c r="B47" s="951" t="str">
        <f>Chem!B47</f>
        <v>Monobutyltin</v>
      </c>
      <c r="C47" s="946" t="str">
        <f>IF(MIN($H47,$I47:$K47,$O47,$P47)=0,"na",IF($Q47="na",MIN($H47,$I47:$K47,$O47,$P47),IF($Q47&gt;MIN($H47,$I47:$K47,$O47,$P47),$Q47,MIN($H47,$I47:$K47,$O47,$P47))))</f>
        <v>na</v>
      </c>
      <c r="D47" s="463" t="str">
        <f>IF(MIN($H47,$L47:$N47,$O47,$P47)=0,"na",IF($Q47="na",MIN($H47,$L47:$N47,$O47,$P47),IF($Q47&gt;MIN($H47,$L47:$N47,$O47,$P47),$Q47,MIN($H47,$L47:$N47,$O47,$P47))))</f>
        <v>na</v>
      </c>
      <c r="E47" s="634" t="str">
        <f t="shared" ref="E47:E51" si="201">IF(MIN($H47,$J47:$K47,$O47,$P47)=0,"na",IF($Q47="na",MIN($H47,$J47:$K47,$O47,$P47),IF($Q47&gt;MIN($H47,$J47:$K47,$O47,$P47),$Q47,MIN($H47,$J47:$K47,$O47,$P47))))</f>
        <v>na</v>
      </c>
      <c r="F47" s="634" t="str">
        <f t="shared" ref="F47:F51" si="202">IF(MIN($H47,$M47:$P47)=0,"na",IF($Q47="na",MIN($H47,$M47:$P47),IF($Q47&gt;MIN($H47,$M47:$P47),$Q47,MIN($H47,$M47:$P47))))</f>
        <v>na</v>
      </c>
      <c r="G47" s="634"/>
      <c r="H47" s="467" t="str">
        <f>'SL-Det'!E47</f>
        <v>na</v>
      </c>
      <c r="I47" s="469" t="str">
        <f>Leach!F47</f>
        <v>na</v>
      </c>
      <c r="J47" s="469" t="str">
        <f>Leach!I47</f>
        <v>na</v>
      </c>
      <c r="K47" s="469" t="str">
        <f>Leach!L47</f>
        <v>na</v>
      </c>
      <c r="L47" s="474" t="str">
        <f>Leach!G47</f>
        <v>na</v>
      </c>
      <c r="M47" s="474" t="str">
        <f>Leach!J47</f>
        <v>na</v>
      </c>
      <c r="N47" s="474" t="str">
        <f>Leach!M47</f>
        <v>na</v>
      </c>
      <c r="O47" s="488" t="str">
        <f>'SD-Det'!Z47</f>
        <v>na</v>
      </c>
      <c r="P47" s="494" t="str">
        <f>'SL-Det'!I47</f>
        <v>na</v>
      </c>
      <c r="Q47" s="975" t="s">
        <v>232</v>
      </c>
      <c r="S47" s="978" t="str">
        <f t="shared" ref="S47:V51" si="203">IF($C47="na","",IF($C47=H47,"X",""))</f>
        <v/>
      </c>
      <c r="T47" s="979" t="str">
        <f t="shared" si="203"/>
        <v/>
      </c>
      <c r="U47" s="979" t="str">
        <f t="shared" si="203"/>
        <v/>
      </c>
      <c r="V47" s="979" t="str">
        <f t="shared" si="203"/>
        <v/>
      </c>
      <c r="W47" s="979" t="str">
        <f t="shared" ref="W47:Y51" si="204">IF($C47="na","",IF($C47=O47,"X",""))</f>
        <v/>
      </c>
      <c r="X47" s="979" t="str">
        <f t="shared" si="204"/>
        <v/>
      </c>
      <c r="Y47" s="988" t="str">
        <f t="shared" si="204"/>
        <v/>
      </c>
      <c r="Z47" s="978" t="str">
        <f>IF($D47="na","",IF($D47=H47,"X",""))</f>
        <v/>
      </c>
      <c r="AA47" s="979" t="str">
        <f t="shared" ref="AA47:AF51" si="205">IF($D47="na","",IF($D47=L47,"X",""))</f>
        <v/>
      </c>
      <c r="AB47" s="979" t="str">
        <f t="shared" si="205"/>
        <v/>
      </c>
      <c r="AC47" s="979" t="str">
        <f t="shared" si="205"/>
        <v/>
      </c>
      <c r="AD47" s="979" t="str">
        <f t="shared" si="205"/>
        <v/>
      </c>
      <c r="AE47" s="979" t="str">
        <f t="shared" si="205"/>
        <v/>
      </c>
      <c r="AF47" s="980" t="str">
        <f t="shared" si="205"/>
        <v/>
      </c>
      <c r="AG47" s="978" t="str">
        <f>IF($E47="na","",IF($E47=H47,"X",""))</f>
        <v/>
      </c>
      <c r="AH47" s="979" t="str">
        <f t="shared" ref="AH47:AI51" si="206">IF($E47="na","",IF($E47=J47,"X",""))</f>
        <v/>
      </c>
      <c r="AI47" s="979" t="str">
        <f t="shared" si="206"/>
        <v/>
      </c>
      <c r="AJ47" s="979" t="str">
        <f t="shared" ref="AJ47:AL51" si="207">IF($E47="na","",IF($E47=O47,"X",""))</f>
        <v/>
      </c>
      <c r="AK47" s="979" t="str">
        <f t="shared" si="207"/>
        <v/>
      </c>
      <c r="AL47" s="980" t="str">
        <f t="shared" si="207"/>
        <v/>
      </c>
      <c r="AM47" s="978" t="str">
        <f>IF($F47="na","",IF($F47=H47,"X",""))</f>
        <v/>
      </c>
      <c r="AN47" s="979" t="str">
        <f t="shared" ref="AN47:AR51" si="208">IF($F47="na","",IF($F47=M47,"X",""))</f>
        <v/>
      </c>
      <c r="AO47" s="979" t="str">
        <f t="shared" si="208"/>
        <v/>
      </c>
      <c r="AP47" s="979" t="str">
        <f t="shared" si="208"/>
        <v/>
      </c>
      <c r="AQ47" s="979" t="str">
        <f t="shared" si="208"/>
        <v/>
      </c>
      <c r="AR47" s="980" t="str">
        <f t="shared" si="208"/>
        <v/>
      </c>
      <c r="AT47" s="1062"/>
      <c r="AY47" s="4"/>
    </row>
    <row r="48" spans="1:51" ht="13.9" customHeight="1" x14ac:dyDescent="0.25">
      <c r="A48" s="847">
        <f>Chem!A48</f>
        <v>46</v>
      </c>
      <c r="B48" s="951" t="str">
        <f>Chem!B48</f>
        <v>Dibutyltin</v>
      </c>
      <c r="C48" s="946" t="str">
        <f>IF(MIN($H48,$I48:$K48,$O48,$P48)=0,"na",IF($Q48="na",MIN($H48,$I48:$K48,$O48,$P48),IF($Q48&gt;MIN($H48,$I48:$K48,$O48,$P48),$Q48,MIN($H48,$I48:$K48,$O48,$P48))))</f>
        <v>na</v>
      </c>
      <c r="D48" s="463" t="str">
        <f>IF(MIN($H48,$L48:$N48,$O48,$P48)=0,"na",IF($Q48="na",MIN($H48,$L48:$N48,$O48,$P48),IF($Q48&gt;MIN($H48,$L48:$N48,$O48,$P48),$Q48,MIN($H48,$L48:$N48,$O48,$P48))))</f>
        <v>na</v>
      </c>
      <c r="E48" s="634" t="str">
        <f t="shared" si="201"/>
        <v>na</v>
      </c>
      <c r="F48" s="634" t="str">
        <f t="shared" si="202"/>
        <v>na</v>
      </c>
      <c r="G48" s="634"/>
      <c r="H48" s="467" t="str">
        <f>'SL-Det'!E48</f>
        <v>na</v>
      </c>
      <c r="I48" s="231" t="str">
        <f>Leach!F48</f>
        <v>na</v>
      </c>
      <c r="J48" s="231" t="str">
        <f>Leach!I48</f>
        <v>na</v>
      </c>
      <c r="K48" s="231" t="str">
        <f>Leach!L48</f>
        <v>na</v>
      </c>
      <c r="L48" s="476" t="str">
        <f>Leach!G48</f>
        <v>na</v>
      </c>
      <c r="M48" s="476" t="str">
        <f>Leach!J48</f>
        <v>na</v>
      </c>
      <c r="N48" s="476" t="str">
        <f>Leach!M48</f>
        <v>na</v>
      </c>
      <c r="O48" s="488" t="str">
        <f>'SD-Det'!Z48</f>
        <v>na</v>
      </c>
      <c r="P48" s="494" t="str">
        <f>'SL-Det'!I48</f>
        <v>na</v>
      </c>
      <c r="Q48" s="975" t="s">
        <v>232</v>
      </c>
      <c r="S48" s="832" t="str">
        <f t="shared" si="203"/>
        <v/>
      </c>
      <c r="T48" s="366" t="str">
        <f t="shared" si="203"/>
        <v/>
      </c>
      <c r="U48" s="366" t="str">
        <f t="shared" si="203"/>
        <v/>
      </c>
      <c r="V48" s="366" t="str">
        <f t="shared" si="203"/>
        <v/>
      </c>
      <c r="W48" s="366" t="str">
        <f t="shared" si="204"/>
        <v/>
      </c>
      <c r="X48" s="366" t="str">
        <f t="shared" si="204"/>
        <v/>
      </c>
      <c r="Y48" s="989" t="str">
        <f t="shared" si="204"/>
        <v/>
      </c>
      <c r="Z48" s="832" t="str">
        <f>IF($D48="na","",IF($D48=H48,"X",""))</f>
        <v/>
      </c>
      <c r="AA48" s="366" t="str">
        <f t="shared" si="205"/>
        <v/>
      </c>
      <c r="AB48" s="366" t="str">
        <f t="shared" si="205"/>
        <v/>
      </c>
      <c r="AC48" s="366" t="str">
        <f t="shared" si="205"/>
        <v/>
      </c>
      <c r="AD48" s="366" t="str">
        <f t="shared" si="205"/>
        <v/>
      </c>
      <c r="AE48" s="366" t="str">
        <f t="shared" si="205"/>
        <v/>
      </c>
      <c r="AF48" s="833" t="str">
        <f t="shared" si="205"/>
        <v/>
      </c>
      <c r="AG48" s="832" t="str">
        <f>IF($E48="na","",IF($E48=H48,"X",""))</f>
        <v/>
      </c>
      <c r="AH48" s="366" t="str">
        <f t="shared" si="206"/>
        <v/>
      </c>
      <c r="AI48" s="366" t="str">
        <f t="shared" si="206"/>
        <v/>
      </c>
      <c r="AJ48" s="366" t="str">
        <f t="shared" si="207"/>
        <v/>
      </c>
      <c r="AK48" s="366" t="str">
        <f t="shared" si="207"/>
        <v/>
      </c>
      <c r="AL48" s="833" t="str">
        <f t="shared" si="207"/>
        <v/>
      </c>
      <c r="AM48" s="832" t="str">
        <f>IF($F48="na","",IF($F48=H48,"X",""))</f>
        <v/>
      </c>
      <c r="AN48" s="366" t="str">
        <f t="shared" si="208"/>
        <v/>
      </c>
      <c r="AO48" s="366" t="str">
        <f t="shared" si="208"/>
        <v/>
      </c>
      <c r="AP48" s="366" t="str">
        <f t="shared" si="208"/>
        <v/>
      </c>
      <c r="AQ48" s="366" t="str">
        <f t="shared" si="208"/>
        <v/>
      </c>
      <c r="AR48" s="833" t="str">
        <f t="shared" si="208"/>
        <v/>
      </c>
      <c r="AT48" s="1062"/>
      <c r="AY48" s="4"/>
    </row>
    <row r="49" spans="1:51" ht="13.9" customHeight="1" x14ac:dyDescent="0.25">
      <c r="A49" s="847">
        <f>Chem!A49</f>
        <v>47</v>
      </c>
      <c r="B49" s="951" t="str">
        <f>Chem!B49</f>
        <v>Tributyl tin</v>
      </c>
      <c r="C49" s="946">
        <f>IF(MIN($H49,$I49:$K49,$O49,$P49)=0,"na",IF($Q49="na",MIN($H49,$I49:$K49,$O49,$P49),IF($Q49&gt;MIN($H49,$I49:$K49,$O49,$P49),$Q49,MIN($H49,$I49:$K49,$O49,$P49))))</f>
        <v>1.6950933333333335E-3</v>
      </c>
      <c r="D49" s="463">
        <f>IF(MIN($H49,$L49:$N49,$O49,$P49)=0,"na",IF($Q49="na",MIN($H49,$L49:$N49,$O49,$P49),IF($Q49&gt;MIN($H49,$L49:$N49,$O49,$P49),$Q49,MIN($H49,$L49:$N49,$O49,$P49))))</f>
        <v>6.1987333333333335E-5</v>
      </c>
      <c r="E49" s="634">
        <f t="shared" si="201"/>
        <v>1.6950933333333335E-3</v>
      </c>
      <c r="F49" s="634">
        <f t="shared" si="202"/>
        <v>6.1987333333333335E-5</v>
      </c>
      <c r="G49" s="634"/>
      <c r="H49" s="467" t="str">
        <f>'SL-Det'!E49</f>
        <v>na</v>
      </c>
      <c r="I49" s="231" t="str">
        <f>Leach!F49</f>
        <v>na</v>
      </c>
      <c r="J49" s="231">
        <f>Leach!I49</f>
        <v>1.6950933333333335E-3</v>
      </c>
      <c r="K49" s="231" t="str">
        <f>Leach!L49</f>
        <v>na</v>
      </c>
      <c r="L49" s="476" t="str">
        <f>Leach!G49</f>
        <v>na</v>
      </c>
      <c r="M49" s="476">
        <f>Leach!J49</f>
        <v>6.1987333333333335E-5</v>
      </c>
      <c r="N49" s="476" t="str">
        <f>Leach!M49</f>
        <v>na</v>
      </c>
      <c r="O49" s="488" t="str">
        <f>'SD-Det'!Z49</f>
        <v>na</v>
      </c>
      <c r="P49" s="494" t="str">
        <f>'SL-Det'!I49</f>
        <v>na</v>
      </c>
      <c r="Q49" s="975" t="s">
        <v>232</v>
      </c>
      <c r="S49" s="832" t="str">
        <f t="shared" ref="S49" si="209">IF($C49="na","",IF($C49=H49,"X",""))</f>
        <v/>
      </c>
      <c r="T49" s="366" t="str">
        <f t="shared" ref="T49" si="210">IF($C49="na","",IF($C49=I49,"X",""))</f>
        <v/>
      </c>
      <c r="U49" s="366" t="str">
        <f t="shared" ref="U49" si="211">IF($C49="na","",IF($C49=J49,"X",""))</f>
        <v>X</v>
      </c>
      <c r="V49" s="366" t="str">
        <f t="shared" ref="V49" si="212">IF($C49="na","",IF($C49=K49,"X",""))</f>
        <v/>
      </c>
      <c r="W49" s="366" t="str">
        <f t="shared" ref="W49" si="213">IF($C49="na","",IF($C49=O49,"X",""))</f>
        <v/>
      </c>
      <c r="X49" s="366" t="str">
        <f t="shared" ref="X49" si="214">IF($C49="na","",IF($C49=P49,"X",""))</f>
        <v/>
      </c>
      <c r="Y49" s="989" t="str">
        <f t="shared" ref="Y49" si="215">IF($C49="na","",IF($C49=Q49,"X",""))</f>
        <v/>
      </c>
      <c r="Z49" s="832" t="str">
        <f>IF($D49="na","",IF($D49=H49,"X",""))</f>
        <v/>
      </c>
      <c r="AA49" s="366" t="str">
        <f t="shared" ref="AA49" si="216">IF($D49="na","",IF($D49=L49,"X",""))</f>
        <v/>
      </c>
      <c r="AB49" s="366" t="str">
        <f t="shared" ref="AB49" si="217">IF($D49="na","",IF($D49=M49,"X",""))</f>
        <v>X</v>
      </c>
      <c r="AC49" s="366" t="str">
        <f t="shared" ref="AC49" si="218">IF($D49="na","",IF($D49=N49,"X",""))</f>
        <v/>
      </c>
      <c r="AD49" s="366" t="str">
        <f t="shared" ref="AD49" si="219">IF($D49="na","",IF($D49=O49,"X",""))</f>
        <v/>
      </c>
      <c r="AE49" s="366" t="str">
        <f t="shared" ref="AE49" si="220">IF($D49="na","",IF($D49=P49,"X",""))</f>
        <v/>
      </c>
      <c r="AF49" s="833" t="str">
        <f t="shared" ref="AF49" si="221">IF($D49="na","",IF($D49=Q49,"X",""))</f>
        <v/>
      </c>
      <c r="AG49" s="832" t="str">
        <f>IF($E49="na","",IF($E49=H49,"X",""))</f>
        <v/>
      </c>
      <c r="AH49" s="366" t="str">
        <f t="shared" ref="AH49" si="222">IF($E49="na","",IF($E49=J49,"X",""))</f>
        <v>X</v>
      </c>
      <c r="AI49" s="366" t="str">
        <f t="shared" ref="AI49" si="223">IF($E49="na","",IF($E49=K49,"X",""))</f>
        <v/>
      </c>
      <c r="AJ49" s="366" t="str">
        <f t="shared" ref="AJ49" si="224">IF($E49="na","",IF($E49=O49,"X",""))</f>
        <v/>
      </c>
      <c r="AK49" s="366" t="str">
        <f t="shared" ref="AK49" si="225">IF($E49="na","",IF($E49=P49,"X",""))</f>
        <v/>
      </c>
      <c r="AL49" s="833" t="str">
        <f t="shared" ref="AL49" si="226">IF($E49="na","",IF($E49=Q49,"X",""))</f>
        <v/>
      </c>
      <c r="AM49" s="832" t="str">
        <f>IF($F49="na","",IF($F49=H49,"X",""))</f>
        <v/>
      </c>
      <c r="AN49" s="366" t="str">
        <f t="shared" ref="AN49" si="227">IF($F49="na","",IF($F49=M49,"X",""))</f>
        <v>X</v>
      </c>
      <c r="AO49" s="366" t="str">
        <f t="shared" ref="AO49" si="228">IF($F49="na","",IF($F49=N49,"X",""))</f>
        <v/>
      </c>
      <c r="AP49" s="366" t="str">
        <f t="shared" ref="AP49" si="229">IF($F49="na","",IF($F49=O49,"X",""))</f>
        <v/>
      </c>
      <c r="AQ49" s="366" t="str">
        <f t="shared" ref="AQ49" si="230">IF($F49="na","",IF($F49=P49,"X",""))</f>
        <v/>
      </c>
      <c r="AR49" s="833" t="str">
        <f t="shared" ref="AR49" si="231">IF($F49="na","",IF($F49=Q49,"X",""))</f>
        <v/>
      </c>
      <c r="AT49" s="1062"/>
      <c r="AY49" s="4"/>
    </row>
    <row r="50" spans="1:51" ht="13.9" customHeight="1" x14ac:dyDescent="0.25">
      <c r="A50" s="847">
        <f>Chem!A50</f>
        <v>48</v>
      </c>
      <c r="B50" s="951" t="str">
        <f>Chem!B50</f>
        <v>Tributyltin oxide</v>
      </c>
      <c r="C50" s="946">
        <f>IF(MIN($H50,$I50:$K50,$O50,$P50)=0,"na",IF($Q50="na",MIN($H50,$I50:$K50,$O50,$P50),IF($Q50&gt;MIN($H50,$I50:$K50,$O50,$P50),$Q50,MIN($H50,$I50:$K50,$O50,$P50))))</f>
        <v>2.0999999999999999E-3</v>
      </c>
      <c r="D50" s="463">
        <f>IF(MIN($H50,$L50:$N50,$O50,$P50)=0,"na",IF($Q50="na",MIN($H50,$L50:$N50,$O50,$P50),IF($Q50&gt;MIN($H50,$L50:$N50,$O50,$P50),$Q50,MIN($H50,$L50:$N50,$O50,$P50))))</f>
        <v>1.1052740369534074E-4</v>
      </c>
      <c r="E50" s="634">
        <f t="shared" si="201"/>
        <v>2.0999999999999999E-3</v>
      </c>
      <c r="F50" s="634">
        <f t="shared" si="202"/>
        <v>1.1052740369534074E-4</v>
      </c>
      <c r="G50" s="634"/>
      <c r="H50" s="467">
        <f>'SL-Det'!E50</f>
        <v>23.999999999999996</v>
      </c>
      <c r="I50" s="231">
        <f>Leach!F50</f>
        <v>2486.4192001027245</v>
      </c>
      <c r="J50" s="231" t="str">
        <f>Leach!I50</f>
        <v>na</v>
      </c>
      <c r="K50" s="231">
        <f>Leach!L50</f>
        <v>2.2105406771366501E-3</v>
      </c>
      <c r="L50" s="476">
        <f>Leach!G50</f>
        <v>124.32137599999999</v>
      </c>
      <c r="M50" s="476" t="str">
        <f>Leach!J50</f>
        <v>na</v>
      </c>
      <c r="N50" s="476">
        <f>Leach!M50</f>
        <v>1.1052740369534074E-4</v>
      </c>
      <c r="O50" s="485">
        <f>'SD-Det'!Z50</f>
        <v>2.0999999999999999E-3</v>
      </c>
      <c r="P50" s="494" t="str">
        <f>'SL-Det'!I50</f>
        <v>na</v>
      </c>
      <c r="Q50" s="975" t="s">
        <v>232</v>
      </c>
      <c r="S50" s="832" t="str">
        <f t="shared" si="203"/>
        <v/>
      </c>
      <c r="T50" s="366" t="str">
        <f t="shared" si="203"/>
        <v/>
      </c>
      <c r="U50" s="366" t="str">
        <f t="shared" si="203"/>
        <v/>
      </c>
      <c r="V50" s="366" t="str">
        <f t="shared" si="203"/>
        <v/>
      </c>
      <c r="W50" s="366" t="str">
        <f t="shared" si="204"/>
        <v>X</v>
      </c>
      <c r="X50" s="366" t="str">
        <f t="shared" si="204"/>
        <v/>
      </c>
      <c r="Y50" s="989" t="str">
        <f t="shared" si="204"/>
        <v/>
      </c>
      <c r="Z50" s="832" t="str">
        <f>IF($D50="na","",IF($D50=H50,"X",""))</f>
        <v/>
      </c>
      <c r="AA50" s="366" t="str">
        <f t="shared" si="205"/>
        <v/>
      </c>
      <c r="AB50" s="366" t="str">
        <f t="shared" si="205"/>
        <v/>
      </c>
      <c r="AC50" s="366" t="str">
        <f t="shared" si="205"/>
        <v>X</v>
      </c>
      <c r="AD50" s="366" t="str">
        <f t="shared" si="205"/>
        <v/>
      </c>
      <c r="AE50" s="366" t="str">
        <f t="shared" si="205"/>
        <v/>
      </c>
      <c r="AF50" s="833" t="str">
        <f t="shared" si="205"/>
        <v/>
      </c>
      <c r="AG50" s="832" t="str">
        <f>IF($E50="na","",IF($E50=H50,"X",""))</f>
        <v/>
      </c>
      <c r="AH50" s="366" t="str">
        <f t="shared" si="206"/>
        <v/>
      </c>
      <c r="AI50" s="366" t="str">
        <f t="shared" si="206"/>
        <v/>
      </c>
      <c r="AJ50" s="366" t="str">
        <f t="shared" si="207"/>
        <v>X</v>
      </c>
      <c r="AK50" s="366" t="str">
        <f t="shared" si="207"/>
        <v/>
      </c>
      <c r="AL50" s="833" t="str">
        <f t="shared" si="207"/>
        <v/>
      </c>
      <c r="AM50" s="832" t="str">
        <f>IF($F50="na","",IF($F50=H50,"X",""))</f>
        <v/>
      </c>
      <c r="AN50" s="366" t="str">
        <f t="shared" si="208"/>
        <v/>
      </c>
      <c r="AO50" s="366" t="str">
        <f t="shared" si="208"/>
        <v>X</v>
      </c>
      <c r="AP50" s="366" t="str">
        <f t="shared" si="208"/>
        <v/>
      </c>
      <c r="AQ50" s="366" t="str">
        <f t="shared" si="208"/>
        <v/>
      </c>
      <c r="AR50" s="833" t="str">
        <f t="shared" si="208"/>
        <v/>
      </c>
      <c r="AT50" s="1062"/>
      <c r="AY50" s="4"/>
    </row>
    <row r="51" spans="1:51" ht="13.9" customHeight="1" x14ac:dyDescent="0.25">
      <c r="A51" s="847">
        <f>Chem!A51</f>
        <v>49</v>
      </c>
      <c r="B51" s="951" t="str">
        <f>Chem!B51</f>
        <v>Tetrabutyltin</v>
      </c>
      <c r="C51" s="946" t="str">
        <f>IF(MIN($H51,$I51:$K51,$O51,$P51)=0,"na",IF($Q51="na",MIN($H51,$I51:$K51,$O51,$P51),IF($Q51&gt;MIN($H51,$I51:$K51,$O51,$P51),$Q51,MIN($H51,$I51:$K51,$O51,$P51))))</f>
        <v>na</v>
      </c>
      <c r="D51" s="463" t="str">
        <f>IF(MIN($H51,$L51:$N51,$O51,$P51)=0,"na",IF($Q51="na",MIN($H51,$L51:$N51,$O51,$P51),IF($Q51&gt;MIN($H51,$L51:$N51,$O51,$P51),$Q51,MIN($H51,$L51:$N51,$O51,$P51))))</f>
        <v>na</v>
      </c>
      <c r="E51" s="634" t="str">
        <f t="shared" si="201"/>
        <v>na</v>
      </c>
      <c r="F51" s="634" t="str">
        <f t="shared" si="202"/>
        <v>na</v>
      </c>
      <c r="G51" s="634"/>
      <c r="H51" s="467" t="str">
        <f>'SL-Det'!E51</f>
        <v>na</v>
      </c>
      <c r="I51" s="470" t="str">
        <f>Leach!F51</f>
        <v>na</v>
      </c>
      <c r="J51" s="470" t="str">
        <f>Leach!I51</f>
        <v>na</v>
      </c>
      <c r="K51" s="470" t="str">
        <f>Leach!L51</f>
        <v>na</v>
      </c>
      <c r="L51" s="477" t="str">
        <f>Leach!G51</f>
        <v>na</v>
      </c>
      <c r="M51" s="477" t="str">
        <f>Leach!J51</f>
        <v>na</v>
      </c>
      <c r="N51" s="477" t="str">
        <f>Leach!M51</f>
        <v>na</v>
      </c>
      <c r="O51" s="488" t="str">
        <f>'SD-Det'!Z51</f>
        <v>na</v>
      </c>
      <c r="P51" s="494" t="str">
        <f>'SL-Det'!I51</f>
        <v>na</v>
      </c>
      <c r="Q51" s="975" t="s">
        <v>232</v>
      </c>
      <c r="S51" s="834" t="str">
        <f t="shared" si="203"/>
        <v/>
      </c>
      <c r="T51" s="368" t="str">
        <f t="shared" si="203"/>
        <v/>
      </c>
      <c r="U51" s="368" t="str">
        <f t="shared" si="203"/>
        <v/>
      </c>
      <c r="V51" s="368" t="str">
        <f t="shared" si="203"/>
        <v/>
      </c>
      <c r="W51" s="368" t="str">
        <f t="shared" si="204"/>
        <v/>
      </c>
      <c r="X51" s="368" t="str">
        <f t="shared" si="204"/>
        <v/>
      </c>
      <c r="Y51" s="990" t="str">
        <f t="shared" si="204"/>
        <v/>
      </c>
      <c r="Z51" s="834" t="str">
        <f>IF($D51="na","",IF($D51=H51,"X",""))</f>
        <v/>
      </c>
      <c r="AA51" s="368" t="str">
        <f t="shared" si="205"/>
        <v/>
      </c>
      <c r="AB51" s="368" t="str">
        <f t="shared" si="205"/>
        <v/>
      </c>
      <c r="AC51" s="368" t="str">
        <f t="shared" si="205"/>
        <v/>
      </c>
      <c r="AD51" s="368" t="str">
        <f t="shared" si="205"/>
        <v/>
      </c>
      <c r="AE51" s="368" t="str">
        <f t="shared" si="205"/>
        <v/>
      </c>
      <c r="AF51" s="835" t="str">
        <f t="shared" si="205"/>
        <v/>
      </c>
      <c r="AG51" s="834" t="str">
        <f>IF($E51="na","",IF($E51=H51,"X",""))</f>
        <v/>
      </c>
      <c r="AH51" s="368" t="str">
        <f t="shared" si="206"/>
        <v/>
      </c>
      <c r="AI51" s="368" t="str">
        <f t="shared" si="206"/>
        <v/>
      </c>
      <c r="AJ51" s="368" t="str">
        <f t="shared" si="207"/>
        <v/>
      </c>
      <c r="AK51" s="368" t="str">
        <f t="shared" si="207"/>
        <v/>
      </c>
      <c r="AL51" s="835" t="str">
        <f t="shared" si="207"/>
        <v/>
      </c>
      <c r="AM51" s="834" t="str">
        <f>IF($F51="na","",IF($F51=H51,"X",""))</f>
        <v/>
      </c>
      <c r="AN51" s="368" t="str">
        <f t="shared" si="208"/>
        <v/>
      </c>
      <c r="AO51" s="368" t="str">
        <f t="shared" si="208"/>
        <v/>
      </c>
      <c r="AP51" s="368" t="str">
        <f t="shared" si="208"/>
        <v/>
      </c>
      <c r="AQ51" s="368" t="str">
        <f t="shared" si="208"/>
        <v/>
      </c>
      <c r="AR51" s="835" t="str">
        <f t="shared" si="208"/>
        <v/>
      </c>
      <c r="AT51" s="1062"/>
      <c r="AY51" s="4"/>
    </row>
    <row r="52" spans="1:51" ht="13.9" customHeight="1" x14ac:dyDescent="0.25">
      <c r="A52" s="906">
        <f>Chem!A52</f>
        <v>50</v>
      </c>
      <c r="B52" s="953" t="str">
        <f>Chem!B52</f>
        <v>SVOCs - PAHs</v>
      </c>
      <c r="C52" s="28"/>
      <c r="D52" s="28"/>
      <c r="E52" s="28"/>
      <c r="F52" s="28"/>
      <c r="G52" s="28"/>
      <c r="H52" s="28"/>
      <c r="I52" s="28"/>
      <c r="J52" s="28"/>
      <c r="K52" s="28"/>
      <c r="L52" s="28"/>
      <c r="M52" s="28"/>
      <c r="N52" s="28"/>
      <c r="O52" s="43"/>
      <c r="P52" s="2323"/>
      <c r="Q52" s="2324"/>
      <c r="S52" s="26" t="str">
        <f>B52</f>
        <v>SVOCs - PAHs</v>
      </c>
      <c r="T52" s="2328"/>
      <c r="U52" s="2328"/>
      <c r="V52" s="2328"/>
      <c r="W52" s="2328"/>
      <c r="X52" s="2328"/>
      <c r="Y52" s="2328"/>
      <c r="Z52" s="2328"/>
      <c r="AA52" s="2328"/>
      <c r="AB52" s="2328"/>
      <c r="AC52" s="2328"/>
      <c r="AD52" s="2328"/>
      <c r="AE52" s="2328"/>
      <c r="AF52" s="2328"/>
      <c r="AG52" s="2329"/>
      <c r="AH52" s="2328"/>
      <c r="AI52" s="2328"/>
      <c r="AJ52" s="2328"/>
      <c r="AK52" s="2328"/>
      <c r="AL52" s="2328"/>
      <c r="AM52" s="2328"/>
      <c r="AN52" s="2328"/>
      <c r="AO52" s="2328"/>
      <c r="AP52" s="2328"/>
      <c r="AQ52" s="2328"/>
      <c r="AR52" s="2330"/>
      <c r="AT52" s="2325"/>
      <c r="AY52" s="4"/>
    </row>
    <row r="53" spans="1:51" ht="13.9" customHeight="1" x14ac:dyDescent="0.25">
      <c r="A53" s="846">
        <f>Chem!A53</f>
        <v>51</v>
      </c>
      <c r="B53" s="951" t="str">
        <f>Chem!B53</f>
        <v>Acenaphthene</v>
      </c>
      <c r="C53" s="946">
        <f t="shared" ref="C53:C77" si="232">IF(MIN($H53,$I53:$K53,$O53,$P53)=0,"na",IF($Q53="na",MIN($H53,$I53:$K53,$O53,$P53),IF($Q53&gt;MIN($H53,$I53:$K53,$O53,$P53),$Q53,MIN($H53,$I53:$K53,$O53,$P53))))</f>
        <v>0.5</v>
      </c>
      <c r="D53" s="463">
        <f t="shared" ref="D53:D77" si="233">IF(MIN($H53,$L53:$N53,$O53,$P53)=0,"na",IF($Q53="na",MIN($H53,$L53:$N53,$O53,$P53),IF($Q53&gt;MIN($H53,$L53:$N53,$O53,$P53),$Q53,MIN($H53,$L53:$N53,$O53,$P53))))</f>
        <v>2.7676114546386684E-2</v>
      </c>
      <c r="E53" s="634">
        <f t="shared" ref="E53:E77" si="234">IF(MIN($H53,$J53:$K53,$O53,$P53)=0,"na",IF($Q53="na",MIN($H53,$J53:$K53,$O53,$P53),IF($Q53&gt;MIN($H53,$J53:$K53,$O53,$P53),$Q53,MIN($H53,$J53:$K53,$O53,$P53))))</f>
        <v>0.5</v>
      </c>
      <c r="F53" s="634">
        <f t="shared" ref="F53:F77" si="235">IF(MIN($H53,$M53:$P53)=0,"na",IF($Q53="na",MIN($H53,$M53:$P53),IF($Q53&gt;MIN($H53,$M53:$P53),$Q53,MIN($H53,$M53:$P53))))</f>
        <v>2.7676114546386684E-2</v>
      </c>
      <c r="G53" s="634"/>
      <c r="H53" s="467">
        <f>'SL-Det'!E53</f>
        <v>4800</v>
      </c>
      <c r="I53" s="469">
        <f>Leach!F53</f>
        <v>48.962078003330014</v>
      </c>
      <c r="J53" s="469">
        <f>Leach!I53</f>
        <v>3.0601298752081258</v>
      </c>
      <c r="K53" s="469">
        <f>Leach!L53</f>
        <v>0.54429630432570741</v>
      </c>
      <c r="L53" s="474">
        <f>Leach!G53</f>
        <v>2.4896000000000003</v>
      </c>
      <c r="M53" s="474">
        <f>Leach!J53</f>
        <v>0.15560000000000002</v>
      </c>
      <c r="N53" s="474">
        <f>Leach!M53</f>
        <v>2.7676114546386684E-2</v>
      </c>
      <c r="O53" s="486">
        <f>'SD-Det'!Z53</f>
        <v>0.5</v>
      </c>
      <c r="P53" s="494">
        <f>'SL-Det'!I53</f>
        <v>20</v>
      </c>
      <c r="Q53" s="975" t="s">
        <v>232</v>
      </c>
      <c r="S53" s="978" t="str">
        <f t="shared" ref="S53:S77" si="236">IF($C53="na","",IF($C53=H53,"X",""))</f>
        <v/>
      </c>
      <c r="T53" s="979" t="str">
        <f t="shared" ref="T53:T77" si="237">IF($C53="na","",IF($C53=I53,"X",""))</f>
        <v/>
      </c>
      <c r="U53" s="979" t="str">
        <f t="shared" ref="U53:U77" si="238">IF($C53="na","",IF($C53=J53,"X",""))</f>
        <v/>
      </c>
      <c r="V53" s="979" t="str">
        <f t="shared" ref="V53:V77" si="239">IF($C53="na","",IF($C53=K53,"X",""))</f>
        <v/>
      </c>
      <c r="W53" s="979" t="str">
        <f t="shared" ref="W53:W77" si="240">IF($C53="na","",IF($C53=O53,"X",""))</f>
        <v>X</v>
      </c>
      <c r="X53" s="979" t="str">
        <f t="shared" ref="X53:X77" si="241">IF($C53="na","",IF($C53=P53,"X",""))</f>
        <v/>
      </c>
      <c r="Y53" s="988" t="str">
        <f t="shared" ref="Y53:Y77" si="242">IF($C53="na","",IF($C53=Q53,"X",""))</f>
        <v/>
      </c>
      <c r="Z53" s="978" t="str">
        <f t="shared" ref="Z53:Z77" si="243">IF($D53="na","",IF($D53=H53,"X",""))</f>
        <v/>
      </c>
      <c r="AA53" s="979" t="str">
        <f t="shared" ref="AA53:AA77" si="244">IF($D53="na","",IF($D53=L53,"X",""))</f>
        <v/>
      </c>
      <c r="AB53" s="979" t="str">
        <f t="shared" ref="AB53:AB77" si="245">IF($D53="na","",IF($D53=M53,"X",""))</f>
        <v/>
      </c>
      <c r="AC53" s="979" t="str">
        <f t="shared" ref="AC53:AC77" si="246">IF($D53="na","",IF($D53=N53,"X",""))</f>
        <v>X</v>
      </c>
      <c r="AD53" s="979" t="str">
        <f t="shared" ref="AD53:AD77" si="247">IF($D53="na","",IF($D53=O53,"X",""))</f>
        <v/>
      </c>
      <c r="AE53" s="979" t="str">
        <f t="shared" ref="AE53:AE77" si="248">IF($D53="na","",IF($D53=P53,"X",""))</f>
        <v/>
      </c>
      <c r="AF53" s="980" t="str">
        <f t="shared" ref="AF53:AF77" si="249">IF($D53="na","",IF($D53=Q53,"X",""))</f>
        <v/>
      </c>
      <c r="AG53" s="978" t="str">
        <f t="shared" ref="AG53:AG77" si="250">IF($E53="na","",IF($E53=H53,"X",""))</f>
        <v/>
      </c>
      <c r="AH53" s="979" t="str">
        <f t="shared" ref="AH53:AH77" si="251">IF($E53="na","",IF($E53=J53,"X",""))</f>
        <v/>
      </c>
      <c r="AI53" s="979" t="str">
        <f t="shared" ref="AI53:AI77" si="252">IF($E53="na","",IF($E53=K53,"X",""))</f>
        <v/>
      </c>
      <c r="AJ53" s="979" t="str">
        <f t="shared" ref="AJ53:AJ77" si="253">IF($E53="na","",IF($E53=O53,"X",""))</f>
        <v>X</v>
      </c>
      <c r="AK53" s="979" t="str">
        <f t="shared" ref="AK53:AK77" si="254">IF($E53="na","",IF($E53=P53,"X",""))</f>
        <v/>
      </c>
      <c r="AL53" s="980" t="str">
        <f t="shared" ref="AL53:AL77" si="255">IF($E53="na","",IF($E53=Q53,"X",""))</f>
        <v/>
      </c>
      <c r="AM53" s="978" t="str">
        <f t="shared" ref="AM53:AM77" si="256">IF($F53="na","",IF($F53=H53,"X",""))</f>
        <v/>
      </c>
      <c r="AN53" s="979" t="str">
        <f t="shared" ref="AN53:AN77" si="257">IF($F53="na","",IF($F53=M53,"X",""))</f>
        <v/>
      </c>
      <c r="AO53" s="979" t="str">
        <f t="shared" ref="AO53:AO77" si="258">IF($F53="na","",IF($F53=N53,"X",""))</f>
        <v>X</v>
      </c>
      <c r="AP53" s="979" t="str">
        <f t="shared" ref="AP53:AP77" si="259">IF($F53="na","",IF($F53=O53,"X",""))</f>
        <v/>
      </c>
      <c r="AQ53" s="979" t="str">
        <f t="shared" ref="AQ53:AQ77" si="260">IF($F53="na","",IF($F53=P53,"X",""))</f>
        <v/>
      </c>
      <c r="AR53" s="980" t="str">
        <f t="shared" ref="AR53:AR77" si="261">IF($F53="na","",IF($F53=Q53,"X",""))</f>
        <v/>
      </c>
      <c r="AT53" s="1062"/>
      <c r="AY53" s="4"/>
    </row>
    <row r="54" spans="1:51" ht="13.9" customHeight="1" x14ac:dyDescent="0.25">
      <c r="A54" s="847">
        <f>Chem!A54</f>
        <v>52</v>
      </c>
      <c r="B54" s="951" t="str">
        <f>Chem!B54</f>
        <v>Acenaphthylene</v>
      </c>
      <c r="C54" s="946">
        <f t="shared" si="232"/>
        <v>1.3</v>
      </c>
      <c r="D54" s="463">
        <f t="shared" si="233"/>
        <v>1.3</v>
      </c>
      <c r="E54" s="634">
        <f t="shared" si="234"/>
        <v>1.3</v>
      </c>
      <c r="F54" s="634">
        <f t="shared" si="235"/>
        <v>1.3</v>
      </c>
      <c r="G54" s="634"/>
      <c r="H54" s="467" t="str">
        <f>'SL-Det'!E54</f>
        <v>na</v>
      </c>
      <c r="I54" s="231" t="str">
        <f>Leach!F54</f>
        <v>na</v>
      </c>
      <c r="J54" s="231" t="str">
        <f>Leach!I54</f>
        <v>na</v>
      </c>
      <c r="K54" s="231" t="str">
        <f>Leach!L54</f>
        <v>na</v>
      </c>
      <c r="L54" s="476" t="str">
        <f>Leach!G54</f>
        <v>na</v>
      </c>
      <c r="M54" s="476" t="str">
        <f>Leach!J54</f>
        <v>na</v>
      </c>
      <c r="N54" s="476" t="str">
        <f>Leach!M54</f>
        <v>na</v>
      </c>
      <c r="O54" s="485">
        <f>'SD-Det'!Z54</f>
        <v>1.3</v>
      </c>
      <c r="P54" s="494" t="str">
        <f>'SL-Det'!I54</f>
        <v>na</v>
      </c>
      <c r="Q54" s="975" t="s">
        <v>232</v>
      </c>
      <c r="S54" s="832" t="str">
        <f t="shared" si="236"/>
        <v/>
      </c>
      <c r="T54" s="366" t="str">
        <f t="shared" si="237"/>
        <v/>
      </c>
      <c r="U54" s="366" t="str">
        <f t="shared" si="238"/>
        <v/>
      </c>
      <c r="V54" s="366" t="str">
        <f t="shared" si="239"/>
        <v/>
      </c>
      <c r="W54" s="366" t="str">
        <f t="shared" si="240"/>
        <v>X</v>
      </c>
      <c r="X54" s="366" t="str">
        <f t="shared" si="241"/>
        <v/>
      </c>
      <c r="Y54" s="989" t="str">
        <f t="shared" si="242"/>
        <v/>
      </c>
      <c r="Z54" s="832" t="str">
        <f t="shared" si="243"/>
        <v/>
      </c>
      <c r="AA54" s="366" t="str">
        <f t="shared" si="244"/>
        <v/>
      </c>
      <c r="AB54" s="366" t="str">
        <f t="shared" si="245"/>
        <v/>
      </c>
      <c r="AC54" s="366" t="str">
        <f t="shared" si="246"/>
        <v/>
      </c>
      <c r="AD54" s="366" t="str">
        <f t="shared" si="247"/>
        <v>X</v>
      </c>
      <c r="AE54" s="366" t="str">
        <f t="shared" si="248"/>
        <v/>
      </c>
      <c r="AF54" s="833" t="str">
        <f t="shared" si="249"/>
        <v/>
      </c>
      <c r="AG54" s="832" t="str">
        <f t="shared" si="250"/>
        <v/>
      </c>
      <c r="AH54" s="366" t="str">
        <f t="shared" si="251"/>
        <v/>
      </c>
      <c r="AI54" s="366" t="str">
        <f t="shared" si="252"/>
        <v/>
      </c>
      <c r="AJ54" s="366" t="str">
        <f t="shared" si="253"/>
        <v>X</v>
      </c>
      <c r="AK54" s="366" t="str">
        <f t="shared" si="254"/>
        <v/>
      </c>
      <c r="AL54" s="833" t="str">
        <f t="shared" si="255"/>
        <v/>
      </c>
      <c r="AM54" s="832" t="str">
        <f t="shared" si="256"/>
        <v/>
      </c>
      <c r="AN54" s="366" t="str">
        <f t="shared" si="257"/>
        <v/>
      </c>
      <c r="AO54" s="366" t="str">
        <f t="shared" si="258"/>
        <v/>
      </c>
      <c r="AP54" s="366" t="str">
        <f t="shared" si="259"/>
        <v>X</v>
      </c>
      <c r="AQ54" s="366" t="str">
        <f t="shared" si="260"/>
        <v/>
      </c>
      <c r="AR54" s="833" t="str">
        <f t="shared" si="261"/>
        <v/>
      </c>
      <c r="AT54" s="1062"/>
      <c r="AY54" s="4"/>
    </row>
    <row r="55" spans="1:51" ht="13.9" customHeight="1" x14ac:dyDescent="0.25">
      <c r="A55" s="847">
        <f>Chem!A55</f>
        <v>53</v>
      </c>
      <c r="B55" s="951" t="str">
        <f>Chem!B55</f>
        <v>Anthracene</v>
      </c>
      <c r="C55" s="946">
        <f t="shared" si="232"/>
        <v>0.96</v>
      </c>
      <c r="D55" s="463">
        <f t="shared" si="233"/>
        <v>5.1073696674670266E-2</v>
      </c>
      <c r="E55" s="634">
        <f t="shared" si="234"/>
        <v>0.96</v>
      </c>
      <c r="F55" s="634">
        <f t="shared" si="235"/>
        <v>5.1073696674670266E-2</v>
      </c>
      <c r="G55" s="634"/>
      <c r="H55" s="467">
        <f>'SL-Det'!E55</f>
        <v>24000</v>
      </c>
      <c r="I55" s="231">
        <f>Leach!F55</f>
        <v>1137.6027087408909</v>
      </c>
      <c r="J55" s="231">
        <f>Leach!I55</f>
        <v>47.400112864203784</v>
      </c>
      <c r="K55" s="231">
        <f>Leach!L55</f>
        <v>1.0177546188781446</v>
      </c>
      <c r="L55" s="476">
        <f>Leach!G55</f>
        <v>57.087999999999994</v>
      </c>
      <c r="M55" s="476">
        <f>Leach!J55</f>
        <v>2.3786666666666667</v>
      </c>
      <c r="N55" s="476">
        <f>Leach!M55</f>
        <v>5.1073696674670266E-2</v>
      </c>
      <c r="O55" s="485">
        <f>'SD-Det'!Z55</f>
        <v>0.96</v>
      </c>
      <c r="P55" s="494" t="str">
        <f>'SL-Det'!I55</f>
        <v>na</v>
      </c>
      <c r="Q55" s="975" t="s">
        <v>232</v>
      </c>
      <c r="S55" s="832" t="str">
        <f t="shared" si="236"/>
        <v/>
      </c>
      <c r="T55" s="366" t="str">
        <f t="shared" si="237"/>
        <v/>
      </c>
      <c r="U55" s="366" t="str">
        <f t="shared" si="238"/>
        <v/>
      </c>
      <c r="V55" s="366" t="str">
        <f t="shared" si="239"/>
        <v/>
      </c>
      <c r="W55" s="366" t="str">
        <f t="shared" si="240"/>
        <v>X</v>
      </c>
      <c r="X55" s="366" t="str">
        <f t="shared" si="241"/>
        <v/>
      </c>
      <c r="Y55" s="989" t="str">
        <f t="shared" si="242"/>
        <v/>
      </c>
      <c r="Z55" s="832" t="str">
        <f t="shared" si="243"/>
        <v/>
      </c>
      <c r="AA55" s="366" t="str">
        <f t="shared" si="244"/>
        <v/>
      </c>
      <c r="AB55" s="366" t="str">
        <f t="shared" si="245"/>
        <v/>
      </c>
      <c r="AC55" s="366" t="str">
        <f t="shared" si="246"/>
        <v>X</v>
      </c>
      <c r="AD55" s="366" t="str">
        <f t="shared" si="247"/>
        <v/>
      </c>
      <c r="AE55" s="366" t="str">
        <f t="shared" si="248"/>
        <v/>
      </c>
      <c r="AF55" s="833" t="str">
        <f t="shared" si="249"/>
        <v/>
      </c>
      <c r="AG55" s="832" t="str">
        <f t="shared" si="250"/>
        <v/>
      </c>
      <c r="AH55" s="366" t="str">
        <f t="shared" si="251"/>
        <v/>
      </c>
      <c r="AI55" s="366" t="str">
        <f t="shared" si="252"/>
        <v/>
      </c>
      <c r="AJ55" s="366" t="str">
        <f t="shared" si="253"/>
        <v>X</v>
      </c>
      <c r="AK55" s="366" t="str">
        <f t="shared" si="254"/>
        <v/>
      </c>
      <c r="AL55" s="833" t="str">
        <f t="shared" si="255"/>
        <v/>
      </c>
      <c r="AM55" s="832" t="str">
        <f t="shared" si="256"/>
        <v/>
      </c>
      <c r="AN55" s="366" t="str">
        <f t="shared" si="257"/>
        <v/>
      </c>
      <c r="AO55" s="366" t="str">
        <f t="shared" si="258"/>
        <v>X</v>
      </c>
      <c r="AP55" s="366" t="str">
        <f t="shared" si="259"/>
        <v/>
      </c>
      <c r="AQ55" s="366" t="str">
        <f t="shared" si="260"/>
        <v/>
      </c>
      <c r="AR55" s="833" t="str">
        <f t="shared" si="261"/>
        <v/>
      </c>
      <c r="AT55" s="1062"/>
      <c r="AY55" s="4"/>
    </row>
    <row r="56" spans="1:51" ht="13.9" customHeight="1" x14ac:dyDescent="0.25">
      <c r="A56" s="847">
        <f>Chem!A56</f>
        <v>54</v>
      </c>
      <c r="B56" s="951" t="str">
        <f>Chem!B56</f>
        <v>Benzo(a)anthracene</v>
      </c>
      <c r="C56" s="946">
        <f t="shared" si="232"/>
        <v>1.3</v>
      </c>
      <c r="D56" s="463">
        <f t="shared" si="233"/>
        <v>1.3</v>
      </c>
      <c r="E56" s="634">
        <f t="shared" si="234"/>
        <v>1.3</v>
      </c>
      <c r="F56" s="634">
        <f t="shared" si="235"/>
        <v>1.3</v>
      </c>
      <c r="G56" s="634"/>
      <c r="H56" s="467" t="s">
        <v>232</v>
      </c>
      <c r="I56" s="231" t="s">
        <v>232</v>
      </c>
      <c r="J56" s="231" t="s">
        <v>232</v>
      </c>
      <c r="K56" s="231" t="s">
        <v>232</v>
      </c>
      <c r="L56" s="476" t="s">
        <v>232</v>
      </c>
      <c r="M56" s="476" t="s">
        <v>232</v>
      </c>
      <c r="N56" s="476" t="s">
        <v>232</v>
      </c>
      <c r="O56" s="485">
        <f>'SD-Det'!Z56</f>
        <v>1.3</v>
      </c>
      <c r="P56" s="494" t="str">
        <f>'SL-Det'!I56</f>
        <v>na</v>
      </c>
      <c r="Q56" s="975" t="s">
        <v>232</v>
      </c>
      <c r="S56" s="832" t="str">
        <f t="shared" si="236"/>
        <v/>
      </c>
      <c r="T56" s="366" t="str">
        <f t="shared" si="237"/>
        <v/>
      </c>
      <c r="U56" s="366" t="str">
        <f t="shared" si="238"/>
        <v/>
      </c>
      <c r="V56" s="366" t="str">
        <f t="shared" si="239"/>
        <v/>
      </c>
      <c r="W56" s="366" t="str">
        <f t="shared" si="240"/>
        <v>X</v>
      </c>
      <c r="X56" s="366" t="str">
        <f t="shared" si="241"/>
        <v/>
      </c>
      <c r="Y56" s="989" t="str">
        <f t="shared" si="242"/>
        <v/>
      </c>
      <c r="Z56" s="832" t="str">
        <f t="shared" si="243"/>
        <v/>
      </c>
      <c r="AA56" s="366" t="str">
        <f t="shared" si="244"/>
        <v/>
      </c>
      <c r="AB56" s="366" t="str">
        <f t="shared" si="245"/>
        <v/>
      </c>
      <c r="AC56" s="366" t="str">
        <f t="shared" si="246"/>
        <v/>
      </c>
      <c r="AD56" s="366" t="str">
        <f t="shared" si="247"/>
        <v>X</v>
      </c>
      <c r="AE56" s="366" t="str">
        <f t="shared" si="248"/>
        <v/>
      </c>
      <c r="AF56" s="833" t="str">
        <f t="shared" si="249"/>
        <v/>
      </c>
      <c r="AG56" s="832" t="str">
        <f t="shared" si="250"/>
        <v/>
      </c>
      <c r="AH56" s="366" t="str">
        <f t="shared" si="251"/>
        <v/>
      </c>
      <c r="AI56" s="366" t="str">
        <f t="shared" si="252"/>
        <v/>
      </c>
      <c r="AJ56" s="366" t="str">
        <f t="shared" si="253"/>
        <v>X</v>
      </c>
      <c r="AK56" s="366" t="str">
        <f t="shared" si="254"/>
        <v/>
      </c>
      <c r="AL56" s="833" t="str">
        <f t="shared" si="255"/>
        <v/>
      </c>
      <c r="AM56" s="832" t="str">
        <f t="shared" si="256"/>
        <v/>
      </c>
      <c r="AN56" s="366" t="str">
        <f t="shared" si="257"/>
        <v/>
      </c>
      <c r="AO56" s="366" t="str">
        <f t="shared" si="258"/>
        <v/>
      </c>
      <c r="AP56" s="366" t="str">
        <f t="shared" si="259"/>
        <v>X</v>
      </c>
      <c r="AQ56" s="366" t="str">
        <f t="shared" si="260"/>
        <v/>
      </c>
      <c r="AR56" s="833" t="str">
        <f t="shared" si="261"/>
        <v/>
      </c>
      <c r="AT56" s="1062"/>
      <c r="AY56" s="4"/>
    </row>
    <row r="57" spans="1:51" ht="13.9" customHeight="1" x14ac:dyDescent="0.25">
      <c r="A57" s="847">
        <f>Chem!A57</f>
        <v>55</v>
      </c>
      <c r="B57" s="951" t="str">
        <f>Chem!B57</f>
        <v>Benzo(b)fluoranthene</v>
      </c>
      <c r="C57" s="946" t="str">
        <f t="shared" si="232"/>
        <v>na</v>
      </c>
      <c r="D57" s="463" t="str">
        <f t="shared" si="233"/>
        <v>na</v>
      </c>
      <c r="E57" s="634" t="str">
        <f t="shared" si="234"/>
        <v>na</v>
      </c>
      <c r="F57" s="634" t="str">
        <f t="shared" si="235"/>
        <v>na</v>
      </c>
      <c r="G57" s="634"/>
      <c r="H57" s="467" t="s">
        <v>232</v>
      </c>
      <c r="I57" s="231" t="s">
        <v>232</v>
      </c>
      <c r="J57" s="231" t="s">
        <v>232</v>
      </c>
      <c r="K57" s="231" t="s">
        <v>232</v>
      </c>
      <c r="L57" s="476" t="s">
        <v>232</v>
      </c>
      <c r="M57" s="476" t="s">
        <v>232</v>
      </c>
      <c r="N57" s="476" t="s">
        <v>232</v>
      </c>
      <c r="O57" s="485" t="str">
        <f>'SD-Det'!Z57</f>
        <v>na</v>
      </c>
      <c r="P57" s="494" t="str">
        <f>'SL-Det'!I57</f>
        <v>na</v>
      </c>
      <c r="Q57" s="975" t="s">
        <v>232</v>
      </c>
      <c r="S57" s="832" t="str">
        <f t="shared" si="236"/>
        <v/>
      </c>
      <c r="T57" s="366" t="str">
        <f t="shared" si="237"/>
        <v/>
      </c>
      <c r="U57" s="366" t="str">
        <f t="shared" si="238"/>
        <v/>
      </c>
      <c r="V57" s="366" t="str">
        <f t="shared" si="239"/>
        <v/>
      </c>
      <c r="W57" s="366" t="str">
        <f t="shared" si="240"/>
        <v/>
      </c>
      <c r="X57" s="366" t="str">
        <f t="shared" si="241"/>
        <v/>
      </c>
      <c r="Y57" s="989" t="str">
        <f t="shared" si="242"/>
        <v/>
      </c>
      <c r="Z57" s="832" t="str">
        <f t="shared" si="243"/>
        <v/>
      </c>
      <c r="AA57" s="366" t="str">
        <f t="shared" si="244"/>
        <v/>
      </c>
      <c r="AB57" s="366" t="str">
        <f t="shared" si="245"/>
        <v/>
      </c>
      <c r="AC57" s="366" t="str">
        <f t="shared" si="246"/>
        <v/>
      </c>
      <c r="AD57" s="366" t="str">
        <f t="shared" si="247"/>
        <v/>
      </c>
      <c r="AE57" s="366" t="str">
        <f t="shared" si="248"/>
        <v/>
      </c>
      <c r="AF57" s="833" t="str">
        <f t="shared" si="249"/>
        <v/>
      </c>
      <c r="AG57" s="832" t="str">
        <f t="shared" si="250"/>
        <v/>
      </c>
      <c r="AH57" s="366" t="str">
        <f t="shared" si="251"/>
        <v/>
      </c>
      <c r="AI57" s="366" t="str">
        <f t="shared" si="252"/>
        <v/>
      </c>
      <c r="AJ57" s="366" t="str">
        <f t="shared" si="253"/>
        <v/>
      </c>
      <c r="AK57" s="366" t="str">
        <f t="shared" si="254"/>
        <v/>
      </c>
      <c r="AL57" s="833" t="str">
        <f t="shared" si="255"/>
        <v/>
      </c>
      <c r="AM57" s="832" t="str">
        <f t="shared" si="256"/>
        <v/>
      </c>
      <c r="AN57" s="366" t="str">
        <f t="shared" si="257"/>
        <v/>
      </c>
      <c r="AO57" s="366" t="str">
        <f t="shared" si="258"/>
        <v/>
      </c>
      <c r="AP57" s="366" t="str">
        <f t="shared" si="259"/>
        <v/>
      </c>
      <c r="AQ57" s="366" t="str">
        <f t="shared" si="260"/>
        <v/>
      </c>
      <c r="AR57" s="833" t="str">
        <f t="shared" si="261"/>
        <v/>
      </c>
      <c r="AT57" s="1062"/>
      <c r="AY57" s="4"/>
    </row>
    <row r="58" spans="1:51" ht="13.9" customHeight="1" x14ac:dyDescent="0.25">
      <c r="A58" s="847">
        <f>Chem!A58</f>
        <v>56</v>
      </c>
      <c r="B58" s="951" t="str">
        <f>Chem!B58</f>
        <v>Benzo(k)fluoranthene</v>
      </c>
      <c r="C58" s="946" t="str">
        <f t="shared" si="232"/>
        <v>na</v>
      </c>
      <c r="D58" s="463" t="str">
        <f t="shared" si="233"/>
        <v>na</v>
      </c>
      <c r="E58" s="634" t="str">
        <f t="shared" si="234"/>
        <v>na</v>
      </c>
      <c r="F58" s="634" t="str">
        <f t="shared" si="235"/>
        <v>na</v>
      </c>
      <c r="G58" s="634"/>
      <c r="H58" s="467" t="s">
        <v>232</v>
      </c>
      <c r="I58" s="231" t="s">
        <v>232</v>
      </c>
      <c r="J58" s="231" t="s">
        <v>232</v>
      </c>
      <c r="K58" s="231" t="s">
        <v>232</v>
      </c>
      <c r="L58" s="476" t="s">
        <v>232</v>
      </c>
      <c r="M58" s="476" t="s">
        <v>232</v>
      </c>
      <c r="N58" s="476" t="s">
        <v>232</v>
      </c>
      <c r="O58" s="485" t="str">
        <f>'SD-Det'!Z58</f>
        <v>na</v>
      </c>
      <c r="P58" s="494" t="str">
        <f>'SL-Det'!I58</f>
        <v>na</v>
      </c>
      <c r="Q58" s="975" t="s">
        <v>232</v>
      </c>
      <c r="S58" s="832" t="str">
        <f t="shared" si="236"/>
        <v/>
      </c>
      <c r="T58" s="366" t="str">
        <f t="shared" si="237"/>
        <v/>
      </c>
      <c r="U58" s="366" t="str">
        <f t="shared" si="238"/>
        <v/>
      </c>
      <c r="V58" s="366" t="str">
        <f t="shared" si="239"/>
        <v/>
      </c>
      <c r="W58" s="366" t="str">
        <f t="shared" si="240"/>
        <v/>
      </c>
      <c r="X58" s="366" t="str">
        <f t="shared" si="241"/>
        <v/>
      </c>
      <c r="Y58" s="989" t="str">
        <f t="shared" si="242"/>
        <v/>
      </c>
      <c r="Z58" s="832" t="str">
        <f t="shared" si="243"/>
        <v/>
      </c>
      <c r="AA58" s="366" t="str">
        <f t="shared" si="244"/>
        <v/>
      </c>
      <c r="AB58" s="366" t="str">
        <f t="shared" si="245"/>
        <v/>
      </c>
      <c r="AC58" s="366" t="str">
        <f t="shared" si="246"/>
        <v/>
      </c>
      <c r="AD58" s="366" t="str">
        <f t="shared" si="247"/>
        <v/>
      </c>
      <c r="AE58" s="366" t="str">
        <f t="shared" si="248"/>
        <v/>
      </c>
      <c r="AF58" s="833" t="str">
        <f t="shared" si="249"/>
        <v/>
      </c>
      <c r="AG58" s="832" t="str">
        <f t="shared" si="250"/>
        <v/>
      </c>
      <c r="AH58" s="366" t="str">
        <f t="shared" si="251"/>
        <v/>
      </c>
      <c r="AI58" s="366" t="str">
        <f t="shared" si="252"/>
        <v/>
      </c>
      <c r="AJ58" s="366" t="str">
        <f t="shared" si="253"/>
        <v/>
      </c>
      <c r="AK58" s="366" t="str">
        <f t="shared" si="254"/>
        <v/>
      </c>
      <c r="AL58" s="833" t="str">
        <f t="shared" si="255"/>
        <v/>
      </c>
      <c r="AM58" s="832" t="str">
        <f t="shared" si="256"/>
        <v/>
      </c>
      <c r="AN58" s="366" t="str">
        <f t="shared" si="257"/>
        <v/>
      </c>
      <c r="AO58" s="366" t="str">
        <f t="shared" si="258"/>
        <v/>
      </c>
      <c r="AP58" s="366" t="str">
        <f t="shared" si="259"/>
        <v/>
      </c>
      <c r="AQ58" s="366" t="str">
        <f t="shared" si="260"/>
        <v/>
      </c>
      <c r="AR58" s="833" t="str">
        <f t="shared" si="261"/>
        <v/>
      </c>
      <c r="AT58" s="1062"/>
      <c r="AY58" s="4"/>
    </row>
    <row r="59" spans="1:51" ht="13.9" customHeight="1" x14ac:dyDescent="0.25">
      <c r="A59" s="847">
        <f>Chem!A59</f>
        <v>57</v>
      </c>
      <c r="B59" s="951" t="str">
        <f>Chem!B59</f>
        <v>Total benzofluoranthenes</v>
      </c>
      <c r="C59" s="946">
        <f t="shared" si="232"/>
        <v>3.2</v>
      </c>
      <c r="D59" s="463">
        <f t="shared" si="233"/>
        <v>3.2</v>
      </c>
      <c r="E59" s="634">
        <f t="shared" si="234"/>
        <v>3.2</v>
      </c>
      <c r="F59" s="634">
        <f t="shared" si="235"/>
        <v>3.2</v>
      </c>
      <c r="G59" s="634"/>
      <c r="H59" s="467" t="str">
        <f>'SL-Det'!E59</f>
        <v>na</v>
      </c>
      <c r="I59" s="231" t="str">
        <f>Leach!F59</f>
        <v>na</v>
      </c>
      <c r="J59" s="231" t="str">
        <f>Leach!I59</f>
        <v>na</v>
      </c>
      <c r="K59" s="231" t="str">
        <f>Leach!L59</f>
        <v>na</v>
      </c>
      <c r="L59" s="476" t="str">
        <f>Leach!G59</f>
        <v>na</v>
      </c>
      <c r="M59" s="476" t="str">
        <f>Leach!J59</f>
        <v>na</v>
      </c>
      <c r="N59" s="476" t="str">
        <f>Leach!M59</f>
        <v>na</v>
      </c>
      <c r="O59" s="485">
        <f>'SD-Det'!Z59</f>
        <v>3.2</v>
      </c>
      <c r="P59" s="494" t="str">
        <f>'SL-Det'!I59</f>
        <v>na</v>
      </c>
      <c r="Q59" s="975" t="s">
        <v>232</v>
      </c>
      <c r="S59" s="832" t="str">
        <f t="shared" si="236"/>
        <v/>
      </c>
      <c r="T59" s="366" t="str">
        <f t="shared" si="237"/>
        <v/>
      </c>
      <c r="U59" s="366" t="str">
        <f t="shared" si="238"/>
        <v/>
      </c>
      <c r="V59" s="366" t="str">
        <f t="shared" si="239"/>
        <v/>
      </c>
      <c r="W59" s="366" t="str">
        <f t="shared" si="240"/>
        <v>X</v>
      </c>
      <c r="X59" s="366" t="str">
        <f t="shared" si="241"/>
        <v/>
      </c>
      <c r="Y59" s="989" t="str">
        <f t="shared" si="242"/>
        <v/>
      </c>
      <c r="Z59" s="832" t="str">
        <f t="shared" si="243"/>
        <v/>
      </c>
      <c r="AA59" s="366" t="str">
        <f t="shared" si="244"/>
        <v/>
      </c>
      <c r="AB59" s="366" t="str">
        <f t="shared" si="245"/>
        <v/>
      </c>
      <c r="AC59" s="366" t="str">
        <f t="shared" si="246"/>
        <v/>
      </c>
      <c r="AD59" s="366" t="str">
        <f t="shared" si="247"/>
        <v>X</v>
      </c>
      <c r="AE59" s="366" t="str">
        <f t="shared" si="248"/>
        <v/>
      </c>
      <c r="AF59" s="833" t="str">
        <f t="shared" si="249"/>
        <v/>
      </c>
      <c r="AG59" s="832" t="str">
        <f t="shared" si="250"/>
        <v/>
      </c>
      <c r="AH59" s="366" t="str">
        <f t="shared" si="251"/>
        <v/>
      </c>
      <c r="AI59" s="366" t="str">
        <f t="shared" si="252"/>
        <v/>
      </c>
      <c r="AJ59" s="366" t="str">
        <f t="shared" si="253"/>
        <v>X</v>
      </c>
      <c r="AK59" s="366" t="str">
        <f t="shared" si="254"/>
        <v/>
      </c>
      <c r="AL59" s="833" t="str">
        <f t="shared" si="255"/>
        <v/>
      </c>
      <c r="AM59" s="832" t="str">
        <f t="shared" si="256"/>
        <v/>
      </c>
      <c r="AN59" s="366" t="str">
        <f t="shared" si="257"/>
        <v/>
      </c>
      <c r="AO59" s="366" t="str">
        <f t="shared" si="258"/>
        <v/>
      </c>
      <c r="AP59" s="366" t="str">
        <f t="shared" si="259"/>
        <v>X</v>
      </c>
      <c r="AQ59" s="366" t="str">
        <f t="shared" si="260"/>
        <v/>
      </c>
      <c r="AR59" s="833" t="str">
        <f t="shared" si="261"/>
        <v/>
      </c>
      <c r="AT59" s="1062"/>
      <c r="AY59" s="4"/>
    </row>
    <row r="60" spans="1:51" ht="13.9" customHeight="1" x14ac:dyDescent="0.25">
      <c r="A60" s="847">
        <f>Chem!A60</f>
        <v>58</v>
      </c>
      <c r="B60" s="951" t="str">
        <f>Chem!B60</f>
        <v>Benzo(g,h,i)perylene</v>
      </c>
      <c r="C60" s="946">
        <f t="shared" si="232"/>
        <v>0.67</v>
      </c>
      <c r="D60" s="463">
        <f t="shared" si="233"/>
        <v>0.67</v>
      </c>
      <c r="E60" s="634">
        <f t="shared" si="234"/>
        <v>0.67</v>
      </c>
      <c r="F60" s="634">
        <f t="shared" si="235"/>
        <v>0.67</v>
      </c>
      <c r="G60" s="634"/>
      <c r="H60" s="467" t="str">
        <f>'SL-Det'!E60</f>
        <v>na</v>
      </c>
      <c r="I60" s="231" t="str">
        <f>Leach!F60</f>
        <v>na</v>
      </c>
      <c r="J60" s="231" t="str">
        <f>Leach!I60</f>
        <v>na</v>
      </c>
      <c r="K60" s="231" t="str">
        <f>Leach!L60</f>
        <v>na</v>
      </c>
      <c r="L60" s="476" t="str">
        <f>Leach!G60</f>
        <v>na</v>
      </c>
      <c r="M60" s="476" t="str">
        <f>Leach!J60</f>
        <v>na</v>
      </c>
      <c r="N60" s="476" t="str">
        <f>Leach!M60</f>
        <v>na</v>
      </c>
      <c r="O60" s="485">
        <f>'SD-Det'!Z60</f>
        <v>0.67</v>
      </c>
      <c r="P60" s="494" t="str">
        <f>'SL-Det'!I60</f>
        <v>na</v>
      </c>
      <c r="Q60" s="975" t="s">
        <v>232</v>
      </c>
      <c r="S60" s="832" t="str">
        <f t="shared" si="236"/>
        <v/>
      </c>
      <c r="T60" s="366" t="str">
        <f t="shared" si="237"/>
        <v/>
      </c>
      <c r="U60" s="366" t="str">
        <f t="shared" si="238"/>
        <v/>
      </c>
      <c r="V60" s="366" t="str">
        <f t="shared" si="239"/>
        <v/>
      </c>
      <c r="W60" s="366" t="str">
        <f t="shared" si="240"/>
        <v>X</v>
      </c>
      <c r="X60" s="366" t="str">
        <f t="shared" si="241"/>
        <v/>
      </c>
      <c r="Y60" s="989" t="str">
        <f t="shared" si="242"/>
        <v/>
      </c>
      <c r="Z60" s="832" t="str">
        <f t="shared" si="243"/>
        <v/>
      </c>
      <c r="AA60" s="366" t="str">
        <f t="shared" si="244"/>
        <v/>
      </c>
      <c r="AB60" s="366" t="str">
        <f t="shared" si="245"/>
        <v/>
      </c>
      <c r="AC60" s="366" t="str">
        <f t="shared" si="246"/>
        <v/>
      </c>
      <c r="AD60" s="366" t="str">
        <f t="shared" si="247"/>
        <v>X</v>
      </c>
      <c r="AE60" s="366" t="str">
        <f t="shared" si="248"/>
        <v/>
      </c>
      <c r="AF60" s="833" t="str">
        <f t="shared" si="249"/>
        <v/>
      </c>
      <c r="AG60" s="832" t="str">
        <f t="shared" si="250"/>
        <v/>
      </c>
      <c r="AH60" s="366" t="str">
        <f t="shared" si="251"/>
        <v/>
      </c>
      <c r="AI60" s="366" t="str">
        <f t="shared" si="252"/>
        <v/>
      </c>
      <c r="AJ60" s="366" t="str">
        <f t="shared" si="253"/>
        <v>X</v>
      </c>
      <c r="AK60" s="366" t="str">
        <f t="shared" si="254"/>
        <v/>
      </c>
      <c r="AL60" s="833" t="str">
        <f t="shared" si="255"/>
        <v/>
      </c>
      <c r="AM60" s="832" t="str">
        <f t="shared" si="256"/>
        <v/>
      </c>
      <c r="AN60" s="366" t="str">
        <f t="shared" si="257"/>
        <v/>
      </c>
      <c r="AO60" s="366" t="str">
        <f t="shared" si="258"/>
        <v/>
      </c>
      <c r="AP60" s="366" t="str">
        <f t="shared" si="259"/>
        <v>X</v>
      </c>
      <c r="AQ60" s="366" t="str">
        <f t="shared" si="260"/>
        <v/>
      </c>
      <c r="AR60" s="833" t="str">
        <f t="shared" si="261"/>
        <v/>
      </c>
      <c r="AT60" s="1062"/>
      <c r="AY60" s="4"/>
    </row>
    <row r="61" spans="1:51" ht="13.9" customHeight="1" x14ac:dyDescent="0.25">
      <c r="A61" s="847">
        <f>Chem!A61</f>
        <v>59</v>
      </c>
      <c r="B61" s="951" t="str">
        <f>Chem!B61</f>
        <v>Benzo(a)pyrene</v>
      </c>
      <c r="C61" s="946">
        <f t="shared" si="232"/>
        <v>3.1007168010004744E-4</v>
      </c>
      <c r="D61" s="463">
        <f t="shared" si="233"/>
        <v>1.5504970666666666E-5</v>
      </c>
      <c r="E61" s="634">
        <f t="shared" si="234"/>
        <v>3.1007168010004744E-4</v>
      </c>
      <c r="F61" s="634">
        <f t="shared" si="235"/>
        <v>1.5504970666666666E-5</v>
      </c>
      <c r="G61" s="634"/>
      <c r="H61" s="467" t="str">
        <f>'SL-Det'!E61</f>
        <v>na</v>
      </c>
      <c r="I61" s="231">
        <f>Leach!F61</f>
        <v>3.8758960012505934</v>
      </c>
      <c r="J61" s="231">
        <f>Leach!I61</f>
        <v>3.1007168010004744E-4</v>
      </c>
      <c r="K61" s="231">
        <f>Leach!L61</f>
        <v>1.6845030476259815</v>
      </c>
      <c r="L61" s="476">
        <f>Leach!G61</f>
        <v>0.19381213333333333</v>
      </c>
      <c r="M61" s="476">
        <f>Leach!J61</f>
        <v>1.5504970666666666E-5</v>
      </c>
      <c r="N61" s="476">
        <f>Leach!M61</f>
        <v>8.4232685593615589E-2</v>
      </c>
      <c r="O61" s="485">
        <f>'SD-Det'!Z61</f>
        <v>1.6</v>
      </c>
      <c r="P61" s="492">
        <f>'SL-Det'!I61</f>
        <v>12</v>
      </c>
      <c r="Q61" s="975" t="s">
        <v>232</v>
      </c>
      <c r="S61" s="832" t="str">
        <f t="shared" si="236"/>
        <v/>
      </c>
      <c r="T61" s="366" t="str">
        <f t="shared" si="237"/>
        <v/>
      </c>
      <c r="U61" s="366" t="str">
        <f t="shared" si="238"/>
        <v>X</v>
      </c>
      <c r="V61" s="366" t="str">
        <f t="shared" si="239"/>
        <v/>
      </c>
      <c r="W61" s="366" t="str">
        <f t="shared" si="240"/>
        <v/>
      </c>
      <c r="X61" s="366" t="str">
        <f t="shared" si="241"/>
        <v/>
      </c>
      <c r="Y61" s="989" t="str">
        <f t="shared" si="242"/>
        <v/>
      </c>
      <c r="Z61" s="832" t="str">
        <f t="shared" si="243"/>
        <v/>
      </c>
      <c r="AA61" s="366" t="str">
        <f t="shared" si="244"/>
        <v/>
      </c>
      <c r="AB61" s="366" t="str">
        <f t="shared" si="245"/>
        <v>X</v>
      </c>
      <c r="AC61" s="366" t="str">
        <f t="shared" si="246"/>
        <v/>
      </c>
      <c r="AD61" s="366" t="str">
        <f t="shared" si="247"/>
        <v/>
      </c>
      <c r="AE61" s="366" t="str">
        <f t="shared" si="248"/>
        <v/>
      </c>
      <c r="AF61" s="833" t="str">
        <f t="shared" si="249"/>
        <v/>
      </c>
      <c r="AG61" s="832" t="str">
        <f t="shared" si="250"/>
        <v/>
      </c>
      <c r="AH61" s="366" t="str">
        <f t="shared" si="251"/>
        <v>X</v>
      </c>
      <c r="AI61" s="366" t="str">
        <f t="shared" si="252"/>
        <v/>
      </c>
      <c r="AJ61" s="366" t="str">
        <f t="shared" si="253"/>
        <v/>
      </c>
      <c r="AK61" s="366" t="str">
        <f t="shared" si="254"/>
        <v/>
      </c>
      <c r="AL61" s="833" t="str">
        <f t="shared" si="255"/>
        <v/>
      </c>
      <c r="AM61" s="832" t="str">
        <f t="shared" si="256"/>
        <v/>
      </c>
      <c r="AN61" s="366" t="str">
        <f t="shared" si="257"/>
        <v>X</v>
      </c>
      <c r="AO61" s="366" t="str">
        <f t="shared" si="258"/>
        <v/>
      </c>
      <c r="AP61" s="366" t="str">
        <f t="shared" si="259"/>
        <v/>
      </c>
      <c r="AQ61" s="366" t="str">
        <f t="shared" si="260"/>
        <v/>
      </c>
      <c r="AR61" s="833" t="str">
        <f t="shared" si="261"/>
        <v/>
      </c>
      <c r="AT61" s="1062"/>
      <c r="AY61" s="4"/>
    </row>
    <row r="62" spans="1:51" ht="13.9" customHeight="1" x14ac:dyDescent="0.25">
      <c r="A62" s="847">
        <f>Chem!A62</f>
        <v>60</v>
      </c>
      <c r="B62" s="951" t="str">
        <f>Chem!B62</f>
        <v>Chrysene</v>
      </c>
      <c r="C62" s="946">
        <f t="shared" si="232"/>
        <v>1.4</v>
      </c>
      <c r="D62" s="463">
        <f t="shared" si="233"/>
        <v>1.4</v>
      </c>
      <c r="E62" s="634">
        <f t="shared" si="234"/>
        <v>1.4</v>
      </c>
      <c r="F62" s="634">
        <f t="shared" si="235"/>
        <v>1.4</v>
      </c>
      <c r="G62" s="634"/>
      <c r="H62" s="467" t="s">
        <v>232</v>
      </c>
      <c r="I62" s="231" t="s">
        <v>232</v>
      </c>
      <c r="J62" s="231" t="s">
        <v>232</v>
      </c>
      <c r="K62" s="231" t="s">
        <v>232</v>
      </c>
      <c r="L62" s="476" t="s">
        <v>232</v>
      </c>
      <c r="M62" s="476" t="s">
        <v>232</v>
      </c>
      <c r="N62" s="476" t="s">
        <v>232</v>
      </c>
      <c r="O62" s="485">
        <f>'SD-Det'!Z62</f>
        <v>1.4</v>
      </c>
      <c r="P62" s="494" t="str">
        <f>'SL-Det'!I62</f>
        <v>na</v>
      </c>
      <c r="Q62" s="975" t="s">
        <v>232</v>
      </c>
      <c r="S62" s="832" t="str">
        <f t="shared" si="236"/>
        <v/>
      </c>
      <c r="T62" s="366" t="str">
        <f t="shared" si="237"/>
        <v/>
      </c>
      <c r="U62" s="366" t="str">
        <f t="shared" si="238"/>
        <v/>
      </c>
      <c r="V62" s="366" t="str">
        <f t="shared" si="239"/>
        <v/>
      </c>
      <c r="W62" s="366" t="str">
        <f t="shared" si="240"/>
        <v>X</v>
      </c>
      <c r="X62" s="366" t="str">
        <f t="shared" si="241"/>
        <v/>
      </c>
      <c r="Y62" s="989" t="str">
        <f t="shared" si="242"/>
        <v/>
      </c>
      <c r="Z62" s="832" t="str">
        <f t="shared" si="243"/>
        <v/>
      </c>
      <c r="AA62" s="366" t="str">
        <f t="shared" si="244"/>
        <v/>
      </c>
      <c r="AB62" s="366" t="str">
        <f t="shared" si="245"/>
        <v/>
      </c>
      <c r="AC62" s="366" t="str">
        <f t="shared" si="246"/>
        <v/>
      </c>
      <c r="AD62" s="366" t="str">
        <f t="shared" si="247"/>
        <v>X</v>
      </c>
      <c r="AE62" s="366" t="str">
        <f t="shared" si="248"/>
        <v/>
      </c>
      <c r="AF62" s="833" t="str">
        <f t="shared" si="249"/>
        <v/>
      </c>
      <c r="AG62" s="832" t="str">
        <f t="shared" si="250"/>
        <v/>
      </c>
      <c r="AH62" s="366" t="str">
        <f t="shared" si="251"/>
        <v/>
      </c>
      <c r="AI62" s="366" t="str">
        <f t="shared" si="252"/>
        <v/>
      </c>
      <c r="AJ62" s="366" t="str">
        <f t="shared" si="253"/>
        <v>X</v>
      </c>
      <c r="AK62" s="366" t="str">
        <f t="shared" si="254"/>
        <v/>
      </c>
      <c r="AL62" s="833" t="str">
        <f t="shared" si="255"/>
        <v/>
      </c>
      <c r="AM62" s="832" t="str">
        <f t="shared" si="256"/>
        <v/>
      </c>
      <c r="AN62" s="366" t="str">
        <f t="shared" si="257"/>
        <v/>
      </c>
      <c r="AO62" s="366" t="str">
        <f t="shared" si="258"/>
        <v/>
      </c>
      <c r="AP62" s="366" t="str">
        <f t="shared" si="259"/>
        <v>X</v>
      </c>
      <c r="AQ62" s="366" t="str">
        <f t="shared" si="260"/>
        <v/>
      </c>
      <c r="AR62" s="833" t="str">
        <f t="shared" si="261"/>
        <v/>
      </c>
      <c r="AT62" s="1062"/>
      <c r="AY62" s="4"/>
    </row>
    <row r="63" spans="1:51" ht="13.9" customHeight="1" x14ac:dyDescent="0.25">
      <c r="A63" s="847">
        <f>Chem!A63</f>
        <v>61</v>
      </c>
      <c r="B63" s="951" t="str">
        <f>Chem!B63</f>
        <v>Dibenz(a,h)anthracene</v>
      </c>
      <c r="C63" s="946">
        <f t="shared" si="232"/>
        <v>0.23</v>
      </c>
      <c r="D63" s="463">
        <f t="shared" si="233"/>
        <v>0.23</v>
      </c>
      <c r="E63" s="634">
        <f t="shared" si="234"/>
        <v>0.23</v>
      </c>
      <c r="F63" s="634">
        <f t="shared" si="235"/>
        <v>0.23</v>
      </c>
      <c r="G63" s="634"/>
      <c r="H63" s="467" t="s">
        <v>232</v>
      </c>
      <c r="I63" s="231" t="s">
        <v>232</v>
      </c>
      <c r="J63" s="231" t="s">
        <v>232</v>
      </c>
      <c r="K63" s="231" t="s">
        <v>232</v>
      </c>
      <c r="L63" s="476" t="s">
        <v>232</v>
      </c>
      <c r="M63" s="476" t="s">
        <v>232</v>
      </c>
      <c r="N63" s="476" t="s">
        <v>232</v>
      </c>
      <c r="O63" s="485">
        <f>'SD-Det'!Z63</f>
        <v>0.23</v>
      </c>
      <c r="P63" s="494" t="str">
        <f>'SL-Det'!I63</f>
        <v>na</v>
      </c>
      <c r="Q63" s="975" t="s">
        <v>232</v>
      </c>
      <c r="S63" s="832" t="str">
        <f t="shared" si="236"/>
        <v/>
      </c>
      <c r="T63" s="366" t="str">
        <f t="shared" si="237"/>
        <v/>
      </c>
      <c r="U63" s="366" t="str">
        <f t="shared" si="238"/>
        <v/>
      </c>
      <c r="V63" s="366" t="str">
        <f t="shared" si="239"/>
        <v/>
      </c>
      <c r="W63" s="366" t="str">
        <f t="shared" si="240"/>
        <v>X</v>
      </c>
      <c r="X63" s="366" t="str">
        <f t="shared" si="241"/>
        <v/>
      </c>
      <c r="Y63" s="989" t="str">
        <f t="shared" si="242"/>
        <v/>
      </c>
      <c r="Z63" s="832" t="str">
        <f t="shared" si="243"/>
        <v/>
      </c>
      <c r="AA63" s="366" t="str">
        <f t="shared" si="244"/>
        <v/>
      </c>
      <c r="AB63" s="366" t="str">
        <f t="shared" si="245"/>
        <v/>
      </c>
      <c r="AC63" s="366" t="str">
        <f t="shared" si="246"/>
        <v/>
      </c>
      <c r="AD63" s="366" t="str">
        <f t="shared" si="247"/>
        <v>X</v>
      </c>
      <c r="AE63" s="366" t="str">
        <f t="shared" si="248"/>
        <v/>
      </c>
      <c r="AF63" s="833" t="str">
        <f t="shared" si="249"/>
        <v/>
      </c>
      <c r="AG63" s="832" t="str">
        <f t="shared" si="250"/>
        <v/>
      </c>
      <c r="AH63" s="366" t="str">
        <f t="shared" si="251"/>
        <v/>
      </c>
      <c r="AI63" s="366" t="str">
        <f t="shared" si="252"/>
        <v/>
      </c>
      <c r="AJ63" s="366" t="str">
        <f t="shared" si="253"/>
        <v>X</v>
      </c>
      <c r="AK63" s="366" t="str">
        <f t="shared" si="254"/>
        <v/>
      </c>
      <c r="AL63" s="833" t="str">
        <f t="shared" si="255"/>
        <v/>
      </c>
      <c r="AM63" s="832" t="str">
        <f t="shared" si="256"/>
        <v/>
      </c>
      <c r="AN63" s="366" t="str">
        <f t="shared" si="257"/>
        <v/>
      </c>
      <c r="AO63" s="366" t="str">
        <f t="shared" si="258"/>
        <v/>
      </c>
      <c r="AP63" s="366" t="str">
        <f t="shared" si="259"/>
        <v>X</v>
      </c>
      <c r="AQ63" s="366" t="str">
        <f t="shared" si="260"/>
        <v/>
      </c>
      <c r="AR63" s="833" t="str">
        <f t="shared" si="261"/>
        <v/>
      </c>
      <c r="AT63" s="1062"/>
      <c r="AY63" s="4"/>
    </row>
    <row r="64" spans="1:51" ht="13.9" customHeight="1" x14ac:dyDescent="0.25">
      <c r="A64" s="847">
        <f>Chem!A64</f>
        <v>62</v>
      </c>
      <c r="B64" s="951" t="str">
        <f>Chem!B64</f>
        <v>Dibenzofuran</v>
      </c>
      <c r="C64" s="946">
        <f t="shared" si="232"/>
        <v>0.54</v>
      </c>
      <c r="D64" s="463">
        <f t="shared" si="233"/>
        <v>2.9209311098611287E-2</v>
      </c>
      <c r="E64" s="634">
        <f t="shared" si="234"/>
        <v>0.54</v>
      </c>
      <c r="F64" s="634">
        <f t="shared" si="235"/>
        <v>2.9209311098611287E-2</v>
      </c>
      <c r="G64" s="634"/>
      <c r="H64" s="467">
        <f>'SL-Det'!E64</f>
        <v>80</v>
      </c>
      <c r="I64" s="231">
        <f>Leach!F64</f>
        <v>1.4976002557933579</v>
      </c>
      <c r="J64" s="231" t="str">
        <f>Leach!I64</f>
        <v>na</v>
      </c>
      <c r="K64" s="231">
        <f>Leach!L64</f>
        <v>0.57882681421349724</v>
      </c>
      <c r="L64" s="476">
        <f>Leach!G64</f>
        <v>7.557333333333334E-2</v>
      </c>
      <c r="M64" s="476" t="str">
        <f>Leach!J64</f>
        <v>na</v>
      </c>
      <c r="N64" s="476">
        <f>Leach!M64</f>
        <v>2.9209311098611287E-2</v>
      </c>
      <c r="O64" s="485">
        <f>'SD-Det'!Z64</f>
        <v>0.54</v>
      </c>
      <c r="P64" s="494" t="str">
        <f>'SL-Det'!I64</f>
        <v>na</v>
      </c>
      <c r="Q64" s="975" t="s">
        <v>232</v>
      </c>
      <c r="S64" s="832" t="str">
        <f t="shared" si="236"/>
        <v/>
      </c>
      <c r="T64" s="366" t="str">
        <f t="shared" si="237"/>
        <v/>
      </c>
      <c r="U64" s="366" t="str">
        <f t="shared" si="238"/>
        <v/>
      </c>
      <c r="V64" s="366" t="str">
        <f t="shared" si="239"/>
        <v/>
      </c>
      <c r="W64" s="366" t="str">
        <f t="shared" si="240"/>
        <v>X</v>
      </c>
      <c r="X64" s="366" t="str">
        <f t="shared" si="241"/>
        <v/>
      </c>
      <c r="Y64" s="989" t="str">
        <f t="shared" si="242"/>
        <v/>
      </c>
      <c r="Z64" s="832" t="str">
        <f t="shared" si="243"/>
        <v/>
      </c>
      <c r="AA64" s="366" t="str">
        <f t="shared" si="244"/>
        <v/>
      </c>
      <c r="AB64" s="366" t="str">
        <f t="shared" si="245"/>
        <v/>
      </c>
      <c r="AC64" s="366" t="str">
        <f t="shared" si="246"/>
        <v>X</v>
      </c>
      <c r="AD64" s="366" t="str">
        <f t="shared" si="247"/>
        <v/>
      </c>
      <c r="AE64" s="366" t="str">
        <f t="shared" si="248"/>
        <v/>
      </c>
      <c r="AF64" s="833" t="str">
        <f t="shared" si="249"/>
        <v/>
      </c>
      <c r="AG64" s="832" t="str">
        <f t="shared" si="250"/>
        <v/>
      </c>
      <c r="AH64" s="366" t="str">
        <f t="shared" si="251"/>
        <v/>
      </c>
      <c r="AI64" s="366" t="str">
        <f t="shared" si="252"/>
        <v/>
      </c>
      <c r="AJ64" s="366" t="str">
        <f t="shared" si="253"/>
        <v>X</v>
      </c>
      <c r="AK64" s="366" t="str">
        <f t="shared" si="254"/>
        <v/>
      </c>
      <c r="AL64" s="833" t="str">
        <f t="shared" si="255"/>
        <v/>
      </c>
      <c r="AM64" s="832" t="str">
        <f t="shared" si="256"/>
        <v/>
      </c>
      <c r="AN64" s="366" t="str">
        <f t="shared" si="257"/>
        <v/>
      </c>
      <c r="AO64" s="366" t="str">
        <f t="shared" si="258"/>
        <v>X</v>
      </c>
      <c r="AP64" s="366" t="str">
        <f t="shared" si="259"/>
        <v/>
      </c>
      <c r="AQ64" s="366" t="str">
        <f t="shared" si="260"/>
        <v/>
      </c>
      <c r="AR64" s="833" t="str">
        <f t="shared" si="261"/>
        <v/>
      </c>
      <c r="AT64" s="1062"/>
      <c r="AY64" s="4"/>
    </row>
    <row r="65" spans="1:51" ht="13.9" customHeight="1" x14ac:dyDescent="0.25">
      <c r="A65" s="847">
        <f>Chem!A65</f>
        <v>63</v>
      </c>
      <c r="B65" s="951" t="str">
        <f>Chem!B65</f>
        <v>Fluoranthene</v>
      </c>
      <c r="C65" s="946">
        <f t="shared" si="232"/>
        <v>1.7</v>
      </c>
      <c r="D65" s="463">
        <f t="shared" si="233"/>
        <v>8.9937941949624706E-2</v>
      </c>
      <c r="E65" s="634">
        <f t="shared" si="234"/>
        <v>1.7</v>
      </c>
      <c r="F65" s="634">
        <f t="shared" si="235"/>
        <v>8.9937941949624706E-2</v>
      </c>
      <c r="G65" s="634"/>
      <c r="H65" s="467">
        <f>'SL-Det'!E65</f>
        <v>3200</v>
      </c>
      <c r="I65" s="231">
        <f>Leach!F65</f>
        <v>631.04010137264993</v>
      </c>
      <c r="J65" s="231">
        <f>Leach!I65</f>
        <v>5.9160009503685922</v>
      </c>
      <c r="K65" s="231">
        <f>Leach!L65</f>
        <v>1.795602558207934</v>
      </c>
      <c r="L65" s="476">
        <f>Leach!G65</f>
        <v>31.607466666666671</v>
      </c>
      <c r="M65" s="476">
        <f>Leach!J65</f>
        <v>0.29632000000000003</v>
      </c>
      <c r="N65" s="476">
        <f>Leach!M65</f>
        <v>8.9937941949624706E-2</v>
      </c>
      <c r="O65" s="485">
        <f>'SD-Det'!Z65</f>
        <v>1.7</v>
      </c>
      <c r="P65" s="494" t="str">
        <f>'SL-Det'!I65</f>
        <v>na</v>
      </c>
      <c r="Q65" s="975" t="s">
        <v>232</v>
      </c>
      <c r="S65" s="832" t="str">
        <f t="shared" si="236"/>
        <v/>
      </c>
      <c r="T65" s="366" t="str">
        <f t="shared" si="237"/>
        <v/>
      </c>
      <c r="U65" s="366" t="str">
        <f t="shared" si="238"/>
        <v/>
      </c>
      <c r="V65" s="366" t="str">
        <f t="shared" si="239"/>
        <v/>
      </c>
      <c r="W65" s="366" t="str">
        <f t="shared" si="240"/>
        <v>X</v>
      </c>
      <c r="X65" s="366" t="str">
        <f t="shared" si="241"/>
        <v/>
      </c>
      <c r="Y65" s="989" t="str">
        <f t="shared" si="242"/>
        <v/>
      </c>
      <c r="Z65" s="832" t="str">
        <f t="shared" si="243"/>
        <v/>
      </c>
      <c r="AA65" s="366" t="str">
        <f t="shared" si="244"/>
        <v/>
      </c>
      <c r="AB65" s="366" t="str">
        <f t="shared" si="245"/>
        <v/>
      </c>
      <c r="AC65" s="366" t="str">
        <f t="shared" si="246"/>
        <v>X</v>
      </c>
      <c r="AD65" s="366" t="str">
        <f t="shared" si="247"/>
        <v/>
      </c>
      <c r="AE65" s="366" t="str">
        <f t="shared" si="248"/>
        <v/>
      </c>
      <c r="AF65" s="833" t="str">
        <f t="shared" si="249"/>
        <v/>
      </c>
      <c r="AG65" s="832" t="str">
        <f t="shared" si="250"/>
        <v/>
      </c>
      <c r="AH65" s="366" t="str">
        <f t="shared" si="251"/>
        <v/>
      </c>
      <c r="AI65" s="366" t="str">
        <f t="shared" si="252"/>
        <v/>
      </c>
      <c r="AJ65" s="366" t="str">
        <f t="shared" si="253"/>
        <v>X</v>
      </c>
      <c r="AK65" s="366" t="str">
        <f t="shared" si="254"/>
        <v/>
      </c>
      <c r="AL65" s="833" t="str">
        <f t="shared" si="255"/>
        <v/>
      </c>
      <c r="AM65" s="832" t="str">
        <f t="shared" si="256"/>
        <v/>
      </c>
      <c r="AN65" s="366" t="str">
        <f t="shared" si="257"/>
        <v/>
      </c>
      <c r="AO65" s="366" t="str">
        <f t="shared" si="258"/>
        <v>X</v>
      </c>
      <c r="AP65" s="366" t="str">
        <f t="shared" si="259"/>
        <v/>
      </c>
      <c r="AQ65" s="366" t="str">
        <f t="shared" si="260"/>
        <v/>
      </c>
      <c r="AR65" s="833" t="str">
        <f t="shared" si="261"/>
        <v/>
      </c>
      <c r="AT65" s="1062"/>
      <c r="AY65" s="4"/>
    </row>
    <row r="66" spans="1:51" ht="13.9" customHeight="1" x14ac:dyDescent="0.25">
      <c r="A66" s="847">
        <f>Chem!A66</f>
        <v>64</v>
      </c>
      <c r="B66" s="951" t="str">
        <f>Chem!B66</f>
        <v>Fluorene</v>
      </c>
      <c r="C66" s="946">
        <f t="shared" si="232"/>
        <v>0.54</v>
      </c>
      <c r="D66" s="463">
        <f t="shared" si="233"/>
        <v>2.9356949187788434E-2</v>
      </c>
      <c r="E66" s="634">
        <f t="shared" si="234"/>
        <v>0.54</v>
      </c>
      <c r="F66" s="634">
        <f t="shared" si="235"/>
        <v>2.9356949187788434E-2</v>
      </c>
      <c r="G66" s="634"/>
      <c r="H66" s="467">
        <f>'SL-Det'!E66</f>
        <v>3200</v>
      </c>
      <c r="I66" s="231">
        <f>Leach!F66</f>
        <v>50.624684854960392</v>
      </c>
      <c r="J66" s="231">
        <f>Leach!I66</f>
        <v>1.5820214017175123</v>
      </c>
      <c r="K66" s="231">
        <f>Leach!L66</f>
        <v>0.58078351693474173</v>
      </c>
      <c r="L66" s="476">
        <f>Leach!G66</f>
        <v>2.5589333333333335</v>
      </c>
      <c r="M66" s="476">
        <f>Leach!J66</f>
        <v>7.9966666666666672E-2</v>
      </c>
      <c r="N66" s="476">
        <f>Leach!M66</f>
        <v>2.9356949187788434E-2</v>
      </c>
      <c r="O66" s="485">
        <f>'SD-Det'!Z66</f>
        <v>0.54</v>
      </c>
      <c r="P66" s="494">
        <f>'SL-Det'!I66</f>
        <v>30</v>
      </c>
      <c r="Q66" s="975" t="s">
        <v>232</v>
      </c>
      <c r="S66" s="832" t="str">
        <f t="shared" si="236"/>
        <v/>
      </c>
      <c r="T66" s="366" t="str">
        <f t="shared" si="237"/>
        <v/>
      </c>
      <c r="U66" s="366" t="str">
        <f t="shared" si="238"/>
        <v/>
      </c>
      <c r="V66" s="366" t="str">
        <f t="shared" si="239"/>
        <v/>
      </c>
      <c r="W66" s="366" t="str">
        <f t="shared" si="240"/>
        <v>X</v>
      </c>
      <c r="X66" s="366" t="str">
        <f t="shared" si="241"/>
        <v/>
      </c>
      <c r="Y66" s="989" t="str">
        <f t="shared" si="242"/>
        <v/>
      </c>
      <c r="Z66" s="832" t="str">
        <f t="shared" si="243"/>
        <v/>
      </c>
      <c r="AA66" s="366" t="str">
        <f t="shared" si="244"/>
        <v/>
      </c>
      <c r="AB66" s="366" t="str">
        <f t="shared" si="245"/>
        <v/>
      </c>
      <c r="AC66" s="366" t="str">
        <f t="shared" si="246"/>
        <v>X</v>
      </c>
      <c r="AD66" s="366" t="str">
        <f t="shared" si="247"/>
        <v/>
      </c>
      <c r="AE66" s="366" t="str">
        <f t="shared" si="248"/>
        <v/>
      </c>
      <c r="AF66" s="833" t="str">
        <f t="shared" si="249"/>
        <v/>
      </c>
      <c r="AG66" s="832" t="str">
        <f t="shared" si="250"/>
        <v/>
      </c>
      <c r="AH66" s="366" t="str">
        <f t="shared" si="251"/>
        <v/>
      </c>
      <c r="AI66" s="366" t="str">
        <f t="shared" si="252"/>
        <v/>
      </c>
      <c r="AJ66" s="366" t="str">
        <f t="shared" si="253"/>
        <v>X</v>
      </c>
      <c r="AK66" s="366" t="str">
        <f t="shared" si="254"/>
        <v/>
      </c>
      <c r="AL66" s="833" t="str">
        <f t="shared" si="255"/>
        <v/>
      </c>
      <c r="AM66" s="832" t="str">
        <f t="shared" si="256"/>
        <v/>
      </c>
      <c r="AN66" s="366" t="str">
        <f t="shared" si="257"/>
        <v/>
      </c>
      <c r="AO66" s="366" t="str">
        <f t="shared" si="258"/>
        <v>X</v>
      </c>
      <c r="AP66" s="366" t="str">
        <f t="shared" si="259"/>
        <v/>
      </c>
      <c r="AQ66" s="366" t="str">
        <f t="shared" si="260"/>
        <v/>
      </c>
      <c r="AR66" s="833" t="str">
        <f t="shared" si="261"/>
        <v/>
      </c>
      <c r="AT66" s="1062"/>
      <c r="AY66" s="4"/>
    </row>
    <row r="67" spans="1:51" ht="13.9" customHeight="1" x14ac:dyDescent="0.25">
      <c r="A67" s="847">
        <f>Chem!A67</f>
        <v>65</v>
      </c>
      <c r="B67" s="951" t="str">
        <f>Chem!B67</f>
        <v>Indeno(1,2,3-cd)pyrene</v>
      </c>
      <c r="C67" s="946">
        <f t="shared" si="232"/>
        <v>0.6</v>
      </c>
      <c r="D67" s="463">
        <f t="shared" si="233"/>
        <v>0.6</v>
      </c>
      <c r="E67" s="634">
        <f t="shared" si="234"/>
        <v>0.6</v>
      </c>
      <c r="F67" s="634">
        <f t="shared" si="235"/>
        <v>0.6</v>
      </c>
      <c r="G67" s="634"/>
      <c r="H67" s="467" t="s">
        <v>232</v>
      </c>
      <c r="I67" s="231" t="s">
        <v>232</v>
      </c>
      <c r="J67" s="231" t="s">
        <v>232</v>
      </c>
      <c r="K67" s="231" t="s">
        <v>232</v>
      </c>
      <c r="L67" s="476" t="s">
        <v>232</v>
      </c>
      <c r="M67" s="476" t="s">
        <v>232</v>
      </c>
      <c r="N67" s="476" t="s">
        <v>232</v>
      </c>
      <c r="O67" s="485">
        <f>'SD-Det'!Z67</f>
        <v>0.6</v>
      </c>
      <c r="P67" s="494" t="str">
        <f>'SL-Det'!I67</f>
        <v>na</v>
      </c>
      <c r="Q67" s="975" t="s">
        <v>232</v>
      </c>
      <c r="S67" s="832" t="str">
        <f t="shared" si="236"/>
        <v/>
      </c>
      <c r="T67" s="366" t="str">
        <f t="shared" si="237"/>
        <v/>
      </c>
      <c r="U67" s="366" t="str">
        <f t="shared" si="238"/>
        <v/>
      </c>
      <c r="V67" s="366" t="str">
        <f t="shared" si="239"/>
        <v/>
      </c>
      <c r="W67" s="366" t="str">
        <f t="shared" si="240"/>
        <v>X</v>
      </c>
      <c r="X67" s="366" t="str">
        <f t="shared" si="241"/>
        <v/>
      </c>
      <c r="Y67" s="989" t="str">
        <f t="shared" si="242"/>
        <v/>
      </c>
      <c r="Z67" s="832" t="str">
        <f t="shared" si="243"/>
        <v/>
      </c>
      <c r="AA67" s="366" t="str">
        <f t="shared" si="244"/>
        <v/>
      </c>
      <c r="AB67" s="366" t="str">
        <f t="shared" si="245"/>
        <v/>
      </c>
      <c r="AC67" s="366" t="str">
        <f t="shared" si="246"/>
        <v/>
      </c>
      <c r="AD67" s="366" t="str">
        <f t="shared" si="247"/>
        <v>X</v>
      </c>
      <c r="AE67" s="366" t="str">
        <f t="shared" si="248"/>
        <v/>
      </c>
      <c r="AF67" s="833" t="str">
        <f t="shared" si="249"/>
        <v/>
      </c>
      <c r="AG67" s="832" t="str">
        <f t="shared" si="250"/>
        <v/>
      </c>
      <c r="AH67" s="366" t="str">
        <f t="shared" si="251"/>
        <v/>
      </c>
      <c r="AI67" s="366" t="str">
        <f t="shared" si="252"/>
        <v/>
      </c>
      <c r="AJ67" s="366" t="str">
        <f t="shared" si="253"/>
        <v>X</v>
      </c>
      <c r="AK67" s="366" t="str">
        <f t="shared" si="254"/>
        <v/>
      </c>
      <c r="AL67" s="833" t="str">
        <f t="shared" si="255"/>
        <v/>
      </c>
      <c r="AM67" s="832" t="str">
        <f t="shared" si="256"/>
        <v/>
      </c>
      <c r="AN67" s="366" t="str">
        <f t="shared" si="257"/>
        <v/>
      </c>
      <c r="AO67" s="366" t="str">
        <f t="shared" si="258"/>
        <v/>
      </c>
      <c r="AP67" s="366" t="str">
        <f t="shared" si="259"/>
        <v>X</v>
      </c>
      <c r="AQ67" s="366" t="str">
        <f t="shared" si="260"/>
        <v/>
      </c>
      <c r="AR67" s="833" t="str">
        <f t="shared" si="261"/>
        <v/>
      </c>
      <c r="AT67" s="1062"/>
      <c r="AY67" s="4"/>
    </row>
    <row r="68" spans="1:51" ht="13.9" customHeight="1" x14ac:dyDescent="0.25">
      <c r="A68" s="847">
        <f>Chem!A68</f>
        <v>66</v>
      </c>
      <c r="B68" s="951" t="str">
        <f>Chem!B68</f>
        <v>Methyl isopropyl phenanthrene (retene)</v>
      </c>
      <c r="C68" s="946" t="str">
        <f t="shared" si="232"/>
        <v>na</v>
      </c>
      <c r="D68" s="463" t="str">
        <f t="shared" si="233"/>
        <v>na</v>
      </c>
      <c r="E68" s="634" t="str">
        <f t="shared" si="234"/>
        <v>na</v>
      </c>
      <c r="F68" s="634" t="str">
        <f t="shared" si="235"/>
        <v>na</v>
      </c>
      <c r="G68" s="634"/>
      <c r="H68" s="467" t="str">
        <f>'SL-Det'!E68</f>
        <v>na</v>
      </c>
      <c r="I68" s="231" t="str">
        <f>Leach!F68</f>
        <v>na</v>
      </c>
      <c r="J68" s="231" t="str">
        <f>Leach!I68</f>
        <v>na</v>
      </c>
      <c r="K68" s="231" t="str">
        <f>Leach!L68</f>
        <v>na</v>
      </c>
      <c r="L68" s="476" t="str">
        <f>Leach!G68</f>
        <v>na</v>
      </c>
      <c r="M68" s="476" t="str">
        <f>Leach!J68</f>
        <v>na</v>
      </c>
      <c r="N68" s="476" t="str">
        <f>Leach!M68</f>
        <v>na</v>
      </c>
      <c r="O68" s="485" t="str">
        <f>'SD-Det'!Z68</f>
        <v>na</v>
      </c>
      <c r="P68" s="494" t="str">
        <f>'SL-Det'!I68</f>
        <v>na</v>
      </c>
      <c r="Q68" s="975" t="s">
        <v>232</v>
      </c>
      <c r="S68" s="832" t="str">
        <f t="shared" si="236"/>
        <v/>
      </c>
      <c r="T68" s="366" t="str">
        <f t="shared" si="237"/>
        <v/>
      </c>
      <c r="U68" s="366" t="str">
        <f t="shared" si="238"/>
        <v/>
      </c>
      <c r="V68" s="366" t="str">
        <f t="shared" si="239"/>
        <v/>
      </c>
      <c r="W68" s="366" t="str">
        <f t="shared" si="240"/>
        <v/>
      </c>
      <c r="X68" s="366" t="str">
        <f t="shared" si="241"/>
        <v/>
      </c>
      <c r="Y68" s="989" t="str">
        <f t="shared" si="242"/>
        <v/>
      </c>
      <c r="Z68" s="832" t="str">
        <f t="shared" si="243"/>
        <v/>
      </c>
      <c r="AA68" s="366" t="str">
        <f t="shared" si="244"/>
        <v/>
      </c>
      <c r="AB68" s="366" t="str">
        <f t="shared" si="245"/>
        <v/>
      </c>
      <c r="AC68" s="366" t="str">
        <f t="shared" si="246"/>
        <v/>
      </c>
      <c r="AD68" s="366" t="str">
        <f t="shared" si="247"/>
        <v/>
      </c>
      <c r="AE68" s="366" t="str">
        <f t="shared" si="248"/>
        <v/>
      </c>
      <c r="AF68" s="833" t="str">
        <f t="shared" si="249"/>
        <v/>
      </c>
      <c r="AG68" s="832" t="str">
        <f t="shared" si="250"/>
        <v/>
      </c>
      <c r="AH68" s="366" t="str">
        <f t="shared" si="251"/>
        <v/>
      </c>
      <c r="AI68" s="366" t="str">
        <f t="shared" si="252"/>
        <v/>
      </c>
      <c r="AJ68" s="366" t="str">
        <f t="shared" si="253"/>
        <v/>
      </c>
      <c r="AK68" s="366" t="str">
        <f t="shared" si="254"/>
        <v/>
      </c>
      <c r="AL68" s="833" t="str">
        <f t="shared" si="255"/>
        <v/>
      </c>
      <c r="AM68" s="832" t="str">
        <f t="shared" si="256"/>
        <v/>
      </c>
      <c r="AN68" s="366" t="str">
        <f t="shared" si="257"/>
        <v/>
      </c>
      <c r="AO68" s="366" t="str">
        <f t="shared" si="258"/>
        <v/>
      </c>
      <c r="AP68" s="366" t="str">
        <f t="shared" si="259"/>
        <v/>
      </c>
      <c r="AQ68" s="366" t="str">
        <f t="shared" si="260"/>
        <v/>
      </c>
      <c r="AR68" s="833" t="str">
        <f t="shared" si="261"/>
        <v/>
      </c>
      <c r="AT68" s="1062"/>
      <c r="AY68" s="4"/>
    </row>
    <row r="69" spans="1:51" ht="13.9" customHeight="1" x14ac:dyDescent="0.25">
      <c r="A69" s="847">
        <f>Chem!A69</f>
        <v>67</v>
      </c>
      <c r="B69" s="951" t="str">
        <f>Chem!B69</f>
        <v>1-Methylnaphthalene</v>
      </c>
      <c r="C69" s="946">
        <f t="shared" si="232"/>
        <v>4.685037127239703E-2</v>
      </c>
      <c r="D69" s="463">
        <f t="shared" si="233"/>
        <v>2.4162581699346403E-3</v>
      </c>
      <c r="E69" s="634">
        <f t="shared" si="234"/>
        <v>19.607843137254903</v>
      </c>
      <c r="F69" s="634">
        <f t="shared" si="235"/>
        <v>19.607843137254903</v>
      </c>
      <c r="G69" s="634"/>
      <c r="H69" s="467">
        <f>'SL-Det'!E69</f>
        <v>19.607843137254903</v>
      </c>
      <c r="I69" s="231">
        <f>Leach!F69</f>
        <v>4.685037127239703E-2</v>
      </c>
      <c r="J69" s="231" t="str">
        <f>Leach!I69</f>
        <v>na</v>
      </c>
      <c r="K69" s="231" t="str">
        <f>Leach!L69</f>
        <v>na</v>
      </c>
      <c r="L69" s="476">
        <f>Leach!G69</f>
        <v>2.4162581699346403E-3</v>
      </c>
      <c r="M69" s="476" t="str">
        <f>Leach!J69</f>
        <v>na</v>
      </c>
      <c r="N69" s="476" t="str">
        <f>Leach!M69</f>
        <v>na</v>
      </c>
      <c r="O69" s="485" t="str">
        <f>'SD-Det'!Z69</f>
        <v>na</v>
      </c>
      <c r="P69" s="494" t="str">
        <f>'SL-Det'!I69</f>
        <v>na</v>
      </c>
      <c r="Q69" s="975" t="s">
        <v>232</v>
      </c>
      <c r="S69" s="832" t="str">
        <f t="shared" si="236"/>
        <v/>
      </c>
      <c r="T69" s="366" t="str">
        <f t="shared" si="237"/>
        <v>X</v>
      </c>
      <c r="U69" s="366" t="str">
        <f t="shared" si="238"/>
        <v/>
      </c>
      <c r="V69" s="366" t="str">
        <f t="shared" si="239"/>
        <v/>
      </c>
      <c r="W69" s="366" t="str">
        <f t="shared" si="240"/>
        <v/>
      </c>
      <c r="X69" s="366" t="str">
        <f t="shared" si="241"/>
        <v/>
      </c>
      <c r="Y69" s="989" t="str">
        <f t="shared" si="242"/>
        <v/>
      </c>
      <c r="Z69" s="832" t="str">
        <f t="shared" si="243"/>
        <v/>
      </c>
      <c r="AA69" s="366" t="str">
        <f t="shared" si="244"/>
        <v>X</v>
      </c>
      <c r="AB69" s="366" t="str">
        <f t="shared" si="245"/>
        <v/>
      </c>
      <c r="AC69" s="366" t="str">
        <f t="shared" si="246"/>
        <v/>
      </c>
      <c r="AD69" s="366" t="str">
        <f t="shared" si="247"/>
        <v/>
      </c>
      <c r="AE69" s="366" t="str">
        <f t="shared" si="248"/>
        <v/>
      </c>
      <c r="AF69" s="833" t="str">
        <f t="shared" si="249"/>
        <v/>
      </c>
      <c r="AG69" s="832" t="str">
        <f t="shared" si="250"/>
        <v>X</v>
      </c>
      <c r="AH69" s="366" t="str">
        <f t="shared" si="251"/>
        <v/>
      </c>
      <c r="AI69" s="366" t="str">
        <f t="shared" si="252"/>
        <v/>
      </c>
      <c r="AJ69" s="366" t="str">
        <f t="shared" si="253"/>
        <v/>
      </c>
      <c r="AK69" s="366" t="str">
        <f t="shared" si="254"/>
        <v/>
      </c>
      <c r="AL69" s="833" t="str">
        <f t="shared" si="255"/>
        <v/>
      </c>
      <c r="AM69" s="832" t="str">
        <f t="shared" si="256"/>
        <v>X</v>
      </c>
      <c r="AN69" s="366" t="str">
        <f t="shared" si="257"/>
        <v/>
      </c>
      <c r="AO69" s="366" t="str">
        <f t="shared" si="258"/>
        <v/>
      </c>
      <c r="AP69" s="366" t="str">
        <f t="shared" si="259"/>
        <v/>
      </c>
      <c r="AQ69" s="366" t="str">
        <f t="shared" si="260"/>
        <v/>
      </c>
      <c r="AR69" s="833" t="str">
        <f t="shared" si="261"/>
        <v/>
      </c>
      <c r="AT69" s="1062"/>
      <c r="AY69" s="4"/>
    </row>
    <row r="70" spans="1:51" ht="13.9" customHeight="1" x14ac:dyDescent="0.25">
      <c r="A70" s="847">
        <f>Chem!A70</f>
        <v>68</v>
      </c>
      <c r="B70" s="951" t="str">
        <f>Chem!B70</f>
        <v>2-Methylnaphthalene</v>
      </c>
      <c r="C70" s="946">
        <f t="shared" si="232"/>
        <v>0.67</v>
      </c>
      <c r="D70" s="463">
        <f t="shared" si="233"/>
        <v>3.8842255338206233E-2</v>
      </c>
      <c r="E70" s="634">
        <f t="shared" si="234"/>
        <v>0.67</v>
      </c>
      <c r="F70" s="634">
        <f t="shared" si="235"/>
        <v>3.8842255338206233E-2</v>
      </c>
      <c r="G70" s="634"/>
      <c r="H70" s="467">
        <f>'SL-Det'!E70</f>
        <v>320</v>
      </c>
      <c r="I70" s="231">
        <f>Leach!F70</f>
        <v>1.7155884004603243</v>
      </c>
      <c r="J70" s="231" t="str">
        <f>Leach!I70</f>
        <v>na</v>
      </c>
      <c r="K70" s="231">
        <f>Leach!L70</f>
        <v>0.7526806028532913</v>
      </c>
      <c r="L70" s="476">
        <f>Leach!G70</f>
        <v>8.8533333333333339E-2</v>
      </c>
      <c r="M70" s="476" t="str">
        <f>Leach!J70</f>
        <v>na</v>
      </c>
      <c r="N70" s="476">
        <f>Leach!M70</f>
        <v>3.8842255338206233E-2</v>
      </c>
      <c r="O70" s="485">
        <f>'SD-Det'!Z70</f>
        <v>0.67</v>
      </c>
      <c r="P70" s="494" t="str">
        <f>'SL-Det'!I70</f>
        <v>na</v>
      </c>
      <c r="Q70" s="975" t="s">
        <v>232</v>
      </c>
      <c r="S70" s="832" t="str">
        <f t="shared" si="236"/>
        <v/>
      </c>
      <c r="T70" s="366" t="str">
        <f t="shared" si="237"/>
        <v/>
      </c>
      <c r="U70" s="366" t="str">
        <f t="shared" si="238"/>
        <v/>
      </c>
      <c r="V70" s="366" t="str">
        <f t="shared" si="239"/>
        <v/>
      </c>
      <c r="W70" s="366" t="str">
        <f t="shared" si="240"/>
        <v>X</v>
      </c>
      <c r="X70" s="366" t="str">
        <f t="shared" si="241"/>
        <v/>
      </c>
      <c r="Y70" s="989" t="str">
        <f t="shared" si="242"/>
        <v/>
      </c>
      <c r="Z70" s="832" t="str">
        <f t="shared" si="243"/>
        <v/>
      </c>
      <c r="AA70" s="366" t="str">
        <f t="shared" si="244"/>
        <v/>
      </c>
      <c r="AB70" s="366" t="str">
        <f t="shared" si="245"/>
        <v/>
      </c>
      <c r="AC70" s="366" t="str">
        <f t="shared" si="246"/>
        <v>X</v>
      </c>
      <c r="AD70" s="366" t="str">
        <f t="shared" si="247"/>
        <v/>
      </c>
      <c r="AE70" s="366" t="str">
        <f t="shared" si="248"/>
        <v/>
      </c>
      <c r="AF70" s="833" t="str">
        <f t="shared" si="249"/>
        <v/>
      </c>
      <c r="AG70" s="832" t="str">
        <f t="shared" si="250"/>
        <v/>
      </c>
      <c r="AH70" s="366" t="str">
        <f t="shared" si="251"/>
        <v/>
      </c>
      <c r="AI70" s="366" t="str">
        <f t="shared" si="252"/>
        <v/>
      </c>
      <c r="AJ70" s="366" t="str">
        <f t="shared" si="253"/>
        <v>X</v>
      </c>
      <c r="AK70" s="366" t="str">
        <f t="shared" si="254"/>
        <v/>
      </c>
      <c r="AL70" s="833" t="str">
        <f t="shared" si="255"/>
        <v/>
      </c>
      <c r="AM70" s="832" t="str">
        <f t="shared" si="256"/>
        <v/>
      </c>
      <c r="AN70" s="366" t="str">
        <f t="shared" si="257"/>
        <v/>
      </c>
      <c r="AO70" s="366" t="str">
        <f t="shared" si="258"/>
        <v>X</v>
      </c>
      <c r="AP70" s="366" t="str">
        <f t="shared" si="259"/>
        <v/>
      </c>
      <c r="AQ70" s="366" t="str">
        <f t="shared" si="260"/>
        <v/>
      </c>
      <c r="AR70" s="833" t="str">
        <f t="shared" si="261"/>
        <v/>
      </c>
      <c r="AT70" s="1062"/>
      <c r="AY70" s="4"/>
    </row>
    <row r="71" spans="1:51" ht="13.9" customHeight="1" x14ac:dyDescent="0.25">
      <c r="A71" s="847">
        <f>Chem!A71</f>
        <v>69</v>
      </c>
      <c r="B71" s="951" t="str">
        <f>Chem!B71</f>
        <v>Naphthalene</v>
      </c>
      <c r="C71" s="946">
        <f t="shared" si="232"/>
        <v>3.8940187425865136E-2</v>
      </c>
      <c r="D71" s="463">
        <f t="shared" si="233"/>
        <v>2.0673333333333333E-3</v>
      </c>
      <c r="E71" s="634">
        <f t="shared" si="234"/>
        <v>3.8940187425865136E-2</v>
      </c>
      <c r="F71" s="634">
        <f t="shared" si="235"/>
        <v>2.0673333333333333E-3</v>
      </c>
      <c r="G71" s="634"/>
      <c r="H71" s="467">
        <f>'SL-Det'!E71</f>
        <v>1600</v>
      </c>
      <c r="I71" s="231">
        <f>Leach!F71</f>
        <v>4.4503071343845875</v>
      </c>
      <c r="J71" s="231">
        <f>Leach!I71</f>
        <v>3.8940187425865136E-2</v>
      </c>
      <c r="K71" s="231">
        <f>Leach!L71</f>
        <v>2.5162809268652406</v>
      </c>
      <c r="L71" s="476">
        <f>Leach!G71</f>
        <v>0.23626666666666665</v>
      </c>
      <c r="M71" s="476">
        <f>Leach!J71</f>
        <v>2.0673333333333333E-3</v>
      </c>
      <c r="N71" s="476">
        <f>Leach!M71</f>
        <v>0.13358927575895799</v>
      </c>
      <c r="O71" s="485">
        <f>'SD-Det'!Z71</f>
        <v>2.1</v>
      </c>
      <c r="P71" s="494" t="str">
        <f>'SL-Det'!I71</f>
        <v>na</v>
      </c>
      <c r="Q71" s="975" t="s">
        <v>232</v>
      </c>
      <c r="S71" s="832" t="str">
        <f t="shared" si="236"/>
        <v/>
      </c>
      <c r="T71" s="366" t="str">
        <f t="shared" si="237"/>
        <v/>
      </c>
      <c r="U71" s="366" t="str">
        <f t="shared" si="238"/>
        <v>X</v>
      </c>
      <c r="V71" s="366" t="str">
        <f t="shared" si="239"/>
        <v/>
      </c>
      <c r="W71" s="366" t="str">
        <f t="shared" si="240"/>
        <v/>
      </c>
      <c r="X71" s="366" t="str">
        <f t="shared" si="241"/>
        <v/>
      </c>
      <c r="Y71" s="989" t="str">
        <f t="shared" si="242"/>
        <v/>
      </c>
      <c r="Z71" s="832" t="str">
        <f t="shared" si="243"/>
        <v/>
      </c>
      <c r="AA71" s="366" t="str">
        <f t="shared" si="244"/>
        <v/>
      </c>
      <c r="AB71" s="366" t="str">
        <f t="shared" si="245"/>
        <v>X</v>
      </c>
      <c r="AC71" s="366" t="str">
        <f t="shared" si="246"/>
        <v/>
      </c>
      <c r="AD71" s="366" t="str">
        <f t="shared" si="247"/>
        <v/>
      </c>
      <c r="AE71" s="366" t="str">
        <f t="shared" si="248"/>
        <v/>
      </c>
      <c r="AF71" s="833" t="str">
        <f t="shared" si="249"/>
        <v/>
      </c>
      <c r="AG71" s="832" t="str">
        <f t="shared" si="250"/>
        <v/>
      </c>
      <c r="AH71" s="366" t="str">
        <f t="shared" si="251"/>
        <v>X</v>
      </c>
      <c r="AI71" s="366" t="str">
        <f t="shared" si="252"/>
        <v/>
      </c>
      <c r="AJ71" s="366" t="str">
        <f t="shared" si="253"/>
        <v/>
      </c>
      <c r="AK71" s="366" t="str">
        <f t="shared" si="254"/>
        <v/>
      </c>
      <c r="AL71" s="833" t="str">
        <f t="shared" si="255"/>
        <v/>
      </c>
      <c r="AM71" s="832" t="str">
        <f t="shared" si="256"/>
        <v/>
      </c>
      <c r="AN71" s="366" t="str">
        <f t="shared" si="257"/>
        <v>X</v>
      </c>
      <c r="AO71" s="366" t="str">
        <f t="shared" si="258"/>
        <v/>
      </c>
      <c r="AP71" s="366" t="str">
        <f t="shared" si="259"/>
        <v/>
      </c>
      <c r="AQ71" s="366" t="str">
        <f t="shared" si="260"/>
        <v/>
      </c>
      <c r="AR71" s="833" t="str">
        <f t="shared" si="261"/>
        <v/>
      </c>
      <c r="AT71" s="1062"/>
      <c r="AY71" s="4"/>
    </row>
    <row r="72" spans="1:51" ht="13.9" customHeight="1" x14ac:dyDescent="0.25">
      <c r="A72" s="847">
        <f>Chem!A72</f>
        <v>70</v>
      </c>
      <c r="B72" s="951" t="str">
        <f>Chem!B72</f>
        <v>Phenanthrene</v>
      </c>
      <c r="C72" s="946">
        <f t="shared" si="232"/>
        <v>1.5</v>
      </c>
      <c r="D72" s="463">
        <f t="shared" si="233"/>
        <v>1.5</v>
      </c>
      <c r="E72" s="634">
        <f t="shared" si="234"/>
        <v>1.5</v>
      </c>
      <c r="F72" s="634">
        <f t="shared" si="235"/>
        <v>1.5</v>
      </c>
      <c r="G72" s="634"/>
      <c r="H72" s="467" t="str">
        <f>'SL-Det'!E72</f>
        <v>na</v>
      </c>
      <c r="I72" s="231" t="str">
        <f>Leach!F72</f>
        <v>na</v>
      </c>
      <c r="J72" s="231" t="str">
        <f>Leach!I72</f>
        <v>na</v>
      </c>
      <c r="K72" s="231" t="str">
        <f>Leach!L72</f>
        <v>na</v>
      </c>
      <c r="L72" s="476" t="str">
        <f>Leach!G72</f>
        <v>na</v>
      </c>
      <c r="M72" s="476" t="str">
        <f>Leach!J72</f>
        <v>na</v>
      </c>
      <c r="N72" s="476" t="str">
        <f>Leach!M72</f>
        <v>na</v>
      </c>
      <c r="O72" s="485">
        <f>'SD-Det'!Z72</f>
        <v>1.5</v>
      </c>
      <c r="P72" s="494" t="str">
        <f>'SL-Det'!I72</f>
        <v>na</v>
      </c>
      <c r="Q72" s="975" t="s">
        <v>232</v>
      </c>
      <c r="S72" s="832" t="str">
        <f t="shared" si="236"/>
        <v/>
      </c>
      <c r="T72" s="366" t="str">
        <f t="shared" si="237"/>
        <v/>
      </c>
      <c r="U72" s="366" t="str">
        <f t="shared" si="238"/>
        <v/>
      </c>
      <c r="V72" s="366" t="str">
        <f t="shared" si="239"/>
        <v/>
      </c>
      <c r="W72" s="366" t="str">
        <f t="shared" si="240"/>
        <v>X</v>
      </c>
      <c r="X72" s="366" t="str">
        <f t="shared" si="241"/>
        <v/>
      </c>
      <c r="Y72" s="989" t="str">
        <f t="shared" si="242"/>
        <v/>
      </c>
      <c r="Z72" s="832" t="str">
        <f t="shared" si="243"/>
        <v/>
      </c>
      <c r="AA72" s="366" t="str">
        <f t="shared" si="244"/>
        <v/>
      </c>
      <c r="AB72" s="366" t="str">
        <f t="shared" si="245"/>
        <v/>
      </c>
      <c r="AC72" s="366" t="str">
        <f t="shared" si="246"/>
        <v/>
      </c>
      <c r="AD72" s="366" t="str">
        <f t="shared" si="247"/>
        <v>X</v>
      </c>
      <c r="AE72" s="366" t="str">
        <f t="shared" si="248"/>
        <v/>
      </c>
      <c r="AF72" s="833" t="str">
        <f t="shared" si="249"/>
        <v/>
      </c>
      <c r="AG72" s="832" t="str">
        <f t="shared" si="250"/>
        <v/>
      </c>
      <c r="AH72" s="366" t="str">
        <f t="shared" si="251"/>
        <v/>
      </c>
      <c r="AI72" s="366" t="str">
        <f t="shared" si="252"/>
        <v/>
      </c>
      <c r="AJ72" s="366" t="str">
        <f t="shared" si="253"/>
        <v>X</v>
      </c>
      <c r="AK72" s="366" t="str">
        <f t="shared" si="254"/>
        <v/>
      </c>
      <c r="AL72" s="833" t="str">
        <f t="shared" si="255"/>
        <v/>
      </c>
      <c r="AM72" s="832" t="str">
        <f t="shared" si="256"/>
        <v/>
      </c>
      <c r="AN72" s="366" t="str">
        <f t="shared" si="257"/>
        <v/>
      </c>
      <c r="AO72" s="366" t="str">
        <f t="shared" si="258"/>
        <v/>
      </c>
      <c r="AP72" s="366" t="str">
        <f t="shared" si="259"/>
        <v>X</v>
      </c>
      <c r="AQ72" s="366" t="str">
        <f t="shared" si="260"/>
        <v/>
      </c>
      <c r="AR72" s="833" t="str">
        <f t="shared" si="261"/>
        <v/>
      </c>
      <c r="AT72" s="1062"/>
      <c r="AY72" s="4"/>
    </row>
    <row r="73" spans="1:51" ht="13.9" customHeight="1" x14ac:dyDescent="0.25">
      <c r="A73" s="847">
        <f>Chem!A73</f>
        <v>71</v>
      </c>
      <c r="B73" s="951" t="str">
        <f>Chem!B73</f>
        <v>Pyrene</v>
      </c>
      <c r="C73" s="946">
        <f t="shared" si="232"/>
        <v>2.6</v>
      </c>
      <c r="D73" s="463">
        <f t="shared" si="233"/>
        <v>0.13735488886613498</v>
      </c>
      <c r="E73" s="634">
        <f t="shared" si="234"/>
        <v>2.6</v>
      </c>
      <c r="F73" s="634">
        <f t="shared" si="235"/>
        <v>0.13735488886613498</v>
      </c>
      <c r="G73" s="634"/>
      <c r="H73" s="467">
        <f>'SL-Det'!E73</f>
        <v>2400</v>
      </c>
      <c r="I73" s="231">
        <f>Leach!F73</f>
        <v>327.36004777307375</v>
      </c>
      <c r="J73" s="231">
        <f>Leach!I73</f>
        <v>10.912001592435793</v>
      </c>
      <c r="K73" s="231">
        <f>Leach!L73</f>
        <v>2.7436116726717747</v>
      </c>
      <c r="L73" s="476">
        <f>Leach!G73</f>
        <v>16.3888</v>
      </c>
      <c r="M73" s="476">
        <f>Leach!J73</f>
        <v>0.5462933333333333</v>
      </c>
      <c r="N73" s="476">
        <f>Leach!M73</f>
        <v>0.13735488886613498</v>
      </c>
      <c r="O73" s="485">
        <f>'SD-Det'!Z73</f>
        <v>2.6</v>
      </c>
      <c r="P73" s="494" t="str">
        <f>'SL-Det'!I73</f>
        <v>na</v>
      </c>
      <c r="Q73" s="975" t="s">
        <v>232</v>
      </c>
      <c r="S73" s="832" t="str">
        <f t="shared" si="236"/>
        <v/>
      </c>
      <c r="T73" s="366" t="str">
        <f t="shared" si="237"/>
        <v/>
      </c>
      <c r="U73" s="366" t="str">
        <f t="shared" si="238"/>
        <v/>
      </c>
      <c r="V73" s="366" t="str">
        <f t="shared" si="239"/>
        <v/>
      </c>
      <c r="W73" s="366" t="str">
        <f t="shared" si="240"/>
        <v>X</v>
      </c>
      <c r="X73" s="366" t="str">
        <f t="shared" si="241"/>
        <v/>
      </c>
      <c r="Y73" s="989" t="str">
        <f t="shared" si="242"/>
        <v/>
      </c>
      <c r="Z73" s="832" t="str">
        <f t="shared" si="243"/>
        <v/>
      </c>
      <c r="AA73" s="366" t="str">
        <f t="shared" si="244"/>
        <v/>
      </c>
      <c r="AB73" s="366" t="str">
        <f t="shared" si="245"/>
        <v/>
      </c>
      <c r="AC73" s="366" t="str">
        <f t="shared" si="246"/>
        <v>X</v>
      </c>
      <c r="AD73" s="366" t="str">
        <f t="shared" si="247"/>
        <v/>
      </c>
      <c r="AE73" s="366" t="str">
        <f t="shared" si="248"/>
        <v/>
      </c>
      <c r="AF73" s="833" t="str">
        <f t="shared" si="249"/>
        <v/>
      </c>
      <c r="AG73" s="832" t="str">
        <f t="shared" si="250"/>
        <v/>
      </c>
      <c r="AH73" s="366" t="str">
        <f t="shared" si="251"/>
        <v/>
      </c>
      <c r="AI73" s="366" t="str">
        <f t="shared" si="252"/>
        <v/>
      </c>
      <c r="AJ73" s="366" t="str">
        <f t="shared" si="253"/>
        <v>X</v>
      </c>
      <c r="AK73" s="366" t="str">
        <f t="shared" si="254"/>
        <v/>
      </c>
      <c r="AL73" s="833" t="str">
        <f t="shared" si="255"/>
        <v/>
      </c>
      <c r="AM73" s="832" t="str">
        <f t="shared" si="256"/>
        <v/>
      </c>
      <c r="AN73" s="366" t="str">
        <f t="shared" si="257"/>
        <v/>
      </c>
      <c r="AO73" s="366" t="str">
        <f t="shared" si="258"/>
        <v>X</v>
      </c>
      <c r="AP73" s="366" t="str">
        <f t="shared" si="259"/>
        <v/>
      </c>
      <c r="AQ73" s="366" t="str">
        <f t="shared" si="260"/>
        <v/>
      </c>
      <c r="AR73" s="833" t="str">
        <f t="shared" si="261"/>
        <v/>
      </c>
      <c r="AT73" s="1062"/>
      <c r="AY73" s="4"/>
    </row>
    <row r="74" spans="1:51" ht="13.9" customHeight="1" x14ac:dyDescent="0.25">
      <c r="A74" s="847">
        <f>Chem!A74</f>
        <v>72</v>
      </c>
      <c r="B74" s="951" t="str">
        <f>Chem!B74</f>
        <v>Total LPAHs</v>
      </c>
      <c r="C74" s="946">
        <f t="shared" si="232"/>
        <v>5.2</v>
      </c>
      <c r="D74" s="463">
        <f t="shared" si="233"/>
        <v>5.2</v>
      </c>
      <c r="E74" s="634">
        <f t="shared" si="234"/>
        <v>5.2</v>
      </c>
      <c r="F74" s="634">
        <f t="shared" si="235"/>
        <v>5.2</v>
      </c>
      <c r="G74" s="634"/>
      <c r="H74" s="467" t="str">
        <f>'SL-Det'!E74</f>
        <v>na</v>
      </c>
      <c r="I74" s="231" t="str">
        <f>Leach!F74</f>
        <v>na</v>
      </c>
      <c r="J74" s="231" t="str">
        <f>Leach!I74</f>
        <v>na</v>
      </c>
      <c r="K74" s="231" t="str">
        <f>Leach!L74</f>
        <v>na</v>
      </c>
      <c r="L74" s="476" t="str">
        <f>Leach!G74</f>
        <v>na</v>
      </c>
      <c r="M74" s="476" t="str">
        <f>Leach!J74</f>
        <v>na</v>
      </c>
      <c r="N74" s="476" t="str">
        <f>Leach!M74</f>
        <v>na</v>
      </c>
      <c r="O74" s="485">
        <f>'SD-Det'!Z74</f>
        <v>5.2</v>
      </c>
      <c r="P74" s="494">
        <f>'SL-Det'!I74</f>
        <v>29</v>
      </c>
      <c r="Q74" s="975" t="s">
        <v>232</v>
      </c>
      <c r="S74" s="832" t="str">
        <f t="shared" si="236"/>
        <v/>
      </c>
      <c r="T74" s="366" t="str">
        <f t="shared" si="237"/>
        <v/>
      </c>
      <c r="U74" s="366" t="str">
        <f t="shared" si="238"/>
        <v/>
      </c>
      <c r="V74" s="366" t="str">
        <f t="shared" si="239"/>
        <v/>
      </c>
      <c r="W74" s="366" t="str">
        <f t="shared" si="240"/>
        <v>X</v>
      </c>
      <c r="X74" s="366" t="str">
        <f t="shared" si="241"/>
        <v/>
      </c>
      <c r="Y74" s="989" t="str">
        <f t="shared" si="242"/>
        <v/>
      </c>
      <c r="Z74" s="832" t="str">
        <f t="shared" si="243"/>
        <v/>
      </c>
      <c r="AA74" s="366" t="str">
        <f t="shared" si="244"/>
        <v/>
      </c>
      <c r="AB74" s="366" t="str">
        <f t="shared" si="245"/>
        <v/>
      </c>
      <c r="AC74" s="366" t="str">
        <f t="shared" si="246"/>
        <v/>
      </c>
      <c r="AD74" s="366" t="str">
        <f t="shared" si="247"/>
        <v>X</v>
      </c>
      <c r="AE74" s="366" t="str">
        <f t="shared" si="248"/>
        <v/>
      </c>
      <c r="AF74" s="833" t="str">
        <f t="shared" si="249"/>
        <v/>
      </c>
      <c r="AG74" s="832" t="str">
        <f t="shared" si="250"/>
        <v/>
      </c>
      <c r="AH74" s="366" t="str">
        <f t="shared" si="251"/>
        <v/>
      </c>
      <c r="AI74" s="366" t="str">
        <f t="shared" si="252"/>
        <v/>
      </c>
      <c r="AJ74" s="366" t="str">
        <f t="shared" si="253"/>
        <v>X</v>
      </c>
      <c r="AK74" s="366" t="str">
        <f t="shared" si="254"/>
        <v/>
      </c>
      <c r="AL74" s="833" t="str">
        <f t="shared" si="255"/>
        <v/>
      </c>
      <c r="AM74" s="832" t="str">
        <f t="shared" si="256"/>
        <v/>
      </c>
      <c r="AN74" s="366" t="str">
        <f t="shared" si="257"/>
        <v/>
      </c>
      <c r="AO74" s="366" t="str">
        <f t="shared" si="258"/>
        <v/>
      </c>
      <c r="AP74" s="366" t="str">
        <f t="shared" si="259"/>
        <v>X</v>
      </c>
      <c r="AQ74" s="366" t="str">
        <f t="shared" si="260"/>
        <v/>
      </c>
      <c r="AR74" s="833" t="str">
        <f t="shared" si="261"/>
        <v/>
      </c>
      <c r="AT74" s="1062"/>
      <c r="AY74" s="4"/>
    </row>
    <row r="75" spans="1:51" ht="13.9" customHeight="1" x14ac:dyDescent="0.25">
      <c r="A75" s="847">
        <f>Chem!A75</f>
        <v>73</v>
      </c>
      <c r="B75" s="951" t="str">
        <f>Chem!B75</f>
        <v>Total HPAHs</v>
      </c>
      <c r="C75" s="946">
        <f t="shared" si="232"/>
        <v>1.1000000000000001</v>
      </c>
      <c r="D75" s="463">
        <f t="shared" si="233"/>
        <v>1.1000000000000001</v>
      </c>
      <c r="E75" s="634">
        <f t="shared" si="234"/>
        <v>1.1000000000000001</v>
      </c>
      <c r="F75" s="634">
        <f t="shared" si="235"/>
        <v>1.1000000000000001</v>
      </c>
      <c r="G75" s="634"/>
      <c r="H75" s="467" t="str">
        <f>'SL-Det'!E75</f>
        <v>na</v>
      </c>
      <c r="I75" s="231" t="str">
        <f>Leach!F75</f>
        <v>na</v>
      </c>
      <c r="J75" s="231" t="str">
        <f>Leach!I75</f>
        <v>na</v>
      </c>
      <c r="K75" s="231" t="str">
        <f>Leach!L75</f>
        <v>na</v>
      </c>
      <c r="L75" s="476" t="str">
        <f>Leach!G75</f>
        <v>na</v>
      </c>
      <c r="M75" s="476" t="str">
        <f>Leach!J75</f>
        <v>na</v>
      </c>
      <c r="N75" s="476" t="str">
        <f>Leach!M75</f>
        <v>na</v>
      </c>
      <c r="O75" s="485">
        <f>'SD-Det'!Z75</f>
        <v>12</v>
      </c>
      <c r="P75" s="494">
        <f>'SL-Det'!I75</f>
        <v>1.1000000000000001</v>
      </c>
      <c r="Q75" s="975" t="s">
        <v>232</v>
      </c>
      <c r="S75" s="832" t="str">
        <f t="shared" si="236"/>
        <v/>
      </c>
      <c r="T75" s="366" t="str">
        <f t="shared" si="237"/>
        <v/>
      </c>
      <c r="U75" s="366" t="str">
        <f t="shared" si="238"/>
        <v/>
      </c>
      <c r="V75" s="366" t="str">
        <f t="shared" si="239"/>
        <v/>
      </c>
      <c r="W75" s="366" t="str">
        <f t="shared" si="240"/>
        <v/>
      </c>
      <c r="X75" s="366" t="str">
        <f t="shared" si="241"/>
        <v>X</v>
      </c>
      <c r="Y75" s="989" t="str">
        <f t="shared" si="242"/>
        <v/>
      </c>
      <c r="Z75" s="832" t="str">
        <f t="shared" si="243"/>
        <v/>
      </c>
      <c r="AA75" s="366" t="str">
        <f t="shared" si="244"/>
        <v/>
      </c>
      <c r="AB75" s="366" t="str">
        <f t="shared" si="245"/>
        <v/>
      </c>
      <c r="AC75" s="366" t="str">
        <f t="shared" si="246"/>
        <v/>
      </c>
      <c r="AD75" s="366" t="str">
        <f t="shared" si="247"/>
        <v/>
      </c>
      <c r="AE75" s="366" t="str">
        <f t="shared" si="248"/>
        <v>X</v>
      </c>
      <c r="AF75" s="833" t="str">
        <f t="shared" si="249"/>
        <v/>
      </c>
      <c r="AG75" s="832" t="str">
        <f t="shared" si="250"/>
        <v/>
      </c>
      <c r="AH75" s="366" t="str">
        <f t="shared" si="251"/>
        <v/>
      </c>
      <c r="AI75" s="366" t="str">
        <f t="shared" si="252"/>
        <v/>
      </c>
      <c r="AJ75" s="366" t="str">
        <f t="shared" si="253"/>
        <v/>
      </c>
      <c r="AK75" s="366" t="str">
        <f t="shared" si="254"/>
        <v>X</v>
      </c>
      <c r="AL75" s="833" t="str">
        <f t="shared" si="255"/>
        <v/>
      </c>
      <c r="AM75" s="832" t="str">
        <f t="shared" si="256"/>
        <v/>
      </c>
      <c r="AN75" s="366" t="str">
        <f t="shared" si="257"/>
        <v/>
      </c>
      <c r="AO75" s="366" t="str">
        <f t="shared" si="258"/>
        <v/>
      </c>
      <c r="AP75" s="366" t="str">
        <f t="shared" si="259"/>
        <v/>
      </c>
      <c r="AQ75" s="366" t="str">
        <f t="shared" si="260"/>
        <v>X</v>
      </c>
      <c r="AR75" s="833" t="str">
        <f t="shared" si="261"/>
        <v/>
      </c>
      <c r="AT75" s="1062"/>
      <c r="AY75" s="4"/>
    </row>
    <row r="76" spans="1:51" ht="13.9" customHeight="1" x14ac:dyDescent="0.25">
      <c r="A76" s="842">
        <f>Chem!A76</f>
        <v>74</v>
      </c>
      <c r="B76" s="951" t="str">
        <f>Chem!B76</f>
        <v>Total PAHs</v>
      </c>
      <c r="C76" s="946" t="str">
        <f t="shared" si="232"/>
        <v>na</v>
      </c>
      <c r="D76" s="463" t="str">
        <f t="shared" si="233"/>
        <v>na</v>
      </c>
      <c r="E76" s="634" t="str">
        <f t="shared" si="234"/>
        <v>na</v>
      </c>
      <c r="F76" s="634" t="str">
        <f t="shared" si="235"/>
        <v>na</v>
      </c>
      <c r="G76" s="634"/>
      <c r="H76" s="467" t="str">
        <f>'SL-Det'!E76</f>
        <v>na</v>
      </c>
      <c r="I76" s="231" t="str">
        <f>Leach!F76</f>
        <v>na</v>
      </c>
      <c r="J76" s="231" t="str">
        <f>Leach!I76</f>
        <v>na</v>
      </c>
      <c r="K76" s="231" t="str">
        <f>Leach!L76</f>
        <v>na</v>
      </c>
      <c r="L76" s="476" t="str">
        <f>Leach!G76</f>
        <v>na</v>
      </c>
      <c r="M76" s="476" t="str">
        <f>Leach!J76</f>
        <v>na</v>
      </c>
      <c r="N76" s="476" t="str">
        <f>Leach!M76</f>
        <v>na</v>
      </c>
      <c r="O76" s="485" t="str">
        <f>'SD-Det'!Z76</f>
        <v>na</v>
      </c>
      <c r="P76" s="494" t="str">
        <f>'SL-Det'!I76</f>
        <v>na</v>
      </c>
      <c r="Q76" s="975" t="s">
        <v>232</v>
      </c>
      <c r="S76" s="832" t="str">
        <f t="shared" si="236"/>
        <v/>
      </c>
      <c r="T76" s="366" t="str">
        <f t="shared" si="237"/>
        <v/>
      </c>
      <c r="U76" s="366" t="str">
        <f t="shared" si="238"/>
        <v/>
      </c>
      <c r="V76" s="366" t="str">
        <f t="shared" si="239"/>
        <v/>
      </c>
      <c r="W76" s="366" t="str">
        <f t="shared" si="240"/>
        <v/>
      </c>
      <c r="X76" s="366" t="str">
        <f t="shared" si="241"/>
        <v/>
      </c>
      <c r="Y76" s="989" t="str">
        <f t="shared" si="242"/>
        <v/>
      </c>
      <c r="Z76" s="832" t="str">
        <f t="shared" si="243"/>
        <v/>
      </c>
      <c r="AA76" s="366" t="str">
        <f t="shared" si="244"/>
        <v/>
      </c>
      <c r="AB76" s="366" t="str">
        <f t="shared" si="245"/>
        <v/>
      </c>
      <c r="AC76" s="366" t="str">
        <f t="shared" si="246"/>
        <v/>
      </c>
      <c r="AD76" s="366" t="str">
        <f t="shared" si="247"/>
        <v/>
      </c>
      <c r="AE76" s="366" t="str">
        <f t="shared" si="248"/>
        <v/>
      </c>
      <c r="AF76" s="833" t="str">
        <f t="shared" si="249"/>
        <v/>
      </c>
      <c r="AG76" s="832" t="str">
        <f t="shared" si="250"/>
        <v/>
      </c>
      <c r="AH76" s="366" t="str">
        <f t="shared" si="251"/>
        <v/>
      </c>
      <c r="AI76" s="366" t="str">
        <f t="shared" si="252"/>
        <v/>
      </c>
      <c r="AJ76" s="366" t="str">
        <f t="shared" si="253"/>
        <v/>
      </c>
      <c r="AK76" s="366" t="str">
        <f t="shared" si="254"/>
        <v/>
      </c>
      <c r="AL76" s="833" t="str">
        <f t="shared" si="255"/>
        <v/>
      </c>
      <c r="AM76" s="832" t="str">
        <f t="shared" si="256"/>
        <v/>
      </c>
      <c r="AN76" s="366" t="str">
        <f t="shared" si="257"/>
        <v/>
      </c>
      <c r="AO76" s="366" t="str">
        <f t="shared" si="258"/>
        <v/>
      </c>
      <c r="AP76" s="366" t="str">
        <f t="shared" si="259"/>
        <v/>
      </c>
      <c r="AQ76" s="366" t="str">
        <f t="shared" si="260"/>
        <v/>
      </c>
      <c r="AR76" s="833" t="str">
        <f t="shared" si="261"/>
        <v/>
      </c>
      <c r="AT76" s="1062"/>
      <c r="AY76" s="4"/>
    </row>
    <row r="77" spans="1:51" ht="13.9" customHeight="1" x14ac:dyDescent="0.25">
      <c r="A77" s="844">
        <f>Chem!A77</f>
        <v>75</v>
      </c>
      <c r="B77" s="951" t="str">
        <f>Chem!B77</f>
        <v>Total cPAH TEQ</v>
      </c>
      <c r="C77" s="946">
        <f t="shared" si="232"/>
        <v>3.1007168010004744E-4</v>
      </c>
      <c r="D77" s="463">
        <f t="shared" si="233"/>
        <v>1.5504970666666666E-5</v>
      </c>
      <c r="E77" s="634">
        <f t="shared" si="234"/>
        <v>3.1007168010004744E-4</v>
      </c>
      <c r="F77" s="634">
        <f t="shared" si="235"/>
        <v>1.5504970666666666E-5</v>
      </c>
      <c r="G77" s="634"/>
      <c r="H77" s="467">
        <f>'SL-Det'!E77</f>
        <v>0.1875</v>
      </c>
      <c r="I77" s="470">
        <f>Leach!F77</f>
        <v>3.8758960012505934</v>
      </c>
      <c r="J77" s="470">
        <f>Leach!I77</f>
        <v>3.1007168010004744E-4</v>
      </c>
      <c r="K77" s="470">
        <f>Leach!L77</f>
        <v>0.62116049881208069</v>
      </c>
      <c r="L77" s="477">
        <f>Leach!G77</f>
        <v>0.19381213333333333</v>
      </c>
      <c r="M77" s="477">
        <f>Leach!J77</f>
        <v>1.5504970666666666E-5</v>
      </c>
      <c r="N77" s="477">
        <f>Leach!M77</f>
        <v>3.1060802812645748E-2</v>
      </c>
      <c r="O77" s="483">
        <f>'SD-Det'!Z77</f>
        <v>0.59</v>
      </c>
      <c r="P77" s="494" t="str">
        <f>'SL-Det'!I77</f>
        <v>na</v>
      </c>
      <c r="Q77" s="975" t="s">
        <v>232</v>
      </c>
      <c r="S77" s="834" t="str">
        <f t="shared" si="236"/>
        <v/>
      </c>
      <c r="T77" s="368" t="str">
        <f t="shared" si="237"/>
        <v/>
      </c>
      <c r="U77" s="368" t="str">
        <f t="shared" si="238"/>
        <v>X</v>
      </c>
      <c r="V77" s="368" t="str">
        <f t="shared" si="239"/>
        <v/>
      </c>
      <c r="W77" s="368" t="str">
        <f t="shared" si="240"/>
        <v/>
      </c>
      <c r="X77" s="368" t="str">
        <f t="shared" si="241"/>
        <v/>
      </c>
      <c r="Y77" s="990" t="str">
        <f t="shared" si="242"/>
        <v/>
      </c>
      <c r="Z77" s="834" t="str">
        <f t="shared" si="243"/>
        <v/>
      </c>
      <c r="AA77" s="368" t="str">
        <f t="shared" si="244"/>
        <v/>
      </c>
      <c r="AB77" s="368" t="str">
        <f t="shared" si="245"/>
        <v>X</v>
      </c>
      <c r="AC77" s="368" t="str">
        <f t="shared" si="246"/>
        <v/>
      </c>
      <c r="AD77" s="368" t="str">
        <f t="shared" si="247"/>
        <v/>
      </c>
      <c r="AE77" s="368" t="str">
        <f t="shared" si="248"/>
        <v/>
      </c>
      <c r="AF77" s="835" t="str">
        <f t="shared" si="249"/>
        <v/>
      </c>
      <c r="AG77" s="834" t="str">
        <f t="shared" si="250"/>
        <v/>
      </c>
      <c r="AH77" s="368" t="str">
        <f t="shared" si="251"/>
        <v>X</v>
      </c>
      <c r="AI77" s="368" t="str">
        <f t="shared" si="252"/>
        <v/>
      </c>
      <c r="AJ77" s="368" t="str">
        <f t="shared" si="253"/>
        <v/>
      </c>
      <c r="AK77" s="368" t="str">
        <f t="shared" si="254"/>
        <v/>
      </c>
      <c r="AL77" s="835" t="str">
        <f t="shared" si="255"/>
        <v/>
      </c>
      <c r="AM77" s="834" t="str">
        <f t="shared" si="256"/>
        <v/>
      </c>
      <c r="AN77" s="368" t="str">
        <f t="shared" si="257"/>
        <v>X</v>
      </c>
      <c r="AO77" s="368" t="str">
        <f t="shared" si="258"/>
        <v/>
      </c>
      <c r="AP77" s="368" t="str">
        <f t="shared" si="259"/>
        <v/>
      </c>
      <c r="AQ77" s="368" t="str">
        <f t="shared" si="260"/>
        <v/>
      </c>
      <c r="AR77" s="835" t="str">
        <f t="shared" si="261"/>
        <v/>
      </c>
      <c r="AT77" s="1062"/>
      <c r="AY77" s="4"/>
    </row>
    <row r="78" spans="1:51" ht="13.9" customHeight="1" x14ac:dyDescent="0.25">
      <c r="A78" s="906">
        <f>Chem!A78</f>
        <v>76</v>
      </c>
      <c r="B78" s="953" t="str">
        <f>Chem!B78</f>
        <v>Other SVOCs</v>
      </c>
      <c r="C78" s="28"/>
      <c r="D78" s="28"/>
      <c r="E78" s="28"/>
      <c r="F78" s="28"/>
      <c r="G78" s="28"/>
      <c r="H78" s="28"/>
      <c r="I78" s="28"/>
      <c r="J78" s="28"/>
      <c r="K78" s="28"/>
      <c r="L78" s="28"/>
      <c r="M78" s="28"/>
      <c r="N78" s="28"/>
      <c r="O78" s="43"/>
      <c r="P78" s="2323"/>
      <c r="Q78" s="2324"/>
      <c r="S78" s="26" t="str">
        <f>B78</f>
        <v>Other SVOCs</v>
      </c>
      <c r="T78" s="2328"/>
      <c r="U78" s="2328"/>
      <c r="V78" s="2328"/>
      <c r="W78" s="2328"/>
      <c r="X78" s="2328"/>
      <c r="Y78" s="2328"/>
      <c r="Z78" s="2328"/>
      <c r="AA78" s="2328"/>
      <c r="AB78" s="2328"/>
      <c r="AC78" s="2328"/>
      <c r="AD78" s="2328"/>
      <c r="AE78" s="2328"/>
      <c r="AF78" s="2328"/>
      <c r="AG78" s="2329"/>
      <c r="AH78" s="2328"/>
      <c r="AI78" s="2328"/>
      <c r="AJ78" s="2328"/>
      <c r="AK78" s="2328"/>
      <c r="AL78" s="2328"/>
      <c r="AM78" s="2328"/>
      <c r="AN78" s="2328"/>
      <c r="AO78" s="2328"/>
      <c r="AP78" s="2328"/>
      <c r="AQ78" s="2328"/>
      <c r="AR78" s="2330"/>
      <c r="AT78" s="2325"/>
      <c r="AY78" s="4"/>
    </row>
    <row r="79" spans="1:51" ht="13.9" customHeight="1" x14ac:dyDescent="0.25">
      <c r="A79" s="846">
        <f>Chem!A79</f>
        <v>77</v>
      </c>
      <c r="B79" s="951" t="str">
        <f>Chem!B79</f>
        <v>Aniline</v>
      </c>
      <c r="C79" s="946">
        <f t="shared" ref="C79:C115" si="262">IF(MIN($H79,$I79:$K79,$O79,$P79)=0,"na",IF($Q79="na",MIN($H79,$I79:$K79,$O79,$P79),IF($Q79&gt;MIN($H79,$I79:$K79,$O79,$P79),$Q79,MIN($H79,$I79:$K79,$O79,$P79))))</f>
        <v>8.2957098792687881E-2</v>
      </c>
      <c r="D79" s="463">
        <f t="shared" ref="D79:D115" si="263">IF(MIN($H79,$L79:$N79,$O79,$P79)=0,"na",IF($Q79="na",MIN($H79,$L79:$N79,$O79,$P79),IF($Q79&gt;MIN($H79,$L79:$N79,$O79,$P79),$Q79,MIN($H79,$L79:$N79,$O79,$P79))))</f>
        <v>5.478216374269004E-3</v>
      </c>
      <c r="E79" s="634">
        <f t="shared" ref="E79:E145" si="264">IF(MIN($H79,$J79:$K79,$O79,$P79)=0,"na",IF($Q79="na",MIN($H79,$J79:$K79,$O79,$P79),IF($Q79&gt;MIN($H79,$J79:$K79,$O79,$P79),$Q79,MIN($H79,$J79:$K79,$O79,$P79))))</f>
        <v>175.43859649122805</v>
      </c>
      <c r="F79" s="634">
        <f t="shared" ref="F79:F145" si="265">IF(MIN($H79,$M79:$P79)=0,"na",IF($Q79="na",MIN($H79,$M79:$P79),IF($Q79&gt;MIN($H79,$M79:$P79),$Q79,MIN($H79,$M79:$P79))))</f>
        <v>175.43859649122805</v>
      </c>
      <c r="G79" s="634"/>
      <c r="H79" s="467">
        <f>'SL-Det'!E79</f>
        <v>175.43859649122805</v>
      </c>
      <c r="I79" s="469">
        <f>Leach!F79</f>
        <v>8.2957098792687881E-2</v>
      </c>
      <c r="J79" s="469" t="str">
        <f>Leach!I79</f>
        <v>na</v>
      </c>
      <c r="K79" s="469" t="str">
        <f>Leach!L79</f>
        <v>na</v>
      </c>
      <c r="L79" s="474">
        <f>Leach!G79</f>
        <v>5.478216374269004E-3</v>
      </c>
      <c r="M79" s="474" t="str">
        <f>Leach!J79</f>
        <v>na</v>
      </c>
      <c r="N79" s="474" t="str">
        <f>Leach!M79</f>
        <v>na</v>
      </c>
      <c r="O79" s="486" t="str">
        <f>'SD-Det'!Z79</f>
        <v>na</v>
      </c>
      <c r="P79" s="494" t="str">
        <f>'SL-Det'!I79</f>
        <v>na</v>
      </c>
      <c r="Q79" s="975" t="s">
        <v>232</v>
      </c>
      <c r="S79" s="978" t="str">
        <f t="shared" ref="S79:S115" si="266">IF($C79="na","",IF($C79=H79,"X",""))</f>
        <v/>
      </c>
      <c r="T79" s="979" t="str">
        <f t="shared" ref="T79:T115" si="267">IF($C79="na","",IF($C79=I79,"X",""))</f>
        <v>X</v>
      </c>
      <c r="U79" s="979" t="str">
        <f t="shared" ref="U79:U115" si="268">IF($C79="na","",IF($C79=J79,"X",""))</f>
        <v/>
      </c>
      <c r="V79" s="979" t="str">
        <f t="shared" ref="V79:V115" si="269">IF($C79="na","",IF($C79=K79,"X",""))</f>
        <v/>
      </c>
      <c r="W79" s="979" t="str">
        <f t="shared" ref="W79:W115" si="270">IF($C79="na","",IF($C79=O79,"X",""))</f>
        <v/>
      </c>
      <c r="X79" s="979" t="str">
        <f t="shared" ref="X79:X115" si="271">IF($C79="na","",IF($C79=P79,"X",""))</f>
        <v/>
      </c>
      <c r="Y79" s="988" t="str">
        <f t="shared" ref="Y79:Y115" si="272">IF($C79="na","",IF($C79=Q79,"X",""))</f>
        <v/>
      </c>
      <c r="Z79" s="978" t="str">
        <f t="shared" ref="Z79:Z115" si="273">IF($D79="na","",IF($D79=H79,"X",""))</f>
        <v/>
      </c>
      <c r="AA79" s="979" t="str">
        <f t="shared" ref="AA79:AA115" si="274">IF($D79="na","",IF($D79=L79,"X",""))</f>
        <v>X</v>
      </c>
      <c r="AB79" s="979" t="str">
        <f t="shared" ref="AB79:AB115" si="275">IF($D79="na","",IF($D79=M79,"X",""))</f>
        <v/>
      </c>
      <c r="AC79" s="979" t="str">
        <f t="shared" ref="AC79:AC115" si="276">IF($D79="na","",IF($D79=N79,"X",""))</f>
        <v/>
      </c>
      <c r="AD79" s="979" t="str">
        <f t="shared" ref="AD79:AD115" si="277">IF($D79="na","",IF($D79=O79,"X",""))</f>
        <v/>
      </c>
      <c r="AE79" s="979" t="str">
        <f t="shared" ref="AE79:AE115" si="278">IF($D79="na","",IF($D79=P79,"X",""))</f>
        <v/>
      </c>
      <c r="AF79" s="980" t="str">
        <f t="shared" ref="AF79:AF115" si="279">IF($D79="na","",IF($D79=Q79,"X",""))</f>
        <v/>
      </c>
      <c r="AG79" s="978" t="str">
        <f t="shared" ref="AG79:AG115" si="280">IF($E79="na","",IF($E79=H79,"X",""))</f>
        <v>X</v>
      </c>
      <c r="AH79" s="979" t="str">
        <f t="shared" ref="AH79:AH115" si="281">IF($E79="na","",IF($E79=J79,"X",""))</f>
        <v/>
      </c>
      <c r="AI79" s="979" t="str">
        <f t="shared" ref="AI79:AI115" si="282">IF($E79="na","",IF($E79=K79,"X",""))</f>
        <v/>
      </c>
      <c r="AJ79" s="979" t="str">
        <f t="shared" ref="AJ79:AJ115" si="283">IF($E79="na","",IF($E79=O79,"X",""))</f>
        <v/>
      </c>
      <c r="AK79" s="979" t="str">
        <f t="shared" ref="AK79:AK115" si="284">IF($E79="na","",IF($E79=P79,"X",""))</f>
        <v/>
      </c>
      <c r="AL79" s="980" t="str">
        <f t="shared" ref="AL79:AL115" si="285">IF($E79="na","",IF($E79=Q79,"X",""))</f>
        <v/>
      </c>
      <c r="AM79" s="978" t="str">
        <f t="shared" ref="AM79:AM115" si="286">IF($F79="na","",IF($F79=H79,"X",""))</f>
        <v>X</v>
      </c>
      <c r="AN79" s="979" t="str">
        <f t="shared" ref="AN79:AN115" si="287">IF($F79="na","",IF($F79=M79,"X",""))</f>
        <v/>
      </c>
      <c r="AO79" s="979" t="str">
        <f t="shared" ref="AO79:AO115" si="288">IF($F79="na","",IF($F79=N79,"X",""))</f>
        <v/>
      </c>
      <c r="AP79" s="979" t="str">
        <f t="shared" ref="AP79:AP115" si="289">IF($F79="na","",IF($F79=O79,"X",""))</f>
        <v/>
      </c>
      <c r="AQ79" s="979" t="str">
        <f t="shared" ref="AQ79:AQ115" si="290">IF($F79="na","",IF($F79=P79,"X",""))</f>
        <v/>
      </c>
      <c r="AR79" s="980" t="str">
        <f t="shared" ref="AR79:AR115" si="291">IF($F79="na","",IF($F79=Q79,"X",""))</f>
        <v/>
      </c>
      <c r="AT79" s="1062"/>
      <c r="AY79" s="4"/>
    </row>
    <row r="80" spans="1:51" ht="13.9" customHeight="1" x14ac:dyDescent="0.25">
      <c r="A80" s="847">
        <f>Chem!A80</f>
        <v>78</v>
      </c>
      <c r="B80" s="951" t="str">
        <f>Chem!B80</f>
        <v>Azobenzene</v>
      </c>
      <c r="C80" s="946">
        <f t="shared" si="262"/>
        <v>3.1492176936702768E-2</v>
      </c>
      <c r="D80" s="463">
        <f t="shared" si="263"/>
        <v>1.6090719696969695E-3</v>
      </c>
      <c r="E80" s="634">
        <f t="shared" si="264"/>
        <v>9.0909090909090917</v>
      </c>
      <c r="F80" s="634">
        <f t="shared" si="265"/>
        <v>9.0909090909090917</v>
      </c>
      <c r="G80" s="634"/>
      <c r="H80" s="467">
        <f>'SL-Det'!E80</f>
        <v>9.0909090909090917</v>
      </c>
      <c r="I80" s="231">
        <f>Leach!F80</f>
        <v>3.1492176936702768E-2</v>
      </c>
      <c r="J80" s="231" t="str">
        <f>Leach!I80</f>
        <v>na</v>
      </c>
      <c r="K80" s="231" t="str">
        <f>Leach!L80</f>
        <v>na</v>
      </c>
      <c r="L80" s="476">
        <f>Leach!G80</f>
        <v>1.6090719696969695E-3</v>
      </c>
      <c r="M80" s="476" t="str">
        <f>Leach!J80</f>
        <v>na</v>
      </c>
      <c r="N80" s="476" t="str">
        <f>Leach!M80</f>
        <v>na</v>
      </c>
      <c r="O80" s="485" t="str">
        <f>'SD-Det'!Z80</f>
        <v>na</v>
      </c>
      <c r="P80" s="494" t="str">
        <f>'SL-Det'!I80</f>
        <v>na</v>
      </c>
      <c r="Q80" s="975" t="s">
        <v>232</v>
      </c>
      <c r="S80" s="832" t="str">
        <f t="shared" si="266"/>
        <v/>
      </c>
      <c r="T80" s="366" t="str">
        <f t="shared" si="267"/>
        <v>X</v>
      </c>
      <c r="U80" s="366" t="str">
        <f t="shared" si="268"/>
        <v/>
      </c>
      <c r="V80" s="366" t="str">
        <f t="shared" si="269"/>
        <v/>
      </c>
      <c r="W80" s="366" t="str">
        <f t="shared" si="270"/>
        <v/>
      </c>
      <c r="X80" s="366" t="str">
        <f t="shared" si="271"/>
        <v/>
      </c>
      <c r="Y80" s="989" t="str">
        <f t="shared" si="272"/>
        <v/>
      </c>
      <c r="Z80" s="832" t="str">
        <f t="shared" si="273"/>
        <v/>
      </c>
      <c r="AA80" s="366" t="str">
        <f t="shared" si="274"/>
        <v>X</v>
      </c>
      <c r="AB80" s="366" t="str">
        <f t="shared" si="275"/>
        <v/>
      </c>
      <c r="AC80" s="366" t="str">
        <f t="shared" si="276"/>
        <v/>
      </c>
      <c r="AD80" s="366" t="str">
        <f t="shared" si="277"/>
        <v/>
      </c>
      <c r="AE80" s="366" t="str">
        <f t="shared" si="278"/>
        <v/>
      </c>
      <c r="AF80" s="833" t="str">
        <f t="shared" si="279"/>
        <v/>
      </c>
      <c r="AG80" s="832" t="str">
        <f t="shared" si="280"/>
        <v>X</v>
      </c>
      <c r="AH80" s="366" t="str">
        <f t="shared" si="281"/>
        <v/>
      </c>
      <c r="AI80" s="366" t="str">
        <f t="shared" si="282"/>
        <v/>
      </c>
      <c r="AJ80" s="366" t="str">
        <f t="shared" si="283"/>
        <v/>
      </c>
      <c r="AK80" s="366" t="str">
        <f t="shared" si="284"/>
        <v/>
      </c>
      <c r="AL80" s="833" t="str">
        <f t="shared" si="285"/>
        <v/>
      </c>
      <c r="AM80" s="832" t="str">
        <f t="shared" si="286"/>
        <v>X</v>
      </c>
      <c r="AN80" s="366" t="str">
        <f t="shared" si="287"/>
        <v/>
      </c>
      <c r="AO80" s="366" t="str">
        <f t="shared" si="288"/>
        <v/>
      </c>
      <c r="AP80" s="366" t="str">
        <f t="shared" si="289"/>
        <v/>
      </c>
      <c r="AQ80" s="366" t="str">
        <f t="shared" si="290"/>
        <v/>
      </c>
      <c r="AR80" s="833" t="str">
        <f t="shared" si="291"/>
        <v/>
      </c>
      <c r="AT80" s="1062"/>
      <c r="AY80" s="4"/>
    </row>
    <row r="81" spans="1:51" ht="13.9" customHeight="1" x14ac:dyDescent="0.25">
      <c r="A81" s="847">
        <f>Chem!A81</f>
        <v>79</v>
      </c>
      <c r="B81" s="951" t="str">
        <f>Chem!B81</f>
        <v>Benzidine</v>
      </c>
      <c r="C81" s="946">
        <f t="shared" si="262"/>
        <v>6.3940000001948268E-7</v>
      </c>
      <c r="D81" s="463">
        <f t="shared" si="263"/>
        <v>3.3963333333333334E-8</v>
      </c>
      <c r="E81" s="634">
        <f t="shared" si="264"/>
        <v>6.3940000001948268E-7</v>
      </c>
      <c r="F81" s="634">
        <f t="shared" si="265"/>
        <v>3.3963333333333334E-8</v>
      </c>
      <c r="G81" s="634"/>
      <c r="H81" s="467">
        <f>'SL-Det'!E81</f>
        <v>8.1999999999999998E-4</v>
      </c>
      <c r="I81" s="231">
        <f>Leach!F81</f>
        <v>2.7800000000847076E-6</v>
      </c>
      <c r="J81" s="231">
        <f>Leach!I81</f>
        <v>6.3940000001948268E-7</v>
      </c>
      <c r="K81" s="231" t="str">
        <f>Leach!L81</f>
        <v>na</v>
      </c>
      <c r="L81" s="476">
        <f>Leach!G81</f>
        <v>1.4766666666666668E-7</v>
      </c>
      <c r="M81" s="476">
        <f>Leach!J81</f>
        <v>3.3963333333333334E-8</v>
      </c>
      <c r="N81" s="476" t="str">
        <f>Leach!M81</f>
        <v>na</v>
      </c>
      <c r="O81" s="485" t="str">
        <f>'SD-Det'!Z81</f>
        <v>na</v>
      </c>
      <c r="P81" s="494" t="str">
        <f>'SL-Det'!I81</f>
        <v>na</v>
      </c>
      <c r="Q81" s="975" t="s">
        <v>232</v>
      </c>
      <c r="S81" s="832" t="str">
        <f t="shared" si="266"/>
        <v/>
      </c>
      <c r="T81" s="366" t="str">
        <f t="shared" si="267"/>
        <v/>
      </c>
      <c r="U81" s="366" t="str">
        <f t="shared" si="268"/>
        <v>X</v>
      </c>
      <c r="V81" s="366" t="str">
        <f t="shared" si="269"/>
        <v/>
      </c>
      <c r="W81" s="366" t="str">
        <f t="shared" si="270"/>
        <v/>
      </c>
      <c r="X81" s="366" t="str">
        <f t="shared" si="271"/>
        <v/>
      </c>
      <c r="Y81" s="989" t="str">
        <f t="shared" si="272"/>
        <v/>
      </c>
      <c r="Z81" s="832" t="str">
        <f t="shared" si="273"/>
        <v/>
      </c>
      <c r="AA81" s="366" t="str">
        <f t="shared" si="274"/>
        <v/>
      </c>
      <c r="AB81" s="366" t="str">
        <f t="shared" si="275"/>
        <v>X</v>
      </c>
      <c r="AC81" s="366" t="str">
        <f t="shared" si="276"/>
        <v/>
      </c>
      <c r="AD81" s="366" t="str">
        <f t="shared" si="277"/>
        <v/>
      </c>
      <c r="AE81" s="366" t="str">
        <f t="shared" si="278"/>
        <v/>
      </c>
      <c r="AF81" s="833" t="str">
        <f t="shared" si="279"/>
        <v/>
      </c>
      <c r="AG81" s="832" t="str">
        <f t="shared" si="280"/>
        <v/>
      </c>
      <c r="AH81" s="366" t="str">
        <f t="shared" si="281"/>
        <v>X</v>
      </c>
      <c r="AI81" s="366" t="str">
        <f t="shared" si="282"/>
        <v/>
      </c>
      <c r="AJ81" s="366" t="str">
        <f t="shared" si="283"/>
        <v/>
      </c>
      <c r="AK81" s="366" t="str">
        <f t="shared" si="284"/>
        <v/>
      </c>
      <c r="AL81" s="833" t="str">
        <f t="shared" si="285"/>
        <v/>
      </c>
      <c r="AM81" s="832" t="str">
        <f t="shared" si="286"/>
        <v/>
      </c>
      <c r="AN81" s="366" t="str">
        <f t="shared" si="287"/>
        <v>X</v>
      </c>
      <c r="AO81" s="366" t="str">
        <f t="shared" si="288"/>
        <v/>
      </c>
      <c r="AP81" s="366" t="str">
        <f t="shared" si="289"/>
        <v/>
      </c>
      <c r="AQ81" s="366" t="str">
        <f t="shared" si="290"/>
        <v/>
      </c>
      <c r="AR81" s="833" t="str">
        <f t="shared" si="291"/>
        <v/>
      </c>
      <c r="AT81" s="1062"/>
      <c r="AY81" s="4"/>
    </row>
    <row r="82" spans="1:51" ht="13.9" customHeight="1" x14ac:dyDescent="0.25">
      <c r="A82" s="847">
        <f>Chem!A82</f>
        <v>80</v>
      </c>
      <c r="B82" s="951" t="str">
        <f>Chem!B82</f>
        <v>Benzoic acid</v>
      </c>
      <c r="C82" s="946">
        <f t="shared" si="262"/>
        <v>0.65</v>
      </c>
      <c r="D82" s="463">
        <f t="shared" si="263"/>
        <v>0.30482696172644103</v>
      </c>
      <c r="E82" s="634">
        <f t="shared" si="264"/>
        <v>0.65</v>
      </c>
      <c r="F82" s="634">
        <f t="shared" si="265"/>
        <v>0.30482696172644103</v>
      </c>
      <c r="G82" s="634"/>
      <c r="H82" s="467">
        <f>'SL-Det'!E82</f>
        <v>320000</v>
      </c>
      <c r="I82" s="231">
        <f>Leach!F82</f>
        <v>256.76805772871722</v>
      </c>
      <c r="J82" s="231" t="str">
        <f>Leach!I82</f>
        <v>na</v>
      </c>
      <c r="K82" s="231">
        <f>Leach!L82</f>
        <v>4.2572501000364955</v>
      </c>
      <c r="L82" s="476">
        <f>Leach!G82</f>
        <v>18.385066666666667</v>
      </c>
      <c r="M82" s="476" t="str">
        <f>Leach!J82</f>
        <v>na</v>
      </c>
      <c r="N82" s="476">
        <f>Leach!M82</f>
        <v>0.30482696172644103</v>
      </c>
      <c r="O82" s="485">
        <f>'SD-Det'!Z82</f>
        <v>0.65</v>
      </c>
      <c r="P82" s="494" t="str">
        <f>'SL-Det'!I82</f>
        <v>na</v>
      </c>
      <c r="Q82" s="975" t="s">
        <v>232</v>
      </c>
      <c r="S82" s="832" t="str">
        <f t="shared" si="266"/>
        <v/>
      </c>
      <c r="T82" s="366" t="str">
        <f t="shared" si="267"/>
        <v/>
      </c>
      <c r="U82" s="366" t="str">
        <f t="shared" si="268"/>
        <v/>
      </c>
      <c r="V82" s="366" t="str">
        <f t="shared" si="269"/>
        <v/>
      </c>
      <c r="W82" s="366" t="str">
        <f t="shared" si="270"/>
        <v>X</v>
      </c>
      <c r="X82" s="366" t="str">
        <f t="shared" si="271"/>
        <v/>
      </c>
      <c r="Y82" s="989" t="str">
        <f t="shared" si="272"/>
        <v/>
      </c>
      <c r="Z82" s="832" t="str">
        <f t="shared" si="273"/>
        <v/>
      </c>
      <c r="AA82" s="366" t="str">
        <f t="shared" si="274"/>
        <v/>
      </c>
      <c r="AB82" s="366" t="str">
        <f t="shared" si="275"/>
        <v/>
      </c>
      <c r="AC82" s="366" t="str">
        <f t="shared" si="276"/>
        <v>X</v>
      </c>
      <c r="AD82" s="366" t="str">
        <f t="shared" si="277"/>
        <v/>
      </c>
      <c r="AE82" s="366" t="str">
        <f t="shared" si="278"/>
        <v/>
      </c>
      <c r="AF82" s="833" t="str">
        <f t="shared" si="279"/>
        <v/>
      </c>
      <c r="AG82" s="832" t="str">
        <f t="shared" si="280"/>
        <v/>
      </c>
      <c r="AH82" s="366" t="str">
        <f t="shared" si="281"/>
        <v/>
      </c>
      <c r="AI82" s="366" t="str">
        <f t="shared" si="282"/>
        <v/>
      </c>
      <c r="AJ82" s="366" t="str">
        <f t="shared" si="283"/>
        <v>X</v>
      </c>
      <c r="AK82" s="366" t="str">
        <f t="shared" si="284"/>
        <v/>
      </c>
      <c r="AL82" s="833" t="str">
        <f t="shared" si="285"/>
        <v/>
      </c>
      <c r="AM82" s="832" t="str">
        <f t="shared" si="286"/>
        <v/>
      </c>
      <c r="AN82" s="366" t="str">
        <f t="shared" si="287"/>
        <v/>
      </c>
      <c r="AO82" s="366" t="str">
        <f t="shared" si="288"/>
        <v>X</v>
      </c>
      <c r="AP82" s="366" t="str">
        <f t="shared" si="289"/>
        <v/>
      </c>
      <c r="AQ82" s="366" t="str">
        <f t="shared" si="290"/>
        <v/>
      </c>
      <c r="AR82" s="833" t="str">
        <f t="shared" si="291"/>
        <v/>
      </c>
      <c r="AT82" s="1062"/>
      <c r="AY82" s="4"/>
    </row>
    <row r="83" spans="1:51" ht="13.9" customHeight="1" x14ac:dyDescent="0.25">
      <c r="A83" s="847">
        <f>Chem!A83</f>
        <v>81</v>
      </c>
      <c r="B83" s="951" t="str">
        <f>Chem!B83</f>
        <v>Benzyl alcohol</v>
      </c>
      <c r="C83" s="946">
        <f t="shared" si="262"/>
        <v>5.7000000000000002E-2</v>
      </c>
      <c r="D83" s="463">
        <f t="shared" si="263"/>
        <v>1.7366803338276778E-2</v>
      </c>
      <c r="E83" s="634">
        <f t="shared" si="264"/>
        <v>5.7000000000000002E-2</v>
      </c>
      <c r="F83" s="634">
        <f t="shared" si="265"/>
        <v>1.7366803338276778E-2</v>
      </c>
      <c r="G83" s="634"/>
      <c r="H83" s="467">
        <f>'SL-Det'!E83</f>
        <v>8000</v>
      </c>
      <c r="I83" s="231">
        <f>Leach!F83</f>
        <v>7.0880136422358833</v>
      </c>
      <c r="J83" s="231" t="str">
        <f>Leach!I83</f>
        <v>na</v>
      </c>
      <c r="K83" s="231">
        <f>Leach!L83</f>
        <v>0.24965414883126039</v>
      </c>
      <c r="L83" s="476">
        <f>Leach!G83</f>
        <v>0.49306666666666676</v>
      </c>
      <c r="M83" s="476" t="str">
        <f>Leach!J83</f>
        <v>na</v>
      </c>
      <c r="N83" s="476">
        <f>Leach!M83</f>
        <v>1.7366803338276778E-2</v>
      </c>
      <c r="O83" s="485">
        <f>'SD-Det'!Z83</f>
        <v>5.7000000000000002E-2</v>
      </c>
      <c r="P83" s="494" t="str">
        <f>'SL-Det'!I83</f>
        <v>na</v>
      </c>
      <c r="Q83" s="975" t="s">
        <v>232</v>
      </c>
      <c r="S83" s="832" t="str">
        <f t="shared" si="266"/>
        <v/>
      </c>
      <c r="T83" s="366" t="str">
        <f t="shared" si="267"/>
        <v/>
      </c>
      <c r="U83" s="366" t="str">
        <f t="shared" si="268"/>
        <v/>
      </c>
      <c r="V83" s="366" t="str">
        <f t="shared" si="269"/>
        <v/>
      </c>
      <c r="W83" s="366" t="str">
        <f t="shared" si="270"/>
        <v>X</v>
      </c>
      <c r="X83" s="366" t="str">
        <f t="shared" si="271"/>
        <v/>
      </c>
      <c r="Y83" s="989" t="str">
        <f t="shared" si="272"/>
        <v/>
      </c>
      <c r="Z83" s="832" t="str">
        <f t="shared" si="273"/>
        <v/>
      </c>
      <c r="AA83" s="366" t="str">
        <f t="shared" si="274"/>
        <v/>
      </c>
      <c r="AB83" s="366" t="str">
        <f t="shared" si="275"/>
        <v/>
      </c>
      <c r="AC83" s="366" t="str">
        <f t="shared" si="276"/>
        <v>X</v>
      </c>
      <c r="AD83" s="366" t="str">
        <f t="shared" si="277"/>
        <v/>
      </c>
      <c r="AE83" s="366" t="str">
        <f t="shared" si="278"/>
        <v/>
      </c>
      <c r="AF83" s="833" t="str">
        <f t="shared" si="279"/>
        <v/>
      </c>
      <c r="AG83" s="832" t="str">
        <f t="shared" si="280"/>
        <v/>
      </c>
      <c r="AH83" s="366" t="str">
        <f t="shared" si="281"/>
        <v/>
      </c>
      <c r="AI83" s="366" t="str">
        <f t="shared" si="282"/>
        <v/>
      </c>
      <c r="AJ83" s="366" t="str">
        <f t="shared" si="283"/>
        <v>X</v>
      </c>
      <c r="AK83" s="366" t="str">
        <f t="shared" si="284"/>
        <v/>
      </c>
      <c r="AL83" s="833" t="str">
        <f t="shared" si="285"/>
        <v/>
      </c>
      <c r="AM83" s="832" t="str">
        <f t="shared" si="286"/>
        <v/>
      </c>
      <c r="AN83" s="366" t="str">
        <f t="shared" si="287"/>
        <v/>
      </c>
      <c r="AO83" s="366" t="str">
        <f t="shared" si="288"/>
        <v>X</v>
      </c>
      <c r="AP83" s="366" t="str">
        <f t="shared" si="289"/>
        <v/>
      </c>
      <c r="AQ83" s="366" t="str">
        <f t="shared" si="290"/>
        <v/>
      </c>
      <c r="AR83" s="833" t="str">
        <f t="shared" si="291"/>
        <v/>
      </c>
      <c r="AT83" s="1062"/>
      <c r="AY83" s="4"/>
    </row>
    <row r="84" spans="1:51" ht="13.9" customHeight="1" x14ac:dyDescent="0.25">
      <c r="A84" s="847">
        <f>Chem!A84</f>
        <v>82</v>
      </c>
      <c r="B84" s="951" t="str">
        <f>Chem!B84</f>
        <v>Bis(2-chloroethoxy)methane</v>
      </c>
      <c r="C84" s="946">
        <f t="shared" si="262"/>
        <v>0.20582946175028929</v>
      </c>
      <c r="D84" s="463">
        <f t="shared" si="263"/>
        <v>1.4451200000000003E-2</v>
      </c>
      <c r="E84" s="634">
        <f t="shared" si="264"/>
        <v>240</v>
      </c>
      <c r="F84" s="634">
        <f t="shared" si="265"/>
        <v>240</v>
      </c>
      <c r="G84" s="634"/>
      <c r="H84" s="467">
        <f>'SL-Det'!E84</f>
        <v>240</v>
      </c>
      <c r="I84" s="231">
        <f>Leach!F84</f>
        <v>0.20582946175028929</v>
      </c>
      <c r="J84" s="231" t="str">
        <f>Leach!I84</f>
        <v>na</v>
      </c>
      <c r="K84" s="231" t="str">
        <f>Leach!L84</f>
        <v>na</v>
      </c>
      <c r="L84" s="476">
        <f>Leach!G84</f>
        <v>1.4451200000000003E-2</v>
      </c>
      <c r="M84" s="476" t="str">
        <f>Leach!J84</f>
        <v>na</v>
      </c>
      <c r="N84" s="476" t="str">
        <f>Leach!M84</f>
        <v>na</v>
      </c>
      <c r="O84" s="483" t="str">
        <f>'SD-Det'!Z84</f>
        <v>na</v>
      </c>
      <c r="P84" s="494" t="str">
        <f>'SL-Det'!I84</f>
        <v>na</v>
      </c>
      <c r="Q84" s="975" t="s">
        <v>232</v>
      </c>
      <c r="S84" s="832" t="str">
        <f t="shared" si="266"/>
        <v/>
      </c>
      <c r="T84" s="366" t="str">
        <f t="shared" si="267"/>
        <v>X</v>
      </c>
      <c r="U84" s="366" t="str">
        <f t="shared" si="268"/>
        <v/>
      </c>
      <c r="V84" s="366" t="str">
        <f t="shared" si="269"/>
        <v/>
      </c>
      <c r="W84" s="366" t="str">
        <f t="shared" si="270"/>
        <v/>
      </c>
      <c r="X84" s="366" t="str">
        <f t="shared" si="271"/>
        <v/>
      </c>
      <c r="Y84" s="989" t="str">
        <f t="shared" si="272"/>
        <v/>
      </c>
      <c r="Z84" s="832" t="str">
        <f t="shared" si="273"/>
        <v/>
      </c>
      <c r="AA84" s="366" t="str">
        <f t="shared" si="274"/>
        <v>X</v>
      </c>
      <c r="AB84" s="366" t="str">
        <f t="shared" si="275"/>
        <v/>
      </c>
      <c r="AC84" s="366" t="str">
        <f t="shared" si="276"/>
        <v/>
      </c>
      <c r="AD84" s="366" t="str">
        <f t="shared" si="277"/>
        <v/>
      </c>
      <c r="AE84" s="366" t="str">
        <f t="shared" si="278"/>
        <v/>
      </c>
      <c r="AF84" s="833" t="str">
        <f t="shared" si="279"/>
        <v/>
      </c>
      <c r="AG84" s="832" t="str">
        <f t="shared" si="280"/>
        <v>X</v>
      </c>
      <c r="AH84" s="366" t="str">
        <f t="shared" si="281"/>
        <v/>
      </c>
      <c r="AI84" s="366" t="str">
        <f t="shared" si="282"/>
        <v/>
      </c>
      <c r="AJ84" s="366" t="str">
        <f t="shared" si="283"/>
        <v/>
      </c>
      <c r="AK84" s="366" t="str">
        <f t="shared" si="284"/>
        <v/>
      </c>
      <c r="AL84" s="833" t="str">
        <f t="shared" si="285"/>
        <v/>
      </c>
      <c r="AM84" s="832" t="str">
        <f t="shared" si="286"/>
        <v>X</v>
      </c>
      <c r="AN84" s="366" t="str">
        <f t="shared" si="287"/>
        <v/>
      </c>
      <c r="AO84" s="366" t="str">
        <f t="shared" si="288"/>
        <v/>
      </c>
      <c r="AP84" s="366" t="str">
        <f t="shared" si="289"/>
        <v/>
      </c>
      <c r="AQ84" s="366" t="str">
        <f t="shared" si="290"/>
        <v/>
      </c>
      <c r="AR84" s="833" t="str">
        <f t="shared" si="291"/>
        <v/>
      </c>
      <c r="AT84" s="1062"/>
      <c r="AY84" s="4"/>
    </row>
    <row r="85" spans="1:51" ht="13.9" customHeight="1" x14ac:dyDescent="0.25">
      <c r="A85" s="847">
        <f>Chem!A85</f>
        <v>83</v>
      </c>
      <c r="B85" s="951" t="str">
        <f>Chem!B85</f>
        <v>Bis(2-chloroethyl)ether</v>
      </c>
      <c r="C85" s="946">
        <f t="shared" si="262"/>
        <v>2.195646781239554E-4</v>
      </c>
      <c r="D85" s="463">
        <f t="shared" si="263"/>
        <v>1.4424242424242421E-5</v>
      </c>
      <c r="E85" s="634">
        <f t="shared" si="264"/>
        <v>3.3122900014128135E-4</v>
      </c>
      <c r="F85" s="634">
        <f t="shared" si="265"/>
        <v>2.1760000000000002E-5</v>
      </c>
      <c r="G85" s="634"/>
      <c r="H85" s="467">
        <f>'SL-Det'!E85</f>
        <v>0.90909090909090906</v>
      </c>
      <c r="I85" s="231">
        <f>Leach!F85</f>
        <v>2.195646781239554E-4</v>
      </c>
      <c r="J85" s="231">
        <f>Leach!I85</f>
        <v>3.3122900014128135E-4</v>
      </c>
      <c r="K85" s="231" t="str">
        <f>Leach!L85</f>
        <v>na</v>
      </c>
      <c r="L85" s="476">
        <f>Leach!G85</f>
        <v>1.4424242424242421E-5</v>
      </c>
      <c r="M85" s="476">
        <f>Leach!J85</f>
        <v>2.1760000000000002E-5</v>
      </c>
      <c r="N85" s="476" t="str">
        <f>Leach!M85</f>
        <v>na</v>
      </c>
      <c r="O85" s="485" t="str">
        <f>'SD-Det'!Z85</f>
        <v>na</v>
      </c>
      <c r="P85" s="494" t="str">
        <f>'SL-Det'!I85</f>
        <v>na</v>
      </c>
      <c r="Q85" s="975" t="s">
        <v>232</v>
      </c>
      <c r="S85" s="832" t="str">
        <f t="shared" si="266"/>
        <v/>
      </c>
      <c r="T85" s="366" t="str">
        <f t="shared" si="267"/>
        <v>X</v>
      </c>
      <c r="U85" s="366" t="str">
        <f t="shared" si="268"/>
        <v/>
      </c>
      <c r="V85" s="366" t="str">
        <f t="shared" si="269"/>
        <v/>
      </c>
      <c r="W85" s="366" t="str">
        <f t="shared" si="270"/>
        <v/>
      </c>
      <c r="X85" s="366" t="str">
        <f t="shared" si="271"/>
        <v/>
      </c>
      <c r="Y85" s="989" t="str">
        <f t="shared" si="272"/>
        <v/>
      </c>
      <c r="Z85" s="832" t="str">
        <f t="shared" si="273"/>
        <v/>
      </c>
      <c r="AA85" s="366" t="str">
        <f t="shared" si="274"/>
        <v>X</v>
      </c>
      <c r="AB85" s="366" t="str">
        <f t="shared" si="275"/>
        <v/>
      </c>
      <c r="AC85" s="366" t="str">
        <f t="shared" si="276"/>
        <v/>
      </c>
      <c r="AD85" s="366" t="str">
        <f t="shared" si="277"/>
        <v/>
      </c>
      <c r="AE85" s="366" t="str">
        <f t="shared" si="278"/>
        <v/>
      </c>
      <c r="AF85" s="833" t="str">
        <f t="shared" si="279"/>
        <v/>
      </c>
      <c r="AG85" s="832" t="str">
        <f t="shared" si="280"/>
        <v/>
      </c>
      <c r="AH85" s="366" t="str">
        <f t="shared" si="281"/>
        <v>X</v>
      </c>
      <c r="AI85" s="366" t="str">
        <f t="shared" si="282"/>
        <v/>
      </c>
      <c r="AJ85" s="366" t="str">
        <f t="shared" si="283"/>
        <v/>
      </c>
      <c r="AK85" s="366" t="str">
        <f t="shared" si="284"/>
        <v/>
      </c>
      <c r="AL85" s="833" t="str">
        <f t="shared" si="285"/>
        <v/>
      </c>
      <c r="AM85" s="832" t="str">
        <f t="shared" si="286"/>
        <v/>
      </c>
      <c r="AN85" s="366" t="str">
        <f t="shared" si="287"/>
        <v>X</v>
      </c>
      <c r="AO85" s="366" t="str">
        <f t="shared" si="288"/>
        <v/>
      </c>
      <c r="AP85" s="366" t="str">
        <f t="shared" si="289"/>
        <v/>
      </c>
      <c r="AQ85" s="366" t="str">
        <f t="shared" si="290"/>
        <v/>
      </c>
      <c r="AR85" s="833" t="str">
        <f t="shared" si="291"/>
        <v/>
      </c>
      <c r="AT85" s="1062"/>
      <c r="AY85" s="4"/>
    </row>
    <row r="86" spans="1:51" ht="13.9" customHeight="1" x14ac:dyDescent="0.25">
      <c r="A86" s="847">
        <f>Chem!A86</f>
        <v>84</v>
      </c>
      <c r="B86" s="951" t="str">
        <f>Chem!B86</f>
        <v>Bis(chloromethyl)ether</v>
      </c>
      <c r="C86" s="946">
        <f t="shared" si="262"/>
        <v>8.6648398309406143E-7</v>
      </c>
      <c r="D86" s="463">
        <f t="shared" si="263"/>
        <v>5.8936553030303021E-8</v>
      </c>
      <c r="E86" s="634">
        <f t="shared" si="264"/>
        <v>7.4072002211926638E-5</v>
      </c>
      <c r="F86" s="634">
        <f t="shared" si="265"/>
        <v>5.0382333333333346E-6</v>
      </c>
      <c r="G86" s="634"/>
      <c r="H86" s="467">
        <f>'SL-Det'!E86</f>
        <v>4.5454545454545452E-3</v>
      </c>
      <c r="I86" s="231">
        <f>Leach!F86</f>
        <v>8.6648398309406143E-7</v>
      </c>
      <c r="J86" s="231">
        <f>Leach!I86</f>
        <v>7.4072002211926638E-5</v>
      </c>
      <c r="K86" s="231" t="str">
        <f>Leach!L86</f>
        <v>na</v>
      </c>
      <c r="L86" s="476">
        <f>Leach!G86</f>
        <v>5.8936553030303021E-8</v>
      </c>
      <c r="M86" s="476">
        <f>Leach!J86</f>
        <v>5.0382333333333346E-6</v>
      </c>
      <c r="N86" s="476" t="str">
        <f>Leach!M86</f>
        <v>na</v>
      </c>
      <c r="O86" s="485" t="str">
        <f>'SD-Det'!Z86</f>
        <v>na</v>
      </c>
      <c r="P86" s="494" t="str">
        <f>'SL-Det'!I86</f>
        <v>na</v>
      </c>
      <c r="Q86" s="975" t="s">
        <v>232</v>
      </c>
      <c r="S86" s="832" t="str">
        <f t="shared" ref="S86" si="292">IF($C86="na","",IF($C86=H86,"X",""))</f>
        <v/>
      </c>
      <c r="T86" s="366" t="str">
        <f t="shared" ref="T86" si="293">IF($C86="na","",IF($C86=I86,"X",""))</f>
        <v>X</v>
      </c>
      <c r="U86" s="366" t="str">
        <f t="shared" ref="U86" si="294">IF($C86="na","",IF($C86=J86,"X",""))</f>
        <v/>
      </c>
      <c r="V86" s="366" t="str">
        <f t="shared" ref="V86" si="295">IF($C86="na","",IF($C86=K86,"X",""))</f>
        <v/>
      </c>
      <c r="W86" s="366" t="str">
        <f t="shared" ref="W86" si="296">IF($C86="na","",IF($C86=O86,"X",""))</f>
        <v/>
      </c>
      <c r="X86" s="366" t="str">
        <f t="shared" ref="X86" si="297">IF($C86="na","",IF($C86=P86,"X",""))</f>
        <v/>
      </c>
      <c r="Y86" s="989" t="str">
        <f t="shared" ref="Y86" si="298">IF($C86="na","",IF($C86=Q86,"X",""))</f>
        <v/>
      </c>
      <c r="Z86" s="832" t="str">
        <f t="shared" ref="Z86" si="299">IF($D86="na","",IF($D86=H86,"X",""))</f>
        <v/>
      </c>
      <c r="AA86" s="366" t="str">
        <f t="shared" ref="AA86" si="300">IF($D86="na","",IF($D86=L86,"X",""))</f>
        <v>X</v>
      </c>
      <c r="AB86" s="366" t="str">
        <f t="shared" ref="AB86" si="301">IF($D86="na","",IF($D86=M86,"X",""))</f>
        <v/>
      </c>
      <c r="AC86" s="366" t="str">
        <f t="shared" ref="AC86" si="302">IF($D86="na","",IF($D86=N86,"X",""))</f>
        <v/>
      </c>
      <c r="AD86" s="366" t="str">
        <f t="shared" ref="AD86" si="303">IF($D86="na","",IF($D86=O86,"X",""))</f>
        <v/>
      </c>
      <c r="AE86" s="366" t="str">
        <f t="shared" ref="AE86" si="304">IF($D86="na","",IF($D86=P86,"X",""))</f>
        <v/>
      </c>
      <c r="AF86" s="833" t="str">
        <f t="shared" ref="AF86" si="305">IF($D86="na","",IF($D86=Q86,"X",""))</f>
        <v/>
      </c>
      <c r="AG86" s="832" t="str">
        <f t="shared" ref="AG86" si="306">IF($E86="na","",IF($E86=H86,"X",""))</f>
        <v/>
      </c>
      <c r="AH86" s="366" t="str">
        <f t="shared" ref="AH86" si="307">IF($E86="na","",IF($E86=J86,"X",""))</f>
        <v>X</v>
      </c>
      <c r="AI86" s="366" t="str">
        <f t="shared" ref="AI86" si="308">IF($E86="na","",IF($E86=K86,"X",""))</f>
        <v/>
      </c>
      <c r="AJ86" s="366" t="str">
        <f t="shared" ref="AJ86" si="309">IF($E86="na","",IF($E86=O86,"X",""))</f>
        <v/>
      </c>
      <c r="AK86" s="366" t="str">
        <f t="shared" ref="AK86" si="310">IF($E86="na","",IF($E86=P86,"X",""))</f>
        <v/>
      </c>
      <c r="AL86" s="833" t="str">
        <f t="shared" ref="AL86" si="311">IF($E86="na","",IF($E86=Q86,"X",""))</f>
        <v/>
      </c>
      <c r="AM86" s="832" t="str">
        <f t="shared" ref="AM86" si="312">IF($F86="na","",IF($F86=H86,"X",""))</f>
        <v/>
      </c>
      <c r="AN86" s="366" t="str">
        <f t="shared" ref="AN86" si="313">IF($F86="na","",IF($F86=M86,"X",""))</f>
        <v>X</v>
      </c>
      <c r="AO86" s="366" t="str">
        <f t="shared" ref="AO86" si="314">IF($F86="na","",IF($F86=N86,"X",""))</f>
        <v/>
      </c>
      <c r="AP86" s="366" t="str">
        <f t="shared" ref="AP86" si="315">IF($F86="na","",IF($F86=O86,"X",""))</f>
        <v/>
      </c>
      <c r="AQ86" s="366" t="str">
        <f t="shared" ref="AQ86" si="316">IF($F86="na","",IF($F86=P86,"X",""))</f>
        <v/>
      </c>
      <c r="AR86" s="833" t="str">
        <f t="shared" ref="AR86" si="317">IF($F86="na","",IF($F86=Q86,"X",""))</f>
        <v/>
      </c>
      <c r="AT86" s="1062"/>
      <c r="AY86" s="4"/>
    </row>
    <row r="87" spans="1:51" ht="13.9" customHeight="1" x14ac:dyDescent="0.25">
      <c r="A87" s="847">
        <f>Chem!A87</f>
        <v>85</v>
      </c>
      <c r="B87" s="951" t="str">
        <f>Chem!B87</f>
        <v xml:space="preserve">Bis(2-chloro-1-methylethyl)ether </v>
      </c>
      <c r="C87" s="946">
        <f t="shared" si="262"/>
        <v>3.5377141338900869E-3</v>
      </c>
      <c r="D87" s="463">
        <f t="shared" si="263"/>
        <v>2.3097916666666663E-4</v>
      </c>
      <c r="E87" s="634">
        <f t="shared" si="264"/>
        <v>0.58759915023607789</v>
      </c>
      <c r="F87" s="634">
        <f t="shared" si="265"/>
        <v>3.8364649295823373E-2</v>
      </c>
      <c r="G87" s="634"/>
      <c r="H87" s="467">
        <f>'SL-Det'!E87</f>
        <v>14.285714285714285</v>
      </c>
      <c r="I87" s="231">
        <f>Leach!F87</f>
        <v>3.5377141338900869E-3</v>
      </c>
      <c r="J87" s="231">
        <f>Leach!I87</f>
        <v>0.58759915023607789</v>
      </c>
      <c r="K87" s="231" t="str">
        <f>Leach!L87</f>
        <v>na</v>
      </c>
      <c r="L87" s="476">
        <f>Leach!G87</f>
        <v>2.3097916666666663E-4</v>
      </c>
      <c r="M87" s="476">
        <f>Leach!J87</f>
        <v>3.8364649295823373E-2</v>
      </c>
      <c r="N87" s="476" t="str">
        <f>Leach!M87</f>
        <v>na</v>
      </c>
      <c r="O87" s="485" t="str">
        <f>'SD-Det'!Z87</f>
        <v>na</v>
      </c>
      <c r="P87" s="494" t="str">
        <f>'SL-Det'!I87</f>
        <v>na</v>
      </c>
      <c r="Q87" s="975" t="s">
        <v>232</v>
      </c>
      <c r="S87" s="832" t="str">
        <f t="shared" si="266"/>
        <v/>
      </c>
      <c r="T87" s="366" t="str">
        <f t="shared" si="267"/>
        <v>X</v>
      </c>
      <c r="U87" s="366" t="str">
        <f t="shared" si="268"/>
        <v/>
      </c>
      <c r="V87" s="366" t="str">
        <f t="shared" si="269"/>
        <v/>
      </c>
      <c r="W87" s="366" t="str">
        <f t="shared" si="270"/>
        <v/>
      </c>
      <c r="X87" s="366" t="str">
        <f t="shared" si="271"/>
        <v/>
      </c>
      <c r="Y87" s="989" t="str">
        <f t="shared" si="272"/>
        <v/>
      </c>
      <c r="Z87" s="832" t="str">
        <f t="shared" si="273"/>
        <v/>
      </c>
      <c r="AA87" s="366" t="str">
        <f t="shared" si="274"/>
        <v>X</v>
      </c>
      <c r="AB87" s="366" t="str">
        <f t="shared" si="275"/>
        <v/>
      </c>
      <c r="AC87" s="366" t="str">
        <f t="shared" si="276"/>
        <v/>
      </c>
      <c r="AD87" s="366" t="str">
        <f t="shared" si="277"/>
        <v/>
      </c>
      <c r="AE87" s="366" t="str">
        <f t="shared" si="278"/>
        <v/>
      </c>
      <c r="AF87" s="833" t="str">
        <f t="shared" si="279"/>
        <v/>
      </c>
      <c r="AG87" s="832" t="str">
        <f t="shared" si="280"/>
        <v/>
      </c>
      <c r="AH87" s="366" t="str">
        <f t="shared" si="281"/>
        <v>X</v>
      </c>
      <c r="AI87" s="366" t="str">
        <f t="shared" si="282"/>
        <v/>
      </c>
      <c r="AJ87" s="366" t="str">
        <f t="shared" si="283"/>
        <v/>
      </c>
      <c r="AK87" s="366" t="str">
        <f t="shared" si="284"/>
        <v/>
      </c>
      <c r="AL87" s="833" t="str">
        <f t="shared" si="285"/>
        <v/>
      </c>
      <c r="AM87" s="832" t="str">
        <f t="shared" si="286"/>
        <v/>
      </c>
      <c r="AN87" s="366" t="str">
        <f t="shared" si="287"/>
        <v>X</v>
      </c>
      <c r="AO87" s="366" t="str">
        <f t="shared" si="288"/>
        <v/>
      </c>
      <c r="AP87" s="366" t="str">
        <f t="shared" si="289"/>
        <v/>
      </c>
      <c r="AQ87" s="366" t="str">
        <f t="shared" si="290"/>
        <v/>
      </c>
      <c r="AR87" s="833" t="str">
        <f t="shared" si="291"/>
        <v/>
      </c>
      <c r="AT87" s="1062"/>
      <c r="AY87" s="4"/>
    </row>
    <row r="88" spans="1:51" ht="13.9" customHeight="1" x14ac:dyDescent="0.25">
      <c r="A88" s="847">
        <f>Chem!A88</f>
        <v>86</v>
      </c>
      <c r="B88" s="951" t="str">
        <f>Chem!B88</f>
        <v>2,6-Bis(1,1-dimethylethyl) phenol</v>
      </c>
      <c r="C88" s="946" t="str">
        <f t="shared" si="262"/>
        <v>na</v>
      </c>
      <c r="D88" s="463" t="str">
        <f t="shared" si="263"/>
        <v>na</v>
      </c>
      <c r="E88" s="634" t="str">
        <f t="shared" si="264"/>
        <v>na</v>
      </c>
      <c r="F88" s="634" t="str">
        <f t="shared" si="265"/>
        <v>na</v>
      </c>
      <c r="G88" s="634"/>
      <c r="H88" s="467" t="str">
        <f>'SL-Det'!E88</f>
        <v>na</v>
      </c>
      <c r="I88" s="231" t="str">
        <f>Leach!F88</f>
        <v>na</v>
      </c>
      <c r="J88" s="231" t="str">
        <f>Leach!I88</f>
        <v>na</v>
      </c>
      <c r="K88" s="231" t="str">
        <f>Leach!L88</f>
        <v>na</v>
      </c>
      <c r="L88" s="476" t="str">
        <f>Leach!G88</f>
        <v>na</v>
      </c>
      <c r="M88" s="476" t="str">
        <f>Leach!J88</f>
        <v>na</v>
      </c>
      <c r="N88" s="476" t="str">
        <f>Leach!M88</f>
        <v>na</v>
      </c>
      <c r="O88" s="485" t="str">
        <f>'SD-Det'!Z88</f>
        <v>na</v>
      </c>
      <c r="P88" s="494" t="str">
        <f>'SL-Det'!I88</f>
        <v>na</v>
      </c>
      <c r="Q88" s="975" t="s">
        <v>232</v>
      </c>
      <c r="S88" s="832" t="str">
        <f t="shared" si="266"/>
        <v/>
      </c>
      <c r="T88" s="366" t="str">
        <f t="shared" si="267"/>
        <v/>
      </c>
      <c r="U88" s="366" t="str">
        <f t="shared" si="268"/>
        <v/>
      </c>
      <c r="V88" s="366" t="str">
        <f t="shared" si="269"/>
        <v/>
      </c>
      <c r="W88" s="366" t="str">
        <f t="shared" si="270"/>
        <v/>
      </c>
      <c r="X88" s="366" t="str">
        <f t="shared" si="271"/>
        <v/>
      </c>
      <c r="Y88" s="989" t="str">
        <f t="shared" si="272"/>
        <v/>
      </c>
      <c r="Z88" s="832" t="str">
        <f t="shared" si="273"/>
        <v/>
      </c>
      <c r="AA88" s="366" t="str">
        <f t="shared" si="274"/>
        <v/>
      </c>
      <c r="AB88" s="366" t="str">
        <f t="shared" si="275"/>
        <v/>
      </c>
      <c r="AC88" s="366" t="str">
        <f t="shared" si="276"/>
        <v/>
      </c>
      <c r="AD88" s="366" t="str">
        <f t="shared" si="277"/>
        <v/>
      </c>
      <c r="AE88" s="366" t="str">
        <f t="shared" si="278"/>
        <v/>
      </c>
      <c r="AF88" s="833" t="str">
        <f t="shared" si="279"/>
        <v/>
      </c>
      <c r="AG88" s="832" t="str">
        <f t="shared" si="280"/>
        <v/>
      </c>
      <c r="AH88" s="366" t="str">
        <f t="shared" si="281"/>
        <v/>
      </c>
      <c r="AI88" s="366" t="str">
        <f t="shared" si="282"/>
        <v/>
      </c>
      <c r="AJ88" s="366" t="str">
        <f t="shared" si="283"/>
        <v/>
      </c>
      <c r="AK88" s="366" t="str">
        <f t="shared" si="284"/>
        <v/>
      </c>
      <c r="AL88" s="833" t="str">
        <f t="shared" si="285"/>
        <v/>
      </c>
      <c r="AM88" s="832" t="str">
        <f t="shared" si="286"/>
        <v/>
      </c>
      <c r="AN88" s="366" t="str">
        <f t="shared" si="287"/>
        <v/>
      </c>
      <c r="AO88" s="366" t="str">
        <f t="shared" si="288"/>
        <v/>
      </c>
      <c r="AP88" s="366" t="str">
        <f t="shared" si="289"/>
        <v/>
      </c>
      <c r="AQ88" s="366" t="str">
        <f t="shared" si="290"/>
        <v/>
      </c>
      <c r="AR88" s="833" t="str">
        <f t="shared" si="291"/>
        <v/>
      </c>
      <c r="AT88" s="1062"/>
      <c r="AY88" s="4"/>
    </row>
    <row r="89" spans="1:51" ht="13.9" customHeight="1" x14ac:dyDescent="0.25">
      <c r="A89" s="847">
        <f>Chem!A89</f>
        <v>87</v>
      </c>
      <c r="B89" s="951" t="str">
        <f>Chem!B89</f>
        <v>Bis(2-ethylhexyl) phthalate</v>
      </c>
      <c r="C89" s="946">
        <f t="shared" si="262"/>
        <v>0.10230400018694728</v>
      </c>
      <c r="D89" s="463">
        <f t="shared" si="263"/>
        <v>5.1191866666666667E-3</v>
      </c>
      <c r="E89" s="634">
        <f t="shared" si="264"/>
        <v>0.10230400018694728</v>
      </c>
      <c r="F89" s="634">
        <f t="shared" si="265"/>
        <v>5.1191866666666667E-3</v>
      </c>
      <c r="G89" s="634"/>
      <c r="H89" s="467">
        <f>'SL-Det'!E89</f>
        <v>71.428571428571431</v>
      </c>
      <c r="I89" s="231">
        <f>Leach!F89</f>
        <v>13.344000024384426</v>
      </c>
      <c r="J89" s="231">
        <f>Leach!I89</f>
        <v>0.10230400018694728</v>
      </c>
      <c r="K89" s="231">
        <f>Leach!L89</f>
        <v>1.3704948684186729</v>
      </c>
      <c r="L89" s="476">
        <f>Leach!G89</f>
        <v>0.66771999999999998</v>
      </c>
      <c r="M89" s="476">
        <f>Leach!J89</f>
        <v>5.1191866666666667E-3</v>
      </c>
      <c r="N89" s="476">
        <f>Leach!M89</f>
        <v>6.8578149870224619E-2</v>
      </c>
      <c r="O89" s="485">
        <f>'SD-Det'!Z89</f>
        <v>1.3</v>
      </c>
      <c r="P89" s="494" t="str">
        <f>'SL-Det'!I89</f>
        <v>na</v>
      </c>
      <c r="Q89" s="975" t="s">
        <v>232</v>
      </c>
      <c r="S89" s="832" t="str">
        <f t="shared" si="266"/>
        <v/>
      </c>
      <c r="T89" s="366" t="str">
        <f t="shared" si="267"/>
        <v/>
      </c>
      <c r="U89" s="366" t="str">
        <f t="shared" si="268"/>
        <v>X</v>
      </c>
      <c r="V89" s="366" t="str">
        <f t="shared" si="269"/>
        <v/>
      </c>
      <c r="W89" s="366" t="str">
        <f t="shared" si="270"/>
        <v/>
      </c>
      <c r="X89" s="366" t="str">
        <f t="shared" si="271"/>
        <v/>
      </c>
      <c r="Y89" s="989" t="str">
        <f t="shared" si="272"/>
        <v/>
      </c>
      <c r="Z89" s="832" t="str">
        <f t="shared" si="273"/>
        <v/>
      </c>
      <c r="AA89" s="366" t="str">
        <f t="shared" si="274"/>
        <v/>
      </c>
      <c r="AB89" s="366" t="str">
        <f t="shared" si="275"/>
        <v>X</v>
      </c>
      <c r="AC89" s="366" t="str">
        <f t="shared" si="276"/>
        <v/>
      </c>
      <c r="AD89" s="366" t="str">
        <f t="shared" si="277"/>
        <v/>
      </c>
      <c r="AE89" s="366" t="str">
        <f t="shared" si="278"/>
        <v/>
      </c>
      <c r="AF89" s="833" t="str">
        <f t="shared" si="279"/>
        <v/>
      </c>
      <c r="AG89" s="832" t="str">
        <f t="shared" si="280"/>
        <v/>
      </c>
      <c r="AH89" s="366" t="str">
        <f t="shared" si="281"/>
        <v>X</v>
      </c>
      <c r="AI89" s="366" t="str">
        <f t="shared" si="282"/>
        <v/>
      </c>
      <c r="AJ89" s="366" t="str">
        <f t="shared" si="283"/>
        <v/>
      </c>
      <c r="AK89" s="366" t="str">
        <f t="shared" si="284"/>
        <v/>
      </c>
      <c r="AL89" s="833" t="str">
        <f t="shared" si="285"/>
        <v/>
      </c>
      <c r="AM89" s="832" t="str">
        <f t="shared" si="286"/>
        <v/>
      </c>
      <c r="AN89" s="366" t="str">
        <f t="shared" si="287"/>
        <v>X</v>
      </c>
      <c r="AO89" s="366" t="str">
        <f t="shared" si="288"/>
        <v/>
      </c>
      <c r="AP89" s="366" t="str">
        <f t="shared" si="289"/>
        <v/>
      </c>
      <c r="AQ89" s="366" t="str">
        <f t="shared" si="290"/>
        <v/>
      </c>
      <c r="AR89" s="833" t="str">
        <f t="shared" si="291"/>
        <v/>
      </c>
      <c r="AT89" s="1062"/>
      <c r="AY89" s="4"/>
    </row>
    <row r="90" spans="1:51" ht="13.9" customHeight="1" x14ac:dyDescent="0.25">
      <c r="A90" s="847">
        <f>Chem!A90</f>
        <v>88</v>
      </c>
      <c r="B90" s="951" t="str">
        <f>Chem!B90</f>
        <v>4-Bromophenyl phenyl ether</v>
      </c>
      <c r="C90" s="946" t="str">
        <f t="shared" si="262"/>
        <v>na</v>
      </c>
      <c r="D90" s="463" t="str">
        <f t="shared" si="263"/>
        <v>na</v>
      </c>
      <c r="E90" s="634" t="str">
        <f t="shared" si="264"/>
        <v>na</v>
      </c>
      <c r="F90" s="634" t="str">
        <f t="shared" si="265"/>
        <v>na</v>
      </c>
      <c r="G90" s="634"/>
      <c r="H90" s="467" t="str">
        <f>'SL-Det'!E90</f>
        <v>na</v>
      </c>
      <c r="I90" s="231" t="str">
        <f>Leach!F90</f>
        <v>na</v>
      </c>
      <c r="J90" s="231" t="str">
        <f>Leach!I90</f>
        <v>na</v>
      </c>
      <c r="K90" s="231" t="str">
        <f>Leach!L90</f>
        <v>na</v>
      </c>
      <c r="L90" s="476" t="str">
        <f>Leach!G90</f>
        <v>na</v>
      </c>
      <c r="M90" s="476" t="str">
        <f>Leach!J90</f>
        <v>na</v>
      </c>
      <c r="N90" s="476" t="str">
        <f>Leach!M90</f>
        <v>na</v>
      </c>
      <c r="O90" s="485" t="str">
        <f>'SD-Det'!Z90</f>
        <v>na</v>
      </c>
      <c r="P90" s="494" t="str">
        <f>'SL-Det'!I90</f>
        <v>na</v>
      </c>
      <c r="Q90" s="975" t="s">
        <v>232</v>
      </c>
      <c r="S90" s="832" t="str">
        <f t="shared" si="266"/>
        <v/>
      </c>
      <c r="T90" s="366" t="str">
        <f t="shared" si="267"/>
        <v/>
      </c>
      <c r="U90" s="366" t="str">
        <f t="shared" si="268"/>
        <v/>
      </c>
      <c r="V90" s="366" t="str">
        <f t="shared" si="269"/>
        <v/>
      </c>
      <c r="W90" s="366" t="str">
        <f t="shared" si="270"/>
        <v/>
      </c>
      <c r="X90" s="366" t="str">
        <f t="shared" si="271"/>
        <v/>
      </c>
      <c r="Y90" s="989" t="str">
        <f t="shared" si="272"/>
        <v/>
      </c>
      <c r="Z90" s="832" t="str">
        <f t="shared" si="273"/>
        <v/>
      </c>
      <c r="AA90" s="366" t="str">
        <f t="shared" si="274"/>
        <v/>
      </c>
      <c r="AB90" s="366" t="str">
        <f t="shared" si="275"/>
        <v/>
      </c>
      <c r="AC90" s="366" t="str">
        <f t="shared" si="276"/>
        <v/>
      </c>
      <c r="AD90" s="366" t="str">
        <f t="shared" si="277"/>
        <v/>
      </c>
      <c r="AE90" s="366" t="str">
        <f t="shared" si="278"/>
        <v/>
      </c>
      <c r="AF90" s="833" t="str">
        <f t="shared" si="279"/>
        <v/>
      </c>
      <c r="AG90" s="832" t="str">
        <f t="shared" si="280"/>
        <v/>
      </c>
      <c r="AH90" s="366" t="str">
        <f t="shared" si="281"/>
        <v/>
      </c>
      <c r="AI90" s="366" t="str">
        <f t="shared" si="282"/>
        <v/>
      </c>
      <c r="AJ90" s="366" t="str">
        <f t="shared" si="283"/>
        <v/>
      </c>
      <c r="AK90" s="366" t="str">
        <f t="shared" si="284"/>
        <v/>
      </c>
      <c r="AL90" s="833" t="str">
        <f t="shared" si="285"/>
        <v/>
      </c>
      <c r="AM90" s="832" t="str">
        <f t="shared" si="286"/>
        <v/>
      </c>
      <c r="AN90" s="366" t="str">
        <f t="shared" si="287"/>
        <v/>
      </c>
      <c r="AO90" s="366" t="str">
        <f t="shared" si="288"/>
        <v/>
      </c>
      <c r="AP90" s="366" t="str">
        <f t="shared" si="289"/>
        <v/>
      </c>
      <c r="AQ90" s="366" t="str">
        <f t="shared" si="290"/>
        <v/>
      </c>
      <c r="AR90" s="833" t="str">
        <f t="shared" si="291"/>
        <v/>
      </c>
      <c r="AT90" s="1062"/>
      <c r="AY90" s="4"/>
    </row>
    <row r="91" spans="1:51" ht="13.9" customHeight="1" x14ac:dyDescent="0.25">
      <c r="A91" s="847">
        <f>Chem!A91</f>
        <v>89</v>
      </c>
      <c r="B91" s="951" t="str">
        <f>Chem!B91</f>
        <v>Butyl benzyl phthalate</v>
      </c>
      <c r="C91" s="946">
        <f t="shared" si="262"/>
        <v>3.6140003305818545E-3</v>
      </c>
      <c r="D91" s="463">
        <f t="shared" si="263"/>
        <v>1.8182666666666667E-4</v>
      </c>
      <c r="E91" s="634">
        <f t="shared" si="264"/>
        <v>3.6140003305818545E-3</v>
      </c>
      <c r="F91" s="634">
        <f t="shared" si="265"/>
        <v>1.8182666666666667E-4</v>
      </c>
      <c r="G91" s="634"/>
      <c r="H91" s="467">
        <f>'SL-Det'!E91</f>
        <v>526.31578947368416</v>
      </c>
      <c r="I91" s="231">
        <f>Leach!F91</f>
        <v>12.802632750036933</v>
      </c>
      <c r="J91" s="231">
        <f>Leach!I91</f>
        <v>3.6140003305818545E-3</v>
      </c>
      <c r="K91" s="231">
        <f>Leach!L91</f>
        <v>6.712841765246462E-2</v>
      </c>
      <c r="L91" s="476">
        <f>Leach!G91</f>
        <v>0.64412280701754376</v>
      </c>
      <c r="M91" s="476">
        <f>Leach!J91</f>
        <v>1.8182666666666667E-4</v>
      </c>
      <c r="N91" s="476">
        <f>Leach!M91</f>
        <v>3.3773478981365618E-3</v>
      </c>
      <c r="O91" s="485">
        <f>'SD-Det'!Z91</f>
        <v>6.3E-2</v>
      </c>
      <c r="P91" s="494" t="str">
        <f>'SL-Det'!I91</f>
        <v>na</v>
      </c>
      <c r="Q91" s="975" t="s">
        <v>232</v>
      </c>
      <c r="S91" s="832" t="str">
        <f t="shared" si="266"/>
        <v/>
      </c>
      <c r="T91" s="366" t="str">
        <f t="shared" si="267"/>
        <v/>
      </c>
      <c r="U91" s="366" t="str">
        <f t="shared" si="268"/>
        <v>X</v>
      </c>
      <c r="V91" s="366" t="str">
        <f t="shared" si="269"/>
        <v/>
      </c>
      <c r="W91" s="366" t="str">
        <f t="shared" si="270"/>
        <v/>
      </c>
      <c r="X91" s="366" t="str">
        <f t="shared" si="271"/>
        <v/>
      </c>
      <c r="Y91" s="989" t="str">
        <f t="shared" si="272"/>
        <v/>
      </c>
      <c r="Z91" s="832" t="str">
        <f t="shared" si="273"/>
        <v/>
      </c>
      <c r="AA91" s="366" t="str">
        <f t="shared" si="274"/>
        <v/>
      </c>
      <c r="AB91" s="366" t="str">
        <f t="shared" si="275"/>
        <v>X</v>
      </c>
      <c r="AC91" s="366" t="str">
        <f t="shared" si="276"/>
        <v/>
      </c>
      <c r="AD91" s="366" t="str">
        <f t="shared" si="277"/>
        <v/>
      </c>
      <c r="AE91" s="366" t="str">
        <f t="shared" si="278"/>
        <v/>
      </c>
      <c r="AF91" s="833" t="str">
        <f t="shared" si="279"/>
        <v/>
      </c>
      <c r="AG91" s="832" t="str">
        <f t="shared" si="280"/>
        <v/>
      </c>
      <c r="AH91" s="366" t="str">
        <f t="shared" si="281"/>
        <v>X</v>
      </c>
      <c r="AI91" s="366" t="str">
        <f t="shared" si="282"/>
        <v/>
      </c>
      <c r="AJ91" s="366" t="str">
        <f t="shared" si="283"/>
        <v/>
      </c>
      <c r="AK91" s="366" t="str">
        <f t="shared" si="284"/>
        <v/>
      </c>
      <c r="AL91" s="833" t="str">
        <f t="shared" si="285"/>
        <v/>
      </c>
      <c r="AM91" s="832" t="str">
        <f t="shared" si="286"/>
        <v/>
      </c>
      <c r="AN91" s="366" t="str">
        <f t="shared" si="287"/>
        <v>X</v>
      </c>
      <c r="AO91" s="366" t="str">
        <f t="shared" si="288"/>
        <v/>
      </c>
      <c r="AP91" s="366" t="str">
        <f t="shared" si="289"/>
        <v/>
      </c>
      <c r="AQ91" s="366" t="str">
        <f t="shared" si="290"/>
        <v/>
      </c>
      <c r="AR91" s="833" t="str">
        <f t="shared" si="291"/>
        <v/>
      </c>
      <c r="AT91" s="1062"/>
      <c r="AY91" s="4"/>
    </row>
    <row r="92" spans="1:51" ht="13.9" customHeight="1" x14ac:dyDescent="0.25">
      <c r="A92" s="847">
        <f>Chem!A92</f>
        <v>90</v>
      </c>
      <c r="B92" s="951" t="str">
        <f>Chem!B92</f>
        <v>Butyl diphenyl phosphate</v>
      </c>
      <c r="C92" s="946" t="str">
        <f t="shared" si="262"/>
        <v>na</v>
      </c>
      <c r="D92" s="463" t="str">
        <f t="shared" si="263"/>
        <v>na</v>
      </c>
      <c r="E92" s="634" t="str">
        <f t="shared" si="264"/>
        <v>na</v>
      </c>
      <c r="F92" s="634" t="str">
        <f t="shared" si="265"/>
        <v>na</v>
      </c>
      <c r="G92" s="634"/>
      <c r="H92" s="467" t="str">
        <f>'SL-Det'!E92</f>
        <v>na</v>
      </c>
      <c r="I92" s="231" t="str">
        <f>Leach!F92</f>
        <v>na</v>
      </c>
      <c r="J92" s="231" t="str">
        <f>Leach!I92</f>
        <v>na</v>
      </c>
      <c r="K92" s="231" t="str">
        <f>Leach!L92</f>
        <v>na</v>
      </c>
      <c r="L92" s="476" t="str">
        <f>Leach!G92</f>
        <v>na</v>
      </c>
      <c r="M92" s="476" t="str">
        <f>Leach!J92</f>
        <v>na</v>
      </c>
      <c r="N92" s="476" t="str">
        <f>Leach!M92</f>
        <v>na</v>
      </c>
      <c r="O92" s="485" t="str">
        <f>'SD-Det'!Z92</f>
        <v>na</v>
      </c>
      <c r="P92" s="494" t="str">
        <f>'SL-Det'!I92</f>
        <v>na</v>
      </c>
      <c r="Q92" s="975" t="s">
        <v>232</v>
      </c>
      <c r="S92" s="832" t="str">
        <f t="shared" si="266"/>
        <v/>
      </c>
      <c r="T92" s="366" t="str">
        <f t="shared" si="267"/>
        <v/>
      </c>
      <c r="U92" s="366" t="str">
        <f t="shared" si="268"/>
        <v/>
      </c>
      <c r="V92" s="366" t="str">
        <f t="shared" si="269"/>
        <v/>
      </c>
      <c r="W92" s="366" t="str">
        <f t="shared" si="270"/>
        <v/>
      </c>
      <c r="X92" s="366" t="str">
        <f t="shared" si="271"/>
        <v/>
      </c>
      <c r="Y92" s="989" t="str">
        <f t="shared" si="272"/>
        <v/>
      </c>
      <c r="Z92" s="832" t="str">
        <f t="shared" si="273"/>
        <v/>
      </c>
      <c r="AA92" s="366" t="str">
        <f t="shared" si="274"/>
        <v/>
      </c>
      <c r="AB92" s="366" t="str">
        <f t="shared" si="275"/>
        <v/>
      </c>
      <c r="AC92" s="366" t="str">
        <f t="shared" si="276"/>
        <v/>
      </c>
      <c r="AD92" s="366" t="str">
        <f t="shared" si="277"/>
        <v/>
      </c>
      <c r="AE92" s="366" t="str">
        <f t="shared" si="278"/>
        <v/>
      </c>
      <c r="AF92" s="833" t="str">
        <f t="shared" si="279"/>
        <v/>
      </c>
      <c r="AG92" s="832" t="str">
        <f t="shared" si="280"/>
        <v/>
      </c>
      <c r="AH92" s="366" t="str">
        <f t="shared" si="281"/>
        <v/>
      </c>
      <c r="AI92" s="366" t="str">
        <f t="shared" si="282"/>
        <v/>
      </c>
      <c r="AJ92" s="366" t="str">
        <f t="shared" si="283"/>
        <v/>
      </c>
      <c r="AK92" s="366" t="str">
        <f t="shared" si="284"/>
        <v/>
      </c>
      <c r="AL92" s="833" t="str">
        <f t="shared" si="285"/>
        <v/>
      </c>
      <c r="AM92" s="832" t="str">
        <f t="shared" si="286"/>
        <v/>
      </c>
      <c r="AN92" s="366" t="str">
        <f t="shared" si="287"/>
        <v/>
      </c>
      <c r="AO92" s="366" t="str">
        <f t="shared" si="288"/>
        <v/>
      </c>
      <c r="AP92" s="366" t="str">
        <f t="shared" si="289"/>
        <v/>
      </c>
      <c r="AQ92" s="366" t="str">
        <f t="shared" si="290"/>
        <v/>
      </c>
      <c r="AR92" s="833" t="str">
        <f t="shared" si="291"/>
        <v/>
      </c>
      <c r="AT92" s="1062"/>
      <c r="AY92" s="4"/>
    </row>
    <row r="93" spans="1:51" ht="13.9" customHeight="1" x14ac:dyDescent="0.25">
      <c r="A93" s="847">
        <f>Chem!A93</f>
        <v>91</v>
      </c>
      <c r="B93" s="951" t="str">
        <f>Chem!B93</f>
        <v>Carbazole</v>
      </c>
      <c r="C93" s="946" t="str">
        <f t="shared" si="262"/>
        <v>na</v>
      </c>
      <c r="D93" s="463" t="str">
        <f t="shared" si="263"/>
        <v>na</v>
      </c>
      <c r="E93" s="634" t="str">
        <f t="shared" si="264"/>
        <v>na</v>
      </c>
      <c r="F93" s="634" t="str">
        <f t="shared" si="265"/>
        <v>na</v>
      </c>
      <c r="G93" s="634"/>
      <c r="H93" s="467" t="str">
        <f>'SL-Det'!E93</f>
        <v>na</v>
      </c>
      <c r="I93" s="231" t="str">
        <f>Leach!F93</f>
        <v>na</v>
      </c>
      <c r="J93" s="231" t="str">
        <f>Leach!I93</f>
        <v>na</v>
      </c>
      <c r="K93" s="231" t="str">
        <f>Leach!L93</f>
        <v>na</v>
      </c>
      <c r="L93" s="476" t="str">
        <f>Leach!G93</f>
        <v>na</v>
      </c>
      <c r="M93" s="476" t="str">
        <f>Leach!J93</f>
        <v>na</v>
      </c>
      <c r="N93" s="476" t="str">
        <f>Leach!M93</f>
        <v>na</v>
      </c>
      <c r="O93" s="485" t="str">
        <f>'SD-Det'!Z93</f>
        <v>na</v>
      </c>
      <c r="P93" s="494" t="str">
        <f>'SL-Det'!I93</f>
        <v>na</v>
      </c>
      <c r="Q93" s="975" t="s">
        <v>232</v>
      </c>
      <c r="S93" s="832" t="str">
        <f t="shared" si="266"/>
        <v/>
      </c>
      <c r="T93" s="366" t="str">
        <f t="shared" si="267"/>
        <v/>
      </c>
      <c r="U93" s="366" t="str">
        <f t="shared" si="268"/>
        <v/>
      </c>
      <c r="V93" s="366" t="str">
        <f t="shared" si="269"/>
        <v/>
      </c>
      <c r="W93" s="366" t="str">
        <f t="shared" si="270"/>
        <v/>
      </c>
      <c r="X93" s="366" t="str">
        <f t="shared" si="271"/>
        <v/>
      </c>
      <c r="Y93" s="989" t="str">
        <f t="shared" si="272"/>
        <v/>
      </c>
      <c r="Z93" s="832" t="str">
        <f t="shared" si="273"/>
        <v/>
      </c>
      <c r="AA93" s="366" t="str">
        <f t="shared" si="274"/>
        <v/>
      </c>
      <c r="AB93" s="366" t="str">
        <f t="shared" si="275"/>
        <v/>
      </c>
      <c r="AC93" s="366" t="str">
        <f t="shared" si="276"/>
        <v/>
      </c>
      <c r="AD93" s="366" t="str">
        <f t="shared" si="277"/>
        <v/>
      </c>
      <c r="AE93" s="366" t="str">
        <f t="shared" si="278"/>
        <v/>
      </c>
      <c r="AF93" s="833" t="str">
        <f t="shared" si="279"/>
        <v/>
      </c>
      <c r="AG93" s="832" t="str">
        <f t="shared" si="280"/>
        <v/>
      </c>
      <c r="AH93" s="366" t="str">
        <f t="shared" si="281"/>
        <v/>
      </c>
      <c r="AI93" s="366" t="str">
        <f t="shared" si="282"/>
        <v/>
      </c>
      <c r="AJ93" s="366" t="str">
        <f t="shared" si="283"/>
        <v/>
      </c>
      <c r="AK93" s="366" t="str">
        <f t="shared" si="284"/>
        <v/>
      </c>
      <c r="AL93" s="833" t="str">
        <f t="shared" si="285"/>
        <v/>
      </c>
      <c r="AM93" s="832" t="str">
        <f t="shared" si="286"/>
        <v/>
      </c>
      <c r="AN93" s="366" t="str">
        <f t="shared" si="287"/>
        <v/>
      </c>
      <c r="AO93" s="366" t="str">
        <f t="shared" si="288"/>
        <v/>
      </c>
      <c r="AP93" s="366" t="str">
        <f t="shared" si="289"/>
        <v/>
      </c>
      <c r="AQ93" s="366" t="str">
        <f t="shared" si="290"/>
        <v/>
      </c>
      <c r="AR93" s="833" t="str">
        <f t="shared" si="291"/>
        <v/>
      </c>
      <c r="AT93" s="1062"/>
      <c r="AY93" s="4"/>
    </row>
    <row r="94" spans="1:51" ht="13.9" customHeight="1" x14ac:dyDescent="0.25">
      <c r="A94" s="847">
        <f>Chem!A94</f>
        <v>92</v>
      </c>
      <c r="B94" s="951" t="str">
        <f>Chem!B94</f>
        <v>4-Chloroaniline</v>
      </c>
      <c r="C94" s="946">
        <f t="shared" si="262"/>
        <v>2.7387631379326501E-3</v>
      </c>
      <c r="D94" s="463">
        <f t="shared" si="263"/>
        <v>1.7485416666666664E-4</v>
      </c>
      <c r="E94" s="634">
        <f t="shared" si="264"/>
        <v>5</v>
      </c>
      <c r="F94" s="634">
        <f t="shared" si="265"/>
        <v>5</v>
      </c>
      <c r="G94" s="634"/>
      <c r="H94" s="467">
        <f>'SL-Det'!E94</f>
        <v>5</v>
      </c>
      <c r="I94" s="231">
        <f>Leach!F94</f>
        <v>2.7387631379326501E-3</v>
      </c>
      <c r="J94" s="231" t="str">
        <f>Leach!I94</f>
        <v>na</v>
      </c>
      <c r="K94" s="231" t="str">
        <f>Leach!L94</f>
        <v>na</v>
      </c>
      <c r="L94" s="476">
        <f>Leach!G94</f>
        <v>1.7485416666666664E-4</v>
      </c>
      <c r="M94" s="476" t="str">
        <f>Leach!J94</f>
        <v>na</v>
      </c>
      <c r="N94" s="476" t="str">
        <f>Leach!M94</f>
        <v>na</v>
      </c>
      <c r="O94" s="485" t="str">
        <f>'SD-Det'!Z94</f>
        <v>na</v>
      </c>
      <c r="P94" s="494" t="str">
        <f>'SL-Det'!I94</f>
        <v>na</v>
      </c>
      <c r="Q94" s="975" t="s">
        <v>232</v>
      </c>
      <c r="S94" s="832" t="str">
        <f t="shared" si="266"/>
        <v/>
      </c>
      <c r="T94" s="366" t="str">
        <f t="shared" si="267"/>
        <v>X</v>
      </c>
      <c r="U94" s="366" t="str">
        <f t="shared" si="268"/>
        <v/>
      </c>
      <c r="V94" s="366" t="str">
        <f t="shared" si="269"/>
        <v/>
      </c>
      <c r="W94" s="366" t="str">
        <f t="shared" si="270"/>
        <v/>
      </c>
      <c r="X94" s="366" t="str">
        <f t="shared" si="271"/>
        <v/>
      </c>
      <c r="Y94" s="989" t="str">
        <f t="shared" si="272"/>
        <v/>
      </c>
      <c r="Z94" s="832" t="str">
        <f t="shared" si="273"/>
        <v/>
      </c>
      <c r="AA94" s="366" t="str">
        <f t="shared" si="274"/>
        <v>X</v>
      </c>
      <c r="AB94" s="366" t="str">
        <f t="shared" si="275"/>
        <v/>
      </c>
      <c r="AC94" s="366" t="str">
        <f t="shared" si="276"/>
        <v/>
      </c>
      <c r="AD94" s="366" t="str">
        <f t="shared" si="277"/>
        <v/>
      </c>
      <c r="AE94" s="366" t="str">
        <f t="shared" si="278"/>
        <v/>
      </c>
      <c r="AF94" s="833" t="str">
        <f t="shared" si="279"/>
        <v/>
      </c>
      <c r="AG94" s="832" t="str">
        <f t="shared" si="280"/>
        <v>X</v>
      </c>
      <c r="AH94" s="366" t="str">
        <f t="shared" si="281"/>
        <v/>
      </c>
      <c r="AI94" s="366" t="str">
        <f t="shared" si="282"/>
        <v/>
      </c>
      <c r="AJ94" s="366" t="str">
        <f t="shared" si="283"/>
        <v/>
      </c>
      <c r="AK94" s="366" t="str">
        <f t="shared" si="284"/>
        <v/>
      </c>
      <c r="AL94" s="833" t="str">
        <f t="shared" si="285"/>
        <v/>
      </c>
      <c r="AM94" s="832" t="str">
        <f t="shared" si="286"/>
        <v>X</v>
      </c>
      <c r="AN94" s="366" t="str">
        <f t="shared" si="287"/>
        <v/>
      </c>
      <c r="AO94" s="366" t="str">
        <f t="shared" si="288"/>
        <v/>
      </c>
      <c r="AP94" s="366" t="str">
        <f t="shared" si="289"/>
        <v/>
      </c>
      <c r="AQ94" s="366" t="str">
        <f t="shared" si="290"/>
        <v/>
      </c>
      <c r="AR94" s="833" t="str">
        <f t="shared" si="291"/>
        <v/>
      </c>
      <c r="AT94" s="1062"/>
      <c r="AY94" s="4"/>
    </row>
    <row r="95" spans="1:51" ht="13.9" customHeight="1" x14ac:dyDescent="0.25">
      <c r="A95" s="847">
        <f>Chem!A95</f>
        <v>93</v>
      </c>
      <c r="B95" s="951" t="str">
        <f>Chem!B95</f>
        <v>4-Chloro-3-methylphenol (chlorocresol)</v>
      </c>
      <c r="C95" s="946">
        <f t="shared" si="262"/>
        <v>0.49824249733818621</v>
      </c>
      <c r="D95" s="463">
        <f t="shared" si="263"/>
        <v>2.8032000000000001E-2</v>
      </c>
      <c r="E95" s="634">
        <f t="shared" si="264"/>
        <v>0.49824249733818621</v>
      </c>
      <c r="F95" s="634">
        <f t="shared" si="265"/>
        <v>2.8032000000000001E-2</v>
      </c>
      <c r="G95" s="634"/>
      <c r="H95" s="467">
        <f>'SL-Det'!E95</f>
        <v>8000</v>
      </c>
      <c r="I95" s="231">
        <f>Leach!F95</f>
        <v>22.144110992808276</v>
      </c>
      <c r="J95" s="231">
        <f>Leach!I95</f>
        <v>0.49824249733818621</v>
      </c>
      <c r="K95" s="231" t="str">
        <f>Leach!L95</f>
        <v>na</v>
      </c>
      <c r="L95" s="476">
        <f>Leach!G95</f>
        <v>1.2458666666666667</v>
      </c>
      <c r="M95" s="476">
        <f>Leach!J95</f>
        <v>2.8032000000000001E-2</v>
      </c>
      <c r="N95" s="476" t="str">
        <f>Leach!M95</f>
        <v>na</v>
      </c>
      <c r="O95" s="485" t="str">
        <f>'SD-Det'!Z95</f>
        <v>na</v>
      </c>
      <c r="P95" s="494" t="str">
        <f>'SL-Det'!I95</f>
        <v>na</v>
      </c>
      <c r="Q95" s="975" t="s">
        <v>232</v>
      </c>
      <c r="S95" s="832" t="str">
        <f t="shared" si="266"/>
        <v/>
      </c>
      <c r="T95" s="366" t="str">
        <f t="shared" si="267"/>
        <v/>
      </c>
      <c r="U95" s="366" t="str">
        <f t="shared" si="268"/>
        <v>X</v>
      </c>
      <c r="V95" s="366" t="str">
        <f t="shared" si="269"/>
        <v/>
      </c>
      <c r="W95" s="366" t="str">
        <f t="shared" si="270"/>
        <v/>
      </c>
      <c r="X95" s="366" t="str">
        <f t="shared" si="271"/>
        <v/>
      </c>
      <c r="Y95" s="989" t="str">
        <f t="shared" si="272"/>
        <v/>
      </c>
      <c r="Z95" s="832" t="str">
        <f t="shared" si="273"/>
        <v/>
      </c>
      <c r="AA95" s="366" t="str">
        <f t="shared" si="274"/>
        <v/>
      </c>
      <c r="AB95" s="366" t="str">
        <f t="shared" si="275"/>
        <v>X</v>
      </c>
      <c r="AC95" s="366" t="str">
        <f t="shared" si="276"/>
        <v/>
      </c>
      <c r="AD95" s="366" t="str">
        <f t="shared" si="277"/>
        <v/>
      </c>
      <c r="AE95" s="366" t="str">
        <f t="shared" si="278"/>
        <v/>
      </c>
      <c r="AF95" s="833" t="str">
        <f t="shared" si="279"/>
        <v/>
      </c>
      <c r="AG95" s="832" t="str">
        <f t="shared" si="280"/>
        <v/>
      </c>
      <c r="AH95" s="366" t="str">
        <f t="shared" si="281"/>
        <v>X</v>
      </c>
      <c r="AI95" s="366" t="str">
        <f t="shared" si="282"/>
        <v/>
      </c>
      <c r="AJ95" s="366" t="str">
        <f t="shared" si="283"/>
        <v/>
      </c>
      <c r="AK95" s="366" t="str">
        <f t="shared" si="284"/>
        <v/>
      </c>
      <c r="AL95" s="833" t="str">
        <f t="shared" si="285"/>
        <v/>
      </c>
      <c r="AM95" s="832" t="str">
        <f t="shared" si="286"/>
        <v/>
      </c>
      <c r="AN95" s="366" t="str">
        <f t="shared" si="287"/>
        <v>X</v>
      </c>
      <c r="AO95" s="366" t="str">
        <f t="shared" si="288"/>
        <v/>
      </c>
      <c r="AP95" s="366" t="str">
        <f t="shared" si="289"/>
        <v/>
      </c>
      <c r="AQ95" s="366" t="str">
        <f t="shared" si="290"/>
        <v/>
      </c>
      <c r="AR95" s="833" t="str">
        <f t="shared" si="291"/>
        <v/>
      </c>
      <c r="AT95" s="1062"/>
      <c r="AY95" s="4"/>
    </row>
    <row r="96" spans="1:51" ht="13.9" customHeight="1" x14ac:dyDescent="0.25">
      <c r="A96" s="847">
        <f>Chem!A96</f>
        <v>94</v>
      </c>
      <c r="B96" s="951" t="str">
        <f>Chem!B96</f>
        <v>2-Chloronaphthalene (beta-)</v>
      </c>
      <c r="C96" s="946">
        <f t="shared" si="262"/>
        <v>5.360839537803666</v>
      </c>
      <c r="D96" s="463">
        <f t="shared" si="263"/>
        <v>0.27666666666666667</v>
      </c>
      <c r="E96" s="634">
        <f t="shared" si="264"/>
        <v>5.360839537803666</v>
      </c>
      <c r="F96" s="634">
        <f t="shared" si="265"/>
        <v>0.27666666666666667</v>
      </c>
      <c r="G96" s="634"/>
      <c r="H96" s="467">
        <f>'SL-Det'!E96</f>
        <v>6400</v>
      </c>
      <c r="I96" s="231">
        <f>Leach!F96</f>
        <v>34.309373041943466</v>
      </c>
      <c r="J96" s="231">
        <f>Leach!I96</f>
        <v>5.360839537803666</v>
      </c>
      <c r="K96" s="231" t="str">
        <f>Leach!L96</f>
        <v>na</v>
      </c>
      <c r="L96" s="476">
        <f>Leach!G96</f>
        <v>1.7706666666666666</v>
      </c>
      <c r="M96" s="476">
        <f>Leach!J96</f>
        <v>0.27666666666666667</v>
      </c>
      <c r="N96" s="476" t="str">
        <f>Leach!M96</f>
        <v>na</v>
      </c>
      <c r="O96" s="485" t="str">
        <f>'SD-Det'!Z96</f>
        <v>na</v>
      </c>
      <c r="P96" s="494" t="str">
        <f>'SL-Det'!I96</f>
        <v>na</v>
      </c>
      <c r="Q96" s="975" t="s">
        <v>232</v>
      </c>
      <c r="S96" s="832" t="str">
        <f t="shared" si="266"/>
        <v/>
      </c>
      <c r="T96" s="366" t="str">
        <f t="shared" si="267"/>
        <v/>
      </c>
      <c r="U96" s="366" t="str">
        <f t="shared" si="268"/>
        <v>X</v>
      </c>
      <c r="V96" s="366" t="str">
        <f t="shared" si="269"/>
        <v/>
      </c>
      <c r="W96" s="366" t="str">
        <f t="shared" si="270"/>
        <v/>
      </c>
      <c r="X96" s="366" t="str">
        <f t="shared" si="271"/>
        <v/>
      </c>
      <c r="Y96" s="989" t="str">
        <f t="shared" si="272"/>
        <v/>
      </c>
      <c r="Z96" s="832" t="str">
        <f t="shared" si="273"/>
        <v/>
      </c>
      <c r="AA96" s="366" t="str">
        <f t="shared" si="274"/>
        <v/>
      </c>
      <c r="AB96" s="366" t="str">
        <f t="shared" si="275"/>
        <v>X</v>
      </c>
      <c r="AC96" s="366" t="str">
        <f t="shared" si="276"/>
        <v/>
      </c>
      <c r="AD96" s="366" t="str">
        <f t="shared" si="277"/>
        <v/>
      </c>
      <c r="AE96" s="366" t="str">
        <f t="shared" si="278"/>
        <v/>
      </c>
      <c r="AF96" s="833" t="str">
        <f t="shared" si="279"/>
        <v/>
      </c>
      <c r="AG96" s="832" t="str">
        <f t="shared" si="280"/>
        <v/>
      </c>
      <c r="AH96" s="366" t="str">
        <f t="shared" si="281"/>
        <v>X</v>
      </c>
      <c r="AI96" s="366" t="str">
        <f t="shared" si="282"/>
        <v/>
      </c>
      <c r="AJ96" s="366" t="str">
        <f t="shared" si="283"/>
        <v/>
      </c>
      <c r="AK96" s="366" t="str">
        <f t="shared" si="284"/>
        <v/>
      </c>
      <c r="AL96" s="833" t="str">
        <f t="shared" si="285"/>
        <v/>
      </c>
      <c r="AM96" s="832" t="str">
        <f t="shared" si="286"/>
        <v/>
      </c>
      <c r="AN96" s="366" t="str">
        <f t="shared" si="287"/>
        <v>X</v>
      </c>
      <c r="AO96" s="366" t="str">
        <f t="shared" si="288"/>
        <v/>
      </c>
      <c r="AP96" s="366" t="str">
        <f t="shared" si="289"/>
        <v/>
      </c>
      <c r="AQ96" s="366" t="str">
        <f t="shared" si="290"/>
        <v/>
      </c>
      <c r="AR96" s="833" t="str">
        <f t="shared" si="291"/>
        <v/>
      </c>
      <c r="AT96" s="1062"/>
      <c r="AY96" s="4"/>
    </row>
    <row r="97" spans="1:51" ht="13.9" customHeight="1" x14ac:dyDescent="0.25">
      <c r="A97" s="847">
        <f>Chem!A97</f>
        <v>95</v>
      </c>
      <c r="B97" s="951" t="str">
        <f>Chem!B97</f>
        <v>2-Chlorophenol</v>
      </c>
      <c r="C97" s="946">
        <f t="shared" si="262"/>
        <v>0.19992613101498799</v>
      </c>
      <c r="D97" s="463">
        <f t="shared" si="263"/>
        <v>1.1469333333333335E-2</v>
      </c>
      <c r="E97" s="634">
        <f t="shared" si="264"/>
        <v>0.19992613101498799</v>
      </c>
      <c r="F97" s="634">
        <f t="shared" si="265"/>
        <v>1.1469333333333335E-2</v>
      </c>
      <c r="G97" s="634"/>
      <c r="H97" s="467">
        <f>'SL-Det'!E97</f>
        <v>400</v>
      </c>
      <c r="I97" s="231">
        <f>Leach!F97</f>
        <v>0.47041442591761878</v>
      </c>
      <c r="J97" s="231">
        <f>Leach!I97</f>
        <v>0.19992613101498799</v>
      </c>
      <c r="K97" s="231" t="str">
        <f>Leach!L97</f>
        <v>na</v>
      </c>
      <c r="L97" s="476">
        <f>Leach!G97</f>
        <v>2.6986666666666669E-2</v>
      </c>
      <c r="M97" s="476">
        <f>Leach!J97</f>
        <v>1.1469333333333335E-2</v>
      </c>
      <c r="N97" s="476" t="str">
        <f>Leach!M97</f>
        <v>na</v>
      </c>
      <c r="O97" s="485" t="str">
        <f>'SD-Det'!Z97</f>
        <v>na</v>
      </c>
      <c r="P97" s="494" t="str">
        <f>'SL-Det'!I97</f>
        <v>na</v>
      </c>
      <c r="Q97" s="975" t="s">
        <v>232</v>
      </c>
      <c r="S97" s="832" t="str">
        <f t="shared" si="266"/>
        <v/>
      </c>
      <c r="T97" s="366" t="str">
        <f t="shared" si="267"/>
        <v/>
      </c>
      <c r="U97" s="366" t="str">
        <f t="shared" si="268"/>
        <v>X</v>
      </c>
      <c r="V97" s="366" t="str">
        <f t="shared" si="269"/>
        <v/>
      </c>
      <c r="W97" s="366" t="str">
        <f t="shared" si="270"/>
        <v/>
      </c>
      <c r="X97" s="366" t="str">
        <f t="shared" si="271"/>
        <v/>
      </c>
      <c r="Y97" s="989" t="str">
        <f t="shared" si="272"/>
        <v/>
      </c>
      <c r="Z97" s="832" t="str">
        <f t="shared" si="273"/>
        <v/>
      </c>
      <c r="AA97" s="366" t="str">
        <f t="shared" si="274"/>
        <v/>
      </c>
      <c r="AB97" s="366" t="str">
        <f t="shared" si="275"/>
        <v>X</v>
      </c>
      <c r="AC97" s="366" t="str">
        <f t="shared" si="276"/>
        <v/>
      </c>
      <c r="AD97" s="366" t="str">
        <f t="shared" si="277"/>
        <v/>
      </c>
      <c r="AE97" s="366" t="str">
        <f t="shared" si="278"/>
        <v/>
      </c>
      <c r="AF97" s="833" t="str">
        <f t="shared" si="279"/>
        <v/>
      </c>
      <c r="AG97" s="832" t="str">
        <f t="shared" si="280"/>
        <v/>
      </c>
      <c r="AH97" s="366" t="str">
        <f t="shared" si="281"/>
        <v>X</v>
      </c>
      <c r="AI97" s="366" t="str">
        <f t="shared" si="282"/>
        <v/>
      </c>
      <c r="AJ97" s="366" t="str">
        <f t="shared" si="283"/>
        <v/>
      </c>
      <c r="AK97" s="366" t="str">
        <f t="shared" si="284"/>
        <v/>
      </c>
      <c r="AL97" s="833" t="str">
        <f t="shared" si="285"/>
        <v/>
      </c>
      <c r="AM97" s="832" t="str">
        <f t="shared" si="286"/>
        <v/>
      </c>
      <c r="AN97" s="366" t="str">
        <f t="shared" si="287"/>
        <v>X</v>
      </c>
      <c r="AO97" s="366" t="str">
        <f t="shared" si="288"/>
        <v/>
      </c>
      <c r="AP97" s="366" t="str">
        <f t="shared" si="289"/>
        <v/>
      </c>
      <c r="AQ97" s="366" t="str">
        <f t="shared" si="290"/>
        <v/>
      </c>
      <c r="AR97" s="833" t="str">
        <f t="shared" si="291"/>
        <v/>
      </c>
      <c r="AT97" s="1062"/>
      <c r="AY97" s="4"/>
    </row>
    <row r="98" spans="1:51" ht="13.9" customHeight="1" x14ac:dyDescent="0.25">
      <c r="A98" s="847">
        <f>Chem!A98</f>
        <v>96</v>
      </c>
      <c r="B98" s="951" t="str">
        <f>Chem!B98</f>
        <v>4-Chlorophenyl phenyl ether</v>
      </c>
      <c r="C98" s="946" t="str">
        <f t="shared" si="262"/>
        <v>na</v>
      </c>
      <c r="D98" s="463" t="str">
        <f t="shared" si="263"/>
        <v>na</v>
      </c>
      <c r="E98" s="634" t="str">
        <f t="shared" si="264"/>
        <v>na</v>
      </c>
      <c r="F98" s="634" t="str">
        <f t="shared" si="265"/>
        <v>na</v>
      </c>
      <c r="G98" s="634"/>
      <c r="H98" s="467" t="str">
        <f>'SL-Det'!E98</f>
        <v>na</v>
      </c>
      <c r="I98" s="231" t="str">
        <f>Leach!F98</f>
        <v>na</v>
      </c>
      <c r="J98" s="231" t="str">
        <f>Leach!I98</f>
        <v>na</v>
      </c>
      <c r="K98" s="231" t="str">
        <f>Leach!L98</f>
        <v>na</v>
      </c>
      <c r="L98" s="476" t="str">
        <f>Leach!G98</f>
        <v>na</v>
      </c>
      <c r="M98" s="476" t="str">
        <f>Leach!J98</f>
        <v>na</v>
      </c>
      <c r="N98" s="476" t="str">
        <f>Leach!M98</f>
        <v>na</v>
      </c>
      <c r="O98" s="485" t="str">
        <f>'SD-Det'!Z98</f>
        <v>na</v>
      </c>
      <c r="P98" s="494" t="str">
        <f>'SL-Det'!I98</f>
        <v>na</v>
      </c>
      <c r="Q98" s="975" t="s">
        <v>232</v>
      </c>
      <c r="S98" s="832" t="str">
        <f t="shared" si="266"/>
        <v/>
      </c>
      <c r="T98" s="366" t="str">
        <f t="shared" si="267"/>
        <v/>
      </c>
      <c r="U98" s="366" t="str">
        <f t="shared" si="268"/>
        <v/>
      </c>
      <c r="V98" s="366" t="str">
        <f t="shared" si="269"/>
        <v/>
      </c>
      <c r="W98" s="366" t="str">
        <f t="shared" si="270"/>
        <v/>
      </c>
      <c r="X98" s="366" t="str">
        <f t="shared" si="271"/>
        <v/>
      </c>
      <c r="Y98" s="989" t="str">
        <f t="shared" si="272"/>
        <v/>
      </c>
      <c r="Z98" s="832" t="str">
        <f t="shared" si="273"/>
        <v/>
      </c>
      <c r="AA98" s="366" t="str">
        <f t="shared" si="274"/>
        <v/>
      </c>
      <c r="AB98" s="366" t="str">
        <f t="shared" si="275"/>
        <v/>
      </c>
      <c r="AC98" s="366" t="str">
        <f t="shared" si="276"/>
        <v/>
      </c>
      <c r="AD98" s="366" t="str">
        <f t="shared" si="277"/>
        <v/>
      </c>
      <c r="AE98" s="366" t="str">
        <f t="shared" si="278"/>
        <v/>
      </c>
      <c r="AF98" s="833" t="str">
        <f t="shared" si="279"/>
        <v/>
      </c>
      <c r="AG98" s="832" t="str">
        <f t="shared" si="280"/>
        <v/>
      </c>
      <c r="AH98" s="366" t="str">
        <f t="shared" si="281"/>
        <v/>
      </c>
      <c r="AI98" s="366" t="str">
        <f t="shared" si="282"/>
        <v/>
      </c>
      <c r="AJ98" s="366" t="str">
        <f t="shared" si="283"/>
        <v/>
      </c>
      <c r="AK98" s="366" t="str">
        <f t="shared" si="284"/>
        <v/>
      </c>
      <c r="AL98" s="833" t="str">
        <f t="shared" si="285"/>
        <v/>
      </c>
      <c r="AM98" s="832" t="str">
        <f t="shared" si="286"/>
        <v/>
      </c>
      <c r="AN98" s="366" t="str">
        <f t="shared" si="287"/>
        <v/>
      </c>
      <c r="AO98" s="366" t="str">
        <f t="shared" si="288"/>
        <v/>
      </c>
      <c r="AP98" s="366" t="str">
        <f t="shared" si="289"/>
        <v/>
      </c>
      <c r="AQ98" s="366" t="str">
        <f t="shared" si="290"/>
        <v/>
      </c>
      <c r="AR98" s="833" t="str">
        <f t="shared" si="291"/>
        <v/>
      </c>
      <c r="AT98" s="1062"/>
      <c r="AY98" s="4"/>
    </row>
    <row r="99" spans="1:51" ht="13.9" customHeight="1" x14ac:dyDescent="0.25">
      <c r="A99" s="847">
        <f>Chem!A99</f>
        <v>97</v>
      </c>
      <c r="B99" s="951" t="str">
        <f>Chem!B99</f>
        <v>Dibutyl phthalate</v>
      </c>
      <c r="C99" s="946">
        <f t="shared" si="262"/>
        <v>0.28320013913823966</v>
      </c>
      <c r="D99" s="463">
        <f t="shared" si="263"/>
        <v>1.4853333333333333E-2</v>
      </c>
      <c r="E99" s="634">
        <f t="shared" si="264"/>
        <v>0.28320013913823966</v>
      </c>
      <c r="F99" s="634">
        <f t="shared" si="265"/>
        <v>1.4853333333333333E-2</v>
      </c>
      <c r="G99" s="634"/>
      <c r="H99" s="467">
        <f>'SL-Det'!E99</f>
        <v>8000</v>
      </c>
      <c r="I99" s="231">
        <f>Leach!F99</f>
        <v>56.640027827647934</v>
      </c>
      <c r="J99" s="231">
        <f>Leach!I99</f>
        <v>0.28320013913823966</v>
      </c>
      <c r="K99" s="231">
        <f>Leach!L99</f>
        <v>1.6284993310968439</v>
      </c>
      <c r="L99" s="476">
        <f>Leach!G99</f>
        <v>2.9706666666666668</v>
      </c>
      <c r="M99" s="476">
        <f>Leach!J99</f>
        <v>1.4853333333333333E-2</v>
      </c>
      <c r="N99" s="476">
        <f>Leach!M99</f>
        <v>8.5411834441523643E-2</v>
      </c>
      <c r="O99" s="485">
        <f>'SD-Det'!Z99</f>
        <v>1.4</v>
      </c>
      <c r="P99" s="492">
        <f>'SL-Det'!I99</f>
        <v>200</v>
      </c>
      <c r="Q99" s="975" t="s">
        <v>232</v>
      </c>
      <c r="S99" s="832" t="str">
        <f t="shared" si="266"/>
        <v/>
      </c>
      <c r="T99" s="366" t="str">
        <f t="shared" si="267"/>
        <v/>
      </c>
      <c r="U99" s="366" t="str">
        <f t="shared" si="268"/>
        <v>X</v>
      </c>
      <c r="V99" s="366" t="str">
        <f t="shared" si="269"/>
        <v/>
      </c>
      <c r="W99" s="366" t="str">
        <f t="shared" si="270"/>
        <v/>
      </c>
      <c r="X99" s="366" t="str">
        <f t="shared" si="271"/>
        <v/>
      </c>
      <c r="Y99" s="989" t="str">
        <f t="shared" si="272"/>
        <v/>
      </c>
      <c r="Z99" s="832" t="str">
        <f t="shared" si="273"/>
        <v/>
      </c>
      <c r="AA99" s="366" t="str">
        <f t="shared" si="274"/>
        <v/>
      </c>
      <c r="AB99" s="366" t="str">
        <f t="shared" si="275"/>
        <v>X</v>
      </c>
      <c r="AC99" s="366" t="str">
        <f t="shared" si="276"/>
        <v/>
      </c>
      <c r="AD99" s="366" t="str">
        <f t="shared" si="277"/>
        <v/>
      </c>
      <c r="AE99" s="366" t="str">
        <f t="shared" si="278"/>
        <v/>
      </c>
      <c r="AF99" s="833" t="str">
        <f t="shared" si="279"/>
        <v/>
      </c>
      <c r="AG99" s="832" t="str">
        <f t="shared" si="280"/>
        <v/>
      </c>
      <c r="AH99" s="366" t="str">
        <f t="shared" si="281"/>
        <v>X</v>
      </c>
      <c r="AI99" s="366" t="str">
        <f t="shared" si="282"/>
        <v/>
      </c>
      <c r="AJ99" s="366" t="str">
        <f t="shared" si="283"/>
        <v/>
      </c>
      <c r="AK99" s="366" t="str">
        <f t="shared" si="284"/>
        <v/>
      </c>
      <c r="AL99" s="833" t="str">
        <f t="shared" si="285"/>
        <v/>
      </c>
      <c r="AM99" s="832" t="str">
        <f t="shared" si="286"/>
        <v/>
      </c>
      <c r="AN99" s="366" t="str">
        <f t="shared" si="287"/>
        <v>X</v>
      </c>
      <c r="AO99" s="366" t="str">
        <f t="shared" si="288"/>
        <v/>
      </c>
      <c r="AP99" s="366" t="str">
        <f t="shared" si="289"/>
        <v/>
      </c>
      <c r="AQ99" s="366" t="str">
        <f t="shared" si="290"/>
        <v/>
      </c>
      <c r="AR99" s="833" t="str">
        <f t="shared" si="291"/>
        <v/>
      </c>
      <c r="AT99" s="1062"/>
      <c r="AY99" s="4"/>
    </row>
    <row r="100" spans="1:51" ht="13.9" customHeight="1" x14ac:dyDescent="0.25">
      <c r="A100" s="847">
        <f>Chem!A100</f>
        <v>98</v>
      </c>
      <c r="B100" s="951" t="str">
        <f>Chem!B100</f>
        <v>Dibutyl phenyl phosphate</v>
      </c>
      <c r="C100" s="946" t="str">
        <f t="shared" si="262"/>
        <v>na</v>
      </c>
      <c r="D100" s="463" t="str">
        <f t="shared" si="263"/>
        <v>na</v>
      </c>
      <c r="E100" s="634" t="str">
        <f t="shared" si="264"/>
        <v>na</v>
      </c>
      <c r="F100" s="634" t="str">
        <f t="shared" si="265"/>
        <v>na</v>
      </c>
      <c r="G100" s="634"/>
      <c r="H100" s="467" t="str">
        <f>'SL-Det'!E100</f>
        <v>na</v>
      </c>
      <c r="I100" s="231" t="str">
        <f>Leach!F100</f>
        <v>na</v>
      </c>
      <c r="J100" s="231" t="str">
        <f>Leach!I100</f>
        <v>na</v>
      </c>
      <c r="K100" s="231" t="str">
        <f>Leach!L100</f>
        <v>na</v>
      </c>
      <c r="L100" s="476" t="str">
        <f>Leach!G100</f>
        <v>na</v>
      </c>
      <c r="M100" s="476" t="str">
        <f>Leach!J100</f>
        <v>na</v>
      </c>
      <c r="N100" s="476" t="str">
        <f>Leach!M100</f>
        <v>na</v>
      </c>
      <c r="O100" s="483" t="str">
        <f>'SD-Det'!Z100</f>
        <v>na</v>
      </c>
      <c r="P100" s="494" t="str">
        <f>'SL-Det'!I100</f>
        <v>na</v>
      </c>
      <c r="Q100" s="975" t="s">
        <v>232</v>
      </c>
      <c r="S100" s="832" t="str">
        <f t="shared" si="266"/>
        <v/>
      </c>
      <c r="T100" s="366" t="str">
        <f t="shared" si="267"/>
        <v/>
      </c>
      <c r="U100" s="366" t="str">
        <f t="shared" si="268"/>
        <v/>
      </c>
      <c r="V100" s="366" t="str">
        <f t="shared" si="269"/>
        <v/>
      </c>
      <c r="W100" s="366" t="str">
        <f t="shared" si="270"/>
        <v/>
      </c>
      <c r="X100" s="366" t="str">
        <f t="shared" si="271"/>
        <v/>
      </c>
      <c r="Y100" s="989" t="str">
        <f t="shared" si="272"/>
        <v/>
      </c>
      <c r="Z100" s="832" t="str">
        <f t="shared" si="273"/>
        <v/>
      </c>
      <c r="AA100" s="366" t="str">
        <f t="shared" si="274"/>
        <v/>
      </c>
      <c r="AB100" s="366" t="str">
        <f t="shared" si="275"/>
        <v/>
      </c>
      <c r="AC100" s="366" t="str">
        <f t="shared" si="276"/>
        <v/>
      </c>
      <c r="AD100" s="366" t="str">
        <f t="shared" si="277"/>
        <v/>
      </c>
      <c r="AE100" s="366" t="str">
        <f t="shared" si="278"/>
        <v/>
      </c>
      <c r="AF100" s="833" t="str">
        <f t="shared" si="279"/>
        <v/>
      </c>
      <c r="AG100" s="832" t="str">
        <f t="shared" si="280"/>
        <v/>
      </c>
      <c r="AH100" s="366" t="str">
        <f t="shared" si="281"/>
        <v/>
      </c>
      <c r="AI100" s="366" t="str">
        <f t="shared" si="282"/>
        <v/>
      </c>
      <c r="AJ100" s="366" t="str">
        <f t="shared" si="283"/>
        <v/>
      </c>
      <c r="AK100" s="366" t="str">
        <f t="shared" si="284"/>
        <v/>
      </c>
      <c r="AL100" s="833" t="str">
        <f t="shared" si="285"/>
        <v/>
      </c>
      <c r="AM100" s="832" t="str">
        <f t="shared" si="286"/>
        <v/>
      </c>
      <c r="AN100" s="366" t="str">
        <f t="shared" si="287"/>
        <v/>
      </c>
      <c r="AO100" s="366" t="str">
        <f t="shared" si="288"/>
        <v/>
      </c>
      <c r="AP100" s="366" t="str">
        <f t="shared" si="289"/>
        <v/>
      </c>
      <c r="AQ100" s="366" t="str">
        <f t="shared" si="290"/>
        <v/>
      </c>
      <c r="AR100" s="833" t="str">
        <f t="shared" si="291"/>
        <v/>
      </c>
      <c r="AT100" s="1062"/>
      <c r="AY100" s="4"/>
    </row>
    <row r="101" spans="1:51" ht="13.9" customHeight="1" x14ac:dyDescent="0.25">
      <c r="A101" s="847">
        <f>Chem!A101</f>
        <v>99</v>
      </c>
      <c r="B101" s="951" t="str">
        <f>Chem!B101</f>
        <v>1,2-Dichlorobenzene</v>
      </c>
      <c r="C101" s="946">
        <f t="shared" si="262"/>
        <v>3.5000000000000003E-2</v>
      </c>
      <c r="D101" s="463">
        <f t="shared" si="263"/>
        <v>2.9854573229715505E-3</v>
      </c>
      <c r="E101" s="634">
        <f t="shared" si="264"/>
        <v>3.5000000000000003E-2</v>
      </c>
      <c r="F101" s="634">
        <f t="shared" si="265"/>
        <v>2.9854573229715505E-3</v>
      </c>
      <c r="G101" s="634"/>
      <c r="H101" s="467">
        <f>'SL-Det'!E101</f>
        <v>7200</v>
      </c>
      <c r="I101" s="231">
        <f>Leach!F101</f>
        <v>6.9859819047480514</v>
      </c>
      <c r="J101" s="231">
        <f>Leach!I101</f>
        <v>9.3146425396640691</v>
      </c>
      <c r="K101" s="231">
        <f>Leach!L101</f>
        <v>5.2219205898039099E-2</v>
      </c>
      <c r="L101" s="476">
        <f>Leach!G101</f>
        <v>0.39939999999999998</v>
      </c>
      <c r="M101" s="476">
        <f>Leach!J101</f>
        <v>0.5325333333333333</v>
      </c>
      <c r="N101" s="476">
        <f>Leach!M101</f>
        <v>2.9854573229715505E-3</v>
      </c>
      <c r="O101" s="485">
        <f>'SD-Det'!Z101</f>
        <v>3.5000000000000003E-2</v>
      </c>
      <c r="P101" s="494" t="str">
        <f>'SL-Det'!I101</f>
        <v>na</v>
      </c>
      <c r="Q101" s="975" t="s">
        <v>232</v>
      </c>
      <c r="S101" s="832" t="str">
        <f t="shared" si="266"/>
        <v/>
      </c>
      <c r="T101" s="366" t="str">
        <f t="shared" si="267"/>
        <v/>
      </c>
      <c r="U101" s="366" t="str">
        <f t="shared" si="268"/>
        <v/>
      </c>
      <c r="V101" s="366" t="str">
        <f t="shared" si="269"/>
        <v/>
      </c>
      <c r="W101" s="366" t="str">
        <f t="shared" si="270"/>
        <v>X</v>
      </c>
      <c r="X101" s="366" t="str">
        <f t="shared" si="271"/>
        <v/>
      </c>
      <c r="Y101" s="989" t="str">
        <f t="shared" si="272"/>
        <v/>
      </c>
      <c r="Z101" s="832" t="str">
        <f t="shared" si="273"/>
        <v/>
      </c>
      <c r="AA101" s="366" t="str">
        <f t="shared" si="274"/>
        <v/>
      </c>
      <c r="AB101" s="366" t="str">
        <f t="shared" si="275"/>
        <v/>
      </c>
      <c r="AC101" s="366" t="str">
        <f t="shared" si="276"/>
        <v>X</v>
      </c>
      <c r="AD101" s="366" t="str">
        <f t="shared" si="277"/>
        <v/>
      </c>
      <c r="AE101" s="366" t="str">
        <f t="shared" si="278"/>
        <v/>
      </c>
      <c r="AF101" s="833" t="str">
        <f t="shared" si="279"/>
        <v/>
      </c>
      <c r="AG101" s="832" t="str">
        <f t="shared" si="280"/>
        <v/>
      </c>
      <c r="AH101" s="366" t="str">
        <f t="shared" si="281"/>
        <v/>
      </c>
      <c r="AI101" s="366" t="str">
        <f t="shared" si="282"/>
        <v/>
      </c>
      <c r="AJ101" s="366" t="str">
        <f t="shared" si="283"/>
        <v>X</v>
      </c>
      <c r="AK101" s="366" t="str">
        <f t="shared" si="284"/>
        <v/>
      </c>
      <c r="AL101" s="833" t="str">
        <f t="shared" si="285"/>
        <v/>
      </c>
      <c r="AM101" s="832" t="str">
        <f t="shared" si="286"/>
        <v/>
      </c>
      <c r="AN101" s="366" t="str">
        <f t="shared" si="287"/>
        <v/>
      </c>
      <c r="AO101" s="366" t="str">
        <f t="shared" si="288"/>
        <v>X</v>
      </c>
      <c r="AP101" s="366" t="str">
        <f t="shared" si="289"/>
        <v/>
      </c>
      <c r="AQ101" s="366" t="str">
        <f t="shared" si="290"/>
        <v/>
      </c>
      <c r="AR101" s="833" t="str">
        <f t="shared" si="291"/>
        <v/>
      </c>
      <c r="AT101" s="1062"/>
      <c r="AY101" s="4"/>
    </row>
    <row r="102" spans="1:51" ht="13.9" customHeight="1" x14ac:dyDescent="0.25">
      <c r="A102" s="847">
        <f>Chem!A102</f>
        <v>100</v>
      </c>
      <c r="B102" s="951" t="str">
        <f>Chem!B102</f>
        <v>1,3-Dichlorobenzene</v>
      </c>
      <c r="C102" s="946">
        <f t="shared" si="262"/>
        <v>2.3176569733599415E-2</v>
      </c>
      <c r="D102" s="463">
        <f t="shared" si="263"/>
        <v>1.3233333333333333E-3</v>
      </c>
      <c r="E102" s="634">
        <f t="shared" si="264"/>
        <v>2.3176569733599415E-2</v>
      </c>
      <c r="F102" s="634">
        <f t="shared" si="265"/>
        <v>1.3233333333333333E-3</v>
      </c>
      <c r="G102" s="634"/>
      <c r="H102" s="467" t="str">
        <f>'SL-Det'!E102</f>
        <v>na</v>
      </c>
      <c r="I102" s="231" t="str">
        <f>Leach!F102</f>
        <v>na</v>
      </c>
      <c r="J102" s="231">
        <f>Leach!I102</f>
        <v>2.3176569733599415E-2</v>
      </c>
      <c r="K102" s="231" t="str">
        <f>Leach!L102</f>
        <v>na</v>
      </c>
      <c r="L102" s="476" t="str">
        <f>Leach!G102</f>
        <v>na</v>
      </c>
      <c r="M102" s="476">
        <f>Leach!J102</f>
        <v>1.3233333333333333E-3</v>
      </c>
      <c r="N102" s="476" t="str">
        <f>Leach!M102</f>
        <v>na</v>
      </c>
      <c r="O102" s="485" t="str">
        <f>'SD-Det'!Z102</f>
        <v>na</v>
      </c>
      <c r="P102" s="494" t="str">
        <f>'SL-Det'!I102</f>
        <v>na</v>
      </c>
      <c r="Q102" s="975" t="s">
        <v>232</v>
      </c>
      <c r="S102" s="832" t="str">
        <f t="shared" si="266"/>
        <v/>
      </c>
      <c r="T102" s="366" t="str">
        <f t="shared" si="267"/>
        <v/>
      </c>
      <c r="U102" s="366" t="str">
        <f t="shared" si="268"/>
        <v>X</v>
      </c>
      <c r="V102" s="366" t="str">
        <f t="shared" si="269"/>
        <v/>
      </c>
      <c r="W102" s="366" t="str">
        <f t="shared" si="270"/>
        <v/>
      </c>
      <c r="X102" s="366" t="str">
        <f t="shared" si="271"/>
        <v/>
      </c>
      <c r="Y102" s="989" t="str">
        <f t="shared" si="272"/>
        <v/>
      </c>
      <c r="Z102" s="832" t="str">
        <f t="shared" si="273"/>
        <v/>
      </c>
      <c r="AA102" s="366" t="str">
        <f t="shared" si="274"/>
        <v/>
      </c>
      <c r="AB102" s="366" t="str">
        <f t="shared" si="275"/>
        <v>X</v>
      </c>
      <c r="AC102" s="366" t="str">
        <f t="shared" si="276"/>
        <v/>
      </c>
      <c r="AD102" s="366" t="str">
        <f t="shared" si="277"/>
        <v/>
      </c>
      <c r="AE102" s="366" t="str">
        <f t="shared" si="278"/>
        <v/>
      </c>
      <c r="AF102" s="833" t="str">
        <f t="shared" si="279"/>
        <v/>
      </c>
      <c r="AG102" s="832" t="str">
        <f t="shared" si="280"/>
        <v/>
      </c>
      <c r="AH102" s="366" t="str">
        <f t="shared" si="281"/>
        <v>X</v>
      </c>
      <c r="AI102" s="366" t="str">
        <f t="shared" si="282"/>
        <v/>
      </c>
      <c r="AJ102" s="366" t="str">
        <f t="shared" si="283"/>
        <v/>
      </c>
      <c r="AK102" s="366" t="str">
        <f t="shared" si="284"/>
        <v/>
      </c>
      <c r="AL102" s="833" t="str">
        <f t="shared" si="285"/>
        <v/>
      </c>
      <c r="AM102" s="832" t="str">
        <f t="shared" si="286"/>
        <v/>
      </c>
      <c r="AN102" s="366" t="str">
        <f t="shared" si="287"/>
        <v>X</v>
      </c>
      <c r="AO102" s="366" t="str">
        <f t="shared" si="288"/>
        <v/>
      </c>
      <c r="AP102" s="366" t="str">
        <f t="shared" si="289"/>
        <v/>
      </c>
      <c r="AQ102" s="366" t="str">
        <f t="shared" si="290"/>
        <v/>
      </c>
      <c r="AR102" s="833" t="str">
        <f t="shared" si="291"/>
        <v/>
      </c>
      <c r="AT102" s="1062"/>
      <c r="AY102" s="4"/>
    </row>
    <row r="103" spans="1:51" ht="13.9" customHeight="1" x14ac:dyDescent="0.25">
      <c r="A103" s="847">
        <f>Chem!A103</f>
        <v>101</v>
      </c>
      <c r="B103" s="951" t="str">
        <f>Chem!B103</f>
        <v>1,4-Dichlorobenzene</v>
      </c>
      <c r="C103" s="946">
        <f t="shared" si="262"/>
        <v>0.11</v>
      </c>
      <c r="D103" s="463">
        <f t="shared" si="263"/>
        <v>8.0680757232487969E-3</v>
      </c>
      <c r="E103" s="634">
        <f t="shared" si="264"/>
        <v>0.11</v>
      </c>
      <c r="F103" s="634">
        <f t="shared" si="265"/>
        <v>8.0680757232487969E-3</v>
      </c>
      <c r="G103" s="634"/>
      <c r="H103" s="467">
        <f>'SL-Det'!E103</f>
        <v>185.18518518518516</v>
      </c>
      <c r="I103" s="231">
        <f>Leach!F103</f>
        <v>1.2299523003888106</v>
      </c>
      <c r="J103" s="231">
        <f>Leach!I103</f>
        <v>0.98037423084002018</v>
      </c>
      <c r="K103" s="231">
        <f>Leach!L103</f>
        <v>0.14657826138140287</v>
      </c>
      <c r="L103" s="476">
        <f>Leach!G103</f>
        <v>6.7699999999999996E-2</v>
      </c>
      <c r="M103" s="476">
        <f>Leach!J103</f>
        <v>5.3962527983311345E-2</v>
      </c>
      <c r="N103" s="476">
        <f>Leach!M103</f>
        <v>8.0680757232487969E-3</v>
      </c>
      <c r="O103" s="485">
        <f>'SD-Det'!Z103</f>
        <v>0.11</v>
      </c>
      <c r="P103" s="494">
        <f>'SL-Det'!I103</f>
        <v>20</v>
      </c>
      <c r="Q103" s="975" t="s">
        <v>232</v>
      </c>
      <c r="S103" s="832" t="str">
        <f t="shared" si="266"/>
        <v/>
      </c>
      <c r="T103" s="366" t="str">
        <f t="shared" si="267"/>
        <v/>
      </c>
      <c r="U103" s="366" t="str">
        <f t="shared" si="268"/>
        <v/>
      </c>
      <c r="V103" s="366" t="str">
        <f t="shared" si="269"/>
        <v/>
      </c>
      <c r="W103" s="366" t="str">
        <f t="shared" si="270"/>
        <v>X</v>
      </c>
      <c r="X103" s="366" t="str">
        <f t="shared" si="271"/>
        <v/>
      </c>
      <c r="Y103" s="989" t="str">
        <f t="shared" si="272"/>
        <v/>
      </c>
      <c r="Z103" s="832" t="str">
        <f t="shared" si="273"/>
        <v/>
      </c>
      <c r="AA103" s="366" t="str">
        <f t="shared" si="274"/>
        <v/>
      </c>
      <c r="AB103" s="366" t="str">
        <f t="shared" si="275"/>
        <v/>
      </c>
      <c r="AC103" s="366" t="str">
        <f t="shared" si="276"/>
        <v>X</v>
      </c>
      <c r="AD103" s="366" t="str">
        <f t="shared" si="277"/>
        <v/>
      </c>
      <c r="AE103" s="366" t="str">
        <f t="shared" si="278"/>
        <v/>
      </c>
      <c r="AF103" s="833" t="str">
        <f t="shared" si="279"/>
        <v/>
      </c>
      <c r="AG103" s="832" t="str">
        <f t="shared" si="280"/>
        <v/>
      </c>
      <c r="AH103" s="366" t="str">
        <f t="shared" si="281"/>
        <v/>
      </c>
      <c r="AI103" s="366" t="str">
        <f t="shared" si="282"/>
        <v/>
      </c>
      <c r="AJ103" s="366" t="str">
        <f t="shared" si="283"/>
        <v>X</v>
      </c>
      <c r="AK103" s="366" t="str">
        <f t="shared" si="284"/>
        <v/>
      </c>
      <c r="AL103" s="833" t="str">
        <f t="shared" si="285"/>
        <v/>
      </c>
      <c r="AM103" s="832" t="str">
        <f t="shared" si="286"/>
        <v/>
      </c>
      <c r="AN103" s="366" t="str">
        <f t="shared" si="287"/>
        <v/>
      </c>
      <c r="AO103" s="366" t="str">
        <f t="shared" si="288"/>
        <v>X</v>
      </c>
      <c r="AP103" s="366" t="str">
        <f t="shared" si="289"/>
        <v/>
      </c>
      <c r="AQ103" s="366" t="str">
        <f t="shared" si="290"/>
        <v/>
      </c>
      <c r="AR103" s="833" t="str">
        <f t="shared" si="291"/>
        <v/>
      </c>
      <c r="AT103" s="1062"/>
      <c r="AY103" s="4"/>
    </row>
    <row r="104" spans="1:51" ht="13.9" customHeight="1" x14ac:dyDescent="0.25">
      <c r="A104" s="847">
        <f>Chem!A104</f>
        <v>102</v>
      </c>
      <c r="B104" s="951" t="str">
        <f>Chem!B104</f>
        <v>3,3'-Dichlorobenzidine</v>
      </c>
      <c r="C104" s="946">
        <f t="shared" si="262"/>
        <v>2.2374000000664141E-4</v>
      </c>
      <c r="D104" s="463">
        <f t="shared" si="263"/>
        <v>1.1473E-5</v>
      </c>
      <c r="E104" s="634">
        <f t="shared" si="264"/>
        <v>2.2374000000664141E-4</v>
      </c>
      <c r="F104" s="634">
        <f t="shared" si="265"/>
        <v>1.1473E-5</v>
      </c>
      <c r="G104" s="634"/>
      <c r="H104" s="467">
        <f>'SL-Det'!E104</f>
        <v>2.2222222222222223</v>
      </c>
      <c r="I104" s="231">
        <f>Leach!F104</f>
        <v>1.3183333333724657E-2</v>
      </c>
      <c r="J104" s="231">
        <f>Leach!I104</f>
        <v>2.2374000000664141E-4</v>
      </c>
      <c r="K104" s="231" t="str">
        <f>Leach!L104</f>
        <v>na</v>
      </c>
      <c r="L104" s="476">
        <f>Leach!G104</f>
        <v>6.760185185185184E-4</v>
      </c>
      <c r="M104" s="476">
        <f>Leach!J104</f>
        <v>1.1473E-5</v>
      </c>
      <c r="N104" s="476" t="str">
        <f>Leach!M104</f>
        <v>na</v>
      </c>
      <c r="O104" s="489" t="str">
        <f>'SD-Det'!Z104</f>
        <v>na</v>
      </c>
      <c r="P104" s="494" t="str">
        <f>'SL-Det'!I104</f>
        <v>na</v>
      </c>
      <c r="Q104" s="975" t="s">
        <v>232</v>
      </c>
      <c r="S104" s="832" t="str">
        <f t="shared" si="266"/>
        <v/>
      </c>
      <c r="T104" s="366" t="str">
        <f t="shared" si="267"/>
        <v/>
      </c>
      <c r="U104" s="366" t="str">
        <f t="shared" si="268"/>
        <v>X</v>
      </c>
      <c r="V104" s="366" t="str">
        <f t="shared" si="269"/>
        <v/>
      </c>
      <c r="W104" s="366" t="str">
        <f t="shared" si="270"/>
        <v/>
      </c>
      <c r="X104" s="366" t="str">
        <f t="shared" si="271"/>
        <v/>
      </c>
      <c r="Y104" s="989" t="str">
        <f t="shared" si="272"/>
        <v/>
      </c>
      <c r="Z104" s="832" t="str">
        <f t="shared" si="273"/>
        <v/>
      </c>
      <c r="AA104" s="366" t="str">
        <f t="shared" si="274"/>
        <v/>
      </c>
      <c r="AB104" s="366" t="str">
        <f t="shared" si="275"/>
        <v>X</v>
      </c>
      <c r="AC104" s="366" t="str">
        <f t="shared" si="276"/>
        <v/>
      </c>
      <c r="AD104" s="366" t="str">
        <f t="shared" si="277"/>
        <v/>
      </c>
      <c r="AE104" s="366" t="str">
        <f t="shared" si="278"/>
        <v/>
      </c>
      <c r="AF104" s="833" t="str">
        <f t="shared" si="279"/>
        <v/>
      </c>
      <c r="AG104" s="832" t="str">
        <f t="shared" si="280"/>
        <v/>
      </c>
      <c r="AH104" s="366" t="str">
        <f t="shared" si="281"/>
        <v>X</v>
      </c>
      <c r="AI104" s="366" t="str">
        <f t="shared" si="282"/>
        <v/>
      </c>
      <c r="AJ104" s="366" t="str">
        <f t="shared" si="283"/>
        <v/>
      </c>
      <c r="AK104" s="366" t="str">
        <f t="shared" si="284"/>
        <v/>
      </c>
      <c r="AL104" s="833" t="str">
        <f t="shared" si="285"/>
        <v/>
      </c>
      <c r="AM104" s="832" t="str">
        <f t="shared" si="286"/>
        <v/>
      </c>
      <c r="AN104" s="366" t="str">
        <f t="shared" si="287"/>
        <v>X</v>
      </c>
      <c r="AO104" s="366" t="str">
        <f t="shared" si="288"/>
        <v/>
      </c>
      <c r="AP104" s="366" t="str">
        <f t="shared" si="289"/>
        <v/>
      </c>
      <c r="AQ104" s="366" t="str">
        <f t="shared" si="290"/>
        <v/>
      </c>
      <c r="AR104" s="833" t="str">
        <f t="shared" si="291"/>
        <v/>
      </c>
      <c r="AT104" s="1062"/>
      <c r="AY104" s="4"/>
    </row>
    <row r="105" spans="1:51" ht="13.9" customHeight="1" x14ac:dyDescent="0.25">
      <c r="A105" s="847">
        <f>Chem!A105</f>
        <v>103</v>
      </c>
      <c r="B105" s="951" t="str">
        <f>Chem!B105</f>
        <v>2,4-Dichlorophenol</v>
      </c>
      <c r="C105" s="946">
        <f t="shared" si="262"/>
        <v>6.9401292719427229E-2</v>
      </c>
      <c r="D105" s="463">
        <f t="shared" si="263"/>
        <v>4.3366666666666666E-3</v>
      </c>
      <c r="E105" s="634">
        <f t="shared" si="264"/>
        <v>6.9401292719427229E-2</v>
      </c>
      <c r="F105" s="634">
        <f t="shared" si="265"/>
        <v>4.3366666666666666E-3</v>
      </c>
      <c r="G105" s="634"/>
      <c r="H105" s="467">
        <f>'SL-Det'!E105</f>
        <v>240</v>
      </c>
      <c r="I105" s="231">
        <f>Leach!F105</f>
        <v>0.33312620505325063</v>
      </c>
      <c r="J105" s="231">
        <f>Leach!I105</f>
        <v>6.9401292719427229E-2</v>
      </c>
      <c r="K105" s="231" t="str">
        <f>Leach!L105</f>
        <v>na</v>
      </c>
      <c r="L105" s="476">
        <f>Leach!G105</f>
        <v>2.0815999999999998E-2</v>
      </c>
      <c r="M105" s="476">
        <f>Leach!J105</f>
        <v>4.3366666666666666E-3</v>
      </c>
      <c r="N105" s="476" t="str">
        <f>Leach!M105</f>
        <v>na</v>
      </c>
      <c r="O105" s="485" t="str">
        <f>'SD-Det'!Z105</f>
        <v>na</v>
      </c>
      <c r="P105" s="494" t="str">
        <f>'SL-Det'!I105</f>
        <v>na</v>
      </c>
      <c r="Q105" s="975" t="s">
        <v>232</v>
      </c>
      <c r="S105" s="832" t="str">
        <f t="shared" si="266"/>
        <v/>
      </c>
      <c r="T105" s="366" t="str">
        <f t="shared" si="267"/>
        <v/>
      </c>
      <c r="U105" s="366" t="str">
        <f t="shared" si="268"/>
        <v>X</v>
      </c>
      <c r="V105" s="366" t="str">
        <f t="shared" si="269"/>
        <v/>
      </c>
      <c r="W105" s="366" t="str">
        <f t="shared" si="270"/>
        <v/>
      </c>
      <c r="X105" s="366" t="str">
        <f t="shared" si="271"/>
        <v/>
      </c>
      <c r="Y105" s="989" t="str">
        <f t="shared" si="272"/>
        <v/>
      </c>
      <c r="Z105" s="832" t="str">
        <f t="shared" si="273"/>
        <v/>
      </c>
      <c r="AA105" s="366" t="str">
        <f t="shared" si="274"/>
        <v/>
      </c>
      <c r="AB105" s="366" t="str">
        <f t="shared" si="275"/>
        <v>X</v>
      </c>
      <c r="AC105" s="366" t="str">
        <f t="shared" si="276"/>
        <v/>
      </c>
      <c r="AD105" s="366" t="str">
        <f t="shared" si="277"/>
        <v/>
      </c>
      <c r="AE105" s="366" t="str">
        <f t="shared" si="278"/>
        <v/>
      </c>
      <c r="AF105" s="833" t="str">
        <f t="shared" si="279"/>
        <v/>
      </c>
      <c r="AG105" s="832" t="str">
        <f t="shared" si="280"/>
        <v/>
      </c>
      <c r="AH105" s="366" t="str">
        <f t="shared" si="281"/>
        <v>X</v>
      </c>
      <c r="AI105" s="366" t="str">
        <f t="shared" si="282"/>
        <v/>
      </c>
      <c r="AJ105" s="366" t="str">
        <f t="shared" si="283"/>
        <v/>
      </c>
      <c r="AK105" s="366" t="str">
        <f t="shared" si="284"/>
        <v/>
      </c>
      <c r="AL105" s="833" t="str">
        <f t="shared" si="285"/>
        <v/>
      </c>
      <c r="AM105" s="832" t="str">
        <f t="shared" si="286"/>
        <v/>
      </c>
      <c r="AN105" s="366" t="str">
        <f t="shared" si="287"/>
        <v>X</v>
      </c>
      <c r="AO105" s="366" t="str">
        <f t="shared" si="288"/>
        <v/>
      </c>
      <c r="AP105" s="366" t="str">
        <f t="shared" si="289"/>
        <v/>
      </c>
      <c r="AQ105" s="366" t="str">
        <f t="shared" si="290"/>
        <v/>
      </c>
      <c r="AR105" s="833" t="str">
        <f t="shared" si="291"/>
        <v/>
      </c>
      <c r="AT105" s="1062"/>
      <c r="AY105" s="4"/>
    </row>
    <row r="106" spans="1:51" ht="13.9" customHeight="1" x14ac:dyDescent="0.25">
      <c r="A106" s="846">
        <f>Chem!A106</f>
        <v>104</v>
      </c>
      <c r="B106" s="951" t="str">
        <f>Chem!B106</f>
        <v>Di(2-ethylhexyl)adipate</v>
      </c>
      <c r="C106" s="946">
        <f t="shared" si="262"/>
        <v>289.60000251593908</v>
      </c>
      <c r="D106" s="463">
        <f t="shared" si="263"/>
        <v>14.514666666666669</v>
      </c>
      <c r="E106" s="634">
        <f t="shared" si="264"/>
        <v>833.33333333333337</v>
      </c>
      <c r="F106" s="634">
        <f t="shared" si="265"/>
        <v>833.33333333333337</v>
      </c>
      <c r="G106" s="634"/>
      <c r="H106" s="467">
        <f>'SL-Det'!E106</f>
        <v>833.33333333333337</v>
      </c>
      <c r="I106" s="231">
        <f>Leach!F106</f>
        <v>289.60000251593908</v>
      </c>
      <c r="J106" s="231" t="str">
        <f>Leach!I106</f>
        <v>na</v>
      </c>
      <c r="K106" s="231" t="str">
        <f>Leach!L106</f>
        <v>na</v>
      </c>
      <c r="L106" s="476">
        <f>Leach!G106</f>
        <v>14.514666666666669</v>
      </c>
      <c r="M106" s="476" t="str">
        <f>Leach!J106</f>
        <v>na</v>
      </c>
      <c r="N106" s="476" t="str">
        <f>Leach!M106</f>
        <v>na</v>
      </c>
      <c r="O106" s="485" t="str">
        <f>'SD-Det'!Z106</f>
        <v>na</v>
      </c>
      <c r="P106" s="494" t="str">
        <f>'SL-Det'!I106</f>
        <v>na</v>
      </c>
      <c r="Q106" s="975" t="s">
        <v>232</v>
      </c>
      <c r="S106" s="832" t="str">
        <f t="shared" ref="S106" si="318">IF($C106="na","",IF($C106=H106,"X",""))</f>
        <v/>
      </c>
      <c r="T106" s="366" t="str">
        <f t="shared" ref="T106" si="319">IF($C106="na","",IF($C106=I106,"X",""))</f>
        <v>X</v>
      </c>
      <c r="U106" s="366" t="str">
        <f t="shared" ref="U106" si="320">IF($C106="na","",IF($C106=J106,"X",""))</f>
        <v/>
      </c>
      <c r="V106" s="366" t="str">
        <f t="shared" ref="V106" si="321">IF($C106="na","",IF($C106=K106,"X",""))</f>
        <v/>
      </c>
      <c r="W106" s="366" t="str">
        <f t="shared" ref="W106" si="322">IF($C106="na","",IF($C106=O106,"X",""))</f>
        <v/>
      </c>
      <c r="X106" s="366" t="str">
        <f t="shared" ref="X106" si="323">IF($C106="na","",IF($C106=P106,"X",""))</f>
        <v/>
      </c>
      <c r="Y106" s="989" t="str">
        <f t="shared" ref="Y106" si="324">IF($C106="na","",IF($C106=Q106,"X",""))</f>
        <v/>
      </c>
      <c r="Z106" s="832" t="str">
        <f t="shared" ref="Z106" si="325">IF($D106="na","",IF($D106=H106,"X",""))</f>
        <v/>
      </c>
      <c r="AA106" s="366" t="str">
        <f t="shared" ref="AA106" si="326">IF($D106="na","",IF($D106=L106,"X",""))</f>
        <v>X</v>
      </c>
      <c r="AB106" s="366" t="str">
        <f t="shared" ref="AB106" si="327">IF($D106="na","",IF($D106=M106,"X",""))</f>
        <v/>
      </c>
      <c r="AC106" s="366" t="str">
        <f t="shared" ref="AC106" si="328">IF($D106="na","",IF($D106=N106,"X",""))</f>
        <v/>
      </c>
      <c r="AD106" s="366" t="str">
        <f t="shared" ref="AD106" si="329">IF($D106="na","",IF($D106=O106,"X",""))</f>
        <v/>
      </c>
      <c r="AE106" s="366" t="str">
        <f t="shared" ref="AE106" si="330">IF($D106="na","",IF($D106=P106,"X",""))</f>
        <v/>
      </c>
      <c r="AF106" s="833" t="str">
        <f t="shared" ref="AF106" si="331">IF($D106="na","",IF($D106=Q106,"X",""))</f>
        <v/>
      </c>
      <c r="AG106" s="832" t="str">
        <f t="shared" ref="AG106" si="332">IF($E106="na","",IF($E106=H106,"X",""))</f>
        <v>X</v>
      </c>
      <c r="AH106" s="366" t="str">
        <f t="shared" ref="AH106" si="333">IF($E106="na","",IF($E106=J106,"X",""))</f>
        <v/>
      </c>
      <c r="AI106" s="366" t="str">
        <f t="shared" ref="AI106" si="334">IF($E106="na","",IF($E106=K106,"X",""))</f>
        <v/>
      </c>
      <c r="AJ106" s="366" t="str">
        <f t="shared" ref="AJ106" si="335">IF($E106="na","",IF($E106=O106,"X",""))</f>
        <v/>
      </c>
      <c r="AK106" s="366" t="str">
        <f t="shared" ref="AK106" si="336">IF($E106="na","",IF($E106=P106,"X",""))</f>
        <v/>
      </c>
      <c r="AL106" s="833" t="str">
        <f t="shared" ref="AL106" si="337">IF($E106="na","",IF($E106=Q106,"X",""))</f>
        <v/>
      </c>
      <c r="AM106" s="832" t="str">
        <f t="shared" ref="AM106" si="338">IF($F106="na","",IF($F106=H106,"X",""))</f>
        <v>X</v>
      </c>
      <c r="AN106" s="366" t="str">
        <f t="shared" ref="AN106" si="339">IF($F106="na","",IF($F106=M106,"X",""))</f>
        <v/>
      </c>
      <c r="AO106" s="366" t="str">
        <f t="shared" ref="AO106" si="340">IF($F106="na","",IF($F106=N106,"X",""))</f>
        <v/>
      </c>
      <c r="AP106" s="366" t="str">
        <f t="shared" ref="AP106" si="341">IF($F106="na","",IF($F106=O106,"X",""))</f>
        <v/>
      </c>
      <c r="AQ106" s="366" t="str">
        <f t="shared" ref="AQ106" si="342">IF($F106="na","",IF($F106=P106,"X",""))</f>
        <v/>
      </c>
      <c r="AR106" s="833" t="str">
        <f t="shared" ref="AR106" si="343">IF($F106="na","",IF($F106=Q106,"X",""))</f>
        <v/>
      </c>
      <c r="AT106" s="1062"/>
      <c r="AY106" s="4"/>
    </row>
    <row r="107" spans="1:51" ht="13.9" customHeight="1" x14ac:dyDescent="0.25">
      <c r="A107" s="846">
        <f>Chem!A107</f>
        <v>105</v>
      </c>
      <c r="B107" s="951" t="str">
        <f>Chem!B107</f>
        <v>Diethyl phthalate</v>
      </c>
      <c r="C107" s="946">
        <f t="shared" si="262"/>
        <v>0.2</v>
      </c>
      <c r="D107" s="463">
        <f t="shared" si="263"/>
        <v>3.4120934959349605E-2</v>
      </c>
      <c r="E107" s="634">
        <f t="shared" si="264"/>
        <v>0.2</v>
      </c>
      <c r="F107" s="634">
        <f t="shared" si="265"/>
        <v>3.4120934959349605E-2</v>
      </c>
      <c r="G107" s="634"/>
      <c r="H107" s="467">
        <f>'SL-Det'!E107</f>
        <v>64000</v>
      </c>
      <c r="I107" s="231">
        <f>Leach!F107</f>
        <v>72.19214476387593</v>
      </c>
      <c r="J107" s="231">
        <f>Leach!I107</f>
        <v>1.1280022619355614</v>
      </c>
      <c r="K107" s="231">
        <f>Leach!L107</f>
        <v>0.5219958202554591</v>
      </c>
      <c r="L107" s="476">
        <f>Leach!G107</f>
        <v>4.7189333333333341</v>
      </c>
      <c r="M107" s="476">
        <f>Leach!J107</f>
        <v>7.3733333333333345E-2</v>
      </c>
      <c r="N107" s="476">
        <f>Leach!M107</f>
        <v>3.4120934959349605E-2</v>
      </c>
      <c r="O107" s="485">
        <f>'SD-Det'!Z107</f>
        <v>0.2</v>
      </c>
      <c r="P107" s="494">
        <f>'SL-Det'!I107</f>
        <v>100</v>
      </c>
      <c r="Q107" s="975" t="s">
        <v>232</v>
      </c>
      <c r="S107" s="832" t="str">
        <f t="shared" si="266"/>
        <v/>
      </c>
      <c r="T107" s="366" t="str">
        <f t="shared" si="267"/>
        <v/>
      </c>
      <c r="U107" s="366" t="str">
        <f t="shared" si="268"/>
        <v/>
      </c>
      <c r="V107" s="366" t="str">
        <f t="shared" si="269"/>
        <v/>
      </c>
      <c r="W107" s="366" t="str">
        <f t="shared" si="270"/>
        <v>X</v>
      </c>
      <c r="X107" s="366" t="str">
        <f t="shared" si="271"/>
        <v/>
      </c>
      <c r="Y107" s="989" t="str">
        <f t="shared" si="272"/>
        <v/>
      </c>
      <c r="Z107" s="832" t="str">
        <f t="shared" si="273"/>
        <v/>
      </c>
      <c r="AA107" s="366" t="str">
        <f t="shared" si="274"/>
        <v/>
      </c>
      <c r="AB107" s="366" t="str">
        <f t="shared" si="275"/>
        <v/>
      </c>
      <c r="AC107" s="366" t="str">
        <f t="shared" si="276"/>
        <v>X</v>
      </c>
      <c r="AD107" s="366" t="str">
        <f t="shared" si="277"/>
        <v/>
      </c>
      <c r="AE107" s="366" t="str">
        <f t="shared" si="278"/>
        <v/>
      </c>
      <c r="AF107" s="833" t="str">
        <f t="shared" si="279"/>
        <v/>
      </c>
      <c r="AG107" s="832" t="str">
        <f t="shared" si="280"/>
        <v/>
      </c>
      <c r="AH107" s="366" t="str">
        <f t="shared" si="281"/>
        <v/>
      </c>
      <c r="AI107" s="366" t="str">
        <f t="shared" si="282"/>
        <v/>
      </c>
      <c r="AJ107" s="366" t="str">
        <f t="shared" si="283"/>
        <v>X</v>
      </c>
      <c r="AK107" s="366" t="str">
        <f t="shared" si="284"/>
        <v/>
      </c>
      <c r="AL107" s="833" t="str">
        <f t="shared" si="285"/>
        <v/>
      </c>
      <c r="AM107" s="832" t="str">
        <f t="shared" si="286"/>
        <v/>
      </c>
      <c r="AN107" s="366" t="str">
        <f t="shared" si="287"/>
        <v/>
      </c>
      <c r="AO107" s="366" t="str">
        <f t="shared" si="288"/>
        <v>X</v>
      </c>
      <c r="AP107" s="366" t="str">
        <f t="shared" si="289"/>
        <v/>
      </c>
      <c r="AQ107" s="366" t="str">
        <f t="shared" si="290"/>
        <v/>
      </c>
      <c r="AR107" s="833" t="str">
        <f t="shared" si="291"/>
        <v/>
      </c>
      <c r="AT107" s="1062"/>
      <c r="AY107" s="4"/>
    </row>
    <row r="108" spans="1:51" ht="13.9" customHeight="1" x14ac:dyDescent="0.25">
      <c r="A108" s="847">
        <f>Chem!A108</f>
        <v>106</v>
      </c>
      <c r="B108" s="951" t="str">
        <f>Chem!B108</f>
        <v>Dimethyl phthalate</v>
      </c>
      <c r="C108" s="946">
        <f t="shared" si="262"/>
        <v>7.0999999999999994E-2</v>
      </c>
      <c r="D108" s="463">
        <f t="shared" si="263"/>
        <v>1.8778492563190072E-2</v>
      </c>
      <c r="E108" s="634">
        <f t="shared" si="264"/>
        <v>7.0999999999999994E-2</v>
      </c>
      <c r="F108" s="634">
        <f t="shared" si="265"/>
        <v>1.8778492563190072E-2</v>
      </c>
      <c r="G108" s="634"/>
      <c r="H108" s="467" t="str">
        <f>'SL-Det'!E108</f>
        <v>na</v>
      </c>
      <c r="I108" s="231" t="str">
        <f>Leach!F108</f>
        <v>na</v>
      </c>
      <c r="J108" s="231">
        <f>Leach!I108</f>
        <v>2.7792023773834469</v>
      </c>
      <c r="K108" s="231">
        <f>Leach!L108</f>
        <v>0.27329928349023469</v>
      </c>
      <c r="L108" s="476" t="str">
        <f>Leach!G108</f>
        <v>na</v>
      </c>
      <c r="M108" s="476">
        <f>Leach!J108</f>
        <v>0.19096000000000002</v>
      </c>
      <c r="N108" s="476">
        <f>Leach!M108</f>
        <v>1.8778492563190072E-2</v>
      </c>
      <c r="O108" s="485">
        <f>'SD-Det'!Z108</f>
        <v>7.0999999999999994E-2</v>
      </c>
      <c r="P108" s="494">
        <f>'SL-Det'!I108</f>
        <v>200</v>
      </c>
      <c r="Q108" s="975" t="s">
        <v>232</v>
      </c>
      <c r="S108" s="832" t="str">
        <f t="shared" si="266"/>
        <v/>
      </c>
      <c r="T108" s="366" t="str">
        <f t="shared" si="267"/>
        <v/>
      </c>
      <c r="U108" s="366" t="str">
        <f t="shared" si="268"/>
        <v/>
      </c>
      <c r="V108" s="366" t="str">
        <f t="shared" si="269"/>
        <v/>
      </c>
      <c r="W108" s="366" t="str">
        <f t="shared" si="270"/>
        <v>X</v>
      </c>
      <c r="X108" s="366" t="str">
        <f t="shared" si="271"/>
        <v/>
      </c>
      <c r="Y108" s="989" t="str">
        <f t="shared" si="272"/>
        <v/>
      </c>
      <c r="Z108" s="832" t="str">
        <f t="shared" si="273"/>
        <v/>
      </c>
      <c r="AA108" s="366" t="str">
        <f t="shared" si="274"/>
        <v/>
      </c>
      <c r="AB108" s="366" t="str">
        <f t="shared" si="275"/>
        <v/>
      </c>
      <c r="AC108" s="366" t="str">
        <f t="shared" si="276"/>
        <v>X</v>
      </c>
      <c r="AD108" s="366" t="str">
        <f t="shared" si="277"/>
        <v/>
      </c>
      <c r="AE108" s="366" t="str">
        <f t="shared" si="278"/>
        <v/>
      </c>
      <c r="AF108" s="833" t="str">
        <f t="shared" si="279"/>
        <v/>
      </c>
      <c r="AG108" s="832" t="str">
        <f t="shared" si="280"/>
        <v/>
      </c>
      <c r="AH108" s="366" t="str">
        <f t="shared" si="281"/>
        <v/>
      </c>
      <c r="AI108" s="366" t="str">
        <f t="shared" si="282"/>
        <v/>
      </c>
      <c r="AJ108" s="366" t="str">
        <f t="shared" si="283"/>
        <v>X</v>
      </c>
      <c r="AK108" s="366" t="str">
        <f t="shared" si="284"/>
        <v/>
      </c>
      <c r="AL108" s="833" t="str">
        <f t="shared" si="285"/>
        <v/>
      </c>
      <c r="AM108" s="832" t="str">
        <f t="shared" si="286"/>
        <v/>
      </c>
      <c r="AN108" s="366" t="str">
        <f t="shared" si="287"/>
        <v/>
      </c>
      <c r="AO108" s="366" t="str">
        <f t="shared" si="288"/>
        <v>X</v>
      </c>
      <c r="AP108" s="366" t="str">
        <f t="shared" si="289"/>
        <v/>
      </c>
      <c r="AQ108" s="366" t="str">
        <f t="shared" si="290"/>
        <v/>
      </c>
      <c r="AR108" s="833" t="str">
        <f t="shared" si="291"/>
        <v/>
      </c>
      <c r="AT108" s="1062"/>
      <c r="AY108" s="4"/>
    </row>
    <row r="109" spans="1:51" ht="13.9" customHeight="1" x14ac:dyDescent="0.25">
      <c r="A109" s="847">
        <f>Chem!A109</f>
        <v>107</v>
      </c>
      <c r="B109" s="951" t="str">
        <f>Chem!B109</f>
        <v>2,4-Dimethylphenol</v>
      </c>
      <c r="C109" s="946">
        <f t="shared" si="262"/>
        <v>2.9000000000000001E-2</v>
      </c>
      <c r="D109" s="463">
        <f t="shared" si="263"/>
        <v>2.2692660857776782E-3</v>
      </c>
      <c r="E109" s="634">
        <f t="shared" si="264"/>
        <v>2.9000000000000001E-2</v>
      </c>
      <c r="F109" s="634">
        <f t="shared" si="265"/>
        <v>2.2692660857776782E-3</v>
      </c>
      <c r="G109" s="634"/>
      <c r="H109" s="467">
        <f>'SL-Det'!E109</f>
        <v>1600</v>
      </c>
      <c r="I109" s="231">
        <f>Leach!F109</f>
        <v>4.4288078079542377</v>
      </c>
      <c r="J109" s="231">
        <f>Leach!I109</f>
        <v>1.3424823667861281</v>
      </c>
      <c r="K109" s="231">
        <f>Leach!L109</f>
        <v>4.0333944345373754E-2</v>
      </c>
      <c r="L109" s="476">
        <f>Leach!G109</f>
        <v>0.24917333333333333</v>
      </c>
      <c r="M109" s="476">
        <f>Leach!J109</f>
        <v>7.5530666666666663E-2</v>
      </c>
      <c r="N109" s="476">
        <f>Leach!M109</f>
        <v>2.2692660857776782E-3</v>
      </c>
      <c r="O109" s="485">
        <f>'SD-Det'!Z109</f>
        <v>2.9000000000000001E-2</v>
      </c>
      <c r="P109" s="494" t="str">
        <f>'SL-Det'!I109</f>
        <v>na</v>
      </c>
      <c r="Q109" s="975" t="s">
        <v>232</v>
      </c>
      <c r="S109" s="832" t="str">
        <f t="shared" si="266"/>
        <v/>
      </c>
      <c r="T109" s="366" t="str">
        <f t="shared" si="267"/>
        <v/>
      </c>
      <c r="U109" s="366" t="str">
        <f t="shared" si="268"/>
        <v/>
      </c>
      <c r="V109" s="366" t="str">
        <f t="shared" si="269"/>
        <v/>
      </c>
      <c r="W109" s="366" t="str">
        <f t="shared" si="270"/>
        <v>X</v>
      </c>
      <c r="X109" s="366" t="str">
        <f t="shared" si="271"/>
        <v/>
      </c>
      <c r="Y109" s="989" t="str">
        <f t="shared" si="272"/>
        <v/>
      </c>
      <c r="Z109" s="832" t="str">
        <f t="shared" si="273"/>
        <v/>
      </c>
      <c r="AA109" s="366" t="str">
        <f t="shared" si="274"/>
        <v/>
      </c>
      <c r="AB109" s="366" t="str">
        <f t="shared" si="275"/>
        <v/>
      </c>
      <c r="AC109" s="366" t="str">
        <f t="shared" si="276"/>
        <v>X</v>
      </c>
      <c r="AD109" s="366" t="str">
        <f t="shared" si="277"/>
        <v/>
      </c>
      <c r="AE109" s="366" t="str">
        <f t="shared" si="278"/>
        <v/>
      </c>
      <c r="AF109" s="833" t="str">
        <f t="shared" si="279"/>
        <v/>
      </c>
      <c r="AG109" s="832" t="str">
        <f t="shared" si="280"/>
        <v/>
      </c>
      <c r="AH109" s="366" t="str">
        <f t="shared" si="281"/>
        <v/>
      </c>
      <c r="AI109" s="366" t="str">
        <f t="shared" si="282"/>
        <v/>
      </c>
      <c r="AJ109" s="366" t="str">
        <f t="shared" si="283"/>
        <v>X</v>
      </c>
      <c r="AK109" s="366" t="str">
        <f t="shared" si="284"/>
        <v/>
      </c>
      <c r="AL109" s="833" t="str">
        <f t="shared" si="285"/>
        <v/>
      </c>
      <c r="AM109" s="832" t="str">
        <f t="shared" si="286"/>
        <v/>
      </c>
      <c r="AN109" s="366" t="str">
        <f t="shared" si="287"/>
        <v/>
      </c>
      <c r="AO109" s="366" t="str">
        <f t="shared" si="288"/>
        <v>X</v>
      </c>
      <c r="AP109" s="366" t="str">
        <f t="shared" si="289"/>
        <v/>
      </c>
      <c r="AQ109" s="366" t="str">
        <f t="shared" si="290"/>
        <v/>
      </c>
      <c r="AR109" s="833" t="str">
        <f t="shared" si="291"/>
        <v/>
      </c>
      <c r="AT109" s="1062"/>
      <c r="AY109" s="4"/>
    </row>
    <row r="110" spans="1:51" ht="13.9" customHeight="1" x14ac:dyDescent="0.25">
      <c r="A110" s="847">
        <f>Chem!A110</f>
        <v>108</v>
      </c>
      <c r="B110" s="951" t="str">
        <f>Chem!B110</f>
        <v>1,2-Dinitrobenzene</v>
      </c>
      <c r="C110" s="946">
        <f t="shared" si="262"/>
        <v>1.7888001387479747E-2</v>
      </c>
      <c r="D110" s="463">
        <f t="shared" si="263"/>
        <v>1.0330666666666666E-3</v>
      </c>
      <c r="E110" s="634">
        <f t="shared" si="264"/>
        <v>8</v>
      </c>
      <c r="F110" s="634">
        <f t="shared" si="265"/>
        <v>8</v>
      </c>
      <c r="G110" s="634"/>
      <c r="H110" s="467">
        <f>'SL-Det'!E110</f>
        <v>8</v>
      </c>
      <c r="I110" s="231">
        <f>Leach!F110</f>
        <v>1.7888001387479747E-2</v>
      </c>
      <c r="J110" s="231" t="str">
        <f>Leach!I110</f>
        <v>na</v>
      </c>
      <c r="K110" s="231" t="str">
        <f>Leach!L110</f>
        <v>na</v>
      </c>
      <c r="L110" s="476">
        <f>Leach!G110</f>
        <v>1.0330666666666666E-3</v>
      </c>
      <c r="M110" s="476" t="str">
        <f>Leach!J110</f>
        <v>na</v>
      </c>
      <c r="N110" s="476" t="str">
        <f>Leach!M110</f>
        <v>na</v>
      </c>
      <c r="O110" s="485" t="str">
        <f>'SD-Det'!Z110</f>
        <v>na</v>
      </c>
      <c r="P110" s="494" t="str">
        <f>'SL-Det'!I110</f>
        <v>na</v>
      </c>
      <c r="Q110" s="975" t="s">
        <v>232</v>
      </c>
      <c r="S110" s="832" t="str">
        <f t="shared" ref="S110:S112" si="344">IF($C110="na","",IF($C110=H110,"X",""))</f>
        <v/>
      </c>
      <c r="T110" s="366" t="str">
        <f t="shared" ref="T110:T112" si="345">IF($C110="na","",IF($C110=I110,"X",""))</f>
        <v>X</v>
      </c>
      <c r="U110" s="366" t="str">
        <f t="shared" ref="U110:U112" si="346">IF($C110="na","",IF($C110=J110,"X",""))</f>
        <v/>
      </c>
      <c r="V110" s="366" t="str">
        <f t="shared" ref="V110:V112" si="347">IF($C110="na","",IF($C110=K110,"X",""))</f>
        <v/>
      </c>
      <c r="W110" s="366" t="str">
        <f t="shared" ref="W110:W112" si="348">IF($C110="na","",IF($C110=O110,"X",""))</f>
        <v/>
      </c>
      <c r="X110" s="366" t="str">
        <f t="shared" ref="X110:X112" si="349">IF($C110="na","",IF($C110=P110,"X",""))</f>
        <v/>
      </c>
      <c r="Y110" s="989" t="str">
        <f t="shared" ref="Y110:Y112" si="350">IF($C110="na","",IF($C110=Q110,"X",""))</f>
        <v/>
      </c>
      <c r="Z110" s="832" t="str">
        <f t="shared" ref="Z110:Z112" si="351">IF($D110="na","",IF($D110=H110,"X",""))</f>
        <v/>
      </c>
      <c r="AA110" s="366" t="str">
        <f t="shared" ref="AA110:AA112" si="352">IF($D110="na","",IF($D110=L110,"X",""))</f>
        <v>X</v>
      </c>
      <c r="AB110" s="366" t="str">
        <f t="shared" ref="AB110:AB112" si="353">IF($D110="na","",IF($D110=M110,"X",""))</f>
        <v/>
      </c>
      <c r="AC110" s="366" t="str">
        <f t="shared" ref="AC110:AC112" si="354">IF($D110="na","",IF($D110=N110,"X",""))</f>
        <v/>
      </c>
      <c r="AD110" s="366" t="str">
        <f t="shared" ref="AD110:AD112" si="355">IF($D110="na","",IF($D110=O110,"X",""))</f>
        <v/>
      </c>
      <c r="AE110" s="366" t="str">
        <f t="shared" ref="AE110:AE112" si="356">IF($D110="na","",IF($D110=P110,"X",""))</f>
        <v/>
      </c>
      <c r="AF110" s="833" t="str">
        <f t="shared" ref="AF110:AF112" si="357">IF($D110="na","",IF($D110=Q110,"X",""))</f>
        <v/>
      </c>
      <c r="AG110" s="832" t="str">
        <f t="shared" ref="AG110:AG112" si="358">IF($E110="na","",IF($E110=H110,"X",""))</f>
        <v>X</v>
      </c>
      <c r="AH110" s="366" t="str">
        <f t="shared" ref="AH110:AH112" si="359">IF($E110="na","",IF($E110=J110,"X",""))</f>
        <v/>
      </c>
      <c r="AI110" s="366" t="str">
        <f t="shared" ref="AI110:AI112" si="360">IF($E110="na","",IF($E110=K110,"X",""))</f>
        <v/>
      </c>
      <c r="AJ110" s="366" t="str">
        <f t="shared" ref="AJ110:AJ112" si="361">IF($E110="na","",IF($E110=O110,"X",""))</f>
        <v/>
      </c>
      <c r="AK110" s="366" t="str">
        <f t="shared" ref="AK110:AK112" si="362">IF($E110="na","",IF($E110=P110,"X",""))</f>
        <v/>
      </c>
      <c r="AL110" s="833" t="str">
        <f t="shared" ref="AL110:AL112" si="363">IF($E110="na","",IF($E110=Q110,"X",""))</f>
        <v/>
      </c>
      <c r="AM110" s="832" t="str">
        <f t="shared" ref="AM110:AM112" si="364">IF($F110="na","",IF($F110=H110,"X",""))</f>
        <v>X</v>
      </c>
      <c r="AN110" s="366" t="str">
        <f t="shared" ref="AN110:AN112" si="365">IF($F110="na","",IF($F110=M110,"X",""))</f>
        <v/>
      </c>
      <c r="AO110" s="366" t="str">
        <f t="shared" ref="AO110:AO112" si="366">IF($F110="na","",IF($F110=N110,"X",""))</f>
        <v/>
      </c>
      <c r="AP110" s="366" t="str">
        <f t="shared" ref="AP110:AP112" si="367">IF($F110="na","",IF($F110=O110,"X",""))</f>
        <v/>
      </c>
      <c r="AQ110" s="366" t="str">
        <f t="shared" ref="AQ110:AQ112" si="368">IF($F110="na","",IF($F110=P110,"X",""))</f>
        <v/>
      </c>
      <c r="AR110" s="833" t="str">
        <f t="shared" ref="AR110:AR112" si="369">IF($F110="na","",IF($F110=Q110,"X",""))</f>
        <v/>
      </c>
      <c r="AT110" s="1062"/>
      <c r="AY110" s="4"/>
    </row>
    <row r="111" spans="1:51" ht="13.9" customHeight="1" x14ac:dyDescent="0.25">
      <c r="A111" s="847">
        <f>Chem!A111</f>
        <v>109</v>
      </c>
      <c r="B111" s="951" t="str">
        <f>Chem!B111</f>
        <v>1,3-Dinitrobenzene</v>
      </c>
      <c r="C111" s="946">
        <f t="shared" si="262"/>
        <v>1.7664001404162379E-2</v>
      </c>
      <c r="D111" s="463">
        <f t="shared" si="263"/>
        <v>1.0218666666666667E-3</v>
      </c>
      <c r="E111" s="634">
        <f t="shared" si="264"/>
        <v>8</v>
      </c>
      <c r="F111" s="634">
        <f t="shared" si="265"/>
        <v>8</v>
      </c>
      <c r="G111" s="634"/>
      <c r="H111" s="467">
        <f>'SL-Det'!E111</f>
        <v>8</v>
      </c>
      <c r="I111" s="231">
        <f>Leach!F111</f>
        <v>1.7664001404162379E-2</v>
      </c>
      <c r="J111" s="231" t="str">
        <f>Leach!I111</f>
        <v>na</v>
      </c>
      <c r="K111" s="231" t="str">
        <f>Leach!L111</f>
        <v>na</v>
      </c>
      <c r="L111" s="476">
        <f>Leach!G111</f>
        <v>1.0218666666666667E-3</v>
      </c>
      <c r="M111" s="476" t="str">
        <f>Leach!J111</f>
        <v>na</v>
      </c>
      <c r="N111" s="476" t="str">
        <f>Leach!M111</f>
        <v>na</v>
      </c>
      <c r="O111" s="485" t="str">
        <f>'SD-Det'!Z111</f>
        <v>na</v>
      </c>
      <c r="P111" s="494" t="str">
        <f>'SL-Det'!I111</f>
        <v>na</v>
      </c>
      <c r="Q111" s="975" t="s">
        <v>232</v>
      </c>
      <c r="S111" s="832" t="str">
        <f t="shared" si="344"/>
        <v/>
      </c>
      <c r="T111" s="366" t="str">
        <f t="shared" si="345"/>
        <v>X</v>
      </c>
      <c r="U111" s="366" t="str">
        <f t="shared" si="346"/>
        <v/>
      </c>
      <c r="V111" s="366" t="str">
        <f t="shared" si="347"/>
        <v/>
      </c>
      <c r="W111" s="366" t="str">
        <f t="shared" si="348"/>
        <v/>
      </c>
      <c r="X111" s="366" t="str">
        <f t="shared" si="349"/>
        <v/>
      </c>
      <c r="Y111" s="989" t="str">
        <f t="shared" si="350"/>
        <v/>
      </c>
      <c r="Z111" s="832" t="str">
        <f t="shared" si="351"/>
        <v/>
      </c>
      <c r="AA111" s="366" t="str">
        <f t="shared" si="352"/>
        <v>X</v>
      </c>
      <c r="AB111" s="366" t="str">
        <f t="shared" si="353"/>
        <v/>
      </c>
      <c r="AC111" s="366" t="str">
        <f t="shared" si="354"/>
        <v/>
      </c>
      <c r="AD111" s="366" t="str">
        <f t="shared" si="355"/>
        <v/>
      </c>
      <c r="AE111" s="366" t="str">
        <f t="shared" si="356"/>
        <v/>
      </c>
      <c r="AF111" s="833" t="str">
        <f t="shared" si="357"/>
        <v/>
      </c>
      <c r="AG111" s="832" t="str">
        <f t="shared" si="358"/>
        <v>X</v>
      </c>
      <c r="AH111" s="366" t="str">
        <f t="shared" si="359"/>
        <v/>
      </c>
      <c r="AI111" s="366" t="str">
        <f t="shared" si="360"/>
        <v/>
      </c>
      <c r="AJ111" s="366" t="str">
        <f t="shared" si="361"/>
        <v/>
      </c>
      <c r="AK111" s="366" t="str">
        <f t="shared" si="362"/>
        <v/>
      </c>
      <c r="AL111" s="833" t="str">
        <f t="shared" si="363"/>
        <v/>
      </c>
      <c r="AM111" s="832" t="str">
        <f t="shared" si="364"/>
        <v>X</v>
      </c>
      <c r="AN111" s="366" t="str">
        <f t="shared" si="365"/>
        <v/>
      </c>
      <c r="AO111" s="366" t="str">
        <f t="shared" si="366"/>
        <v/>
      </c>
      <c r="AP111" s="366" t="str">
        <f t="shared" si="367"/>
        <v/>
      </c>
      <c r="AQ111" s="366" t="str">
        <f t="shared" si="368"/>
        <v/>
      </c>
      <c r="AR111" s="833" t="str">
        <f t="shared" si="369"/>
        <v/>
      </c>
      <c r="AT111" s="1062"/>
      <c r="AY111" s="4"/>
    </row>
    <row r="112" spans="1:51" ht="13.9" customHeight="1" x14ac:dyDescent="0.25">
      <c r="A112" s="847">
        <f>Chem!A112</f>
        <v>110</v>
      </c>
      <c r="B112" s="951" t="str">
        <f>Chem!B112</f>
        <v>1,4-Dinitrobenzene</v>
      </c>
      <c r="C112" s="946">
        <f t="shared" si="262"/>
        <v>1.7664002335771291E-2</v>
      </c>
      <c r="D112" s="463">
        <f t="shared" si="263"/>
        <v>1.0218666666666667E-3</v>
      </c>
      <c r="E112" s="634">
        <f t="shared" si="264"/>
        <v>8</v>
      </c>
      <c r="F112" s="634">
        <f t="shared" si="265"/>
        <v>8</v>
      </c>
      <c r="G112" s="634"/>
      <c r="H112" s="467">
        <f>'SL-Det'!E112</f>
        <v>8</v>
      </c>
      <c r="I112" s="231">
        <f>Leach!F112</f>
        <v>1.7664002335771291E-2</v>
      </c>
      <c r="J112" s="231" t="str">
        <f>Leach!I112</f>
        <v>na</v>
      </c>
      <c r="K112" s="231" t="str">
        <f>Leach!L112</f>
        <v>na</v>
      </c>
      <c r="L112" s="476">
        <f>Leach!G112</f>
        <v>1.0218666666666667E-3</v>
      </c>
      <c r="M112" s="476" t="str">
        <f>Leach!J112</f>
        <v>na</v>
      </c>
      <c r="N112" s="476" t="str">
        <f>Leach!M112</f>
        <v>na</v>
      </c>
      <c r="O112" s="485" t="str">
        <f>'SD-Det'!Z112</f>
        <v>na</v>
      </c>
      <c r="P112" s="494" t="str">
        <f>'SL-Det'!I112</f>
        <v>na</v>
      </c>
      <c r="Q112" s="975" t="s">
        <v>232</v>
      </c>
      <c r="S112" s="832" t="str">
        <f t="shared" si="344"/>
        <v/>
      </c>
      <c r="T112" s="366" t="str">
        <f t="shared" si="345"/>
        <v>X</v>
      </c>
      <c r="U112" s="366" t="str">
        <f t="shared" si="346"/>
        <v/>
      </c>
      <c r="V112" s="366" t="str">
        <f t="shared" si="347"/>
        <v/>
      </c>
      <c r="W112" s="366" t="str">
        <f t="shared" si="348"/>
        <v/>
      </c>
      <c r="X112" s="366" t="str">
        <f t="shared" si="349"/>
        <v/>
      </c>
      <c r="Y112" s="989" t="str">
        <f t="shared" si="350"/>
        <v/>
      </c>
      <c r="Z112" s="832" t="str">
        <f t="shared" si="351"/>
        <v/>
      </c>
      <c r="AA112" s="366" t="str">
        <f t="shared" si="352"/>
        <v>X</v>
      </c>
      <c r="AB112" s="366" t="str">
        <f t="shared" si="353"/>
        <v/>
      </c>
      <c r="AC112" s="366" t="str">
        <f t="shared" si="354"/>
        <v/>
      </c>
      <c r="AD112" s="366" t="str">
        <f t="shared" si="355"/>
        <v/>
      </c>
      <c r="AE112" s="366" t="str">
        <f t="shared" si="356"/>
        <v/>
      </c>
      <c r="AF112" s="833" t="str">
        <f t="shared" si="357"/>
        <v/>
      </c>
      <c r="AG112" s="832" t="str">
        <f t="shared" si="358"/>
        <v>X</v>
      </c>
      <c r="AH112" s="366" t="str">
        <f t="shared" si="359"/>
        <v/>
      </c>
      <c r="AI112" s="366" t="str">
        <f t="shared" si="360"/>
        <v/>
      </c>
      <c r="AJ112" s="366" t="str">
        <f t="shared" si="361"/>
        <v/>
      </c>
      <c r="AK112" s="366" t="str">
        <f t="shared" si="362"/>
        <v/>
      </c>
      <c r="AL112" s="833" t="str">
        <f t="shared" si="363"/>
        <v/>
      </c>
      <c r="AM112" s="832" t="str">
        <f t="shared" si="364"/>
        <v>X</v>
      </c>
      <c r="AN112" s="366" t="str">
        <f t="shared" si="365"/>
        <v/>
      </c>
      <c r="AO112" s="366" t="str">
        <f t="shared" si="366"/>
        <v/>
      </c>
      <c r="AP112" s="366" t="str">
        <f t="shared" si="367"/>
        <v/>
      </c>
      <c r="AQ112" s="366" t="str">
        <f t="shared" si="368"/>
        <v/>
      </c>
      <c r="AR112" s="833" t="str">
        <f t="shared" si="369"/>
        <v/>
      </c>
      <c r="AT112" s="1062"/>
      <c r="AY112" s="4"/>
    </row>
    <row r="113" spans="1:51" ht="13.9" customHeight="1" x14ac:dyDescent="0.25">
      <c r="A113" s="847">
        <f>Chem!A113</f>
        <v>111</v>
      </c>
      <c r="B113" s="951" t="str">
        <f>Chem!B113</f>
        <v>4,6-Dinitro-o-cresol (DNOC)</v>
      </c>
      <c r="C113" s="946">
        <f t="shared" si="262"/>
        <v>2.4422526988280187E-2</v>
      </c>
      <c r="D113" s="463">
        <f t="shared" si="263"/>
        <v>1.3320533333333333E-3</v>
      </c>
      <c r="E113" s="634">
        <f t="shared" si="264"/>
        <v>0.13356069446715726</v>
      </c>
      <c r="F113" s="634">
        <f t="shared" si="265"/>
        <v>7.2846666666666667E-3</v>
      </c>
      <c r="G113" s="634"/>
      <c r="H113" s="467">
        <f>'SL-Det'!E113</f>
        <v>6.4</v>
      </c>
      <c r="I113" s="231">
        <f>Leach!F113</f>
        <v>2.4422526988280187E-2</v>
      </c>
      <c r="J113" s="231">
        <f>Leach!I113</f>
        <v>0.13356069446715726</v>
      </c>
      <c r="K113" s="231" t="str">
        <f>Leach!L113</f>
        <v>na</v>
      </c>
      <c r="L113" s="476">
        <f>Leach!G113</f>
        <v>1.3320533333333333E-3</v>
      </c>
      <c r="M113" s="476">
        <f>Leach!J113</f>
        <v>7.2846666666666667E-3</v>
      </c>
      <c r="N113" s="476" t="str">
        <f>Leach!M113</f>
        <v>na</v>
      </c>
      <c r="O113" s="485" t="str">
        <f>'SD-Det'!Z113</f>
        <v>na</v>
      </c>
      <c r="P113" s="494" t="str">
        <f>'SL-Det'!I113</f>
        <v>na</v>
      </c>
      <c r="Q113" s="975" t="s">
        <v>232</v>
      </c>
      <c r="S113" s="832" t="str">
        <f t="shared" si="266"/>
        <v/>
      </c>
      <c r="T113" s="366" t="str">
        <f t="shared" si="267"/>
        <v>X</v>
      </c>
      <c r="U113" s="366" t="str">
        <f t="shared" si="268"/>
        <v/>
      </c>
      <c r="V113" s="366" t="str">
        <f t="shared" si="269"/>
        <v/>
      </c>
      <c r="W113" s="366" t="str">
        <f t="shared" si="270"/>
        <v/>
      </c>
      <c r="X113" s="366" t="str">
        <f t="shared" si="271"/>
        <v/>
      </c>
      <c r="Y113" s="989" t="str">
        <f t="shared" si="272"/>
        <v/>
      </c>
      <c r="Z113" s="832" t="str">
        <f t="shared" si="273"/>
        <v/>
      </c>
      <c r="AA113" s="366" t="str">
        <f t="shared" si="274"/>
        <v>X</v>
      </c>
      <c r="AB113" s="366" t="str">
        <f t="shared" si="275"/>
        <v/>
      </c>
      <c r="AC113" s="366" t="str">
        <f t="shared" si="276"/>
        <v/>
      </c>
      <c r="AD113" s="366" t="str">
        <f t="shared" si="277"/>
        <v/>
      </c>
      <c r="AE113" s="366" t="str">
        <f t="shared" si="278"/>
        <v/>
      </c>
      <c r="AF113" s="833" t="str">
        <f t="shared" si="279"/>
        <v/>
      </c>
      <c r="AG113" s="832" t="str">
        <f t="shared" si="280"/>
        <v/>
      </c>
      <c r="AH113" s="366" t="str">
        <f t="shared" si="281"/>
        <v>X</v>
      </c>
      <c r="AI113" s="366" t="str">
        <f t="shared" si="282"/>
        <v/>
      </c>
      <c r="AJ113" s="366" t="str">
        <f t="shared" si="283"/>
        <v/>
      </c>
      <c r="AK113" s="366" t="str">
        <f t="shared" si="284"/>
        <v/>
      </c>
      <c r="AL113" s="833" t="str">
        <f t="shared" si="285"/>
        <v/>
      </c>
      <c r="AM113" s="832" t="str">
        <f t="shared" si="286"/>
        <v/>
      </c>
      <c r="AN113" s="366" t="str">
        <f t="shared" si="287"/>
        <v>X</v>
      </c>
      <c r="AO113" s="366" t="str">
        <f t="shared" si="288"/>
        <v/>
      </c>
      <c r="AP113" s="366" t="str">
        <f t="shared" si="289"/>
        <v/>
      </c>
      <c r="AQ113" s="366" t="str">
        <f t="shared" si="290"/>
        <v/>
      </c>
      <c r="AR113" s="833" t="str">
        <f t="shared" si="291"/>
        <v/>
      </c>
      <c r="AT113" s="1062"/>
      <c r="AY113" s="4"/>
    </row>
    <row r="114" spans="1:51" ht="13.9" customHeight="1" x14ac:dyDescent="0.25">
      <c r="A114" s="847">
        <f>Chem!A114</f>
        <v>112</v>
      </c>
      <c r="B114" s="951" t="str">
        <f>Chem!B114</f>
        <v>2,4-Dinitrophenol</v>
      </c>
      <c r="C114" s="946">
        <f t="shared" si="262"/>
        <v>0.128006595017716</v>
      </c>
      <c r="D114" s="463">
        <f t="shared" si="263"/>
        <v>9.1736533333333335E-3</v>
      </c>
      <c r="E114" s="634">
        <f t="shared" si="264"/>
        <v>0.40002060943036249</v>
      </c>
      <c r="F114" s="634">
        <f t="shared" si="265"/>
        <v>2.8667666666666671E-2</v>
      </c>
      <c r="G114" s="634"/>
      <c r="H114" s="467">
        <f>'SL-Det'!E114</f>
        <v>160</v>
      </c>
      <c r="I114" s="231">
        <f>Leach!F114</f>
        <v>0.128006595017716</v>
      </c>
      <c r="J114" s="231">
        <f>Leach!I114</f>
        <v>0.40002060943036249</v>
      </c>
      <c r="K114" s="231" t="str">
        <f>Leach!L114</f>
        <v>na</v>
      </c>
      <c r="L114" s="476">
        <f>Leach!G114</f>
        <v>9.1736533333333335E-3</v>
      </c>
      <c r="M114" s="476">
        <f>Leach!J114</f>
        <v>2.8667666666666671E-2</v>
      </c>
      <c r="N114" s="476" t="str">
        <f>Leach!M114</f>
        <v>na</v>
      </c>
      <c r="O114" s="485" t="str">
        <f>'SD-Det'!Z114</f>
        <v>na</v>
      </c>
      <c r="P114" s="494">
        <f>'SL-Det'!I114</f>
        <v>20</v>
      </c>
      <c r="Q114" s="975" t="s">
        <v>232</v>
      </c>
      <c r="S114" s="832" t="str">
        <f t="shared" si="266"/>
        <v/>
      </c>
      <c r="T114" s="366" t="str">
        <f t="shared" si="267"/>
        <v>X</v>
      </c>
      <c r="U114" s="366" t="str">
        <f t="shared" si="268"/>
        <v/>
      </c>
      <c r="V114" s="366" t="str">
        <f t="shared" si="269"/>
        <v/>
      </c>
      <c r="W114" s="366" t="str">
        <f t="shared" si="270"/>
        <v/>
      </c>
      <c r="X114" s="366" t="str">
        <f t="shared" si="271"/>
        <v/>
      </c>
      <c r="Y114" s="989" t="str">
        <f t="shared" si="272"/>
        <v/>
      </c>
      <c r="Z114" s="832" t="str">
        <f t="shared" si="273"/>
        <v/>
      </c>
      <c r="AA114" s="366" t="str">
        <f t="shared" si="274"/>
        <v>X</v>
      </c>
      <c r="AB114" s="366" t="str">
        <f t="shared" si="275"/>
        <v/>
      </c>
      <c r="AC114" s="366" t="str">
        <f t="shared" si="276"/>
        <v/>
      </c>
      <c r="AD114" s="366" t="str">
        <f t="shared" si="277"/>
        <v/>
      </c>
      <c r="AE114" s="366" t="str">
        <f t="shared" si="278"/>
        <v/>
      </c>
      <c r="AF114" s="833" t="str">
        <f t="shared" si="279"/>
        <v/>
      </c>
      <c r="AG114" s="832" t="str">
        <f t="shared" si="280"/>
        <v/>
      </c>
      <c r="AH114" s="366" t="str">
        <f t="shared" si="281"/>
        <v>X</v>
      </c>
      <c r="AI114" s="366" t="str">
        <f t="shared" si="282"/>
        <v/>
      </c>
      <c r="AJ114" s="366" t="str">
        <f t="shared" si="283"/>
        <v/>
      </c>
      <c r="AK114" s="366" t="str">
        <f t="shared" si="284"/>
        <v/>
      </c>
      <c r="AL114" s="833" t="str">
        <f t="shared" si="285"/>
        <v/>
      </c>
      <c r="AM114" s="832" t="str">
        <f t="shared" si="286"/>
        <v/>
      </c>
      <c r="AN114" s="366" t="str">
        <f t="shared" si="287"/>
        <v>X</v>
      </c>
      <c r="AO114" s="366" t="str">
        <f t="shared" si="288"/>
        <v/>
      </c>
      <c r="AP114" s="366" t="str">
        <f t="shared" si="289"/>
        <v/>
      </c>
      <c r="AQ114" s="366" t="str">
        <f t="shared" si="290"/>
        <v/>
      </c>
      <c r="AR114" s="833" t="str">
        <f t="shared" si="291"/>
        <v/>
      </c>
      <c r="AT114" s="1062"/>
      <c r="AY114" s="4"/>
    </row>
    <row r="115" spans="1:51" ht="13.9" customHeight="1" x14ac:dyDescent="0.25">
      <c r="A115" s="847">
        <f>Chem!A115</f>
        <v>113</v>
      </c>
      <c r="B115" s="951" t="str">
        <f>Chem!B115</f>
        <v>2,4-Dinitrotoluene</v>
      </c>
      <c r="C115" s="946">
        <f t="shared" si="262"/>
        <v>2.7936001505675387E-3</v>
      </c>
      <c r="D115" s="463">
        <f t="shared" si="263"/>
        <v>1.5527999999999999E-4</v>
      </c>
      <c r="E115" s="634">
        <f t="shared" si="264"/>
        <v>2.7936001505675387E-3</v>
      </c>
      <c r="F115" s="634">
        <f t="shared" si="265"/>
        <v>1.5527999999999999E-4</v>
      </c>
      <c r="G115" s="634"/>
      <c r="H115" s="467">
        <f>'SL-Det'!E115</f>
        <v>3.2258064516129035</v>
      </c>
      <c r="I115" s="231">
        <f>Leach!F115</f>
        <v>4.3806453973953335E-3</v>
      </c>
      <c r="J115" s="231">
        <f>Leach!I115</f>
        <v>2.7936001505675387E-3</v>
      </c>
      <c r="K115" s="231" t="str">
        <f>Leach!L115</f>
        <v>na</v>
      </c>
      <c r="L115" s="476">
        <f>Leach!G115</f>
        <v>2.4349462365591391E-4</v>
      </c>
      <c r="M115" s="476">
        <f>Leach!J115</f>
        <v>1.5527999999999999E-4</v>
      </c>
      <c r="N115" s="476" t="str">
        <f>Leach!M115</f>
        <v>na</v>
      </c>
      <c r="O115" s="485" t="str">
        <f>'SD-Det'!Z115</f>
        <v>na</v>
      </c>
      <c r="P115" s="494" t="str">
        <f>'SL-Det'!I115</f>
        <v>na</v>
      </c>
      <c r="Q115" s="975" t="s">
        <v>232</v>
      </c>
      <c r="S115" s="832" t="str">
        <f t="shared" si="266"/>
        <v/>
      </c>
      <c r="T115" s="366" t="str">
        <f t="shared" si="267"/>
        <v/>
      </c>
      <c r="U115" s="366" t="str">
        <f t="shared" si="268"/>
        <v>X</v>
      </c>
      <c r="V115" s="366" t="str">
        <f t="shared" si="269"/>
        <v/>
      </c>
      <c r="W115" s="366" t="str">
        <f t="shared" si="270"/>
        <v/>
      </c>
      <c r="X115" s="366" t="str">
        <f t="shared" si="271"/>
        <v/>
      </c>
      <c r="Y115" s="989" t="str">
        <f t="shared" si="272"/>
        <v/>
      </c>
      <c r="Z115" s="832" t="str">
        <f t="shared" si="273"/>
        <v/>
      </c>
      <c r="AA115" s="366" t="str">
        <f t="shared" si="274"/>
        <v/>
      </c>
      <c r="AB115" s="366" t="str">
        <f t="shared" si="275"/>
        <v>X</v>
      </c>
      <c r="AC115" s="366" t="str">
        <f t="shared" si="276"/>
        <v/>
      </c>
      <c r="AD115" s="366" t="str">
        <f t="shared" si="277"/>
        <v/>
      </c>
      <c r="AE115" s="366" t="str">
        <f t="shared" si="278"/>
        <v/>
      </c>
      <c r="AF115" s="833" t="str">
        <f t="shared" si="279"/>
        <v/>
      </c>
      <c r="AG115" s="832" t="str">
        <f t="shared" si="280"/>
        <v/>
      </c>
      <c r="AH115" s="366" t="str">
        <f t="shared" si="281"/>
        <v>X</v>
      </c>
      <c r="AI115" s="366" t="str">
        <f t="shared" si="282"/>
        <v/>
      </c>
      <c r="AJ115" s="366" t="str">
        <f t="shared" si="283"/>
        <v/>
      </c>
      <c r="AK115" s="366" t="str">
        <f t="shared" si="284"/>
        <v/>
      </c>
      <c r="AL115" s="833" t="str">
        <f t="shared" si="285"/>
        <v/>
      </c>
      <c r="AM115" s="832" t="str">
        <f t="shared" si="286"/>
        <v/>
      </c>
      <c r="AN115" s="366" t="str">
        <f t="shared" si="287"/>
        <v>X</v>
      </c>
      <c r="AO115" s="366" t="str">
        <f t="shared" si="288"/>
        <v/>
      </c>
      <c r="AP115" s="366" t="str">
        <f t="shared" si="289"/>
        <v/>
      </c>
      <c r="AQ115" s="366" t="str">
        <f t="shared" si="290"/>
        <v/>
      </c>
      <c r="AR115" s="833" t="str">
        <f t="shared" si="291"/>
        <v/>
      </c>
      <c r="AT115" s="1062"/>
      <c r="AY115" s="4"/>
    </row>
    <row r="116" spans="1:51" ht="13.9" customHeight="1" x14ac:dyDescent="0.25">
      <c r="A116" s="842">
        <f>Chem!A116</f>
        <v>114</v>
      </c>
      <c r="B116" s="951" t="str">
        <f>Chem!B116</f>
        <v>2,6-Dinitrotoluene</v>
      </c>
      <c r="C116" s="946">
        <f t="shared" ref="C116:C145" si="370">IF(MIN($H116,$I116:$K116,$O116,$P116)=0,"na",IF($Q116="na",MIN($H116,$I116:$K116,$O116,$P116),IF($Q116&gt;MIN($H116,$I116:$K116,$O116,$P116),$Q116,MIN($H116,$I116:$K116,$O116,$P116))))</f>
        <v>9.1816740076981838E-4</v>
      </c>
      <c r="D116" s="463">
        <f t="shared" ref="D116:D145" si="371">IF(MIN($H116,$L116:$N116,$O116,$P116)=0,"na",IF($Q116="na",MIN($H116,$L116:$N116,$O116,$P116),IF($Q116&gt;MIN($H116,$L116:$N116,$O116,$P116),$Q116,MIN($H116,$L116:$N116,$O116,$P116))))</f>
        <v>5.0963888888888873E-5</v>
      </c>
      <c r="E116" s="634">
        <f t="shared" si="264"/>
        <v>0.66666666666666663</v>
      </c>
      <c r="F116" s="634">
        <f t="shared" si="265"/>
        <v>0.66666666666666663</v>
      </c>
      <c r="G116" s="634"/>
      <c r="H116" s="467">
        <f>'SL-Det'!E116</f>
        <v>0.66666666666666663</v>
      </c>
      <c r="I116" s="231">
        <f>Leach!F116</f>
        <v>9.1816740076981838E-4</v>
      </c>
      <c r="J116" s="231" t="str">
        <f>Leach!I116</f>
        <v>na</v>
      </c>
      <c r="K116" s="231" t="str">
        <f>Leach!L116</f>
        <v>na</v>
      </c>
      <c r="L116" s="476">
        <f>Leach!G116</f>
        <v>5.0963888888888873E-5</v>
      </c>
      <c r="M116" s="476" t="str">
        <f>Leach!J116</f>
        <v>na</v>
      </c>
      <c r="N116" s="476" t="str">
        <f>Leach!M116</f>
        <v>na</v>
      </c>
      <c r="O116" s="485" t="str">
        <f>'SD-Det'!Z116</f>
        <v>na</v>
      </c>
      <c r="P116" s="494" t="str">
        <f>'SL-Det'!I116</f>
        <v>na</v>
      </c>
      <c r="Q116" s="975" t="s">
        <v>232</v>
      </c>
      <c r="S116" s="832" t="str">
        <f t="shared" ref="S116:S145" si="372">IF($C116="na","",IF($C116=H116,"X",""))</f>
        <v/>
      </c>
      <c r="T116" s="366" t="str">
        <f t="shared" ref="T116:T145" si="373">IF($C116="na","",IF($C116=I116,"X",""))</f>
        <v>X</v>
      </c>
      <c r="U116" s="366" t="str">
        <f t="shared" ref="U116:U145" si="374">IF($C116="na","",IF($C116=J116,"X",""))</f>
        <v/>
      </c>
      <c r="V116" s="366" t="str">
        <f t="shared" ref="V116:V145" si="375">IF($C116="na","",IF($C116=K116,"X",""))</f>
        <v/>
      </c>
      <c r="W116" s="366" t="str">
        <f t="shared" ref="W116:W145" si="376">IF($C116="na","",IF($C116=O116,"X",""))</f>
        <v/>
      </c>
      <c r="X116" s="366" t="str">
        <f t="shared" ref="X116:X145" si="377">IF($C116="na","",IF($C116=P116,"X",""))</f>
        <v/>
      </c>
      <c r="Y116" s="989" t="str">
        <f t="shared" ref="Y116:Y145" si="378">IF($C116="na","",IF($C116=Q116,"X",""))</f>
        <v/>
      </c>
      <c r="Z116" s="832" t="str">
        <f t="shared" ref="Z116:Z145" si="379">IF($D116="na","",IF($D116=H116,"X",""))</f>
        <v/>
      </c>
      <c r="AA116" s="366" t="str">
        <f t="shared" ref="AA116:AA145" si="380">IF($D116="na","",IF($D116=L116,"X",""))</f>
        <v>X</v>
      </c>
      <c r="AB116" s="366" t="str">
        <f t="shared" ref="AB116:AB145" si="381">IF($D116="na","",IF($D116=M116,"X",""))</f>
        <v/>
      </c>
      <c r="AC116" s="366" t="str">
        <f t="shared" ref="AC116:AC145" si="382">IF($D116="na","",IF($D116=N116,"X",""))</f>
        <v/>
      </c>
      <c r="AD116" s="366" t="str">
        <f t="shared" ref="AD116:AD145" si="383">IF($D116="na","",IF($D116=O116,"X",""))</f>
        <v/>
      </c>
      <c r="AE116" s="366" t="str">
        <f t="shared" ref="AE116:AE145" si="384">IF($D116="na","",IF($D116=P116,"X",""))</f>
        <v/>
      </c>
      <c r="AF116" s="833" t="str">
        <f t="shared" ref="AF116:AF145" si="385">IF($D116="na","",IF($D116=Q116,"X",""))</f>
        <v/>
      </c>
      <c r="AG116" s="832" t="str">
        <f t="shared" ref="AG116:AG145" si="386">IF($E116="na","",IF($E116=H116,"X",""))</f>
        <v>X</v>
      </c>
      <c r="AH116" s="366" t="str">
        <f t="shared" ref="AH116:AH145" si="387">IF($E116="na","",IF($E116=J116,"X",""))</f>
        <v/>
      </c>
      <c r="AI116" s="366" t="str">
        <f t="shared" ref="AI116:AI145" si="388">IF($E116="na","",IF($E116=K116,"X",""))</f>
        <v/>
      </c>
      <c r="AJ116" s="366" t="str">
        <f t="shared" ref="AJ116:AJ145" si="389">IF($E116="na","",IF($E116=O116,"X",""))</f>
        <v/>
      </c>
      <c r="AK116" s="366" t="str">
        <f t="shared" ref="AK116:AK145" si="390">IF($E116="na","",IF($E116=P116,"X",""))</f>
        <v/>
      </c>
      <c r="AL116" s="833" t="str">
        <f t="shared" ref="AL116:AL145" si="391">IF($E116="na","",IF($E116=Q116,"X",""))</f>
        <v/>
      </c>
      <c r="AM116" s="832" t="str">
        <f t="shared" ref="AM116:AM145" si="392">IF($F116="na","",IF($F116=H116,"X",""))</f>
        <v>X</v>
      </c>
      <c r="AN116" s="366" t="str">
        <f t="shared" ref="AN116:AN145" si="393">IF($F116="na","",IF($F116=M116,"X",""))</f>
        <v/>
      </c>
      <c r="AO116" s="366" t="str">
        <f t="shared" ref="AO116:AO145" si="394">IF($F116="na","",IF($F116=N116,"X",""))</f>
        <v/>
      </c>
      <c r="AP116" s="366" t="str">
        <f t="shared" ref="AP116:AP145" si="395">IF($F116="na","",IF($F116=O116,"X",""))</f>
        <v/>
      </c>
      <c r="AQ116" s="366" t="str">
        <f t="shared" ref="AQ116:AQ145" si="396">IF($F116="na","",IF($F116=P116,"X",""))</f>
        <v/>
      </c>
      <c r="AR116" s="833" t="str">
        <f t="shared" ref="AR116:AR145" si="397">IF($F116="na","",IF($F116=Q116,"X",""))</f>
        <v/>
      </c>
      <c r="AT116" s="1062"/>
      <c r="AY116" s="4"/>
    </row>
    <row r="117" spans="1:51" ht="13.9" customHeight="1" x14ac:dyDescent="0.25">
      <c r="A117" s="847">
        <f>Chem!A117</f>
        <v>115</v>
      </c>
      <c r="B117" s="951" t="str">
        <f>Chem!B117</f>
        <v>Di-n-octyl phthalate</v>
      </c>
      <c r="C117" s="946">
        <f t="shared" si="370"/>
        <v>6.2</v>
      </c>
      <c r="D117" s="463">
        <f t="shared" si="371"/>
        <v>0.3269056470540887</v>
      </c>
      <c r="E117" s="634">
        <f t="shared" si="264"/>
        <v>6.2</v>
      </c>
      <c r="F117" s="634">
        <f t="shared" si="265"/>
        <v>0.3269056470540887</v>
      </c>
      <c r="G117" s="634"/>
      <c r="H117" s="467">
        <f>'SL-Det'!E117</f>
        <v>800</v>
      </c>
      <c r="I117" s="231">
        <f>Leach!F117</f>
        <v>451.84000414169327</v>
      </c>
      <c r="J117" s="231" t="str">
        <f>Leach!I117</f>
        <v>na</v>
      </c>
      <c r="K117" s="231">
        <f>Leach!L117</f>
        <v>6.5341024565391148</v>
      </c>
      <c r="L117" s="476">
        <f>Leach!G117</f>
        <v>22.605866666666667</v>
      </c>
      <c r="M117" s="476" t="str">
        <f>Leach!J117</f>
        <v>na</v>
      </c>
      <c r="N117" s="476">
        <f>Leach!M117</f>
        <v>0.3269056470540887</v>
      </c>
      <c r="O117" s="485">
        <f>'SD-Det'!Z117</f>
        <v>6.2</v>
      </c>
      <c r="P117" s="494" t="str">
        <f>'SL-Det'!I117</f>
        <v>na</v>
      </c>
      <c r="Q117" s="975" t="s">
        <v>232</v>
      </c>
      <c r="S117" s="832" t="str">
        <f t="shared" si="372"/>
        <v/>
      </c>
      <c r="T117" s="366" t="str">
        <f t="shared" si="373"/>
        <v/>
      </c>
      <c r="U117" s="366" t="str">
        <f t="shared" si="374"/>
        <v/>
      </c>
      <c r="V117" s="366" t="str">
        <f t="shared" si="375"/>
        <v/>
      </c>
      <c r="W117" s="366" t="str">
        <f t="shared" si="376"/>
        <v>X</v>
      </c>
      <c r="X117" s="366" t="str">
        <f t="shared" si="377"/>
        <v/>
      </c>
      <c r="Y117" s="989" t="str">
        <f t="shared" si="378"/>
        <v/>
      </c>
      <c r="Z117" s="832" t="str">
        <f t="shared" si="379"/>
        <v/>
      </c>
      <c r="AA117" s="366" t="str">
        <f t="shared" si="380"/>
        <v/>
      </c>
      <c r="AB117" s="366" t="str">
        <f t="shared" si="381"/>
        <v/>
      </c>
      <c r="AC117" s="366" t="str">
        <f t="shared" si="382"/>
        <v>X</v>
      </c>
      <c r="AD117" s="366" t="str">
        <f t="shared" si="383"/>
        <v/>
      </c>
      <c r="AE117" s="366" t="str">
        <f t="shared" si="384"/>
        <v/>
      </c>
      <c r="AF117" s="833" t="str">
        <f t="shared" si="385"/>
        <v/>
      </c>
      <c r="AG117" s="832" t="str">
        <f t="shared" si="386"/>
        <v/>
      </c>
      <c r="AH117" s="366" t="str">
        <f t="shared" si="387"/>
        <v/>
      </c>
      <c r="AI117" s="366" t="str">
        <f t="shared" si="388"/>
        <v/>
      </c>
      <c r="AJ117" s="366" t="str">
        <f t="shared" si="389"/>
        <v>X</v>
      </c>
      <c r="AK117" s="366" t="str">
        <f t="shared" si="390"/>
        <v/>
      </c>
      <c r="AL117" s="833" t="str">
        <f t="shared" si="391"/>
        <v/>
      </c>
      <c r="AM117" s="832" t="str">
        <f t="shared" si="392"/>
        <v/>
      </c>
      <c r="AN117" s="366" t="str">
        <f t="shared" si="393"/>
        <v/>
      </c>
      <c r="AO117" s="366" t="str">
        <f t="shared" si="394"/>
        <v>X</v>
      </c>
      <c r="AP117" s="366" t="str">
        <f t="shared" si="395"/>
        <v/>
      </c>
      <c r="AQ117" s="366" t="str">
        <f t="shared" si="396"/>
        <v/>
      </c>
      <c r="AR117" s="833" t="str">
        <f t="shared" si="397"/>
        <v/>
      </c>
      <c r="AT117" s="1062"/>
      <c r="AY117" s="4"/>
    </row>
    <row r="118" spans="1:51" ht="13.9" customHeight="1" x14ac:dyDescent="0.25">
      <c r="A118" s="848">
        <f>Chem!A118</f>
        <v>116</v>
      </c>
      <c r="B118" s="951" t="str">
        <f>Chem!B118</f>
        <v>1,4-Dioxane</v>
      </c>
      <c r="C118" s="946">
        <f t="shared" si="370"/>
        <v>1.7730930759009605E-3</v>
      </c>
      <c r="D118" s="463">
        <f t="shared" si="371"/>
        <v>1.2656729166666666E-4</v>
      </c>
      <c r="E118" s="634">
        <f t="shared" si="264"/>
        <v>10</v>
      </c>
      <c r="F118" s="634">
        <f t="shared" si="265"/>
        <v>10</v>
      </c>
      <c r="G118" s="634"/>
      <c r="H118" s="467">
        <f>'SL-Det'!E118</f>
        <v>10</v>
      </c>
      <c r="I118" s="231">
        <f>Leach!F118</f>
        <v>1.7730930759009605E-3</v>
      </c>
      <c r="J118" s="231" t="str">
        <f>Leach!I118</f>
        <v>na</v>
      </c>
      <c r="K118" s="231" t="str">
        <f>Leach!L118</f>
        <v>na</v>
      </c>
      <c r="L118" s="476">
        <f>Leach!G118</f>
        <v>1.2656729166666666E-4</v>
      </c>
      <c r="M118" s="476" t="str">
        <f>Leach!J118</f>
        <v>na</v>
      </c>
      <c r="N118" s="476" t="str">
        <f>Leach!M118</f>
        <v>na</v>
      </c>
      <c r="O118" s="485" t="str">
        <f>'SD-Det'!Z118</f>
        <v>na</v>
      </c>
      <c r="P118" s="494" t="str">
        <f>'SL-Det'!I118</f>
        <v>na</v>
      </c>
      <c r="Q118" s="975" t="s">
        <v>232</v>
      </c>
      <c r="S118" s="832" t="str">
        <f t="shared" si="372"/>
        <v/>
      </c>
      <c r="T118" s="366" t="str">
        <f t="shared" si="373"/>
        <v>X</v>
      </c>
      <c r="U118" s="366" t="str">
        <f t="shared" si="374"/>
        <v/>
      </c>
      <c r="V118" s="366" t="str">
        <f t="shared" si="375"/>
        <v/>
      </c>
      <c r="W118" s="366" t="str">
        <f t="shared" si="376"/>
        <v/>
      </c>
      <c r="X118" s="366" t="str">
        <f t="shared" si="377"/>
        <v/>
      </c>
      <c r="Y118" s="989" t="str">
        <f t="shared" si="378"/>
        <v/>
      </c>
      <c r="Z118" s="832" t="str">
        <f t="shared" si="379"/>
        <v/>
      </c>
      <c r="AA118" s="366" t="str">
        <f t="shared" si="380"/>
        <v>X</v>
      </c>
      <c r="AB118" s="366" t="str">
        <f t="shared" si="381"/>
        <v/>
      </c>
      <c r="AC118" s="366" t="str">
        <f t="shared" si="382"/>
        <v/>
      </c>
      <c r="AD118" s="366" t="str">
        <f t="shared" si="383"/>
        <v/>
      </c>
      <c r="AE118" s="366" t="str">
        <f t="shared" si="384"/>
        <v/>
      </c>
      <c r="AF118" s="833" t="str">
        <f t="shared" si="385"/>
        <v/>
      </c>
      <c r="AG118" s="832" t="str">
        <f t="shared" si="386"/>
        <v>X</v>
      </c>
      <c r="AH118" s="366" t="str">
        <f t="shared" si="387"/>
        <v/>
      </c>
      <c r="AI118" s="366" t="str">
        <f t="shared" si="388"/>
        <v/>
      </c>
      <c r="AJ118" s="366" t="str">
        <f t="shared" si="389"/>
        <v/>
      </c>
      <c r="AK118" s="366" t="str">
        <f t="shared" si="390"/>
        <v/>
      </c>
      <c r="AL118" s="833" t="str">
        <f t="shared" si="391"/>
        <v/>
      </c>
      <c r="AM118" s="832" t="str">
        <f t="shared" si="392"/>
        <v>X</v>
      </c>
      <c r="AN118" s="366" t="str">
        <f t="shared" si="393"/>
        <v/>
      </c>
      <c r="AO118" s="366" t="str">
        <f t="shared" si="394"/>
        <v/>
      </c>
      <c r="AP118" s="366" t="str">
        <f t="shared" si="395"/>
        <v/>
      </c>
      <c r="AQ118" s="366" t="str">
        <f t="shared" si="396"/>
        <v/>
      </c>
      <c r="AR118" s="833" t="str">
        <f t="shared" si="397"/>
        <v/>
      </c>
      <c r="AT118" s="1062"/>
      <c r="AY118" s="4"/>
    </row>
    <row r="119" spans="1:51" ht="13.9" customHeight="1" x14ac:dyDescent="0.25">
      <c r="A119" s="848">
        <f>Chem!A119</f>
        <v>117</v>
      </c>
      <c r="B119" s="951" t="str">
        <f>Chem!B119</f>
        <v>1,2-Diphenylhydrazine</v>
      </c>
      <c r="C119" s="947">
        <f t="shared" si="370"/>
        <v>6.8400020447254061E-4</v>
      </c>
      <c r="D119" s="464">
        <f t="shared" si="371"/>
        <v>3.5933333333333337E-5</v>
      </c>
      <c r="E119" s="636">
        <f t="shared" si="264"/>
        <v>6.8400020447254061E-4</v>
      </c>
      <c r="F119" s="636">
        <f t="shared" si="265"/>
        <v>3.5933333333333337E-5</v>
      </c>
      <c r="G119" s="636"/>
      <c r="H119" s="467">
        <f>'SL-Det'!E119</f>
        <v>1.25</v>
      </c>
      <c r="I119" s="231">
        <f>Leach!F119</f>
        <v>3.7406261182092049E-3</v>
      </c>
      <c r="J119" s="231">
        <f>Leach!I119</f>
        <v>6.8400020447254061E-4</v>
      </c>
      <c r="K119" s="231" t="str">
        <f>Leach!L119</f>
        <v>na</v>
      </c>
      <c r="L119" s="476">
        <f>Leach!G119</f>
        <v>1.9651041666666661E-4</v>
      </c>
      <c r="M119" s="476">
        <f>Leach!J119</f>
        <v>3.5933333333333337E-5</v>
      </c>
      <c r="N119" s="476" t="str">
        <f>Leach!M119</f>
        <v>na</v>
      </c>
      <c r="O119" s="485" t="str">
        <f>'SD-Det'!Z119</f>
        <v>na</v>
      </c>
      <c r="P119" s="494" t="str">
        <f>'SL-Det'!I119</f>
        <v>na</v>
      </c>
      <c r="Q119" s="975" t="s">
        <v>232</v>
      </c>
      <c r="S119" s="832" t="str">
        <f t="shared" si="372"/>
        <v/>
      </c>
      <c r="T119" s="366" t="str">
        <f t="shared" si="373"/>
        <v/>
      </c>
      <c r="U119" s="366" t="str">
        <f t="shared" si="374"/>
        <v>X</v>
      </c>
      <c r="V119" s="366" t="str">
        <f t="shared" si="375"/>
        <v/>
      </c>
      <c r="W119" s="366" t="str">
        <f t="shared" si="376"/>
        <v/>
      </c>
      <c r="X119" s="366" t="str">
        <f t="shared" si="377"/>
        <v/>
      </c>
      <c r="Y119" s="989" t="str">
        <f t="shared" si="378"/>
        <v/>
      </c>
      <c r="Z119" s="832" t="str">
        <f t="shared" si="379"/>
        <v/>
      </c>
      <c r="AA119" s="366" t="str">
        <f t="shared" si="380"/>
        <v/>
      </c>
      <c r="AB119" s="366" t="str">
        <f t="shared" si="381"/>
        <v>X</v>
      </c>
      <c r="AC119" s="366" t="str">
        <f t="shared" si="382"/>
        <v/>
      </c>
      <c r="AD119" s="366" t="str">
        <f t="shared" si="383"/>
        <v/>
      </c>
      <c r="AE119" s="366" t="str">
        <f t="shared" si="384"/>
        <v/>
      </c>
      <c r="AF119" s="833" t="str">
        <f t="shared" si="385"/>
        <v/>
      </c>
      <c r="AG119" s="832" t="str">
        <f t="shared" si="386"/>
        <v/>
      </c>
      <c r="AH119" s="366" t="str">
        <f t="shared" si="387"/>
        <v>X</v>
      </c>
      <c r="AI119" s="366" t="str">
        <f t="shared" si="388"/>
        <v/>
      </c>
      <c r="AJ119" s="366" t="str">
        <f t="shared" si="389"/>
        <v/>
      </c>
      <c r="AK119" s="366" t="str">
        <f t="shared" si="390"/>
        <v/>
      </c>
      <c r="AL119" s="833" t="str">
        <f t="shared" si="391"/>
        <v/>
      </c>
      <c r="AM119" s="832" t="str">
        <f t="shared" si="392"/>
        <v/>
      </c>
      <c r="AN119" s="366" t="str">
        <f t="shared" si="393"/>
        <v>X</v>
      </c>
      <c r="AO119" s="366" t="str">
        <f t="shared" si="394"/>
        <v/>
      </c>
      <c r="AP119" s="366" t="str">
        <f t="shared" si="395"/>
        <v/>
      </c>
      <c r="AQ119" s="366" t="str">
        <f t="shared" si="396"/>
        <v/>
      </c>
      <c r="AR119" s="833" t="str">
        <f t="shared" si="397"/>
        <v/>
      </c>
      <c r="AT119" s="1062"/>
      <c r="AY119" s="4"/>
    </row>
    <row r="120" spans="1:51" ht="13.9" customHeight="1" x14ac:dyDescent="0.25">
      <c r="A120" s="847">
        <f>Chem!A120</f>
        <v>118</v>
      </c>
      <c r="B120" s="951" t="str">
        <f>Chem!B120</f>
        <v>Hexachlorobenzene</v>
      </c>
      <c r="C120" s="946">
        <f t="shared" si="370"/>
        <v>8.0201924434147663E-6</v>
      </c>
      <c r="D120" s="463">
        <f t="shared" si="371"/>
        <v>4.0143333333333333E-7</v>
      </c>
      <c r="E120" s="634">
        <f t="shared" si="264"/>
        <v>8.0201924434147663E-6</v>
      </c>
      <c r="F120" s="634">
        <f t="shared" si="265"/>
        <v>4.0143333333333333E-7</v>
      </c>
      <c r="G120" s="634"/>
      <c r="H120" s="467">
        <f>'SL-Det'!E120</f>
        <v>0.625</v>
      </c>
      <c r="I120" s="231">
        <f>Leach!F120</f>
        <v>0.43860427424924492</v>
      </c>
      <c r="J120" s="231">
        <f>Leach!I120</f>
        <v>8.0201924434147663E-6</v>
      </c>
      <c r="K120" s="231">
        <f>Leach!L120</f>
        <v>2.3207140927744393E-2</v>
      </c>
      <c r="L120" s="476">
        <f>Leach!G120</f>
        <v>2.1953385416666662E-2</v>
      </c>
      <c r="M120" s="476">
        <f>Leach!J120</f>
        <v>4.0143333333333333E-7</v>
      </c>
      <c r="N120" s="476">
        <f>Leach!M120</f>
        <v>1.1615830923620983E-3</v>
      </c>
      <c r="O120" s="485">
        <f>'SD-Det'!Z120</f>
        <v>2.1999999999999999E-2</v>
      </c>
      <c r="P120" s="494">
        <f>'SL-Det'!I120</f>
        <v>17</v>
      </c>
      <c r="Q120" s="975" t="s">
        <v>232</v>
      </c>
      <c r="S120" s="832" t="str">
        <f t="shared" si="372"/>
        <v/>
      </c>
      <c r="T120" s="366" t="str">
        <f t="shared" si="373"/>
        <v/>
      </c>
      <c r="U120" s="366" t="str">
        <f t="shared" si="374"/>
        <v>X</v>
      </c>
      <c r="V120" s="366" t="str">
        <f t="shared" si="375"/>
        <v/>
      </c>
      <c r="W120" s="366" t="str">
        <f t="shared" si="376"/>
        <v/>
      </c>
      <c r="X120" s="366" t="str">
        <f t="shared" si="377"/>
        <v/>
      </c>
      <c r="Y120" s="989" t="str">
        <f t="shared" si="378"/>
        <v/>
      </c>
      <c r="Z120" s="832" t="str">
        <f t="shared" si="379"/>
        <v/>
      </c>
      <c r="AA120" s="366" t="str">
        <f t="shared" si="380"/>
        <v/>
      </c>
      <c r="AB120" s="366" t="str">
        <f t="shared" si="381"/>
        <v>X</v>
      </c>
      <c r="AC120" s="366" t="str">
        <f t="shared" si="382"/>
        <v/>
      </c>
      <c r="AD120" s="366" t="str">
        <f t="shared" si="383"/>
        <v/>
      </c>
      <c r="AE120" s="366" t="str">
        <f t="shared" si="384"/>
        <v/>
      </c>
      <c r="AF120" s="833" t="str">
        <f t="shared" si="385"/>
        <v/>
      </c>
      <c r="AG120" s="832" t="str">
        <f t="shared" si="386"/>
        <v/>
      </c>
      <c r="AH120" s="366" t="str">
        <f t="shared" si="387"/>
        <v>X</v>
      </c>
      <c r="AI120" s="366" t="str">
        <f t="shared" si="388"/>
        <v/>
      </c>
      <c r="AJ120" s="366" t="str">
        <f t="shared" si="389"/>
        <v/>
      </c>
      <c r="AK120" s="366" t="str">
        <f t="shared" si="390"/>
        <v/>
      </c>
      <c r="AL120" s="833" t="str">
        <f t="shared" si="391"/>
        <v/>
      </c>
      <c r="AM120" s="832" t="str">
        <f t="shared" si="392"/>
        <v/>
      </c>
      <c r="AN120" s="366" t="str">
        <f t="shared" si="393"/>
        <v>X</v>
      </c>
      <c r="AO120" s="366" t="str">
        <f t="shared" si="394"/>
        <v/>
      </c>
      <c r="AP120" s="366" t="str">
        <f t="shared" si="395"/>
        <v/>
      </c>
      <c r="AQ120" s="366" t="str">
        <f t="shared" si="396"/>
        <v/>
      </c>
      <c r="AR120" s="833" t="str">
        <f t="shared" si="397"/>
        <v/>
      </c>
      <c r="AT120" s="1062"/>
      <c r="AY120" s="4"/>
    </row>
    <row r="121" spans="1:51" ht="13.9" customHeight="1" x14ac:dyDescent="0.25">
      <c r="A121" s="847">
        <f>Chem!A121</f>
        <v>119</v>
      </c>
      <c r="B121" s="951" t="str">
        <f>Chem!B121</f>
        <v>Hexachlorobutadiene</v>
      </c>
      <c r="C121" s="946">
        <f t="shared" si="370"/>
        <v>2.1208573998030355E-4</v>
      </c>
      <c r="D121" s="463">
        <f t="shared" si="371"/>
        <v>1.1316666666666666E-5</v>
      </c>
      <c r="E121" s="634">
        <f t="shared" si="264"/>
        <v>2.1208573998030355E-4</v>
      </c>
      <c r="F121" s="634">
        <f t="shared" si="265"/>
        <v>1.1316666666666666E-5</v>
      </c>
      <c r="G121" s="634"/>
      <c r="H121" s="467">
        <f>'SL-Det'!E121</f>
        <v>12.820512820512821</v>
      </c>
      <c r="I121" s="231">
        <f>Leach!F121</f>
        <v>1.1895834774536256E-2</v>
      </c>
      <c r="J121" s="231">
        <f>Leach!I121</f>
        <v>2.1208573998030355E-4</v>
      </c>
      <c r="K121" s="231">
        <f>Leach!L121</f>
        <v>1.4004990863328482E-2</v>
      </c>
      <c r="L121" s="476">
        <f>Leach!G121</f>
        <v>6.3474893162393151E-4</v>
      </c>
      <c r="M121" s="476">
        <f>Leach!J121</f>
        <v>1.1316666666666666E-5</v>
      </c>
      <c r="N121" s="476">
        <f>Leach!M121</f>
        <v>7.472912289375025E-4</v>
      </c>
      <c r="O121" s="485">
        <f>'SD-Det'!Z121</f>
        <v>1.0999999999999999E-2</v>
      </c>
      <c r="P121" s="494" t="str">
        <f>'SL-Det'!I121</f>
        <v>na</v>
      </c>
      <c r="Q121" s="975" t="s">
        <v>232</v>
      </c>
      <c r="S121" s="832" t="str">
        <f t="shared" si="372"/>
        <v/>
      </c>
      <c r="T121" s="366" t="str">
        <f t="shared" si="373"/>
        <v/>
      </c>
      <c r="U121" s="366" t="str">
        <f t="shared" si="374"/>
        <v>X</v>
      </c>
      <c r="V121" s="366" t="str">
        <f t="shared" si="375"/>
        <v/>
      </c>
      <c r="W121" s="366" t="str">
        <f t="shared" si="376"/>
        <v/>
      </c>
      <c r="X121" s="366" t="str">
        <f t="shared" si="377"/>
        <v/>
      </c>
      <c r="Y121" s="989" t="str">
        <f t="shared" si="378"/>
        <v/>
      </c>
      <c r="Z121" s="832" t="str">
        <f t="shared" si="379"/>
        <v/>
      </c>
      <c r="AA121" s="366" t="str">
        <f t="shared" si="380"/>
        <v/>
      </c>
      <c r="AB121" s="366" t="str">
        <f t="shared" si="381"/>
        <v>X</v>
      </c>
      <c r="AC121" s="366" t="str">
        <f t="shared" si="382"/>
        <v/>
      </c>
      <c r="AD121" s="366" t="str">
        <f t="shared" si="383"/>
        <v/>
      </c>
      <c r="AE121" s="366" t="str">
        <f t="shared" si="384"/>
        <v/>
      </c>
      <c r="AF121" s="833" t="str">
        <f t="shared" si="385"/>
        <v/>
      </c>
      <c r="AG121" s="832" t="str">
        <f t="shared" si="386"/>
        <v/>
      </c>
      <c r="AH121" s="366" t="str">
        <f t="shared" si="387"/>
        <v>X</v>
      </c>
      <c r="AI121" s="366" t="str">
        <f t="shared" si="388"/>
        <v/>
      </c>
      <c r="AJ121" s="366" t="str">
        <f t="shared" si="389"/>
        <v/>
      </c>
      <c r="AK121" s="366" t="str">
        <f t="shared" si="390"/>
        <v/>
      </c>
      <c r="AL121" s="833" t="str">
        <f t="shared" si="391"/>
        <v/>
      </c>
      <c r="AM121" s="832" t="str">
        <f t="shared" si="392"/>
        <v/>
      </c>
      <c r="AN121" s="366" t="str">
        <f t="shared" si="393"/>
        <v>X</v>
      </c>
      <c r="AO121" s="366" t="str">
        <f t="shared" si="394"/>
        <v/>
      </c>
      <c r="AP121" s="366" t="str">
        <f t="shared" si="395"/>
        <v/>
      </c>
      <c r="AQ121" s="366" t="str">
        <f t="shared" si="396"/>
        <v/>
      </c>
      <c r="AR121" s="833" t="str">
        <f t="shared" si="397"/>
        <v/>
      </c>
      <c r="AT121" s="1062"/>
      <c r="AY121" s="4"/>
    </row>
    <row r="122" spans="1:51" ht="13.9" customHeight="1" x14ac:dyDescent="0.25">
      <c r="A122" s="847">
        <f>Chem!A122</f>
        <v>120</v>
      </c>
      <c r="B122" s="951" t="str">
        <f>Chem!B122</f>
        <v>Hexachlorocyclopentadiene</v>
      </c>
      <c r="C122" s="946">
        <f t="shared" si="370"/>
        <v>3.2037587482621706E-2</v>
      </c>
      <c r="D122" s="463">
        <f t="shared" si="371"/>
        <v>1.6866666666666668E-3</v>
      </c>
      <c r="E122" s="634">
        <f t="shared" si="264"/>
        <v>3.2037587482621706E-2</v>
      </c>
      <c r="F122" s="634">
        <f t="shared" si="265"/>
        <v>1.6866666666666668E-3</v>
      </c>
      <c r="G122" s="634"/>
      <c r="H122" s="467">
        <f>'SL-Det'!E122</f>
        <v>480</v>
      </c>
      <c r="I122" s="231">
        <f>Leach!F122</f>
        <v>1.5378041991658418</v>
      </c>
      <c r="J122" s="231">
        <f>Leach!I122</f>
        <v>3.2037587482621706E-2</v>
      </c>
      <c r="K122" s="231" t="str">
        <f>Leach!L122</f>
        <v>na</v>
      </c>
      <c r="L122" s="476">
        <f>Leach!G122</f>
        <v>8.0960000000000004E-2</v>
      </c>
      <c r="M122" s="476">
        <f>Leach!J122</f>
        <v>1.6866666666666668E-3</v>
      </c>
      <c r="N122" s="476" t="str">
        <f>Leach!M122</f>
        <v>na</v>
      </c>
      <c r="O122" s="485" t="str">
        <f>'SD-Det'!Z122</f>
        <v>na</v>
      </c>
      <c r="P122" s="494">
        <f>'SL-Det'!I122</f>
        <v>10</v>
      </c>
      <c r="Q122" s="975" t="s">
        <v>232</v>
      </c>
      <c r="S122" s="832" t="str">
        <f t="shared" si="372"/>
        <v/>
      </c>
      <c r="T122" s="366" t="str">
        <f t="shared" si="373"/>
        <v/>
      </c>
      <c r="U122" s="366" t="str">
        <f t="shared" si="374"/>
        <v>X</v>
      </c>
      <c r="V122" s="366" t="str">
        <f t="shared" si="375"/>
        <v/>
      </c>
      <c r="W122" s="366" t="str">
        <f t="shared" si="376"/>
        <v/>
      </c>
      <c r="X122" s="366" t="str">
        <f t="shared" si="377"/>
        <v/>
      </c>
      <c r="Y122" s="989" t="str">
        <f t="shared" si="378"/>
        <v/>
      </c>
      <c r="Z122" s="832" t="str">
        <f t="shared" si="379"/>
        <v/>
      </c>
      <c r="AA122" s="366" t="str">
        <f t="shared" si="380"/>
        <v/>
      </c>
      <c r="AB122" s="366" t="str">
        <f t="shared" si="381"/>
        <v>X</v>
      </c>
      <c r="AC122" s="366" t="str">
        <f t="shared" si="382"/>
        <v/>
      </c>
      <c r="AD122" s="366" t="str">
        <f t="shared" si="383"/>
        <v/>
      </c>
      <c r="AE122" s="366" t="str">
        <f t="shared" si="384"/>
        <v/>
      </c>
      <c r="AF122" s="833" t="str">
        <f t="shared" si="385"/>
        <v/>
      </c>
      <c r="AG122" s="832" t="str">
        <f t="shared" si="386"/>
        <v/>
      </c>
      <c r="AH122" s="366" t="str">
        <f t="shared" si="387"/>
        <v>X</v>
      </c>
      <c r="AI122" s="366" t="str">
        <f t="shared" si="388"/>
        <v/>
      </c>
      <c r="AJ122" s="366" t="str">
        <f t="shared" si="389"/>
        <v/>
      </c>
      <c r="AK122" s="366" t="str">
        <f t="shared" si="390"/>
        <v/>
      </c>
      <c r="AL122" s="833" t="str">
        <f t="shared" si="391"/>
        <v/>
      </c>
      <c r="AM122" s="832" t="str">
        <f t="shared" si="392"/>
        <v/>
      </c>
      <c r="AN122" s="366" t="str">
        <f t="shared" si="393"/>
        <v>X</v>
      </c>
      <c r="AO122" s="366" t="str">
        <f t="shared" si="394"/>
        <v/>
      </c>
      <c r="AP122" s="366" t="str">
        <f t="shared" si="395"/>
        <v/>
      </c>
      <c r="AQ122" s="366" t="str">
        <f t="shared" si="396"/>
        <v/>
      </c>
      <c r="AR122" s="833" t="str">
        <f t="shared" si="397"/>
        <v/>
      </c>
      <c r="AT122" s="1062"/>
      <c r="AY122" s="4"/>
    </row>
    <row r="123" spans="1:51" ht="13.9" customHeight="1" x14ac:dyDescent="0.25">
      <c r="A123" s="847">
        <f>Chem!A123</f>
        <v>121</v>
      </c>
      <c r="B123" s="951" t="str">
        <f>Chem!B123</f>
        <v>Hexachloroethane</v>
      </c>
      <c r="C123" s="946">
        <f t="shared" si="370"/>
        <v>1.6084880000000003E-4</v>
      </c>
      <c r="D123" s="463">
        <f t="shared" si="371"/>
        <v>9.6733333333333345E-6</v>
      </c>
      <c r="E123" s="634">
        <f t="shared" si="264"/>
        <v>1.6084880000000003E-4</v>
      </c>
      <c r="F123" s="634">
        <f t="shared" si="265"/>
        <v>9.6733333333333345E-6</v>
      </c>
      <c r="G123" s="634"/>
      <c r="H123" s="467">
        <f>'SL-Det'!E123</f>
        <v>25</v>
      </c>
      <c r="I123" s="231">
        <f>Leach!F123</f>
        <v>8.7964187499999982E-3</v>
      </c>
      <c r="J123" s="231">
        <f>Leach!I123</f>
        <v>1.6084880000000003E-4</v>
      </c>
      <c r="K123" s="231" t="str">
        <f>Leach!L123</f>
        <v>na</v>
      </c>
      <c r="L123" s="476">
        <f>Leach!G123</f>
        <v>5.2901041666666667E-4</v>
      </c>
      <c r="M123" s="476">
        <f>Leach!J123</f>
        <v>9.6733333333333345E-6</v>
      </c>
      <c r="N123" s="476" t="str">
        <f>Leach!M123</f>
        <v>na</v>
      </c>
      <c r="O123" s="487" t="str">
        <f>'SD-Det'!Z123</f>
        <v>na</v>
      </c>
      <c r="P123" s="494" t="str">
        <f>'SL-Det'!I123</f>
        <v>na</v>
      </c>
      <c r="Q123" s="975" t="s">
        <v>232</v>
      </c>
      <c r="S123" s="832" t="str">
        <f t="shared" si="372"/>
        <v/>
      </c>
      <c r="T123" s="366" t="str">
        <f t="shared" si="373"/>
        <v/>
      </c>
      <c r="U123" s="366" t="str">
        <f t="shared" si="374"/>
        <v>X</v>
      </c>
      <c r="V123" s="366" t="str">
        <f t="shared" si="375"/>
        <v/>
      </c>
      <c r="W123" s="366" t="str">
        <f t="shared" si="376"/>
        <v/>
      </c>
      <c r="X123" s="366" t="str">
        <f t="shared" si="377"/>
        <v/>
      </c>
      <c r="Y123" s="989" t="str">
        <f t="shared" si="378"/>
        <v/>
      </c>
      <c r="Z123" s="832" t="str">
        <f t="shared" si="379"/>
        <v/>
      </c>
      <c r="AA123" s="366" t="str">
        <f t="shared" si="380"/>
        <v/>
      </c>
      <c r="AB123" s="366" t="str">
        <f t="shared" si="381"/>
        <v>X</v>
      </c>
      <c r="AC123" s="366" t="str">
        <f t="shared" si="382"/>
        <v/>
      </c>
      <c r="AD123" s="366" t="str">
        <f t="shared" si="383"/>
        <v/>
      </c>
      <c r="AE123" s="366" t="str">
        <f t="shared" si="384"/>
        <v/>
      </c>
      <c r="AF123" s="833" t="str">
        <f t="shared" si="385"/>
        <v/>
      </c>
      <c r="AG123" s="832" t="str">
        <f t="shared" si="386"/>
        <v/>
      </c>
      <c r="AH123" s="366" t="str">
        <f t="shared" si="387"/>
        <v>X</v>
      </c>
      <c r="AI123" s="366" t="str">
        <f t="shared" si="388"/>
        <v/>
      </c>
      <c r="AJ123" s="366" t="str">
        <f t="shared" si="389"/>
        <v/>
      </c>
      <c r="AK123" s="366" t="str">
        <f t="shared" si="390"/>
        <v/>
      </c>
      <c r="AL123" s="833" t="str">
        <f t="shared" si="391"/>
        <v/>
      </c>
      <c r="AM123" s="832" t="str">
        <f t="shared" si="392"/>
        <v/>
      </c>
      <c r="AN123" s="366" t="str">
        <f t="shared" si="393"/>
        <v>X</v>
      </c>
      <c r="AO123" s="366" t="str">
        <f t="shared" si="394"/>
        <v/>
      </c>
      <c r="AP123" s="366" t="str">
        <f t="shared" si="395"/>
        <v/>
      </c>
      <c r="AQ123" s="366" t="str">
        <f t="shared" si="396"/>
        <v/>
      </c>
      <c r="AR123" s="833" t="str">
        <f t="shared" si="397"/>
        <v/>
      </c>
      <c r="AT123" s="1062"/>
      <c r="AY123" s="4"/>
    </row>
    <row r="124" spans="1:51" ht="13.9" customHeight="1" x14ac:dyDescent="0.25">
      <c r="A124" s="847">
        <f>Chem!A124</f>
        <v>122</v>
      </c>
      <c r="B124" s="951" t="str">
        <f>Chem!B124</f>
        <v>Isophorone</v>
      </c>
      <c r="C124" s="946">
        <f t="shared" si="370"/>
        <v>0.48854431904709861</v>
      </c>
      <c r="D124" s="463">
        <f t="shared" si="371"/>
        <v>3.2408771929824554E-2</v>
      </c>
      <c r="E124" s="634">
        <f t="shared" si="264"/>
        <v>0.58346150103339223</v>
      </c>
      <c r="F124" s="634">
        <f t="shared" si="265"/>
        <v>3.8705333333333335E-2</v>
      </c>
      <c r="G124" s="634"/>
      <c r="H124" s="467">
        <f>'SL-Det'!E124</f>
        <v>1052.6315789473683</v>
      </c>
      <c r="I124" s="231">
        <f>Leach!F124</f>
        <v>0.48854431904709861</v>
      </c>
      <c r="J124" s="231">
        <f>Leach!I124</f>
        <v>0.58346150103339223</v>
      </c>
      <c r="K124" s="231" t="str">
        <f>Leach!L124</f>
        <v>na</v>
      </c>
      <c r="L124" s="476">
        <f>Leach!G124</f>
        <v>3.2408771929824554E-2</v>
      </c>
      <c r="M124" s="476">
        <f>Leach!J124</f>
        <v>3.8705333333333335E-2</v>
      </c>
      <c r="N124" s="476" t="str">
        <f>Leach!M124</f>
        <v>na</v>
      </c>
      <c r="O124" s="485" t="str">
        <f>'SD-Det'!Z124</f>
        <v>na</v>
      </c>
      <c r="P124" s="494" t="str">
        <f>'SL-Det'!I124</f>
        <v>na</v>
      </c>
      <c r="Q124" s="975" t="s">
        <v>232</v>
      </c>
      <c r="S124" s="832" t="str">
        <f t="shared" si="372"/>
        <v/>
      </c>
      <c r="T124" s="366" t="str">
        <f t="shared" si="373"/>
        <v>X</v>
      </c>
      <c r="U124" s="366" t="str">
        <f t="shared" si="374"/>
        <v/>
      </c>
      <c r="V124" s="366" t="str">
        <f t="shared" si="375"/>
        <v/>
      </c>
      <c r="W124" s="366" t="str">
        <f t="shared" si="376"/>
        <v/>
      </c>
      <c r="X124" s="366" t="str">
        <f t="shared" si="377"/>
        <v/>
      </c>
      <c r="Y124" s="989" t="str">
        <f t="shared" si="378"/>
        <v/>
      </c>
      <c r="Z124" s="832" t="str">
        <f t="shared" si="379"/>
        <v/>
      </c>
      <c r="AA124" s="366" t="str">
        <f t="shared" si="380"/>
        <v>X</v>
      </c>
      <c r="AB124" s="366" t="str">
        <f t="shared" si="381"/>
        <v/>
      </c>
      <c r="AC124" s="366" t="str">
        <f t="shared" si="382"/>
        <v/>
      </c>
      <c r="AD124" s="366" t="str">
        <f t="shared" si="383"/>
        <v/>
      </c>
      <c r="AE124" s="366" t="str">
        <f t="shared" si="384"/>
        <v/>
      </c>
      <c r="AF124" s="833" t="str">
        <f t="shared" si="385"/>
        <v/>
      </c>
      <c r="AG124" s="832" t="str">
        <f t="shared" si="386"/>
        <v/>
      </c>
      <c r="AH124" s="366" t="str">
        <f t="shared" si="387"/>
        <v>X</v>
      </c>
      <c r="AI124" s="366" t="str">
        <f t="shared" si="388"/>
        <v/>
      </c>
      <c r="AJ124" s="366" t="str">
        <f t="shared" si="389"/>
        <v/>
      </c>
      <c r="AK124" s="366" t="str">
        <f t="shared" si="390"/>
        <v/>
      </c>
      <c r="AL124" s="833" t="str">
        <f t="shared" si="391"/>
        <v/>
      </c>
      <c r="AM124" s="832" t="str">
        <f t="shared" si="392"/>
        <v/>
      </c>
      <c r="AN124" s="366" t="str">
        <f t="shared" si="393"/>
        <v>X</v>
      </c>
      <c r="AO124" s="366" t="str">
        <f t="shared" si="394"/>
        <v/>
      </c>
      <c r="AP124" s="366" t="str">
        <f t="shared" si="395"/>
        <v/>
      </c>
      <c r="AQ124" s="366" t="str">
        <f t="shared" si="396"/>
        <v/>
      </c>
      <c r="AR124" s="833" t="str">
        <f t="shared" si="397"/>
        <v/>
      </c>
      <c r="AT124" s="1062"/>
      <c r="AY124" s="4"/>
    </row>
    <row r="125" spans="1:51" ht="13.9" customHeight="1" x14ac:dyDescent="0.25">
      <c r="A125" s="847">
        <f>Chem!A125</f>
        <v>123</v>
      </c>
      <c r="B125" s="951" t="str">
        <f>Chem!B125</f>
        <v>2-Methoxynaphthalene</v>
      </c>
      <c r="C125" s="946" t="str">
        <f t="shared" si="370"/>
        <v>na</v>
      </c>
      <c r="D125" s="463" t="str">
        <f t="shared" si="371"/>
        <v>na</v>
      </c>
      <c r="E125" s="634" t="str">
        <f t="shared" si="264"/>
        <v>na</v>
      </c>
      <c r="F125" s="634" t="str">
        <f t="shared" si="265"/>
        <v>na</v>
      </c>
      <c r="G125" s="634"/>
      <c r="H125" s="467" t="str">
        <f>'SL-Det'!E125</f>
        <v>na</v>
      </c>
      <c r="I125" s="231" t="str">
        <f>Leach!F125</f>
        <v>na</v>
      </c>
      <c r="J125" s="231" t="str">
        <f>Leach!I125</f>
        <v>na</v>
      </c>
      <c r="K125" s="231" t="str">
        <f>Leach!L125</f>
        <v>na</v>
      </c>
      <c r="L125" s="476" t="str">
        <f>Leach!G125</f>
        <v>na</v>
      </c>
      <c r="M125" s="476" t="str">
        <f>Leach!J125</f>
        <v>na</v>
      </c>
      <c r="N125" s="476" t="str">
        <f>Leach!M125</f>
        <v>na</v>
      </c>
      <c r="O125" s="485" t="str">
        <f>'SD-Det'!Z125</f>
        <v>na</v>
      </c>
      <c r="P125" s="494" t="str">
        <f>'SL-Det'!I125</f>
        <v>na</v>
      </c>
      <c r="Q125" s="975" t="s">
        <v>232</v>
      </c>
      <c r="S125" s="832" t="str">
        <f t="shared" si="372"/>
        <v/>
      </c>
      <c r="T125" s="366" t="str">
        <f t="shared" si="373"/>
        <v/>
      </c>
      <c r="U125" s="366" t="str">
        <f t="shared" si="374"/>
        <v/>
      </c>
      <c r="V125" s="366" t="str">
        <f t="shared" si="375"/>
        <v/>
      </c>
      <c r="W125" s="366" t="str">
        <f t="shared" si="376"/>
        <v/>
      </c>
      <c r="X125" s="366" t="str">
        <f t="shared" si="377"/>
        <v/>
      </c>
      <c r="Y125" s="989" t="str">
        <f t="shared" si="378"/>
        <v/>
      </c>
      <c r="Z125" s="832" t="str">
        <f t="shared" si="379"/>
        <v/>
      </c>
      <c r="AA125" s="366" t="str">
        <f t="shared" si="380"/>
        <v/>
      </c>
      <c r="AB125" s="366" t="str">
        <f t="shared" si="381"/>
        <v/>
      </c>
      <c r="AC125" s="366" t="str">
        <f t="shared" si="382"/>
        <v/>
      </c>
      <c r="AD125" s="366" t="str">
        <f t="shared" si="383"/>
        <v/>
      </c>
      <c r="AE125" s="366" t="str">
        <f t="shared" si="384"/>
        <v/>
      </c>
      <c r="AF125" s="833" t="str">
        <f t="shared" si="385"/>
        <v/>
      </c>
      <c r="AG125" s="832" t="str">
        <f t="shared" si="386"/>
        <v/>
      </c>
      <c r="AH125" s="366" t="str">
        <f t="shared" si="387"/>
        <v/>
      </c>
      <c r="AI125" s="366" t="str">
        <f t="shared" si="388"/>
        <v/>
      </c>
      <c r="AJ125" s="366" t="str">
        <f t="shared" si="389"/>
        <v/>
      </c>
      <c r="AK125" s="366" t="str">
        <f t="shared" si="390"/>
        <v/>
      </c>
      <c r="AL125" s="833" t="str">
        <f t="shared" si="391"/>
        <v/>
      </c>
      <c r="AM125" s="832" t="str">
        <f t="shared" si="392"/>
        <v/>
      </c>
      <c r="AN125" s="366" t="str">
        <f t="shared" si="393"/>
        <v/>
      </c>
      <c r="AO125" s="366" t="str">
        <f t="shared" si="394"/>
        <v/>
      </c>
      <c r="AP125" s="366" t="str">
        <f t="shared" si="395"/>
        <v/>
      </c>
      <c r="AQ125" s="366" t="str">
        <f t="shared" si="396"/>
        <v/>
      </c>
      <c r="AR125" s="833" t="str">
        <f t="shared" si="397"/>
        <v/>
      </c>
      <c r="AT125" s="1062"/>
      <c r="AY125" s="4"/>
    </row>
    <row r="126" spans="1:51" ht="13.9" customHeight="1" x14ac:dyDescent="0.25">
      <c r="A126" s="847">
        <f>Chem!A126</f>
        <v>124</v>
      </c>
      <c r="B126" s="951" t="str">
        <f>Chem!B126</f>
        <v>2-Methylphenol (o-cresol)</v>
      </c>
      <c r="C126" s="946">
        <f t="shared" si="370"/>
        <v>6.3E-2</v>
      </c>
      <c r="D126" s="463">
        <f t="shared" si="371"/>
        <v>5.811271261573334E-3</v>
      </c>
      <c r="E126" s="634">
        <f t="shared" si="264"/>
        <v>6.3E-2</v>
      </c>
      <c r="F126" s="634">
        <f t="shared" si="265"/>
        <v>5.811271261573334E-3</v>
      </c>
      <c r="G126" s="634"/>
      <c r="H126" s="467">
        <f>'SL-Det'!E126</f>
        <v>4000</v>
      </c>
      <c r="I126" s="231">
        <f>Leach!F126</f>
        <v>8.1120274950079239</v>
      </c>
      <c r="J126" s="231" t="str">
        <f>Leach!I126</f>
        <v>na</v>
      </c>
      <c r="K126" s="231">
        <f>Leach!L126</f>
        <v>9.9258546297372838E-2</v>
      </c>
      <c r="L126" s="476">
        <f>Leach!G126</f>
        <v>0.47493333333333337</v>
      </c>
      <c r="M126" s="476" t="str">
        <f>Leach!J126</f>
        <v>na</v>
      </c>
      <c r="N126" s="476">
        <f>Leach!M126</f>
        <v>5.811271261573334E-3</v>
      </c>
      <c r="O126" s="485">
        <f>'SD-Det'!Z126</f>
        <v>6.3E-2</v>
      </c>
      <c r="P126" s="494" t="str">
        <f>'SL-Det'!I126</f>
        <v>na</v>
      </c>
      <c r="Q126" s="975" t="s">
        <v>232</v>
      </c>
      <c r="S126" s="832" t="str">
        <f t="shared" si="372"/>
        <v/>
      </c>
      <c r="T126" s="366" t="str">
        <f t="shared" si="373"/>
        <v/>
      </c>
      <c r="U126" s="366" t="str">
        <f t="shared" si="374"/>
        <v/>
      </c>
      <c r="V126" s="366" t="str">
        <f t="shared" si="375"/>
        <v/>
      </c>
      <c r="W126" s="366" t="str">
        <f t="shared" si="376"/>
        <v>X</v>
      </c>
      <c r="X126" s="366" t="str">
        <f t="shared" si="377"/>
        <v/>
      </c>
      <c r="Y126" s="989" t="str">
        <f t="shared" si="378"/>
        <v/>
      </c>
      <c r="Z126" s="832" t="str">
        <f t="shared" si="379"/>
        <v/>
      </c>
      <c r="AA126" s="366" t="str">
        <f t="shared" si="380"/>
        <v/>
      </c>
      <c r="AB126" s="366" t="str">
        <f t="shared" si="381"/>
        <v/>
      </c>
      <c r="AC126" s="366" t="str">
        <f t="shared" si="382"/>
        <v>X</v>
      </c>
      <c r="AD126" s="366" t="str">
        <f t="shared" si="383"/>
        <v/>
      </c>
      <c r="AE126" s="366" t="str">
        <f t="shared" si="384"/>
        <v/>
      </c>
      <c r="AF126" s="833" t="str">
        <f t="shared" si="385"/>
        <v/>
      </c>
      <c r="AG126" s="832" t="str">
        <f t="shared" si="386"/>
        <v/>
      </c>
      <c r="AH126" s="366" t="str">
        <f t="shared" si="387"/>
        <v/>
      </c>
      <c r="AI126" s="366" t="str">
        <f t="shared" si="388"/>
        <v/>
      </c>
      <c r="AJ126" s="366" t="str">
        <f t="shared" si="389"/>
        <v>X</v>
      </c>
      <c r="AK126" s="366" t="str">
        <f t="shared" si="390"/>
        <v/>
      </c>
      <c r="AL126" s="833" t="str">
        <f t="shared" si="391"/>
        <v/>
      </c>
      <c r="AM126" s="832" t="str">
        <f t="shared" si="392"/>
        <v/>
      </c>
      <c r="AN126" s="366" t="str">
        <f t="shared" si="393"/>
        <v/>
      </c>
      <c r="AO126" s="366" t="str">
        <f t="shared" si="394"/>
        <v>X</v>
      </c>
      <c r="AP126" s="366" t="str">
        <f t="shared" si="395"/>
        <v/>
      </c>
      <c r="AQ126" s="366" t="str">
        <f t="shared" si="396"/>
        <v/>
      </c>
      <c r="AR126" s="833" t="str">
        <f t="shared" si="397"/>
        <v/>
      </c>
      <c r="AT126" s="1062"/>
      <c r="AY126" s="4"/>
    </row>
    <row r="127" spans="1:51" ht="13.9" customHeight="1" x14ac:dyDescent="0.25">
      <c r="A127" s="847">
        <f>Chem!A127</f>
        <v>125</v>
      </c>
      <c r="B127" s="951" t="str">
        <f>Chem!B127</f>
        <v>3-Methylphenol (m-cresol)</v>
      </c>
      <c r="C127" s="946">
        <f t="shared" si="370"/>
        <v>8.0000184292675289</v>
      </c>
      <c r="D127" s="463">
        <f t="shared" si="371"/>
        <v>0.46933333333333338</v>
      </c>
      <c r="E127" s="634">
        <f t="shared" si="264"/>
        <v>4000</v>
      </c>
      <c r="F127" s="634">
        <f t="shared" si="265"/>
        <v>4000</v>
      </c>
      <c r="G127" s="634"/>
      <c r="H127" s="467">
        <f>'SL-Det'!E127</f>
        <v>4000</v>
      </c>
      <c r="I127" s="231">
        <f>Leach!F127</f>
        <v>8.0000184292675289</v>
      </c>
      <c r="J127" s="231" t="str">
        <f>Leach!I127</f>
        <v>na</v>
      </c>
      <c r="K127" s="231" t="str">
        <f>Leach!L127</f>
        <v>na</v>
      </c>
      <c r="L127" s="476">
        <f>Leach!G127</f>
        <v>0.46933333333333338</v>
      </c>
      <c r="M127" s="476" t="str">
        <f>Leach!J127</f>
        <v>na</v>
      </c>
      <c r="N127" s="476" t="str">
        <f>Leach!M127</f>
        <v>na</v>
      </c>
      <c r="O127" s="485" t="str">
        <f>'SD-Det'!Z127</f>
        <v>na</v>
      </c>
      <c r="P127" s="494" t="str">
        <f>'SL-Det'!I127</f>
        <v>na</v>
      </c>
      <c r="Q127" s="975" t="s">
        <v>232</v>
      </c>
      <c r="S127" s="832" t="str">
        <f t="shared" ref="S127" si="398">IF($C127="na","",IF($C127=H127,"X",""))</f>
        <v/>
      </c>
      <c r="T127" s="366" t="str">
        <f t="shared" ref="T127" si="399">IF($C127="na","",IF($C127=I127,"X",""))</f>
        <v>X</v>
      </c>
      <c r="U127" s="366" t="str">
        <f t="shared" ref="U127" si="400">IF($C127="na","",IF($C127=J127,"X",""))</f>
        <v/>
      </c>
      <c r="V127" s="366" t="str">
        <f t="shared" ref="V127" si="401">IF($C127="na","",IF($C127=K127,"X",""))</f>
        <v/>
      </c>
      <c r="W127" s="366" t="str">
        <f t="shared" ref="W127" si="402">IF($C127="na","",IF($C127=O127,"X",""))</f>
        <v/>
      </c>
      <c r="X127" s="366" t="str">
        <f t="shared" ref="X127" si="403">IF($C127="na","",IF($C127=P127,"X",""))</f>
        <v/>
      </c>
      <c r="Y127" s="989" t="str">
        <f t="shared" ref="Y127" si="404">IF($C127="na","",IF($C127=Q127,"X",""))</f>
        <v/>
      </c>
      <c r="Z127" s="832" t="str">
        <f t="shared" ref="Z127" si="405">IF($D127="na","",IF($D127=H127,"X",""))</f>
        <v/>
      </c>
      <c r="AA127" s="366" t="str">
        <f t="shared" ref="AA127" si="406">IF($D127="na","",IF($D127=L127,"X",""))</f>
        <v>X</v>
      </c>
      <c r="AB127" s="366" t="str">
        <f t="shared" ref="AB127" si="407">IF($D127="na","",IF($D127=M127,"X",""))</f>
        <v/>
      </c>
      <c r="AC127" s="366" t="str">
        <f t="shared" ref="AC127" si="408">IF($D127="na","",IF($D127=N127,"X",""))</f>
        <v/>
      </c>
      <c r="AD127" s="366" t="str">
        <f t="shared" ref="AD127" si="409">IF($D127="na","",IF($D127=O127,"X",""))</f>
        <v/>
      </c>
      <c r="AE127" s="366" t="str">
        <f t="shared" ref="AE127" si="410">IF($D127="na","",IF($D127=P127,"X",""))</f>
        <v/>
      </c>
      <c r="AF127" s="833" t="str">
        <f t="shared" ref="AF127" si="411">IF($D127="na","",IF($D127=Q127,"X",""))</f>
        <v/>
      </c>
      <c r="AG127" s="832" t="str">
        <f t="shared" ref="AG127" si="412">IF($E127="na","",IF($E127=H127,"X",""))</f>
        <v>X</v>
      </c>
      <c r="AH127" s="366" t="str">
        <f t="shared" ref="AH127" si="413">IF($E127="na","",IF($E127=J127,"X",""))</f>
        <v/>
      </c>
      <c r="AI127" s="366" t="str">
        <f t="shared" ref="AI127" si="414">IF($E127="na","",IF($E127=K127,"X",""))</f>
        <v/>
      </c>
      <c r="AJ127" s="366" t="str">
        <f t="shared" ref="AJ127" si="415">IF($E127="na","",IF($E127=O127,"X",""))</f>
        <v/>
      </c>
      <c r="AK127" s="366" t="str">
        <f t="shared" ref="AK127" si="416">IF($E127="na","",IF($E127=P127,"X",""))</f>
        <v/>
      </c>
      <c r="AL127" s="833" t="str">
        <f t="shared" ref="AL127" si="417">IF($E127="na","",IF($E127=Q127,"X",""))</f>
        <v/>
      </c>
      <c r="AM127" s="832" t="str">
        <f t="shared" ref="AM127" si="418">IF($F127="na","",IF($F127=H127,"X",""))</f>
        <v>X</v>
      </c>
      <c r="AN127" s="366" t="str">
        <f t="shared" ref="AN127" si="419">IF($F127="na","",IF($F127=M127,"X",""))</f>
        <v/>
      </c>
      <c r="AO127" s="366" t="str">
        <f t="shared" ref="AO127" si="420">IF($F127="na","",IF($F127=N127,"X",""))</f>
        <v/>
      </c>
      <c r="AP127" s="366" t="str">
        <f t="shared" ref="AP127" si="421">IF($F127="na","",IF($F127=O127,"X",""))</f>
        <v/>
      </c>
      <c r="AQ127" s="366" t="str">
        <f t="shared" ref="AQ127" si="422">IF($F127="na","",IF($F127=P127,"X",""))</f>
        <v/>
      </c>
      <c r="AR127" s="833" t="str">
        <f t="shared" ref="AR127" si="423">IF($F127="na","",IF($F127=Q127,"X",""))</f>
        <v/>
      </c>
      <c r="AT127" s="1062"/>
      <c r="AY127" s="4"/>
    </row>
    <row r="128" spans="1:51" ht="13.9" customHeight="1" x14ac:dyDescent="0.25">
      <c r="A128" s="847">
        <f>Chem!A128</f>
        <v>126</v>
      </c>
      <c r="B128" s="951" t="str">
        <f>Chem!B128</f>
        <v>4-Methylphenol (p-cresol)</v>
      </c>
      <c r="C128" s="946">
        <f t="shared" si="370"/>
        <v>0.67</v>
      </c>
      <c r="D128" s="463">
        <f t="shared" si="371"/>
        <v>6.2362420283092239E-2</v>
      </c>
      <c r="E128" s="634">
        <f t="shared" si="264"/>
        <v>0.67</v>
      </c>
      <c r="F128" s="634">
        <f t="shared" si="265"/>
        <v>6.2362420283092239E-2</v>
      </c>
      <c r="G128" s="634"/>
      <c r="H128" s="467">
        <f>'SL-Det'!E128</f>
        <v>8000</v>
      </c>
      <c r="I128" s="231">
        <f>Leach!F128</f>
        <v>16.000042981804011</v>
      </c>
      <c r="J128" s="231" t="str">
        <f>Leach!I128</f>
        <v>na</v>
      </c>
      <c r="K128" s="231">
        <f>Leach!L128</f>
        <v>1.0629986558723032</v>
      </c>
      <c r="L128" s="476">
        <f>Leach!G128</f>
        <v>0.93866666666666676</v>
      </c>
      <c r="M128" s="476" t="str">
        <f>Leach!J128</f>
        <v>na</v>
      </c>
      <c r="N128" s="476">
        <f>Leach!M128</f>
        <v>6.2362420283092239E-2</v>
      </c>
      <c r="O128" s="485">
        <f>'SD-Det'!Z128</f>
        <v>0.67</v>
      </c>
      <c r="P128" s="494" t="str">
        <f>'SL-Det'!I128</f>
        <v>na</v>
      </c>
      <c r="Q128" s="975" t="s">
        <v>232</v>
      </c>
      <c r="S128" s="832" t="str">
        <f t="shared" si="372"/>
        <v/>
      </c>
      <c r="T128" s="366" t="str">
        <f t="shared" si="373"/>
        <v/>
      </c>
      <c r="U128" s="366" t="str">
        <f t="shared" si="374"/>
        <v/>
      </c>
      <c r="V128" s="366" t="str">
        <f t="shared" si="375"/>
        <v/>
      </c>
      <c r="W128" s="366" t="str">
        <f t="shared" si="376"/>
        <v>X</v>
      </c>
      <c r="X128" s="366" t="str">
        <f t="shared" si="377"/>
        <v/>
      </c>
      <c r="Y128" s="989" t="str">
        <f t="shared" si="378"/>
        <v/>
      </c>
      <c r="Z128" s="832" t="str">
        <f t="shared" si="379"/>
        <v/>
      </c>
      <c r="AA128" s="366" t="str">
        <f t="shared" si="380"/>
        <v/>
      </c>
      <c r="AB128" s="366" t="str">
        <f t="shared" si="381"/>
        <v/>
      </c>
      <c r="AC128" s="366" t="str">
        <f t="shared" si="382"/>
        <v>X</v>
      </c>
      <c r="AD128" s="366" t="str">
        <f t="shared" si="383"/>
        <v/>
      </c>
      <c r="AE128" s="366" t="str">
        <f t="shared" si="384"/>
        <v/>
      </c>
      <c r="AF128" s="833" t="str">
        <f t="shared" si="385"/>
        <v/>
      </c>
      <c r="AG128" s="832" t="str">
        <f t="shared" si="386"/>
        <v/>
      </c>
      <c r="AH128" s="366" t="str">
        <f t="shared" si="387"/>
        <v/>
      </c>
      <c r="AI128" s="366" t="str">
        <f t="shared" si="388"/>
        <v/>
      </c>
      <c r="AJ128" s="366" t="str">
        <f t="shared" si="389"/>
        <v>X</v>
      </c>
      <c r="AK128" s="366" t="str">
        <f t="shared" si="390"/>
        <v/>
      </c>
      <c r="AL128" s="833" t="str">
        <f t="shared" si="391"/>
        <v/>
      </c>
      <c r="AM128" s="832" t="str">
        <f t="shared" si="392"/>
        <v/>
      </c>
      <c r="AN128" s="366" t="str">
        <f t="shared" si="393"/>
        <v/>
      </c>
      <c r="AO128" s="366" t="str">
        <f t="shared" si="394"/>
        <v>X</v>
      </c>
      <c r="AP128" s="366" t="str">
        <f t="shared" si="395"/>
        <v/>
      </c>
      <c r="AQ128" s="366" t="str">
        <f t="shared" si="396"/>
        <v/>
      </c>
      <c r="AR128" s="833" t="str">
        <f t="shared" si="397"/>
        <v/>
      </c>
      <c r="AT128" s="1062"/>
      <c r="AY128" s="4"/>
    </row>
    <row r="129" spans="1:51" ht="13.9" customHeight="1" x14ac:dyDescent="0.25">
      <c r="A129" s="847">
        <f>Chem!A129</f>
        <v>127</v>
      </c>
      <c r="B129" s="951" t="str">
        <f>Chem!B129</f>
        <v>2-Nitroaniline</v>
      </c>
      <c r="C129" s="946">
        <f t="shared" si="370"/>
        <v>0.99520016924001242</v>
      </c>
      <c r="D129" s="463">
        <f t="shared" si="371"/>
        <v>6.3626666666666665E-2</v>
      </c>
      <c r="E129" s="634">
        <f t="shared" si="264"/>
        <v>800</v>
      </c>
      <c r="F129" s="634">
        <f t="shared" si="265"/>
        <v>800</v>
      </c>
      <c r="G129" s="634"/>
      <c r="H129" s="467">
        <f>'SL-Det'!E129</f>
        <v>800</v>
      </c>
      <c r="I129" s="231">
        <f>Leach!F129</f>
        <v>0.99520016924001242</v>
      </c>
      <c r="J129" s="231" t="str">
        <f>Leach!I129</f>
        <v>na</v>
      </c>
      <c r="K129" s="231" t="str">
        <f>Leach!L129</f>
        <v>na</v>
      </c>
      <c r="L129" s="476">
        <f>Leach!G129</f>
        <v>6.3626666666666665E-2</v>
      </c>
      <c r="M129" s="476" t="str">
        <f>Leach!J129</f>
        <v>na</v>
      </c>
      <c r="N129" s="476" t="str">
        <f>Leach!M129</f>
        <v>na</v>
      </c>
      <c r="O129" s="485" t="str">
        <f>'SD-Det'!Z129</f>
        <v>na</v>
      </c>
      <c r="P129" s="494" t="str">
        <f>'SL-Det'!I129</f>
        <v>na</v>
      </c>
      <c r="Q129" s="975" t="s">
        <v>232</v>
      </c>
      <c r="S129" s="832" t="str">
        <f t="shared" si="372"/>
        <v/>
      </c>
      <c r="T129" s="366" t="str">
        <f t="shared" si="373"/>
        <v>X</v>
      </c>
      <c r="U129" s="366" t="str">
        <f t="shared" si="374"/>
        <v/>
      </c>
      <c r="V129" s="366" t="str">
        <f t="shared" si="375"/>
        <v/>
      </c>
      <c r="W129" s="366" t="str">
        <f t="shared" si="376"/>
        <v/>
      </c>
      <c r="X129" s="366" t="str">
        <f t="shared" si="377"/>
        <v/>
      </c>
      <c r="Y129" s="989" t="str">
        <f t="shared" si="378"/>
        <v/>
      </c>
      <c r="Z129" s="832" t="str">
        <f t="shared" si="379"/>
        <v/>
      </c>
      <c r="AA129" s="366" t="str">
        <f t="shared" si="380"/>
        <v>X</v>
      </c>
      <c r="AB129" s="366" t="str">
        <f t="shared" si="381"/>
        <v/>
      </c>
      <c r="AC129" s="366" t="str">
        <f t="shared" si="382"/>
        <v/>
      </c>
      <c r="AD129" s="366" t="str">
        <f t="shared" si="383"/>
        <v/>
      </c>
      <c r="AE129" s="366" t="str">
        <f t="shared" si="384"/>
        <v/>
      </c>
      <c r="AF129" s="833" t="str">
        <f t="shared" si="385"/>
        <v/>
      </c>
      <c r="AG129" s="832" t="str">
        <f t="shared" si="386"/>
        <v>X</v>
      </c>
      <c r="AH129" s="366" t="str">
        <f t="shared" si="387"/>
        <v/>
      </c>
      <c r="AI129" s="366" t="str">
        <f t="shared" si="388"/>
        <v/>
      </c>
      <c r="AJ129" s="366" t="str">
        <f t="shared" si="389"/>
        <v/>
      </c>
      <c r="AK129" s="366" t="str">
        <f t="shared" si="390"/>
        <v/>
      </c>
      <c r="AL129" s="833" t="str">
        <f t="shared" si="391"/>
        <v/>
      </c>
      <c r="AM129" s="832" t="str">
        <f t="shared" si="392"/>
        <v>X</v>
      </c>
      <c r="AN129" s="366" t="str">
        <f t="shared" si="393"/>
        <v/>
      </c>
      <c r="AO129" s="366" t="str">
        <f t="shared" si="394"/>
        <v/>
      </c>
      <c r="AP129" s="366" t="str">
        <f t="shared" si="395"/>
        <v/>
      </c>
      <c r="AQ129" s="366" t="str">
        <f t="shared" si="396"/>
        <v/>
      </c>
      <c r="AR129" s="833" t="str">
        <f t="shared" si="397"/>
        <v/>
      </c>
      <c r="AT129" s="1062"/>
      <c r="AY129" s="4"/>
    </row>
    <row r="130" spans="1:51" ht="13.9" customHeight="1" x14ac:dyDescent="0.25">
      <c r="A130" s="847">
        <f>Chem!A130</f>
        <v>128</v>
      </c>
      <c r="B130" s="951" t="str">
        <f>Chem!B130</f>
        <v>3-Nitroaniline</v>
      </c>
      <c r="C130" s="946" t="str">
        <f t="shared" si="370"/>
        <v>na</v>
      </c>
      <c r="D130" s="463" t="str">
        <f t="shared" si="371"/>
        <v>na</v>
      </c>
      <c r="E130" s="634" t="str">
        <f t="shared" si="264"/>
        <v>na</v>
      </c>
      <c r="F130" s="634" t="str">
        <f t="shared" si="265"/>
        <v>na</v>
      </c>
      <c r="G130" s="634"/>
      <c r="H130" s="467" t="str">
        <f>'SL-Det'!E130</f>
        <v>na</v>
      </c>
      <c r="I130" s="231" t="str">
        <f>Leach!F130</f>
        <v>na</v>
      </c>
      <c r="J130" s="231" t="str">
        <f>Leach!I130</f>
        <v>na</v>
      </c>
      <c r="K130" s="231" t="str">
        <f>Leach!L130</f>
        <v>na</v>
      </c>
      <c r="L130" s="476" t="str">
        <f>Leach!G130</f>
        <v>na</v>
      </c>
      <c r="M130" s="476" t="str">
        <f>Leach!J130</f>
        <v>na</v>
      </c>
      <c r="N130" s="476" t="str">
        <f>Leach!M130</f>
        <v>na</v>
      </c>
      <c r="O130" s="485" t="str">
        <f>'SD-Det'!Z130</f>
        <v>na</v>
      </c>
      <c r="P130" s="494" t="str">
        <f>'SL-Det'!I130</f>
        <v>na</v>
      </c>
      <c r="Q130" s="975" t="s">
        <v>232</v>
      </c>
      <c r="S130" s="832" t="str">
        <f t="shared" si="372"/>
        <v/>
      </c>
      <c r="T130" s="366" t="str">
        <f t="shared" si="373"/>
        <v/>
      </c>
      <c r="U130" s="366" t="str">
        <f t="shared" si="374"/>
        <v/>
      </c>
      <c r="V130" s="366" t="str">
        <f t="shared" si="375"/>
        <v/>
      </c>
      <c r="W130" s="366" t="str">
        <f t="shared" si="376"/>
        <v/>
      </c>
      <c r="X130" s="366" t="str">
        <f t="shared" si="377"/>
        <v/>
      </c>
      <c r="Y130" s="989" t="str">
        <f t="shared" si="378"/>
        <v/>
      </c>
      <c r="Z130" s="832" t="str">
        <f t="shared" si="379"/>
        <v/>
      </c>
      <c r="AA130" s="366" t="str">
        <f t="shared" si="380"/>
        <v/>
      </c>
      <c r="AB130" s="366" t="str">
        <f t="shared" si="381"/>
        <v/>
      </c>
      <c r="AC130" s="366" t="str">
        <f t="shared" si="382"/>
        <v/>
      </c>
      <c r="AD130" s="366" t="str">
        <f t="shared" si="383"/>
        <v/>
      </c>
      <c r="AE130" s="366" t="str">
        <f t="shared" si="384"/>
        <v/>
      </c>
      <c r="AF130" s="833" t="str">
        <f t="shared" si="385"/>
        <v/>
      </c>
      <c r="AG130" s="832" t="str">
        <f t="shared" si="386"/>
        <v/>
      </c>
      <c r="AH130" s="366" t="str">
        <f t="shared" si="387"/>
        <v/>
      </c>
      <c r="AI130" s="366" t="str">
        <f t="shared" si="388"/>
        <v/>
      </c>
      <c r="AJ130" s="366" t="str">
        <f t="shared" si="389"/>
        <v/>
      </c>
      <c r="AK130" s="366" t="str">
        <f t="shared" si="390"/>
        <v/>
      </c>
      <c r="AL130" s="833" t="str">
        <f t="shared" si="391"/>
        <v/>
      </c>
      <c r="AM130" s="832" t="str">
        <f t="shared" si="392"/>
        <v/>
      </c>
      <c r="AN130" s="366" t="str">
        <f t="shared" si="393"/>
        <v/>
      </c>
      <c r="AO130" s="366" t="str">
        <f t="shared" si="394"/>
        <v/>
      </c>
      <c r="AP130" s="366" t="str">
        <f t="shared" si="395"/>
        <v/>
      </c>
      <c r="AQ130" s="366" t="str">
        <f t="shared" si="396"/>
        <v/>
      </c>
      <c r="AR130" s="833" t="str">
        <f t="shared" si="397"/>
        <v/>
      </c>
      <c r="AT130" s="1062"/>
      <c r="AY130" s="4"/>
    </row>
    <row r="131" spans="1:51" ht="13.9" customHeight="1" x14ac:dyDescent="0.25">
      <c r="A131" s="847">
        <f>Chem!A131</f>
        <v>129</v>
      </c>
      <c r="B131" s="951" t="str">
        <f>Chem!B131</f>
        <v>4-Nitroaniline</v>
      </c>
      <c r="C131" s="946">
        <f t="shared" si="370"/>
        <v>2.7065500081810752E-2</v>
      </c>
      <c r="D131" s="463">
        <f t="shared" si="371"/>
        <v>1.7324416666666667E-3</v>
      </c>
      <c r="E131" s="634">
        <f t="shared" si="264"/>
        <v>50</v>
      </c>
      <c r="F131" s="634">
        <f t="shared" si="265"/>
        <v>50</v>
      </c>
      <c r="G131" s="634"/>
      <c r="H131" s="467">
        <f>'SL-Det'!E131</f>
        <v>50</v>
      </c>
      <c r="I131" s="231">
        <f>Leach!F131</f>
        <v>2.7065500081810752E-2</v>
      </c>
      <c r="J131" s="231" t="str">
        <f>Leach!I131</f>
        <v>na</v>
      </c>
      <c r="K131" s="231" t="str">
        <f>Leach!L131</f>
        <v>na</v>
      </c>
      <c r="L131" s="476">
        <f>Leach!G131</f>
        <v>1.7324416666666667E-3</v>
      </c>
      <c r="M131" s="476" t="str">
        <f>Leach!J131</f>
        <v>na</v>
      </c>
      <c r="N131" s="476" t="str">
        <f>Leach!M131</f>
        <v>na</v>
      </c>
      <c r="O131" s="485" t="str">
        <f>'SD-Det'!Z131</f>
        <v>na</v>
      </c>
      <c r="P131" s="494" t="str">
        <f>'SL-Det'!I131</f>
        <v>na</v>
      </c>
      <c r="Q131" s="975" t="s">
        <v>232</v>
      </c>
      <c r="S131" s="832" t="str">
        <f t="shared" si="372"/>
        <v/>
      </c>
      <c r="T131" s="366" t="str">
        <f t="shared" si="373"/>
        <v>X</v>
      </c>
      <c r="U131" s="366" t="str">
        <f t="shared" si="374"/>
        <v/>
      </c>
      <c r="V131" s="366" t="str">
        <f t="shared" si="375"/>
        <v/>
      </c>
      <c r="W131" s="366" t="str">
        <f t="shared" si="376"/>
        <v/>
      </c>
      <c r="X131" s="366" t="str">
        <f t="shared" si="377"/>
        <v/>
      </c>
      <c r="Y131" s="989" t="str">
        <f t="shared" si="378"/>
        <v/>
      </c>
      <c r="Z131" s="832" t="str">
        <f t="shared" si="379"/>
        <v/>
      </c>
      <c r="AA131" s="366" t="str">
        <f t="shared" si="380"/>
        <v>X</v>
      </c>
      <c r="AB131" s="366" t="str">
        <f t="shared" si="381"/>
        <v/>
      </c>
      <c r="AC131" s="366" t="str">
        <f t="shared" si="382"/>
        <v/>
      </c>
      <c r="AD131" s="366" t="str">
        <f t="shared" si="383"/>
        <v/>
      </c>
      <c r="AE131" s="366" t="str">
        <f t="shared" si="384"/>
        <v/>
      </c>
      <c r="AF131" s="833" t="str">
        <f t="shared" si="385"/>
        <v/>
      </c>
      <c r="AG131" s="832" t="str">
        <f t="shared" si="386"/>
        <v>X</v>
      </c>
      <c r="AH131" s="366" t="str">
        <f t="shared" si="387"/>
        <v/>
      </c>
      <c r="AI131" s="366" t="str">
        <f t="shared" si="388"/>
        <v/>
      </c>
      <c r="AJ131" s="366" t="str">
        <f t="shared" si="389"/>
        <v/>
      </c>
      <c r="AK131" s="366" t="str">
        <f t="shared" si="390"/>
        <v/>
      </c>
      <c r="AL131" s="833" t="str">
        <f t="shared" si="391"/>
        <v/>
      </c>
      <c r="AM131" s="832" t="str">
        <f t="shared" si="392"/>
        <v>X</v>
      </c>
      <c r="AN131" s="366" t="str">
        <f t="shared" si="393"/>
        <v/>
      </c>
      <c r="AO131" s="366" t="str">
        <f t="shared" si="394"/>
        <v/>
      </c>
      <c r="AP131" s="366" t="str">
        <f t="shared" si="395"/>
        <v/>
      </c>
      <c r="AQ131" s="366" t="str">
        <f t="shared" si="396"/>
        <v/>
      </c>
      <c r="AR131" s="833" t="str">
        <f t="shared" si="397"/>
        <v/>
      </c>
      <c r="AT131" s="1062"/>
      <c r="AY131" s="4"/>
    </row>
    <row r="132" spans="1:51" ht="13.9" customHeight="1" x14ac:dyDescent="0.25">
      <c r="A132" s="847">
        <f>Chem!A132</f>
        <v>130</v>
      </c>
      <c r="B132" s="951" t="str">
        <f>Chem!B132</f>
        <v>Nitrobenzene</v>
      </c>
      <c r="C132" s="946">
        <f t="shared" si="370"/>
        <v>0.10209101846847717</v>
      </c>
      <c r="D132" s="463">
        <f t="shared" si="371"/>
        <v>6.4906666666666672E-3</v>
      </c>
      <c r="E132" s="634">
        <f t="shared" si="264"/>
        <v>0.63806886542798225</v>
      </c>
      <c r="F132" s="634">
        <f t="shared" si="265"/>
        <v>4.0566666666666668E-2</v>
      </c>
      <c r="G132" s="634"/>
      <c r="H132" s="467">
        <f>'SL-Det'!E132</f>
        <v>160</v>
      </c>
      <c r="I132" s="231">
        <f>Leach!F132</f>
        <v>0.10209101846847717</v>
      </c>
      <c r="J132" s="231">
        <f>Leach!I132</f>
        <v>0.63806886542798225</v>
      </c>
      <c r="K132" s="231" t="str">
        <f>Leach!L132</f>
        <v>na</v>
      </c>
      <c r="L132" s="476">
        <f>Leach!G132</f>
        <v>6.4906666666666672E-3</v>
      </c>
      <c r="M132" s="476">
        <f>Leach!J132</f>
        <v>4.0566666666666668E-2</v>
      </c>
      <c r="N132" s="476" t="str">
        <f>Leach!M132</f>
        <v>na</v>
      </c>
      <c r="O132" s="485" t="str">
        <f>'SD-Det'!Z132</f>
        <v>na</v>
      </c>
      <c r="P132" s="494">
        <f>'SL-Det'!I132</f>
        <v>40</v>
      </c>
      <c r="Q132" s="975" t="s">
        <v>232</v>
      </c>
      <c r="S132" s="832" t="str">
        <f t="shared" si="372"/>
        <v/>
      </c>
      <c r="T132" s="366" t="str">
        <f t="shared" si="373"/>
        <v>X</v>
      </c>
      <c r="U132" s="366" t="str">
        <f t="shared" si="374"/>
        <v/>
      </c>
      <c r="V132" s="366" t="str">
        <f t="shared" si="375"/>
        <v/>
      </c>
      <c r="W132" s="366" t="str">
        <f t="shared" si="376"/>
        <v/>
      </c>
      <c r="X132" s="366" t="str">
        <f t="shared" si="377"/>
        <v/>
      </c>
      <c r="Y132" s="989" t="str">
        <f t="shared" si="378"/>
        <v/>
      </c>
      <c r="Z132" s="832" t="str">
        <f t="shared" si="379"/>
        <v/>
      </c>
      <c r="AA132" s="366" t="str">
        <f t="shared" si="380"/>
        <v>X</v>
      </c>
      <c r="AB132" s="366" t="str">
        <f t="shared" si="381"/>
        <v/>
      </c>
      <c r="AC132" s="366" t="str">
        <f t="shared" si="382"/>
        <v/>
      </c>
      <c r="AD132" s="366" t="str">
        <f t="shared" si="383"/>
        <v/>
      </c>
      <c r="AE132" s="366" t="str">
        <f t="shared" si="384"/>
        <v/>
      </c>
      <c r="AF132" s="833" t="str">
        <f t="shared" si="385"/>
        <v/>
      </c>
      <c r="AG132" s="832" t="str">
        <f t="shared" si="386"/>
        <v/>
      </c>
      <c r="AH132" s="366" t="str">
        <f t="shared" si="387"/>
        <v>X</v>
      </c>
      <c r="AI132" s="366" t="str">
        <f t="shared" si="388"/>
        <v/>
      </c>
      <c r="AJ132" s="366" t="str">
        <f t="shared" si="389"/>
        <v/>
      </c>
      <c r="AK132" s="366" t="str">
        <f t="shared" si="390"/>
        <v/>
      </c>
      <c r="AL132" s="833" t="str">
        <f t="shared" si="391"/>
        <v/>
      </c>
      <c r="AM132" s="832" t="str">
        <f t="shared" si="392"/>
        <v/>
      </c>
      <c r="AN132" s="366" t="str">
        <f t="shared" si="393"/>
        <v>X</v>
      </c>
      <c r="AO132" s="366" t="str">
        <f t="shared" si="394"/>
        <v/>
      </c>
      <c r="AP132" s="366" t="str">
        <f t="shared" si="395"/>
        <v/>
      </c>
      <c r="AQ132" s="366" t="str">
        <f t="shared" si="396"/>
        <v/>
      </c>
      <c r="AR132" s="833" t="str">
        <f t="shared" si="397"/>
        <v/>
      </c>
      <c r="AT132" s="1062"/>
      <c r="AY132" s="4"/>
    </row>
    <row r="133" spans="1:51" ht="13.9" customHeight="1" x14ac:dyDescent="0.25">
      <c r="A133" s="847">
        <f>Chem!A133</f>
        <v>131</v>
      </c>
      <c r="B133" s="951" t="str">
        <f>Chem!B133</f>
        <v>2-Nitrophenol</v>
      </c>
      <c r="C133" s="946" t="str">
        <f t="shared" si="370"/>
        <v>na</v>
      </c>
      <c r="D133" s="463" t="str">
        <f t="shared" si="371"/>
        <v>na</v>
      </c>
      <c r="E133" s="634" t="str">
        <f t="shared" si="264"/>
        <v>na</v>
      </c>
      <c r="F133" s="634" t="str">
        <f t="shared" si="265"/>
        <v>na</v>
      </c>
      <c r="G133" s="634"/>
      <c r="H133" s="467" t="str">
        <f>'SL-Det'!E133</f>
        <v>na</v>
      </c>
      <c r="I133" s="231" t="str">
        <f>Leach!F133</f>
        <v>na</v>
      </c>
      <c r="J133" s="231" t="str">
        <f>Leach!I133</f>
        <v>na</v>
      </c>
      <c r="K133" s="231" t="str">
        <f>Leach!L133</f>
        <v>na</v>
      </c>
      <c r="L133" s="476" t="str">
        <f>Leach!G133</f>
        <v>na</v>
      </c>
      <c r="M133" s="476" t="str">
        <f>Leach!J133</f>
        <v>na</v>
      </c>
      <c r="N133" s="476" t="str">
        <f>Leach!M133</f>
        <v>na</v>
      </c>
      <c r="O133" s="485" t="str">
        <f>'SD-Det'!Z133</f>
        <v>na</v>
      </c>
      <c r="P133" s="494" t="str">
        <f>'SL-Det'!I133</f>
        <v>na</v>
      </c>
      <c r="Q133" s="975" t="s">
        <v>232</v>
      </c>
      <c r="S133" s="832" t="str">
        <f t="shared" si="372"/>
        <v/>
      </c>
      <c r="T133" s="366" t="str">
        <f t="shared" si="373"/>
        <v/>
      </c>
      <c r="U133" s="366" t="str">
        <f t="shared" si="374"/>
        <v/>
      </c>
      <c r="V133" s="366" t="str">
        <f t="shared" si="375"/>
        <v/>
      </c>
      <c r="W133" s="366" t="str">
        <f t="shared" si="376"/>
        <v/>
      </c>
      <c r="X133" s="366" t="str">
        <f t="shared" si="377"/>
        <v/>
      </c>
      <c r="Y133" s="989" t="str">
        <f t="shared" si="378"/>
        <v/>
      </c>
      <c r="Z133" s="832" t="str">
        <f t="shared" si="379"/>
        <v/>
      </c>
      <c r="AA133" s="366" t="str">
        <f t="shared" si="380"/>
        <v/>
      </c>
      <c r="AB133" s="366" t="str">
        <f t="shared" si="381"/>
        <v/>
      </c>
      <c r="AC133" s="366" t="str">
        <f t="shared" si="382"/>
        <v/>
      </c>
      <c r="AD133" s="366" t="str">
        <f t="shared" si="383"/>
        <v/>
      </c>
      <c r="AE133" s="366" t="str">
        <f t="shared" si="384"/>
        <v/>
      </c>
      <c r="AF133" s="833" t="str">
        <f t="shared" si="385"/>
        <v/>
      </c>
      <c r="AG133" s="832" t="str">
        <f t="shared" si="386"/>
        <v/>
      </c>
      <c r="AH133" s="366" t="str">
        <f t="shared" si="387"/>
        <v/>
      </c>
      <c r="AI133" s="366" t="str">
        <f t="shared" si="388"/>
        <v/>
      </c>
      <c r="AJ133" s="366" t="str">
        <f t="shared" si="389"/>
        <v/>
      </c>
      <c r="AK133" s="366" t="str">
        <f t="shared" si="390"/>
        <v/>
      </c>
      <c r="AL133" s="833" t="str">
        <f t="shared" si="391"/>
        <v/>
      </c>
      <c r="AM133" s="832" t="str">
        <f t="shared" si="392"/>
        <v/>
      </c>
      <c r="AN133" s="366" t="str">
        <f t="shared" si="393"/>
        <v/>
      </c>
      <c r="AO133" s="366" t="str">
        <f t="shared" si="394"/>
        <v/>
      </c>
      <c r="AP133" s="366" t="str">
        <f t="shared" si="395"/>
        <v/>
      </c>
      <c r="AQ133" s="366" t="str">
        <f t="shared" si="396"/>
        <v/>
      </c>
      <c r="AR133" s="833" t="str">
        <f t="shared" si="397"/>
        <v/>
      </c>
      <c r="AT133" s="1062"/>
      <c r="AY133" s="4"/>
    </row>
    <row r="134" spans="1:51" ht="13.9" customHeight="1" x14ac:dyDescent="0.25">
      <c r="A134" s="847">
        <f>Chem!A134</f>
        <v>132</v>
      </c>
      <c r="B134" s="951" t="str">
        <f>Chem!B134</f>
        <v>4-Nitrophenol</v>
      </c>
      <c r="C134" s="946">
        <f t="shared" si="370"/>
        <v>7</v>
      </c>
      <c r="D134" s="463">
        <f t="shared" si="371"/>
        <v>7</v>
      </c>
      <c r="E134" s="634">
        <f t="shared" si="264"/>
        <v>7</v>
      </c>
      <c r="F134" s="634">
        <f t="shared" si="265"/>
        <v>7</v>
      </c>
      <c r="G134" s="634"/>
      <c r="H134" s="467" t="str">
        <f>'SL-Det'!E134</f>
        <v>na</v>
      </c>
      <c r="I134" s="231" t="str">
        <f>Leach!F134</f>
        <v>na</v>
      </c>
      <c r="J134" s="231" t="str">
        <f>Leach!I134</f>
        <v>na</v>
      </c>
      <c r="K134" s="231" t="str">
        <f>Leach!L134</f>
        <v>na</v>
      </c>
      <c r="L134" s="476" t="str">
        <f>Leach!G134</f>
        <v>na</v>
      </c>
      <c r="M134" s="476" t="str">
        <f>Leach!J134</f>
        <v>na</v>
      </c>
      <c r="N134" s="476" t="str">
        <f>Leach!M134</f>
        <v>na</v>
      </c>
      <c r="O134" s="485" t="str">
        <f>'SD-Det'!Z134</f>
        <v>na</v>
      </c>
      <c r="P134" s="494">
        <f>'SL-Det'!I134</f>
        <v>7</v>
      </c>
      <c r="Q134" s="975" t="s">
        <v>232</v>
      </c>
      <c r="S134" s="832" t="str">
        <f t="shared" si="372"/>
        <v/>
      </c>
      <c r="T134" s="366" t="str">
        <f t="shared" si="373"/>
        <v/>
      </c>
      <c r="U134" s="366" t="str">
        <f t="shared" si="374"/>
        <v/>
      </c>
      <c r="V134" s="366" t="str">
        <f t="shared" si="375"/>
        <v/>
      </c>
      <c r="W134" s="366" t="str">
        <f t="shared" si="376"/>
        <v/>
      </c>
      <c r="X134" s="366" t="str">
        <f t="shared" si="377"/>
        <v>X</v>
      </c>
      <c r="Y134" s="989" t="str">
        <f t="shared" si="378"/>
        <v/>
      </c>
      <c r="Z134" s="832" t="str">
        <f t="shared" si="379"/>
        <v/>
      </c>
      <c r="AA134" s="366" t="str">
        <f t="shared" si="380"/>
        <v/>
      </c>
      <c r="AB134" s="366" t="str">
        <f t="shared" si="381"/>
        <v/>
      </c>
      <c r="AC134" s="366" t="str">
        <f t="shared" si="382"/>
        <v/>
      </c>
      <c r="AD134" s="366" t="str">
        <f t="shared" si="383"/>
        <v/>
      </c>
      <c r="AE134" s="366" t="str">
        <f t="shared" si="384"/>
        <v>X</v>
      </c>
      <c r="AF134" s="833" t="str">
        <f t="shared" si="385"/>
        <v/>
      </c>
      <c r="AG134" s="832" t="str">
        <f t="shared" si="386"/>
        <v/>
      </c>
      <c r="AH134" s="366" t="str">
        <f t="shared" si="387"/>
        <v/>
      </c>
      <c r="AI134" s="366" t="str">
        <f t="shared" si="388"/>
        <v/>
      </c>
      <c r="AJ134" s="366" t="str">
        <f t="shared" si="389"/>
        <v/>
      </c>
      <c r="AK134" s="366" t="str">
        <f t="shared" si="390"/>
        <v>X</v>
      </c>
      <c r="AL134" s="833" t="str">
        <f t="shared" si="391"/>
        <v/>
      </c>
      <c r="AM134" s="832" t="str">
        <f t="shared" si="392"/>
        <v/>
      </c>
      <c r="AN134" s="366" t="str">
        <f t="shared" si="393"/>
        <v/>
      </c>
      <c r="AO134" s="366" t="str">
        <f t="shared" si="394"/>
        <v/>
      </c>
      <c r="AP134" s="366" t="str">
        <f t="shared" si="395"/>
        <v/>
      </c>
      <c r="AQ134" s="366" t="str">
        <f t="shared" si="396"/>
        <v>X</v>
      </c>
      <c r="AR134" s="833" t="str">
        <f t="shared" si="397"/>
        <v/>
      </c>
      <c r="AT134" s="1062"/>
      <c r="AY134" s="4"/>
    </row>
    <row r="135" spans="1:51" ht="13.9" customHeight="1" x14ac:dyDescent="0.25">
      <c r="A135" s="847">
        <f>Chem!A135</f>
        <v>133</v>
      </c>
      <c r="B135" s="951" t="str">
        <f>Chem!B135</f>
        <v>n-Nitrosodimethylamine</v>
      </c>
      <c r="C135" s="946">
        <f t="shared" si="370"/>
        <v>1.0248945538256781E-6</v>
      </c>
      <c r="D135" s="463">
        <f t="shared" si="371"/>
        <v>7.1177333333333345E-8</v>
      </c>
      <c r="E135" s="634">
        <f t="shared" si="264"/>
        <v>1.5150615143510026E-3</v>
      </c>
      <c r="F135" s="634">
        <f t="shared" si="265"/>
        <v>1.0521866666666668E-4</v>
      </c>
      <c r="G135" s="634"/>
      <c r="H135" s="467">
        <f>'SL-Det'!E135</f>
        <v>3.7000000000000002E-3</v>
      </c>
      <c r="I135" s="231">
        <f>Leach!F135</f>
        <v>1.0248945538256781E-6</v>
      </c>
      <c r="J135" s="231">
        <f>Leach!I135</f>
        <v>1.5150615143510026E-3</v>
      </c>
      <c r="K135" s="231" t="str">
        <f>Leach!L135</f>
        <v>na</v>
      </c>
      <c r="L135" s="476">
        <f>Leach!G135</f>
        <v>7.1177333333333345E-8</v>
      </c>
      <c r="M135" s="476">
        <f>Leach!J135</f>
        <v>1.0521866666666668E-4</v>
      </c>
      <c r="N135" s="476" t="str">
        <f>Leach!M135</f>
        <v>na</v>
      </c>
      <c r="O135" s="485" t="str">
        <f>'SD-Det'!Z135</f>
        <v>na</v>
      </c>
      <c r="P135" s="494" t="str">
        <f>'SL-Det'!I135</f>
        <v>na</v>
      </c>
      <c r="Q135" s="975" t="s">
        <v>232</v>
      </c>
      <c r="S135" s="832" t="str">
        <f t="shared" si="372"/>
        <v/>
      </c>
      <c r="T135" s="366" t="str">
        <f t="shared" si="373"/>
        <v>X</v>
      </c>
      <c r="U135" s="366" t="str">
        <f t="shared" si="374"/>
        <v/>
      </c>
      <c r="V135" s="366" t="str">
        <f t="shared" si="375"/>
        <v/>
      </c>
      <c r="W135" s="366" t="str">
        <f t="shared" si="376"/>
        <v/>
      </c>
      <c r="X135" s="366" t="str">
        <f t="shared" si="377"/>
        <v/>
      </c>
      <c r="Y135" s="989" t="str">
        <f t="shared" si="378"/>
        <v/>
      </c>
      <c r="Z135" s="832" t="str">
        <f t="shared" si="379"/>
        <v/>
      </c>
      <c r="AA135" s="366" t="str">
        <f t="shared" si="380"/>
        <v>X</v>
      </c>
      <c r="AB135" s="366" t="str">
        <f t="shared" si="381"/>
        <v/>
      </c>
      <c r="AC135" s="366" t="str">
        <f t="shared" si="382"/>
        <v/>
      </c>
      <c r="AD135" s="366" t="str">
        <f t="shared" si="383"/>
        <v/>
      </c>
      <c r="AE135" s="366" t="str">
        <f t="shared" si="384"/>
        <v/>
      </c>
      <c r="AF135" s="833" t="str">
        <f t="shared" si="385"/>
        <v/>
      </c>
      <c r="AG135" s="832" t="str">
        <f t="shared" si="386"/>
        <v/>
      </c>
      <c r="AH135" s="366" t="str">
        <f t="shared" si="387"/>
        <v>X</v>
      </c>
      <c r="AI135" s="366" t="str">
        <f t="shared" si="388"/>
        <v/>
      </c>
      <c r="AJ135" s="366" t="str">
        <f t="shared" si="389"/>
        <v/>
      </c>
      <c r="AK135" s="366" t="str">
        <f t="shared" si="390"/>
        <v/>
      </c>
      <c r="AL135" s="833" t="str">
        <f t="shared" si="391"/>
        <v/>
      </c>
      <c r="AM135" s="832" t="str">
        <f t="shared" si="392"/>
        <v/>
      </c>
      <c r="AN135" s="366" t="str">
        <f t="shared" si="393"/>
        <v>X</v>
      </c>
      <c r="AO135" s="366" t="str">
        <f t="shared" si="394"/>
        <v/>
      </c>
      <c r="AP135" s="366" t="str">
        <f t="shared" si="395"/>
        <v/>
      </c>
      <c r="AQ135" s="366" t="str">
        <f t="shared" si="396"/>
        <v/>
      </c>
      <c r="AR135" s="833" t="str">
        <f t="shared" si="397"/>
        <v/>
      </c>
      <c r="AT135" s="1062"/>
      <c r="AY135" s="4"/>
    </row>
    <row r="136" spans="1:51" ht="13.9" customHeight="1" x14ac:dyDescent="0.25">
      <c r="A136" s="847">
        <f>Chem!A136</f>
        <v>134</v>
      </c>
      <c r="B136" s="951" t="str">
        <f>Chem!B136</f>
        <v>n-Nitrosodiphenylamine</v>
      </c>
      <c r="C136" s="946">
        <f t="shared" si="370"/>
        <v>2.8000000000000001E-2</v>
      </c>
      <c r="D136" s="463">
        <f t="shared" si="371"/>
        <v>1.6148292894751129E-3</v>
      </c>
      <c r="E136" s="634">
        <f t="shared" si="264"/>
        <v>2.8000000000000001E-2</v>
      </c>
      <c r="F136" s="634">
        <f t="shared" si="265"/>
        <v>1.6148292894751129E-3</v>
      </c>
      <c r="G136" s="634"/>
      <c r="H136" s="467">
        <f>'SL-Det'!E136</f>
        <v>204.08163265306123</v>
      </c>
      <c r="I136" s="231">
        <f>Leach!F136</f>
        <v>1.0107158168827628</v>
      </c>
      <c r="J136" s="231">
        <f>Leach!I136</f>
        <v>3.9054059164349959E-2</v>
      </c>
      <c r="K136" s="231">
        <f>Leach!L136</f>
        <v>3.1336963285210573E-2</v>
      </c>
      <c r="L136" s="476">
        <f>Leach!G136</f>
        <v>5.2083333333333329E-2</v>
      </c>
      <c r="M136" s="476">
        <f>Leach!J136</f>
        <v>2.0125E-3</v>
      </c>
      <c r="N136" s="476">
        <f>Leach!M136</f>
        <v>1.6148292894751129E-3</v>
      </c>
      <c r="O136" s="485">
        <f>'SD-Det'!Z136</f>
        <v>2.8000000000000001E-2</v>
      </c>
      <c r="P136" s="494">
        <f>'SL-Det'!I136</f>
        <v>20</v>
      </c>
      <c r="Q136" s="975" t="s">
        <v>232</v>
      </c>
      <c r="S136" s="832" t="str">
        <f t="shared" si="372"/>
        <v/>
      </c>
      <c r="T136" s="366" t="str">
        <f t="shared" si="373"/>
        <v/>
      </c>
      <c r="U136" s="366" t="str">
        <f t="shared" si="374"/>
        <v/>
      </c>
      <c r="V136" s="366" t="str">
        <f t="shared" si="375"/>
        <v/>
      </c>
      <c r="W136" s="366" t="str">
        <f t="shared" si="376"/>
        <v>X</v>
      </c>
      <c r="X136" s="366" t="str">
        <f t="shared" si="377"/>
        <v/>
      </c>
      <c r="Y136" s="989" t="str">
        <f t="shared" si="378"/>
        <v/>
      </c>
      <c r="Z136" s="832" t="str">
        <f t="shared" si="379"/>
        <v/>
      </c>
      <c r="AA136" s="366" t="str">
        <f t="shared" si="380"/>
        <v/>
      </c>
      <c r="AB136" s="366" t="str">
        <f t="shared" si="381"/>
        <v/>
      </c>
      <c r="AC136" s="366" t="str">
        <f t="shared" si="382"/>
        <v>X</v>
      </c>
      <c r="AD136" s="366" t="str">
        <f t="shared" si="383"/>
        <v/>
      </c>
      <c r="AE136" s="366" t="str">
        <f t="shared" si="384"/>
        <v/>
      </c>
      <c r="AF136" s="833" t="str">
        <f t="shared" si="385"/>
        <v/>
      </c>
      <c r="AG136" s="832" t="str">
        <f t="shared" si="386"/>
        <v/>
      </c>
      <c r="AH136" s="366" t="str">
        <f t="shared" si="387"/>
        <v/>
      </c>
      <c r="AI136" s="366" t="str">
        <f t="shared" si="388"/>
        <v/>
      </c>
      <c r="AJ136" s="366" t="str">
        <f t="shared" si="389"/>
        <v>X</v>
      </c>
      <c r="AK136" s="366" t="str">
        <f t="shared" si="390"/>
        <v/>
      </c>
      <c r="AL136" s="833" t="str">
        <f t="shared" si="391"/>
        <v/>
      </c>
      <c r="AM136" s="832" t="str">
        <f t="shared" si="392"/>
        <v/>
      </c>
      <c r="AN136" s="366" t="str">
        <f t="shared" si="393"/>
        <v/>
      </c>
      <c r="AO136" s="366" t="str">
        <f t="shared" si="394"/>
        <v>X</v>
      </c>
      <c r="AP136" s="366" t="str">
        <f t="shared" si="395"/>
        <v/>
      </c>
      <c r="AQ136" s="366" t="str">
        <f t="shared" si="396"/>
        <v/>
      </c>
      <c r="AR136" s="833" t="str">
        <f t="shared" si="397"/>
        <v/>
      </c>
      <c r="AT136" s="1062"/>
      <c r="AY136" s="4"/>
    </row>
    <row r="137" spans="1:51" ht="13.9" customHeight="1" x14ac:dyDescent="0.25">
      <c r="A137" s="847">
        <f>Chem!A137</f>
        <v>135</v>
      </c>
      <c r="B137" s="951" t="str">
        <f>Chem!B137</f>
        <v>n-Nitrosodi-n-propylamine</v>
      </c>
      <c r="C137" s="946">
        <f t="shared" si="370"/>
        <v>1.187547656037067E-4</v>
      </c>
      <c r="D137" s="463">
        <f t="shared" si="371"/>
        <v>7.0208333333333332E-6</v>
      </c>
      <c r="E137" s="634">
        <f t="shared" si="264"/>
        <v>5.5102211240119921E-4</v>
      </c>
      <c r="F137" s="634">
        <f t="shared" si="265"/>
        <v>3.2576666666666676E-5</v>
      </c>
      <c r="G137" s="634"/>
      <c r="H137" s="467">
        <f>'SL-Det'!E137</f>
        <v>0.14285714285714285</v>
      </c>
      <c r="I137" s="231">
        <f>Leach!F137</f>
        <v>1.187547656037067E-4</v>
      </c>
      <c r="J137" s="231">
        <f>Leach!I137</f>
        <v>5.5102211240119921E-4</v>
      </c>
      <c r="K137" s="231" t="str">
        <f>Leach!L137</f>
        <v>na</v>
      </c>
      <c r="L137" s="476">
        <f>Leach!G137</f>
        <v>7.0208333333333332E-6</v>
      </c>
      <c r="M137" s="476">
        <f>Leach!J137</f>
        <v>3.2576666666666676E-5</v>
      </c>
      <c r="N137" s="476" t="str">
        <f>Leach!M137</f>
        <v>na</v>
      </c>
      <c r="O137" s="485" t="str">
        <f>'SD-Det'!Z137</f>
        <v>na</v>
      </c>
      <c r="P137" s="494" t="str">
        <f>'SL-Det'!I137</f>
        <v>na</v>
      </c>
      <c r="Q137" s="975" t="s">
        <v>232</v>
      </c>
      <c r="S137" s="832" t="str">
        <f t="shared" si="372"/>
        <v/>
      </c>
      <c r="T137" s="366" t="str">
        <f t="shared" si="373"/>
        <v>X</v>
      </c>
      <c r="U137" s="366" t="str">
        <f t="shared" si="374"/>
        <v/>
      </c>
      <c r="V137" s="366" t="str">
        <f t="shared" si="375"/>
        <v/>
      </c>
      <c r="W137" s="366" t="str">
        <f t="shared" si="376"/>
        <v/>
      </c>
      <c r="X137" s="366" t="str">
        <f t="shared" si="377"/>
        <v/>
      </c>
      <c r="Y137" s="989" t="str">
        <f t="shared" si="378"/>
        <v/>
      </c>
      <c r="Z137" s="832" t="str">
        <f t="shared" si="379"/>
        <v/>
      </c>
      <c r="AA137" s="366" t="str">
        <f t="shared" si="380"/>
        <v>X</v>
      </c>
      <c r="AB137" s="366" t="str">
        <f t="shared" si="381"/>
        <v/>
      </c>
      <c r="AC137" s="366" t="str">
        <f t="shared" si="382"/>
        <v/>
      </c>
      <c r="AD137" s="366" t="str">
        <f t="shared" si="383"/>
        <v/>
      </c>
      <c r="AE137" s="366" t="str">
        <f t="shared" si="384"/>
        <v/>
      </c>
      <c r="AF137" s="833" t="str">
        <f t="shared" si="385"/>
        <v/>
      </c>
      <c r="AG137" s="832" t="str">
        <f t="shared" si="386"/>
        <v/>
      </c>
      <c r="AH137" s="366" t="str">
        <f t="shared" si="387"/>
        <v>X</v>
      </c>
      <c r="AI137" s="366" t="str">
        <f t="shared" si="388"/>
        <v/>
      </c>
      <c r="AJ137" s="366" t="str">
        <f t="shared" si="389"/>
        <v/>
      </c>
      <c r="AK137" s="366" t="str">
        <f t="shared" si="390"/>
        <v/>
      </c>
      <c r="AL137" s="833" t="str">
        <f t="shared" si="391"/>
        <v/>
      </c>
      <c r="AM137" s="832" t="str">
        <f t="shared" si="392"/>
        <v/>
      </c>
      <c r="AN137" s="366" t="str">
        <f t="shared" si="393"/>
        <v>X</v>
      </c>
      <c r="AO137" s="366" t="str">
        <f t="shared" si="394"/>
        <v/>
      </c>
      <c r="AP137" s="366" t="str">
        <f t="shared" si="395"/>
        <v/>
      </c>
      <c r="AQ137" s="366" t="str">
        <f t="shared" si="396"/>
        <v/>
      </c>
      <c r="AR137" s="833" t="str">
        <f t="shared" si="397"/>
        <v/>
      </c>
      <c r="AT137" s="1062"/>
      <c r="AY137" s="4"/>
    </row>
    <row r="138" spans="1:51" ht="13.9" customHeight="1" x14ac:dyDescent="0.25">
      <c r="A138" s="847">
        <f>Chem!A138</f>
        <v>136</v>
      </c>
      <c r="B138" s="951" t="str">
        <f>Chem!B138</f>
        <v>Pentachlorophenol</v>
      </c>
      <c r="C138" s="946">
        <f t="shared" si="370"/>
        <v>3.168000347233579E-5</v>
      </c>
      <c r="D138" s="463">
        <f t="shared" si="371"/>
        <v>1.7573333333333333E-6</v>
      </c>
      <c r="E138" s="634">
        <f t="shared" si="264"/>
        <v>3.168000347233579E-5</v>
      </c>
      <c r="F138" s="634">
        <f t="shared" si="265"/>
        <v>1.7573333333333333E-6</v>
      </c>
      <c r="G138" s="634"/>
      <c r="H138" s="467">
        <f>'SL-Det'!E138</f>
        <v>2.5</v>
      </c>
      <c r="I138" s="231">
        <f>Leach!F138</f>
        <v>1.5840001736167893E-2</v>
      </c>
      <c r="J138" s="231">
        <f>Leach!I138</f>
        <v>3.168000347233579E-5</v>
      </c>
      <c r="K138" s="231">
        <f>Leach!L138</f>
        <v>0.66999166300654089</v>
      </c>
      <c r="L138" s="476">
        <f>Leach!G138</f>
        <v>8.786666666666667E-4</v>
      </c>
      <c r="M138" s="476">
        <f>Leach!J138</f>
        <v>1.7573333333333333E-6</v>
      </c>
      <c r="N138" s="476">
        <f>Leach!M138</f>
        <v>3.7165358377721718E-2</v>
      </c>
      <c r="O138" s="485">
        <f>'SD-Det'!Z138</f>
        <v>0.35499999999999998</v>
      </c>
      <c r="P138" s="494">
        <f>'SL-Det'!I138</f>
        <v>3</v>
      </c>
      <c r="Q138" s="975" t="s">
        <v>232</v>
      </c>
      <c r="S138" s="832" t="str">
        <f t="shared" ref="S138" si="424">IF($C138="na","",IF($C138=H138,"X",""))</f>
        <v/>
      </c>
      <c r="T138" s="366" t="str">
        <f t="shared" ref="T138" si="425">IF($C138="na","",IF($C138=I138,"X",""))</f>
        <v/>
      </c>
      <c r="U138" s="366" t="str">
        <f t="shared" ref="U138" si="426">IF($C138="na","",IF($C138=J138,"X",""))</f>
        <v>X</v>
      </c>
      <c r="V138" s="366" t="str">
        <f t="shared" ref="V138" si="427">IF($C138="na","",IF($C138=K138,"X",""))</f>
        <v/>
      </c>
      <c r="W138" s="366" t="str">
        <f t="shared" ref="W138" si="428">IF($C138="na","",IF($C138=O138,"X",""))</f>
        <v/>
      </c>
      <c r="X138" s="366" t="str">
        <f t="shared" ref="X138" si="429">IF($C138="na","",IF($C138=P138,"X",""))</f>
        <v/>
      </c>
      <c r="Y138" s="989" t="str">
        <f t="shared" ref="Y138" si="430">IF($C138="na","",IF($C138=Q138,"X",""))</f>
        <v/>
      </c>
      <c r="Z138" s="832" t="str">
        <f t="shared" ref="Z138" si="431">IF($D138="na","",IF($D138=H138,"X",""))</f>
        <v/>
      </c>
      <c r="AA138" s="366" t="str">
        <f t="shared" ref="AA138" si="432">IF($D138="na","",IF($D138=L138,"X",""))</f>
        <v/>
      </c>
      <c r="AB138" s="366" t="str">
        <f t="shared" ref="AB138" si="433">IF($D138="na","",IF($D138=M138,"X",""))</f>
        <v>X</v>
      </c>
      <c r="AC138" s="366" t="str">
        <f t="shared" ref="AC138" si="434">IF($D138="na","",IF($D138=N138,"X",""))</f>
        <v/>
      </c>
      <c r="AD138" s="366" t="str">
        <f t="shared" ref="AD138" si="435">IF($D138="na","",IF($D138=O138,"X",""))</f>
        <v/>
      </c>
      <c r="AE138" s="366" t="str">
        <f t="shared" ref="AE138" si="436">IF($D138="na","",IF($D138=P138,"X",""))</f>
        <v/>
      </c>
      <c r="AF138" s="833" t="str">
        <f t="shared" ref="AF138" si="437">IF($D138="na","",IF($D138=Q138,"X",""))</f>
        <v/>
      </c>
      <c r="AG138" s="832" t="str">
        <f t="shared" ref="AG138" si="438">IF($E138="na","",IF($E138=H138,"X",""))</f>
        <v/>
      </c>
      <c r="AH138" s="366" t="str">
        <f t="shared" ref="AH138" si="439">IF($E138="na","",IF($E138=J138,"X",""))</f>
        <v>X</v>
      </c>
      <c r="AI138" s="366" t="str">
        <f t="shared" ref="AI138" si="440">IF($E138="na","",IF($E138=K138,"X",""))</f>
        <v/>
      </c>
      <c r="AJ138" s="366" t="str">
        <f t="shared" ref="AJ138" si="441">IF($E138="na","",IF($E138=O138,"X",""))</f>
        <v/>
      </c>
      <c r="AK138" s="366" t="str">
        <f t="shared" ref="AK138" si="442">IF($E138="na","",IF($E138=P138,"X",""))</f>
        <v/>
      </c>
      <c r="AL138" s="833" t="str">
        <f t="shared" ref="AL138" si="443">IF($E138="na","",IF($E138=Q138,"X",""))</f>
        <v/>
      </c>
      <c r="AM138" s="832" t="str">
        <f t="shared" ref="AM138" si="444">IF($F138="na","",IF($F138=H138,"X",""))</f>
        <v/>
      </c>
      <c r="AN138" s="366" t="str">
        <f t="shared" ref="AN138" si="445">IF($F138="na","",IF($F138=M138,"X",""))</f>
        <v>X</v>
      </c>
      <c r="AO138" s="366" t="str">
        <f t="shared" ref="AO138" si="446">IF($F138="na","",IF($F138=N138,"X",""))</f>
        <v/>
      </c>
      <c r="AP138" s="366" t="str">
        <f t="shared" ref="AP138" si="447">IF($F138="na","",IF($F138=O138,"X",""))</f>
        <v/>
      </c>
      <c r="AQ138" s="366" t="str">
        <f t="shared" ref="AQ138" si="448">IF($F138="na","",IF($F138=P138,"X",""))</f>
        <v/>
      </c>
      <c r="AR138" s="833" t="str">
        <f t="shared" ref="AR138" si="449">IF($F138="na","",IF($F138=Q138,"X",""))</f>
        <v/>
      </c>
      <c r="AT138" s="1062"/>
      <c r="AY138" s="4"/>
    </row>
    <row r="139" spans="1:51" ht="13.9" customHeight="1" x14ac:dyDescent="0.25">
      <c r="A139" s="847">
        <f>Chem!A139</f>
        <v>137</v>
      </c>
      <c r="B139" s="951" t="str">
        <f>Chem!B139</f>
        <v>Phenol</v>
      </c>
      <c r="C139" s="946">
        <f t="shared" si="370"/>
        <v>0.42</v>
      </c>
      <c r="D139" s="463">
        <f t="shared" si="371"/>
        <v>4.7868819974239578E-2</v>
      </c>
      <c r="E139" s="634">
        <f t="shared" si="264"/>
        <v>0.42</v>
      </c>
      <c r="F139" s="634">
        <f t="shared" si="265"/>
        <v>4.7868819974239578E-2</v>
      </c>
      <c r="G139" s="634"/>
      <c r="H139" s="467">
        <f>'SL-Det'!E139</f>
        <v>24000</v>
      </c>
      <c r="I139" s="231">
        <f>Leach!F139</f>
        <v>37.152046013628507</v>
      </c>
      <c r="J139" s="231">
        <f>Leach!I139</f>
        <v>541.80067103208239</v>
      </c>
      <c r="K139" s="231">
        <f>Leach!L139</f>
        <v>0.78220645773269171</v>
      </c>
      <c r="L139" s="476">
        <f>Leach!G139</f>
        <v>2.2736000000000001</v>
      </c>
      <c r="M139" s="476">
        <f>Leach!J139</f>
        <v>33.156666666666666</v>
      </c>
      <c r="N139" s="476">
        <f>Leach!M139</f>
        <v>4.7868819974239578E-2</v>
      </c>
      <c r="O139" s="485">
        <f>'SD-Det'!Z139</f>
        <v>0.42</v>
      </c>
      <c r="P139" s="494">
        <f>'SL-Det'!I139</f>
        <v>30</v>
      </c>
      <c r="Q139" s="975" t="s">
        <v>232</v>
      </c>
      <c r="S139" s="832" t="str">
        <f t="shared" si="372"/>
        <v/>
      </c>
      <c r="T139" s="366" t="str">
        <f t="shared" si="373"/>
        <v/>
      </c>
      <c r="U139" s="366" t="str">
        <f t="shared" si="374"/>
        <v/>
      </c>
      <c r="V139" s="366" t="str">
        <f t="shared" si="375"/>
        <v/>
      </c>
      <c r="W139" s="366" t="str">
        <f t="shared" si="376"/>
        <v>X</v>
      </c>
      <c r="X139" s="366" t="str">
        <f t="shared" si="377"/>
        <v/>
      </c>
      <c r="Y139" s="989" t="str">
        <f t="shared" si="378"/>
        <v/>
      </c>
      <c r="Z139" s="832" t="str">
        <f t="shared" si="379"/>
        <v/>
      </c>
      <c r="AA139" s="366" t="str">
        <f t="shared" si="380"/>
        <v/>
      </c>
      <c r="AB139" s="366" t="str">
        <f t="shared" si="381"/>
        <v/>
      </c>
      <c r="AC139" s="366" t="str">
        <f t="shared" si="382"/>
        <v>X</v>
      </c>
      <c r="AD139" s="366" t="str">
        <f t="shared" si="383"/>
        <v/>
      </c>
      <c r="AE139" s="366" t="str">
        <f t="shared" si="384"/>
        <v/>
      </c>
      <c r="AF139" s="833" t="str">
        <f t="shared" si="385"/>
        <v/>
      </c>
      <c r="AG139" s="832" t="str">
        <f t="shared" si="386"/>
        <v/>
      </c>
      <c r="AH139" s="366" t="str">
        <f t="shared" si="387"/>
        <v/>
      </c>
      <c r="AI139" s="366" t="str">
        <f t="shared" si="388"/>
        <v/>
      </c>
      <c r="AJ139" s="366" t="str">
        <f t="shared" si="389"/>
        <v>X</v>
      </c>
      <c r="AK139" s="366" t="str">
        <f t="shared" si="390"/>
        <v/>
      </c>
      <c r="AL139" s="833" t="str">
        <f t="shared" si="391"/>
        <v/>
      </c>
      <c r="AM139" s="832" t="str">
        <f t="shared" si="392"/>
        <v/>
      </c>
      <c r="AN139" s="366" t="str">
        <f t="shared" si="393"/>
        <v/>
      </c>
      <c r="AO139" s="366" t="str">
        <f t="shared" si="394"/>
        <v>X</v>
      </c>
      <c r="AP139" s="366" t="str">
        <f t="shared" si="395"/>
        <v/>
      </c>
      <c r="AQ139" s="366" t="str">
        <f t="shared" si="396"/>
        <v/>
      </c>
      <c r="AR139" s="833" t="str">
        <f t="shared" si="397"/>
        <v/>
      </c>
      <c r="AT139" s="1062"/>
      <c r="AY139" s="4"/>
    </row>
    <row r="140" spans="1:51" ht="13.9" customHeight="1" x14ac:dyDescent="0.25">
      <c r="A140" s="847">
        <f>Chem!A140</f>
        <v>138</v>
      </c>
      <c r="B140" s="951" t="str">
        <f>Chem!B140</f>
        <v>Pyridine</v>
      </c>
      <c r="C140" s="946">
        <f t="shared" si="370"/>
        <v>4.3475308308394585E-2</v>
      </c>
      <c r="D140" s="463">
        <f t="shared" si="371"/>
        <v>2.8669333333333335E-3</v>
      </c>
      <c r="E140" s="634">
        <f t="shared" si="264"/>
        <v>80</v>
      </c>
      <c r="F140" s="634">
        <f t="shared" si="265"/>
        <v>80</v>
      </c>
      <c r="G140" s="634"/>
      <c r="H140" s="467">
        <f>'SL-Det'!E140</f>
        <v>80</v>
      </c>
      <c r="I140" s="231">
        <f>Leach!F140</f>
        <v>4.3475308308394585E-2</v>
      </c>
      <c r="J140" s="231" t="str">
        <f>Leach!I140</f>
        <v>na</v>
      </c>
      <c r="K140" s="231" t="str">
        <f>Leach!L140</f>
        <v>na</v>
      </c>
      <c r="L140" s="476">
        <f>Leach!G140</f>
        <v>2.8669333333333335E-3</v>
      </c>
      <c r="M140" s="476" t="str">
        <f>Leach!J140</f>
        <v>na</v>
      </c>
      <c r="N140" s="476" t="str">
        <f>Leach!M140</f>
        <v>na</v>
      </c>
      <c r="O140" s="485" t="str">
        <f>'SD-Det'!Z140</f>
        <v>na</v>
      </c>
      <c r="P140" s="494" t="str">
        <f>'SL-Det'!I140</f>
        <v>na</v>
      </c>
      <c r="Q140" s="975" t="s">
        <v>232</v>
      </c>
      <c r="S140" s="832" t="str">
        <f t="shared" si="372"/>
        <v/>
      </c>
      <c r="T140" s="366" t="str">
        <f t="shared" si="373"/>
        <v>X</v>
      </c>
      <c r="U140" s="366" t="str">
        <f t="shared" si="374"/>
        <v/>
      </c>
      <c r="V140" s="366" t="str">
        <f t="shared" si="375"/>
        <v/>
      </c>
      <c r="W140" s="366" t="str">
        <f t="shared" si="376"/>
        <v/>
      </c>
      <c r="X140" s="366" t="str">
        <f t="shared" si="377"/>
        <v/>
      </c>
      <c r="Y140" s="989" t="str">
        <f t="shared" si="378"/>
        <v/>
      </c>
      <c r="Z140" s="832" t="str">
        <f t="shared" si="379"/>
        <v/>
      </c>
      <c r="AA140" s="366" t="str">
        <f t="shared" si="380"/>
        <v>X</v>
      </c>
      <c r="AB140" s="366" t="str">
        <f t="shared" si="381"/>
        <v/>
      </c>
      <c r="AC140" s="366" t="str">
        <f t="shared" si="382"/>
        <v/>
      </c>
      <c r="AD140" s="366" t="str">
        <f t="shared" si="383"/>
        <v/>
      </c>
      <c r="AE140" s="366" t="str">
        <f t="shared" si="384"/>
        <v/>
      </c>
      <c r="AF140" s="833" t="str">
        <f t="shared" si="385"/>
        <v/>
      </c>
      <c r="AG140" s="832" t="str">
        <f t="shared" si="386"/>
        <v>X</v>
      </c>
      <c r="AH140" s="366" t="str">
        <f t="shared" si="387"/>
        <v/>
      </c>
      <c r="AI140" s="366" t="str">
        <f t="shared" si="388"/>
        <v/>
      </c>
      <c r="AJ140" s="366" t="str">
        <f t="shared" si="389"/>
        <v/>
      </c>
      <c r="AK140" s="366" t="str">
        <f t="shared" si="390"/>
        <v/>
      </c>
      <c r="AL140" s="833" t="str">
        <f t="shared" si="391"/>
        <v/>
      </c>
      <c r="AM140" s="832" t="str">
        <f t="shared" si="392"/>
        <v>X</v>
      </c>
      <c r="AN140" s="366" t="str">
        <f t="shared" si="393"/>
        <v/>
      </c>
      <c r="AO140" s="366" t="str">
        <f t="shared" si="394"/>
        <v/>
      </c>
      <c r="AP140" s="366" t="str">
        <f t="shared" si="395"/>
        <v/>
      </c>
      <c r="AQ140" s="366" t="str">
        <f t="shared" si="396"/>
        <v/>
      </c>
      <c r="AR140" s="833" t="str">
        <f t="shared" si="397"/>
        <v/>
      </c>
      <c r="AT140" s="1062"/>
      <c r="AY140" s="4"/>
    </row>
    <row r="141" spans="1:51" ht="13.9" customHeight="1" x14ac:dyDescent="0.25">
      <c r="A141" s="847">
        <f>Chem!A141</f>
        <v>139</v>
      </c>
      <c r="B141" s="951" t="str">
        <f>Chem!B141</f>
        <v>2,3,4,5-Tetrachlorophenol</v>
      </c>
      <c r="C141" s="946">
        <f t="shared" si="370"/>
        <v>20</v>
      </c>
      <c r="D141" s="463">
        <f t="shared" si="371"/>
        <v>20</v>
      </c>
      <c r="E141" s="634">
        <f t="shared" si="264"/>
        <v>20</v>
      </c>
      <c r="F141" s="634">
        <f t="shared" si="265"/>
        <v>20</v>
      </c>
      <c r="G141" s="634"/>
      <c r="H141" s="467" t="str">
        <f>'SL-Det'!E141</f>
        <v>na</v>
      </c>
      <c r="I141" s="231" t="str">
        <f>Leach!F141</f>
        <v>na</v>
      </c>
      <c r="J141" s="231" t="str">
        <f>Leach!I141</f>
        <v>na</v>
      </c>
      <c r="K141" s="231" t="str">
        <f>Leach!L141</f>
        <v>na</v>
      </c>
      <c r="L141" s="476" t="str">
        <f>Leach!G141</f>
        <v>na</v>
      </c>
      <c r="M141" s="476" t="str">
        <f>Leach!J141</f>
        <v>na</v>
      </c>
      <c r="N141" s="476" t="str">
        <f>Leach!M141</f>
        <v>na</v>
      </c>
      <c r="O141" s="485" t="str">
        <f>'SD-Det'!Z141</f>
        <v>na</v>
      </c>
      <c r="P141" s="494">
        <f>'SL-Det'!I141</f>
        <v>20</v>
      </c>
      <c r="Q141" s="975" t="s">
        <v>232</v>
      </c>
      <c r="S141" s="832" t="str">
        <f t="shared" ref="S141" si="450">IF($C141="na","",IF($C141=H141,"X",""))</f>
        <v/>
      </c>
      <c r="T141" s="366" t="str">
        <f t="shared" ref="T141" si="451">IF($C141="na","",IF($C141=I141,"X",""))</f>
        <v/>
      </c>
      <c r="U141" s="366" t="str">
        <f t="shared" ref="U141" si="452">IF($C141="na","",IF($C141=J141,"X",""))</f>
        <v/>
      </c>
      <c r="V141" s="366" t="str">
        <f t="shared" ref="V141" si="453">IF($C141="na","",IF($C141=K141,"X",""))</f>
        <v/>
      </c>
      <c r="W141" s="366" t="str">
        <f t="shared" ref="W141" si="454">IF($C141="na","",IF($C141=O141,"X",""))</f>
        <v/>
      </c>
      <c r="X141" s="366" t="str">
        <f t="shared" ref="X141" si="455">IF($C141="na","",IF($C141=P141,"X",""))</f>
        <v>X</v>
      </c>
      <c r="Y141" s="989" t="str">
        <f t="shared" ref="Y141" si="456">IF($C141="na","",IF($C141=Q141,"X",""))</f>
        <v/>
      </c>
      <c r="Z141" s="832" t="str">
        <f t="shared" ref="Z141" si="457">IF($D141="na","",IF($D141=H141,"X",""))</f>
        <v/>
      </c>
      <c r="AA141" s="366" t="str">
        <f t="shared" ref="AA141" si="458">IF($D141="na","",IF($D141=L141,"X",""))</f>
        <v/>
      </c>
      <c r="AB141" s="366" t="str">
        <f t="shared" ref="AB141" si="459">IF($D141="na","",IF($D141=M141,"X",""))</f>
        <v/>
      </c>
      <c r="AC141" s="366" t="str">
        <f t="shared" ref="AC141" si="460">IF($D141="na","",IF($D141=N141,"X",""))</f>
        <v/>
      </c>
      <c r="AD141" s="366" t="str">
        <f t="shared" ref="AD141" si="461">IF($D141="na","",IF($D141=O141,"X",""))</f>
        <v/>
      </c>
      <c r="AE141" s="366" t="str">
        <f t="shared" ref="AE141" si="462">IF($D141="na","",IF($D141=P141,"X",""))</f>
        <v>X</v>
      </c>
      <c r="AF141" s="833" t="str">
        <f t="shared" ref="AF141" si="463">IF($D141="na","",IF($D141=Q141,"X",""))</f>
        <v/>
      </c>
      <c r="AG141" s="832" t="str">
        <f t="shared" ref="AG141" si="464">IF($E141="na","",IF($E141=H141,"X",""))</f>
        <v/>
      </c>
      <c r="AH141" s="366" t="str">
        <f t="shared" ref="AH141" si="465">IF($E141="na","",IF($E141=J141,"X",""))</f>
        <v/>
      </c>
      <c r="AI141" s="366" t="str">
        <f t="shared" ref="AI141" si="466">IF($E141="na","",IF($E141=K141,"X",""))</f>
        <v/>
      </c>
      <c r="AJ141" s="366" t="str">
        <f t="shared" ref="AJ141" si="467">IF($E141="na","",IF($E141=O141,"X",""))</f>
        <v/>
      </c>
      <c r="AK141" s="366" t="str">
        <f t="shared" ref="AK141" si="468">IF($E141="na","",IF($E141=P141,"X",""))</f>
        <v>X</v>
      </c>
      <c r="AL141" s="833" t="str">
        <f t="shared" ref="AL141" si="469">IF($E141="na","",IF($E141=Q141,"X",""))</f>
        <v/>
      </c>
      <c r="AM141" s="832" t="str">
        <f t="shared" ref="AM141" si="470">IF($F141="na","",IF($F141=H141,"X",""))</f>
        <v/>
      </c>
      <c r="AN141" s="366" t="str">
        <f t="shared" ref="AN141" si="471">IF($F141="na","",IF($F141=M141,"X",""))</f>
        <v/>
      </c>
      <c r="AO141" s="366" t="str">
        <f t="shared" ref="AO141" si="472">IF($F141="na","",IF($F141=N141,"X",""))</f>
        <v/>
      </c>
      <c r="AP141" s="366" t="str">
        <f t="shared" ref="AP141" si="473">IF($F141="na","",IF($F141=O141,"X",""))</f>
        <v/>
      </c>
      <c r="AQ141" s="366" t="str">
        <f t="shared" ref="AQ141" si="474">IF($F141="na","",IF($F141=P141,"X",""))</f>
        <v>X</v>
      </c>
      <c r="AR141" s="833" t="str">
        <f t="shared" ref="AR141" si="475">IF($F141="na","",IF($F141=Q141,"X",""))</f>
        <v/>
      </c>
      <c r="AT141" s="1062"/>
      <c r="AY141" s="4"/>
    </row>
    <row r="142" spans="1:51" ht="13.9" customHeight="1" x14ac:dyDescent="0.25">
      <c r="A142" s="847">
        <f>Chem!A142</f>
        <v>140</v>
      </c>
      <c r="B142" s="951" t="str">
        <f>Chem!B142</f>
        <v>2,3,4,6-Tetrachlorophenol</v>
      </c>
      <c r="C142" s="946">
        <f t="shared" si="370"/>
        <v>4.6083006901062955</v>
      </c>
      <c r="D142" s="463">
        <f t="shared" si="371"/>
        <v>0.27199999999999996</v>
      </c>
      <c r="E142" s="634">
        <f t="shared" si="264"/>
        <v>2400</v>
      </c>
      <c r="F142" s="634">
        <f t="shared" si="265"/>
        <v>2400</v>
      </c>
      <c r="G142" s="634"/>
      <c r="H142" s="467">
        <f>'SL-Det'!E142</f>
        <v>2400</v>
      </c>
      <c r="I142" s="231">
        <f>Leach!F142</f>
        <v>4.6083006901062955</v>
      </c>
      <c r="J142" s="231" t="str">
        <f>Leach!I142</f>
        <v>na</v>
      </c>
      <c r="K142" s="231" t="str">
        <f>Leach!L142</f>
        <v>na</v>
      </c>
      <c r="L142" s="476">
        <f>Leach!G142</f>
        <v>0.27199999999999996</v>
      </c>
      <c r="M142" s="476" t="str">
        <f>Leach!J142</f>
        <v>na</v>
      </c>
      <c r="N142" s="476" t="str">
        <f>Leach!M142</f>
        <v>na</v>
      </c>
      <c r="O142" s="485" t="str">
        <f>'SD-Det'!Z142</f>
        <v>na</v>
      </c>
      <c r="P142" s="494" t="str">
        <f>'SL-Det'!I142</f>
        <v>na</v>
      </c>
      <c r="Q142" s="975" t="s">
        <v>232</v>
      </c>
      <c r="S142" s="832" t="str">
        <f t="shared" ref="S142" si="476">IF($C142="na","",IF($C142=H142,"X",""))</f>
        <v/>
      </c>
      <c r="T142" s="366" t="str">
        <f t="shared" ref="T142" si="477">IF($C142="na","",IF($C142=I142,"X",""))</f>
        <v>X</v>
      </c>
      <c r="U142" s="366" t="str">
        <f t="shared" ref="U142" si="478">IF($C142="na","",IF($C142=J142,"X",""))</f>
        <v/>
      </c>
      <c r="V142" s="366" t="str">
        <f t="shared" ref="V142" si="479">IF($C142="na","",IF($C142=K142,"X",""))</f>
        <v/>
      </c>
      <c r="W142" s="366" t="str">
        <f t="shared" ref="W142" si="480">IF($C142="na","",IF($C142=O142,"X",""))</f>
        <v/>
      </c>
      <c r="X142" s="366" t="str">
        <f t="shared" ref="X142" si="481">IF($C142="na","",IF($C142=P142,"X",""))</f>
        <v/>
      </c>
      <c r="Y142" s="989" t="str">
        <f t="shared" ref="Y142" si="482">IF($C142="na","",IF($C142=Q142,"X",""))</f>
        <v/>
      </c>
      <c r="Z142" s="832" t="str">
        <f t="shared" ref="Z142" si="483">IF($D142="na","",IF($D142=H142,"X",""))</f>
        <v/>
      </c>
      <c r="AA142" s="366" t="str">
        <f t="shared" ref="AA142" si="484">IF($D142="na","",IF($D142=L142,"X",""))</f>
        <v>X</v>
      </c>
      <c r="AB142" s="366" t="str">
        <f t="shared" ref="AB142" si="485">IF($D142="na","",IF($D142=M142,"X",""))</f>
        <v/>
      </c>
      <c r="AC142" s="366" t="str">
        <f t="shared" ref="AC142" si="486">IF($D142="na","",IF($D142=N142,"X",""))</f>
        <v/>
      </c>
      <c r="AD142" s="366" t="str">
        <f t="shared" ref="AD142" si="487">IF($D142="na","",IF($D142=O142,"X",""))</f>
        <v/>
      </c>
      <c r="AE142" s="366" t="str">
        <f t="shared" ref="AE142" si="488">IF($D142="na","",IF($D142=P142,"X",""))</f>
        <v/>
      </c>
      <c r="AF142" s="833" t="str">
        <f t="shared" ref="AF142" si="489">IF($D142="na","",IF($D142=Q142,"X",""))</f>
        <v/>
      </c>
      <c r="AG142" s="832" t="str">
        <f t="shared" ref="AG142" si="490">IF($E142="na","",IF($E142=H142,"X",""))</f>
        <v>X</v>
      </c>
      <c r="AH142" s="366" t="str">
        <f t="shared" ref="AH142" si="491">IF($E142="na","",IF($E142=J142,"X",""))</f>
        <v/>
      </c>
      <c r="AI142" s="366" t="str">
        <f t="shared" ref="AI142" si="492">IF($E142="na","",IF($E142=K142,"X",""))</f>
        <v/>
      </c>
      <c r="AJ142" s="366" t="str">
        <f t="shared" ref="AJ142" si="493">IF($E142="na","",IF($E142=O142,"X",""))</f>
        <v/>
      </c>
      <c r="AK142" s="366" t="str">
        <f t="shared" ref="AK142" si="494">IF($E142="na","",IF($E142=P142,"X",""))</f>
        <v/>
      </c>
      <c r="AL142" s="833" t="str">
        <f t="shared" ref="AL142" si="495">IF($E142="na","",IF($E142=Q142,"X",""))</f>
        <v/>
      </c>
      <c r="AM142" s="832" t="str">
        <f t="shared" ref="AM142" si="496">IF($F142="na","",IF($F142=H142,"X",""))</f>
        <v>X</v>
      </c>
      <c r="AN142" s="366" t="str">
        <f t="shared" ref="AN142" si="497">IF($F142="na","",IF($F142=M142,"X",""))</f>
        <v/>
      </c>
      <c r="AO142" s="366" t="str">
        <f t="shared" ref="AO142" si="498">IF($F142="na","",IF($F142=N142,"X",""))</f>
        <v/>
      </c>
      <c r="AP142" s="366" t="str">
        <f t="shared" ref="AP142" si="499">IF($F142="na","",IF($F142=O142,"X",""))</f>
        <v/>
      </c>
      <c r="AQ142" s="366" t="str">
        <f t="shared" ref="AQ142" si="500">IF($F142="na","",IF($F142=P142,"X",""))</f>
        <v/>
      </c>
      <c r="AR142" s="833" t="str">
        <f t="shared" ref="AR142" si="501">IF($F142="na","",IF($F142=Q142,"X",""))</f>
        <v/>
      </c>
      <c r="AT142" s="1062"/>
      <c r="AY142" s="4"/>
    </row>
    <row r="143" spans="1:51" ht="13.9" customHeight="1" x14ac:dyDescent="0.25">
      <c r="A143" s="847">
        <f>Chem!A143</f>
        <v>141</v>
      </c>
      <c r="B143" s="951" t="str">
        <f>Chem!B143</f>
        <v>1,2,4-Trichlorobenzene</v>
      </c>
      <c r="C143" s="946">
        <f t="shared" si="370"/>
        <v>1.3779217360212312E-3</v>
      </c>
      <c r="D143" s="463">
        <f t="shared" si="371"/>
        <v>7.2026666666666673E-5</v>
      </c>
      <c r="E143" s="634">
        <f t="shared" si="264"/>
        <v>1.3779217360212312E-3</v>
      </c>
      <c r="F143" s="634">
        <f t="shared" si="265"/>
        <v>7.2026666666666673E-5</v>
      </c>
      <c r="G143" s="634"/>
      <c r="H143" s="467">
        <f>'SL-Det'!E143</f>
        <v>34.482758620689651</v>
      </c>
      <c r="I143" s="231">
        <f>Leach!F143</f>
        <v>0.56182736207762196</v>
      </c>
      <c r="J143" s="231">
        <f>Leach!I143</f>
        <v>1.3779217360212312E-3</v>
      </c>
      <c r="K143" s="231">
        <f>Leach!L143</f>
        <v>3.5916905104592355E-2</v>
      </c>
      <c r="L143" s="476">
        <f>Leach!G143</f>
        <v>2.9367816091954015E-2</v>
      </c>
      <c r="M143" s="476">
        <f>Leach!J143</f>
        <v>7.2026666666666673E-5</v>
      </c>
      <c r="N143" s="476">
        <f>Leach!M143</f>
        <v>1.8774469434938296E-3</v>
      </c>
      <c r="O143" s="485">
        <f>'SD-Det'!Z143</f>
        <v>3.1E-2</v>
      </c>
      <c r="P143" s="494">
        <f>'SL-Det'!I143</f>
        <v>20</v>
      </c>
      <c r="Q143" s="975" t="s">
        <v>232</v>
      </c>
      <c r="S143" s="832" t="str">
        <f t="shared" si="372"/>
        <v/>
      </c>
      <c r="T143" s="366" t="str">
        <f t="shared" si="373"/>
        <v/>
      </c>
      <c r="U143" s="366" t="str">
        <f t="shared" si="374"/>
        <v>X</v>
      </c>
      <c r="V143" s="366" t="str">
        <f t="shared" si="375"/>
        <v/>
      </c>
      <c r="W143" s="366" t="str">
        <f t="shared" si="376"/>
        <v/>
      </c>
      <c r="X143" s="366" t="str">
        <f t="shared" si="377"/>
        <v/>
      </c>
      <c r="Y143" s="989" t="str">
        <f t="shared" si="378"/>
        <v/>
      </c>
      <c r="Z143" s="832" t="str">
        <f t="shared" si="379"/>
        <v/>
      </c>
      <c r="AA143" s="366" t="str">
        <f t="shared" si="380"/>
        <v/>
      </c>
      <c r="AB143" s="366" t="str">
        <f t="shared" si="381"/>
        <v>X</v>
      </c>
      <c r="AC143" s="366" t="str">
        <f t="shared" si="382"/>
        <v/>
      </c>
      <c r="AD143" s="366" t="str">
        <f t="shared" si="383"/>
        <v/>
      </c>
      <c r="AE143" s="366" t="str">
        <f t="shared" si="384"/>
        <v/>
      </c>
      <c r="AF143" s="833" t="str">
        <f t="shared" si="385"/>
        <v/>
      </c>
      <c r="AG143" s="832" t="str">
        <f t="shared" si="386"/>
        <v/>
      </c>
      <c r="AH143" s="366" t="str">
        <f t="shared" si="387"/>
        <v>X</v>
      </c>
      <c r="AI143" s="366" t="str">
        <f t="shared" si="388"/>
        <v/>
      </c>
      <c r="AJ143" s="366" t="str">
        <f t="shared" si="389"/>
        <v/>
      </c>
      <c r="AK143" s="366" t="str">
        <f t="shared" si="390"/>
        <v/>
      </c>
      <c r="AL143" s="833" t="str">
        <f t="shared" si="391"/>
        <v/>
      </c>
      <c r="AM143" s="832" t="str">
        <f t="shared" si="392"/>
        <v/>
      </c>
      <c r="AN143" s="366" t="str">
        <f t="shared" si="393"/>
        <v>X</v>
      </c>
      <c r="AO143" s="366" t="str">
        <f t="shared" si="394"/>
        <v/>
      </c>
      <c r="AP143" s="366" t="str">
        <f t="shared" si="395"/>
        <v/>
      </c>
      <c r="AQ143" s="366" t="str">
        <f t="shared" si="396"/>
        <v/>
      </c>
      <c r="AR143" s="833" t="str">
        <f t="shared" si="397"/>
        <v/>
      </c>
      <c r="AT143" s="1062"/>
      <c r="AY143" s="4"/>
    </row>
    <row r="144" spans="1:51" ht="13.9" customHeight="1" x14ac:dyDescent="0.25">
      <c r="A144" s="847">
        <f>Chem!A144</f>
        <v>142</v>
      </c>
      <c r="B144" s="951" t="str">
        <f>Chem!B144</f>
        <v>2,4,5-Trichlorophenol</v>
      </c>
      <c r="C144" s="946">
        <f t="shared" si="370"/>
        <v>4</v>
      </c>
      <c r="D144" s="463">
        <f t="shared" si="371"/>
        <v>1.1301999999999999</v>
      </c>
      <c r="E144" s="634">
        <f t="shared" si="264"/>
        <v>4</v>
      </c>
      <c r="F144" s="634">
        <f t="shared" si="265"/>
        <v>1.1301999999999999</v>
      </c>
      <c r="G144" s="634"/>
      <c r="H144" s="467">
        <f>'SL-Det'!E144</f>
        <v>8000</v>
      </c>
      <c r="I144" s="231">
        <f>Leach!F144</f>
        <v>57.504071226888954</v>
      </c>
      <c r="J144" s="231">
        <f>Leach!I144</f>
        <v>21.564026710083358</v>
      </c>
      <c r="K144" s="231" t="str">
        <f>Leach!L144</f>
        <v>na</v>
      </c>
      <c r="L144" s="476">
        <f>Leach!G144</f>
        <v>3.0138666666666669</v>
      </c>
      <c r="M144" s="476">
        <f>Leach!J144</f>
        <v>1.1301999999999999</v>
      </c>
      <c r="N144" s="476" t="str">
        <f>Leach!M144</f>
        <v>na</v>
      </c>
      <c r="O144" s="485" t="str">
        <f>'SD-Det'!Z144</f>
        <v>na</v>
      </c>
      <c r="P144" s="494">
        <f>'SL-Det'!I144</f>
        <v>4</v>
      </c>
      <c r="Q144" s="975" t="s">
        <v>232</v>
      </c>
      <c r="S144" s="832" t="str">
        <f t="shared" si="372"/>
        <v/>
      </c>
      <c r="T144" s="366" t="str">
        <f t="shared" si="373"/>
        <v/>
      </c>
      <c r="U144" s="366" t="str">
        <f t="shared" si="374"/>
        <v/>
      </c>
      <c r="V144" s="366" t="str">
        <f t="shared" si="375"/>
        <v/>
      </c>
      <c r="W144" s="366" t="str">
        <f t="shared" si="376"/>
        <v/>
      </c>
      <c r="X144" s="366" t="str">
        <f t="shared" si="377"/>
        <v>X</v>
      </c>
      <c r="Y144" s="989" t="str">
        <f t="shared" si="378"/>
        <v/>
      </c>
      <c r="Z144" s="832" t="str">
        <f t="shared" si="379"/>
        <v/>
      </c>
      <c r="AA144" s="366" t="str">
        <f t="shared" si="380"/>
        <v/>
      </c>
      <c r="AB144" s="366" t="str">
        <f t="shared" si="381"/>
        <v>X</v>
      </c>
      <c r="AC144" s="366" t="str">
        <f t="shared" si="382"/>
        <v/>
      </c>
      <c r="AD144" s="366" t="str">
        <f t="shared" si="383"/>
        <v/>
      </c>
      <c r="AE144" s="366" t="str">
        <f t="shared" si="384"/>
        <v/>
      </c>
      <c r="AF144" s="833" t="str">
        <f t="shared" si="385"/>
        <v/>
      </c>
      <c r="AG144" s="832" t="str">
        <f t="shared" si="386"/>
        <v/>
      </c>
      <c r="AH144" s="366" t="str">
        <f t="shared" si="387"/>
        <v/>
      </c>
      <c r="AI144" s="366" t="str">
        <f t="shared" si="388"/>
        <v/>
      </c>
      <c r="AJ144" s="366" t="str">
        <f t="shared" si="389"/>
        <v/>
      </c>
      <c r="AK144" s="366" t="str">
        <f t="shared" si="390"/>
        <v>X</v>
      </c>
      <c r="AL144" s="833" t="str">
        <f t="shared" si="391"/>
        <v/>
      </c>
      <c r="AM144" s="832" t="str">
        <f t="shared" si="392"/>
        <v/>
      </c>
      <c r="AN144" s="366" t="str">
        <f t="shared" si="393"/>
        <v>X</v>
      </c>
      <c r="AO144" s="366" t="str">
        <f t="shared" si="394"/>
        <v/>
      </c>
      <c r="AP144" s="366" t="str">
        <f t="shared" si="395"/>
        <v/>
      </c>
      <c r="AQ144" s="366" t="str">
        <f t="shared" si="396"/>
        <v/>
      </c>
      <c r="AR144" s="833" t="str">
        <f t="shared" si="397"/>
        <v/>
      </c>
      <c r="AT144" s="1062"/>
      <c r="AY144" s="4"/>
    </row>
    <row r="145" spans="1:51" ht="13.9" customHeight="1" x14ac:dyDescent="0.25">
      <c r="A145" s="842">
        <f>Chem!A145</f>
        <v>143</v>
      </c>
      <c r="B145" s="951" t="str">
        <f>Chem!B145</f>
        <v>2,4,6-Trichlorophenol</v>
      </c>
      <c r="C145" s="946">
        <f t="shared" si="370"/>
        <v>3.2536200553190541E-3</v>
      </c>
      <c r="D145" s="463">
        <f t="shared" si="371"/>
        <v>1.8694666666666668E-4</v>
      </c>
      <c r="E145" s="634">
        <f t="shared" si="264"/>
        <v>3.2536200553190541E-3</v>
      </c>
      <c r="F145" s="634">
        <f t="shared" si="265"/>
        <v>1.8694666666666668E-4</v>
      </c>
      <c r="G145" s="634"/>
      <c r="H145" s="467">
        <f>'SL-Det'!E145</f>
        <v>80</v>
      </c>
      <c r="I145" s="470">
        <f>Leach!F145</f>
        <v>9.2432387935200366E-2</v>
      </c>
      <c r="J145" s="470">
        <f>Leach!I145</f>
        <v>3.2536200553190541E-3</v>
      </c>
      <c r="K145" s="470" t="str">
        <f>Leach!L145</f>
        <v>na</v>
      </c>
      <c r="L145" s="477">
        <f>Leach!G145</f>
        <v>5.3109848484848479E-3</v>
      </c>
      <c r="M145" s="477">
        <f>Leach!J145</f>
        <v>1.8694666666666668E-4</v>
      </c>
      <c r="N145" s="477" t="str">
        <f>Leach!M145</f>
        <v>na</v>
      </c>
      <c r="O145" s="485" t="str">
        <f>'SD-Det'!Z145</f>
        <v>na</v>
      </c>
      <c r="P145" s="494">
        <f>'SL-Det'!I145</f>
        <v>10</v>
      </c>
      <c r="Q145" s="975" t="s">
        <v>232</v>
      </c>
      <c r="S145" s="834" t="str">
        <f t="shared" si="372"/>
        <v/>
      </c>
      <c r="T145" s="368" t="str">
        <f t="shared" si="373"/>
        <v/>
      </c>
      <c r="U145" s="368" t="str">
        <f t="shared" si="374"/>
        <v>X</v>
      </c>
      <c r="V145" s="368" t="str">
        <f t="shared" si="375"/>
        <v/>
      </c>
      <c r="W145" s="368" t="str">
        <f t="shared" si="376"/>
        <v/>
      </c>
      <c r="X145" s="368" t="str">
        <f t="shared" si="377"/>
        <v/>
      </c>
      <c r="Y145" s="990" t="str">
        <f t="shared" si="378"/>
        <v/>
      </c>
      <c r="Z145" s="834" t="str">
        <f t="shared" si="379"/>
        <v/>
      </c>
      <c r="AA145" s="368" t="str">
        <f t="shared" si="380"/>
        <v/>
      </c>
      <c r="AB145" s="368" t="str">
        <f t="shared" si="381"/>
        <v>X</v>
      </c>
      <c r="AC145" s="368" t="str">
        <f t="shared" si="382"/>
        <v/>
      </c>
      <c r="AD145" s="368" t="str">
        <f t="shared" si="383"/>
        <v/>
      </c>
      <c r="AE145" s="368" t="str">
        <f t="shared" si="384"/>
        <v/>
      </c>
      <c r="AF145" s="835" t="str">
        <f t="shared" si="385"/>
        <v/>
      </c>
      <c r="AG145" s="834" t="str">
        <f t="shared" si="386"/>
        <v/>
      </c>
      <c r="AH145" s="368" t="str">
        <f t="shared" si="387"/>
        <v>X</v>
      </c>
      <c r="AI145" s="368" t="str">
        <f t="shared" si="388"/>
        <v/>
      </c>
      <c r="AJ145" s="368" t="str">
        <f t="shared" si="389"/>
        <v/>
      </c>
      <c r="AK145" s="368" t="str">
        <f t="shared" si="390"/>
        <v/>
      </c>
      <c r="AL145" s="835" t="str">
        <f t="shared" si="391"/>
        <v/>
      </c>
      <c r="AM145" s="834" t="str">
        <f t="shared" si="392"/>
        <v/>
      </c>
      <c r="AN145" s="368" t="str">
        <f t="shared" si="393"/>
        <v>X</v>
      </c>
      <c r="AO145" s="368" t="str">
        <f t="shared" si="394"/>
        <v/>
      </c>
      <c r="AP145" s="368" t="str">
        <f t="shared" si="395"/>
        <v/>
      </c>
      <c r="AQ145" s="368" t="str">
        <f t="shared" si="396"/>
        <v/>
      </c>
      <c r="AR145" s="835" t="str">
        <f t="shared" si="397"/>
        <v/>
      </c>
      <c r="AT145" s="1062"/>
      <c r="AY145" s="4"/>
    </row>
    <row r="146" spans="1:51" ht="13.9" customHeight="1" x14ac:dyDescent="0.25">
      <c r="A146" s="1197">
        <f>Chem!A146</f>
        <v>144</v>
      </c>
      <c r="B146" s="953" t="str">
        <f>Chem!B146</f>
        <v>Volatile Organic Compounds</v>
      </c>
      <c r="C146" s="28"/>
      <c r="D146" s="28"/>
      <c r="E146" s="28"/>
      <c r="F146" s="28"/>
      <c r="G146" s="28"/>
      <c r="H146" s="28"/>
      <c r="I146" s="28"/>
      <c r="J146" s="28"/>
      <c r="K146" s="28"/>
      <c r="L146" s="28"/>
      <c r="M146" s="28"/>
      <c r="N146" s="28"/>
      <c r="O146" s="43"/>
      <c r="P146" s="2323"/>
      <c r="Q146" s="2324"/>
      <c r="S146" s="26" t="str">
        <f>B146</f>
        <v>Volatile Organic Compounds</v>
      </c>
      <c r="T146" s="2328"/>
      <c r="U146" s="2328"/>
      <c r="V146" s="2328"/>
      <c r="W146" s="2328"/>
      <c r="X146" s="2328"/>
      <c r="Y146" s="2328"/>
      <c r="Z146" s="2328"/>
      <c r="AA146" s="2328"/>
      <c r="AB146" s="2328"/>
      <c r="AC146" s="2328"/>
      <c r="AD146" s="2328"/>
      <c r="AE146" s="2328"/>
      <c r="AF146" s="2328"/>
      <c r="AG146" s="2329"/>
      <c r="AH146" s="2328"/>
      <c r="AI146" s="2328"/>
      <c r="AJ146" s="2328"/>
      <c r="AK146" s="2328"/>
      <c r="AL146" s="2328"/>
      <c r="AM146" s="2328"/>
      <c r="AN146" s="2328"/>
      <c r="AO146" s="2328"/>
      <c r="AP146" s="2328"/>
      <c r="AQ146" s="2328"/>
      <c r="AR146" s="2330"/>
      <c r="AT146" s="2325"/>
      <c r="AY146" s="4"/>
    </row>
    <row r="147" spans="1:51" ht="13.9" customHeight="1" x14ac:dyDescent="0.25">
      <c r="A147" s="846">
        <f>Chem!A147</f>
        <v>145</v>
      </c>
      <c r="B147" s="951" t="str">
        <f>Chem!B147</f>
        <v>Acetone</v>
      </c>
      <c r="C147" s="948">
        <f t="shared" ref="C147:C179" si="502">IF(MIN($H147,$I147:$K147,$O147,$P147)=0,"na",IF($Q147="na",MIN($H147,$I147:$K147,$O147,$P147),IF($Q147&gt;MIN($H147,$I147:$K147,$O147,$P147),$Q147,MIN($H147,$I147:$K147,$O147,$P147))))</f>
        <v>29.150762200079516</v>
      </c>
      <c r="D147" s="465">
        <f t="shared" ref="D147:D179" si="503">IF(MIN($H147,$L147:$N147,$O147,$P147)=0,"na",IF($Q147="na",MIN($H147,$L147:$N147,$O147,$P147),IF($Q147&gt;MIN($H147,$L147:$N147,$O147,$P147),$Q147,MIN($H147,$L147:$N147,$O147,$P147))))</f>
        <v>2.0809920000000002</v>
      </c>
      <c r="E147" s="637">
        <f t="shared" ref="E147:E215" si="504">IF(MIN($H147,$J147:$K147,$O147,$P147)=0,"na",IF($Q147="na",MIN($H147,$J147:$K147,$O147,$P147),IF($Q147&gt;MIN($H147,$J147:$K147,$O147,$P147),$Q147,MIN($H147,$J147:$K147,$O147,$P147))))</f>
        <v>72000</v>
      </c>
      <c r="F147" s="637">
        <f t="shared" ref="F147:F215" si="505">IF(MIN($H147,$M147:$P147)=0,"na",IF($Q147="na",MIN($H147,$M147:$P147),IF($Q147&gt;MIN($H147,$M147:$P147),$Q147,MIN($H147,$M147:$P147))))</f>
        <v>72000</v>
      </c>
      <c r="G147" s="637"/>
      <c r="H147" s="467">
        <f>'SL-Det'!E147</f>
        <v>72000</v>
      </c>
      <c r="I147" s="469">
        <f>Leach!F147</f>
        <v>29.150762200079516</v>
      </c>
      <c r="J147" s="469" t="str">
        <f>Leach!I147</f>
        <v>na</v>
      </c>
      <c r="K147" s="469" t="str">
        <f>Leach!L147</f>
        <v>na</v>
      </c>
      <c r="L147" s="474">
        <f>Leach!G147</f>
        <v>2.0809920000000002</v>
      </c>
      <c r="M147" s="474" t="str">
        <f>Leach!J147</f>
        <v>na</v>
      </c>
      <c r="N147" s="474" t="str">
        <f>Leach!M147</f>
        <v>na</v>
      </c>
      <c r="O147" s="485" t="str">
        <f>'SD-Det'!Z147</f>
        <v>na</v>
      </c>
      <c r="P147" s="494" t="str">
        <f>'SL-Det'!I147</f>
        <v>na</v>
      </c>
      <c r="Q147" s="975" t="s">
        <v>232</v>
      </c>
      <c r="S147" s="978" t="str">
        <f t="shared" ref="S147:S179" si="506">IF($C147="na","",IF($C147=H147,"X",""))</f>
        <v/>
      </c>
      <c r="T147" s="979" t="str">
        <f t="shared" ref="T147:T179" si="507">IF($C147="na","",IF($C147=I147,"X",""))</f>
        <v>X</v>
      </c>
      <c r="U147" s="979" t="str">
        <f t="shared" ref="U147:U179" si="508">IF($C147="na","",IF($C147=J147,"X",""))</f>
        <v/>
      </c>
      <c r="V147" s="979" t="str">
        <f t="shared" ref="V147:V179" si="509">IF($C147="na","",IF($C147=K147,"X",""))</f>
        <v/>
      </c>
      <c r="W147" s="979" t="str">
        <f t="shared" ref="W147:W179" si="510">IF($C147="na","",IF($C147=O147,"X",""))</f>
        <v/>
      </c>
      <c r="X147" s="979" t="str">
        <f t="shared" ref="X147:X179" si="511">IF($C147="na","",IF($C147=P147,"X",""))</f>
        <v/>
      </c>
      <c r="Y147" s="988" t="str">
        <f t="shared" ref="Y147:Y179" si="512">IF($C147="na","",IF($C147=Q147,"X",""))</f>
        <v/>
      </c>
      <c r="Z147" s="978" t="str">
        <f t="shared" ref="Z147:Z179" si="513">IF($D147="na","",IF($D147=H147,"X",""))</f>
        <v/>
      </c>
      <c r="AA147" s="979" t="str">
        <f t="shared" ref="AA147:AA179" si="514">IF($D147="na","",IF($D147=L147,"X",""))</f>
        <v>X</v>
      </c>
      <c r="AB147" s="979" t="str">
        <f t="shared" ref="AB147:AB179" si="515">IF($D147="na","",IF($D147=M147,"X",""))</f>
        <v/>
      </c>
      <c r="AC147" s="979" t="str">
        <f t="shared" ref="AC147:AC179" si="516">IF($D147="na","",IF($D147=N147,"X",""))</f>
        <v/>
      </c>
      <c r="AD147" s="979" t="str">
        <f t="shared" ref="AD147:AD179" si="517">IF($D147="na","",IF($D147=O147,"X",""))</f>
        <v/>
      </c>
      <c r="AE147" s="979" t="str">
        <f t="shared" ref="AE147:AE179" si="518">IF($D147="na","",IF($D147=P147,"X",""))</f>
        <v/>
      </c>
      <c r="AF147" s="980" t="str">
        <f t="shared" ref="AF147:AF179" si="519">IF($D147="na","",IF($D147=Q147,"X",""))</f>
        <v/>
      </c>
      <c r="AG147" s="978" t="str">
        <f t="shared" ref="AG147:AG179" si="520">IF($E147="na","",IF($E147=H147,"X",""))</f>
        <v>X</v>
      </c>
      <c r="AH147" s="979" t="str">
        <f t="shared" ref="AH147:AH179" si="521">IF($E147="na","",IF($E147=J147,"X",""))</f>
        <v/>
      </c>
      <c r="AI147" s="979" t="str">
        <f t="shared" ref="AI147:AI179" si="522">IF($E147="na","",IF($E147=K147,"X",""))</f>
        <v/>
      </c>
      <c r="AJ147" s="979" t="str">
        <f t="shared" ref="AJ147:AJ179" si="523">IF($E147="na","",IF($E147=O147,"X",""))</f>
        <v/>
      </c>
      <c r="AK147" s="979" t="str">
        <f t="shared" ref="AK147:AK179" si="524">IF($E147="na","",IF($E147=P147,"X",""))</f>
        <v/>
      </c>
      <c r="AL147" s="980" t="str">
        <f t="shared" ref="AL147:AL179" si="525">IF($E147="na","",IF($E147=Q147,"X",""))</f>
        <v/>
      </c>
      <c r="AM147" s="978" t="str">
        <f t="shared" ref="AM147:AM179" si="526">IF($F147="na","",IF($F147=H147,"X",""))</f>
        <v>X</v>
      </c>
      <c r="AN147" s="979" t="str">
        <f t="shared" ref="AN147:AN179" si="527">IF($F147="na","",IF($F147=M147,"X",""))</f>
        <v/>
      </c>
      <c r="AO147" s="979" t="str">
        <f t="shared" ref="AO147:AO179" si="528">IF($F147="na","",IF($F147=N147,"X",""))</f>
        <v/>
      </c>
      <c r="AP147" s="979" t="str">
        <f t="shared" ref="AP147:AP179" si="529">IF($F147="na","",IF($F147=O147,"X",""))</f>
        <v/>
      </c>
      <c r="AQ147" s="979" t="str">
        <f t="shared" ref="AQ147:AQ179" si="530">IF($F147="na","",IF($F147=P147,"X",""))</f>
        <v/>
      </c>
      <c r="AR147" s="980" t="str">
        <f t="shared" ref="AR147:AR179" si="531">IF($F147="na","",IF($F147=Q147,"X",""))</f>
        <v/>
      </c>
      <c r="AT147" s="1062"/>
      <c r="AY147" s="4"/>
    </row>
    <row r="148" spans="1:51" ht="13.9" customHeight="1" x14ac:dyDescent="0.25">
      <c r="A148" s="846">
        <f>Chem!A148</f>
        <v>146</v>
      </c>
      <c r="B148" s="951" t="str">
        <f>Chem!B148</f>
        <v>Acetaldehyde</v>
      </c>
      <c r="C148" s="948" t="str">
        <f t="shared" si="502"/>
        <v>na</v>
      </c>
      <c r="D148" s="465" t="str">
        <f t="shared" si="503"/>
        <v>na</v>
      </c>
      <c r="E148" s="637" t="str">
        <f t="shared" si="504"/>
        <v>na</v>
      </c>
      <c r="F148" s="637" t="str">
        <f t="shared" si="505"/>
        <v>na</v>
      </c>
      <c r="G148" s="637"/>
      <c r="H148" s="467" t="str">
        <f>'SL-Det'!E148</f>
        <v>na</v>
      </c>
      <c r="I148" s="231" t="str">
        <f>Leach!F148</f>
        <v>na</v>
      </c>
      <c r="J148" s="231" t="str">
        <f>Leach!I148</f>
        <v>na</v>
      </c>
      <c r="K148" s="231" t="str">
        <f>Leach!L148</f>
        <v>na</v>
      </c>
      <c r="L148" s="476" t="str">
        <f>Leach!G148</f>
        <v>na</v>
      </c>
      <c r="M148" s="476" t="str">
        <f>Leach!J148</f>
        <v>na</v>
      </c>
      <c r="N148" s="476" t="str">
        <f>Leach!M148</f>
        <v>na</v>
      </c>
      <c r="O148" s="485" t="str">
        <f>'SD-Det'!Z148</f>
        <v>na</v>
      </c>
      <c r="P148" s="494" t="str">
        <f>'SL-Det'!I148</f>
        <v>na</v>
      </c>
      <c r="Q148" s="975" t="s">
        <v>232</v>
      </c>
      <c r="S148" s="1361" t="str">
        <f t="shared" ref="S148" si="532">IF($C148="na","",IF($C148=H148,"X",""))</f>
        <v/>
      </c>
      <c r="T148" s="1362" t="str">
        <f t="shared" ref="T148" si="533">IF($C148="na","",IF($C148=I148,"X",""))</f>
        <v/>
      </c>
      <c r="U148" s="1362" t="str">
        <f t="shared" ref="U148" si="534">IF($C148="na","",IF($C148=J148,"X",""))</f>
        <v/>
      </c>
      <c r="V148" s="1362" t="str">
        <f t="shared" ref="V148" si="535">IF($C148="na","",IF($C148=K148,"X",""))</f>
        <v/>
      </c>
      <c r="W148" s="1362" t="str">
        <f t="shared" ref="W148" si="536">IF($C148="na","",IF($C148=O148,"X",""))</f>
        <v/>
      </c>
      <c r="X148" s="1362" t="str">
        <f t="shared" ref="X148" si="537">IF($C148="na","",IF($C148=P148,"X",""))</f>
        <v/>
      </c>
      <c r="Y148" s="1363" t="str">
        <f t="shared" ref="Y148" si="538">IF($C148="na","",IF($C148=Q148,"X",""))</f>
        <v/>
      </c>
      <c r="Z148" s="1361" t="str">
        <f t="shared" ref="Z148" si="539">IF($D148="na","",IF($D148=H148,"X",""))</f>
        <v/>
      </c>
      <c r="AA148" s="1362" t="str">
        <f t="shared" ref="AA148" si="540">IF($D148="na","",IF($D148=L148,"X",""))</f>
        <v/>
      </c>
      <c r="AB148" s="1362" t="str">
        <f t="shared" ref="AB148" si="541">IF($D148="na","",IF($D148=M148,"X",""))</f>
        <v/>
      </c>
      <c r="AC148" s="1362" t="str">
        <f t="shared" ref="AC148" si="542">IF($D148="na","",IF($D148=N148,"X",""))</f>
        <v/>
      </c>
      <c r="AD148" s="1362" t="str">
        <f t="shared" ref="AD148" si="543">IF($D148="na","",IF($D148=O148,"X",""))</f>
        <v/>
      </c>
      <c r="AE148" s="1362" t="str">
        <f t="shared" ref="AE148" si="544">IF($D148="na","",IF($D148=P148,"X",""))</f>
        <v/>
      </c>
      <c r="AF148" s="1364" t="str">
        <f t="shared" ref="AF148" si="545">IF($D148="na","",IF($D148=Q148,"X",""))</f>
        <v/>
      </c>
      <c r="AG148" s="1361" t="str">
        <f t="shared" ref="AG148" si="546">IF($E148="na","",IF($E148=H148,"X",""))</f>
        <v/>
      </c>
      <c r="AH148" s="1362" t="str">
        <f t="shared" ref="AH148" si="547">IF($E148="na","",IF($E148=J148,"X",""))</f>
        <v/>
      </c>
      <c r="AI148" s="1362" t="str">
        <f t="shared" ref="AI148" si="548">IF($E148="na","",IF($E148=K148,"X",""))</f>
        <v/>
      </c>
      <c r="AJ148" s="1362" t="str">
        <f t="shared" ref="AJ148" si="549">IF($E148="na","",IF($E148=O148,"X",""))</f>
        <v/>
      </c>
      <c r="AK148" s="1362" t="str">
        <f t="shared" ref="AK148" si="550">IF($E148="na","",IF($E148=P148,"X",""))</f>
        <v/>
      </c>
      <c r="AL148" s="1364" t="str">
        <f t="shared" ref="AL148" si="551">IF($E148="na","",IF($E148=Q148,"X",""))</f>
        <v/>
      </c>
      <c r="AM148" s="1361" t="str">
        <f t="shared" ref="AM148" si="552">IF($F148="na","",IF($F148=H148,"X",""))</f>
        <v/>
      </c>
      <c r="AN148" s="1362" t="str">
        <f t="shared" ref="AN148" si="553">IF($F148="na","",IF($F148=M148,"X",""))</f>
        <v/>
      </c>
      <c r="AO148" s="1362" t="str">
        <f t="shared" ref="AO148" si="554">IF($F148="na","",IF($F148=N148,"X",""))</f>
        <v/>
      </c>
      <c r="AP148" s="1362" t="str">
        <f t="shared" ref="AP148" si="555">IF($F148="na","",IF($F148=O148,"X",""))</f>
        <v/>
      </c>
      <c r="AQ148" s="1362" t="str">
        <f t="shared" ref="AQ148" si="556">IF($F148="na","",IF($F148=P148,"X",""))</f>
        <v/>
      </c>
      <c r="AR148" s="1364" t="str">
        <f t="shared" ref="AR148" si="557">IF($F148="na","",IF($F148=Q148,"X",""))</f>
        <v/>
      </c>
      <c r="AT148" s="1062"/>
      <c r="AY148" s="4"/>
    </row>
    <row r="149" spans="1:51" ht="13.9" customHeight="1" x14ac:dyDescent="0.25">
      <c r="A149" s="846">
        <f>Chem!A149</f>
        <v>147</v>
      </c>
      <c r="B149" s="951" t="str">
        <f>Chem!B149</f>
        <v>Acrolein</v>
      </c>
      <c r="C149" s="946">
        <f t="shared" si="502"/>
        <v>4.4279227613446487E-3</v>
      </c>
      <c r="D149" s="463">
        <f t="shared" si="503"/>
        <v>3.1643333333333335E-4</v>
      </c>
      <c r="E149" s="634">
        <f t="shared" si="504"/>
        <v>4.4279227613446487E-3</v>
      </c>
      <c r="F149" s="634">
        <f t="shared" si="505"/>
        <v>3.1643333333333335E-4</v>
      </c>
      <c r="G149" s="634"/>
      <c r="H149" s="467">
        <f>'SL-Det'!E149</f>
        <v>40</v>
      </c>
      <c r="I149" s="231">
        <f>Leach!F149</f>
        <v>1.6101537313980542E-2</v>
      </c>
      <c r="J149" s="231">
        <f>Leach!I149</f>
        <v>4.4279227613446487E-3</v>
      </c>
      <c r="K149" s="231" t="str">
        <f>Leach!L149</f>
        <v>na</v>
      </c>
      <c r="L149" s="476">
        <f>Leach!G149</f>
        <v>1.1506666666666668E-3</v>
      </c>
      <c r="M149" s="476">
        <f>Leach!J149</f>
        <v>3.1643333333333335E-4</v>
      </c>
      <c r="N149" s="476" t="str">
        <f>Leach!M149</f>
        <v>na</v>
      </c>
      <c r="O149" s="485" t="str">
        <f>'SD-Det'!Z149</f>
        <v>na</v>
      </c>
      <c r="P149" s="494" t="str">
        <f>'SL-Det'!I149</f>
        <v>na</v>
      </c>
      <c r="Q149" s="975" t="s">
        <v>232</v>
      </c>
      <c r="S149" s="832" t="str">
        <f t="shared" si="506"/>
        <v/>
      </c>
      <c r="T149" s="366" t="str">
        <f t="shared" si="507"/>
        <v/>
      </c>
      <c r="U149" s="366" t="str">
        <f t="shared" si="508"/>
        <v>X</v>
      </c>
      <c r="V149" s="366" t="str">
        <f t="shared" si="509"/>
        <v/>
      </c>
      <c r="W149" s="366" t="str">
        <f t="shared" si="510"/>
        <v/>
      </c>
      <c r="X149" s="366" t="str">
        <f t="shared" si="511"/>
        <v/>
      </c>
      <c r="Y149" s="989" t="str">
        <f t="shared" si="512"/>
        <v/>
      </c>
      <c r="Z149" s="832" t="str">
        <f t="shared" si="513"/>
        <v/>
      </c>
      <c r="AA149" s="366" t="str">
        <f t="shared" si="514"/>
        <v/>
      </c>
      <c r="AB149" s="366" t="str">
        <f t="shared" si="515"/>
        <v>X</v>
      </c>
      <c r="AC149" s="366" t="str">
        <f t="shared" si="516"/>
        <v/>
      </c>
      <c r="AD149" s="366" t="str">
        <f t="shared" si="517"/>
        <v/>
      </c>
      <c r="AE149" s="366" t="str">
        <f t="shared" si="518"/>
        <v/>
      </c>
      <c r="AF149" s="833" t="str">
        <f t="shared" si="519"/>
        <v/>
      </c>
      <c r="AG149" s="832" t="str">
        <f t="shared" si="520"/>
        <v/>
      </c>
      <c r="AH149" s="366" t="str">
        <f t="shared" si="521"/>
        <v>X</v>
      </c>
      <c r="AI149" s="366" t="str">
        <f t="shared" si="522"/>
        <v/>
      </c>
      <c r="AJ149" s="366" t="str">
        <f t="shared" si="523"/>
        <v/>
      </c>
      <c r="AK149" s="366" t="str">
        <f t="shared" si="524"/>
        <v/>
      </c>
      <c r="AL149" s="833" t="str">
        <f t="shared" si="525"/>
        <v/>
      </c>
      <c r="AM149" s="832" t="str">
        <f t="shared" si="526"/>
        <v/>
      </c>
      <c r="AN149" s="366" t="str">
        <f t="shared" si="527"/>
        <v>X</v>
      </c>
      <c r="AO149" s="366" t="str">
        <f t="shared" si="528"/>
        <v/>
      </c>
      <c r="AP149" s="366" t="str">
        <f t="shared" si="529"/>
        <v/>
      </c>
      <c r="AQ149" s="366" t="str">
        <f t="shared" si="530"/>
        <v/>
      </c>
      <c r="AR149" s="833" t="str">
        <f t="shared" si="531"/>
        <v/>
      </c>
      <c r="AT149" s="1062"/>
      <c r="AY149" s="4"/>
    </row>
    <row r="150" spans="1:51" ht="13.9" customHeight="1" x14ac:dyDescent="0.25">
      <c r="A150" s="846">
        <f>Chem!A150</f>
        <v>148</v>
      </c>
      <c r="B150" s="951" t="str">
        <f>Chem!B150</f>
        <v>Acrylonitrile</v>
      </c>
      <c r="C150" s="946">
        <f t="shared" si="502"/>
        <v>1.1692002249730783E-4</v>
      </c>
      <c r="D150" s="463">
        <f t="shared" si="503"/>
        <v>8.2649466666666682E-6</v>
      </c>
      <c r="E150" s="634">
        <f t="shared" si="504"/>
        <v>1.1692002249730783E-4</v>
      </c>
      <c r="F150" s="634">
        <f t="shared" si="505"/>
        <v>8.2649466666666682E-6</v>
      </c>
      <c r="G150" s="634"/>
      <c r="H150" s="467">
        <f>'SL-Det'!E150</f>
        <v>1.8518518518518516</v>
      </c>
      <c r="I150" s="231">
        <f>Leach!F150</f>
        <v>3.3831025028156189E-4</v>
      </c>
      <c r="J150" s="231">
        <f>Leach!I150</f>
        <v>1.1692002249730783E-4</v>
      </c>
      <c r="K150" s="231" t="str">
        <f>Leach!L150</f>
        <v>na</v>
      </c>
      <c r="L150" s="476">
        <f>Leach!G150</f>
        <v>2.3914776234567897E-5</v>
      </c>
      <c r="M150" s="476">
        <f>Leach!J150</f>
        <v>8.2649466666666682E-6</v>
      </c>
      <c r="N150" s="476" t="str">
        <f>Leach!M150</f>
        <v>na</v>
      </c>
      <c r="O150" s="485" t="str">
        <f>'SD-Det'!Z150</f>
        <v>na</v>
      </c>
      <c r="P150" s="494" t="str">
        <f>'SL-Det'!I150</f>
        <v>na</v>
      </c>
      <c r="Q150" s="975" t="s">
        <v>232</v>
      </c>
      <c r="S150" s="832" t="str">
        <f t="shared" si="506"/>
        <v/>
      </c>
      <c r="T150" s="366" t="str">
        <f t="shared" si="507"/>
        <v/>
      </c>
      <c r="U150" s="366" t="str">
        <f t="shared" si="508"/>
        <v>X</v>
      </c>
      <c r="V150" s="366" t="str">
        <f t="shared" si="509"/>
        <v/>
      </c>
      <c r="W150" s="366" t="str">
        <f t="shared" si="510"/>
        <v/>
      </c>
      <c r="X150" s="366" t="str">
        <f t="shared" si="511"/>
        <v/>
      </c>
      <c r="Y150" s="989" t="str">
        <f t="shared" si="512"/>
        <v/>
      </c>
      <c r="Z150" s="832" t="str">
        <f t="shared" si="513"/>
        <v/>
      </c>
      <c r="AA150" s="366" t="str">
        <f t="shared" si="514"/>
        <v/>
      </c>
      <c r="AB150" s="366" t="str">
        <f t="shared" si="515"/>
        <v>X</v>
      </c>
      <c r="AC150" s="366" t="str">
        <f t="shared" si="516"/>
        <v/>
      </c>
      <c r="AD150" s="366" t="str">
        <f t="shared" si="517"/>
        <v/>
      </c>
      <c r="AE150" s="366" t="str">
        <f t="shared" si="518"/>
        <v/>
      </c>
      <c r="AF150" s="833" t="str">
        <f t="shared" si="519"/>
        <v/>
      </c>
      <c r="AG150" s="832" t="str">
        <f t="shared" si="520"/>
        <v/>
      </c>
      <c r="AH150" s="366" t="str">
        <f t="shared" si="521"/>
        <v>X</v>
      </c>
      <c r="AI150" s="366" t="str">
        <f t="shared" si="522"/>
        <v/>
      </c>
      <c r="AJ150" s="366" t="str">
        <f t="shared" si="523"/>
        <v/>
      </c>
      <c r="AK150" s="366" t="str">
        <f t="shared" si="524"/>
        <v/>
      </c>
      <c r="AL150" s="833" t="str">
        <f t="shared" si="525"/>
        <v/>
      </c>
      <c r="AM150" s="832" t="str">
        <f t="shared" si="526"/>
        <v/>
      </c>
      <c r="AN150" s="366" t="str">
        <f t="shared" si="527"/>
        <v>X</v>
      </c>
      <c r="AO150" s="366" t="str">
        <f t="shared" si="528"/>
        <v/>
      </c>
      <c r="AP150" s="366" t="str">
        <f t="shared" si="529"/>
        <v/>
      </c>
      <c r="AQ150" s="366" t="str">
        <f t="shared" si="530"/>
        <v/>
      </c>
      <c r="AR150" s="833" t="str">
        <f t="shared" si="531"/>
        <v/>
      </c>
      <c r="AT150" s="1062"/>
      <c r="AY150" s="4"/>
    </row>
    <row r="151" spans="1:51" ht="13.9" customHeight="1" x14ac:dyDescent="0.25">
      <c r="A151" s="846">
        <f>Chem!A151</f>
        <v>149</v>
      </c>
      <c r="B151" s="951" t="str">
        <f>Chem!B151</f>
        <v>Benzaldehyde</v>
      </c>
      <c r="C151" s="947">
        <f t="shared" si="502"/>
        <v>4.6187154800187036E-2</v>
      </c>
      <c r="D151" s="464">
        <f t="shared" si="503"/>
        <v>3.2568229166666665E-3</v>
      </c>
      <c r="E151" s="636">
        <f t="shared" si="504"/>
        <v>250</v>
      </c>
      <c r="F151" s="636">
        <f t="shared" si="505"/>
        <v>250</v>
      </c>
      <c r="G151" s="636"/>
      <c r="H151" s="467">
        <f>'SL-Det'!E151</f>
        <v>250</v>
      </c>
      <c r="I151" s="231">
        <f>Leach!F151</f>
        <v>4.6187154800187036E-2</v>
      </c>
      <c r="J151" s="231" t="str">
        <f>Leach!I151</f>
        <v>na</v>
      </c>
      <c r="K151" s="231" t="str">
        <f>Leach!L151</f>
        <v>na</v>
      </c>
      <c r="L151" s="476">
        <f>Leach!G151</f>
        <v>3.2568229166666665E-3</v>
      </c>
      <c r="M151" s="476" t="str">
        <f>Leach!J151</f>
        <v>na</v>
      </c>
      <c r="N151" s="476" t="str">
        <f>Leach!M151</f>
        <v>na</v>
      </c>
      <c r="O151" s="485" t="str">
        <f>'SD-Det'!Z151</f>
        <v>na</v>
      </c>
      <c r="P151" s="494" t="str">
        <f>'SL-Det'!I151</f>
        <v>na</v>
      </c>
      <c r="Q151" s="975" t="s">
        <v>232</v>
      </c>
      <c r="S151" s="832" t="str">
        <f t="shared" si="506"/>
        <v/>
      </c>
      <c r="T151" s="366" t="str">
        <f t="shared" si="507"/>
        <v>X</v>
      </c>
      <c r="U151" s="366" t="str">
        <f t="shared" si="508"/>
        <v/>
      </c>
      <c r="V151" s="366" t="str">
        <f t="shared" si="509"/>
        <v/>
      </c>
      <c r="W151" s="366" t="str">
        <f t="shared" si="510"/>
        <v/>
      </c>
      <c r="X151" s="366" t="str">
        <f t="shared" si="511"/>
        <v/>
      </c>
      <c r="Y151" s="989" t="str">
        <f t="shared" si="512"/>
        <v/>
      </c>
      <c r="Z151" s="832" t="str">
        <f t="shared" si="513"/>
        <v/>
      </c>
      <c r="AA151" s="366" t="str">
        <f t="shared" si="514"/>
        <v>X</v>
      </c>
      <c r="AB151" s="366" t="str">
        <f t="shared" si="515"/>
        <v/>
      </c>
      <c r="AC151" s="366" t="str">
        <f t="shared" si="516"/>
        <v/>
      </c>
      <c r="AD151" s="366" t="str">
        <f t="shared" si="517"/>
        <v/>
      </c>
      <c r="AE151" s="366" t="str">
        <f t="shared" si="518"/>
        <v/>
      </c>
      <c r="AF151" s="833" t="str">
        <f t="shared" si="519"/>
        <v/>
      </c>
      <c r="AG151" s="832" t="str">
        <f t="shared" si="520"/>
        <v>X</v>
      </c>
      <c r="AH151" s="366" t="str">
        <f t="shared" si="521"/>
        <v/>
      </c>
      <c r="AI151" s="366" t="str">
        <f t="shared" si="522"/>
        <v/>
      </c>
      <c r="AJ151" s="366" t="str">
        <f t="shared" si="523"/>
        <v/>
      </c>
      <c r="AK151" s="366" t="str">
        <f t="shared" si="524"/>
        <v/>
      </c>
      <c r="AL151" s="833" t="str">
        <f t="shared" si="525"/>
        <v/>
      </c>
      <c r="AM151" s="832" t="str">
        <f t="shared" si="526"/>
        <v>X</v>
      </c>
      <c r="AN151" s="366" t="str">
        <f t="shared" si="527"/>
        <v/>
      </c>
      <c r="AO151" s="366" t="str">
        <f t="shared" si="528"/>
        <v/>
      </c>
      <c r="AP151" s="366" t="str">
        <f t="shared" si="529"/>
        <v/>
      </c>
      <c r="AQ151" s="366" t="str">
        <f t="shared" si="530"/>
        <v/>
      </c>
      <c r="AR151" s="833" t="str">
        <f t="shared" si="531"/>
        <v/>
      </c>
      <c r="AT151" s="1062"/>
      <c r="AY151" s="4"/>
    </row>
    <row r="152" spans="1:51" ht="13.9" customHeight="1" x14ac:dyDescent="0.25">
      <c r="A152" s="846">
        <f>Chem!A152</f>
        <v>150</v>
      </c>
      <c r="B152" s="951" t="str">
        <f>Chem!B152</f>
        <v>Benzene</v>
      </c>
      <c r="C152" s="946">
        <f t="shared" si="502"/>
        <v>8.7554463990148976E-3</v>
      </c>
      <c r="D152" s="463">
        <f t="shared" si="503"/>
        <v>5.5786666666666671E-4</v>
      </c>
      <c r="E152" s="634">
        <f t="shared" si="504"/>
        <v>8.7554463990148976E-3</v>
      </c>
      <c r="F152" s="634">
        <f t="shared" si="505"/>
        <v>5.5786666666666671E-4</v>
      </c>
      <c r="G152" s="634"/>
      <c r="H152" s="467">
        <f>'SL-Det'!E152</f>
        <v>18.181818181818183</v>
      </c>
      <c r="I152" s="231">
        <f>Leach!F152</f>
        <v>2.7360769996921552E-2</v>
      </c>
      <c r="J152" s="231">
        <f>Leach!I152</f>
        <v>8.7554463990148976E-3</v>
      </c>
      <c r="K152" s="231" t="str">
        <f>Leach!L152</f>
        <v>na</v>
      </c>
      <c r="L152" s="476">
        <f>Leach!G152</f>
        <v>1.7433333333333335E-3</v>
      </c>
      <c r="M152" s="476">
        <f>Leach!J152</f>
        <v>5.5786666666666671E-4</v>
      </c>
      <c r="N152" s="476" t="str">
        <f>Leach!M152</f>
        <v>na</v>
      </c>
      <c r="O152" s="485" t="str">
        <f>'SD-Det'!Z152</f>
        <v>na</v>
      </c>
      <c r="P152" s="494" t="str">
        <f>'SL-Det'!I152</f>
        <v>na</v>
      </c>
      <c r="Q152" s="975" t="s">
        <v>232</v>
      </c>
      <c r="S152" s="832" t="str">
        <f t="shared" si="506"/>
        <v/>
      </c>
      <c r="T152" s="366" t="str">
        <f t="shared" si="507"/>
        <v/>
      </c>
      <c r="U152" s="366" t="str">
        <f t="shared" si="508"/>
        <v>X</v>
      </c>
      <c r="V152" s="366" t="str">
        <f t="shared" si="509"/>
        <v/>
      </c>
      <c r="W152" s="366" t="str">
        <f t="shared" si="510"/>
        <v/>
      </c>
      <c r="X152" s="366" t="str">
        <f t="shared" si="511"/>
        <v/>
      </c>
      <c r="Y152" s="989" t="str">
        <f t="shared" si="512"/>
        <v/>
      </c>
      <c r="Z152" s="832" t="str">
        <f t="shared" si="513"/>
        <v/>
      </c>
      <c r="AA152" s="366" t="str">
        <f t="shared" si="514"/>
        <v/>
      </c>
      <c r="AB152" s="366" t="str">
        <f t="shared" si="515"/>
        <v>X</v>
      </c>
      <c r="AC152" s="366" t="str">
        <f t="shared" si="516"/>
        <v/>
      </c>
      <c r="AD152" s="366" t="str">
        <f t="shared" si="517"/>
        <v/>
      </c>
      <c r="AE152" s="366" t="str">
        <f t="shared" si="518"/>
        <v/>
      </c>
      <c r="AF152" s="833" t="str">
        <f t="shared" si="519"/>
        <v/>
      </c>
      <c r="AG152" s="832" t="str">
        <f t="shared" si="520"/>
        <v/>
      </c>
      <c r="AH152" s="366" t="str">
        <f t="shared" si="521"/>
        <v>X</v>
      </c>
      <c r="AI152" s="366" t="str">
        <f t="shared" si="522"/>
        <v/>
      </c>
      <c r="AJ152" s="366" t="str">
        <f t="shared" si="523"/>
        <v/>
      </c>
      <c r="AK152" s="366" t="str">
        <f t="shared" si="524"/>
        <v/>
      </c>
      <c r="AL152" s="833" t="str">
        <f t="shared" si="525"/>
        <v/>
      </c>
      <c r="AM152" s="832" t="str">
        <f t="shared" si="526"/>
        <v/>
      </c>
      <c r="AN152" s="366" t="str">
        <f t="shared" si="527"/>
        <v>X</v>
      </c>
      <c r="AO152" s="366" t="str">
        <f t="shared" si="528"/>
        <v/>
      </c>
      <c r="AP152" s="366" t="str">
        <f t="shared" si="529"/>
        <v/>
      </c>
      <c r="AQ152" s="366" t="str">
        <f t="shared" si="530"/>
        <v/>
      </c>
      <c r="AR152" s="833" t="str">
        <f t="shared" si="531"/>
        <v/>
      </c>
      <c r="AT152" s="1062"/>
      <c r="AY152" s="4"/>
    </row>
    <row r="153" spans="1:51" ht="13.9" customHeight="1" x14ac:dyDescent="0.25">
      <c r="A153" s="846">
        <f>Chem!A153</f>
        <v>151</v>
      </c>
      <c r="B153" s="951" t="str">
        <f>Chem!B153</f>
        <v>Bromobenzene</v>
      </c>
      <c r="C153" s="946">
        <f t="shared" si="502"/>
        <v>0.56031551550298619</v>
      </c>
      <c r="D153" s="463">
        <f t="shared" si="503"/>
        <v>3.3322666666666674E-2</v>
      </c>
      <c r="E153" s="634">
        <f t="shared" si="504"/>
        <v>640</v>
      </c>
      <c r="F153" s="634">
        <f t="shared" si="505"/>
        <v>640</v>
      </c>
      <c r="G153" s="634"/>
      <c r="H153" s="467">
        <f>'SL-Det'!E153</f>
        <v>640</v>
      </c>
      <c r="I153" s="231">
        <f>Leach!F153</f>
        <v>0.56031551550298619</v>
      </c>
      <c r="J153" s="231" t="str">
        <f>Leach!I153</f>
        <v>na</v>
      </c>
      <c r="K153" s="231" t="str">
        <f>Leach!L153</f>
        <v>na</v>
      </c>
      <c r="L153" s="476">
        <f>Leach!G153</f>
        <v>3.3322666666666674E-2</v>
      </c>
      <c r="M153" s="476" t="str">
        <f>Leach!J153</f>
        <v>na</v>
      </c>
      <c r="N153" s="476" t="str">
        <f>Leach!M153</f>
        <v>na</v>
      </c>
      <c r="O153" s="485" t="str">
        <f>'SD-Det'!Z153</f>
        <v>na</v>
      </c>
      <c r="P153" s="494" t="str">
        <f>'SL-Det'!I153</f>
        <v>na</v>
      </c>
      <c r="Q153" s="975" t="s">
        <v>232</v>
      </c>
      <c r="S153" s="832" t="str">
        <f t="shared" si="506"/>
        <v/>
      </c>
      <c r="T153" s="366" t="str">
        <f t="shared" si="507"/>
        <v>X</v>
      </c>
      <c r="U153" s="366" t="str">
        <f t="shared" si="508"/>
        <v/>
      </c>
      <c r="V153" s="366" t="str">
        <f t="shared" si="509"/>
        <v/>
      </c>
      <c r="W153" s="366" t="str">
        <f t="shared" si="510"/>
        <v/>
      </c>
      <c r="X153" s="366" t="str">
        <f t="shared" si="511"/>
        <v/>
      </c>
      <c r="Y153" s="989" t="str">
        <f t="shared" si="512"/>
        <v/>
      </c>
      <c r="Z153" s="832" t="str">
        <f t="shared" si="513"/>
        <v/>
      </c>
      <c r="AA153" s="366" t="str">
        <f t="shared" si="514"/>
        <v>X</v>
      </c>
      <c r="AB153" s="366" t="str">
        <f t="shared" si="515"/>
        <v/>
      </c>
      <c r="AC153" s="366" t="str">
        <f t="shared" si="516"/>
        <v/>
      </c>
      <c r="AD153" s="366" t="str">
        <f t="shared" si="517"/>
        <v/>
      </c>
      <c r="AE153" s="366" t="str">
        <f t="shared" si="518"/>
        <v/>
      </c>
      <c r="AF153" s="833" t="str">
        <f t="shared" si="519"/>
        <v/>
      </c>
      <c r="AG153" s="832" t="str">
        <f t="shared" si="520"/>
        <v>X</v>
      </c>
      <c r="AH153" s="366" t="str">
        <f t="shared" si="521"/>
        <v/>
      </c>
      <c r="AI153" s="366" t="str">
        <f t="shared" si="522"/>
        <v/>
      </c>
      <c r="AJ153" s="366" t="str">
        <f t="shared" si="523"/>
        <v/>
      </c>
      <c r="AK153" s="366" t="str">
        <f t="shared" si="524"/>
        <v/>
      </c>
      <c r="AL153" s="833" t="str">
        <f t="shared" si="525"/>
        <v/>
      </c>
      <c r="AM153" s="832" t="str">
        <f t="shared" si="526"/>
        <v>X</v>
      </c>
      <c r="AN153" s="366" t="str">
        <f t="shared" si="527"/>
        <v/>
      </c>
      <c r="AO153" s="366" t="str">
        <f t="shared" si="528"/>
        <v/>
      </c>
      <c r="AP153" s="366" t="str">
        <f t="shared" si="529"/>
        <v/>
      </c>
      <c r="AQ153" s="366" t="str">
        <f t="shared" si="530"/>
        <v/>
      </c>
      <c r="AR153" s="833" t="str">
        <f t="shared" si="531"/>
        <v/>
      </c>
      <c r="AT153" s="1062"/>
      <c r="AY153" s="4"/>
    </row>
    <row r="154" spans="1:51" ht="13.9" customHeight="1" x14ac:dyDescent="0.25">
      <c r="A154" s="846">
        <f>Chem!A154</f>
        <v>152</v>
      </c>
      <c r="B154" s="951" t="str">
        <f>Chem!B154</f>
        <v>Bromochloromethane</v>
      </c>
      <c r="C154" s="946" t="str">
        <f t="shared" si="502"/>
        <v>na</v>
      </c>
      <c r="D154" s="463" t="str">
        <f t="shared" si="503"/>
        <v>na</v>
      </c>
      <c r="E154" s="634" t="str">
        <f t="shared" si="504"/>
        <v>na</v>
      </c>
      <c r="F154" s="634" t="str">
        <f t="shared" si="505"/>
        <v>na</v>
      </c>
      <c r="G154" s="634"/>
      <c r="H154" s="467" t="str">
        <f>'SL-Det'!E154</f>
        <v>na</v>
      </c>
      <c r="I154" s="231" t="str">
        <f>Leach!F154</f>
        <v>na</v>
      </c>
      <c r="J154" s="231" t="str">
        <f>Leach!I154</f>
        <v>na</v>
      </c>
      <c r="K154" s="231" t="str">
        <f>Leach!L154</f>
        <v>na</v>
      </c>
      <c r="L154" s="476" t="str">
        <f>Leach!G154</f>
        <v>na</v>
      </c>
      <c r="M154" s="476" t="str">
        <f>Leach!J154</f>
        <v>na</v>
      </c>
      <c r="N154" s="476" t="str">
        <f>Leach!M154</f>
        <v>na</v>
      </c>
      <c r="O154" s="485" t="str">
        <f>'SD-Det'!Z154</f>
        <v>na</v>
      </c>
      <c r="P154" s="494" t="str">
        <f>'SL-Det'!I154</f>
        <v>na</v>
      </c>
      <c r="Q154" s="975" t="s">
        <v>232</v>
      </c>
      <c r="S154" s="832" t="str">
        <f t="shared" si="506"/>
        <v/>
      </c>
      <c r="T154" s="366" t="str">
        <f t="shared" si="507"/>
        <v/>
      </c>
      <c r="U154" s="366" t="str">
        <f t="shared" si="508"/>
        <v/>
      </c>
      <c r="V154" s="366" t="str">
        <f t="shared" si="509"/>
        <v/>
      </c>
      <c r="W154" s="366" t="str">
        <f t="shared" si="510"/>
        <v/>
      </c>
      <c r="X154" s="366" t="str">
        <f t="shared" si="511"/>
        <v/>
      </c>
      <c r="Y154" s="989" t="str">
        <f t="shared" si="512"/>
        <v/>
      </c>
      <c r="Z154" s="832" t="str">
        <f t="shared" si="513"/>
        <v/>
      </c>
      <c r="AA154" s="366" t="str">
        <f t="shared" si="514"/>
        <v/>
      </c>
      <c r="AB154" s="366" t="str">
        <f t="shared" si="515"/>
        <v/>
      </c>
      <c r="AC154" s="366" t="str">
        <f t="shared" si="516"/>
        <v/>
      </c>
      <c r="AD154" s="366" t="str">
        <f t="shared" si="517"/>
        <v/>
      </c>
      <c r="AE154" s="366" t="str">
        <f t="shared" si="518"/>
        <v/>
      </c>
      <c r="AF154" s="833" t="str">
        <f t="shared" si="519"/>
        <v/>
      </c>
      <c r="AG154" s="832" t="str">
        <f t="shared" si="520"/>
        <v/>
      </c>
      <c r="AH154" s="366" t="str">
        <f t="shared" si="521"/>
        <v/>
      </c>
      <c r="AI154" s="366" t="str">
        <f t="shared" si="522"/>
        <v/>
      </c>
      <c r="AJ154" s="366" t="str">
        <f t="shared" si="523"/>
        <v/>
      </c>
      <c r="AK154" s="366" t="str">
        <f t="shared" si="524"/>
        <v/>
      </c>
      <c r="AL154" s="833" t="str">
        <f t="shared" si="525"/>
        <v/>
      </c>
      <c r="AM154" s="832" t="str">
        <f t="shared" si="526"/>
        <v/>
      </c>
      <c r="AN154" s="366" t="str">
        <f t="shared" si="527"/>
        <v/>
      </c>
      <c r="AO154" s="366" t="str">
        <f t="shared" si="528"/>
        <v/>
      </c>
      <c r="AP154" s="366" t="str">
        <f t="shared" si="529"/>
        <v/>
      </c>
      <c r="AQ154" s="366" t="str">
        <f t="shared" si="530"/>
        <v/>
      </c>
      <c r="AR154" s="833" t="str">
        <f t="shared" si="531"/>
        <v/>
      </c>
      <c r="AT154" s="1062"/>
      <c r="AY154" s="4"/>
    </row>
    <row r="155" spans="1:51" ht="13.9" customHeight="1" x14ac:dyDescent="0.25">
      <c r="A155" s="846">
        <f>Chem!A155</f>
        <v>153</v>
      </c>
      <c r="B155" s="951" t="str">
        <f>Chem!B155</f>
        <v>Bromoethane</v>
      </c>
      <c r="C155" s="946" t="str">
        <f t="shared" si="502"/>
        <v>na</v>
      </c>
      <c r="D155" s="463" t="str">
        <f t="shared" si="503"/>
        <v>na</v>
      </c>
      <c r="E155" s="634" t="str">
        <f t="shared" si="504"/>
        <v>na</v>
      </c>
      <c r="F155" s="634" t="str">
        <f t="shared" si="505"/>
        <v>na</v>
      </c>
      <c r="G155" s="634"/>
      <c r="H155" s="467" t="str">
        <f>'SL-Det'!E155</f>
        <v>na</v>
      </c>
      <c r="I155" s="231" t="str">
        <f>Leach!F155</f>
        <v>na</v>
      </c>
      <c r="J155" s="231" t="str">
        <f>Leach!I155</f>
        <v>na</v>
      </c>
      <c r="K155" s="231" t="str">
        <f>Leach!L155</f>
        <v>na</v>
      </c>
      <c r="L155" s="476" t="str">
        <f>Leach!G155</f>
        <v>na</v>
      </c>
      <c r="M155" s="476" t="str">
        <f>Leach!J155</f>
        <v>na</v>
      </c>
      <c r="N155" s="476" t="str">
        <f>Leach!M155</f>
        <v>na</v>
      </c>
      <c r="O155" s="485" t="str">
        <f>'SD-Det'!Z155</f>
        <v>na</v>
      </c>
      <c r="P155" s="494" t="str">
        <f>'SL-Det'!I155</f>
        <v>na</v>
      </c>
      <c r="Q155" s="975" t="s">
        <v>232</v>
      </c>
      <c r="S155" s="832" t="str">
        <f t="shared" si="506"/>
        <v/>
      </c>
      <c r="T155" s="366" t="str">
        <f t="shared" si="507"/>
        <v/>
      </c>
      <c r="U155" s="366" t="str">
        <f t="shared" si="508"/>
        <v/>
      </c>
      <c r="V155" s="366" t="str">
        <f t="shared" si="509"/>
        <v/>
      </c>
      <c r="W155" s="366" t="str">
        <f t="shared" si="510"/>
        <v/>
      </c>
      <c r="X155" s="366" t="str">
        <f t="shared" si="511"/>
        <v/>
      </c>
      <c r="Y155" s="989" t="str">
        <f t="shared" si="512"/>
        <v/>
      </c>
      <c r="Z155" s="832" t="str">
        <f t="shared" si="513"/>
        <v/>
      </c>
      <c r="AA155" s="366" t="str">
        <f t="shared" si="514"/>
        <v/>
      </c>
      <c r="AB155" s="366" t="str">
        <f t="shared" si="515"/>
        <v/>
      </c>
      <c r="AC155" s="366" t="str">
        <f t="shared" si="516"/>
        <v/>
      </c>
      <c r="AD155" s="366" t="str">
        <f t="shared" si="517"/>
        <v/>
      </c>
      <c r="AE155" s="366" t="str">
        <f t="shared" si="518"/>
        <v/>
      </c>
      <c r="AF155" s="833" t="str">
        <f t="shared" si="519"/>
        <v/>
      </c>
      <c r="AG155" s="832" t="str">
        <f t="shared" si="520"/>
        <v/>
      </c>
      <c r="AH155" s="366" t="str">
        <f t="shared" si="521"/>
        <v/>
      </c>
      <c r="AI155" s="366" t="str">
        <f t="shared" si="522"/>
        <v/>
      </c>
      <c r="AJ155" s="366" t="str">
        <f t="shared" si="523"/>
        <v/>
      </c>
      <c r="AK155" s="366" t="str">
        <f t="shared" si="524"/>
        <v/>
      </c>
      <c r="AL155" s="833" t="str">
        <f t="shared" si="525"/>
        <v/>
      </c>
      <c r="AM155" s="832" t="str">
        <f t="shared" si="526"/>
        <v/>
      </c>
      <c r="AN155" s="366" t="str">
        <f t="shared" si="527"/>
        <v/>
      </c>
      <c r="AO155" s="366" t="str">
        <f t="shared" si="528"/>
        <v/>
      </c>
      <c r="AP155" s="366" t="str">
        <f t="shared" si="529"/>
        <v/>
      </c>
      <c r="AQ155" s="366" t="str">
        <f t="shared" si="530"/>
        <v/>
      </c>
      <c r="AR155" s="833" t="str">
        <f t="shared" si="531"/>
        <v/>
      </c>
      <c r="AT155" s="1062"/>
      <c r="AY155" s="4"/>
    </row>
    <row r="156" spans="1:51" ht="13.9" customHeight="1" x14ac:dyDescent="0.25">
      <c r="A156" s="846">
        <f>Chem!A156</f>
        <v>154</v>
      </c>
      <c r="B156" s="951" t="str">
        <f>Chem!B156</f>
        <v>Bromoform</v>
      </c>
      <c r="C156" s="946">
        <f t="shared" si="502"/>
        <v>7.845826556938372E-2</v>
      </c>
      <c r="D156" s="463">
        <f t="shared" si="503"/>
        <v>4.9520000000000007E-3</v>
      </c>
      <c r="E156" s="634">
        <f t="shared" si="504"/>
        <v>7.845826556938372E-2</v>
      </c>
      <c r="F156" s="634">
        <f t="shared" si="505"/>
        <v>4.9520000000000007E-3</v>
      </c>
      <c r="G156" s="634"/>
      <c r="H156" s="467">
        <f>'SL-Det'!E156</f>
        <v>126.58227848101265</v>
      </c>
      <c r="I156" s="231">
        <f>Leach!F156</f>
        <v>0.36208324036503553</v>
      </c>
      <c r="J156" s="231">
        <f>Leach!I156</f>
        <v>7.845826556938372E-2</v>
      </c>
      <c r="K156" s="231" t="str">
        <f>Leach!L156</f>
        <v>na</v>
      </c>
      <c r="L156" s="476">
        <f>Leach!G156</f>
        <v>2.2853375527426154E-2</v>
      </c>
      <c r="M156" s="476">
        <f>Leach!J156</f>
        <v>4.9520000000000007E-3</v>
      </c>
      <c r="N156" s="476" t="str">
        <f>Leach!M156</f>
        <v>na</v>
      </c>
      <c r="O156" s="485" t="str">
        <f>'SD-Det'!Z156</f>
        <v>na</v>
      </c>
      <c r="P156" s="494" t="str">
        <f>'SL-Det'!I156</f>
        <v>na</v>
      </c>
      <c r="Q156" s="975" t="s">
        <v>232</v>
      </c>
      <c r="S156" s="832" t="str">
        <f t="shared" si="506"/>
        <v/>
      </c>
      <c r="T156" s="366" t="str">
        <f t="shared" si="507"/>
        <v/>
      </c>
      <c r="U156" s="366" t="str">
        <f t="shared" si="508"/>
        <v>X</v>
      </c>
      <c r="V156" s="366" t="str">
        <f t="shared" si="509"/>
        <v/>
      </c>
      <c r="W156" s="366" t="str">
        <f t="shared" si="510"/>
        <v/>
      </c>
      <c r="X156" s="366" t="str">
        <f t="shared" si="511"/>
        <v/>
      </c>
      <c r="Y156" s="989" t="str">
        <f t="shared" si="512"/>
        <v/>
      </c>
      <c r="Z156" s="832" t="str">
        <f t="shared" si="513"/>
        <v/>
      </c>
      <c r="AA156" s="366" t="str">
        <f t="shared" si="514"/>
        <v/>
      </c>
      <c r="AB156" s="366" t="str">
        <f t="shared" si="515"/>
        <v>X</v>
      </c>
      <c r="AC156" s="366" t="str">
        <f t="shared" si="516"/>
        <v/>
      </c>
      <c r="AD156" s="366" t="str">
        <f t="shared" si="517"/>
        <v/>
      </c>
      <c r="AE156" s="366" t="str">
        <f t="shared" si="518"/>
        <v/>
      </c>
      <c r="AF156" s="833" t="str">
        <f t="shared" si="519"/>
        <v/>
      </c>
      <c r="AG156" s="832" t="str">
        <f t="shared" si="520"/>
        <v/>
      </c>
      <c r="AH156" s="366" t="str">
        <f t="shared" si="521"/>
        <v>X</v>
      </c>
      <c r="AI156" s="366" t="str">
        <f t="shared" si="522"/>
        <v/>
      </c>
      <c r="AJ156" s="366" t="str">
        <f t="shared" si="523"/>
        <v/>
      </c>
      <c r="AK156" s="366" t="str">
        <f t="shared" si="524"/>
        <v/>
      </c>
      <c r="AL156" s="833" t="str">
        <f t="shared" si="525"/>
        <v/>
      </c>
      <c r="AM156" s="832" t="str">
        <f t="shared" si="526"/>
        <v/>
      </c>
      <c r="AN156" s="366" t="str">
        <f t="shared" si="527"/>
        <v>X</v>
      </c>
      <c r="AO156" s="366" t="str">
        <f t="shared" si="528"/>
        <v/>
      </c>
      <c r="AP156" s="366" t="str">
        <f t="shared" si="529"/>
        <v/>
      </c>
      <c r="AQ156" s="366" t="str">
        <f t="shared" si="530"/>
        <v/>
      </c>
      <c r="AR156" s="833" t="str">
        <f t="shared" si="531"/>
        <v/>
      </c>
      <c r="AT156" s="1062"/>
      <c r="AY156" s="4"/>
    </row>
    <row r="157" spans="1:51" ht="13.9" customHeight="1" x14ac:dyDescent="0.25">
      <c r="A157" s="846">
        <f>Chem!A157</f>
        <v>155</v>
      </c>
      <c r="B157" s="951" t="str">
        <f>Chem!B157</f>
        <v>Bromomethane</v>
      </c>
      <c r="C157" s="946">
        <f t="shared" si="502"/>
        <v>5.0892635229075917E-2</v>
      </c>
      <c r="D157" s="463">
        <f t="shared" si="503"/>
        <v>3.3114666666666671E-3</v>
      </c>
      <c r="E157" s="634">
        <f t="shared" si="504"/>
        <v>1.2179434071915605</v>
      </c>
      <c r="F157" s="634">
        <f t="shared" si="505"/>
        <v>7.924877492877494E-2</v>
      </c>
      <c r="G157" s="634"/>
      <c r="H157" s="467">
        <f>'SL-Det'!E157</f>
        <v>112</v>
      </c>
      <c r="I157" s="231">
        <f>Leach!F157</f>
        <v>5.0892635229075917E-2</v>
      </c>
      <c r="J157" s="231">
        <f>Leach!I157</f>
        <v>1.2179434071915605</v>
      </c>
      <c r="K157" s="231" t="str">
        <f>Leach!L157</f>
        <v>na</v>
      </c>
      <c r="L157" s="476">
        <f>Leach!G157</f>
        <v>3.3114666666666671E-3</v>
      </c>
      <c r="M157" s="476">
        <f>Leach!J157</f>
        <v>7.924877492877494E-2</v>
      </c>
      <c r="N157" s="476" t="str">
        <f>Leach!M157</f>
        <v>na</v>
      </c>
      <c r="O157" s="485" t="str">
        <f>'SD-Det'!Z157</f>
        <v>na</v>
      </c>
      <c r="P157" s="494" t="str">
        <f>'SL-Det'!I157</f>
        <v>na</v>
      </c>
      <c r="Q157" s="975" t="s">
        <v>232</v>
      </c>
      <c r="S157" s="832" t="str">
        <f t="shared" si="506"/>
        <v/>
      </c>
      <c r="T157" s="366" t="str">
        <f t="shared" si="507"/>
        <v>X</v>
      </c>
      <c r="U157" s="366" t="str">
        <f t="shared" si="508"/>
        <v/>
      </c>
      <c r="V157" s="366" t="str">
        <f t="shared" si="509"/>
        <v/>
      </c>
      <c r="W157" s="366" t="str">
        <f t="shared" si="510"/>
        <v/>
      </c>
      <c r="X157" s="366" t="str">
        <f t="shared" si="511"/>
        <v/>
      </c>
      <c r="Y157" s="989" t="str">
        <f t="shared" si="512"/>
        <v/>
      </c>
      <c r="Z157" s="832" t="str">
        <f t="shared" si="513"/>
        <v/>
      </c>
      <c r="AA157" s="366" t="str">
        <f t="shared" si="514"/>
        <v>X</v>
      </c>
      <c r="AB157" s="366" t="str">
        <f t="shared" si="515"/>
        <v/>
      </c>
      <c r="AC157" s="366" t="str">
        <f t="shared" si="516"/>
        <v/>
      </c>
      <c r="AD157" s="366" t="str">
        <f t="shared" si="517"/>
        <v/>
      </c>
      <c r="AE157" s="366" t="str">
        <f t="shared" si="518"/>
        <v/>
      </c>
      <c r="AF157" s="833" t="str">
        <f t="shared" si="519"/>
        <v/>
      </c>
      <c r="AG157" s="832" t="str">
        <f t="shared" si="520"/>
        <v/>
      </c>
      <c r="AH157" s="366" t="str">
        <f t="shared" si="521"/>
        <v>X</v>
      </c>
      <c r="AI157" s="366" t="str">
        <f t="shared" si="522"/>
        <v/>
      </c>
      <c r="AJ157" s="366" t="str">
        <f t="shared" si="523"/>
        <v/>
      </c>
      <c r="AK157" s="366" t="str">
        <f t="shared" si="524"/>
        <v/>
      </c>
      <c r="AL157" s="833" t="str">
        <f t="shared" si="525"/>
        <v/>
      </c>
      <c r="AM157" s="832" t="str">
        <f t="shared" si="526"/>
        <v/>
      </c>
      <c r="AN157" s="366" t="str">
        <f t="shared" si="527"/>
        <v>X</v>
      </c>
      <c r="AO157" s="366" t="str">
        <f t="shared" si="528"/>
        <v/>
      </c>
      <c r="AP157" s="366" t="str">
        <f t="shared" si="529"/>
        <v/>
      </c>
      <c r="AQ157" s="366" t="str">
        <f t="shared" si="530"/>
        <v/>
      </c>
      <c r="AR157" s="833" t="str">
        <f t="shared" si="531"/>
        <v/>
      </c>
      <c r="AT157" s="1062"/>
      <c r="AY157" s="4"/>
    </row>
    <row r="158" spans="1:51" ht="13.9" customHeight="1" x14ac:dyDescent="0.25">
      <c r="A158" s="846">
        <f>Chem!A158</f>
        <v>156</v>
      </c>
      <c r="B158" s="951" t="str">
        <f>Chem!B158</f>
        <v>2-Butoxyethanol (EGBE)</v>
      </c>
      <c r="C158" s="946">
        <f t="shared" si="502"/>
        <v>6.4903102352414912</v>
      </c>
      <c r="D158" s="463">
        <f t="shared" si="503"/>
        <v>0.46317866666666668</v>
      </c>
      <c r="E158" s="634">
        <f t="shared" si="504"/>
        <v>8000</v>
      </c>
      <c r="F158" s="634">
        <f t="shared" si="505"/>
        <v>8000</v>
      </c>
      <c r="G158" s="634"/>
      <c r="H158" s="467">
        <f>'SL-Det'!E158</f>
        <v>8000</v>
      </c>
      <c r="I158" s="231">
        <f>Leach!F158</f>
        <v>6.4903102352414912</v>
      </c>
      <c r="J158" s="231" t="str">
        <f>Leach!I158</f>
        <v>na</v>
      </c>
      <c r="K158" s="231" t="str">
        <f>Leach!L158</f>
        <v>na</v>
      </c>
      <c r="L158" s="476">
        <f>Leach!G158</f>
        <v>0.46317866666666668</v>
      </c>
      <c r="M158" s="476" t="str">
        <f>Leach!J158</f>
        <v>na</v>
      </c>
      <c r="N158" s="476" t="str">
        <f>Leach!M158</f>
        <v>na</v>
      </c>
      <c r="O158" s="485" t="str">
        <f>'SD-Det'!Z158</f>
        <v>na</v>
      </c>
      <c r="P158" s="494" t="str">
        <f>'SL-Det'!I158</f>
        <v>na</v>
      </c>
      <c r="Q158" s="975" t="s">
        <v>232</v>
      </c>
      <c r="S158" s="832" t="str">
        <f t="shared" si="506"/>
        <v/>
      </c>
      <c r="T158" s="366" t="str">
        <f t="shared" si="507"/>
        <v>X</v>
      </c>
      <c r="U158" s="366" t="str">
        <f t="shared" si="508"/>
        <v/>
      </c>
      <c r="V158" s="366" t="str">
        <f t="shared" si="509"/>
        <v/>
      </c>
      <c r="W158" s="366" t="str">
        <f t="shared" si="510"/>
        <v/>
      </c>
      <c r="X158" s="366" t="str">
        <f t="shared" si="511"/>
        <v/>
      </c>
      <c r="Y158" s="989" t="str">
        <f t="shared" si="512"/>
        <v/>
      </c>
      <c r="Z158" s="832" t="str">
        <f t="shared" si="513"/>
        <v/>
      </c>
      <c r="AA158" s="366" t="str">
        <f t="shared" si="514"/>
        <v>X</v>
      </c>
      <c r="AB158" s="366" t="str">
        <f t="shared" si="515"/>
        <v/>
      </c>
      <c r="AC158" s="366" t="str">
        <f t="shared" si="516"/>
        <v/>
      </c>
      <c r="AD158" s="366" t="str">
        <f t="shared" si="517"/>
        <v/>
      </c>
      <c r="AE158" s="366" t="str">
        <f t="shared" si="518"/>
        <v/>
      </c>
      <c r="AF158" s="833" t="str">
        <f t="shared" si="519"/>
        <v/>
      </c>
      <c r="AG158" s="832" t="str">
        <f t="shared" si="520"/>
        <v>X</v>
      </c>
      <c r="AH158" s="366" t="str">
        <f t="shared" si="521"/>
        <v/>
      </c>
      <c r="AI158" s="366" t="str">
        <f t="shared" si="522"/>
        <v/>
      </c>
      <c r="AJ158" s="366" t="str">
        <f t="shared" si="523"/>
        <v/>
      </c>
      <c r="AK158" s="366" t="str">
        <f t="shared" si="524"/>
        <v/>
      </c>
      <c r="AL158" s="833" t="str">
        <f t="shared" si="525"/>
        <v/>
      </c>
      <c r="AM158" s="832" t="str">
        <f t="shared" si="526"/>
        <v>X</v>
      </c>
      <c r="AN158" s="366" t="str">
        <f t="shared" si="527"/>
        <v/>
      </c>
      <c r="AO158" s="366" t="str">
        <f t="shared" si="528"/>
        <v/>
      </c>
      <c r="AP158" s="366" t="str">
        <f t="shared" si="529"/>
        <v/>
      </c>
      <c r="AQ158" s="366" t="str">
        <f t="shared" si="530"/>
        <v/>
      </c>
      <c r="AR158" s="833" t="str">
        <f t="shared" si="531"/>
        <v/>
      </c>
      <c r="AT158" s="1062"/>
      <c r="AY158" s="4"/>
    </row>
    <row r="159" spans="1:51" ht="13.9" customHeight="1" x14ac:dyDescent="0.25">
      <c r="A159" s="846">
        <f>Chem!A159</f>
        <v>157</v>
      </c>
      <c r="B159" s="951" t="str">
        <f>Chem!B159</f>
        <v>n-Butylbenzene</v>
      </c>
      <c r="C159" s="946">
        <f t="shared" si="502"/>
        <v>13.643430346978645</v>
      </c>
      <c r="D159" s="463">
        <f t="shared" si="503"/>
        <v>0.70666666666666667</v>
      </c>
      <c r="E159" s="634">
        <f t="shared" si="504"/>
        <v>4000</v>
      </c>
      <c r="F159" s="634">
        <f t="shared" si="505"/>
        <v>4000</v>
      </c>
      <c r="G159" s="634"/>
      <c r="H159" s="467">
        <f>'SL-Det'!E159</f>
        <v>4000</v>
      </c>
      <c r="I159" s="231">
        <f>Leach!F159</f>
        <v>13.643430346978645</v>
      </c>
      <c r="J159" s="231" t="str">
        <f>Leach!I159</f>
        <v>na</v>
      </c>
      <c r="K159" s="231" t="str">
        <f>Leach!L159</f>
        <v>na</v>
      </c>
      <c r="L159" s="476">
        <f>Leach!G159</f>
        <v>0.70666666666666667</v>
      </c>
      <c r="M159" s="476" t="str">
        <f>Leach!J159</f>
        <v>na</v>
      </c>
      <c r="N159" s="476" t="str">
        <f>Leach!M159</f>
        <v>na</v>
      </c>
      <c r="O159" s="485" t="str">
        <f>'SD-Det'!Z159</f>
        <v>na</v>
      </c>
      <c r="P159" s="494" t="str">
        <f>'SL-Det'!I159</f>
        <v>na</v>
      </c>
      <c r="Q159" s="975" t="s">
        <v>232</v>
      </c>
      <c r="S159" s="832" t="str">
        <f t="shared" si="506"/>
        <v/>
      </c>
      <c r="T159" s="366" t="str">
        <f t="shared" si="507"/>
        <v>X</v>
      </c>
      <c r="U159" s="366" t="str">
        <f t="shared" si="508"/>
        <v/>
      </c>
      <c r="V159" s="366" t="str">
        <f t="shared" si="509"/>
        <v/>
      </c>
      <c r="W159" s="366" t="str">
        <f t="shared" si="510"/>
        <v/>
      </c>
      <c r="X159" s="366" t="str">
        <f t="shared" si="511"/>
        <v/>
      </c>
      <c r="Y159" s="989" t="str">
        <f t="shared" si="512"/>
        <v/>
      </c>
      <c r="Z159" s="832" t="str">
        <f t="shared" si="513"/>
        <v/>
      </c>
      <c r="AA159" s="366" t="str">
        <f t="shared" si="514"/>
        <v>X</v>
      </c>
      <c r="AB159" s="366" t="str">
        <f t="shared" si="515"/>
        <v/>
      </c>
      <c r="AC159" s="366" t="str">
        <f t="shared" si="516"/>
        <v/>
      </c>
      <c r="AD159" s="366" t="str">
        <f t="shared" si="517"/>
        <v/>
      </c>
      <c r="AE159" s="366" t="str">
        <f t="shared" si="518"/>
        <v/>
      </c>
      <c r="AF159" s="833" t="str">
        <f t="shared" si="519"/>
        <v/>
      </c>
      <c r="AG159" s="832" t="str">
        <f t="shared" si="520"/>
        <v>X</v>
      </c>
      <c r="AH159" s="366" t="str">
        <f t="shared" si="521"/>
        <v/>
      </c>
      <c r="AI159" s="366" t="str">
        <f t="shared" si="522"/>
        <v/>
      </c>
      <c r="AJ159" s="366" t="str">
        <f t="shared" si="523"/>
        <v/>
      </c>
      <c r="AK159" s="366" t="str">
        <f t="shared" si="524"/>
        <v/>
      </c>
      <c r="AL159" s="833" t="str">
        <f t="shared" si="525"/>
        <v/>
      </c>
      <c r="AM159" s="832" t="str">
        <f t="shared" si="526"/>
        <v>X</v>
      </c>
      <c r="AN159" s="366" t="str">
        <f t="shared" si="527"/>
        <v/>
      </c>
      <c r="AO159" s="366" t="str">
        <f t="shared" si="528"/>
        <v/>
      </c>
      <c r="AP159" s="366" t="str">
        <f t="shared" si="529"/>
        <v/>
      </c>
      <c r="AQ159" s="366" t="str">
        <f t="shared" si="530"/>
        <v/>
      </c>
      <c r="AR159" s="833" t="str">
        <f t="shared" si="531"/>
        <v/>
      </c>
      <c r="AT159" s="1062"/>
      <c r="AY159" s="4"/>
    </row>
    <row r="160" spans="1:51" ht="13.9" customHeight="1" x14ac:dyDescent="0.25">
      <c r="A160" s="846">
        <f>Chem!A160</f>
        <v>158</v>
      </c>
      <c r="B160" s="951" t="str">
        <f>Chem!B160</f>
        <v>sec-Butylbenzene</v>
      </c>
      <c r="C160" s="946">
        <f t="shared" si="502"/>
        <v>24.861416987487097</v>
      </c>
      <c r="D160" s="463">
        <f t="shared" si="503"/>
        <v>1.2933333333333334</v>
      </c>
      <c r="E160" s="634">
        <f t="shared" si="504"/>
        <v>8000</v>
      </c>
      <c r="F160" s="634">
        <f t="shared" si="505"/>
        <v>8000</v>
      </c>
      <c r="G160" s="634"/>
      <c r="H160" s="467">
        <f>'SL-Det'!E160</f>
        <v>8000</v>
      </c>
      <c r="I160" s="231">
        <f>Leach!F160</f>
        <v>24.861416987487097</v>
      </c>
      <c r="J160" s="231" t="str">
        <f>Leach!I160</f>
        <v>na</v>
      </c>
      <c r="K160" s="231" t="str">
        <f>Leach!L160</f>
        <v>na</v>
      </c>
      <c r="L160" s="476">
        <f>Leach!G160</f>
        <v>1.2933333333333334</v>
      </c>
      <c r="M160" s="476" t="str">
        <f>Leach!J160</f>
        <v>na</v>
      </c>
      <c r="N160" s="476" t="str">
        <f>Leach!M160</f>
        <v>na</v>
      </c>
      <c r="O160" s="485" t="str">
        <f>'SD-Det'!Z160</f>
        <v>na</v>
      </c>
      <c r="P160" s="494" t="str">
        <f>'SL-Det'!I160</f>
        <v>na</v>
      </c>
      <c r="Q160" s="975" t="s">
        <v>232</v>
      </c>
      <c r="S160" s="832" t="str">
        <f t="shared" si="506"/>
        <v/>
      </c>
      <c r="T160" s="366" t="str">
        <f t="shared" si="507"/>
        <v>X</v>
      </c>
      <c r="U160" s="366" t="str">
        <f t="shared" si="508"/>
        <v/>
      </c>
      <c r="V160" s="366" t="str">
        <f t="shared" si="509"/>
        <v/>
      </c>
      <c r="W160" s="366" t="str">
        <f t="shared" si="510"/>
        <v/>
      </c>
      <c r="X160" s="366" t="str">
        <f t="shared" si="511"/>
        <v/>
      </c>
      <c r="Y160" s="989" t="str">
        <f t="shared" si="512"/>
        <v/>
      </c>
      <c r="Z160" s="832" t="str">
        <f t="shared" si="513"/>
        <v/>
      </c>
      <c r="AA160" s="366" t="str">
        <f t="shared" si="514"/>
        <v>X</v>
      </c>
      <c r="AB160" s="366" t="str">
        <f t="shared" si="515"/>
        <v/>
      </c>
      <c r="AC160" s="366" t="str">
        <f t="shared" si="516"/>
        <v/>
      </c>
      <c r="AD160" s="366" t="str">
        <f t="shared" si="517"/>
        <v/>
      </c>
      <c r="AE160" s="366" t="str">
        <f t="shared" si="518"/>
        <v/>
      </c>
      <c r="AF160" s="833" t="str">
        <f t="shared" si="519"/>
        <v/>
      </c>
      <c r="AG160" s="832" t="str">
        <f t="shared" si="520"/>
        <v>X</v>
      </c>
      <c r="AH160" s="366" t="str">
        <f t="shared" si="521"/>
        <v/>
      </c>
      <c r="AI160" s="366" t="str">
        <f t="shared" si="522"/>
        <v/>
      </c>
      <c r="AJ160" s="366" t="str">
        <f t="shared" si="523"/>
        <v/>
      </c>
      <c r="AK160" s="366" t="str">
        <f t="shared" si="524"/>
        <v/>
      </c>
      <c r="AL160" s="833" t="str">
        <f t="shared" si="525"/>
        <v/>
      </c>
      <c r="AM160" s="832" t="str">
        <f t="shared" si="526"/>
        <v>X</v>
      </c>
      <c r="AN160" s="366" t="str">
        <f t="shared" si="527"/>
        <v/>
      </c>
      <c r="AO160" s="366" t="str">
        <f t="shared" si="528"/>
        <v/>
      </c>
      <c r="AP160" s="366" t="str">
        <f t="shared" si="529"/>
        <v/>
      </c>
      <c r="AQ160" s="366" t="str">
        <f t="shared" si="530"/>
        <v/>
      </c>
      <c r="AR160" s="833" t="str">
        <f t="shared" si="531"/>
        <v/>
      </c>
      <c r="AT160" s="1062"/>
      <c r="AY160" s="4"/>
    </row>
    <row r="161" spans="1:51" ht="13.9" customHeight="1" x14ac:dyDescent="0.25">
      <c r="A161" s="846">
        <f>Chem!A161</f>
        <v>159</v>
      </c>
      <c r="B161" s="951" t="str">
        <f>Chem!B161</f>
        <v>tert-Butylbenzene</v>
      </c>
      <c r="C161" s="946">
        <f t="shared" si="502"/>
        <v>19.484994253854921</v>
      </c>
      <c r="D161" s="463">
        <f t="shared" si="503"/>
        <v>1.0293333333333334</v>
      </c>
      <c r="E161" s="634">
        <f t="shared" si="504"/>
        <v>8000</v>
      </c>
      <c r="F161" s="634">
        <f t="shared" si="505"/>
        <v>8000</v>
      </c>
      <c r="G161" s="634"/>
      <c r="H161" s="467">
        <f>'SL-Det'!E161</f>
        <v>8000</v>
      </c>
      <c r="I161" s="231">
        <f>Leach!F161</f>
        <v>19.484994253854921</v>
      </c>
      <c r="J161" s="231" t="str">
        <f>Leach!I161</f>
        <v>na</v>
      </c>
      <c r="K161" s="231" t="str">
        <f>Leach!L161</f>
        <v>na</v>
      </c>
      <c r="L161" s="476">
        <f>Leach!G161</f>
        <v>1.0293333333333334</v>
      </c>
      <c r="M161" s="476" t="str">
        <f>Leach!J161</f>
        <v>na</v>
      </c>
      <c r="N161" s="476" t="str">
        <f>Leach!M161</f>
        <v>na</v>
      </c>
      <c r="O161" s="485" t="str">
        <f>'SD-Det'!Z161</f>
        <v>na</v>
      </c>
      <c r="P161" s="494" t="str">
        <f>'SL-Det'!I161</f>
        <v>na</v>
      </c>
      <c r="Q161" s="975" t="s">
        <v>232</v>
      </c>
      <c r="S161" s="832" t="str">
        <f t="shared" si="506"/>
        <v/>
      </c>
      <c r="T161" s="366" t="str">
        <f t="shared" si="507"/>
        <v>X</v>
      </c>
      <c r="U161" s="366" t="str">
        <f t="shared" si="508"/>
        <v/>
      </c>
      <c r="V161" s="366" t="str">
        <f t="shared" si="509"/>
        <v/>
      </c>
      <c r="W161" s="366" t="str">
        <f t="shared" si="510"/>
        <v/>
      </c>
      <c r="X161" s="366" t="str">
        <f t="shared" si="511"/>
        <v/>
      </c>
      <c r="Y161" s="989" t="str">
        <f t="shared" si="512"/>
        <v/>
      </c>
      <c r="Z161" s="832" t="str">
        <f t="shared" si="513"/>
        <v/>
      </c>
      <c r="AA161" s="366" t="str">
        <f t="shared" si="514"/>
        <v>X</v>
      </c>
      <c r="AB161" s="366" t="str">
        <f t="shared" si="515"/>
        <v/>
      </c>
      <c r="AC161" s="366" t="str">
        <f t="shared" si="516"/>
        <v/>
      </c>
      <c r="AD161" s="366" t="str">
        <f t="shared" si="517"/>
        <v/>
      </c>
      <c r="AE161" s="366" t="str">
        <f t="shared" si="518"/>
        <v/>
      </c>
      <c r="AF161" s="833" t="str">
        <f t="shared" si="519"/>
        <v/>
      </c>
      <c r="AG161" s="832" t="str">
        <f t="shared" si="520"/>
        <v>X</v>
      </c>
      <c r="AH161" s="366" t="str">
        <f t="shared" si="521"/>
        <v/>
      </c>
      <c r="AI161" s="366" t="str">
        <f t="shared" si="522"/>
        <v/>
      </c>
      <c r="AJ161" s="366" t="str">
        <f t="shared" si="523"/>
        <v/>
      </c>
      <c r="AK161" s="366" t="str">
        <f t="shared" si="524"/>
        <v/>
      </c>
      <c r="AL161" s="833" t="str">
        <f t="shared" si="525"/>
        <v/>
      </c>
      <c r="AM161" s="832" t="str">
        <f t="shared" si="526"/>
        <v>X</v>
      </c>
      <c r="AN161" s="366" t="str">
        <f t="shared" si="527"/>
        <v/>
      </c>
      <c r="AO161" s="366" t="str">
        <f t="shared" si="528"/>
        <v/>
      </c>
      <c r="AP161" s="366" t="str">
        <f t="shared" si="529"/>
        <v/>
      </c>
      <c r="AQ161" s="366" t="str">
        <f t="shared" si="530"/>
        <v/>
      </c>
      <c r="AR161" s="833" t="str">
        <f t="shared" si="531"/>
        <v/>
      </c>
      <c r="AT161" s="1062"/>
      <c r="AY161" s="4"/>
    </row>
    <row r="162" spans="1:51" ht="13.9" customHeight="1" x14ac:dyDescent="0.25">
      <c r="A162" s="846">
        <f>Chem!A162</f>
        <v>160</v>
      </c>
      <c r="B162" s="951" t="str">
        <f>Chem!B162</f>
        <v>Carbon disulfide</v>
      </c>
      <c r="C162" s="946">
        <f t="shared" si="502"/>
        <v>4.0779139279935581</v>
      </c>
      <c r="D162" s="463">
        <f t="shared" si="503"/>
        <v>0.24669333333333335</v>
      </c>
      <c r="E162" s="634">
        <f t="shared" si="504"/>
        <v>8000</v>
      </c>
      <c r="F162" s="634">
        <f t="shared" si="505"/>
        <v>8000</v>
      </c>
      <c r="G162" s="634"/>
      <c r="H162" s="467">
        <f>'SL-Det'!E162</f>
        <v>8000</v>
      </c>
      <c r="I162" s="231">
        <f>Leach!F162</f>
        <v>4.0779139279935581</v>
      </c>
      <c r="J162" s="231" t="str">
        <f>Leach!I162</f>
        <v>na</v>
      </c>
      <c r="K162" s="231" t="str">
        <f>Leach!L162</f>
        <v>na</v>
      </c>
      <c r="L162" s="476">
        <f>Leach!G162</f>
        <v>0.24669333333333335</v>
      </c>
      <c r="M162" s="476" t="str">
        <f>Leach!J162</f>
        <v>na</v>
      </c>
      <c r="N162" s="476" t="str">
        <f>Leach!M162</f>
        <v>na</v>
      </c>
      <c r="O162" s="485" t="str">
        <f>'SD-Det'!Z162</f>
        <v>na</v>
      </c>
      <c r="P162" s="494" t="str">
        <f>'SL-Det'!I162</f>
        <v>na</v>
      </c>
      <c r="Q162" s="975" t="s">
        <v>232</v>
      </c>
      <c r="S162" s="832" t="str">
        <f t="shared" si="506"/>
        <v/>
      </c>
      <c r="T162" s="366" t="str">
        <f t="shared" si="507"/>
        <v>X</v>
      </c>
      <c r="U162" s="366" t="str">
        <f t="shared" si="508"/>
        <v/>
      </c>
      <c r="V162" s="366" t="str">
        <f t="shared" si="509"/>
        <v/>
      </c>
      <c r="W162" s="366" t="str">
        <f t="shared" si="510"/>
        <v/>
      </c>
      <c r="X162" s="366" t="str">
        <f t="shared" si="511"/>
        <v/>
      </c>
      <c r="Y162" s="989" t="str">
        <f t="shared" si="512"/>
        <v/>
      </c>
      <c r="Z162" s="832" t="str">
        <f t="shared" si="513"/>
        <v/>
      </c>
      <c r="AA162" s="366" t="str">
        <f t="shared" si="514"/>
        <v>X</v>
      </c>
      <c r="AB162" s="366" t="str">
        <f t="shared" si="515"/>
        <v/>
      </c>
      <c r="AC162" s="366" t="str">
        <f t="shared" si="516"/>
        <v/>
      </c>
      <c r="AD162" s="366" t="str">
        <f t="shared" si="517"/>
        <v/>
      </c>
      <c r="AE162" s="366" t="str">
        <f t="shared" si="518"/>
        <v/>
      </c>
      <c r="AF162" s="833" t="str">
        <f t="shared" si="519"/>
        <v/>
      </c>
      <c r="AG162" s="832" t="str">
        <f t="shared" si="520"/>
        <v>X</v>
      </c>
      <c r="AH162" s="366" t="str">
        <f t="shared" si="521"/>
        <v/>
      </c>
      <c r="AI162" s="366" t="str">
        <f t="shared" si="522"/>
        <v/>
      </c>
      <c r="AJ162" s="366" t="str">
        <f t="shared" si="523"/>
        <v/>
      </c>
      <c r="AK162" s="366" t="str">
        <f t="shared" si="524"/>
        <v/>
      </c>
      <c r="AL162" s="833" t="str">
        <f t="shared" si="525"/>
        <v/>
      </c>
      <c r="AM162" s="832" t="str">
        <f t="shared" si="526"/>
        <v>X</v>
      </c>
      <c r="AN162" s="366" t="str">
        <f t="shared" si="527"/>
        <v/>
      </c>
      <c r="AO162" s="366" t="str">
        <f t="shared" si="528"/>
        <v/>
      </c>
      <c r="AP162" s="366" t="str">
        <f t="shared" si="529"/>
        <v/>
      </c>
      <c r="AQ162" s="366" t="str">
        <f t="shared" si="530"/>
        <v/>
      </c>
      <c r="AR162" s="833" t="str">
        <f t="shared" si="531"/>
        <v/>
      </c>
      <c r="AT162" s="1062"/>
      <c r="AY162" s="4"/>
    </row>
    <row r="163" spans="1:51" ht="13.9" customHeight="1" x14ac:dyDescent="0.25">
      <c r="A163" s="846">
        <f>Chem!A163</f>
        <v>161</v>
      </c>
      <c r="B163" s="951" t="str">
        <f>Chem!B163</f>
        <v>Carbon tetrachloride</v>
      </c>
      <c r="C163" s="946">
        <f t="shared" si="502"/>
        <v>2.8736358148389062E-3</v>
      </c>
      <c r="D163" s="463">
        <f t="shared" si="503"/>
        <v>1.5353333333333332E-4</v>
      </c>
      <c r="E163" s="634">
        <f t="shared" si="504"/>
        <v>2.8736358148389062E-3</v>
      </c>
      <c r="F163" s="634">
        <f t="shared" si="505"/>
        <v>1.5353333333333332E-4</v>
      </c>
      <c r="G163" s="634"/>
      <c r="H163" s="467">
        <f>'SL-Det'!E163</f>
        <v>14.285714285714285</v>
      </c>
      <c r="I163" s="231">
        <f>Leach!F163</f>
        <v>4.1051940211984383E-2</v>
      </c>
      <c r="J163" s="231">
        <f>Leach!I163</f>
        <v>2.8736358148389062E-3</v>
      </c>
      <c r="K163" s="231" t="str">
        <f>Leach!L163</f>
        <v>na</v>
      </c>
      <c r="L163" s="476">
        <f>Leach!G163</f>
        <v>2.1933333333333332E-3</v>
      </c>
      <c r="M163" s="476">
        <f>Leach!J163</f>
        <v>1.5353333333333332E-4</v>
      </c>
      <c r="N163" s="476" t="str">
        <f>Leach!M163</f>
        <v>na</v>
      </c>
      <c r="O163" s="485" t="str">
        <f>'SD-Det'!Z163</f>
        <v>na</v>
      </c>
      <c r="P163" s="494" t="str">
        <f>'SL-Det'!I163</f>
        <v>na</v>
      </c>
      <c r="Q163" s="975" t="s">
        <v>232</v>
      </c>
      <c r="S163" s="832" t="str">
        <f t="shared" si="506"/>
        <v/>
      </c>
      <c r="T163" s="366" t="str">
        <f t="shared" si="507"/>
        <v/>
      </c>
      <c r="U163" s="366" t="str">
        <f t="shared" si="508"/>
        <v>X</v>
      </c>
      <c r="V163" s="366" t="str">
        <f t="shared" si="509"/>
        <v/>
      </c>
      <c r="W163" s="366" t="str">
        <f t="shared" si="510"/>
        <v/>
      </c>
      <c r="X163" s="366" t="str">
        <f t="shared" si="511"/>
        <v/>
      </c>
      <c r="Y163" s="989" t="str">
        <f t="shared" si="512"/>
        <v/>
      </c>
      <c r="Z163" s="832" t="str">
        <f t="shared" si="513"/>
        <v/>
      </c>
      <c r="AA163" s="366" t="str">
        <f t="shared" si="514"/>
        <v/>
      </c>
      <c r="AB163" s="366" t="str">
        <f t="shared" si="515"/>
        <v>X</v>
      </c>
      <c r="AC163" s="366" t="str">
        <f t="shared" si="516"/>
        <v/>
      </c>
      <c r="AD163" s="366" t="str">
        <f t="shared" si="517"/>
        <v/>
      </c>
      <c r="AE163" s="366" t="str">
        <f t="shared" si="518"/>
        <v/>
      </c>
      <c r="AF163" s="833" t="str">
        <f t="shared" si="519"/>
        <v/>
      </c>
      <c r="AG163" s="832" t="str">
        <f t="shared" si="520"/>
        <v/>
      </c>
      <c r="AH163" s="366" t="str">
        <f t="shared" si="521"/>
        <v>X</v>
      </c>
      <c r="AI163" s="366" t="str">
        <f t="shared" si="522"/>
        <v/>
      </c>
      <c r="AJ163" s="366" t="str">
        <f t="shared" si="523"/>
        <v/>
      </c>
      <c r="AK163" s="366" t="str">
        <f t="shared" si="524"/>
        <v/>
      </c>
      <c r="AL163" s="833" t="str">
        <f t="shared" si="525"/>
        <v/>
      </c>
      <c r="AM163" s="832" t="str">
        <f t="shared" si="526"/>
        <v/>
      </c>
      <c r="AN163" s="366" t="str">
        <f t="shared" si="527"/>
        <v>X</v>
      </c>
      <c r="AO163" s="366" t="str">
        <f t="shared" si="528"/>
        <v/>
      </c>
      <c r="AP163" s="366" t="str">
        <f t="shared" si="529"/>
        <v/>
      </c>
      <c r="AQ163" s="366" t="str">
        <f t="shared" si="530"/>
        <v/>
      </c>
      <c r="AR163" s="833" t="str">
        <f t="shared" si="531"/>
        <v/>
      </c>
      <c r="AT163" s="1062"/>
      <c r="AY163" s="4"/>
    </row>
    <row r="164" spans="1:51" ht="13.9" customHeight="1" x14ac:dyDescent="0.25">
      <c r="A164" s="846">
        <f>Chem!A164</f>
        <v>162</v>
      </c>
      <c r="B164" s="951" t="str">
        <f>Chem!B164</f>
        <v>Chlorobenzene</v>
      </c>
      <c r="C164" s="946">
        <f t="shared" si="502"/>
        <v>0.85949147924067359</v>
      </c>
      <c r="D164" s="463">
        <f t="shared" si="503"/>
        <v>5.1066666666666677E-2</v>
      </c>
      <c r="E164" s="634">
        <f t="shared" si="504"/>
        <v>1.7189829584813472</v>
      </c>
      <c r="F164" s="634">
        <f t="shared" si="505"/>
        <v>0.10213333333333335</v>
      </c>
      <c r="G164" s="634"/>
      <c r="H164" s="467">
        <f>'SL-Det'!E164</f>
        <v>1600</v>
      </c>
      <c r="I164" s="231">
        <f>Leach!F164</f>
        <v>0.85949147924067359</v>
      </c>
      <c r="J164" s="231">
        <f>Leach!I164</f>
        <v>1.7189829584813472</v>
      </c>
      <c r="K164" s="231" t="str">
        <f>Leach!L164</f>
        <v>na</v>
      </c>
      <c r="L164" s="476">
        <f>Leach!G164</f>
        <v>5.1066666666666677E-2</v>
      </c>
      <c r="M164" s="476">
        <f>Leach!J164</f>
        <v>0.10213333333333335</v>
      </c>
      <c r="N164" s="476" t="str">
        <f>Leach!M164</f>
        <v>na</v>
      </c>
      <c r="O164" s="485" t="str">
        <f>'SD-Det'!Z164</f>
        <v>na</v>
      </c>
      <c r="P164" s="494">
        <f>'SL-Det'!I164</f>
        <v>40</v>
      </c>
      <c r="Q164" s="975" t="s">
        <v>232</v>
      </c>
      <c r="S164" s="832" t="str">
        <f t="shared" si="506"/>
        <v/>
      </c>
      <c r="T164" s="366" t="str">
        <f t="shared" si="507"/>
        <v>X</v>
      </c>
      <c r="U164" s="366" t="str">
        <f t="shared" si="508"/>
        <v/>
      </c>
      <c r="V164" s="366" t="str">
        <f t="shared" si="509"/>
        <v/>
      </c>
      <c r="W164" s="366" t="str">
        <f t="shared" si="510"/>
        <v/>
      </c>
      <c r="X164" s="366" t="str">
        <f t="shared" si="511"/>
        <v/>
      </c>
      <c r="Y164" s="989" t="str">
        <f t="shared" si="512"/>
        <v/>
      </c>
      <c r="Z164" s="832" t="str">
        <f t="shared" si="513"/>
        <v/>
      </c>
      <c r="AA164" s="366" t="str">
        <f t="shared" si="514"/>
        <v>X</v>
      </c>
      <c r="AB164" s="366" t="str">
        <f t="shared" si="515"/>
        <v/>
      </c>
      <c r="AC164" s="366" t="str">
        <f t="shared" si="516"/>
        <v/>
      </c>
      <c r="AD164" s="366" t="str">
        <f t="shared" si="517"/>
        <v/>
      </c>
      <c r="AE164" s="366" t="str">
        <f t="shared" si="518"/>
        <v/>
      </c>
      <c r="AF164" s="833" t="str">
        <f t="shared" si="519"/>
        <v/>
      </c>
      <c r="AG164" s="832" t="str">
        <f t="shared" si="520"/>
        <v/>
      </c>
      <c r="AH164" s="366" t="str">
        <f t="shared" si="521"/>
        <v>X</v>
      </c>
      <c r="AI164" s="366" t="str">
        <f t="shared" si="522"/>
        <v/>
      </c>
      <c r="AJ164" s="366" t="str">
        <f t="shared" si="523"/>
        <v/>
      </c>
      <c r="AK164" s="366" t="str">
        <f t="shared" si="524"/>
        <v/>
      </c>
      <c r="AL164" s="833" t="str">
        <f t="shared" si="525"/>
        <v/>
      </c>
      <c r="AM164" s="832" t="str">
        <f t="shared" si="526"/>
        <v/>
      </c>
      <c r="AN164" s="366" t="str">
        <f t="shared" si="527"/>
        <v>X</v>
      </c>
      <c r="AO164" s="366" t="str">
        <f t="shared" si="528"/>
        <v/>
      </c>
      <c r="AP164" s="366" t="str">
        <f t="shared" si="529"/>
        <v/>
      </c>
      <c r="AQ164" s="366" t="str">
        <f t="shared" si="530"/>
        <v/>
      </c>
      <c r="AR164" s="833" t="str">
        <f t="shared" si="531"/>
        <v/>
      </c>
      <c r="AT164" s="1062"/>
      <c r="AY164" s="4"/>
    </row>
    <row r="165" spans="1:51" ht="13.9" customHeight="1" x14ac:dyDescent="0.25">
      <c r="A165" s="846">
        <f>Chem!A165</f>
        <v>163</v>
      </c>
      <c r="B165" s="951" t="str">
        <f>Chem!B165</f>
        <v>Chloroethane</v>
      </c>
      <c r="C165" s="946" t="str">
        <f t="shared" si="502"/>
        <v>na</v>
      </c>
      <c r="D165" s="463" t="str">
        <f t="shared" si="503"/>
        <v>na</v>
      </c>
      <c r="E165" s="634" t="str">
        <f t="shared" si="504"/>
        <v>na</v>
      </c>
      <c r="F165" s="634" t="str">
        <f t="shared" si="505"/>
        <v>na</v>
      </c>
      <c r="G165" s="634"/>
      <c r="H165" s="467" t="str">
        <f>'SL-Det'!E165</f>
        <v>na</v>
      </c>
      <c r="I165" s="231" t="str">
        <f>Leach!F165</f>
        <v>na</v>
      </c>
      <c r="J165" s="231" t="str">
        <f>Leach!I165</f>
        <v>na</v>
      </c>
      <c r="K165" s="231" t="str">
        <f>Leach!L165</f>
        <v>na</v>
      </c>
      <c r="L165" s="476" t="str">
        <f>Leach!G165</f>
        <v>na</v>
      </c>
      <c r="M165" s="476" t="str">
        <f>Leach!J165</f>
        <v>na</v>
      </c>
      <c r="N165" s="476" t="str">
        <f>Leach!M165</f>
        <v>na</v>
      </c>
      <c r="O165" s="485" t="str">
        <f>'SD-Det'!Z165</f>
        <v>na</v>
      </c>
      <c r="P165" s="494" t="str">
        <f>'SL-Det'!I165</f>
        <v>na</v>
      </c>
      <c r="Q165" s="975" t="s">
        <v>232</v>
      </c>
      <c r="S165" s="832" t="str">
        <f t="shared" si="506"/>
        <v/>
      </c>
      <c r="T165" s="366" t="str">
        <f t="shared" si="507"/>
        <v/>
      </c>
      <c r="U165" s="366" t="str">
        <f t="shared" si="508"/>
        <v/>
      </c>
      <c r="V165" s="366" t="str">
        <f t="shared" si="509"/>
        <v/>
      </c>
      <c r="W165" s="366" t="str">
        <f t="shared" si="510"/>
        <v/>
      </c>
      <c r="X165" s="366" t="str">
        <f t="shared" si="511"/>
        <v/>
      </c>
      <c r="Y165" s="989" t="str">
        <f t="shared" si="512"/>
        <v/>
      </c>
      <c r="Z165" s="832" t="str">
        <f t="shared" si="513"/>
        <v/>
      </c>
      <c r="AA165" s="366" t="str">
        <f t="shared" si="514"/>
        <v/>
      </c>
      <c r="AB165" s="366" t="str">
        <f t="shared" si="515"/>
        <v/>
      </c>
      <c r="AC165" s="366" t="str">
        <f t="shared" si="516"/>
        <v/>
      </c>
      <c r="AD165" s="366" t="str">
        <f t="shared" si="517"/>
        <v/>
      </c>
      <c r="AE165" s="366" t="str">
        <f t="shared" si="518"/>
        <v/>
      </c>
      <c r="AF165" s="833" t="str">
        <f t="shared" si="519"/>
        <v/>
      </c>
      <c r="AG165" s="832" t="str">
        <f t="shared" si="520"/>
        <v/>
      </c>
      <c r="AH165" s="366" t="str">
        <f t="shared" si="521"/>
        <v/>
      </c>
      <c r="AI165" s="366" t="str">
        <f t="shared" si="522"/>
        <v/>
      </c>
      <c r="AJ165" s="366" t="str">
        <f t="shared" si="523"/>
        <v/>
      </c>
      <c r="AK165" s="366" t="str">
        <f t="shared" si="524"/>
        <v/>
      </c>
      <c r="AL165" s="833" t="str">
        <f t="shared" si="525"/>
        <v/>
      </c>
      <c r="AM165" s="832" t="str">
        <f t="shared" si="526"/>
        <v/>
      </c>
      <c r="AN165" s="366" t="str">
        <f t="shared" si="527"/>
        <v/>
      </c>
      <c r="AO165" s="366" t="str">
        <f t="shared" si="528"/>
        <v/>
      </c>
      <c r="AP165" s="366" t="str">
        <f t="shared" si="529"/>
        <v/>
      </c>
      <c r="AQ165" s="366" t="str">
        <f t="shared" si="530"/>
        <v/>
      </c>
      <c r="AR165" s="833" t="str">
        <f t="shared" si="531"/>
        <v/>
      </c>
      <c r="AT165" s="1062"/>
      <c r="AY165" s="4"/>
    </row>
    <row r="166" spans="1:51" ht="13.9" customHeight="1" x14ac:dyDescent="0.25">
      <c r="A166" s="846">
        <f>Chem!A166</f>
        <v>164</v>
      </c>
      <c r="B166" s="951" t="str">
        <f>Chem!B166</f>
        <v>2-Chloroethyl vinyl ether</v>
      </c>
      <c r="C166" s="946" t="str">
        <f t="shared" si="502"/>
        <v>na</v>
      </c>
      <c r="D166" s="463" t="str">
        <f t="shared" si="503"/>
        <v>na</v>
      </c>
      <c r="E166" s="634" t="str">
        <f t="shared" si="504"/>
        <v>na</v>
      </c>
      <c r="F166" s="634" t="str">
        <f t="shared" si="505"/>
        <v>na</v>
      </c>
      <c r="G166" s="634"/>
      <c r="H166" s="467" t="str">
        <f>'SL-Det'!E166</f>
        <v>na</v>
      </c>
      <c r="I166" s="231" t="str">
        <f>Leach!F166</f>
        <v>na</v>
      </c>
      <c r="J166" s="231" t="str">
        <f>Leach!I166</f>
        <v>na</v>
      </c>
      <c r="K166" s="231" t="str">
        <f>Leach!L166</f>
        <v>na</v>
      </c>
      <c r="L166" s="476" t="str">
        <f>Leach!G166</f>
        <v>na</v>
      </c>
      <c r="M166" s="476" t="str">
        <f>Leach!J166</f>
        <v>na</v>
      </c>
      <c r="N166" s="476" t="str">
        <f>Leach!M166</f>
        <v>na</v>
      </c>
      <c r="O166" s="485" t="str">
        <f>'SD-Det'!Z166</f>
        <v>na</v>
      </c>
      <c r="P166" s="494" t="str">
        <f>'SL-Det'!I166</f>
        <v>na</v>
      </c>
      <c r="Q166" s="975" t="s">
        <v>232</v>
      </c>
      <c r="S166" s="832" t="str">
        <f t="shared" si="506"/>
        <v/>
      </c>
      <c r="T166" s="366" t="str">
        <f t="shared" si="507"/>
        <v/>
      </c>
      <c r="U166" s="366" t="str">
        <f t="shared" si="508"/>
        <v/>
      </c>
      <c r="V166" s="366" t="str">
        <f t="shared" si="509"/>
        <v/>
      </c>
      <c r="W166" s="366" t="str">
        <f t="shared" si="510"/>
        <v/>
      </c>
      <c r="X166" s="366" t="str">
        <f t="shared" si="511"/>
        <v/>
      </c>
      <c r="Y166" s="989" t="str">
        <f t="shared" si="512"/>
        <v/>
      </c>
      <c r="Z166" s="832" t="str">
        <f t="shared" si="513"/>
        <v/>
      </c>
      <c r="AA166" s="366" t="str">
        <f t="shared" si="514"/>
        <v/>
      </c>
      <c r="AB166" s="366" t="str">
        <f t="shared" si="515"/>
        <v/>
      </c>
      <c r="AC166" s="366" t="str">
        <f t="shared" si="516"/>
        <v/>
      </c>
      <c r="AD166" s="366" t="str">
        <f t="shared" si="517"/>
        <v/>
      </c>
      <c r="AE166" s="366" t="str">
        <f t="shared" si="518"/>
        <v/>
      </c>
      <c r="AF166" s="833" t="str">
        <f t="shared" si="519"/>
        <v/>
      </c>
      <c r="AG166" s="832" t="str">
        <f t="shared" si="520"/>
        <v/>
      </c>
      <c r="AH166" s="366" t="str">
        <f t="shared" si="521"/>
        <v/>
      </c>
      <c r="AI166" s="366" t="str">
        <f t="shared" si="522"/>
        <v/>
      </c>
      <c r="AJ166" s="366" t="str">
        <f t="shared" si="523"/>
        <v/>
      </c>
      <c r="AK166" s="366" t="str">
        <f t="shared" si="524"/>
        <v/>
      </c>
      <c r="AL166" s="833" t="str">
        <f t="shared" si="525"/>
        <v/>
      </c>
      <c r="AM166" s="832" t="str">
        <f t="shared" si="526"/>
        <v/>
      </c>
      <c r="AN166" s="366" t="str">
        <f t="shared" si="527"/>
        <v/>
      </c>
      <c r="AO166" s="366" t="str">
        <f t="shared" si="528"/>
        <v/>
      </c>
      <c r="AP166" s="366" t="str">
        <f t="shared" si="529"/>
        <v/>
      </c>
      <c r="AQ166" s="366" t="str">
        <f t="shared" si="530"/>
        <v/>
      </c>
      <c r="AR166" s="833" t="str">
        <f t="shared" si="531"/>
        <v/>
      </c>
      <c r="AT166" s="1062"/>
      <c r="AY166" s="4"/>
    </row>
    <row r="167" spans="1:51" ht="13.9" customHeight="1" x14ac:dyDescent="0.25">
      <c r="A167" s="846">
        <f>Chem!A167</f>
        <v>165</v>
      </c>
      <c r="B167" s="951" t="str">
        <f>Chem!B167</f>
        <v>Chloroform</v>
      </c>
      <c r="C167" s="946">
        <f t="shared" si="502"/>
        <v>7.3655708612395968E-2</v>
      </c>
      <c r="D167" s="463">
        <f t="shared" si="503"/>
        <v>4.7936827956989239E-3</v>
      </c>
      <c r="E167" s="634">
        <f t="shared" si="504"/>
        <v>0.80580604293903302</v>
      </c>
      <c r="F167" s="634">
        <f t="shared" si="505"/>
        <v>5.2443709217902763E-2</v>
      </c>
      <c r="G167" s="634"/>
      <c r="H167" s="467">
        <f>'SL-Det'!E167</f>
        <v>32.258064516129032</v>
      </c>
      <c r="I167" s="231">
        <f>Leach!F167</f>
        <v>7.3655708612395968E-2</v>
      </c>
      <c r="J167" s="231">
        <f>Leach!I167</f>
        <v>0.80580604293903302</v>
      </c>
      <c r="K167" s="231" t="str">
        <f>Leach!L167</f>
        <v>na</v>
      </c>
      <c r="L167" s="476">
        <f>Leach!G167</f>
        <v>4.7936827956989239E-3</v>
      </c>
      <c r="M167" s="476">
        <f>Leach!J167</f>
        <v>5.2443709217902763E-2</v>
      </c>
      <c r="N167" s="476" t="str">
        <f>Leach!M167</f>
        <v>na</v>
      </c>
      <c r="O167" s="485" t="str">
        <f>'SD-Det'!Z167</f>
        <v>na</v>
      </c>
      <c r="P167" s="494" t="str">
        <f>'SL-Det'!I167</f>
        <v>na</v>
      </c>
      <c r="Q167" s="975" t="s">
        <v>232</v>
      </c>
      <c r="S167" s="832" t="str">
        <f t="shared" si="506"/>
        <v/>
      </c>
      <c r="T167" s="366" t="str">
        <f t="shared" si="507"/>
        <v>X</v>
      </c>
      <c r="U167" s="366" t="str">
        <f t="shared" si="508"/>
        <v/>
      </c>
      <c r="V167" s="366" t="str">
        <f t="shared" si="509"/>
        <v/>
      </c>
      <c r="W167" s="366" t="str">
        <f t="shared" si="510"/>
        <v/>
      </c>
      <c r="X167" s="366" t="str">
        <f t="shared" si="511"/>
        <v/>
      </c>
      <c r="Y167" s="989" t="str">
        <f t="shared" si="512"/>
        <v/>
      </c>
      <c r="Z167" s="832" t="str">
        <f t="shared" si="513"/>
        <v/>
      </c>
      <c r="AA167" s="366" t="str">
        <f t="shared" si="514"/>
        <v>X</v>
      </c>
      <c r="AB167" s="366" t="str">
        <f t="shared" si="515"/>
        <v/>
      </c>
      <c r="AC167" s="366" t="str">
        <f t="shared" si="516"/>
        <v/>
      </c>
      <c r="AD167" s="366" t="str">
        <f t="shared" si="517"/>
        <v/>
      </c>
      <c r="AE167" s="366" t="str">
        <f t="shared" si="518"/>
        <v/>
      </c>
      <c r="AF167" s="833" t="str">
        <f t="shared" si="519"/>
        <v/>
      </c>
      <c r="AG167" s="832" t="str">
        <f t="shared" si="520"/>
        <v/>
      </c>
      <c r="AH167" s="366" t="str">
        <f t="shared" si="521"/>
        <v>X</v>
      </c>
      <c r="AI167" s="366" t="str">
        <f t="shared" si="522"/>
        <v/>
      </c>
      <c r="AJ167" s="366" t="str">
        <f t="shared" si="523"/>
        <v/>
      </c>
      <c r="AK167" s="366" t="str">
        <f t="shared" si="524"/>
        <v/>
      </c>
      <c r="AL167" s="833" t="str">
        <f t="shared" si="525"/>
        <v/>
      </c>
      <c r="AM167" s="832" t="str">
        <f t="shared" si="526"/>
        <v/>
      </c>
      <c r="AN167" s="366" t="str">
        <f t="shared" si="527"/>
        <v>X</v>
      </c>
      <c r="AO167" s="366" t="str">
        <f t="shared" si="528"/>
        <v/>
      </c>
      <c r="AP167" s="366" t="str">
        <f t="shared" si="529"/>
        <v/>
      </c>
      <c r="AQ167" s="366" t="str">
        <f t="shared" si="530"/>
        <v/>
      </c>
      <c r="AR167" s="833" t="str">
        <f t="shared" si="531"/>
        <v/>
      </c>
      <c r="AT167" s="1062"/>
      <c r="AY167" s="4"/>
    </row>
    <row r="168" spans="1:51" ht="13.9" customHeight="1" x14ac:dyDescent="0.25">
      <c r="A168" s="846">
        <f>Chem!A168</f>
        <v>166</v>
      </c>
      <c r="B168" s="951" t="str">
        <f>Chem!B168</f>
        <v>Chloromethane</v>
      </c>
      <c r="C168" s="946" t="str">
        <f t="shared" si="502"/>
        <v>na</v>
      </c>
      <c r="D168" s="463" t="str">
        <f t="shared" si="503"/>
        <v>na</v>
      </c>
      <c r="E168" s="634" t="str">
        <f t="shared" si="504"/>
        <v>na</v>
      </c>
      <c r="F168" s="634" t="str">
        <f t="shared" si="505"/>
        <v>na</v>
      </c>
      <c r="G168" s="634"/>
      <c r="H168" s="467" t="str">
        <f>'SL-Det'!E168</f>
        <v>na</v>
      </c>
      <c r="I168" s="231" t="str">
        <f>Leach!F168</f>
        <v>na</v>
      </c>
      <c r="J168" s="231" t="str">
        <f>Leach!I168</f>
        <v>na</v>
      </c>
      <c r="K168" s="231" t="str">
        <f>Leach!L168</f>
        <v>na</v>
      </c>
      <c r="L168" s="476" t="str">
        <f>Leach!G168</f>
        <v>na</v>
      </c>
      <c r="M168" s="476" t="str">
        <f>Leach!J168</f>
        <v>na</v>
      </c>
      <c r="N168" s="476" t="str">
        <f>Leach!M168</f>
        <v>na</v>
      </c>
      <c r="O168" s="485" t="str">
        <f>'SD-Det'!Z168</f>
        <v>na</v>
      </c>
      <c r="P168" s="494" t="str">
        <f>'SL-Det'!I168</f>
        <v>na</v>
      </c>
      <c r="Q168" s="975" t="s">
        <v>232</v>
      </c>
      <c r="S168" s="832" t="str">
        <f t="shared" si="506"/>
        <v/>
      </c>
      <c r="T168" s="366" t="str">
        <f t="shared" si="507"/>
        <v/>
      </c>
      <c r="U168" s="366" t="str">
        <f t="shared" si="508"/>
        <v/>
      </c>
      <c r="V168" s="366" t="str">
        <f t="shared" si="509"/>
        <v/>
      </c>
      <c r="W168" s="366" t="str">
        <f t="shared" si="510"/>
        <v/>
      </c>
      <c r="X168" s="366" t="str">
        <f t="shared" si="511"/>
        <v/>
      </c>
      <c r="Y168" s="989" t="str">
        <f t="shared" si="512"/>
        <v/>
      </c>
      <c r="Z168" s="832" t="str">
        <f t="shared" si="513"/>
        <v/>
      </c>
      <c r="AA168" s="366" t="str">
        <f t="shared" si="514"/>
        <v/>
      </c>
      <c r="AB168" s="366" t="str">
        <f t="shared" si="515"/>
        <v/>
      </c>
      <c r="AC168" s="366" t="str">
        <f t="shared" si="516"/>
        <v/>
      </c>
      <c r="AD168" s="366" t="str">
        <f t="shared" si="517"/>
        <v/>
      </c>
      <c r="AE168" s="366" t="str">
        <f t="shared" si="518"/>
        <v/>
      </c>
      <c r="AF168" s="833" t="str">
        <f t="shared" si="519"/>
        <v/>
      </c>
      <c r="AG168" s="832" t="str">
        <f t="shared" si="520"/>
        <v/>
      </c>
      <c r="AH168" s="366" t="str">
        <f t="shared" si="521"/>
        <v/>
      </c>
      <c r="AI168" s="366" t="str">
        <f t="shared" si="522"/>
        <v/>
      </c>
      <c r="AJ168" s="366" t="str">
        <f t="shared" si="523"/>
        <v/>
      </c>
      <c r="AK168" s="366" t="str">
        <f t="shared" si="524"/>
        <v/>
      </c>
      <c r="AL168" s="833" t="str">
        <f t="shared" si="525"/>
        <v/>
      </c>
      <c r="AM168" s="832" t="str">
        <f t="shared" si="526"/>
        <v/>
      </c>
      <c r="AN168" s="366" t="str">
        <f t="shared" si="527"/>
        <v/>
      </c>
      <c r="AO168" s="366" t="str">
        <f t="shared" si="528"/>
        <v/>
      </c>
      <c r="AP168" s="366" t="str">
        <f t="shared" si="529"/>
        <v/>
      </c>
      <c r="AQ168" s="366" t="str">
        <f t="shared" si="530"/>
        <v/>
      </c>
      <c r="AR168" s="833" t="str">
        <f t="shared" si="531"/>
        <v/>
      </c>
      <c r="AT168" s="1062"/>
      <c r="AY168" s="4"/>
    </row>
    <row r="169" spans="1:51" ht="13.9" customHeight="1" x14ac:dyDescent="0.25">
      <c r="A169" s="846">
        <f>Chem!A169</f>
        <v>167</v>
      </c>
      <c r="B169" s="951" t="str">
        <f>Chem!B169</f>
        <v>3-Chloro-1-propene (allyl chloride)</v>
      </c>
      <c r="C169" s="946">
        <f t="shared" si="502"/>
        <v>1.0992261647291578E-2</v>
      </c>
      <c r="D169" s="463">
        <f t="shared" si="503"/>
        <v>6.7972222222222197E-4</v>
      </c>
      <c r="E169" s="634">
        <f t="shared" si="504"/>
        <v>47.619047619047613</v>
      </c>
      <c r="F169" s="634">
        <f t="shared" si="505"/>
        <v>47.619047619047613</v>
      </c>
      <c r="G169" s="634"/>
      <c r="H169" s="467">
        <f>'SL-Det'!E169</f>
        <v>47.619047619047613</v>
      </c>
      <c r="I169" s="231">
        <f>Leach!F169</f>
        <v>1.0992261647291578E-2</v>
      </c>
      <c r="J169" s="231" t="str">
        <f>Leach!I169</f>
        <v>na</v>
      </c>
      <c r="K169" s="231" t="str">
        <f>Leach!L169</f>
        <v>na</v>
      </c>
      <c r="L169" s="476">
        <f>Leach!G169</f>
        <v>6.7972222222222197E-4</v>
      </c>
      <c r="M169" s="476" t="str">
        <f>Leach!J169</f>
        <v>na</v>
      </c>
      <c r="N169" s="476" t="str">
        <f>Leach!M169</f>
        <v>na</v>
      </c>
      <c r="O169" s="485" t="str">
        <f>'SD-Det'!Z169</f>
        <v>na</v>
      </c>
      <c r="P169" s="494" t="str">
        <f>'SL-Det'!I169</f>
        <v>na</v>
      </c>
      <c r="Q169" s="975" t="s">
        <v>232</v>
      </c>
      <c r="S169" s="832" t="str">
        <f t="shared" si="506"/>
        <v/>
      </c>
      <c r="T169" s="366" t="str">
        <f t="shared" si="507"/>
        <v>X</v>
      </c>
      <c r="U169" s="366" t="str">
        <f t="shared" si="508"/>
        <v/>
      </c>
      <c r="V169" s="366" t="str">
        <f t="shared" si="509"/>
        <v/>
      </c>
      <c r="W169" s="366" t="str">
        <f t="shared" si="510"/>
        <v/>
      </c>
      <c r="X169" s="366" t="str">
        <f t="shared" si="511"/>
        <v/>
      </c>
      <c r="Y169" s="989" t="str">
        <f t="shared" si="512"/>
        <v/>
      </c>
      <c r="Z169" s="832" t="str">
        <f t="shared" si="513"/>
        <v/>
      </c>
      <c r="AA169" s="366" t="str">
        <f t="shared" si="514"/>
        <v>X</v>
      </c>
      <c r="AB169" s="366" t="str">
        <f t="shared" si="515"/>
        <v/>
      </c>
      <c r="AC169" s="366" t="str">
        <f t="shared" si="516"/>
        <v/>
      </c>
      <c r="AD169" s="366" t="str">
        <f t="shared" si="517"/>
        <v/>
      </c>
      <c r="AE169" s="366" t="str">
        <f t="shared" si="518"/>
        <v/>
      </c>
      <c r="AF169" s="833" t="str">
        <f t="shared" si="519"/>
        <v/>
      </c>
      <c r="AG169" s="832" t="str">
        <f t="shared" si="520"/>
        <v>X</v>
      </c>
      <c r="AH169" s="366" t="str">
        <f t="shared" si="521"/>
        <v/>
      </c>
      <c r="AI169" s="366" t="str">
        <f t="shared" si="522"/>
        <v/>
      </c>
      <c r="AJ169" s="366" t="str">
        <f t="shared" si="523"/>
        <v/>
      </c>
      <c r="AK169" s="366" t="str">
        <f t="shared" si="524"/>
        <v/>
      </c>
      <c r="AL169" s="833" t="str">
        <f t="shared" si="525"/>
        <v/>
      </c>
      <c r="AM169" s="832" t="str">
        <f t="shared" si="526"/>
        <v>X</v>
      </c>
      <c r="AN169" s="366" t="str">
        <f t="shared" si="527"/>
        <v/>
      </c>
      <c r="AO169" s="366" t="str">
        <f t="shared" si="528"/>
        <v/>
      </c>
      <c r="AP169" s="366" t="str">
        <f t="shared" si="529"/>
        <v/>
      </c>
      <c r="AQ169" s="366" t="str">
        <f t="shared" si="530"/>
        <v/>
      </c>
      <c r="AR169" s="833" t="str">
        <f t="shared" si="531"/>
        <v/>
      </c>
      <c r="AT169" s="1062"/>
      <c r="AY169" s="4"/>
    </row>
    <row r="170" spans="1:51" ht="13.9" customHeight="1" x14ac:dyDescent="0.25">
      <c r="A170" s="846">
        <f>Chem!A170</f>
        <v>168</v>
      </c>
      <c r="B170" s="951" t="str">
        <f>Chem!B170</f>
        <v>2-Chlorotoluene</v>
      </c>
      <c r="C170" s="946">
        <f t="shared" si="502"/>
        <v>1.8852242169850282</v>
      </c>
      <c r="D170" s="463">
        <f t="shared" si="503"/>
        <v>0.10714666666666667</v>
      </c>
      <c r="E170" s="634">
        <f t="shared" si="504"/>
        <v>1600</v>
      </c>
      <c r="F170" s="634">
        <f t="shared" si="505"/>
        <v>1600</v>
      </c>
      <c r="G170" s="634"/>
      <c r="H170" s="467">
        <f>'SL-Det'!E170</f>
        <v>1600</v>
      </c>
      <c r="I170" s="231">
        <f>Leach!F170</f>
        <v>1.8852242169850282</v>
      </c>
      <c r="J170" s="231" t="str">
        <f>Leach!I170</f>
        <v>na</v>
      </c>
      <c r="K170" s="231" t="str">
        <f>Leach!L170</f>
        <v>na</v>
      </c>
      <c r="L170" s="476">
        <f>Leach!G170</f>
        <v>0.10714666666666667</v>
      </c>
      <c r="M170" s="476" t="str">
        <f>Leach!J170</f>
        <v>na</v>
      </c>
      <c r="N170" s="476" t="str">
        <f>Leach!M170</f>
        <v>na</v>
      </c>
      <c r="O170" s="485" t="str">
        <f>'SD-Det'!Z170</f>
        <v>na</v>
      </c>
      <c r="P170" s="494" t="str">
        <f>'SL-Det'!I170</f>
        <v>na</v>
      </c>
      <c r="Q170" s="975" t="s">
        <v>232</v>
      </c>
      <c r="S170" s="832" t="str">
        <f t="shared" si="506"/>
        <v/>
      </c>
      <c r="T170" s="366" t="str">
        <f t="shared" si="507"/>
        <v>X</v>
      </c>
      <c r="U170" s="366" t="str">
        <f t="shared" si="508"/>
        <v/>
      </c>
      <c r="V170" s="366" t="str">
        <f t="shared" si="509"/>
        <v/>
      </c>
      <c r="W170" s="366" t="str">
        <f t="shared" si="510"/>
        <v/>
      </c>
      <c r="X170" s="366" t="str">
        <f t="shared" si="511"/>
        <v/>
      </c>
      <c r="Y170" s="989" t="str">
        <f t="shared" si="512"/>
        <v/>
      </c>
      <c r="Z170" s="832" t="str">
        <f t="shared" si="513"/>
        <v/>
      </c>
      <c r="AA170" s="366" t="str">
        <f t="shared" si="514"/>
        <v>X</v>
      </c>
      <c r="AB170" s="366" t="str">
        <f t="shared" si="515"/>
        <v/>
      </c>
      <c r="AC170" s="366" t="str">
        <f t="shared" si="516"/>
        <v/>
      </c>
      <c r="AD170" s="366" t="str">
        <f t="shared" si="517"/>
        <v/>
      </c>
      <c r="AE170" s="366" t="str">
        <f t="shared" si="518"/>
        <v/>
      </c>
      <c r="AF170" s="833" t="str">
        <f t="shared" si="519"/>
        <v/>
      </c>
      <c r="AG170" s="832" t="str">
        <f t="shared" si="520"/>
        <v>X</v>
      </c>
      <c r="AH170" s="366" t="str">
        <f t="shared" si="521"/>
        <v/>
      </c>
      <c r="AI170" s="366" t="str">
        <f t="shared" si="522"/>
        <v/>
      </c>
      <c r="AJ170" s="366" t="str">
        <f t="shared" si="523"/>
        <v/>
      </c>
      <c r="AK170" s="366" t="str">
        <f t="shared" si="524"/>
        <v/>
      </c>
      <c r="AL170" s="833" t="str">
        <f t="shared" si="525"/>
        <v/>
      </c>
      <c r="AM170" s="832" t="str">
        <f t="shared" si="526"/>
        <v>X</v>
      </c>
      <c r="AN170" s="366" t="str">
        <f t="shared" si="527"/>
        <v/>
      </c>
      <c r="AO170" s="366" t="str">
        <f t="shared" si="528"/>
        <v/>
      </c>
      <c r="AP170" s="366" t="str">
        <f t="shared" si="529"/>
        <v/>
      </c>
      <c r="AQ170" s="366" t="str">
        <f t="shared" si="530"/>
        <v/>
      </c>
      <c r="AR170" s="833" t="str">
        <f t="shared" si="531"/>
        <v/>
      </c>
      <c r="AT170" s="1062"/>
      <c r="AY170" s="4"/>
    </row>
    <row r="171" spans="1:51" ht="13.9" customHeight="1" x14ac:dyDescent="0.25">
      <c r="A171" s="846">
        <f>Chem!A171</f>
        <v>169</v>
      </c>
      <c r="B171" s="951" t="str">
        <f>Chem!B171</f>
        <v>4-Chlorotoluene</v>
      </c>
      <c r="C171" s="946">
        <f t="shared" si="502"/>
        <v>1.8623876467061793</v>
      </c>
      <c r="D171" s="463">
        <f t="shared" si="503"/>
        <v>0.10586666666666666</v>
      </c>
      <c r="E171" s="634">
        <f t="shared" si="504"/>
        <v>1600</v>
      </c>
      <c r="F171" s="634">
        <f t="shared" si="505"/>
        <v>1600</v>
      </c>
      <c r="G171" s="634"/>
      <c r="H171" s="467">
        <f>'SL-Det'!E171</f>
        <v>1600</v>
      </c>
      <c r="I171" s="231">
        <f>Leach!F171</f>
        <v>1.8623876467061793</v>
      </c>
      <c r="J171" s="231" t="str">
        <f>Leach!I171</f>
        <v>na</v>
      </c>
      <c r="K171" s="231" t="str">
        <f>Leach!L171</f>
        <v>na</v>
      </c>
      <c r="L171" s="476">
        <f>Leach!G171</f>
        <v>0.10586666666666666</v>
      </c>
      <c r="M171" s="476" t="str">
        <f>Leach!J171</f>
        <v>na</v>
      </c>
      <c r="N171" s="476" t="str">
        <f>Leach!M171</f>
        <v>na</v>
      </c>
      <c r="O171" s="485" t="str">
        <f>'SD-Det'!Z171</f>
        <v>na</v>
      </c>
      <c r="P171" s="494" t="str">
        <f>'SL-Det'!I171</f>
        <v>na</v>
      </c>
      <c r="Q171" s="975" t="s">
        <v>232</v>
      </c>
      <c r="S171" s="832" t="str">
        <f t="shared" si="506"/>
        <v/>
      </c>
      <c r="T171" s="366" t="str">
        <f t="shared" si="507"/>
        <v>X</v>
      </c>
      <c r="U171" s="366" t="str">
        <f t="shared" si="508"/>
        <v/>
      </c>
      <c r="V171" s="366" t="str">
        <f t="shared" si="509"/>
        <v/>
      </c>
      <c r="W171" s="366" t="str">
        <f t="shared" si="510"/>
        <v/>
      </c>
      <c r="X171" s="366" t="str">
        <f t="shared" si="511"/>
        <v/>
      </c>
      <c r="Y171" s="989" t="str">
        <f t="shared" si="512"/>
        <v/>
      </c>
      <c r="Z171" s="832" t="str">
        <f t="shared" si="513"/>
        <v/>
      </c>
      <c r="AA171" s="366" t="str">
        <f t="shared" si="514"/>
        <v>X</v>
      </c>
      <c r="AB171" s="366" t="str">
        <f t="shared" si="515"/>
        <v/>
      </c>
      <c r="AC171" s="366" t="str">
        <f t="shared" si="516"/>
        <v/>
      </c>
      <c r="AD171" s="366" t="str">
        <f t="shared" si="517"/>
        <v/>
      </c>
      <c r="AE171" s="366" t="str">
        <f t="shared" si="518"/>
        <v/>
      </c>
      <c r="AF171" s="833" t="str">
        <f t="shared" si="519"/>
        <v/>
      </c>
      <c r="AG171" s="832" t="str">
        <f t="shared" si="520"/>
        <v>X</v>
      </c>
      <c r="AH171" s="366" t="str">
        <f t="shared" si="521"/>
        <v/>
      </c>
      <c r="AI171" s="366" t="str">
        <f t="shared" si="522"/>
        <v/>
      </c>
      <c r="AJ171" s="366" t="str">
        <f t="shared" si="523"/>
        <v/>
      </c>
      <c r="AK171" s="366" t="str">
        <f t="shared" si="524"/>
        <v/>
      </c>
      <c r="AL171" s="833" t="str">
        <f t="shared" si="525"/>
        <v/>
      </c>
      <c r="AM171" s="832" t="str">
        <f t="shared" si="526"/>
        <v>X</v>
      </c>
      <c r="AN171" s="366" t="str">
        <f t="shared" si="527"/>
        <v/>
      </c>
      <c r="AO171" s="366" t="str">
        <f t="shared" si="528"/>
        <v/>
      </c>
      <c r="AP171" s="366" t="str">
        <f t="shared" si="529"/>
        <v/>
      </c>
      <c r="AQ171" s="366" t="str">
        <f t="shared" si="530"/>
        <v/>
      </c>
      <c r="AR171" s="833" t="str">
        <f t="shared" si="531"/>
        <v/>
      </c>
      <c r="AT171" s="1062"/>
      <c r="AY171" s="4"/>
    </row>
    <row r="172" spans="1:51" ht="13.9" customHeight="1" x14ac:dyDescent="0.25">
      <c r="A172" s="846">
        <f>Chem!A172</f>
        <v>170</v>
      </c>
      <c r="B172" s="951" t="str">
        <f>Chem!B172</f>
        <v>Dibromochloromethane</v>
      </c>
      <c r="C172" s="946">
        <f t="shared" si="502"/>
        <v>1.0279361864423608E-2</v>
      </c>
      <c r="D172" s="463">
        <f t="shared" si="503"/>
        <v>7.0062666666666673E-4</v>
      </c>
      <c r="E172" s="634">
        <f t="shared" si="504"/>
        <v>1.0279361864423608E-2</v>
      </c>
      <c r="F172" s="634">
        <f t="shared" si="505"/>
        <v>7.0062666666666673E-4</v>
      </c>
      <c r="G172" s="634"/>
      <c r="H172" s="467">
        <f>'SL-Det'!E172</f>
        <v>11.904761904761903</v>
      </c>
      <c r="I172" s="231">
        <f>Leach!F172</f>
        <v>2.43356104744877E-2</v>
      </c>
      <c r="J172" s="231">
        <f>Leach!I172</f>
        <v>1.0279361864423608E-2</v>
      </c>
      <c r="K172" s="231" t="str">
        <f>Leach!L172</f>
        <v>na</v>
      </c>
      <c r="L172" s="476">
        <f>Leach!G172</f>
        <v>1.658680555555555E-3</v>
      </c>
      <c r="M172" s="476">
        <f>Leach!J172</f>
        <v>7.0062666666666673E-4</v>
      </c>
      <c r="N172" s="476" t="str">
        <f>Leach!M172</f>
        <v>na</v>
      </c>
      <c r="O172" s="485" t="str">
        <f>'SD-Det'!Z172</f>
        <v>na</v>
      </c>
      <c r="P172" s="494" t="str">
        <f>'SL-Det'!I172</f>
        <v>na</v>
      </c>
      <c r="Q172" s="975" t="s">
        <v>232</v>
      </c>
      <c r="S172" s="832" t="str">
        <f t="shared" si="506"/>
        <v/>
      </c>
      <c r="T172" s="366" t="str">
        <f t="shared" si="507"/>
        <v/>
      </c>
      <c r="U172" s="366" t="str">
        <f t="shared" si="508"/>
        <v>X</v>
      </c>
      <c r="V172" s="366" t="str">
        <f t="shared" si="509"/>
        <v/>
      </c>
      <c r="W172" s="366" t="str">
        <f t="shared" si="510"/>
        <v/>
      </c>
      <c r="X172" s="366" t="str">
        <f t="shared" si="511"/>
        <v/>
      </c>
      <c r="Y172" s="989" t="str">
        <f t="shared" si="512"/>
        <v/>
      </c>
      <c r="Z172" s="832" t="str">
        <f t="shared" si="513"/>
        <v/>
      </c>
      <c r="AA172" s="366" t="str">
        <f t="shared" si="514"/>
        <v/>
      </c>
      <c r="AB172" s="366" t="str">
        <f t="shared" si="515"/>
        <v>X</v>
      </c>
      <c r="AC172" s="366" t="str">
        <f t="shared" si="516"/>
        <v/>
      </c>
      <c r="AD172" s="366" t="str">
        <f t="shared" si="517"/>
        <v/>
      </c>
      <c r="AE172" s="366" t="str">
        <f t="shared" si="518"/>
        <v/>
      </c>
      <c r="AF172" s="833" t="str">
        <f t="shared" si="519"/>
        <v/>
      </c>
      <c r="AG172" s="832" t="str">
        <f t="shared" si="520"/>
        <v/>
      </c>
      <c r="AH172" s="366" t="str">
        <f t="shared" si="521"/>
        <v>X</v>
      </c>
      <c r="AI172" s="366" t="str">
        <f t="shared" si="522"/>
        <v/>
      </c>
      <c r="AJ172" s="366" t="str">
        <f t="shared" si="523"/>
        <v/>
      </c>
      <c r="AK172" s="366" t="str">
        <f t="shared" si="524"/>
        <v/>
      </c>
      <c r="AL172" s="833" t="str">
        <f t="shared" si="525"/>
        <v/>
      </c>
      <c r="AM172" s="832" t="str">
        <f t="shared" si="526"/>
        <v/>
      </c>
      <c r="AN172" s="366" t="str">
        <f t="shared" si="527"/>
        <v>X</v>
      </c>
      <c r="AO172" s="366" t="str">
        <f t="shared" si="528"/>
        <v/>
      </c>
      <c r="AP172" s="366" t="str">
        <f t="shared" si="529"/>
        <v/>
      </c>
      <c r="AQ172" s="366" t="str">
        <f t="shared" si="530"/>
        <v/>
      </c>
      <c r="AR172" s="833" t="str">
        <f t="shared" si="531"/>
        <v/>
      </c>
      <c r="AT172" s="1062"/>
      <c r="AY172" s="4"/>
    </row>
    <row r="173" spans="1:51" ht="13.9" customHeight="1" x14ac:dyDescent="0.25">
      <c r="A173" s="846">
        <f>Chem!A173</f>
        <v>171</v>
      </c>
      <c r="B173" s="951" t="str">
        <f>Chem!B173</f>
        <v>1,2-Dibromo-3-chloropropane</v>
      </c>
      <c r="C173" s="946">
        <f t="shared" si="502"/>
        <v>8.8543199631483424E-4</v>
      </c>
      <c r="D173" s="463">
        <f t="shared" si="503"/>
        <v>5.6373333333333338E-5</v>
      </c>
      <c r="E173" s="634">
        <f t="shared" si="504"/>
        <v>0.23</v>
      </c>
      <c r="F173" s="634">
        <f t="shared" si="505"/>
        <v>0.23</v>
      </c>
      <c r="G173" s="634"/>
      <c r="H173" s="467">
        <f>'SL-Det'!E173</f>
        <v>0.23</v>
      </c>
      <c r="I173" s="231">
        <f>Leach!F173</f>
        <v>8.8543199631483424E-4</v>
      </c>
      <c r="J173" s="231" t="str">
        <f>Leach!I173</f>
        <v>na</v>
      </c>
      <c r="K173" s="231" t="str">
        <f>Leach!L173</f>
        <v>na</v>
      </c>
      <c r="L173" s="476">
        <f>Leach!G173</f>
        <v>5.6373333333333338E-5</v>
      </c>
      <c r="M173" s="476" t="str">
        <f>Leach!J173</f>
        <v>na</v>
      </c>
      <c r="N173" s="476" t="str">
        <f>Leach!M173</f>
        <v>na</v>
      </c>
      <c r="O173" s="485" t="str">
        <f>'SD-Det'!Z173</f>
        <v>na</v>
      </c>
      <c r="P173" s="494" t="str">
        <f>'SL-Det'!I173</f>
        <v>na</v>
      </c>
      <c r="Q173" s="975" t="s">
        <v>232</v>
      </c>
      <c r="S173" s="832" t="str">
        <f t="shared" si="506"/>
        <v/>
      </c>
      <c r="T173" s="366" t="str">
        <f t="shared" si="507"/>
        <v>X</v>
      </c>
      <c r="U173" s="366" t="str">
        <f t="shared" si="508"/>
        <v/>
      </c>
      <c r="V173" s="366" t="str">
        <f t="shared" si="509"/>
        <v/>
      </c>
      <c r="W173" s="366" t="str">
        <f t="shared" si="510"/>
        <v/>
      </c>
      <c r="X173" s="366" t="str">
        <f t="shared" si="511"/>
        <v/>
      </c>
      <c r="Y173" s="989" t="str">
        <f t="shared" si="512"/>
        <v/>
      </c>
      <c r="Z173" s="832" t="str">
        <f t="shared" si="513"/>
        <v/>
      </c>
      <c r="AA173" s="366" t="str">
        <f t="shared" si="514"/>
        <v>X</v>
      </c>
      <c r="AB173" s="366" t="str">
        <f t="shared" si="515"/>
        <v/>
      </c>
      <c r="AC173" s="366" t="str">
        <f t="shared" si="516"/>
        <v/>
      </c>
      <c r="AD173" s="366" t="str">
        <f t="shared" si="517"/>
        <v/>
      </c>
      <c r="AE173" s="366" t="str">
        <f t="shared" si="518"/>
        <v/>
      </c>
      <c r="AF173" s="833" t="str">
        <f t="shared" si="519"/>
        <v/>
      </c>
      <c r="AG173" s="832" t="str">
        <f t="shared" si="520"/>
        <v>X</v>
      </c>
      <c r="AH173" s="366" t="str">
        <f t="shared" si="521"/>
        <v/>
      </c>
      <c r="AI173" s="366" t="str">
        <f t="shared" si="522"/>
        <v/>
      </c>
      <c r="AJ173" s="366" t="str">
        <f t="shared" si="523"/>
        <v/>
      </c>
      <c r="AK173" s="366" t="str">
        <f t="shared" si="524"/>
        <v/>
      </c>
      <c r="AL173" s="833" t="str">
        <f t="shared" si="525"/>
        <v/>
      </c>
      <c r="AM173" s="832" t="str">
        <f t="shared" si="526"/>
        <v>X</v>
      </c>
      <c r="AN173" s="366" t="str">
        <f t="shared" si="527"/>
        <v/>
      </c>
      <c r="AO173" s="366" t="str">
        <f t="shared" si="528"/>
        <v/>
      </c>
      <c r="AP173" s="366" t="str">
        <f t="shared" si="529"/>
        <v/>
      </c>
      <c r="AQ173" s="366" t="str">
        <f t="shared" si="530"/>
        <v/>
      </c>
      <c r="AR173" s="833" t="str">
        <f t="shared" si="531"/>
        <v/>
      </c>
      <c r="AT173" s="1062"/>
      <c r="AY173" s="4"/>
    </row>
    <row r="174" spans="1:51" ht="13.9" customHeight="1" x14ac:dyDescent="0.25">
      <c r="A174" s="846">
        <f>Chem!A174</f>
        <v>172</v>
      </c>
      <c r="B174" s="951" t="str">
        <f>Chem!B174</f>
        <v>Dibromomethane</v>
      </c>
      <c r="C174" s="946">
        <f t="shared" si="502"/>
        <v>0.35739164508075488</v>
      </c>
      <c r="D174" s="463">
        <f t="shared" si="503"/>
        <v>2.4671733333333334E-2</v>
      </c>
      <c r="E174" s="634">
        <f t="shared" si="504"/>
        <v>800</v>
      </c>
      <c r="F174" s="634">
        <f t="shared" si="505"/>
        <v>800</v>
      </c>
      <c r="G174" s="634"/>
      <c r="H174" s="467">
        <f>'SL-Det'!E174</f>
        <v>800</v>
      </c>
      <c r="I174" s="231">
        <f>Leach!F174</f>
        <v>0.35739164508075488</v>
      </c>
      <c r="J174" s="231" t="str">
        <f>Leach!I174</f>
        <v>na</v>
      </c>
      <c r="K174" s="231" t="str">
        <f>Leach!L174</f>
        <v>na</v>
      </c>
      <c r="L174" s="476">
        <f>Leach!G174</f>
        <v>2.4671733333333334E-2</v>
      </c>
      <c r="M174" s="476" t="str">
        <f>Leach!J174</f>
        <v>na</v>
      </c>
      <c r="N174" s="476" t="str">
        <f>Leach!M174</f>
        <v>na</v>
      </c>
      <c r="O174" s="485" t="str">
        <f>'SD-Det'!Z174</f>
        <v>na</v>
      </c>
      <c r="P174" s="494" t="str">
        <f>'SL-Det'!I174</f>
        <v>na</v>
      </c>
      <c r="Q174" s="975" t="s">
        <v>232</v>
      </c>
      <c r="S174" s="832" t="str">
        <f t="shared" si="506"/>
        <v/>
      </c>
      <c r="T174" s="366" t="str">
        <f t="shared" si="507"/>
        <v>X</v>
      </c>
      <c r="U174" s="366" t="str">
        <f t="shared" si="508"/>
        <v/>
      </c>
      <c r="V174" s="366" t="str">
        <f t="shared" si="509"/>
        <v/>
      </c>
      <c r="W174" s="366" t="str">
        <f t="shared" si="510"/>
        <v/>
      </c>
      <c r="X174" s="366" t="str">
        <f t="shared" si="511"/>
        <v/>
      </c>
      <c r="Y174" s="989" t="str">
        <f t="shared" si="512"/>
        <v/>
      </c>
      <c r="Z174" s="832" t="str">
        <f t="shared" si="513"/>
        <v/>
      </c>
      <c r="AA174" s="366" t="str">
        <f t="shared" si="514"/>
        <v>X</v>
      </c>
      <c r="AB174" s="366" t="str">
        <f t="shared" si="515"/>
        <v/>
      </c>
      <c r="AC174" s="366" t="str">
        <f t="shared" si="516"/>
        <v/>
      </c>
      <c r="AD174" s="366" t="str">
        <f t="shared" si="517"/>
        <v/>
      </c>
      <c r="AE174" s="366" t="str">
        <f t="shared" si="518"/>
        <v/>
      </c>
      <c r="AF174" s="833" t="str">
        <f t="shared" si="519"/>
        <v/>
      </c>
      <c r="AG174" s="832" t="str">
        <f t="shared" si="520"/>
        <v>X</v>
      </c>
      <c r="AH174" s="366" t="str">
        <f t="shared" si="521"/>
        <v/>
      </c>
      <c r="AI174" s="366" t="str">
        <f t="shared" si="522"/>
        <v/>
      </c>
      <c r="AJ174" s="366" t="str">
        <f t="shared" si="523"/>
        <v/>
      </c>
      <c r="AK174" s="366" t="str">
        <f t="shared" si="524"/>
        <v/>
      </c>
      <c r="AL174" s="833" t="str">
        <f t="shared" si="525"/>
        <v/>
      </c>
      <c r="AM174" s="832" t="str">
        <f t="shared" si="526"/>
        <v>X</v>
      </c>
      <c r="AN174" s="366" t="str">
        <f t="shared" si="527"/>
        <v/>
      </c>
      <c r="AO174" s="366" t="str">
        <f t="shared" si="528"/>
        <v/>
      </c>
      <c r="AP174" s="366" t="str">
        <f t="shared" si="529"/>
        <v/>
      </c>
      <c r="AQ174" s="366" t="str">
        <f t="shared" si="530"/>
        <v/>
      </c>
      <c r="AR174" s="833" t="str">
        <f t="shared" si="531"/>
        <v/>
      </c>
      <c r="AT174" s="1062"/>
      <c r="AY174" s="4"/>
    </row>
    <row r="175" spans="1:51" ht="13.9" customHeight="1" x14ac:dyDescent="0.25">
      <c r="A175" s="846">
        <f>Chem!A175</f>
        <v>173</v>
      </c>
      <c r="B175" s="951" t="str">
        <f>Chem!B175</f>
        <v>Dichlorobromomethane</v>
      </c>
      <c r="C175" s="946">
        <f t="shared" si="502"/>
        <v>1.3218551409172876E-2</v>
      </c>
      <c r="D175" s="463">
        <f t="shared" si="503"/>
        <v>8.9170666666666667E-4</v>
      </c>
      <c r="E175" s="634">
        <f t="shared" si="504"/>
        <v>1.3218551409172876E-2</v>
      </c>
      <c r="F175" s="634">
        <f t="shared" si="505"/>
        <v>8.9170666666666667E-4</v>
      </c>
      <c r="G175" s="634"/>
      <c r="H175" s="467">
        <f>'SL-Det'!E175</f>
        <v>16.129032258064516</v>
      </c>
      <c r="I175" s="231">
        <f>Leach!F175</f>
        <v>3.3312881575536475E-2</v>
      </c>
      <c r="J175" s="231">
        <f>Leach!I175</f>
        <v>1.3218551409172876E-2</v>
      </c>
      <c r="K175" s="231" t="str">
        <f>Leach!L175</f>
        <v>na</v>
      </c>
      <c r="L175" s="476">
        <f>Leach!G175</f>
        <v>2.2472446236559136E-3</v>
      </c>
      <c r="M175" s="476">
        <f>Leach!J175</f>
        <v>8.9170666666666667E-4</v>
      </c>
      <c r="N175" s="476" t="str">
        <f>Leach!M175</f>
        <v>na</v>
      </c>
      <c r="O175" s="485" t="str">
        <f>'SD-Det'!Z175</f>
        <v>na</v>
      </c>
      <c r="P175" s="494" t="str">
        <f>'SL-Det'!I175</f>
        <v>na</v>
      </c>
      <c r="Q175" s="975" t="s">
        <v>232</v>
      </c>
      <c r="S175" s="832" t="str">
        <f t="shared" si="506"/>
        <v/>
      </c>
      <c r="T175" s="366" t="str">
        <f t="shared" si="507"/>
        <v/>
      </c>
      <c r="U175" s="366" t="str">
        <f t="shared" si="508"/>
        <v>X</v>
      </c>
      <c r="V175" s="366" t="str">
        <f t="shared" si="509"/>
        <v/>
      </c>
      <c r="W175" s="366" t="str">
        <f t="shared" si="510"/>
        <v/>
      </c>
      <c r="X175" s="366" t="str">
        <f t="shared" si="511"/>
        <v/>
      </c>
      <c r="Y175" s="989" t="str">
        <f t="shared" si="512"/>
        <v/>
      </c>
      <c r="Z175" s="832" t="str">
        <f t="shared" si="513"/>
        <v/>
      </c>
      <c r="AA175" s="366" t="str">
        <f t="shared" si="514"/>
        <v/>
      </c>
      <c r="AB175" s="366" t="str">
        <f t="shared" si="515"/>
        <v>X</v>
      </c>
      <c r="AC175" s="366" t="str">
        <f t="shared" si="516"/>
        <v/>
      </c>
      <c r="AD175" s="366" t="str">
        <f t="shared" si="517"/>
        <v/>
      </c>
      <c r="AE175" s="366" t="str">
        <f t="shared" si="518"/>
        <v/>
      </c>
      <c r="AF175" s="833" t="str">
        <f t="shared" si="519"/>
        <v/>
      </c>
      <c r="AG175" s="832" t="str">
        <f t="shared" si="520"/>
        <v/>
      </c>
      <c r="AH175" s="366" t="str">
        <f t="shared" si="521"/>
        <v>X</v>
      </c>
      <c r="AI175" s="366" t="str">
        <f t="shared" si="522"/>
        <v/>
      </c>
      <c r="AJ175" s="366" t="str">
        <f t="shared" si="523"/>
        <v/>
      </c>
      <c r="AK175" s="366" t="str">
        <f t="shared" si="524"/>
        <v/>
      </c>
      <c r="AL175" s="833" t="str">
        <f t="shared" si="525"/>
        <v/>
      </c>
      <c r="AM175" s="832" t="str">
        <f t="shared" si="526"/>
        <v/>
      </c>
      <c r="AN175" s="366" t="str">
        <f t="shared" si="527"/>
        <v>X</v>
      </c>
      <c r="AO175" s="366" t="str">
        <f t="shared" si="528"/>
        <v/>
      </c>
      <c r="AP175" s="366" t="str">
        <f t="shared" si="529"/>
        <v/>
      </c>
      <c r="AQ175" s="366" t="str">
        <f t="shared" si="530"/>
        <v/>
      </c>
      <c r="AR175" s="833" t="str">
        <f t="shared" si="531"/>
        <v/>
      </c>
      <c r="AT175" s="1062"/>
      <c r="AY175" s="4"/>
    </row>
    <row r="176" spans="1:51" ht="13.9" customHeight="1" x14ac:dyDescent="0.25">
      <c r="A176" s="846">
        <f>Chem!A176</f>
        <v>174</v>
      </c>
      <c r="B176" s="951" t="str">
        <f>Chem!B176</f>
        <v>trans-1,4-Dichloro-2-butene</v>
      </c>
      <c r="C176" s="946" t="str">
        <f t="shared" si="502"/>
        <v>na</v>
      </c>
      <c r="D176" s="463" t="str">
        <f t="shared" si="503"/>
        <v>na</v>
      </c>
      <c r="E176" s="634" t="str">
        <f t="shared" si="504"/>
        <v>na</v>
      </c>
      <c r="F176" s="634" t="str">
        <f t="shared" si="505"/>
        <v>na</v>
      </c>
      <c r="G176" s="634"/>
      <c r="H176" s="467" t="str">
        <f>'SL-Det'!E176</f>
        <v>na</v>
      </c>
      <c r="I176" s="231" t="str">
        <f>Leach!F176</f>
        <v>na</v>
      </c>
      <c r="J176" s="231" t="str">
        <f>Leach!I176</f>
        <v>na</v>
      </c>
      <c r="K176" s="231" t="str">
        <f>Leach!L176</f>
        <v>na</v>
      </c>
      <c r="L176" s="476" t="str">
        <f>Leach!G176</f>
        <v>na</v>
      </c>
      <c r="M176" s="476" t="str">
        <f>Leach!J176</f>
        <v>na</v>
      </c>
      <c r="N176" s="476" t="str">
        <f>Leach!M176</f>
        <v>na</v>
      </c>
      <c r="O176" s="485" t="str">
        <f>'SD-Det'!Z176</f>
        <v>na</v>
      </c>
      <c r="P176" s="494" t="str">
        <f>'SL-Det'!I176</f>
        <v>na</v>
      </c>
      <c r="Q176" s="975" t="s">
        <v>232</v>
      </c>
      <c r="S176" s="832" t="str">
        <f t="shared" si="506"/>
        <v/>
      </c>
      <c r="T176" s="366" t="str">
        <f t="shared" si="507"/>
        <v/>
      </c>
      <c r="U176" s="366" t="str">
        <f t="shared" si="508"/>
        <v/>
      </c>
      <c r="V176" s="366" t="str">
        <f t="shared" si="509"/>
        <v/>
      </c>
      <c r="W176" s="366" t="str">
        <f t="shared" si="510"/>
        <v/>
      </c>
      <c r="X176" s="366" t="str">
        <f t="shared" si="511"/>
        <v/>
      </c>
      <c r="Y176" s="989" t="str">
        <f t="shared" si="512"/>
        <v/>
      </c>
      <c r="Z176" s="832" t="str">
        <f t="shared" si="513"/>
        <v/>
      </c>
      <c r="AA176" s="366" t="str">
        <f t="shared" si="514"/>
        <v/>
      </c>
      <c r="AB176" s="366" t="str">
        <f t="shared" si="515"/>
        <v/>
      </c>
      <c r="AC176" s="366" t="str">
        <f t="shared" si="516"/>
        <v/>
      </c>
      <c r="AD176" s="366" t="str">
        <f t="shared" si="517"/>
        <v/>
      </c>
      <c r="AE176" s="366" t="str">
        <f t="shared" si="518"/>
        <v/>
      </c>
      <c r="AF176" s="833" t="str">
        <f t="shared" si="519"/>
        <v/>
      </c>
      <c r="AG176" s="832" t="str">
        <f t="shared" si="520"/>
        <v/>
      </c>
      <c r="AH176" s="366" t="str">
        <f t="shared" si="521"/>
        <v/>
      </c>
      <c r="AI176" s="366" t="str">
        <f t="shared" si="522"/>
        <v/>
      </c>
      <c r="AJ176" s="366" t="str">
        <f t="shared" si="523"/>
        <v/>
      </c>
      <c r="AK176" s="366" t="str">
        <f t="shared" si="524"/>
        <v/>
      </c>
      <c r="AL176" s="833" t="str">
        <f t="shared" si="525"/>
        <v/>
      </c>
      <c r="AM176" s="832" t="str">
        <f t="shared" si="526"/>
        <v/>
      </c>
      <c r="AN176" s="366" t="str">
        <f t="shared" si="527"/>
        <v/>
      </c>
      <c r="AO176" s="366" t="str">
        <f t="shared" si="528"/>
        <v/>
      </c>
      <c r="AP176" s="366" t="str">
        <f t="shared" si="529"/>
        <v/>
      </c>
      <c r="AQ176" s="366" t="str">
        <f t="shared" si="530"/>
        <v/>
      </c>
      <c r="AR176" s="833" t="str">
        <f t="shared" si="531"/>
        <v/>
      </c>
      <c r="AT176" s="1062"/>
      <c r="AY176" s="4"/>
    </row>
    <row r="177" spans="1:51" ht="13.9" customHeight="1" x14ac:dyDescent="0.25">
      <c r="A177" s="846">
        <f>Chem!A177</f>
        <v>175</v>
      </c>
      <c r="B177" s="951" t="str">
        <f>Chem!B177</f>
        <v>Dichlorodifluoromethane</v>
      </c>
      <c r="C177" s="947">
        <f t="shared" si="502"/>
        <v>37.831721245531917</v>
      </c>
      <c r="D177" s="464">
        <f t="shared" si="503"/>
        <v>0.52890666666666675</v>
      </c>
      <c r="E177" s="636">
        <f t="shared" si="504"/>
        <v>16000</v>
      </c>
      <c r="F177" s="636">
        <f t="shared" si="505"/>
        <v>16000</v>
      </c>
      <c r="G177" s="636"/>
      <c r="H177" s="467">
        <f>'SL-Det'!E177</f>
        <v>16000</v>
      </c>
      <c r="I177" s="231">
        <f>Leach!F177</f>
        <v>37.831721245531917</v>
      </c>
      <c r="J177" s="231" t="str">
        <f>Leach!I177</f>
        <v>na</v>
      </c>
      <c r="K177" s="231" t="str">
        <f>Leach!L177</f>
        <v>na</v>
      </c>
      <c r="L177" s="476">
        <f>Leach!G177</f>
        <v>0.52890666666666675</v>
      </c>
      <c r="M177" s="476" t="str">
        <f>Leach!J177</f>
        <v>na</v>
      </c>
      <c r="N177" s="476" t="str">
        <f>Leach!M177</f>
        <v>na</v>
      </c>
      <c r="O177" s="485" t="str">
        <f>'SD-Det'!Z177</f>
        <v>na</v>
      </c>
      <c r="P177" s="494" t="str">
        <f>'SL-Det'!I177</f>
        <v>na</v>
      </c>
      <c r="Q177" s="975" t="s">
        <v>232</v>
      </c>
      <c r="S177" s="832" t="str">
        <f t="shared" si="506"/>
        <v/>
      </c>
      <c r="T177" s="366" t="str">
        <f t="shared" si="507"/>
        <v>X</v>
      </c>
      <c r="U177" s="366" t="str">
        <f t="shared" si="508"/>
        <v/>
      </c>
      <c r="V177" s="366" t="str">
        <f t="shared" si="509"/>
        <v/>
      </c>
      <c r="W177" s="366" t="str">
        <f t="shared" si="510"/>
        <v/>
      </c>
      <c r="X177" s="366" t="str">
        <f t="shared" si="511"/>
        <v/>
      </c>
      <c r="Y177" s="989" t="str">
        <f t="shared" si="512"/>
        <v/>
      </c>
      <c r="Z177" s="832" t="str">
        <f t="shared" si="513"/>
        <v/>
      </c>
      <c r="AA177" s="366" t="str">
        <f t="shared" si="514"/>
        <v>X</v>
      </c>
      <c r="AB177" s="366" t="str">
        <f t="shared" si="515"/>
        <v/>
      </c>
      <c r="AC177" s="366" t="str">
        <f t="shared" si="516"/>
        <v/>
      </c>
      <c r="AD177" s="366" t="str">
        <f t="shared" si="517"/>
        <v/>
      </c>
      <c r="AE177" s="366" t="str">
        <f t="shared" si="518"/>
        <v/>
      </c>
      <c r="AF177" s="833" t="str">
        <f t="shared" si="519"/>
        <v/>
      </c>
      <c r="AG177" s="832" t="str">
        <f t="shared" si="520"/>
        <v>X</v>
      </c>
      <c r="AH177" s="366" t="str">
        <f t="shared" si="521"/>
        <v/>
      </c>
      <c r="AI177" s="366" t="str">
        <f t="shared" si="522"/>
        <v/>
      </c>
      <c r="AJ177" s="366" t="str">
        <f t="shared" si="523"/>
        <v/>
      </c>
      <c r="AK177" s="366" t="str">
        <f t="shared" si="524"/>
        <v/>
      </c>
      <c r="AL177" s="833" t="str">
        <f t="shared" si="525"/>
        <v/>
      </c>
      <c r="AM177" s="832" t="str">
        <f t="shared" si="526"/>
        <v>X</v>
      </c>
      <c r="AN177" s="366" t="str">
        <f t="shared" si="527"/>
        <v/>
      </c>
      <c r="AO177" s="366" t="str">
        <f t="shared" si="528"/>
        <v/>
      </c>
      <c r="AP177" s="366" t="str">
        <f t="shared" si="529"/>
        <v/>
      </c>
      <c r="AQ177" s="366" t="str">
        <f t="shared" si="530"/>
        <v/>
      </c>
      <c r="AR177" s="833" t="str">
        <f t="shared" si="531"/>
        <v/>
      </c>
      <c r="AT177" s="1062"/>
      <c r="AY177" s="4"/>
    </row>
    <row r="178" spans="1:51" ht="13.9" customHeight="1" x14ac:dyDescent="0.25">
      <c r="A178" s="846">
        <f>Chem!A178</f>
        <v>176</v>
      </c>
      <c r="B178" s="951" t="str">
        <f>Chem!B178</f>
        <v>1,1-Dichloroethane</v>
      </c>
      <c r="C178" s="946">
        <f t="shared" si="502"/>
        <v>4.0721330270714076E-2</v>
      </c>
      <c r="D178" s="463">
        <f t="shared" si="503"/>
        <v>2.6070906432748529E-3</v>
      </c>
      <c r="E178" s="634">
        <f t="shared" si="504"/>
        <v>175.43859649122805</v>
      </c>
      <c r="F178" s="634">
        <f t="shared" si="505"/>
        <v>175.43859649122805</v>
      </c>
      <c r="G178" s="634"/>
      <c r="H178" s="467">
        <f>'SL-Det'!E178</f>
        <v>175.43859649122805</v>
      </c>
      <c r="I178" s="231">
        <f>Leach!F178</f>
        <v>4.0721330270714076E-2</v>
      </c>
      <c r="J178" s="231" t="str">
        <f>Leach!I178</f>
        <v>na</v>
      </c>
      <c r="K178" s="231" t="str">
        <f>Leach!L178</f>
        <v>na</v>
      </c>
      <c r="L178" s="476">
        <f>Leach!G178</f>
        <v>2.6070906432748529E-3</v>
      </c>
      <c r="M178" s="476" t="str">
        <f>Leach!J178</f>
        <v>na</v>
      </c>
      <c r="N178" s="476" t="str">
        <f>Leach!M178</f>
        <v>na</v>
      </c>
      <c r="O178" s="485" t="str">
        <f>'SD-Det'!Z178</f>
        <v>na</v>
      </c>
      <c r="P178" s="494" t="str">
        <f>'SL-Det'!I178</f>
        <v>na</v>
      </c>
      <c r="Q178" s="975" t="s">
        <v>232</v>
      </c>
      <c r="S178" s="832" t="str">
        <f t="shared" si="506"/>
        <v/>
      </c>
      <c r="T178" s="366" t="str">
        <f t="shared" si="507"/>
        <v>X</v>
      </c>
      <c r="U178" s="366" t="str">
        <f t="shared" si="508"/>
        <v/>
      </c>
      <c r="V178" s="366" t="str">
        <f t="shared" si="509"/>
        <v/>
      </c>
      <c r="W178" s="366" t="str">
        <f t="shared" si="510"/>
        <v/>
      </c>
      <c r="X178" s="366" t="str">
        <f t="shared" si="511"/>
        <v/>
      </c>
      <c r="Y178" s="989" t="str">
        <f t="shared" si="512"/>
        <v/>
      </c>
      <c r="Z178" s="832" t="str">
        <f t="shared" si="513"/>
        <v/>
      </c>
      <c r="AA178" s="366" t="str">
        <f t="shared" si="514"/>
        <v>X</v>
      </c>
      <c r="AB178" s="366" t="str">
        <f t="shared" si="515"/>
        <v/>
      </c>
      <c r="AC178" s="366" t="str">
        <f t="shared" si="516"/>
        <v/>
      </c>
      <c r="AD178" s="366" t="str">
        <f t="shared" si="517"/>
        <v/>
      </c>
      <c r="AE178" s="366" t="str">
        <f t="shared" si="518"/>
        <v/>
      </c>
      <c r="AF178" s="833" t="str">
        <f t="shared" si="519"/>
        <v/>
      </c>
      <c r="AG178" s="832" t="str">
        <f t="shared" si="520"/>
        <v>X</v>
      </c>
      <c r="AH178" s="366" t="str">
        <f t="shared" si="521"/>
        <v/>
      </c>
      <c r="AI178" s="366" t="str">
        <f t="shared" si="522"/>
        <v/>
      </c>
      <c r="AJ178" s="366" t="str">
        <f t="shared" si="523"/>
        <v/>
      </c>
      <c r="AK178" s="366" t="str">
        <f t="shared" si="524"/>
        <v/>
      </c>
      <c r="AL178" s="833" t="str">
        <f t="shared" si="525"/>
        <v/>
      </c>
      <c r="AM178" s="832" t="str">
        <f t="shared" si="526"/>
        <v>X</v>
      </c>
      <c r="AN178" s="366" t="str">
        <f t="shared" si="527"/>
        <v/>
      </c>
      <c r="AO178" s="366" t="str">
        <f t="shared" si="528"/>
        <v/>
      </c>
      <c r="AP178" s="366" t="str">
        <f t="shared" si="529"/>
        <v/>
      </c>
      <c r="AQ178" s="366" t="str">
        <f t="shared" si="530"/>
        <v/>
      </c>
      <c r="AR178" s="833" t="str">
        <f t="shared" si="531"/>
        <v/>
      </c>
      <c r="AT178" s="1062"/>
      <c r="AY178" s="4"/>
    </row>
    <row r="179" spans="1:51" ht="13.9" customHeight="1" x14ac:dyDescent="0.25">
      <c r="A179" s="846">
        <f>Chem!A179</f>
        <v>177</v>
      </c>
      <c r="B179" s="951" t="str">
        <f>Chem!B179</f>
        <v>1,2-Dichloroethane (EDC)</v>
      </c>
      <c r="C179" s="946">
        <f t="shared" si="502"/>
        <v>2.3114235995855839E-2</v>
      </c>
      <c r="D179" s="463">
        <f t="shared" si="503"/>
        <v>1.5608974358974357E-3</v>
      </c>
      <c r="E179" s="634">
        <f t="shared" si="504"/>
        <v>0.35096655936107513</v>
      </c>
      <c r="F179" s="634">
        <f t="shared" si="505"/>
        <v>2.3700666666666665E-2</v>
      </c>
      <c r="G179" s="634"/>
      <c r="H179" s="467">
        <f>'SL-Det'!E179</f>
        <v>10.989010989010989</v>
      </c>
      <c r="I179" s="231">
        <f>Leach!F179</f>
        <v>2.3114235995855839E-2</v>
      </c>
      <c r="J179" s="231">
        <f>Leach!I179</f>
        <v>0.35096655936107513</v>
      </c>
      <c r="K179" s="231" t="str">
        <f>Leach!L179</f>
        <v>na</v>
      </c>
      <c r="L179" s="476">
        <f>Leach!G179</f>
        <v>1.5608974358974357E-3</v>
      </c>
      <c r="M179" s="476">
        <f>Leach!J179</f>
        <v>2.3700666666666665E-2</v>
      </c>
      <c r="N179" s="476" t="str">
        <f>Leach!M179</f>
        <v>na</v>
      </c>
      <c r="O179" s="485" t="str">
        <f>'SD-Det'!Z179</f>
        <v>na</v>
      </c>
      <c r="P179" s="494" t="str">
        <f>'SL-Det'!I179</f>
        <v>na</v>
      </c>
      <c r="Q179" s="975" t="s">
        <v>232</v>
      </c>
      <c r="S179" s="832" t="str">
        <f t="shared" si="506"/>
        <v/>
      </c>
      <c r="T179" s="366" t="str">
        <f t="shared" si="507"/>
        <v>X</v>
      </c>
      <c r="U179" s="366" t="str">
        <f t="shared" si="508"/>
        <v/>
      </c>
      <c r="V179" s="366" t="str">
        <f t="shared" si="509"/>
        <v/>
      </c>
      <c r="W179" s="366" t="str">
        <f t="shared" si="510"/>
        <v/>
      </c>
      <c r="X179" s="366" t="str">
        <f t="shared" si="511"/>
        <v/>
      </c>
      <c r="Y179" s="989" t="str">
        <f t="shared" si="512"/>
        <v/>
      </c>
      <c r="Z179" s="832" t="str">
        <f t="shared" si="513"/>
        <v/>
      </c>
      <c r="AA179" s="366" t="str">
        <f t="shared" si="514"/>
        <v>X</v>
      </c>
      <c r="AB179" s="366" t="str">
        <f t="shared" si="515"/>
        <v/>
      </c>
      <c r="AC179" s="366" t="str">
        <f t="shared" si="516"/>
        <v/>
      </c>
      <c r="AD179" s="366" t="str">
        <f t="shared" si="517"/>
        <v/>
      </c>
      <c r="AE179" s="366" t="str">
        <f t="shared" si="518"/>
        <v/>
      </c>
      <c r="AF179" s="833" t="str">
        <f t="shared" si="519"/>
        <v/>
      </c>
      <c r="AG179" s="832" t="str">
        <f t="shared" si="520"/>
        <v/>
      </c>
      <c r="AH179" s="366" t="str">
        <f t="shared" si="521"/>
        <v>X</v>
      </c>
      <c r="AI179" s="366" t="str">
        <f t="shared" si="522"/>
        <v/>
      </c>
      <c r="AJ179" s="366" t="str">
        <f t="shared" si="523"/>
        <v/>
      </c>
      <c r="AK179" s="366" t="str">
        <f t="shared" si="524"/>
        <v/>
      </c>
      <c r="AL179" s="833" t="str">
        <f t="shared" si="525"/>
        <v/>
      </c>
      <c r="AM179" s="832" t="str">
        <f t="shared" si="526"/>
        <v/>
      </c>
      <c r="AN179" s="366" t="str">
        <f t="shared" si="527"/>
        <v>X</v>
      </c>
      <c r="AO179" s="366" t="str">
        <f t="shared" si="528"/>
        <v/>
      </c>
      <c r="AP179" s="366" t="str">
        <f t="shared" si="529"/>
        <v/>
      </c>
      <c r="AQ179" s="366" t="str">
        <f t="shared" si="530"/>
        <v/>
      </c>
      <c r="AR179" s="833" t="str">
        <f t="shared" si="531"/>
        <v/>
      </c>
      <c r="AT179" s="1062"/>
      <c r="AY179" s="4"/>
    </row>
    <row r="180" spans="1:51" ht="13.9" customHeight="1" x14ac:dyDescent="0.25">
      <c r="A180" s="846">
        <f>Chem!A180</f>
        <v>178</v>
      </c>
      <c r="B180" s="951" t="str">
        <f>Chem!B180</f>
        <v>1,1-Dichloroethylene</v>
      </c>
      <c r="C180" s="946">
        <f t="shared" ref="C180:C215" si="558">IF(MIN($H180,$I180:$K180,$O180,$P180)=0,"na",IF($Q180="na",MIN($H180,$I180:$K180,$O180,$P180),IF($Q180&gt;MIN($H180,$I180:$K180,$O180,$P180),$Q180,MIN($H180,$I180:$K180,$O180,$P180))))</f>
        <v>4.5629572722982167E-2</v>
      </c>
      <c r="D180" s="463">
        <f t="shared" ref="D180:D215" si="559">IF(MIN($H180,$L180:$N180,$O180,$P180)=0,"na",IF($Q180="na",MIN($H180,$L180:$N180,$O180,$P180),IF($Q180&gt;MIN($H180,$L180:$N180,$O180,$P180),$Q180,MIN($H180,$L180:$N180,$O180,$P180))))</f>
        <v>2.4616666666666667E-3</v>
      </c>
      <c r="E180" s="634">
        <f t="shared" si="504"/>
        <v>26.074041555989808</v>
      </c>
      <c r="F180" s="634">
        <f t="shared" si="505"/>
        <v>1.4066666666666667</v>
      </c>
      <c r="G180" s="634"/>
      <c r="H180" s="467">
        <f>'SL-Det'!E180</f>
        <v>4000</v>
      </c>
      <c r="I180" s="231">
        <f>Leach!F180</f>
        <v>4.5629572722982167E-2</v>
      </c>
      <c r="J180" s="231">
        <f>Leach!I180</f>
        <v>26.074041555989808</v>
      </c>
      <c r="K180" s="231" t="str">
        <f>Leach!L180</f>
        <v>na</v>
      </c>
      <c r="L180" s="476">
        <f>Leach!G180</f>
        <v>2.4616666666666667E-3</v>
      </c>
      <c r="M180" s="476">
        <f>Leach!J180</f>
        <v>1.4066666666666667</v>
      </c>
      <c r="N180" s="476" t="str">
        <f>Leach!M180</f>
        <v>na</v>
      </c>
      <c r="O180" s="485" t="str">
        <f>'SD-Det'!Z180</f>
        <v>na</v>
      </c>
      <c r="P180" s="494" t="str">
        <f>'SL-Det'!I180</f>
        <v>na</v>
      </c>
      <c r="Q180" s="975" t="s">
        <v>232</v>
      </c>
      <c r="S180" s="832" t="str">
        <f t="shared" ref="S180:S214" si="560">IF($C180="na","",IF($C180=H180,"X",""))</f>
        <v/>
      </c>
      <c r="T180" s="366" t="str">
        <f t="shared" ref="T180:T214" si="561">IF($C180="na","",IF($C180=I180,"X",""))</f>
        <v>X</v>
      </c>
      <c r="U180" s="366" t="str">
        <f t="shared" ref="U180:U214" si="562">IF($C180="na","",IF($C180=J180,"X",""))</f>
        <v/>
      </c>
      <c r="V180" s="366" t="str">
        <f t="shared" ref="V180:V214" si="563">IF($C180="na","",IF($C180=K180,"X",""))</f>
        <v/>
      </c>
      <c r="W180" s="366" t="str">
        <f t="shared" ref="W180:W214" si="564">IF($C180="na","",IF($C180=O180,"X",""))</f>
        <v/>
      </c>
      <c r="X180" s="366" t="str">
        <f t="shared" ref="X180:X214" si="565">IF($C180="na","",IF($C180=P180,"X",""))</f>
        <v/>
      </c>
      <c r="Y180" s="989" t="str">
        <f t="shared" ref="Y180:Y214" si="566">IF($C180="na","",IF($C180=Q180,"X",""))</f>
        <v/>
      </c>
      <c r="Z180" s="832" t="str">
        <f t="shared" ref="Z180:Z214" si="567">IF($D180="na","",IF($D180=H180,"X",""))</f>
        <v/>
      </c>
      <c r="AA180" s="366" t="str">
        <f t="shared" ref="AA180:AA214" si="568">IF($D180="na","",IF($D180=L180,"X",""))</f>
        <v>X</v>
      </c>
      <c r="AB180" s="366" t="str">
        <f t="shared" ref="AB180:AB214" si="569">IF($D180="na","",IF($D180=M180,"X",""))</f>
        <v/>
      </c>
      <c r="AC180" s="366" t="str">
        <f t="shared" ref="AC180:AC214" si="570">IF($D180="na","",IF($D180=N180,"X",""))</f>
        <v/>
      </c>
      <c r="AD180" s="366" t="str">
        <f t="shared" ref="AD180:AD214" si="571">IF($D180="na","",IF($D180=O180,"X",""))</f>
        <v/>
      </c>
      <c r="AE180" s="366" t="str">
        <f t="shared" ref="AE180:AE214" si="572">IF($D180="na","",IF($D180=P180,"X",""))</f>
        <v/>
      </c>
      <c r="AF180" s="833" t="str">
        <f t="shared" ref="AF180:AF214" si="573">IF($D180="na","",IF($D180=Q180,"X",""))</f>
        <v/>
      </c>
      <c r="AG180" s="832" t="str">
        <f t="shared" ref="AG180:AG214" si="574">IF($E180="na","",IF($E180=H180,"X",""))</f>
        <v/>
      </c>
      <c r="AH180" s="366" t="str">
        <f t="shared" ref="AH180:AH214" si="575">IF($E180="na","",IF($E180=J180,"X",""))</f>
        <v>X</v>
      </c>
      <c r="AI180" s="366" t="str">
        <f t="shared" ref="AI180:AI214" si="576">IF($E180="na","",IF($E180=K180,"X",""))</f>
        <v/>
      </c>
      <c r="AJ180" s="366" t="str">
        <f t="shared" ref="AJ180:AJ214" si="577">IF($E180="na","",IF($E180=O180,"X",""))</f>
        <v/>
      </c>
      <c r="AK180" s="366" t="str">
        <f t="shared" ref="AK180:AK214" si="578">IF($E180="na","",IF($E180=P180,"X",""))</f>
        <v/>
      </c>
      <c r="AL180" s="833" t="str">
        <f t="shared" ref="AL180:AL214" si="579">IF($E180="na","",IF($E180=Q180,"X",""))</f>
        <v/>
      </c>
      <c r="AM180" s="832" t="str">
        <f t="shared" ref="AM180:AM214" si="580">IF($F180="na","",IF($F180=H180,"X",""))</f>
        <v/>
      </c>
      <c r="AN180" s="366" t="str">
        <f t="shared" ref="AN180:AN214" si="581">IF($F180="na","",IF($F180=M180,"X",""))</f>
        <v>X</v>
      </c>
      <c r="AO180" s="366" t="str">
        <f t="shared" ref="AO180:AO214" si="582">IF($F180="na","",IF($F180=N180,"X",""))</f>
        <v/>
      </c>
      <c r="AP180" s="366" t="str">
        <f t="shared" ref="AP180:AP214" si="583">IF($F180="na","",IF($F180=O180,"X",""))</f>
        <v/>
      </c>
      <c r="AQ180" s="366" t="str">
        <f t="shared" ref="AQ180:AQ214" si="584">IF($F180="na","",IF($F180=P180,"X",""))</f>
        <v/>
      </c>
      <c r="AR180" s="833" t="str">
        <f t="shared" ref="AR180:AR214" si="585">IF($F180="na","",IF($F180=Q180,"X",""))</f>
        <v/>
      </c>
      <c r="AT180" s="1062"/>
      <c r="AY180" s="4"/>
    </row>
    <row r="181" spans="1:51" ht="13.9" customHeight="1" x14ac:dyDescent="0.25">
      <c r="A181" s="846">
        <f>Chem!A181</f>
        <v>179</v>
      </c>
      <c r="B181" s="951" t="str">
        <f>Chem!B181</f>
        <v>cis-1,2-Dichloroethylene</v>
      </c>
      <c r="C181" s="946">
        <f t="shared" si="558"/>
        <v>7.9454605887736909E-2</v>
      </c>
      <c r="D181" s="463">
        <f t="shared" si="559"/>
        <v>5.2202666666666675E-3</v>
      </c>
      <c r="E181" s="634">
        <f t="shared" si="504"/>
        <v>160</v>
      </c>
      <c r="F181" s="634">
        <f t="shared" si="505"/>
        <v>160</v>
      </c>
      <c r="G181" s="634"/>
      <c r="H181" s="467">
        <f>'SL-Det'!E181</f>
        <v>160</v>
      </c>
      <c r="I181" s="231">
        <f>Leach!F181</f>
        <v>7.9454605887736909E-2</v>
      </c>
      <c r="J181" s="231" t="str">
        <f>Leach!I181</f>
        <v>na</v>
      </c>
      <c r="K181" s="231" t="str">
        <f>Leach!L181</f>
        <v>na</v>
      </c>
      <c r="L181" s="476">
        <f>Leach!G181</f>
        <v>5.2202666666666675E-3</v>
      </c>
      <c r="M181" s="476" t="str">
        <f>Leach!J181</f>
        <v>na</v>
      </c>
      <c r="N181" s="476" t="str">
        <f>Leach!M181</f>
        <v>na</v>
      </c>
      <c r="O181" s="485" t="str">
        <f>'SD-Det'!Z181</f>
        <v>na</v>
      </c>
      <c r="P181" s="494" t="str">
        <f>'SL-Det'!I181</f>
        <v>na</v>
      </c>
      <c r="Q181" s="975" t="s">
        <v>232</v>
      </c>
      <c r="S181" s="832" t="str">
        <f t="shared" si="560"/>
        <v/>
      </c>
      <c r="T181" s="366" t="str">
        <f t="shared" si="561"/>
        <v>X</v>
      </c>
      <c r="U181" s="366" t="str">
        <f t="shared" si="562"/>
        <v/>
      </c>
      <c r="V181" s="366" t="str">
        <f t="shared" si="563"/>
        <v/>
      </c>
      <c r="W181" s="366" t="str">
        <f t="shared" si="564"/>
        <v/>
      </c>
      <c r="X181" s="366" t="str">
        <f t="shared" si="565"/>
        <v/>
      </c>
      <c r="Y181" s="989" t="str">
        <f t="shared" si="566"/>
        <v/>
      </c>
      <c r="Z181" s="832" t="str">
        <f t="shared" si="567"/>
        <v/>
      </c>
      <c r="AA181" s="366" t="str">
        <f t="shared" si="568"/>
        <v>X</v>
      </c>
      <c r="AB181" s="366" t="str">
        <f t="shared" si="569"/>
        <v/>
      </c>
      <c r="AC181" s="366" t="str">
        <f t="shared" si="570"/>
        <v/>
      </c>
      <c r="AD181" s="366" t="str">
        <f t="shared" si="571"/>
        <v/>
      </c>
      <c r="AE181" s="366" t="str">
        <f t="shared" si="572"/>
        <v/>
      </c>
      <c r="AF181" s="833" t="str">
        <f t="shared" si="573"/>
        <v/>
      </c>
      <c r="AG181" s="832" t="str">
        <f t="shared" si="574"/>
        <v>X</v>
      </c>
      <c r="AH181" s="366" t="str">
        <f t="shared" si="575"/>
        <v/>
      </c>
      <c r="AI181" s="366" t="str">
        <f t="shared" si="576"/>
        <v/>
      </c>
      <c r="AJ181" s="366" t="str">
        <f t="shared" si="577"/>
        <v/>
      </c>
      <c r="AK181" s="366" t="str">
        <f t="shared" si="578"/>
        <v/>
      </c>
      <c r="AL181" s="833" t="str">
        <f t="shared" si="579"/>
        <v/>
      </c>
      <c r="AM181" s="832" t="str">
        <f t="shared" si="580"/>
        <v>X</v>
      </c>
      <c r="AN181" s="366" t="str">
        <f t="shared" si="581"/>
        <v/>
      </c>
      <c r="AO181" s="366" t="str">
        <f t="shared" si="582"/>
        <v/>
      </c>
      <c r="AP181" s="366" t="str">
        <f t="shared" si="583"/>
        <v/>
      </c>
      <c r="AQ181" s="366" t="str">
        <f t="shared" si="584"/>
        <v/>
      </c>
      <c r="AR181" s="833" t="str">
        <f t="shared" si="585"/>
        <v/>
      </c>
      <c r="AT181" s="1062"/>
      <c r="AY181" s="4"/>
    </row>
    <row r="182" spans="1:51" ht="13.9" customHeight="1" x14ac:dyDescent="0.25">
      <c r="A182" s="846">
        <f>Chem!A182</f>
        <v>180</v>
      </c>
      <c r="B182" s="951" t="str">
        <f>Chem!B182</f>
        <v>trans-1,2-Dichloroethylene</v>
      </c>
      <c r="C182" s="946">
        <f t="shared" si="558"/>
        <v>0.51722816462051502</v>
      </c>
      <c r="D182" s="463">
        <f t="shared" si="559"/>
        <v>3.2466666666666665E-2</v>
      </c>
      <c r="E182" s="634">
        <f t="shared" si="504"/>
        <v>5.1722816462051497</v>
      </c>
      <c r="F182" s="634">
        <f t="shared" si="505"/>
        <v>0.32466666666666666</v>
      </c>
      <c r="G182" s="634"/>
      <c r="H182" s="467">
        <f>'SL-Det'!E182</f>
        <v>1600</v>
      </c>
      <c r="I182" s="231">
        <f>Leach!F182</f>
        <v>0.51722816462051502</v>
      </c>
      <c r="J182" s="231">
        <f>Leach!I182</f>
        <v>5.1722816462051497</v>
      </c>
      <c r="K182" s="231" t="str">
        <f>Leach!L182</f>
        <v>na</v>
      </c>
      <c r="L182" s="476">
        <f>Leach!G182</f>
        <v>3.2466666666666665E-2</v>
      </c>
      <c r="M182" s="476">
        <f>Leach!J182</f>
        <v>0.32466666666666666</v>
      </c>
      <c r="N182" s="476" t="str">
        <f>Leach!M182</f>
        <v>na</v>
      </c>
      <c r="O182" s="485" t="str">
        <f>'SD-Det'!Z182</f>
        <v>na</v>
      </c>
      <c r="P182" s="494" t="str">
        <f>'SL-Det'!I182</f>
        <v>na</v>
      </c>
      <c r="Q182" s="975" t="s">
        <v>232</v>
      </c>
      <c r="S182" s="832" t="str">
        <f t="shared" si="560"/>
        <v/>
      </c>
      <c r="T182" s="366" t="str">
        <f t="shared" si="561"/>
        <v>X</v>
      </c>
      <c r="U182" s="366" t="str">
        <f t="shared" si="562"/>
        <v/>
      </c>
      <c r="V182" s="366" t="str">
        <f t="shared" si="563"/>
        <v/>
      </c>
      <c r="W182" s="366" t="str">
        <f t="shared" si="564"/>
        <v/>
      </c>
      <c r="X182" s="366" t="str">
        <f t="shared" si="565"/>
        <v/>
      </c>
      <c r="Y182" s="989" t="str">
        <f t="shared" si="566"/>
        <v/>
      </c>
      <c r="Z182" s="832" t="str">
        <f t="shared" si="567"/>
        <v/>
      </c>
      <c r="AA182" s="366" t="str">
        <f t="shared" si="568"/>
        <v>X</v>
      </c>
      <c r="AB182" s="366" t="str">
        <f t="shared" si="569"/>
        <v/>
      </c>
      <c r="AC182" s="366" t="str">
        <f t="shared" si="570"/>
        <v/>
      </c>
      <c r="AD182" s="366" t="str">
        <f t="shared" si="571"/>
        <v/>
      </c>
      <c r="AE182" s="366" t="str">
        <f t="shared" si="572"/>
        <v/>
      </c>
      <c r="AF182" s="833" t="str">
        <f t="shared" si="573"/>
        <v/>
      </c>
      <c r="AG182" s="832" t="str">
        <f t="shared" si="574"/>
        <v/>
      </c>
      <c r="AH182" s="366" t="str">
        <f t="shared" si="575"/>
        <v>X</v>
      </c>
      <c r="AI182" s="366" t="str">
        <f t="shared" si="576"/>
        <v/>
      </c>
      <c r="AJ182" s="366" t="str">
        <f t="shared" si="577"/>
        <v/>
      </c>
      <c r="AK182" s="366" t="str">
        <f t="shared" si="578"/>
        <v/>
      </c>
      <c r="AL182" s="833" t="str">
        <f t="shared" si="579"/>
        <v/>
      </c>
      <c r="AM182" s="832" t="str">
        <f t="shared" si="580"/>
        <v/>
      </c>
      <c r="AN182" s="366" t="str">
        <f t="shared" si="581"/>
        <v>X</v>
      </c>
      <c r="AO182" s="366" t="str">
        <f t="shared" si="582"/>
        <v/>
      </c>
      <c r="AP182" s="366" t="str">
        <f t="shared" si="583"/>
        <v/>
      </c>
      <c r="AQ182" s="366" t="str">
        <f t="shared" si="584"/>
        <v/>
      </c>
      <c r="AR182" s="833" t="str">
        <f t="shared" si="585"/>
        <v/>
      </c>
      <c r="AT182" s="1062"/>
      <c r="AY182" s="4"/>
    </row>
    <row r="183" spans="1:51" ht="13.9" customHeight="1" x14ac:dyDescent="0.25">
      <c r="A183" s="846">
        <f>Chem!A183</f>
        <v>181</v>
      </c>
      <c r="B183" s="951" t="str">
        <f>Chem!B183</f>
        <v>1,2-Dichloroethylene (mixed isomers)</v>
      </c>
      <c r="C183" s="946" t="str">
        <f t="shared" si="558"/>
        <v>na</v>
      </c>
      <c r="D183" s="463" t="str">
        <f t="shared" si="559"/>
        <v>na</v>
      </c>
      <c r="E183" s="634" t="str">
        <f t="shared" si="504"/>
        <v>na</v>
      </c>
      <c r="F183" s="634" t="str">
        <f t="shared" si="505"/>
        <v>na</v>
      </c>
      <c r="G183" s="634"/>
      <c r="H183" s="467" t="str">
        <f>'SL-Det'!E183</f>
        <v>na</v>
      </c>
      <c r="I183" s="231" t="str">
        <f>Leach!F183</f>
        <v>na</v>
      </c>
      <c r="J183" s="231" t="str">
        <f>Leach!I183</f>
        <v>na</v>
      </c>
      <c r="K183" s="231" t="str">
        <f>Leach!L183</f>
        <v>na</v>
      </c>
      <c r="L183" s="476" t="str">
        <f>Leach!G183</f>
        <v>na</v>
      </c>
      <c r="M183" s="476" t="str">
        <f>Leach!J183</f>
        <v>na</v>
      </c>
      <c r="N183" s="476" t="str">
        <f>Leach!M183</f>
        <v>na</v>
      </c>
      <c r="O183" s="485" t="str">
        <f>'SD-Det'!Z183</f>
        <v>na</v>
      </c>
      <c r="P183" s="494" t="str">
        <f>'SL-Det'!I183</f>
        <v>na</v>
      </c>
      <c r="Q183" s="975" t="s">
        <v>232</v>
      </c>
      <c r="S183" s="832" t="str">
        <f t="shared" si="560"/>
        <v/>
      </c>
      <c r="T183" s="366" t="str">
        <f t="shared" si="561"/>
        <v/>
      </c>
      <c r="U183" s="366" t="str">
        <f t="shared" si="562"/>
        <v/>
      </c>
      <c r="V183" s="366" t="str">
        <f t="shared" si="563"/>
        <v/>
      </c>
      <c r="W183" s="366" t="str">
        <f t="shared" si="564"/>
        <v/>
      </c>
      <c r="X183" s="366" t="str">
        <f t="shared" si="565"/>
        <v/>
      </c>
      <c r="Y183" s="989" t="str">
        <f t="shared" si="566"/>
        <v/>
      </c>
      <c r="Z183" s="832" t="str">
        <f t="shared" si="567"/>
        <v/>
      </c>
      <c r="AA183" s="366" t="str">
        <f t="shared" si="568"/>
        <v/>
      </c>
      <c r="AB183" s="366" t="str">
        <f t="shared" si="569"/>
        <v/>
      </c>
      <c r="AC183" s="366" t="str">
        <f t="shared" si="570"/>
        <v/>
      </c>
      <c r="AD183" s="366" t="str">
        <f t="shared" si="571"/>
        <v/>
      </c>
      <c r="AE183" s="366" t="str">
        <f t="shared" si="572"/>
        <v/>
      </c>
      <c r="AF183" s="833" t="str">
        <f t="shared" si="573"/>
        <v/>
      </c>
      <c r="AG183" s="832" t="str">
        <f t="shared" si="574"/>
        <v/>
      </c>
      <c r="AH183" s="366" t="str">
        <f t="shared" si="575"/>
        <v/>
      </c>
      <c r="AI183" s="366" t="str">
        <f t="shared" si="576"/>
        <v/>
      </c>
      <c r="AJ183" s="366" t="str">
        <f t="shared" si="577"/>
        <v/>
      </c>
      <c r="AK183" s="366" t="str">
        <f t="shared" si="578"/>
        <v/>
      </c>
      <c r="AL183" s="833" t="str">
        <f t="shared" si="579"/>
        <v/>
      </c>
      <c r="AM183" s="832" t="str">
        <f t="shared" si="580"/>
        <v/>
      </c>
      <c r="AN183" s="366" t="str">
        <f t="shared" si="581"/>
        <v/>
      </c>
      <c r="AO183" s="366" t="str">
        <f t="shared" si="582"/>
        <v/>
      </c>
      <c r="AP183" s="366" t="str">
        <f t="shared" si="583"/>
        <v/>
      </c>
      <c r="AQ183" s="366" t="str">
        <f t="shared" si="584"/>
        <v/>
      </c>
      <c r="AR183" s="833" t="str">
        <f t="shared" si="585"/>
        <v/>
      </c>
      <c r="AT183" s="1062"/>
      <c r="AY183" s="4"/>
    </row>
    <row r="184" spans="1:51" ht="13.9" customHeight="1" x14ac:dyDescent="0.25">
      <c r="A184" s="846">
        <f>Chem!A184</f>
        <v>182</v>
      </c>
      <c r="B184" s="951" t="str">
        <f>Chem!B184</f>
        <v>1,2-Dichloropropane</v>
      </c>
      <c r="C184" s="946">
        <f t="shared" si="558"/>
        <v>1.566545122066041E-2</v>
      </c>
      <c r="D184" s="463">
        <f t="shared" si="559"/>
        <v>1.0343666666666669E-3</v>
      </c>
      <c r="E184" s="634">
        <f t="shared" si="504"/>
        <v>1.566545122066041E-2</v>
      </c>
      <c r="F184" s="634">
        <f t="shared" si="505"/>
        <v>1.0343666666666669E-3</v>
      </c>
      <c r="G184" s="634"/>
      <c r="H184" s="467">
        <f>'SL-Det'!E184</f>
        <v>27.027027027027028</v>
      </c>
      <c r="I184" s="231">
        <f>Leach!F184</f>
        <v>2.5266856807516794E-2</v>
      </c>
      <c r="J184" s="231">
        <f>Leach!I184</f>
        <v>1.566545122066041E-2</v>
      </c>
      <c r="K184" s="231" t="str">
        <f>Leach!L184</f>
        <v>na</v>
      </c>
      <c r="L184" s="476">
        <f>Leach!G184</f>
        <v>1.6683333333333333E-3</v>
      </c>
      <c r="M184" s="476">
        <f>Leach!J184</f>
        <v>1.0343666666666669E-3</v>
      </c>
      <c r="N184" s="476" t="str">
        <f>Leach!M184</f>
        <v>na</v>
      </c>
      <c r="O184" s="485" t="str">
        <f>'SD-Det'!Z184</f>
        <v>na</v>
      </c>
      <c r="P184" s="494">
        <f>'SL-Det'!I184</f>
        <v>700</v>
      </c>
      <c r="Q184" s="975" t="s">
        <v>232</v>
      </c>
      <c r="S184" s="832" t="str">
        <f t="shared" si="560"/>
        <v/>
      </c>
      <c r="T184" s="366" t="str">
        <f t="shared" si="561"/>
        <v/>
      </c>
      <c r="U184" s="366" t="str">
        <f t="shared" si="562"/>
        <v>X</v>
      </c>
      <c r="V184" s="366" t="str">
        <f t="shared" si="563"/>
        <v/>
      </c>
      <c r="W184" s="366" t="str">
        <f t="shared" si="564"/>
        <v/>
      </c>
      <c r="X184" s="366" t="str">
        <f t="shared" si="565"/>
        <v/>
      </c>
      <c r="Y184" s="989" t="str">
        <f t="shared" si="566"/>
        <v/>
      </c>
      <c r="Z184" s="832" t="str">
        <f t="shared" si="567"/>
        <v/>
      </c>
      <c r="AA184" s="366" t="str">
        <f t="shared" si="568"/>
        <v/>
      </c>
      <c r="AB184" s="366" t="str">
        <f t="shared" si="569"/>
        <v>X</v>
      </c>
      <c r="AC184" s="366" t="str">
        <f t="shared" si="570"/>
        <v/>
      </c>
      <c r="AD184" s="366" t="str">
        <f t="shared" si="571"/>
        <v/>
      </c>
      <c r="AE184" s="366" t="str">
        <f t="shared" si="572"/>
        <v/>
      </c>
      <c r="AF184" s="833" t="str">
        <f t="shared" si="573"/>
        <v/>
      </c>
      <c r="AG184" s="832" t="str">
        <f t="shared" si="574"/>
        <v/>
      </c>
      <c r="AH184" s="366" t="str">
        <f t="shared" si="575"/>
        <v>X</v>
      </c>
      <c r="AI184" s="366" t="str">
        <f t="shared" si="576"/>
        <v/>
      </c>
      <c r="AJ184" s="366" t="str">
        <f t="shared" si="577"/>
        <v/>
      </c>
      <c r="AK184" s="366" t="str">
        <f t="shared" si="578"/>
        <v/>
      </c>
      <c r="AL184" s="833" t="str">
        <f t="shared" si="579"/>
        <v/>
      </c>
      <c r="AM184" s="832" t="str">
        <f t="shared" si="580"/>
        <v/>
      </c>
      <c r="AN184" s="366" t="str">
        <f t="shared" si="581"/>
        <v>X</v>
      </c>
      <c r="AO184" s="366" t="str">
        <f t="shared" si="582"/>
        <v/>
      </c>
      <c r="AP184" s="366" t="str">
        <f t="shared" si="583"/>
        <v/>
      </c>
      <c r="AQ184" s="366" t="str">
        <f t="shared" si="584"/>
        <v/>
      </c>
      <c r="AR184" s="833" t="str">
        <f t="shared" si="585"/>
        <v/>
      </c>
      <c r="AT184" s="1062"/>
      <c r="AY184" s="4"/>
    </row>
    <row r="185" spans="1:51" ht="13.9" customHeight="1" x14ac:dyDescent="0.25">
      <c r="A185" s="846">
        <f>Chem!A185</f>
        <v>183</v>
      </c>
      <c r="B185" s="951" t="str">
        <f>Chem!B185</f>
        <v>1,3-Dichloropropane</v>
      </c>
      <c r="C185" s="946">
        <f t="shared" si="558"/>
        <v>6.57631628875839E-3</v>
      </c>
      <c r="D185" s="463">
        <f t="shared" si="559"/>
        <v>4.3063999999999998E-4</v>
      </c>
      <c r="E185" s="634">
        <f t="shared" si="504"/>
        <v>6.57631628875839E-3</v>
      </c>
      <c r="F185" s="634">
        <f t="shared" si="505"/>
        <v>4.3063999999999998E-4</v>
      </c>
      <c r="G185" s="634"/>
      <c r="H185" s="467">
        <f>'SL-Det'!E185</f>
        <v>1600</v>
      </c>
      <c r="I185" s="231">
        <f>Leach!F185</f>
        <v>0.87684217183445201</v>
      </c>
      <c r="J185" s="231">
        <f>Leach!I185</f>
        <v>6.57631628875839E-3</v>
      </c>
      <c r="K185" s="231" t="str">
        <f>Leach!L185</f>
        <v>na</v>
      </c>
      <c r="L185" s="476">
        <f>Leach!G185</f>
        <v>5.7418666666666666E-2</v>
      </c>
      <c r="M185" s="476">
        <f>Leach!J185</f>
        <v>4.3063999999999998E-4</v>
      </c>
      <c r="N185" s="476" t="str">
        <f>Leach!M185</f>
        <v>na</v>
      </c>
      <c r="O185" s="485" t="str">
        <f>'SD-Det'!Z185</f>
        <v>na</v>
      </c>
      <c r="P185" s="494" t="str">
        <f>'SL-Det'!I185</f>
        <v>na</v>
      </c>
      <c r="Q185" s="975" t="s">
        <v>232</v>
      </c>
      <c r="S185" s="832" t="str">
        <f t="shared" si="560"/>
        <v/>
      </c>
      <c r="T185" s="366" t="str">
        <f t="shared" si="561"/>
        <v/>
      </c>
      <c r="U185" s="366" t="str">
        <f t="shared" si="562"/>
        <v>X</v>
      </c>
      <c r="V185" s="366" t="str">
        <f t="shared" si="563"/>
        <v/>
      </c>
      <c r="W185" s="366" t="str">
        <f t="shared" si="564"/>
        <v/>
      </c>
      <c r="X185" s="366" t="str">
        <f t="shared" si="565"/>
        <v/>
      </c>
      <c r="Y185" s="989" t="str">
        <f t="shared" si="566"/>
        <v/>
      </c>
      <c r="Z185" s="832" t="str">
        <f t="shared" si="567"/>
        <v/>
      </c>
      <c r="AA185" s="366" t="str">
        <f t="shared" si="568"/>
        <v/>
      </c>
      <c r="AB185" s="366" t="str">
        <f t="shared" si="569"/>
        <v>X</v>
      </c>
      <c r="AC185" s="366" t="str">
        <f t="shared" si="570"/>
        <v/>
      </c>
      <c r="AD185" s="366" t="str">
        <f t="shared" si="571"/>
        <v/>
      </c>
      <c r="AE185" s="366" t="str">
        <f t="shared" si="572"/>
        <v/>
      </c>
      <c r="AF185" s="833" t="str">
        <f t="shared" si="573"/>
        <v/>
      </c>
      <c r="AG185" s="832" t="str">
        <f t="shared" si="574"/>
        <v/>
      </c>
      <c r="AH185" s="366" t="str">
        <f t="shared" si="575"/>
        <v>X</v>
      </c>
      <c r="AI185" s="366" t="str">
        <f t="shared" si="576"/>
        <v/>
      </c>
      <c r="AJ185" s="366" t="str">
        <f t="shared" si="577"/>
        <v/>
      </c>
      <c r="AK185" s="366" t="str">
        <f t="shared" si="578"/>
        <v/>
      </c>
      <c r="AL185" s="833" t="str">
        <f t="shared" si="579"/>
        <v/>
      </c>
      <c r="AM185" s="832" t="str">
        <f t="shared" si="580"/>
        <v/>
      </c>
      <c r="AN185" s="366" t="str">
        <f t="shared" si="581"/>
        <v>X</v>
      </c>
      <c r="AO185" s="366" t="str">
        <f t="shared" si="582"/>
        <v/>
      </c>
      <c r="AP185" s="366" t="str">
        <f t="shared" si="583"/>
        <v/>
      </c>
      <c r="AQ185" s="366" t="str">
        <f t="shared" si="584"/>
        <v/>
      </c>
      <c r="AR185" s="833" t="str">
        <f t="shared" si="585"/>
        <v/>
      </c>
      <c r="AT185" s="1062"/>
      <c r="AY185" s="4"/>
    </row>
    <row r="186" spans="1:51" ht="13.9" customHeight="1" x14ac:dyDescent="0.25">
      <c r="A186" s="846">
        <f>Chem!A186</f>
        <v>184</v>
      </c>
      <c r="B186" s="951" t="str">
        <f>Chem!B186</f>
        <v>2,2-Dichloropropane</v>
      </c>
      <c r="C186" s="946" t="str">
        <f t="shared" si="558"/>
        <v>na</v>
      </c>
      <c r="D186" s="463" t="str">
        <f t="shared" si="559"/>
        <v>na</v>
      </c>
      <c r="E186" s="634" t="str">
        <f t="shared" si="504"/>
        <v>na</v>
      </c>
      <c r="F186" s="634" t="str">
        <f t="shared" si="505"/>
        <v>na</v>
      </c>
      <c r="G186" s="634"/>
      <c r="H186" s="467" t="str">
        <f>'SL-Det'!E186</f>
        <v>na</v>
      </c>
      <c r="I186" s="231" t="str">
        <f>Leach!F186</f>
        <v>na</v>
      </c>
      <c r="J186" s="231" t="str">
        <f>Leach!I186</f>
        <v>na</v>
      </c>
      <c r="K186" s="231" t="str">
        <f>Leach!L186</f>
        <v>na</v>
      </c>
      <c r="L186" s="476" t="str">
        <f>Leach!G186</f>
        <v>na</v>
      </c>
      <c r="M186" s="476" t="str">
        <f>Leach!J186</f>
        <v>na</v>
      </c>
      <c r="N186" s="476" t="str">
        <f>Leach!M186</f>
        <v>na</v>
      </c>
      <c r="O186" s="485" t="str">
        <f>'SD-Det'!Z186</f>
        <v>na</v>
      </c>
      <c r="P186" s="494" t="str">
        <f>'SL-Det'!I186</f>
        <v>na</v>
      </c>
      <c r="Q186" s="975" t="s">
        <v>232</v>
      </c>
      <c r="S186" s="832" t="str">
        <f t="shared" si="560"/>
        <v/>
      </c>
      <c r="T186" s="366" t="str">
        <f t="shared" si="561"/>
        <v/>
      </c>
      <c r="U186" s="366" t="str">
        <f t="shared" si="562"/>
        <v/>
      </c>
      <c r="V186" s="366" t="str">
        <f t="shared" si="563"/>
        <v/>
      </c>
      <c r="W186" s="366" t="str">
        <f t="shared" si="564"/>
        <v/>
      </c>
      <c r="X186" s="366" t="str">
        <f t="shared" si="565"/>
        <v/>
      </c>
      <c r="Y186" s="989" t="str">
        <f t="shared" si="566"/>
        <v/>
      </c>
      <c r="Z186" s="832" t="str">
        <f t="shared" si="567"/>
        <v/>
      </c>
      <c r="AA186" s="366" t="str">
        <f t="shared" si="568"/>
        <v/>
      </c>
      <c r="AB186" s="366" t="str">
        <f t="shared" si="569"/>
        <v/>
      </c>
      <c r="AC186" s="366" t="str">
        <f t="shared" si="570"/>
        <v/>
      </c>
      <c r="AD186" s="366" t="str">
        <f t="shared" si="571"/>
        <v/>
      </c>
      <c r="AE186" s="366" t="str">
        <f t="shared" si="572"/>
        <v/>
      </c>
      <c r="AF186" s="833" t="str">
        <f t="shared" si="573"/>
        <v/>
      </c>
      <c r="AG186" s="832" t="str">
        <f t="shared" si="574"/>
        <v/>
      </c>
      <c r="AH186" s="366" t="str">
        <f t="shared" si="575"/>
        <v/>
      </c>
      <c r="AI186" s="366" t="str">
        <f t="shared" si="576"/>
        <v/>
      </c>
      <c r="AJ186" s="366" t="str">
        <f t="shared" si="577"/>
        <v/>
      </c>
      <c r="AK186" s="366" t="str">
        <f t="shared" si="578"/>
        <v/>
      </c>
      <c r="AL186" s="833" t="str">
        <f t="shared" si="579"/>
        <v/>
      </c>
      <c r="AM186" s="832" t="str">
        <f t="shared" si="580"/>
        <v/>
      </c>
      <c r="AN186" s="366" t="str">
        <f t="shared" si="581"/>
        <v/>
      </c>
      <c r="AO186" s="366" t="str">
        <f t="shared" si="582"/>
        <v/>
      </c>
      <c r="AP186" s="366" t="str">
        <f t="shared" si="583"/>
        <v/>
      </c>
      <c r="AQ186" s="366" t="str">
        <f t="shared" si="584"/>
        <v/>
      </c>
      <c r="AR186" s="833" t="str">
        <f t="shared" si="585"/>
        <v/>
      </c>
      <c r="AT186" s="1062"/>
      <c r="AY186" s="4"/>
    </row>
    <row r="187" spans="1:51" ht="13.9" customHeight="1" x14ac:dyDescent="0.25">
      <c r="A187" s="846">
        <f>Chem!A187</f>
        <v>185</v>
      </c>
      <c r="B187" s="951" t="str">
        <f>Chem!B187</f>
        <v>1,1-Dichloropropene</v>
      </c>
      <c r="C187" s="946" t="str">
        <f t="shared" si="558"/>
        <v>na</v>
      </c>
      <c r="D187" s="463" t="str">
        <f t="shared" si="559"/>
        <v>na</v>
      </c>
      <c r="E187" s="634" t="str">
        <f t="shared" si="504"/>
        <v>na</v>
      </c>
      <c r="F187" s="634" t="str">
        <f t="shared" si="505"/>
        <v>na</v>
      </c>
      <c r="G187" s="634"/>
      <c r="H187" s="467" t="str">
        <f>'SL-Det'!E187</f>
        <v>na</v>
      </c>
      <c r="I187" s="231" t="str">
        <f>Leach!F187</f>
        <v>na</v>
      </c>
      <c r="J187" s="231" t="str">
        <f>Leach!I187</f>
        <v>na</v>
      </c>
      <c r="K187" s="231" t="str">
        <f>Leach!L187</f>
        <v>na</v>
      </c>
      <c r="L187" s="476" t="str">
        <f>Leach!G187</f>
        <v>na</v>
      </c>
      <c r="M187" s="476" t="str">
        <f>Leach!J187</f>
        <v>na</v>
      </c>
      <c r="N187" s="476" t="str">
        <f>Leach!M187</f>
        <v>na</v>
      </c>
      <c r="O187" s="485" t="str">
        <f>'SD-Det'!Z187</f>
        <v>na</v>
      </c>
      <c r="P187" s="494" t="str">
        <f>'SL-Det'!I187</f>
        <v>na</v>
      </c>
      <c r="Q187" s="975" t="s">
        <v>232</v>
      </c>
      <c r="S187" s="832" t="str">
        <f t="shared" si="560"/>
        <v/>
      </c>
      <c r="T187" s="366" t="str">
        <f t="shared" si="561"/>
        <v/>
      </c>
      <c r="U187" s="366" t="str">
        <f t="shared" si="562"/>
        <v/>
      </c>
      <c r="V187" s="366" t="str">
        <f t="shared" si="563"/>
        <v/>
      </c>
      <c r="W187" s="366" t="str">
        <f t="shared" si="564"/>
        <v/>
      </c>
      <c r="X187" s="366" t="str">
        <f t="shared" si="565"/>
        <v/>
      </c>
      <c r="Y187" s="989" t="str">
        <f t="shared" si="566"/>
        <v/>
      </c>
      <c r="Z187" s="832" t="str">
        <f t="shared" si="567"/>
        <v/>
      </c>
      <c r="AA187" s="366" t="str">
        <f t="shared" si="568"/>
        <v/>
      </c>
      <c r="AB187" s="366" t="str">
        <f t="shared" si="569"/>
        <v/>
      </c>
      <c r="AC187" s="366" t="str">
        <f t="shared" si="570"/>
        <v/>
      </c>
      <c r="AD187" s="366" t="str">
        <f t="shared" si="571"/>
        <v/>
      </c>
      <c r="AE187" s="366" t="str">
        <f t="shared" si="572"/>
        <v/>
      </c>
      <c r="AF187" s="833" t="str">
        <f t="shared" si="573"/>
        <v/>
      </c>
      <c r="AG187" s="832" t="str">
        <f t="shared" si="574"/>
        <v/>
      </c>
      <c r="AH187" s="366" t="str">
        <f t="shared" si="575"/>
        <v/>
      </c>
      <c r="AI187" s="366" t="str">
        <f t="shared" si="576"/>
        <v/>
      </c>
      <c r="AJ187" s="366" t="str">
        <f t="shared" si="577"/>
        <v/>
      </c>
      <c r="AK187" s="366" t="str">
        <f t="shared" si="578"/>
        <v/>
      </c>
      <c r="AL187" s="833" t="str">
        <f t="shared" si="579"/>
        <v/>
      </c>
      <c r="AM187" s="832" t="str">
        <f t="shared" si="580"/>
        <v/>
      </c>
      <c r="AN187" s="366" t="str">
        <f t="shared" si="581"/>
        <v/>
      </c>
      <c r="AO187" s="366" t="str">
        <f t="shared" si="582"/>
        <v/>
      </c>
      <c r="AP187" s="366" t="str">
        <f t="shared" si="583"/>
        <v/>
      </c>
      <c r="AQ187" s="366" t="str">
        <f t="shared" si="584"/>
        <v/>
      </c>
      <c r="AR187" s="833" t="str">
        <f t="shared" si="585"/>
        <v/>
      </c>
      <c r="AT187" s="1062"/>
      <c r="AY187" s="4"/>
    </row>
    <row r="188" spans="1:51" ht="13.9" customHeight="1" x14ac:dyDescent="0.25">
      <c r="A188" s="846">
        <f>Chem!A188</f>
        <v>186</v>
      </c>
      <c r="B188" s="951" t="str">
        <f>Chem!B188</f>
        <v>cis-1,3-Dichloropropene</v>
      </c>
      <c r="C188" s="946">
        <f t="shared" si="558"/>
        <v>2.0458245754042029E-3</v>
      </c>
      <c r="D188" s="463">
        <f t="shared" si="559"/>
        <v>1.3722916666666666E-4</v>
      </c>
      <c r="E188" s="634">
        <f t="shared" si="504"/>
        <v>5.6114045496801013E-3</v>
      </c>
      <c r="F188" s="634">
        <f t="shared" si="505"/>
        <v>3.7639999999999999E-4</v>
      </c>
      <c r="G188" s="634"/>
      <c r="H188" s="467">
        <f>'SL-Det'!E188</f>
        <v>10</v>
      </c>
      <c r="I188" s="231">
        <f>Leach!F188</f>
        <v>2.0458245754042029E-3</v>
      </c>
      <c r="J188" s="231">
        <f>Leach!I188</f>
        <v>5.6114045496801013E-3</v>
      </c>
      <c r="K188" s="231" t="str">
        <f>Leach!L188</f>
        <v>na</v>
      </c>
      <c r="L188" s="476">
        <f>Leach!G188</f>
        <v>1.3722916666666666E-4</v>
      </c>
      <c r="M188" s="476">
        <f>Leach!J188</f>
        <v>3.7639999999999999E-4</v>
      </c>
      <c r="N188" s="476" t="str">
        <f>Leach!M188</f>
        <v>na</v>
      </c>
      <c r="O188" s="485" t="str">
        <f>'SD-Det'!Z188</f>
        <v>na</v>
      </c>
      <c r="P188" s="494" t="str">
        <f>'SL-Det'!I188</f>
        <v>na</v>
      </c>
      <c r="Q188" s="975" t="s">
        <v>232</v>
      </c>
      <c r="S188" s="832" t="str">
        <f t="shared" si="560"/>
        <v/>
      </c>
      <c r="T188" s="366" t="str">
        <f t="shared" si="561"/>
        <v>X</v>
      </c>
      <c r="U188" s="366" t="str">
        <f t="shared" si="562"/>
        <v/>
      </c>
      <c r="V188" s="366" t="str">
        <f t="shared" si="563"/>
        <v/>
      </c>
      <c r="W188" s="366" t="str">
        <f t="shared" si="564"/>
        <v/>
      </c>
      <c r="X188" s="366" t="str">
        <f t="shared" si="565"/>
        <v/>
      </c>
      <c r="Y188" s="989" t="str">
        <f t="shared" si="566"/>
        <v/>
      </c>
      <c r="Z188" s="832" t="str">
        <f t="shared" si="567"/>
        <v/>
      </c>
      <c r="AA188" s="366" t="str">
        <f t="shared" si="568"/>
        <v>X</v>
      </c>
      <c r="AB188" s="366" t="str">
        <f t="shared" si="569"/>
        <v/>
      </c>
      <c r="AC188" s="366" t="str">
        <f t="shared" si="570"/>
        <v/>
      </c>
      <c r="AD188" s="366" t="str">
        <f t="shared" si="571"/>
        <v/>
      </c>
      <c r="AE188" s="366" t="str">
        <f t="shared" si="572"/>
        <v/>
      </c>
      <c r="AF188" s="833" t="str">
        <f t="shared" si="573"/>
        <v/>
      </c>
      <c r="AG188" s="832" t="str">
        <f t="shared" si="574"/>
        <v/>
      </c>
      <c r="AH188" s="366" t="str">
        <f t="shared" si="575"/>
        <v>X</v>
      </c>
      <c r="AI188" s="366" t="str">
        <f t="shared" si="576"/>
        <v/>
      </c>
      <c r="AJ188" s="366" t="str">
        <f t="shared" si="577"/>
        <v/>
      </c>
      <c r="AK188" s="366" t="str">
        <f t="shared" si="578"/>
        <v/>
      </c>
      <c r="AL188" s="833" t="str">
        <f t="shared" si="579"/>
        <v/>
      </c>
      <c r="AM188" s="832" t="str">
        <f t="shared" si="580"/>
        <v/>
      </c>
      <c r="AN188" s="366" t="str">
        <f t="shared" si="581"/>
        <v>X</v>
      </c>
      <c r="AO188" s="366" t="str">
        <f t="shared" si="582"/>
        <v/>
      </c>
      <c r="AP188" s="366" t="str">
        <f t="shared" si="583"/>
        <v/>
      </c>
      <c r="AQ188" s="366" t="str">
        <f t="shared" si="584"/>
        <v/>
      </c>
      <c r="AR188" s="833" t="str">
        <f t="shared" si="585"/>
        <v/>
      </c>
      <c r="AT188" s="1062"/>
      <c r="AY188" s="4"/>
    </row>
    <row r="189" spans="1:51" ht="13.9" customHeight="1" x14ac:dyDescent="0.25">
      <c r="A189" s="846">
        <f>Chem!A189</f>
        <v>187</v>
      </c>
      <c r="B189" s="951" t="str">
        <f>Chem!B189</f>
        <v>trans-1,3-Dichloropropene</v>
      </c>
      <c r="C189" s="946">
        <f t="shared" si="558"/>
        <v>2.0458245754042029E-3</v>
      </c>
      <c r="D189" s="463">
        <f t="shared" si="559"/>
        <v>1.3722916666666666E-4</v>
      </c>
      <c r="E189" s="634">
        <f t="shared" si="504"/>
        <v>5.6114045496801013E-3</v>
      </c>
      <c r="F189" s="634">
        <f t="shared" si="505"/>
        <v>3.7639999999999999E-4</v>
      </c>
      <c r="G189" s="634"/>
      <c r="H189" s="467">
        <f>'SL-Det'!E189</f>
        <v>10</v>
      </c>
      <c r="I189" s="231">
        <f>Leach!F189</f>
        <v>2.0458245754042029E-3</v>
      </c>
      <c r="J189" s="231">
        <f>Leach!I189</f>
        <v>5.6114045496801013E-3</v>
      </c>
      <c r="K189" s="231" t="str">
        <f>Leach!L189</f>
        <v>na</v>
      </c>
      <c r="L189" s="476">
        <f>Leach!G189</f>
        <v>1.3722916666666666E-4</v>
      </c>
      <c r="M189" s="476">
        <f>Leach!J189</f>
        <v>3.7639999999999999E-4</v>
      </c>
      <c r="N189" s="476" t="str">
        <f>Leach!M189</f>
        <v>na</v>
      </c>
      <c r="O189" s="485" t="str">
        <f>'SD-Det'!Z189</f>
        <v>na</v>
      </c>
      <c r="P189" s="494" t="str">
        <f>'SL-Det'!I189</f>
        <v>na</v>
      </c>
      <c r="Q189" s="975" t="s">
        <v>232</v>
      </c>
      <c r="S189" s="832" t="str">
        <f t="shared" si="560"/>
        <v/>
      </c>
      <c r="T189" s="366" t="str">
        <f t="shared" si="561"/>
        <v>X</v>
      </c>
      <c r="U189" s="366" t="str">
        <f t="shared" si="562"/>
        <v/>
      </c>
      <c r="V189" s="366" t="str">
        <f t="shared" si="563"/>
        <v/>
      </c>
      <c r="W189" s="366" t="str">
        <f t="shared" si="564"/>
        <v/>
      </c>
      <c r="X189" s="366" t="str">
        <f t="shared" si="565"/>
        <v/>
      </c>
      <c r="Y189" s="989" t="str">
        <f t="shared" si="566"/>
        <v/>
      </c>
      <c r="Z189" s="832" t="str">
        <f t="shared" si="567"/>
        <v/>
      </c>
      <c r="AA189" s="366" t="str">
        <f t="shared" si="568"/>
        <v>X</v>
      </c>
      <c r="AB189" s="366" t="str">
        <f t="shared" si="569"/>
        <v/>
      </c>
      <c r="AC189" s="366" t="str">
        <f t="shared" si="570"/>
        <v/>
      </c>
      <c r="AD189" s="366" t="str">
        <f t="shared" si="571"/>
        <v/>
      </c>
      <c r="AE189" s="366" t="str">
        <f t="shared" si="572"/>
        <v/>
      </c>
      <c r="AF189" s="833" t="str">
        <f t="shared" si="573"/>
        <v/>
      </c>
      <c r="AG189" s="832" t="str">
        <f t="shared" si="574"/>
        <v/>
      </c>
      <c r="AH189" s="366" t="str">
        <f t="shared" si="575"/>
        <v>X</v>
      </c>
      <c r="AI189" s="366" t="str">
        <f t="shared" si="576"/>
        <v/>
      </c>
      <c r="AJ189" s="366" t="str">
        <f t="shared" si="577"/>
        <v/>
      </c>
      <c r="AK189" s="366" t="str">
        <f t="shared" si="578"/>
        <v/>
      </c>
      <c r="AL189" s="833" t="str">
        <f t="shared" si="579"/>
        <v/>
      </c>
      <c r="AM189" s="832" t="str">
        <f t="shared" si="580"/>
        <v/>
      </c>
      <c r="AN189" s="366" t="str">
        <f t="shared" si="581"/>
        <v>X</v>
      </c>
      <c r="AO189" s="366" t="str">
        <f t="shared" si="582"/>
        <v/>
      </c>
      <c r="AP189" s="366" t="str">
        <f t="shared" si="583"/>
        <v/>
      </c>
      <c r="AQ189" s="366" t="str">
        <f t="shared" si="584"/>
        <v/>
      </c>
      <c r="AR189" s="833" t="str">
        <f t="shared" si="585"/>
        <v/>
      </c>
      <c r="AT189" s="1062"/>
      <c r="AY189" s="4"/>
    </row>
    <row r="190" spans="1:51" ht="13.9" customHeight="1" x14ac:dyDescent="0.25">
      <c r="A190" s="846">
        <f>Chem!A190</f>
        <v>188</v>
      </c>
      <c r="B190" s="951" t="str">
        <f>Chem!B190</f>
        <v>Diisopropyl ether</v>
      </c>
      <c r="C190" s="946" t="str">
        <f t="shared" si="558"/>
        <v>na</v>
      </c>
      <c r="D190" s="463" t="str">
        <f t="shared" si="559"/>
        <v>na</v>
      </c>
      <c r="E190" s="634" t="str">
        <f t="shared" si="504"/>
        <v>na</v>
      </c>
      <c r="F190" s="634" t="str">
        <f t="shared" si="505"/>
        <v>na</v>
      </c>
      <c r="G190" s="634"/>
      <c r="H190" s="467" t="str">
        <f>'SL-Det'!E190</f>
        <v>na</v>
      </c>
      <c r="I190" s="231" t="str">
        <f>Leach!F190</f>
        <v>na</v>
      </c>
      <c r="J190" s="231" t="str">
        <f>Leach!I190</f>
        <v>na</v>
      </c>
      <c r="K190" s="231" t="str">
        <f>Leach!L190</f>
        <v>na</v>
      </c>
      <c r="L190" s="476" t="str">
        <f>Leach!G190</f>
        <v>na</v>
      </c>
      <c r="M190" s="476" t="str">
        <f>Leach!J190</f>
        <v>na</v>
      </c>
      <c r="N190" s="476" t="str">
        <f>Leach!M190</f>
        <v>na</v>
      </c>
      <c r="O190" s="485" t="str">
        <f>'SD-Det'!Z190</f>
        <v>na</v>
      </c>
      <c r="P190" s="494" t="str">
        <f>'SL-Det'!I190</f>
        <v>na</v>
      </c>
      <c r="Q190" s="975" t="s">
        <v>232</v>
      </c>
      <c r="S190" s="832" t="str">
        <f t="shared" ref="S190" si="586">IF($C190="na","",IF($C190=H190,"X",""))</f>
        <v/>
      </c>
      <c r="T190" s="366" t="str">
        <f t="shared" ref="T190" si="587">IF($C190="na","",IF($C190=I190,"X",""))</f>
        <v/>
      </c>
      <c r="U190" s="366" t="str">
        <f t="shared" ref="U190" si="588">IF($C190="na","",IF($C190=J190,"X",""))</f>
        <v/>
      </c>
      <c r="V190" s="366" t="str">
        <f t="shared" ref="V190" si="589">IF($C190="na","",IF($C190=K190,"X",""))</f>
        <v/>
      </c>
      <c r="W190" s="366" t="str">
        <f t="shared" ref="W190" si="590">IF($C190="na","",IF($C190=O190,"X",""))</f>
        <v/>
      </c>
      <c r="X190" s="366" t="str">
        <f t="shared" ref="X190" si="591">IF($C190="na","",IF($C190=P190,"X",""))</f>
        <v/>
      </c>
      <c r="Y190" s="989" t="str">
        <f t="shared" ref="Y190" si="592">IF($C190="na","",IF($C190=Q190,"X",""))</f>
        <v/>
      </c>
      <c r="Z190" s="832" t="str">
        <f t="shared" ref="Z190" si="593">IF($D190="na","",IF($D190=H190,"X",""))</f>
        <v/>
      </c>
      <c r="AA190" s="366" t="str">
        <f t="shared" ref="AA190" si="594">IF($D190="na","",IF($D190=L190,"X",""))</f>
        <v/>
      </c>
      <c r="AB190" s="366" t="str">
        <f t="shared" ref="AB190" si="595">IF($D190="na","",IF($D190=M190,"X",""))</f>
        <v/>
      </c>
      <c r="AC190" s="366" t="str">
        <f t="shared" ref="AC190" si="596">IF($D190="na","",IF($D190=N190,"X",""))</f>
        <v/>
      </c>
      <c r="AD190" s="366" t="str">
        <f t="shared" ref="AD190" si="597">IF($D190="na","",IF($D190=O190,"X",""))</f>
        <v/>
      </c>
      <c r="AE190" s="366" t="str">
        <f t="shared" ref="AE190" si="598">IF($D190="na","",IF($D190=P190,"X",""))</f>
        <v/>
      </c>
      <c r="AF190" s="833" t="str">
        <f t="shared" ref="AF190" si="599">IF($D190="na","",IF($D190=Q190,"X",""))</f>
        <v/>
      </c>
      <c r="AG190" s="832" t="str">
        <f t="shared" ref="AG190" si="600">IF($E190="na","",IF($E190=H190,"X",""))</f>
        <v/>
      </c>
      <c r="AH190" s="366" t="str">
        <f t="shared" ref="AH190" si="601">IF($E190="na","",IF($E190=J190,"X",""))</f>
        <v/>
      </c>
      <c r="AI190" s="366" t="str">
        <f t="shared" ref="AI190" si="602">IF($E190="na","",IF($E190=K190,"X",""))</f>
        <v/>
      </c>
      <c r="AJ190" s="366" t="str">
        <f t="shared" ref="AJ190" si="603">IF($E190="na","",IF($E190=O190,"X",""))</f>
        <v/>
      </c>
      <c r="AK190" s="366" t="str">
        <f t="shared" ref="AK190" si="604">IF($E190="na","",IF($E190=P190,"X",""))</f>
        <v/>
      </c>
      <c r="AL190" s="833" t="str">
        <f t="shared" ref="AL190" si="605">IF($E190="na","",IF($E190=Q190,"X",""))</f>
        <v/>
      </c>
      <c r="AM190" s="832" t="str">
        <f t="shared" ref="AM190" si="606">IF($F190="na","",IF($F190=H190,"X",""))</f>
        <v/>
      </c>
      <c r="AN190" s="366" t="str">
        <f t="shared" ref="AN190" si="607">IF($F190="na","",IF($F190=M190,"X",""))</f>
        <v/>
      </c>
      <c r="AO190" s="366" t="str">
        <f t="shared" ref="AO190" si="608">IF($F190="na","",IF($F190=N190,"X",""))</f>
        <v/>
      </c>
      <c r="AP190" s="366" t="str">
        <f t="shared" ref="AP190" si="609">IF($F190="na","",IF($F190=O190,"X",""))</f>
        <v/>
      </c>
      <c r="AQ190" s="366" t="str">
        <f t="shared" ref="AQ190" si="610">IF($F190="na","",IF($F190=P190,"X",""))</f>
        <v/>
      </c>
      <c r="AR190" s="833" t="str">
        <f t="shared" ref="AR190" si="611">IF($F190="na","",IF($F190=Q190,"X",""))</f>
        <v/>
      </c>
      <c r="AT190" s="1062"/>
      <c r="AY190" s="4"/>
    </row>
    <row r="191" spans="1:51" ht="13.9" customHeight="1" x14ac:dyDescent="0.25">
      <c r="A191" s="846">
        <f>Chem!A191</f>
        <v>189</v>
      </c>
      <c r="B191" s="951" t="str">
        <f>Chem!B191</f>
        <v>Ethane</v>
      </c>
      <c r="C191" s="946" t="str">
        <f t="shared" si="558"/>
        <v>na</v>
      </c>
      <c r="D191" s="463" t="str">
        <f t="shared" si="559"/>
        <v>na</v>
      </c>
      <c r="E191" s="634" t="str">
        <f t="shared" si="504"/>
        <v>na</v>
      </c>
      <c r="F191" s="634" t="str">
        <f t="shared" si="505"/>
        <v>na</v>
      </c>
      <c r="G191" s="634"/>
      <c r="H191" s="467" t="str">
        <f>'SL-Det'!E191</f>
        <v>na</v>
      </c>
      <c r="I191" s="231" t="str">
        <f>Leach!F191</f>
        <v>na</v>
      </c>
      <c r="J191" s="231" t="str">
        <f>Leach!I191</f>
        <v>na</v>
      </c>
      <c r="K191" s="231" t="str">
        <f>Leach!L191</f>
        <v>na</v>
      </c>
      <c r="L191" s="476" t="str">
        <f>Leach!G191</f>
        <v>na</v>
      </c>
      <c r="M191" s="476" t="str">
        <f>Leach!J191</f>
        <v>na</v>
      </c>
      <c r="N191" s="476" t="str">
        <f>Leach!M191</f>
        <v>na</v>
      </c>
      <c r="O191" s="485" t="str">
        <f>'SD-Det'!Z191</f>
        <v>na</v>
      </c>
      <c r="P191" s="494" t="str">
        <f>'SL-Det'!I191</f>
        <v>na</v>
      </c>
      <c r="Q191" s="975" t="s">
        <v>232</v>
      </c>
      <c r="S191" s="832" t="str">
        <f t="shared" si="560"/>
        <v/>
      </c>
      <c r="T191" s="366" t="str">
        <f t="shared" si="561"/>
        <v/>
      </c>
      <c r="U191" s="366" t="str">
        <f t="shared" si="562"/>
        <v/>
      </c>
      <c r="V191" s="366" t="str">
        <f t="shared" si="563"/>
        <v/>
      </c>
      <c r="W191" s="366" t="str">
        <f t="shared" si="564"/>
        <v/>
      </c>
      <c r="X191" s="366" t="str">
        <f t="shared" si="565"/>
        <v/>
      </c>
      <c r="Y191" s="989" t="str">
        <f t="shared" si="566"/>
        <v/>
      </c>
      <c r="Z191" s="832" t="str">
        <f t="shared" si="567"/>
        <v/>
      </c>
      <c r="AA191" s="366" t="str">
        <f t="shared" si="568"/>
        <v/>
      </c>
      <c r="AB191" s="366" t="str">
        <f t="shared" si="569"/>
        <v/>
      </c>
      <c r="AC191" s="366" t="str">
        <f t="shared" si="570"/>
        <v/>
      </c>
      <c r="AD191" s="366" t="str">
        <f t="shared" si="571"/>
        <v/>
      </c>
      <c r="AE191" s="366" t="str">
        <f t="shared" si="572"/>
        <v/>
      </c>
      <c r="AF191" s="833" t="str">
        <f t="shared" si="573"/>
        <v/>
      </c>
      <c r="AG191" s="832" t="str">
        <f t="shared" si="574"/>
        <v/>
      </c>
      <c r="AH191" s="366" t="str">
        <f t="shared" si="575"/>
        <v/>
      </c>
      <c r="AI191" s="366" t="str">
        <f t="shared" si="576"/>
        <v/>
      </c>
      <c r="AJ191" s="366" t="str">
        <f t="shared" si="577"/>
        <v/>
      </c>
      <c r="AK191" s="366" t="str">
        <f t="shared" si="578"/>
        <v/>
      </c>
      <c r="AL191" s="833" t="str">
        <f t="shared" si="579"/>
        <v/>
      </c>
      <c r="AM191" s="832" t="str">
        <f t="shared" si="580"/>
        <v/>
      </c>
      <c r="AN191" s="366" t="str">
        <f t="shared" si="581"/>
        <v/>
      </c>
      <c r="AO191" s="366" t="str">
        <f t="shared" si="582"/>
        <v/>
      </c>
      <c r="AP191" s="366" t="str">
        <f t="shared" si="583"/>
        <v/>
      </c>
      <c r="AQ191" s="366" t="str">
        <f t="shared" si="584"/>
        <v/>
      </c>
      <c r="AR191" s="833" t="str">
        <f t="shared" si="585"/>
        <v/>
      </c>
      <c r="AT191" s="1062"/>
      <c r="AY191" s="4"/>
    </row>
    <row r="192" spans="1:51" ht="13.9" customHeight="1" x14ac:dyDescent="0.25">
      <c r="A192" s="846">
        <f>Chem!A192</f>
        <v>190</v>
      </c>
      <c r="B192" s="951" t="str">
        <f>Chem!B192</f>
        <v>Ethylbenzene</v>
      </c>
      <c r="C192" s="946">
        <f t="shared" si="558"/>
        <v>0.17566151438727798</v>
      </c>
      <c r="D192" s="463">
        <f t="shared" si="559"/>
        <v>1.0304000000000001E-2</v>
      </c>
      <c r="E192" s="634">
        <f t="shared" si="504"/>
        <v>0.17566151438727798</v>
      </c>
      <c r="F192" s="634">
        <f t="shared" si="505"/>
        <v>1.0304000000000001E-2</v>
      </c>
      <c r="G192" s="634"/>
      <c r="H192" s="467">
        <f>'SL-Det'!E192</f>
        <v>8000</v>
      </c>
      <c r="I192" s="231">
        <f>Leach!F192</f>
        <v>5.8553838129092668</v>
      </c>
      <c r="J192" s="231">
        <f>Leach!I192</f>
        <v>0.17566151438727798</v>
      </c>
      <c r="K192" s="231" t="str">
        <f>Leach!L192</f>
        <v>na</v>
      </c>
      <c r="L192" s="476">
        <f>Leach!G192</f>
        <v>0.3434666666666667</v>
      </c>
      <c r="M192" s="476">
        <f>Leach!J192</f>
        <v>1.0304000000000001E-2</v>
      </c>
      <c r="N192" s="476" t="str">
        <f>Leach!M192</f>
        <v>na</v>
      </c>
      <c r="O192" s="485" t="str">
        <f>'SD-Det'!Z192</f>
        <v>na</v>
      </c>
      <c r="P192" s="494" t="str">
        <f>'SL-Det'!I192</f>
        <v>na</v>
      </c>
      <c r="Q192" s="975" t="s">
        <v>232</v>
      </c>
      <c r="S192" s="832" t="str">
        <f t="shared" si="560"/>
        <v/>
      </c>
      <c r="T192" s="366" t="str">
        <f t="shared" si="561"/>
        <v/>
      </c>
      <c r="U192" s="366" t="str">
        <f t="shared" si="562"/>
        <v>X</v>
      </c>
      <c r="V192" s="366" t="str">
        <f t="shared" si="563"/>
        <v/>
      </c>
      <c r="W192" s="366" t="str">
        <f t="shared" si="564"/>
        <v/>
      </c>
      <c r="X192" s="366" t="str">
        <f t="shared" si="565"/>
        <v/>
      </c>
      <c r="Y192" s="989" t="str">
        <f t="shared" si="566"/>
        <v/>
      </c>
      <c r="Z192" s="832" t="str">
        <f t="shared" si="567"/>
        <v/>
      </c>
      <c r="AA192" s="366" t="str">
        <f t="shared" si="568"/>
        <v/>
      </c>
      <c r="AB192" s="366" t="str">
        <f t="shared" si="569"/>
        <v>X</v>
      </c>
      <c r="AC192" s="366" t="str">
        <f t="shared" si="570"/>
        <v/>
      </c>
      <c r="AD192" s="366" t="str">
        <f t="shared" si="571"/>
        <v/>
      </c>
      <c r="AE192" s="366" t="str">
        <f t="shared" si="572"/>
        <v/>
      </c>
      <c r="AF192" s="833" t="str">
        <f t="shared" si="573"/>
        <v/>
      </c>
      <c r="AG192" s="832" t="str">
        <f t="shared" si="574"/>
        <v/>
      </c>
      <c r="AH192" s="366" t="str">
        <f t="shared" si="575"/>
        <v>X</v>
      </c>
      <c r="AI192" s="366" t="str">
        <f t="shared" si="576"/>
        <v/>
      </c>
      <c r="AJ192" s="366" t="str">
        <f t="shared" si="577"/>
        <v/>
      </c>
      <c r="AK192" s="366" t="str">
        <f t="shared" si="578"/>
        <v/>
      </c>
      <c r="AL192" s="833" t="str">
        <f t="shared" si="579"/>
        <v/>
      </c>
      <c r="AM192" s="832" t="str">
        <f t="shared" si="580"/>
        <v/>
      </c>
      <c r="AN192" s="366" t="str">
        <f t="shared" si="581"/>
        <v>X</v>
      </c>
      <c r="AO192" s="366" t="str">
        <f t="shared" si="582"/>
        <v/>
      </c>
      <c r="AP192" s="366" t="str">
        <f t="shared" si="583"/>
        <v/>
      </c>
      <c r="AQ192" s="366" t="str">
        <f t="shared" si="584"/>
        <v/>
      </c>
      <c r="AR192" s="833" t="str">
        <f t="shared" si="585"/>
        <v/>
      </c>
      <c r="AT192" s="1062"/>
      <c r="AY192" s="4"/>
    </row>
    <row r="193" spans="1:51" ht="13.9" customHeight="1" x14ac:dyDescent="0.25">
      <c r="A193" s="846">
        <f>Chem!A193</f>
        <v>191</v>
      </c>
      <c r="B193" s="951" t="str">
        <f>Chem!B193</f>
        <v>Ethylene oxide</v>
      </c>
      <c r="C193" s="946">
        <f t="shared" si="558"/>
        <v>1.5066050032963045E-4</v>
      </c>
      <c r="D193" s="463">
        <f t="shared" si="559"/>
        <v>1.0726546666666667E-5</v>
      </c>
      <c r="E193" s="634">
        <f t="shared" si="504"/>
        <v>0.6</v>
      </c>
      <c r="F193" s="634">
        <f t="shared" si="505"/>
        <v>0.6</v>
      </c>
      <c r="G193" s="634"/>
      <c r="H193" s="467">
        <f>'SL-Det'!E193</f>
        <v>0.6</v>
      </c>
      <c r="I193" s="231">
        <f>Leach!F193</f>
        <v>1.5066050032963045E-4</v>
      </c>
      <c r="J193" s="231" t="str">
        <f>Leach!I193</f>
        <v>na</v>
      </c>
      <c r="K193" s="231" t="str">
        <f>Leach!L193</f>
        <v>na</v>
      </c>
      <c r="L193" s="476">
        <f>Leach!G193</f>
        <v>1.0726546666666667E-5</v>
      </c>
      <c r="M193" s="476" t="str">
        <f>Leach!J193</f>
        <v>na</v>
      </c>
      <c r="N193" s="476" t="str">
        <f>Leach!M193</f>
        <v>na</v>
      </c>
      <c r="O193" s="485" t="str">
        <f>'SD-Det'!Z193</f>
        <v>na</v>
      </c>
      <c r="P193" s="494" t="str">
        <f>'SL-Det'!I193</f>
        <v>na</v>
      </c>
      <c r="Q193" s="975" t="s">
        <v>232</v>
      </c>
      <c r="S193" s="832" t="str">
        <f t="shared" si="560"/>
        <v/>
      </c>
      <c r="T193" s="366" t="str">
        <f t="shared" si="561"/>
        <v>X</v>
      </c>
      <c r="U193" s="366" t="str">
        <f t="shared" si="562"/>
        <v/>
      </c>
      <c r="V193" s="366" t="str">
        <f t="shared" si="563"/>
        <v/>
      </c>
      <c r="W193" s="366" t="str">
        <f t="shared" si="564"/>
        <v/>
      </c>
      <c r="X193" s="366" t="str">
        <f t="shared" si="565"/>
        <v/>
      </c>
      <c r="Y193" s="989" t="str">
        <f t="shared" si="566"/>
        <v/>
      </c>
      <c r="Z193" s="832" t="str">
        <f t="shared" si="567"/>
        <v/>
      </c>
      <c r="AA193" s="366" t="str">
        <f t="shared" si="568"/>
        <v>X</v>
      </c>
      <c r="AB193" s="366" t="str">
        <f t="shared" si="569"/>
        <v/>
      </c>
      <c r="AC193" s="366" t="str">
        <f t="shared" si="570"/>
        <v/>
      </c>
      <c r="AD193" s="366" t="str">
        <f t="shared" si="571"/>
        <v/>
      </c>
      <c r="AE193" s="366" t="str">
        <f t="shared" si="572"/>
        <v/>
      </c>
      <c r="AF193" s="833" t="str">
        <f t="shared" si="573"/>
        <v/>
      </c>
      <c r="AG193" s="832" t="str">
        <f t="shared" si="574"/>
        <v>X</v>
      </c>
      <c r="AH193" s="366" t="str">
        <f t="shared" si="575"/>
        <v/>
      </c>
      <c r="AI193" s="366" t="str">
        <f t="shared" si="576"/>
        <v/>
      </c>
      <c r="AJ193" s="366" t="str">
        <f t="shared" si="577"/>
        <v/>
      </c>
      <c r="AK193" s="366" t="str">
        <f t="shared" si="578"/>
        <v/>
      </c>
      <c r="AL193" s="833" t="str">
        <f t="shared" si="579"/>
        <v/>
      </c>
      <c r="AM193" s="832" t="str">
        <f t="shared" si="580"/>
        <v>X</v>
      </c>
      <c r="AN193" s="366" t="str">
        <f t="shared" si="581"/>
        <v/>
      </c>
      <c r="AO193" s="366" t="str">
        <f t="shared" si="582"/>
        <v/>
      </c>
      <c r="AP193" s="366" t="str">
        <f t="shared" si="583"/>
        <v/>
      </c>
      <c r="AQ193" s="366" t="str">
        <f t="shared" si="584"/>
        <v/>
      </c>
      <c r="AR193" s="833" t="str">
        <f t="shared" si="585"/>
        <v/>
      </c>
      <c r="AT193" s="1062"/>
      <c r="AY193" s="4"/>
    </row>
    <row r="194" spans="1:51" ht="13.9" customHeight="1" x14ac:dyDescent="0.25">
      <c r="A194" s="846">
        <f>Chem!A194</f>
        <v>192</v>
      </c>
      <c r="B194" s="951" t="str">
        <f>Chem!B194</f>
        <v>Ethyl ether</v>
      </c>
      <c r="C194" s="946">
        <f t="shared" si="558"/>
        <v>6.8011536956290373</v>
      </c>
      <c r="D194" s="463">
        <f t="shared" si="559"/>
        <v>0.4741866666666667</v>
      </c>
      <c r="E194" s="634">
        <f t="shared" si="504"/>
        <v>16000</v>
      </c>
      <c r="F194" s="634">
        <f t="shared" si="505"/>
        <v>16000</v>
      </c>
      <c r="G194" s="634"/>
      <c r="H194" s="467">
        <f>'SL-Det'!E194</f>
        <v>16000</v>
      </c>
      <c r="I194" s="231">
        <f>Leach!F194</f>
        <v>6.8011536956290373</v>
      </c>
      <c r="J194" s="231" t="str">
        <f>Leach!I194</f>
        <v>na</v>
      </c>
      <c r="K194" s="231" t="str">
        <f>Leach!L194</f>
        <v>na</v>
      </c>
      <c r="L194" s="476">
        <f>Leach!G194</f>
        <v>0.4741866666666667</v>
      </c>
      <c r="M194" s="476" t="str">
        <f>Leach!J194</f>
        <v>na</v>
      </c>
      <c r="N194" s="476" t="str">
        <f>Leach!M194</f>
        <v>na</v>
      </c>
      <c r="O194" s="485" t="str">
        <f>'SD-Det'!Z194</f>
        <v>na</v>
      </c>
      <c r="P194" s="494" t="str">
        <f>'SL-Det'!I194</f>
        <v>na</v>
      </c>
      <c r="Q194" s="975" t="s">
        <v>232</v>
      </c>
      <c r="S194" s="832" t="str">
        <f t="shared" si="560"/>
        <v/>
      </c>
      <c r="T194" s="366" t="str">
        <f t="shared" si="561"/>
        <v>X</v>
      </c>
      <c r="U194" s="366" t="str">
        <f t="shared" si="562"/>
        <v/>
      </c>
      <c r="V194" s="366" t="str">
        <f t="shared" si="563"/>
        <v/>
      </c>
      <c r="W194" s="366" t="str">
        <f t="shared" si="564"/>
        <v/>
      </c>
      <c r="X194" s="366" t="str">
        <f t="shared" si="565"/>
        <v/>
      </c>
      <c r="Y194" s="989" t="str">
        <f t="shared" si="566"/>
        <v/>
      </c>
      <c r="Z194" s="832" t="str">
        <f t="shared" si="567"/>
        <v/>
      </c>
      <c r="AA194" s="366" t="str">
        <f t="shared" si="568"/>
        <v>X</v>
      </c>
      <c r="AB194" s="366" t="str">
        <f t="shared" si="569"/>
        <v/>
      </c>
      <c r="AC194" s="366" t="str">
        <f t="shared" si="570"/>
        <v/>
      </c>
      <c r="AD194" s="366" t="str">
        <f t="shared" si="571"/>
        <v/>
      </c>
      <c r="AE194" s="366" t="str">
        <f t="shared" si="572"/>
        <v/>
      </c>
      <c r="AF194" s="833" t="str">
        <f t="shared" si="573"/>
        <v/>
      </c>
      <c r="AG194" s="832" t="str">
        <f t="shared" si="574"/>
        <v>X</v>
      </c>
      <c r="AH194" s="366" t="str">
        <f t="shared" si="575"/>
        <v/>
      </c>
      <c r="AI194" s="366" t="str">
        <f t="shared" si="576"/>
        <v/>
      </c>
      <c r="AJ194" s="366" t="str">
        <f t="shared" si="577"/>
        <v/>
      </c>
      <c r="AK194" s="366" t="str">
        <f t="shared" si="578"/>
        <v/>
      </c>
      <c r="AL194" s="833" t="str">
        <f t="shared" si="579"/>
        <v/>
      </c>
      <c r="AM194" s="832" t="str">
        <f t="shared" si="580"/>
        <v>X</v>
      </c>
      <c r="AN194" s="366" t="str">
        <f t="shared" si="581"/>
        <v/>
      </c>
      <c r="AO194" s="366" t="str">
        <f t="shared" si="582"/>
        <v/>
      </c>
      <c r="AP194" s="366" t="str">
        <f t="shared" si="583"/>
        <v/>
      </c>
      <c r="AQ194" s="366" t="str">
        <f t="shared" si="584"/>
        <v/>
      </c>
      <c r="AR194" s="833" t="str">
        <f t="shared" si="585"/>
        <v/>
      </c>
      <c r="AT194" s="1062"/>
      <c r="AY194" s="4"/>
    </row>
    <row r="195" spans="1:51" ht="13.9" customHeight="1" x14ac:dyDescent="0.25">
      <c r="A195" s="846">
        <f>Chem!A195</f>
        <v>193</v>
      </c>
      <c r="B195" s="951" t="str">
        <f>Chem!B195</f>
        <v>Ethylene dibromide (EDB)</v>
      </c>
      <c r="C195" s="946">
        <f t="shared" si="558"/>
        <v>2.672226586033251E-4</v>
      </c>
      <c r="D195" s="463">
        <f t="shared" si="559"/>
        <v>1.7633333333333336E-5</v>
      </c>
      <c r="E195" s="634">
        <f t="shared" si="504"/>
        <v>0.5</v>
      </c>
      <c r="F195" s="634">
        <f t="shared" si="505"/>
        <v>0.5</v>
      </c>
      <c r="G195" s="634"/>
      <c r="H195" s="467">
        <f>'SL-Det'!E195</f>
        <v>0.5</v>
      </c>
      <c r="I195" s="231">
        <f>Leach!F195</f>
        <v>2.672226586033251E-4</v>
      </c>
      <c r="J195" s="231" t="str">
        <f>Leach!I195</f>
        <v>na</v>
      </c>
      <c r="K195" s="231" t="str">
        <f>Leach!L195</f>
        <v>na</v>
      </c>
      <c r="L195" s="476">
        <f>Leach!G195</f>
        <v>1.7633333333333336E-5</v>
      </c>
      <c r="M195" s="476" t="str">
        <f>Leach!J195</f>
        <v>na</v>
      </c>
      <c r="N195" s="476" t="str">
        <f>Leach!M195</f>
        <v>na</v>
      </c>
      <c r="O195" s="485" t="str">
        <f>'SD-Det'!Z195</f>
        <v>na</v>
      </c>
      <c r="P195" s="494" t="str">
        <f>'SL-Det'!I195</f>
        <v>na</v>
      </c>
      <c r="Q195" s="975" t="s">
        <v>232</v>
      </c>
      <c r="S195" s="832" t="str">
        <f t="shared" si="560"/>
        <v/>
      </c>
      <c r="T195" s="366" t="str">
        <f t="shared" si="561"/>
        <v>X</v>
      </c>
      <c r="U195" s="366" t="str">
        <f t="shared" si="562"/>
        <v/>
      </c>
      <c r="V195" s="366" t="str">
        <f t="shared" si="563"/>
        <v/>
      </c>
      <c r="W195" s="366" t="str">
        <f t="shared" si="564"/>
        <v/>
      </c>
      <c r="X195" s="366" t="str">
        <f t="shared" si="565"/>
        <v/>
      </c>
      <c r="Y195" s="989" t="str">
        <f t="shared" si="566"/>
        <v/>
      </c>
      <c r="Z195" s="832" t="str">
        <f t="shared" si="567"/>
        <v/>
      </c>
      <c r="AA195" s="366" t="str">
        <f t="shared" si="568"/>
        <v>X</v>
      </c>
      <c r="AB195" s="366" t="str">
        <f t="shared" si="569"/>
        <v/>
      </c>
      <c r="AC195" s="366" t="str">
        <f t="shared" si="570"/>
        <v/>
      </c>
      <c r="AD195" s="366" t="str">
        <f t="shared" si="571"/>
        <v/>
      </c>
      <c r="AE195" s="366" t="str">
        <f t="shared" si="572"/>
        <v/>
      </c>
      <c r="AF195" s="833" t="str">
        <f t="shared" si="573"/>
        <v/>
      </c>
      <c r="AG195" s="832" t="str">
        <f t="shared" si="574"/>
        <v>X</v>
      </c>
      <c r="AH195" s="366" t="str">
        <f t="shared" si="575"/>
        <v/>
      </c>
      <c r="AI195" s="366" t="str">
        <f t="shared" si="576"/>
        <v/>
      </c>
      <c r="AJ195" s="366" t="str">
        <f t="shared" si="577"/>
        <v/>
      </c>
      <c r="AK195" s="366" t="str">
        <f t="shared" si="578"/>
        <v/>
      </c>
      <c r="AL195" s="833" t="str">
        <f t="shared" si="579"/>
        <v/>
      </c>
      <c r="AM195" s="832" t="str">
        <f t="shared" si="580"/>
        <v>X</v>
      </c>
      <c r="AN195" s="366" t="str">
        <f t="shared" si="581"/>
        <v/>
      </c>
      <c r="AO195" s="366" t="str">
        <f t="shared" si="582"/>
        <v/>
      </c>
      <c r="AP195" s="366" t="str">
        <f t="shared" si="583"/>
        <v/>
      </c>
      <c r="AQ195" s="366" t="str">
        <f t="shared" si="584"/>
        <v/>
      </c>
      <c r="AR195" s="833" t="str">
        <f t="shared" si="585"/>
        <v/>
      </c>
      <c r="AT195" s="1062"/>
      <c r="AY195" s="4"/>
    </row>
    <row r="196" spans="1:51" ht="13.9" customHeight="1" x14ac:dyDescent="0.25">
      <c r="A196" s="846">
        <f>Chem!A196</f>
        <v>194</v>
      </c>
      <c r="B196" s="951" t="str">
        <f>Chem!B196</f>
        <v>Formaldehyde</v>
      </c>
      <c r="C196" s="946">
        <f t="shared" si="558"/>
        <v>2.2110092980493221E-3</v>
      </c>
      <c r="D196" s="463">
        <f t="shared" si="559"/>
        <v>1.5821666666666667E-4</v>
      </c>
      <c r="E196" s="634">
        <f t="shared" si="504"/>
        <v>8.9</v>
      </c>
      <c r="F196" s="634">
        <f t="shared" si="505"/>
        <v>8.9</v>
      </c>
      <c r="G196" s="634"/>
      <c r="H196" s="467">
        <f>'SL-Det'!E196</f>
        <v>8.9</v>
      </c>
      <c r="I196" s="231">
        <f>Leach!F196</f>
        <v>2.2110092980493221E-3</v>
      </c>
      <c r="J196" s="231" t="str">
        <f>Leach!I196</f>
        <v>na</v>
      </c>
      <c r="K196" s="231" t="str">
        <f>Leach!L196</f>
        <v>na</v>
      </c>
      <c r="L196" s="476">
        <f>Leach!G196</f>
        <v>1.5821666666666667E-4</v>
      </c>
      <c r="M196" s="476" t="str">
        <f>Leach!J196</f>
        <v>na</v>
      </c>
      <c r="N196" s="476" t="str">
        <f>Leach!M196</f>
        <v>na</v>
      </c>
      <c r="O196" s="485" t="str">
        <f>'SD-Det'!Z196</f>
        <v>na</v>
      </c>
      <c r="P196" s="494" t="str">
        <f>'SL-Det'!I196</f>
        <v>na</v>
      </c>
      <c r="Q196" s="975" t="s">
        <v>232</v>
      </c>
      <c r="S196" s="832" t="str">
        <f t="shared" si="560"/>
        <v/>
      </c>
      <c r="T196" s="366" t="str">
        <f t="shared" si="561"/>
        <v>X</v>
      </c>
      <c r="U196" s="366" t="str">
        <f t="shared" si="562"/>
        <v/>
      </c>
      <c r="V196" s="366" t="str">
        <f t="shared" si="563"/>
        <v/>
      </c>
      <c r="W196" s="366" t="str">
        <f t="shared" si="564"/>
        <v/>
      </c>
      <c r="X196" s="366" t="str">
        <f t="shared" si="565"/>
        <v/>
      </c>
      <c r="Y196" s="989" t="str">
        <f t="shared" si="566"/>
        <v/>
      </c>
      <c r="Z196" s="832" t="str">
        <f t="shared" si="567"/>
        <v/>
      </c>
      <c r="AA196" s="366" t="str">
        <f t="shared" si="568"/>
        <v>X</v>
      </c>
      <c r="AB196" s="366" t="str">
        <f t="shared" si="569"/>
        <v/>
      </c>
      <c r="AC196" s="366" t="str">
        <f t="shared" si="570"/>
        <v/>
      </c>
      <c r="AD196" s="366" t="str">
        <f t="shared" si="571"/>
        <v/>
      </c>
      <c r="AE196" s="366" t="str">
        <f t="shared" si="572"/>
        <v/>
      </c>
      <c r="AF196" s="833" t="str">
        <f t="shared" si="573"/>
        <v/>
      </c>
      <c r="AG196" s="832" t="str">
        <f t="shared" si="574"/>
        <v>X</v>
      </c>
      <c r="AH196" s="366" t="str">
        <f t="shared" si="575"/>
        <v/>
      </c>
      <c r="AI196" s="366" t="str">
        <f t="shared" si="576"/>
        <v/>
      </c>
      <c r="AJ196" s="366" t="str">
        <f t="shared" si="577"/>
        <v/>
      </c>
      <c r="AK196" s="366" t="str">
        <f t="shared" si="578"/>
        <v/>
      </c>
      <c r="AL196" s="833" t="str">
        <f t="shared" si="579"/>
        <v/>
      </c>
      <c r="AM196" s="832" t="str">
        <f t="shared" si="580"/>
        <v>X</v>
      </c>
      <c r="AN196" s="366" t="str">
        <f t="shared" si="581"/>
        <v/>
      </c>
      <c r="AO196" s="366" t="str">
        <f t="shared" si="582"/>
        <v/>
      </c>
      <c r="AP196" s="366" t="str">
        <f t="shared" si="583"/>
        <v/>
      </c>
      <c r="AQ196" s="366" t="str">
        <f t="shared" si="584"/>
        <v/>
      </c>
      <c r="AR196" s="833" t="str">
        <f t="shared" si="585"/>
        <v/>
      </c>
      <c r="AT196" s="1062"/>
      <c r="AY196" s="4"/>
    </row>
    <row r="197" spans="1:51" ht="13.9" customHeight="1" x14ac:dyDescent="0.25">
      <c r="A197" s="846">
        <f>Chem!A197</f>
        <v>195</v>
      </c>
      <c r="B197" s="951" t="str">
        <f>Chem!B197</f>
        <v>n-Hexane</v>
      </c>
      <c r="C197" s="946">
        <f t="shared" si="558"/>
        <v>71.828064423298628</v>
      </c>
      <c r="D197" s="463">
        <f t="shared" si="559"/>
        <v>1.7744</v>
      </c>
      <c r="E197" s="634">
        <f t="shared" si="504"/>
        <v>4800</v>
      </c>
      <c r="F197" s="634">
        <f t="shared" si="505"/>
        <v>4800</v>
      </c>
      <c r="G197" s="634"/>
      <c r="H197" s="467">
        <f>'SL-Det'!E197</f>
        <v>4800</v>
      </c>
      <c r="I197" s="231">
        <f>Leach!F197</f>
        <v>71.828064423298628</v>
      </c>
      <c r="J197" s="231" t="str">
        <f>Leach!I197</f>
        <v>na</v>
      </c>
      <c r="K197" s="231" t="str">
        <f>Leach!L197</f>
        <v>na</v>
      </c>
      <c r="L197" s="476">
        <f>Leach!G197</f>
        <v>1.7744</v>
      </c>
      <c r="M197" s="476" t="str">
        <f>Leach!J197</f>
        <v>na</v>
      </c>
      <c r="N197" s="476" t="str">
        <f>Leach!M197</f>
        <v>na</v>
      </c>
      <c r="O197" s="485" t="str">
        <f>'SD-Det'!Z197</f>
        <v>na</v>
      </c>
      <c r="P197" s="494" t="str">
        <f>'SL-Det'!I197</f>
        <v>na</v>
      </c>
      <c r="Q197" s="975" t="s">
        <v>232</v>
      </c>
      <c r="S197" s="832" t="str">
        <f t="shared" ref="S197" si="612">IF($C197="na","",IF($C197=H197,"X",""))</f>
        <v/>
      </c>
      <c r="T197" s="366" t="str">
        <f t="shared" ref="T197" si="613">IF($C197="na","",IF($C197=I197,"X",""))</f>
        <v>X</v>
      </c>
      <c r="U197" s="366" t="str">
        <f t="shared" ref="U197" si="614">IF($C197="na","",IF($C197=J197,"X",""))</f>
        <v/>
      </c>
      <c r="V197" s="366" t="str">
        <f t="shared" ref="V197" si="615">IF($C197="na","",IF($C197=K197,"X",""))</f>
        <v/>
      </c>
      <c r="W197" s="366" t="str">
        <f t="shared" ref="W197" si="616">IF($C197="na","",IF($C197=O197,"X",""))</f>
        <v/>
      </c>
      <c r="X197" s="366" t="str">
        <f t="shared" ref="X197" si="617">IF($C197="na","",IF($C197=P197,"X",""))</f>
        <v/>
      </c>
      <c r="Y197" s="989" t="str">
        <f t="shared" ref="Y197" si="618">IF($C197="na","",IF($C197=Q197,"X",""))</f>
        <v/>
      </c>
      <c r="Z197" s="832" t="str">
        <f t="shared" ref="Z197" si="619">IF($D197="na","",IF($D197=H197,"X",""))</f>
        <v/>
      </c>
      <c r="AA197" s="366" t="str">
        <f t="shared" ref="AA197" si="620">IF($D197="na","",IF($D197=L197,"X",""))</f>
        <v>X</v>
      </c>
      <c r="AB197" s="366" t="str">
        <f t="shared" ref="AB197" si="621">IF($D197="na","",IF($D197=M197,"X",""))</f>
        <v/>
      </c>
      <c r="AC197" s="366" t="str">
        <f t="shared" ref="AC197" si="622">IF($D197="na","",IF($D197=N197,"X",""))</f>
        <v/>
      </c>
      <c r="AD197" s="366" t="str">
        <f t="shared" ref="AD197" si="623">IF($D197="na","",IF($D197=O197,"X",""))</f>
        <v/>
      </c>
      <c r="AE197" s="366" t="str">
        <f t="shared" ref="AE197" si="624">IF($D197="na","",IF($D197=P197,"X",""))</f>
        <v/>
      </c>
      <c r="AF197" s="833" t="str">
        <f t="shared" ref="AF197" si="625">IF($D197="na","",IF($D197=Q197,"X",""))</f>
        <v/>
      </c>
      <c r="AG197" s="832" t="str">
        <f t="shared" ref="AG197" si="626">IF($E197="na","",IF($E197=H197,"X",""))</f>
        <v>X</v>
      </c>
      <c r="AH197" s="366" t="str">
        <f t="shared" ref="AH197" si="627">IF($E197="na","",IF($E197=J197,"X",""))</f>
        <v/>
      </c>
      <c r="AI197" s="366" t="str">
        <f t="shared" ref="AI197" si="628">IF($E197="na","",IF($E197=K197,"X",""))</f>
        <v/>
      </c>
      <c r="AJ197" s="366" t="str">
        <f t="shared" ref="AJ197" si="629">IF($E197="na","",IF($E197=O197,"X",""))</f>
        <v/>
      </c>
      <c r="AK197" s="366" t="str">
        <f t="shared" ref="AK197" si="630">IF($E197="na","",IF($E197=P197,"X",""))</f>
        <v/>
      </c>
      <c r="AL197" s="833" t="str">
        <f t="shared" ref="AL197" si="631">IF($E197="na","",IF($E197=Q197,"X",""))</f>
        <v/>
      </c>
      <c r="AM197" s="832" t="str">
        <f t="shared" ref="AM197" si="632">IF($F197="na","",IF($F197=H197,"X",""))</f>
        <v>X</v>
      </c>
      <c r="AN197" s="366" t="str">
        <f t="shared" ref="AN197" si="633">IF($F197="na","",IF($F197=M197,"X",""))</f>
        <v/>
      </c>
      <c r="AO197" s="366" t="str">
        <f t="shared" ref="AO197" si="634">IF($F197="na","",IF($F197=N197,"X",""))</f>
        <v/>
      </c>
      <c r="AP197" s="366" t="str">
        <f t="shared" ref="AP197" si="635">IF($F197="na","",IF($F197=O197,"X",""))</f>
        <v/>
      </c>
      <c r="AQ197" s="366" t="str">
        <f t="shared" ref="AQ197" si="636">IF($F197="na","",IF($F197=P197,"X",""))</f>
        <v/>
      </c>
      <c r="AR197" s="833" t="str">
        <f t="shared" ref="AR197" si="637">IF($F197="na","",IF($F197=Q197,"X",""))</f>
        <v/>
      </c>
      <c r="AT197" s="1062"/>
      <c r="AY197" s="4"/>
    </row>
    <row r="198" spans="1:51" ht="13.9" customHeight="1" x14ac:dyDescent="0.25">
      <c r="A198" s="846">
        <f>Chem!A198</f>
        <v>196</v>
      </c>
      <c r="B198" s="951" t="str">
        <f>Chem!B198</f>
        <v>2-Hexanone</v>
      </c>
      <c r="C198" s="946">
        <f t="shared" si="558"/>
        <v>0.17213107199158739</v>
      </c>
      <c r="D198" s="463">
        <f t="shared" si="559"/>
        <v>1.2066666666666668E-2</v>
      </c>
      <c r="E198" s="634">
        <f t="shared" si="504"/>
        <v>400</v>
      </c>
      <c r="F198" s="634">
        <f t="shared" si="505"/>
        <v>400</v>
      </c>
      <c r="G198" s="634"/>
      <c r="H198" s="467">
        <f>'SL-Det'!E198</f>
        <v>400</v>
      </c>
      <c r="I198" s="231">
        <f>Leach!F198</f>
        <v>0.17213107199158739</v>
      </c>
      <c r="J198" s="231" t="str">
        <f>Leach!I198</f>
        <v>na</v>
      </c>
      <c r="K198" s="231" t="str">
        <f>Leach!L198</f>
        <v>na</v>
      </c>
      <c r="L198" s="476">
        <f>Leach!G198</f>
        <v>1.2066666666666668E-2</v>
      </c>
      <c r="M198" s="476" t="str">
        <f>Leach!J198</f>
        <v>na</v>
      </c>
      <c r="N198" s="476" t="str">
        <f>Leach!M198</f>
        <v>na</v>
      </c>
      <c r="O198" s="485" t="str">
        <f>'SD-Det'!Z198</f>
        <v>na</v>
      </c>
      <c r="P198" s="494" t="str">
        <f>'SL-Det'!I198</f>
        <v>na</v>
      </c>
      <c r="Q198" s="975" t="s">
        <v>232</v>
      </c>
      <c r="S198" s="832" t="str">
        <f t="shared" si="560"/>
        <v/>
      </c>
      <c r="T198" s="366" t="str">
        <f t="shared" si="561"/>
        <v>X</v>
      </c>
      <c r="U198" s="366" t="str">
        <f t="shared" si="562"/>
        <v/>
      </c>
      <c r="V198" s="366" t="str">
        <f t="shared" si="563"/>
        <v/>
      </c>
      <c r="W198" s="366" t="str">
        <f t="shared" si="564"/>
        <v/>
      </c>
      <c r="X198" s="366" t="str">
        <f t="shared" si="565"/>
        <v/>
      </c>
      <c r="Y198" s="989" t="str">
        <f t="shared" si="566"/>
        <v/>
      </c>
      <c r="Z198" s="832" t="str">
        <f t="shared" si="567"/>
        <v/>
      </c>
      <c r="AA198" s="366" t="str">
        <f t="shared" si="568"/>
        <v>X</v>
      </c>
      <c r="AB198" s="366" t="str">
        <f t="shared" si="569"/>
        <v/>
      </c>
      <c r="AC198" s="366" t="str">
        <f t="shared" si="570"/>
        <v/>
      </c>
      <c r="AD198" s="366" t="str">
        <f t="shared" si="571"/>
        <v/>
      </c>
      <c r="AE198" s="366" t="str">
        <f t="shared" si="572"/>
        <v/>
      </c>
      <c r="AF198" s="833" t="str">
        <f t="shared" si="573"/>
        <v/>
      </c>
      <c r="AG198" s="832" t="str">
        <f t="shared" si="574"/>
        <v>X</v>
      </c>
      <c r="AH198" s="366" t="str">
        <f t="shared" si="575"/>
        <v/>
      </c>
      <c r="AI198" s="366" t="str">
        <f t="shared" si="576"/>
        <v/>
      </c>
      <c r="AJ198" s="366" t="str">
        <f t="shared" si="577"/>
        <v/>
      </c>
      <c r="AK198" s="366" t="str">
        <f t="shared" si="578"/>
        <v/>
      </c>
      <c r="AL198" s="833" t="str">
        <f t="shared" si="579"/>
        <v/>
      </c>
      <c r="AM198" s="832" t="str">
        <f t="shared" si="580"/>
        <v>X</v>
      </c>
      <c r="AN198" s="366" t="str">
        <f t="shared" si="581"/>
        <v/>
      </c>
      <c r="AO198" s="366" t="str">
        <f t="shared" si="582"/>
        <v/>
      </c>
      <c r="AP198" s="366" t="str">
        <f t="shared" si="583"/>
        <v/>
      </c>
      <c r="AQ198" s="366" t="str">
        <f t="shared" si="584"/>
        <v/>
      </c>
      <c r="AR198" s="833" t="str">
        <f t="shared" si="585"/>
        <v/>
      </c>
      <c r="AT198" s="1062"/>
      <c r="AY198" s="4"/>
    </row>
    <row r="199" spans="1:51" ht="13.9" customHeight="1" x14ac:dyDescent="0.25">
      <c r="A199" s="846">
        <f>Chem!A199</f>
        <v>197</v>
      </c>
      <c r="B199" s="951" t="str">
        <f>Chem!B199</f>
        <v>Isopropylbenzene (cumene)</v>
      </c>
      <c r="C199" s="946">
        <f t="shared" si="558"/>
        <v>14.646169150322606</v>
      </c>
      <c r="D199" s="463">
        <f t="shared" si="559"/>
        <v>0.78773333333333351</v>
      </c>
      <c r="E199" s="634">
        <f t="shared" si="504"/>
        <v>8000</v>
      </c>
      <c r="F199" s="634">
        <f t="shared" si="505"/>
        <v>8000</v>
      </c>
      <c r="G199" s="634"/>
      <c r="H199" s="467">
        <f>'SL-Det'!E199</f>
        <v>8000</v>
      </c>
      <c r="I199" s="231">
        <f>Leach!F199</f>
        <v>14.646169150322606</v>
      </c>
      <c r="J199" s="231" t="str">
        <f>Leach!I199</f>
        <v>na</v>
      </c>
      <c r="K199" s="231" t="str">
        <f>Leach!L199</f>
        <v>na</v>
      </c>
      <c r="L199" s="476">
        <f>Leach!G199</f>
        <v>0.78773333333333351</v>
      </c>
      <c r="M199" s="476" t="str">
        <f>Leach!J199</f>
        <v>na</v>
      </c>
      <c r="N199" s="476" t="str">
        <f>Leach!M199</f>
        <v>na</v>
      </c>
      <c r="O199" s="485" t="str">
        <f>'SD-Det'!Z199</f>
        <v>na</v>
      </c>
      <c r="P199" s="494" t="str">
        <f>'SL-Det'!I199</f>
        <v>na</v>
      </c>
      <c r="Q199" s="975" t="s">
        <v>232</v>
      </c>
      <c r="S199" s="832" t="str">
        <f t="shared" si="560"/>
        <v/>
      </c>
      <c r="T199" s="366" t="str">
        <f t="shared" si="561"/>
        <v>X</v>
      </c>
      <c r="U199" s="366" t="str">
        <f t="shared" si="562"/>
        <v/>
      </c>
      <c r="V199" s="366" t="str">
        <f t="shared" si="563"/>
        <v/>
      </c>
      <c r="W199" s="366" t="str">
        <f t="shared" si="564"/>
        <v/>
      </c>
      <c r="X199" s="366" t="str">
        <f t="shared" si="565"/>
        <v/>
      </c>
      <c r="Y199" s="989" t="str">
        <f t="shared" si="566"/>
        <v/>
      </c>
      <c r="Z199" s="832" t="str">
        <f t="shared" si="567"/>
        <v/>
      </c>
      <c r="AA199" s="366" t="str">
        <f t="shared" si="568"/>
        <v>X</v>
      </c>
      <c r="AB199" s="366" t="str">
        <f t="shared" si="569"/>
        <v/>
      </c>
      <c r="AC199" s="366" t="str">
        <f t="shared" si="570"/>
        <v/>
      </c>
      <c r="AD199" s="366" t="str">
        <f t="shared" si="571"/>
        <v/>
      </c>
      <c r="AE199" s="366" t="str">
        <f t="shared" si="572"/>
        <v/>
      </c>
      <c r="AF199" s="833" t="str">
        <f t="shared" si="573"/>
        <v/>
      </c>
      <c r="AG199" s="832" t="str">
        <f t="shared" si="574"/>
        <v>X</v>
      </c>
      <c r="AH199" s="366" t="str">
        <f t="shared" si="575"/>
        <v/>
      </c>
      <c r="AI199" s="366" t="str">
        <f t="shared" si="576"/>
        <v/>
      </c>
      <c r="AJ199" s="366" t="str">
        <f t="shared" si="577"/>
        <v/>
      </c>
      <c r="AK199" s="366" t="str">
        <f t="shared" si="578"/>
        <v/>
      </c>
      <c r="AL199" s="833" t="str">
        <f t="shared" si="579"/>
        <v/>
      </c>
      <c r="AM199" s="832" t="str">
        <f t="shared" si="580"/>
        <v>X</v>
      </c>
      <c r="AN199" s="366" t="str">
        <f t="shared" si="581"/>
        <v/>
      </c>
      <c r="AO199" s="366" t="str">
        <f t="shared" si="582"/>
        <v/>
      </c>
      <c r="AP199" s="366" t="str">
        <f t="shared" si="583"/>
        <v/>
      </c>
      <c r="AQ199" s="366" t="str">
        <f t="shared" si="584"/>
        <v/>
      </c>
      <c r="AR199" s="833" t="str">
        <f t="shared" si="585"/>
        <v/>
      </c>
      <c r="AT199" s="1062"/>
      <c r="AY199" s="4"/>
    </row>
    <row r="200" spans="1:51" ht="13.9" customHeight="1" x14ac:dyDescent="0.25">
      <c r="A200" s="846">
        <f>Chem!A200</f>
        <v>198</v>
      </c>
      <c r="B200" s="951" t="str">
        <f>Chem!B200</f>
        <v>4-Isopropyltoluene (p-isopropyltoluene)</v>
      </c>
      <c r="C200" s="946">
        <f t="shared" si="558"/>
        <v>0.85628160000000009</v>
      </c>
      <c r="D200" s="463">
        <f t="shared" si="559"/>
        <v>4.5013333333333336E-2</v>
      </c>
      <c r="E200" s="634">
        <f t="shared" si="504"/>
        <v>320</v>
      </c>
      <c r="F200" s="634">
        <f t="shared" si="505"/>
        <v>320</v>
      </c>
      <c r="G200" s="634"/>
      <c r="H200" s="467">
        <f>'SL-Det'!E200</f>
        <v>320</v>
      </c>
      <c r="I200" s="231">
        <f>Leach!F200</f>
        <v>0.85628160000000009</v>
      </c>
      <c r="J200" s="231" t="str">
        <f>Leach!I200</f>
        <v>na</v>
      </c>
      <c r="K200" s="231" t="str">
        <f>Leach!L200</f>
        <v>na</v>
      </c>
      <c r="L200" s="476">
        <f>Leach!G200</f>
        <v>4.5013333333333336E-2</v>
      </c>
      <c r="M200" s="476" t="str">
        <f>Leach!J200</f>
        <v>na</v>
      </c>
      <c r="N200" s="476" t="str">
        <f>Leach!M200</f>
        <v>na</v>
      </c>
      <c r="O200" s="485" t="str">
        <f>'SD-Det'!Z200</f>
        <v>na</v>
      </c>
      <c r="P200" s="494" t="str">
        <f>'SL-Det'!I200</f>
        <v>na</v>
      </c>
      <c r="Q200" s="975" t="s">
        <v>232</v>
      </c>
      <c r="S200" s="832" t="str">
        <f t="shared" si="560"/>
        <v/>
      </c>
      <c r="T200" s="366" t="str">
        <f t="shared" si="561"/>
        <v>X</v>
      </c>
      <c r="U200" s="366" t="str">
        <f t="shared" si="562"/>
        <v/>
      </c>
      <c r="V200" s="366" t="str">
        <f t="shared" si="563"/>
        <v/>
      </c>
      <c r="W200" s="366" t="str">
        <f t="shared" si="564"/>
        <v/>
      </c>
      <c r="X200" s="366" t="str">
        <f t="shared" si="565"/>
        <v/>
      </c>
      <c r="Y200" s="989" t="str">
        <f t="shared" si="566"/>
        <v/>
      </c>
      <c r="Z200" s="832" t="str">
        <f t="shared" si="567"/>
        <v/>
      </c>
      <c r="AA200" s="366" t="str">
        <f t="shared" si="568"/>
        <v>X</v>
      </c>
      <c r="AB200" s="366" t="str">
        <f t="shared" si="569"/>
        <v/>
      </c>
      <c r="AC200" s="366" t="str">
        <f t="shared" si="570"/>
        <v/>
      </c>
      <c r="AD200" s="366" t="str">
        <f t="shared" si="571"/>
        <v/>
      </c>
      <c r="AE200" s="366" t="str">
        <f t="shared" si="572"/>
        <v/>
      </c>
      <c r="AF200" s="833" t="str">
        <f t="shared" si="573"/>
        <v/>
      </c>
      <c r="AG200" s="832" t="str">
        <f t="shared" si="574"/>
        <v>X</v>
      </c>
      <c r="AH200" s="366" t="str">
        <f t="shared" si="575"/>
        <v/>
      </c>
      <c r="AI200" s="366" t="str">
        <f t="shared" si="576"/>
        <v/>
      </c>
      <c r="AJ200" s="366" t="str">
        <f t="shared" si="577"/>
        <v/>
      </c>
      <c r="AK200" s="366" t="str">
        <f t="shared" si="578"/>
        <v/>
      </c>
      <c r="AL200" s="833" t="str">
        <f t="shared" si="579"/>
        <v/>
      </c>
      <c r="AM200" s="832" t="str">
        <f t="shared" si="580"/>
        <v>X</v>
      </c>
      <c r="AN200" s="366" t="str">
        <f t="shared" si="581"/>
        <v/>
      </c>
      <c r="AO200" s="366" t="str">
        <f t="shared" si="582"/>
        <v/>
      </c>
      <c r="AP200" s="366" t="str">
        <f t="shared" si="583"/>
        <v/>
      </c>
      <c r="AQ200" s="366" t="str">
        <f t="shared" si="584"/>
        <v/>
      </c>
      <c r="AR200" s="833" t="str">
        <f t="shared" si="585"/>
        <v/>
      </c>
      <c r="AT200" s="1062"/>
      <c r="AY200" s="4"/>
    </row>
    <row r="201" spans="1:51" ht="13.9" customHeight="1" x14ac:dyDescent="0.25">
      <c r="A201" s="846">
        <f>Chem!A201</f>
        <v>199</v>
      </c>
      <c r="B201" s="951" t="str">
        <f>Chem!B201</f>
        <v>Methane</v>
      </c>
      <c r="C201" s="946" t="str">
        <f t="shared" si="558"/>
        <v>na</v>
      </c>
      <c r="D201" s="463" t="str">
        <f t="shared" si="559"/>
        <v>na</v>
      </c>
      <c r="E201" s="634" t="str">
        <f t="shared" si="504"/>
        <v>na</v>
      </c>
      <c r="F201" s="634" t="str">
        <f t="shared" si="505"/>
        <v>na</v>
      </c>
      <c r="G201" s="634"/>
      <c r="H201" s="467" t="str">
        <f>'SL-Det'!E201</f>
        <v>na</v>
      </c>
      <c r="I201" s="231" t="str">
        <f>Leach!F201</f>
        <v>na</v>
      </c>
      <c r="J201" s="231" t="str">
        <f>Leach!I201</f>
        <v>na</v>
      </c>
      <c r="K201" s="231" t="str">
        <f>Leach!L201</f>
        <v>na</v>
      </c>
      <c r="L201" s="476" t="str">
        <f>Leach!G201</f>
        <v>na</v>
      </c>
      <c r="M201" s="476" t="str">
        <f>Leach!J201</f>
        <v>na</v>
      </c>
      <c r="N201" s="476" t="str">
        <f>Leach!M201</f>
        <v>na</v>
      </c>
      <c r="O201" s="485" t="str">
        <f>'SD-Det'!Z201</f>
        <v>na</v>
      </c>
      <c r="P201" s="494" t="str">
        <f>'SL-Det'!I201</f>
        <v>na</v>
      </c>
      <c r="Q201" s="975" t="s">
        <v>232</v>
      </c>
      <c r="S201" s="832" t="str">
        <f t="shared" si="560"/>
        <v/>
      </c>
      <c r="T201" s="366" t="str">
        <f t="shared" si="561"/>
        <v/>
      </c>
      <c r="U201" s="366" t="str">
        <f t="shared" si="562"/>
        <v/>
      </c>
      <c r="V201" s="366" t="str">
        <f t="shared" si="563"/>
        <v/>
      </c>
      <c r="W201" s="366" t="str">
        <f t="shared" si="564"/>
        <v/>
      </c>
      <c r="X201" s="366" t="str">
        <f t="shared" si="565"/>
        <v/>
      </c>
      <c r="Y201" s="989" t="str">
        <f t="shared" si="566"/>
        <v/>
      </c>
      <c r="Z201" s="832" t="str">
        <f t="shared" si="567"/>
        <v/>
      </c>
      <c r="AA201" s="366" t="str">
        <f t="shared" si="568"/>
        <v/>
      </c>
      <c r="AB201" s="366" t="str">
        <f t="shared" si="569"/>
        <v/>
      </c>
      <c r="AC201" s="366" t="str">
        <f t="shared" si="570"/>
        <v/>
      </c>
      <c r="AD201" s="366" t="str">
        <f t="shared" si="571"/>
        <v/>
      </c>
      <c r="AE201" s="366" t="str">
        <f t="shared" si="572"/>
        <v/>
      </c>
      <c r="AF201" s="833" t="str">
        <f t="shared" si="573"/>
        <v/>
      </c>
      <c r="AG201" s="832" t="str">
        <f t="shared" si="574"/>
        <v/>
      </c>
      <c r="AH201" s="366" t="str">
        <f t="shared" si="575"/>
        <v/>
      </c>
      <c r="AI201" s="366" t="str">
        <f t="shared" si="576"/>
        <v/>
      </c>
      <c r="AJ201" s="366" t="str">
        <f t="shared" si="577"/>
        <v/>
      </c>
      <c r="AK201" s="366" t="str">
        <f t="shared" si="578"/>
        <v/>
      </c>
      <c r="AL201" s="833" t="str">
        <f t="shared" si="579"/>
        <v/>
      </c>
      <c r="AM201" s="832" t="str">
        <f t="shared" si="580"/>
        <v/>
      </c>
      <c r="AN201" s="366" t="str">
        <f t="shared" si="581"/>
        <v/>
      </c>
      <c r="AO201" s="366" t="str">
        <f t="shared" si="582"/>
        <v/>
      </c>
      <c r="AP201" s="366" t="str">
        <f t="shared" si="583"/>
        <v/>
      </c>
      <c r="AQ201" s="366" t="str">
        <f t="shared" si="584"/>
        <v/>
      </c>
      <c r="AR201" s="833" t="str">
        <f t="shared" si="585"/>
        <v/>
      </c>
      <c r="AT201" s="1062"/>
      <c r="AY201" s="4"/>
    </row>
    <row r="202" spans="1:51" ht="13.9" customHeight="1" x14ac:dyDescent="0.25">
      <c r="A202" s="846">
        <f>Chem!A202</f>
        <v>200</v>
      </c>
      <c r="B202" s="951" t="str">
        <f>Chem!B202</f>
        <v>Methyl ethyl ketone (2-butanone)</v>
      </c>
      <c r="C202" s="946">
        <f t="shared" si="558"/>
        <v>19.644095708551344</v>
      </c>
      <c r="D202" s="463">
        <f t="shared" si="559"/>
        <v>1.397648</v>
      </c>
      <c r="E202" s="634">
        <f t="shared" si="504"/>
        <v>48000</v>
      </c>
      <c r="F202" s="634">
        <f t="shared" si="505"/>
        <v>48000</v>
      </c>
      <c r="G202" s="634"/>
      <c r="H202" s="467">
        <f>'SL-Det'!E202</f>
        <v>48000</v>
      </c>
      <c r="I202" s="231">
        <f>Leach!F202</f>
        <v>19.644095708551344</v>
      </c>
      <c r="J202" s="231" t="str">
        <f>Leach!I202</f>
        <v>na</v>
      </c>
      <c r="K202" s="231" t="str">
        <f>Leach!L202</f>
        <v>na</v>
      </c>
      <c r="L202" s="476">
        <f>Leach!G202</f>
        <v>1.397648</v>
      </c>
      <c r="M202" s="476" t="str">
        <f>Leach!J202</f>
        <v>na</v>
      </c>
      <c r="N202" s="476" t="str">
        <f>Leach!M202</f>
        <v>na</v>
      </c>
      <c r="O202" s="485" t="str">
        <f>'SD-Det'!Z202</f>
        <v>na</v>
      </c>
      <c r="P202" s="494" t="str">
        <f>'SL-Det'!I202</f>
        <v>na</v>
      </c>
      <c r="Q202" s="975" t="s">
        <v>232</v>
      </c>
      <c r="S202" s="832" t="str">
        <f t="shared" si="560"/>
        <v/>
      </c>
      <c r="T202" s="366" t="str">
        <f t="shared" si="561"/>
        <v>X</v>
      </c>
      <c r="U202" s="366" t="str">
        <f t="shared" si="562"/>
        <v/>
      </c>
      <c r="V202" s="366" t="str">
        <f t="shared" si="563"/>
        <v/>
      </c>
      <c r="W202" s="366" t="str">
        <f t="shared" si="564"/>
        <v/>
      </c>
      <c r="X202" s="366" t="str">
        <f t="shared" si="565"/>
        <v/>
      </c>
      <c r="Y202" s="989" t="str">
        <f t="shared" si="566"/>
        <v/>
      </c>
      <c r="Z202" s="832" t="str">
        <f t="shared" si="567"/>
        <v/>
      </c>
      <c r="AA202" s="366" t="str">
        <f t="shared" si="568"/>
        <v>X</v>
      </c>
      <c r="AB202" s="366" t="str">
        <f t="shared" si="569"/>
        <v/>
      </c>
      <c r="AC202" s="366" t="str">
        <f t="shared" si="570"/>
        <v/>
      </c>
      <c r="AD202" s="366" t="str">
        <f t="shared" si="571"/>
        <v/>
      </c>
      <c r="AE202" s="366" t="str">
        <f t="shared" si="572"/>
        <v/>
      </c>
      <c r="AF202" s="833" t="str">
        <f t="shared" si="573"/>
        <v/>
      </c>
      <c r="AG202" s="832" t="str">
        <f t="shared" si="574"/>
        <v>X</v>
      </c>
      <c r="AH202" s="366" t="str">
        <f t="shared" si="575"/>
        <v/>
      </c>
      <c r="AI202" s="366" t="str">
        <f t="shared" si="576"/>
        <v/>
      </c>
      <c r="AJ202" s="366" t="str">
        <f t="shared" si="577"/>
        <v/>
      </c>
      <c r="AK202" s="366" t="str">
        <f t="shared" si="578"/>
        <v/>
      </c>
      <c r="AL202" s="833" t="str">
        <f t="shared" si="579"/>
        <v/>
      </c>
      <c r="AM202" s="832" t="str">
        <f t="shared" si="580"/>
        <v>X</v>
      </c>
      <c r="AN202" s="366" t="str">
        <f t="shared" si="581"/>
        <v/>
      </c>
      <c r="AO202" s="366" t="str">
        <f t="shared" si="582"/>
        <v/>
      </c>
      <c r="AP202" s="366" t="str">
        <f t="shared" si="583"/>
        <v/>
      </c>
      <c r="AQ202" s="366" t="str">
        <f t="shared" si="584"/>
        <v/>
      </c>
      <c r="AR202" s="833" t="str">
        <f t="shared" si="585"/>
        <v/>
      </c>
      <c r="AT202" s="1062"/>
      <c r="AY202" s="4"/>
    </row>
    <row r="203" spans="1:51" ht="13.9" customHeight="1" x14ac:dyDescent="0.25">
      <c r="A203" s="846">
        <f>Chem!A203</f>
        <v>201</v>
      </c>
      <c r="B203" s="951" t="str">
        <f>Chem!B203</f>
        <v>Methyl iodide</v>
      </c>
      <c r="C203" s="946" t="str">
        <f t="shared" si="558"/>
        <v>na</v>
      </c>
      <c r="D203" s="463" t="str">
        <f t="shared" si="559"/>
        <v>na</v>
      </c>
      <c r="E203" s="634" t="str">
        <f t="shared" si="504"/>
        <v>na</v>
      </c>
      <c r="F203" s="634" t="str">
        <f t="shared" si="505"/>
        <v>na</v>
      </c>
      <c r="G203" s="634"/>
      <c r="H203" s="467" t="str">
        <f>'SL-Det'!E203</f>
        <v>na</v>
      </c>
      <c r="I203" s="231" t="str">
        <f>Leach!F203</f>
        <v>na</v>
      </c>
      <c r="J203" s="231" t="str">
        <f>Leach!I203</f>
        <v>na</v>
      </c>
      <c r="K203" s="231" t="str">
        <f>Leach!L203</f>
        <v>na</v>
      </c>
      <c r="L203" s="476" t="str">
        <f>Leach!G203</f>
        <v>na</v>
      </c>
      <c r="M203" s="476" t="str">
        <f>Leach!J203</f>
        <v>na</v>
      </c>
      <c r="N203" s="476" t="str">
        <f>Leach!M203</f>
        <v>na</v>
      </c>
      <c r="O203" s="485" t="str">
        <f>'SD-Det'!Z203</f>
        <v>na</v>
      </c>
      <c r="P203" s="494" t="str">
        <f>'SL-Det'!I203</f>
        <v>na</v>
      </c>
      <c r="Q203" s="975" t="s">
        <v>232</v>
      </c>
      <c r="S203" s="832" t="str">
        <f t="shared" si="560"/>
        <v/>
      </c>
      <c r="T203" s="366" t="str">
        <f t="shared" si="561"/>
        <v/>
      </c>
      <c r="U203" s="366" t="str">
        <f t="shared" si="562"/>
        <v/>
      </c>
      <c r="V203" s="366" t="str">
        <f t="shared" si="563"/>
        <v/>
      </c>
      <c r="W203" s="366" t="str">
        <f t="shared" si="564"/>
        <v/>
      </c>
      <c r="X203" s="366" t="str">
        <f t="shared" si="565"/>
        <v/>
      </c>
      <c r="Y203" s="989" t="str">
        <f t="shared" si="566"/>
        <v/>
      </c>
      <c r="Z203" s="832" t="str">
        <f t="shared" si="567"/>
        <v/>
      </c>
      <c r="AA203" s="366" t="str">
        <f t="shared" si="568"/>
        <v/>
      </c>
      <c r="AB203" s="366" t="str">
        <f t="shared" si="569"/>
        <v/>
      </c>
      <c r="AC203" s="366" t="str">
        <f t="shared" si="570"/>
        <v/>
      </c>
      <c r="AD203" s="366" t="str">
        <f t="shared" si="571"/>
        <v/>
      </c>
      <c r="AE203" s="366" t="str">
        <f t="shared" si="572"/>
        <v/>
      </c>
      <c r="AF203" s="833" t="str">
        <f t="shared" si="573"/>
        <v/>
      </c>
      <c r="AG203" s="832" t="str">
        <f t="shared" si="574"/>
        <v/>
      </c>
      <c r="AH203" s="366" t="str">
        <f t="shared" si="575"/>
        <v/>
      </c>
      <c r="AI203" s="366" t="str">
        <f t="shared" si="576"/>
        <v/>
      </c>
      <c r="AJ203" s="366" t="str">
        <f t="shared" si="577"/>
        <v/>
      </c>
      <c r="AK203" s="366" t="str">
        <f t="shared" si="578"/>
        <v/>
      </c>
      <c r="AL203" s="833" t="str">
        <f t="shared" si="579"/>
        <v/>
      </c>
      <c r="AM203" s="832" t="str">
        <f t="shared" si="580"/>
        <v/>
      </c>
      <c r="AN203" s="366" t="str">
        <f t="shared" si="581"/>
        <v/>
      </c>
      <c r="AO203" s="366" t="str">
        <f t="shared" si="582"/>
        <v/>
      </c>
      <c r="AP203" s="366" t="str">
        <f t="shared" si="583"/>
        <v/>
      </c>
      <c r="AQ203" s="366" t="str">
        <f t="shared" si="584"/>
        <v/>
      </c>
      <c r="AR203" s="833" t="str">
        <f t="shared" si="585"/>
        <v/>
      </c>
      <c r="AT203" s="1062"/>
      <c r="AY203" s="4"/>
    </row>
    <row r="204" spans="1:51" ht="13.9" customHeight="1" x14ac:dyDescent="0.25">
      <c r="A204" s="846">
        <f>Chem!A204</f>
        <v>202</v>
      </c>
      <c r="B204" s="951" t="str">
        <f>Chem!B204</f>
        <v>Methyl isobutyl ketone</v>
      </c>
      <c r="C204" s="946">
        <f t="shared" si="558"/>
        <v>2.724542659425675</v>
      </c>
      <c r="D204" s="463">
        <f t="shared" si="559"/>
        <v>0.19153066666666668</v>
      </c>
      <c r="E204" s="634">
        <f t="shared" si="504"/>
        <v>6400</v>
      </c>
      <c r="F204" s="634">
        <f t="shared" si="505"/>
        <v>6400</v>
      </c>
      <c r="G204" s="634"/>
      <c r="H204" s="467">
        <f>'SL-Det'!E204</f>
        <v>6400</v>
      </c>
      <c r="I204" s="231">
        <f>Leach!F204</f>
        <v>2.724542659425675</v>
      </c>
      <c r="J204" s="231" t="str">
        <f>Leach!I204</f>
        <v>na</v>
      </c>
      <c r="K204" s="231" t="str">
        <f>Leach!L204</f>
        <v>na</v>
      </c>
      <c r="L204" s="476">
        <f>Leach!G204</f>
        <v>0.19153066666666668</v>
      </c>
      <c r="M204" s="476" t="str">
        <f>Leach!J204</f>
        <v>na</v>
      </c>
      <c r="N204" s="476" t="str">
        <f>Leach!M204</f>
        <v>na</v>
      </c>
      <c r="O204" s="485" t="str">
        <f>'SD-Det'!Z204</f>
        <v>na</v>
      </c>
      <c r="P204" s="494" t="str">
        <f>'SL-Det'!I204</f>
        <v>na</v>
      </c>
      <c r="Q204" s="975" t="s">
        <v>232</v>
      </c>
      <c r="S204" s="832" t="str">
        <f t="shared" si="560"/>
        <v/>
      </c>
      <c r="T204" s="366" t="str">
        <f t="shared" si="561"/>
        <v>X</v>
      </c>
      <c r="U204" s="366" t="str">
        <f t="shared" si="562"/>
        <v/>
      </c>
      <c r="V204" s="366" t="str">
        <f t="shared" si="563"/>
        <v/>
      </c>
      <c r="W204" s="366" t="str">
        <f t="shared" si="564"/>
        <v/>
      </c>
      <c r="X204" s="366" t="str">
        <f t="shared" si="565"/>
        <v/>
      </c>
      <c r="Y204" s="989" t="str">
        <f t="shared" si="566"/>
        <v/>
      </c>
      <c r="Z204" s="832" t="str">
        <f t="shared" si="567"/>
        <v/>
      </c>
      <c r="AA204" s="366" t="str">
        <f t="shared" si="568"/>
        <v>X</v>
      </c>
      <c r="AB204" s="366" t="str">
        <f t="shared" si="569"/>
        <v/>
      </c>
      <c r="AC204" s="366" t="str">
        <f t="shared" si="570"/>
        <v/>
      </c>
      <c r="AD204" s="366" t="str">
        <f t="shared" si="571"/>
        <v/>
      </c>
      <c r="AE204" s="366" t="str">
        <f t="shared" si="572"/>
        <v/>
      </c>
      <c r="AF204" s="833" t="str">
        <f t="shared" si="573"/>
        <v/>
      </c>
      <c r="AG204" s="832" t="str">
        <f t="shared" si="574"/>
        <v>X</v>
      </c>
      <c r="AH204" s="366" t="str">
        <f t="shared" si="575"/>
        <v/>
      </c>
      <c r="AI204" s="366" t="str">
        <f t="shared" si="576"/>
        <v/>
      </c>
      <c r="AJ204" s="366" t="str">
        <f t="shared" si="577"/>
        <v/>
      </c>
      <c r="AK204" s="366" t="str">
        <f t="shared" si="578"/>
        <v/>
      </c>
      <c r="AL204" s="833" t="str">
        <f t="shared" si="579"/>
        <v/>
      </c>
      <c r="AM204" s="832" t="str">
        <f t="shared" si="580"/>
        <v>X</v>
      </c>
      <c r="AN204" s="366" t="str">
        <f t="shared" si="581"/>
        <v/>
      </c>
      <c r="AO204" s="366" t="str">
        <f t="shared" si="582"/>
        <v/>
      </c>
      <c r="AP204" s="366" t="str">
        <f t="shared" si="583"/>
        <v/>
      </c>
      <c r="AQ204" s="366" t="str">
        <f t="shared" si="584"/>
        <v/>
      </c>
      <c r="AR204" s="833" t="str">
        <f t="shared" si="585"/>
        <v/>
      </c>
      <c r="AT204" s="1062"/>
      <c r="AY204" s="4"/>
    </row>
    <row r="205" spans="1:51" ht="13.9" customHeight="1" x14ac:dyDescent="0.25">
      <c r="A205" s="846">
        <f>Chem!A205</f>
        <v>203</v>
      </c>
      <c r="B205" s="951" t="str">
        <f>Chem!B205</f>
        <v>Methyl tert-butyl ether (MTBE)</v>
      </c>
      <c r="C205" s="946">
        <f t="shared" si="558"/>
        <v>0.102993507388575</v>
      </c>
      <c r="D205" s="463">
        <f t="shared" si="559"/>
        <v>7.2325231481481468E-3</v>
      </c>
      <c r="E205" s="634">
        <f t="shared" si="504"/>
        <v>555.55555555555554</v>
      </c>
      <c r="F205" s="634">
        <f t="shared" si="505"/>
        <v>555.55555555555554</v>
      </c>
      <c r="G205" s="634"/>
      <c r="H205" s="467">
        <f>'SL-Det'!E205</f>
        <v>555.55555555555554</v>
      </c>
      <c r="I205" s="231">
        <f>Leach!F205</f>
        <v>0.102993507388575</v>
      </c>
      <c r="J205" s="231" t="str">
        <f>Leach!I205</f>
        <v>na</v>
      </c>
      <c r="K205" s="231" t="str">
        <f>Leach!L205</f>
        <v>na</v>
      </c>
      <c r="L205" s="476">
        <f>Leach!G205</f>
        <v>7.2325231481481468E-3</v>
      </c>
      <c r="M205" s="476" t="str">
        <f>Leach!J205</f>
        <v>na</v>
      </c>
      <c r="N205" s="476" t="str">
        <f>Leach!M205</f>
        <v>na</v>
      </c>
      <c r="O205" s="485" t="str">
        <f>'SD-Det'!Z205</f>
        <v>na</v>
      </c>
      <c r="P205" s="494" t="str">
        <f>'SL-Det'!I205</f>
        <v>na</v>
      </c>
      <c r="Q205" s="975" t="s">
        <v>232</v>
      </c>
      <c r="S205" s="832" t="str">
        <f t="shared" si="560"/>
        <v/>
      </c>
      <c r="T205" s="366" t="str">
        <f t="shared" si="561"/>
        <v>X</v>
      </c>
      <c r="U205" s="366" t="str">
        <f t="shared" si="562"/>
        <v/>
      </c>
      <c r="V205" s="366" t="str">
        <f t="shared" si="563"/>
        <v/>
      </c>
      <c r="W205" s="366" t="str">
        <f t="shared" si="564"/>
        <v/>
      </c>
      <c r="X205" s="366" t="str">
        <f t="shared" si="565"/>
        <v/>
      </c>
      <c r="Y205" s="989" t="str">
        <f t="shared" si="566"/>
        <v/>
      </c>
      <c r="Z205" s="832" t="str">
        <f t="shared" si="567"/>
        <v/>
      </c>
      <c r="AA205" s="366" t="str">
        <f t="shared" si="568"/>
        <v>X</v>
      </c>
      <c r="AB205" s="366" t="str">
        <f t="shared" si="569"/>
        <v/>
      </c>
      <c r="AC205" s="366" t="str">
        <f t="shared" si="570"/>
        <v/>
      </c>
      <c r="AD205" s="366" t="str">
        <f t="shared" si="571"/>
        <v/>
      </c>
      <c r="AE205" s="366" t="str">
        <f t="shared" si="572"/>
        <v/>
      </c>
      <c r="AF205" s="833" t="str">
        <f t="shared" si="573"/>
        <v/>
      </c>
      <c r="AG205" s="832" t="str">
        <f t="shared" si="574"/>
        <v>X</v>
      </c>
      <c r="AH205" s="366" t="str">
        <f t="shared" si="575"/>
        <v/>
      </c>
      <c r="AI205" s="366" t="str">
        <f t="shared" si="576"/>
        <v/>
      </c>
      <c r="AJ205" s="366" t="str">
        <f t="shared" si="577"/>
        <v/>
      </c>
      <c r="AK205" s="366" t="str">
        <f t="shared" si="578"/>
        <v/>
      </c>
      <c r="AL205" s="833" t="str">
        <f t="shared" si="579"/>
        <v/>
      </c>
      <c r="AM205" s="832" t="str">
        <f t="shared" si="580"/>
        <v>X</v>
      </c>
      <c r="AN205" s="366" t="str">
        <f t="shared" si="581"/>
        <v/>
      </c>
      <c r="AO205" s="366" t="str">
        <f t="shared" si="582"/>
        <v/>
      </c>
      <c r="AP205" s="366" t="str">
        <f t="shared" si="583"/>
        <v/>
      </c>
      <c r="AQ205" s="366" t="str">
        <f t="shared" si="584"/>
        <v/>
      </c>
      <c r="AR205" s="833" t="str">
        <f t="shared" si="585"/>
        <v/>
      </c>
      <c r="AT205" s="1062"/>
      <c r="AY205" s="4"/>
    </row>
    <row r="206" spans="1:51" ht="13.9" customHeight="1" x14ac:dyDescent="0.25">
      <c r="A206" s="846">
        <f>Chem!A206</f>
        <v>204</v>
      </c>
      <c r="B206" s="951" t="str">
        <f>Chem!B206</f>
        <v>Methylene chloride</v>
      </c>
      <c r="C206" s="946">
        <f t="shared" si="558"/>
        <v>2.1730339267721513E-2</v>
      </c>
      <c r="D206" s="463">
        <f t="shared" si="559"/>
        <v>1.4833333333333335E-3</v>
      </c>
      <c r="E206" s="634">
        <f t="shared" si="504"/>
        <v>0.4346067853544302</v>
      </c>
      <c r="F206" s="634">
        <f t="shared" si="505"/>
        <v>2.9666666666666671E-2</v>
      </c>
      <c r="G206" s="634"/>
      <c r="H206" s="467">
        <f>'SL-Det'!E206</f>
        <v>94</v>
      </c>
      <c r="I206" s="231">
        <f>Leach!F206</f>
        <v>2.1730339267721513E-2</v>
      </c>
      <c r="J206" s="231">
        <f>Leach!I206</f>
        <v>0.4346067853544302</v>
      </c>
      <c r="K206" s="231" t="str">
        <f>Leach!L206</f>
        <v>na</v>
      </c>
      <c r="L206" s="476">
        <f>Leach!G206</f>
        <v>1.4833333333333335E-3</v>
      </c>
      <c r="M206" s="476">
        <f>Leach!J206</f>
        <v>2.9666666666666671E-2</v>
      </c>
      <c r="N206" s="476" t="str">
        <f>Leach!M206</f>
        <v>na</v>
      </c>
      <c r="O206" s="485" t="str">
        <f>'SD-Det'!Z206</f>
        <v>na</v>
      </c>
      <c r="P206" s="494" t="str">
        <f>'SL-Det'!I206</f>
        <v>na</v>
      </c>
      <c r="Q206" s="975" t="s">
        <v>232</v>
      </c>
      <c r="S206" s="832" t="str">
        <f t="shared" si="560"/>
        <v/>
      </c>
      <c r="T206" s="366" t="str">
        <f t="shared" si="561"/>
        <v>X</v>
      </c>
      <c r="U206" s="366" t="str">
        <f t="shared" si="562"/>
        <v/>
      </c>
      <c r="V206" s="366" t="str">
        <f t="shared" si="563"/>
        <v/>
      </c>
      <c r="W206" s="366" t="str">
        <f t="shared" si="564"/>
        <v/>
      </c>
      <c r="X206" s="366" t="str">
        <f t="shared" si="565"/>
        <v/>
      </c>
      <c r="Y206" s="989" t="str">
        <f t="shared" si="566"/>
        <v/>
      </c>
      <c r="Z206" s="832" t="str">
        <f t="shared" si="567"/>
        <v/>
      </c>
      <c r="AA206" s="366" t="str">
        <f t="shared" si="568"/>
        <v>X</v>
      </c>
      <c r="AB206" s="366" t="str">
        <f t="shared" si="569"/>
        <v/>
      </c>
      <c r="AC206" s="366" t="str">
        <f t="shared" si="570"/>
        <v/>
      </c>
      <c r="AD206" s="366" t="str">
        <f t="shared" si="571"/>
        <v/>
      </c>
      <c r="AE206" s="366" t="str">
        <f t="shared" si="572"/>
        <v/>
      </c>
      <c r="AF206" s="833" t="str">
        <f t="shared" si="573"/>
        <v/>
      </c>
      <c r="AG206" s="832" t="str">
        <f t="shared" si="574"/>
        <v/>
      </c>
      <c r="AH206" s="366" t="str">
        <f t="shared" si="575"/>
        <v>X</v>
      </c>
      <c r="AI206" s="366" t="str">
        <f t="shared" si="576"/>
        <v/>
      </c>
      <c r="AJ206" s="366" t="str">
        <f t="shared" si="577"/>
        <v/>
      </c>
      <c r="AK206" s="366" t="str">
        <f t="shared" si="578"/>
        <v/>
      </c>
      <c r="AL206" s="833" t="str">
        <f t="shared" si="579"/>
        <v/>
      </c>
      <c r="AM206" s="832" t="str">
        <f t="shared" si="580"/>
        <v/>
      </c>
      <c r="AN206" s="366" t="str">
        <f t="shared" si="581"/>
        <v>X</v>
      </c>
      <c r="AO206" s="366" t="str">
        <f t="shared" si="582"/>
        <v/>
      </c>
      <c r="AP206" s="366" t="str">
        <f t="shared" si="583"/>
        <v/>
      </c>
      <c r="AQ206" s="366" t="str">
        <f t="shared" si="584"/>
        <v/>
      </c>
      <c r="AR206" s="833" t="str">
        <f t="shared" si="585"/>
        <v/>
      </c>
      <c r="AT206" s="1062"/>
      <c r="AY206" s="4"/>
    </row>
    <row r="207" spans="1:51" ht="13.9" customHeight="1" x14ac:dyDescent="0.25">
      <c r="A207" s="846">
        <f>Chem!A207</f>
        <v>205</v>
      </c>
      <c r="B207" s="951" t="str">
        <f>Chem!B207</f>
        <v>2-Pentanone</v>
      </c>
      <c r="C207" s="946" t="str">
        <f t="shared" si="558"/>
        <v>na</v>
      </c>
      <c r="D207" s="463" t="str">
        <f t="shared" si="559"/>
        <v>na</v>
      </c>
      <c r="E207" s="634" t="str">
        <f t="shared" si="504"/>
        <v>na</v>
      </c>
      <c r="F207" s="634" t="str">
        <f t="shared" si="505"/>
        <v>na</v>
      </c>
      <c r="G207" s="634"/>
      <c r="H207" s="467" t="str">
        <f>'SL-Det'!E207</f>
        <v>na</v>
      </c>
      <c r="I207" s="231" t="str">
        <f>Leach!F207</f>
        <v>na</v>
      </c>
      <c r="J207" s="231" t="str">
        <f>Leach!I207</f>
        <v>na</v>
      </c>
      <c r="K207" s="231" t="str">
        <f>Leach!L207</f>
        <v>na</v>
      </c>
      <c r="L207" s="476" t="str">
        <f>Leach!G207</f>
        <v>na</v>
      </c>
      <c r="M207" s="476" t="str">
        <f>Leach!J207</f>
        <v>na</v>
      </c>
      <c r="N207" s="476" t="str">
        <f>Leach!M207</f>
        <v>na</v>
      </c>
      <c r="O207" s="485" t="str">
        <f>'SD-Det'!Z207</f>
        <v>na</v>
      </c>
      <c r="P207" s="494" t="str">
        <f>'SL-Det'!I207</f>
        <v>na</v>
      </c>
      <c r="Q207" s="975" t="s">
        <v>232</v>
      </c>
      <c r="S207" s="832" t="str">
        <f t="shared" si="560"/>
        <v/>
      </c>
      <c r="T207" s="366" t="str">
        <f t="shared" si="561"/>
        <v/>
      </c>
      <c r="U207" s="366" t="str">
        <f t="shared" si="562"/>
        <v/>
      </c>
      <c r="V207" s="366" t="str">
        <f t="shared" si="563"/>
        <v/>
      </c>
      <c r="W207" s="366" t="str">
        <f t="shared" si="564"/>
        <v/>
      </c>
      <c r="X207" s="366" t="str">
        <f t="shared" si="565"/>
        <v/>
      </c>
      <c r="Y207" s="989" t="str">
        <f t="shared" si="566"/>
        <v/>
      </c>
      <c r="Z207" s="832" t="str">
        <f t="shared" si="567"/>
        <v/>
      </c>
      <c r="AA207" s="366" t="str">
        <f t="shared" si="568"/>
        <v/>
      </c>
      <c r="AB207" s="366" t="str">
        <f t="shared" si="569"/>
        <v/>
      </c>
      <c r="AC207" s="366" t="str">
        <f t="shared" si="570"/>
        <v/>
      </c>
      <c r="AD207" s="366" t="str">
        <f t="shared" si="571"/>
        <v/>
      </c>
      <c r="AE207" s="366" t="str">
        <f t="shared" si="572"/>
        <v/>
      </c>
      <c r="AF207" s="833" t="str">
        <f t="shared" si="573"/>
        <v/>
      </c>
      <c r="AG207" s="832" t="str">
        <f t="shared" si="574"/>
        <v/>
      </c>
      <c r="AH207" s="366" t="str">
        <f t="shared" si="575"/>
        <v/>
      </c>
      <c r="AI207" s="366" t="str">
        <f t="shared" si="576"/>
        <v/>
      </c>
      <c r="AJ207" s="366" t="str">
        <f t="shared" si="577"/>
        <v/>
      </c>
      <c r="AK207" s="366" t="str">
        <f t="shared" si="578"/>
        <v/>
      </c>
      <c r="AL207" s="833" t="str">
        <f t="shared" si="579"/>
        <v/>
      </c>
      <c r="AM207" s="832" t="str">
        <f t="shared" si="580"/>
        <v/>
      </c>
      <c r="AN207" s="366" t="str">
        <f t="shared" si="581"/>
        <v/>
      </c>
      <c r="AO207" s="366" t="str">
        <f t="shared" si="582"/>
        <v/>
      </c>
      <c r="AP207" s="366" t="str">
        <f t="shared" si="583"/>
        <v/>
      </c>
      <c r="AQ207" s="366" t="str">
        <f t="shared" si="584"/>
        <v/>
      </c>
      <c r="AR207" s="833" t="str">
        <f t="shared" si="585"/>
        <v/>
      </c>
      <c r="AT207" s="1062"/>
      <c r="AY207" s="4"/>
    </row>
    <row r="208" spans="1:51" ht="13.9" customHeight="1" x14ac:dyDescent="0.25">
      <c r="A208" s="846">
        <f>Chem!A208</f>
        <v>206</v>
      </c>
      <c r="B208" s="951" t="str">
        <f>Chem!B208</f>
        <v>n-Propylbenzene</v>
      </c>
      <c r="C208" s="946">
        <f t="shared" si="558"/>
        <v>16.488193780059415</v>
      </c>
      <c r="D208" s="463">
        <f t="shared" si="559"/>
        <v>0.87973333333333348</v>
      </c>
      <c r="E208" s="634">
        <f t="shared" si="504"/>
        <v>8000</v>
      </c>
      <c r="F208" s="634">
        <f t="shared" si="505"/>
        <v>8000</v>
      </c>
      <c r="G208" s="634"/>
      <c r="H208" s="467">
        <f>'SL-Det'!E208</f>
        <v>8000</v>
      </c>
      <c r="I208" s="231">
        <f>Leach!F208</f>
        <v>16.488193780059415</v>
      </c>
      <c r="J208" s="231" t="str">
        <f>Leach!I208</f>
        <v>na</v>
      </c>
      <c r="K208" s="231" t="str">
        <f>Leach!L208</f>
        <v>na</v>
      </c>
      <c r="L208" s="476">
        <f>Leach!G208</f>
        <v>0.87973333333333348</v>
      </c>
      <c r="M208" s="476" t="str">
        <f>Leach!J208</f>
        <v>na</v>
      </c>
      <c r="N208" s="476" t="str">
        <f>Leach!M208</f>
        <v>na</v>
      </c>
      <c r="O208" s="485" t="str">
        <f>'SD-Det'!Z208</f>
        <v>na</v>
      </c>
      <c r="P208" s="494" t="str">
        <f>'SL-Det'!I208</f>
        <v>na</v>
      </c>
      <c r="Q208" s="975" t="s">
        <v>232</v>
      </c>
      <c r="S208" s="832" t="str">
        <f t="shared" si="560"/>
        <v/>
      </c>
      <c r="T208" s="366" t="str">
        <f t="shared" si="561"/>
        <v>X</v>
      </c>
      <c r="U208" s="366" t="str">
        <f t="shared" si="562"/>
        <v/>
      </c>
      <c r="V208" s="366" t="str">
        <f t="shared" si="563"/>
        <v/>
      </c>
      <c r="W208" s="366" t="str">
        <f t="shared" si="564"/>
        <v/>
      </c>
      <c r="X208" s="366" t="str">
        <f t="shared" si="565"/>
        <v/>
      </c>
      <c r="Y208" s="989" t="str">
        <f t="shared" si="566"/>
        <v/>
      </c>
      <c r="Z208" s="832" t="str">
        <f t="shared" si="567"/>
        <v/>
      </c>
      <c r="AA208" s="366" t="str">
        <f t="shared" si="568"/>
        <v>X</v>
      </c>
      <c r="AB208" s="366" t="str">
        <f t="shared" si="569"/>
        <v/>
      </c>
      <c r="AC208" s="366" t="str">
        <f t="shared" si="570"/>
        <v/>
      </c>
      <c r="AD208" s="366" t="str">
        <f t="shared" si="571"/>
        <v/>
      </c>
      <c r="AE208" s="366" t="str">
        <f t="shared" si="572"/>
        <v/>
      </c>
      <c r="AF208" s="833" t="str">
        <f t="shared" si="573"/>
        <v/>
      </c>
      <c r="AG208" s="832" t="str">
        <f t="shared" si="574"/>
        <v>X</v>
      </c>
      <c r="AH208" s="366" t="str">
        <f t="shared" si="575"/>
        <v/>
      </c>
      <c r="AI208" s="366" t="str">
        <f t="shared" si="576"/>
        <v/>
      </c>
      <c r="AJ208" s="366" t="str">
        <f t="shared" si="577"/>
        <v/>
      </c>
      <c r="AK208" s="366" t="str">
        <f t="shared" si="578"/>
        <v/>
      </c>
      <c r="AL208" s="833" t="str">
        <f t="shared" si="579"/>
        <v/>
      </c>
      <c r="AM208" s="832" t="str">
        <f t="shared" si="580"/>
        <v>X</v>
      </c>
      <c r="AN208" s="366" t="str">
        <f t="shared" si="581"/>
        <v/>
      </c>
      <c r="AO208" s="366" t="str">
        <f t="shared" si="582"/>
        <v/>
      </c>
      <c r="AP208" s="366" t="str">
        <f t="shared" si="583"/>
        <v/>
      </c>
      <c r="AQ208" s="366" t="str">
        <f t="shared" si="584"/>
        <v/>
      </c>
      <c r="AR208" s="833" t="str">
        <f t="shared" si="585"/>
        <v/>
      </c>
      <c r="AT208" s="1062"/>
      <c r="AY208" s="4"/>
    </row>
    <row r="209" spans="1:51" ht="13.9" customHeight="1" x14ac:dyDescent="0.25">
      <c r="A209" s="846">
        <f>Chem!A209</f>
        <v>207</v>
      </c>
      <c r="B209" s="951" t="str">
        <f>Chem!B209</f>
        <v>Styrene</v>
      </c>
      <c r="C209" s="946">
        <f t="shared" si="558"/>
        <v>2.2332920613993603</v>
      </c>
      <c r="D209" s="463">
        <f t="shared" si="559"/>
        <v>0.11986666666666668</v>
      </c>
      <c r="E209" s="634">
        <f t="shared" si="504"/>
        <v>300</v>
      </c>
      <c r="F209" s="634">
        <f t="shared" si="505"/>
        <v>300</v>
      </c>
      <c r="G209" s="634"/>
      <c r="H209" s="467">
        <f>'SL-Det'!E209</f>
        <v>16000</v>
      </c>
      <c r="I209" s="231">
        <f>Leach!F209</f>
        <v>2.2332920613993603</v>
      </c>
      <c r="J209" s="231" t="str">
        <f>Leach!I209</f>
        <v>na</v>
      </c>
      <c r="K209" s="231" t="str">
        <f>Leach!L209</f>
        <v>na</v>
      </c>
      <c r="L209" s="476">
        <f>Leach!G209</f>
        <v>0.11986666666666668</v>
      </c>
      <c r="M209" s="476" t="str">
        <f>Leach!J209</f>
        <v>na</v>
      </c>
      <c r="N209" s="476" t="str">
        <f>Leach!M209</f>
        <v>na</v>
      </c>
      <c r="O209" s="485" t="str">
        <f>'SD-Det'!Z209</f>
        <v>na</v>
      </c>
      <c r="P209" s="494">
        <f>'SL-Det'!I209</f>
        <v>300</v>
      </c>
      <c r="Q209" s="975" t="s">
        <v>232</v>
      </c>
      <c r="S209" s="832" t="str">
        <f t="shared" si="560"/>
        <v/>
      </c>
      <c r="T209" s="366" t="str">
        <f t="shared" si="561"/>
        <v>X</v>
      </c>
      <c r="U209" s="366" t="str">
        <f t="shared" si="562"/>
        <v/>
      </c>
      <c r="V209" s="366" t="str">
        <f t="shared" si="563"/>
        <v/>
      </c>
      <c r="W209" s="366" t="str">
        <f t="shared" si="564"/>
        <v/>
      </c>
      <c r="X209" s="366" t="str">
        <f t="shared" si="565"/>
        <v/>
      </c>
      <c r="Y209" s="989" t="str">
        <f t="shared" si="566"/>
        <v/>
      </c>
      <c r="Z209" s="832" t="str">
        <f t="shared" si="567"/>
        <v/>
      </c>
      <c r="AA209" s="366" t="str">
        <f t="shared" si="568"/>
        <v>X</v>
      </c>
      <c r="AB209" s="366" t="str">
        <f t="shared" si="569"/>
        <v/>
      </c>
      <c r="AC209" s="366" t="str">
        <f t="shared" si="570"/>
        <v/>
      </c>
      <c r="AD209" s="366" t="str">
        <f t="shared" si="571"/>
        <v/>
      </c>
      <c r="AE209" s="366" t="str">
        <f t="shared" si="572"/>
        <v/>
      </c>
      <c r="AF209" s="833" t="str">
        <f t="shared" si="573"/>
        <v/>
      </c>
      <c r="AG209" s="832" t="str">
        <f t="shared" si="574"/>
        <v/>
      </c>
      <c r="AH209" s="366" t="str">
        <f t="shared" si="575"/>
        <v/>
      </c>
      <c r="AI209" s="366" t="str">
        <f t="shared" si="576"/>
        <v/>
      </c>
      <c r="AJ209" s="366" t="str">
        <f t="shared" si="577"/>
        <v/>
      </c>
      <c r="AK209" s="366" t="str">
        <f t="shared" si="578"/>
        <v>X</v>
      </c>
      <c r="AL209" s="833" t="str">
        <f t="shared" si="579"/>
        <v/>
      </c>
      <c r="AM209" s="832" t="str">
        <f t="shared" si="580"/>
        <v/>
      </c>
      <c r="AN209" s="366" t="str">
        <f t="shared" si="581"/>
        <v/>
      </c>
      <c r="AO209" s="366" t="str">
        <f t="shared" si="582"/>
        <v/>
      </c>
      <c r="AP209" s="366" t="str">
        <f t="shared" si="583"/>
        <v/>
      </c>
      <c r="AQ209" s="366" t="str">
        <f t="shared" si="584"/>
        <v>X</v>
      </c>
      <c r="AR209" s="833" t="str">
        <f t="shared" si="585"/>
        <v/>
      </c>
      <c r="AT209" s="1062"/>
      <c r="AY209" s="4"/>
    </row>
    <row r="210" spans="1:51" ht="13.9" customHeight="1" x14ac:dyDescent="0.25">
      <c r="A210" s="846">
        <f>Chem!A210</f>
        <v>208</v>
      </c>
      <c r="B210" s="951" t="str">
        <f>Chem!B210</f>
        <v>1,1,1,2-Tetrachloroethane</v>
      </c>
      <c r="C210" s="946">
        <f t="shared" si="558"/>
        <v>9.7635281559605835E-3</v>
      </c>
      <c r="D210" s="463">
        <f t="shared" si="559"/>
        <v>6.2708333333333333E-4</v>
      </c>
      <c r="E210" s="634">
        <f t="shared" si="504"/>
        <v>38.46153846153846</v>
      </c>
      <c r="F210" s="634">
        <f t="shared" si="505"/>
        <v>38.46153846153846</v>
      </c>
      <c r="G210" s="634"/>
      <c r="H210" s="467">
        <f>'SL-Det'!E210</f>
        <v>38.46153846153846</v>
      </c>
      <c r="I210" s="231">
        <f>Leach!F210</f>
        <v>9.7635281559605835E-3</v>
      </c>
      <c r="J210" s="231" t="str">
        <f>Leach!I210</f>
        <v>na</v>
      </c>
      <c r="K210" s="231" t="str">
        <f>Leach!L210</f>
        <v>na</v>
      </c>
      <c r="L210" s="476">
        <f>Leach!G210</f>
        <v>6.2708333333333333E-4</v>
      </c>
      <c r="M210" s="476" t="str">
        <f>Leach!J210</f>
        <v>na</v>
      </c>
      <c r="N210" s="476" t="str">
        <f>Leach!M210</f>
        <v>na</v>
      </c>
      <c r="O210" s="485" t="str">
        <f>'SD-Det'!Z210</f>
        <v>na</v>
      </c>
      <c r="P210" s="494" t="str">
        <f>'SL-Det'!I210</f>
        <v>na</v>
      </c>
      <c r="Q210" s="975" t="s">
        <v>232</v>
      </c>
      <c r="S210" s="832" t="str">
        <f t="shared" si="560"/>
        <v/>
      </c>
      <c r="T210" s="366" t="str">
        <f t="shared" si="561"/>
        <v>X</v>
      </c>
      <c r="U210" s="366" t="str">
        <f t="shared" si="562"/>
        <v/>
      </c>
      <c r="V210" s="366" t="str">
        <f t="shared" si="563"/>
        <v/>
      </c>
      <c r="W210" s="366" t="str">
        <f t="shared" si="564"/>
        <v/>
      </c>
      <c r="X210" s="366" t="str">
        <f t="shared" si="565"/>
        <v/>
      </c>
      <c r="Y210" s="989" t="str">
        <f t="shared" si="566"/>
        <v/>
      </c>
      <c r="Z210" s="832" t="str">
        <f t="shared" si="567"/>
        <v/>
      </c>
      <c r="AA210" s="366" t="str">
        <f t="shared" si="568"/>
        <v>X</v>
      </c>
      <c r="AB210" s="366" t="str">
        <f t="shared" si="569"/>
        <v/>
      </c>
      <c r="AC210" s="366" t="str">
        <f t="shared" si="570"/>
        <v/>
      </c>
      <c r="AD210" s="366" t="str">
        <f t="shared" si="571"/>
        <v/>
      </c>
      <c r="AE210" s="366" t="str">
        <f t="shared" si="572"/>
        <v/>
      </c>
      <c r="AF210" s="833" t="str">
        <f t="shared" si="573"/>
        <v/>
      </c>
      <c r="AG210" s="832" t="str">
        <f t="shared" si="574"/>
        <v>X</v>
      </c>
      <c r="AH210" s="366" t="str">
        <f t="shared" si="575"/>
        <v/>
      </c>
      <c r="AI210" s="366" t="str">
        <f t="shared" si="576"/>
        <v/>
      </c>
      <c r="AJ210" s="366" t="str">
        <f t="shared" si="577"/>
        <v/>
      </c>
      <c r="AK210" s="366" t="str">
        <f t="shared" si="578"/>
        <v/>
      </c>
      <c r="AL210" s="833" t="str">
        <f t="shared" si="579"/>
        <v/>
      </c>
      <c r="AM210" s="832" t="str">
        <f t="shared" si="580"/>
        <v>X</v>
      </c>
      <c r="AN210" s="366" t="str">
        <f t="shared" si="581"/>
        <v/>
      </c>
      <c r="AO210" s="366" t="str">
        <f t="shared" si="582"/>
        <v/>
      </c>
      <c r="AP210" s="366" t="str">
        <f t="shared" si="583"/>
        <v/>
      </c>
      <c r="AQ210" s="366" t="str">
        <f t="shared" si="584"/>
        <v/>
      </c>
      <c r="AR210" s="833" t="str">
        <f t="shared" si="585"/>
        <v/>
      </c>
      <c r="AT210" s="1062"/>
      <c r="AY210" s="4"/>
    </row>
    <row r="211" spans="1:51" ht="13.9" customHeight="1" x14ac:dyDescent="0.25">
      <c r="A211" s="846">
        <f>Chem!A211</f>
        <v>209</v>
      </c>
      <c r="B211" s="951" t="str">
        <f>Chem!B211</f>
        <v>1,1,2,2-Tetrachloroethane</v>
      </c>
      <c r="C211" s="946">
        <f t="shared" si="558"/>
        <v>1.2234100755310327E-3</v>
      </c>
      <c r="D211" s="463">
        <f t="shared" si="559"/>
        <v>7.998958333333332E-5</v>
      </c>
      <c r="E211" s="634">
        <f t="shared" si="504"/>
        <v>1.6778195321568454E-3</v>
      </c>
      <c r="F211" s="634">
        <f t="shared" si="505"/>
        <v>1.097E-4</v>
      </c>
      <c r="G211" s="634"/>
      <c r="H211" s="467">
        <f>'SL-Det'!E211</f>
        <v>5</v>
      </c>
      <c r="I211" s="231">
        <f>Leach!F211</f>
        <v>1.2234100755310327E-3</v>
      </c>
      <c r="J211" s="231">
        <f>Leach!I211</f>
        <v>1.6778195321568454E-3</v>
      </c>
      <c r="K211" s="231" t="str">
        <f>Leach!L211</f>
        <v>na</v>
      </c>
      <c r="L211" s="476">
        <f>Leach!G211</f>
        <v>7.998958333333332E-5</v>
      </c>
      <c r="M211" s="476">
        <f>Leach!J211</f>
        <v>1.097E-4</v>
      </c>
      <c r="N211" s="476" t="str">
        <f>Leach!M211</f>
        <v>na</v>
      </c>
      <c r="O211" s="485" t="str">
        <f>'SD-Det'!Z211</f>
        <v>na</v>
      </c>
      <c r="P211" s="494" t="str">
        <f>'SL-Det'!I211</f>
        <v>na</v>
      </c>
      <c r="Q211" s="975" t="s">
        <v>232</v>
      </c>
      <c r="S211" s="832" t="str">
        <f t="shared" si="560"/>
        <v/>
      </c>
      <c r="T211" s="366" t="str">
        <f t="shared" si="561"/>
        <v>X</v>
      </c>
      <c r="U211" s="366" t="str">
        <f t="shared" si="562"/>
        <v/>
      </c>
      <c r="V211" s="366" t="str">
        <f t="shared" si="563"/>
        <v/>
      </c>
      <c r="W211" s="366" t="str">
        <f t="shared" si="564"/>
        <v/>
      </c>
      <c r="X211" s="366" t="str">
        <f t="shared" si="565"/>
        <v/>
      </c>
      <c r="Y211" s="989" t="str">
        <f t="shared" si="566"/>
        <v/>
      </c>
      <c r="Z211" s="832" t="str">
        <f t="shared" si="567"/>
        <v/>
      </c>
      <c r="AA211" s="366" t="str">
        <f t="shared" si="568"/>
        <v>X</v>
      </c>
      <c r="AB211" s="366" t="str">
        <f t="shared" si="569"/>
        <v/>
      </c>
      <c r="AC211" s="366" t="str">
        <f t="shared" si="570"/>
        <v/>
      </c>
      <c r="AD211" s="366" t="str">
        <f t="shared" si="571"/>
        <v/>
      </c>
      <c r="AE211" s="366" t="str">
        <f t="shared" si="572"/>
        <v/>
      </c>
      <c r="AF211" s="833" t="str">
        <f t="shared" si="573"/>
        <v/>
      </c>
      <c r="AG211" s="832" t="str">
        <f t="shared" si="574"/>
        <v/>
      </c>
      <c r="AH211" s="366" t="str">
        <f t="shared" si="575"/>
        <v>X</v>
      </c>
      <c r="AI211" s="366" t="str">
        <f t="shared" si="576"/>
        <v/>
      </c>
      <c r="AJ211" s="366" t="str">
        <f t="shared" si="577"/>
        <v/>
      </c>
      <c r="AK211" s="366" t="str">
        <f t="shared" si="578"/>
        <v/>
      </c>
      <c r="AL211" s="833" t="str">
        <f t="shared" si="579"/>
        <v/>
      </c>
      <c r="AM211" s="832" t="str">
        <f t="shared" si="580"/>
        <v/>
      </c>
      <c r="AN211" s="366" t="str">
        <f t="shared" si="581"/>
        <v>X</v>
      </c>
      <c r="AO211" s="366" t="str">
        <f t="shared" si="582"/>
        <v/>
      </c>
      <c r="AP211" s="366" t="str">
        <f t="shared" si="583"/>
        <v/>
      </c>
      <c r="AQ211" s="366" t="str">
        <f t="shared" si="584"/>
        <v/>
      </c>
      <c r="AR211" s="833" t="str">
        <f t="shared" si="585"/>
        <v/>
      </c>
      <c r="AT211" s="1062"/>
      <c r="AY211" s="4"/>
    </row>
    <row r="212" spans="1:51" ht="13.9" customHeight="1" x14ac:dyDescent="0.25">
      <c r="A212" s="846">
        <f>Chem!A212</f>
        <v>210</v>
      </c>
      <c r="B212" s="951" t="str">
        <f>Chem!B212</f>
        <v>Tetrachloroethylene (PCE)</v>
      </c>
      <c r="C212" s="946">
        <f t="shared" si="558"/>
        <v>2.8900186918186899E-2</v>
      </c>
      <c r="D212" s="463">
        <f t="shared" si="559"/>
        <v>1.5998333333333335E-3</v>
      </c>
      <c r="E212" s="634">
        <f t="shared" si="504"/>
        <v>2.8900186918186899E-2</v>
      </c>
      <c r="F212" s="634">
        <f t="shared" si="505"/>
        <v>1.5998333333333335E-3</v>
      </c>
      <c r="G212" s="634"/>
      <c r="H212" s="467">
        <f>'SL-Det'!E212</f>
        <v>476.1904761904762</v>
      </c>
      <c r="I212" s="231">
        <f>Leach!F212</f>
        <v>4.9827908479632588E-2</v>
      </c>
      <c r="J212" s="231">
        <f>Leach!I212</f>
        <v>2.8900186918186899E-2</v>
      </c>
      <c r="K212" s="231" t="str">
        <f>Leach!L212</f>
        <v>na</v>
      </c>
      <c r="L212" s="476">
        <f>Leach!G212</f>
        <v>2.758333333333334E-3</v>
      </c>
      <c r="M212" s="476">
        <f>Leach!J212</f>
        <v>1.5998333333333335E-3</v>
      </c>
      <c r="N212" s="476" t="str">
        <f>Leach!M212</f>
        <v>na</v>
      </c>
      <c r="O212" s="485" t="str">
        <f>'SD-Det'!Z212</f>
        <v>na</v>
      </c>
      <c r="P212" s="494" t="str">
        <f>'SL-Det'!I212</f>
        <v>na</v>
      </c>
      <c r="Q212" s="975" t="s">
        <v>232</v>
      </c>
      <c r="S212" s="832" t="str">
        <f t="shared" si="560"/>
        <v/>
      </c>
      <c r="T212" s="366" t="str">
        <f t="shared" si="561"/>
        <v/>
      </c>
      <c r="U212" s="366" t="str">
        <f t="shared" si="562"/>
        <v>X</v>
      </c>
      <c r="V212" s="366" t="str">
        <f t="shared" si="563"/>
        <v/>
      </c>
      <c r="W212" s="366" t="str">
        <f t="shared" si="564"/>
        <v/>
      </c>
      <c r="X212" s="366" t="str">
        <f t="shared" si="565"/>
        <v/>
      </c>
      <c r="Y212" s="989" t="str">
        <f t="shared" si="566"/>
        <v/>
      </c>
      <c r="Z212" s="832" t="str">
        <f t="shared" si="567"/>
        <v/>
      </c>
      <c r="AA212" s="366" t="str">
        <f t="shared" si="568"/>
        <v/>
      </c>
      <c r="AB212" s="366" t="str">
        <f t="shared" si="569"/>
        <v>X</v>
      </c>
      <c r="AC212" s="366" t="str">
        <f t="shared" si="570"/>
        <v/>
      </c>
      <c r="AD212" s="366" t="str">
        <f t="shared" si="571"/>
        <v/>
      </c>
      <c r="AE212" s="366" t="str">
        <f t="shared" si="572"/>
        <v/>
      </c>
      <c r="AF212" s="833" t="str">
        <f t="shared" si="573"/>
        <v/>
      </c>
      <c r="AG212" s="832" t="str">
        <f t="shared" si="574"/>
        <v/>
      </c>
      <c r="AH212" s="366" t="str">
        <f t="shared" si="575"/>
        <v>X</v>
      </c>
      <c r="AI212" s="366" t="str">
        <f t="shared" si="576"/>
        <v/>
      </c>
      <c r="AJ212" s="366" t="str">
        <f t="shared" si="577"/>
        <v/>
      </c>
      <c r="AK212" s="366" t="str">
        <f t="shared" si="578"/>
        <v/>
      </c>
      <c r="AL212" s="833" t="str">
        <f t="shared" si="579"/>
        <v/>
      </c>
      <c r="AM212" s="832" t="str">
        <f t="shared" si="580"/>
        <v/>
      </c>
      <c r="AN212" s="366" t="str">
        <f t="shared" si="581"/>
        <v>X</v>
      </c>
      <c r="AO212" s="366" t="str">
        <f t="shared" si="582"/>
        <v/>
      </c>
      <c r="AP212" s="366" t="str">
        <f t="shared" si="583"/>
        <v/>
      </c>
      <c r="AQ212" s="366" t="str">
        <f t="shared" si="584"/>
        <v/>
      </c>
      <c r="AR212" s="833" t="str">
        <f t="shared" si="585"/>
        <v/>
      </c>
      <c r="AT212" s="1062"/>
      <c r="AY212" s="4"/>
    </row>
    <row r="213" spans="1:51" ht="13.9" customHeight="1" x14ac:dyDescent="0.25">
      <c r="A213" s="846">
        <f>Chem!A213</f>
        <v>211</v>
      </c>
      <c r="B213" s="951" t="str">
        <f>Chem!B213</f>
        <v>Tetrahydrofuran</v>
      </c>
      <c r="C213" s="946">
        <f t="shared" si="558"/>
        <v>30.376900310590933</v>
      </c>
      <c r="D213" s="463">
        <f t="shared" si="559"/>
        <v>2.1417600000000001</v>
      </c>
      <c r="E213" s="634">
        <f t="shared" si="504"/>
        <v>72000</v>
      </c>
      <c r="F213" s="634">
        <f t="shared" si="505"/>
        <v>72000</v>
      </c>
      <c r="G213" s="634"/>
      <c r="H213" s="467">
        <f>'SL-Det'!E213</f>
        <v>72000</v>
      </c>
      <c r="I213" s="231">
        <f>Leach!F213</f>
        <v>30.376900310590933</v>
      </c>
      <c r="J213" s="231" t="str">
        <f>Leach!I213</f>
        <v>na</v>
      </c>
      <c r="K213" s="231" t="str">
        <f>Leach!L213</f>
        <v>na</v>
      </c>
      <c r="L213" s="476">
        <f>Leach!G213</f>
        <v>2.1417600000000001</v>
      </c>
      <c r="M213" s="476" t="str">
        <f>Leach!J213</f>
        <v>na</v>
      </c>
      <c r="N213" s="476" t="str">
        <f>Leach!M213</f>
        <v>na</v>
      </c>
      <c r="O213" s="485" t="str">
        <f>'SD-Det'!Z213</f>
        <v>na</v>
      </c>
      <c r="P213" s="494" t="str">
        <f>'SL-Det'!I213</f>
        <v>na</v>
      </c>
      <c r="Q213" s="975" t="s">
        <v>232</v>
      </c>
      <c r="S213" s="832" t="str">
        <f t="shared" ref="S213" si="638">IF($C213="na","",IF($C213=H213,"X",""))</f>
        <v/>
      </c>
      <c r="T213" s="366" t="str">
        <f t="shared" ref="T213" si="639">IF($C213="na","",IF($C213=I213,"X",""))</f>
        <v>X</v>
      </c>
      <c r="U213" s="366" t="str">
        <f t="shared" ref="U213" si="640">IF($C213="na","",IF($C213=J213,"X",""))</f>
        <v/>
      </c>
      <c r="V213" s="366" t="str">
        <f t="shared" ref="V213" si="641">IF($C213="na","",IF($C213=K213,"X",""))</f>
        <v/>
      </c>
      <c r="W213" s="366" t="str">
        <f t="shared" ref="W213" si="642">IF($C213="na","",IF($C213=O213,"X",""))</f>
        <v/>
      </c>
      <c r="X213" s="366" t="str">
        <f t="shared" ref="X213" si="643">IF($C213="na","",IF($C213=P213,"X",""))</f>
        <v/>
      </c>
      <c r="Y213" s="989" t="str">
        <f t="shared" ref="Y213" si="644">IF($C213="na","",IF($C213=Q213,"X",""))</f>
        <v/>
      </c>
      <c r="Z213" s="832" t="str">
        <f t="shared" ref="Z213" si="645">IF($D213="na","",IF($D213=H213,"X",""))</f>
        <v/>
      </c>
      <c r="AA213" s="366" t="str">
        <f t="shared" ref="AA213" si="646">IF($D213="na","",IF($D213=L213,"X",""))</f>
        <v>X</v>
      </c>
      <c r="AB213" s="366" t="str">
        <f t="shared" ref="AB213" si="647">IF($D213="na","",IF($D213=M213,"X",""))</f>
        <v/>
      </c>
      <c r="AC213" s="366" t="str">
        <f t="shared" ref="AC213" si="648">IF($D213="na","",IF($D213=N213,"X",""))</f>
        <v/>
      </c>
      <c r="AD213" s="366" t="str">
        <f t="shared" ref="AD213" si="649">IF($D213="na","",IF($D213=O213,"X",""))</f>
        <v/>
      </c>
      <c r="AE213" s="366" t="str">
        <f t="shared" ref="AE213" si="650">IF($D213="na","",IF($D213=P213,"X",""))</f>
        <v/>
      </c>
      <c r="AF213" s="833" t="str">
        <f t="shared" ref="AF213" si="651">IF($D213="na","",IF($D213=Q213,"X",""))</f>
        <v/>
      </c>
      <c r="AG213" s="832" t="str">
        <f t="shared" ref="AG213" si="652">IF($E213="na","",IF($E213=H213,"X",""))</f>
        <v>X</v>
      </c>
      <c r="AH213" s="366" t="str">
        <f t="shared" ref="AH213" si="653">IF($E213="na","",IF($E213=J213,"X",""))</f>
        <v/>
      </c>
      <c r="AI213" s="366" t="str">
        <f t="shared" ref="AI213" si="654">IF($E213="na","",IF($E213=K213,"X",""))</f>
        <v/>
      </c>
      <c r="AJ213" s="366" t="str">
        <f t="shared" ref="AJ213" si="655">IF($E213="na","",IF($E213=O213,"X",""))</f>
        <v/>
      </c>
      <c r="AK213" s="366" t="str">
        <f t="shared" ref="AK213" si="656">IF($E213="na","",IF($E213=P213,"X",""))</f>
        <v/>
      </c>
      <c r="AL213" s="833" t="str">
        <f t="shared" ref="AL213" si="657">IF($E213="na","",IF($E213=Q213,"X",""))</f>
        <v/>
      </c>
      <c r="AM213" s="832" t="str">
        <f t="shared" ref="AM213" si="658">IF($F213="na","",IF($F213=H213,"X",""))</f>
        <v>X</v>
      </c>
      <c r="AN213" s="366" t="str">
        <f t="shared" ref="AN213" si="659">IF($F213="na","",IF($F213=M213,"X",""))</f>
        <v/>
      </c>
      <c r="AO213" s="366" t="str">
        <f t="shared" ref="AO213" si="660">IF($F213="na","",IF($F213=N213,"X",""))</f>
        <v/>
      </c>
      <c r="AP213" s="366" t="str">
        <f t="shared" ref="AP213" si="661">IF($F213="na","",IF($F213=O213,"X",""))</f>
        <v/>
      </c>
      <c r="AQ213" s="366" t="str">
        <f t="shared" ref="AQ213" si="662">IF($F213="na","",IF($F213=P213,"X",""))</f>
        <v/>
      </c>
      <c r="AR213" s="833" t="str">
        <f t="shared" ref="AR213" si="663">IF($F213="na","",IF($F213=Q213,"X",""))</f>
        <v/>
      </c>
      <c r="AT213" s="1062"/>
      <c r="AY213" s="4"/>
    </row>
    <row r="214" spans="1:51" ht="13.9" customHeight="1" x14ac:dyDescent="0.25">
      <c r="A214" s="846">
        <f>Chem!A214</f>
        <v>212</v>
      </c>
      <c r="B214" s="951" t="str">
        <f>Chem!B214</f>
        <v>Toluene</v>
      </c>
      <c r="C214" s="946">
        <f t="shared" si="558"/>
        <v>0.71986160729018889</v>
      </c>
      <c r="D214" s="463">
        <f t="shared" si="559"/>
        <v>4.3520000000000003E-2</v>
      </c>
      <c r="E214" s="634">
        <f t="shared" si="504"/>
        <v>0.71986160729018889</v>
      </c>
      <c r="F214" s="634">
        <f t="shared" si="505"/>
        <v>4.3520000000000003E-2</v>
      </c>
      <c r="G214" s="634"/>
      <c r="H214" s="467">
        <f>'SL-Det'!E214</f>
        <v>6400</v>
      </c>
      <c r="I214" s="231">
        <f>Leach!F214</f>
        <v>4.5167787124090282</v>
      </c>
      <c r="J214" s="231">
        <f>Leach!I214</f>
        <v>0.71986160729018889</v>
      </c>
      <c r="K214" s="231" t="str">
        <f>Leach!L214</f>
        <v>na</v>
      </c>
      <c r="L214" s="476">
        <f>Leach!G214</f>
        <v>0.27306666666666668</v>
      </c>
      <c r="M214" s="476">
        <f>Leach!J214</f>
        <v>4.3520000000000003E-2</v>
      </c>
      <c r="N214" s="476" t="str">
        <f>Leach!M214</f>
        <v>na</v>
      </c>
      <c r="O214" s="485" t="str">
        <f>'SD-Det'!Z214</f>
        <v>na</v>
      </c>
      <c r="P214" s="494">
        <f>'SL-Det'!I214</f>
        <v>200</v>
      </c>
      <c r="Q214" s="975" t="s">
        <v>232</v>
      </c>
      <c r="S214" s="832" t="str">
        <f t="shared" si="560"/>
        <v/>
      </c>
      <c r="T214" s="366" t="str">
        <f t="shared" si="561"/>
        <v/>
      </c>
      <c r="U214" s="366" t="str">
        <f t="shared" si="562"/>
        <v>X</v>
      </c>
      <c r="V214" s="366" t="str">
        <f t="shared" si="563"/>
        <v/>
      </c>
      <c r="W214" s="366" t="str">
        <f t="shared" si="564"/>
        <v/>
      </c>
      <c r="X214" s="366" t="str">
        <f t="shared" si="565"/>
        <v/>
      </c>
      <c r="Y214" s="989" t="str">
        <f t="shared" si="566"/>
        <v/>
      </c>
      <c r="Z214" s="832" t="str">
        <f t="shared" si="567"/>
        <v/>
      </c>
      <c r="AA214" s="366" t="str">
        <f t="shared" si="568"/>
        <v/>
      </c>
      <c r="AB214" s="366" t="str">
        <f t="shared" si="569"/>
        <v>X</v>
      </c>
      <c r="AC214" s="366" t="str">
        <f t="shared" si="570"/>
        <v/>
      </c>
      <c r="AD214" s="366" t="str">
        <f t="shared" si="571"/>
        <v/>
      </c>
      <c r="AE214" s="366" t="str">
        <f t="shared" si="572"/>
        <v/>
      </c>
      <c r="AF214" s="833" t="str">
        <f t="shared" si="573"/>
        <v/>
      </c>
      <c r="AG214" s="832" t="str">
        <f t="shared" si="574"/>
        <v/>
      </c>
      <c r="AH214" s="366" t="str">
        <f t="shared" si="575"/>
        <v>X</v>
      </c>
      <c r="AI214" s="366" t="str">
        <f t="shared" si="576"/>
        <v/>
      </c>
      <c r="AJ214" s="366" t="str">
        <f t="shared" si="577"/>
        <v/>
      </c>
      <c r="AK214" s="366" t="str">
        <f t="shared" si="578"/>
        <v/>
      </c>
      <c r="AL214" s="833" t="str">
        <f t="shared" si="579"/>
        <v/>
      </c>
      <c r="AM214" s="832" t="str">
        <f t="shared" si="580"/>
        <v/>
      </c>
      <c r="AN214" s="366" t="str">
        <f t="shared" si="581"/>
        <v>X</v>
      </c>
      <c r="AO214" s="366" t="str">
        <f t="shared" si="582"/>
        <v/>
      </c>
      <c r="AP214" s="366" t="str">
        <f t="shared" si="583"/>
        <v/>
      </c>
      <c r="AQ214" s="366" t="str">
        <f t="shared" si="584"/>
        <v/>
      </c>
      <c r="AR214" s="833" t="str">
        <f t="shared" si="585"/>
        <v/>
      </c>
      <c r="AT214" s="1062"/>
      <c r="AY214" s="4"/>
    </row>
    <row r="215" spans="1:51" ht="13.9" customHeight="1" x14ac:dyDescent="0.25">
      <c r="A215" s="846">
        <f>Chem!A215</f>
        <v>213</v>
      </c>
      <c r="B215" s="951" t="str">
        <f>Chem!B215</f>
        <v>1,2,3-Trichlorobenzene</v>
      </c>
      <c r="C215" s="946">
        <f t="shared" si="558"/>
        <v>0.20243119001445026</v>
      </c>
      <c r="D215" s="463">
        <f t="shared" si="559"/>
        <v>1.0666666666666668E-2</v>
      </c>
      <c r="E215" s="634">
        <f t="shared" si="504"/>
        <v>20</v>
      </c>
      <c r="F215" s="634">
        <f t="shared" si="505"/>
        <v>20</v>
      </c>
      <c r="G215" s="634"/>
      <c r="H215" s="467">
        <f>'SL-Det'!E215</f>
        <v>64</v>
      </c>
      <c r="I215" s="231">
        <f>Leach!F215</f>
        <v>0.20243119001445026</v>
      </c>
      <c r="J215" s="231" t="str">
        <f>Leach!I215</f>
        <v>na</v>
      </c>
      <c r="K215" s="231" t="str">
        <f>Leach!L215</f>
        <v>na</v>
      </c>
      <c r="L215" s="476">
        <f>Leach!G215</f>
        <v>1.0666666666666668E-2</v>
      </c>
      <c r="M215" s="476" t="str">
        <f>Leach!J215</f>
        <v>na</v>
      </c>
      <c r="N215" s="476" t="str">
        <f>Leach!M215</f>
        <v>na</v>
      </c>
      <c r="O215" s="485" t="str">
        <f>'SD-Det'!Z215</f>
        <v>na</v>
      </c>
      <c r="P215" s="494">
        <f>'SL-Det'!I215</f>
        <v>20</v>
      </c>
      <c r="Q215" s="975" t="s">
        <v>232</v>
      </c>
      <c r="S215" s="832" t="str">
        <f t="shared" ref="S215:S228" si="664">IF($C215="na","",IF($C215=H215,"X",""))</f>
        <v/>
      </c>
      <c r="T215" s="366" t="str">
        <f t="shared" ref="T215:T228" si="665">IF($C215="na","",IF($C215=I215,"X",""))</f>
        <v>X</v>
      </c>
      <c r="U215" s="366" t="str">
        <f t="shared" ref="U215:U228" si="666">IF($C215="na","",IF($C215=J215,"X",""))</f>
        <v/>
      </c>
      <c r="V215" s="366" t="str">
        <f t="shared" ref="V215:V228" si="667">IF($C215="na","",IF($C215=K215,"X",""))</f>
        <v/>
      </c>
      <c r="W215" s="366" t="str">
        <f t="shared" ref="W215:W228" si="668">IF($C215="na","",IF($C215=O215,"X",""))</f>
        <v/>
      </c>
      <c r="X215" s="366" t="str">
        <f t="shared" ref="X215:X228" si="669">IF($C215="na","",IF($C215=P215,"X",""))</f>
        <v/>
      </c>
      <c r="Y215" s="989" t="str">
        <f t="shared" ref="Y215:Y228" si="670">IF($C215="na","",IF($C215=Q215,"X",""))</f>
        <v/>
      </c>
      <c r="Z215" s="832" t="str">
        <f t="shared" ref="Z215:Z228" si="671">IF($D215="na","",IF($D215=H215,"X",""))</f>
        <v/>
      </c>
      <c r="AA215" s="366" t="str">
        <f t="shared" ref="AA215:AA228" si="672">IF($D215="na","",IF($D215=L215,"X",""))</f>
        <v>X</v>
      </c>
      <c r="AB215" s="366" t="str">
        <f t="shared" ref="AB215:AB228" si="673">IF($D215="na","",IF($D215=M215,"X",""))</f>
        <v/>
      </c>
      <c r="AC215" s="366" t="str">
        <f t="shared" ref="AC215:AC228" si="674">IF($D215="na","",IF($D215=N215,"X",""))</f>
        <v/>
      </c>
      <c r="AD215" s="366" t="str">
        <f t="shared" ref="AD215:AD228" si="675">IF($D215="na","",IF($D215=O215,"X",""))</f>
        <v/>
      </c>
      <c r="AE215" s="366" t="str">
        <f t="shared" ref="AE215:AE228" si="676">IF($D215="na","",IF($D215=P215,"X",""))</f>
        <v/>
      </c>
      <c r="AF215" s="833" t="str">
        <f t="shared" ref="AF215:AF228" si="677">IF($D215="na","",IF($D215=Q215,"X",""))</f>
        <v/>
      </c>
      <c r="AG215" s="832" t="str">
        <f t="shared" ref="AG215:AG228" si="678">IF($E215="na","",IF($E215=H215,"X",""))</f>
        <v/>
      </c>
      <c r="AH215" s="366" t="str">
        <f t="shared" ref="AH215:AH228" si="679">IF($E215="na","",IF($E215=J215,"X",""))</f>
        <v/>
      </c>
      <c r="AI215" s="366" t="str">
        <f t="shared" ref="AI215:AI228" si="680">IF($E215="na","",IF($E215=K215,"X",""))</f>
        <v/>
      </c>
      <c r="AJ215" s="366" t="str">
        <f t="shared" ref="AJ215:AJ228" si="681">IF($E215="na","",IF($E215=O215,"X",""))</f>
        <v/>
      </c>
      <c r="AK215" s="366" t="str">
        <f t="shared" ref="AK215:AK228" si="682">IF($E215="na","",IF($E215=P215,"X",""))</f>
        <v>X</v>
      </c>
      <c r="AL215" s="833" t="str">
        <f t="shared" ref="AL215:AL228" si="683">IF($E215="na","",IF($E215=Q215,"X",""))</f>
        <v/>
      </c>
      <c r="AM215" s="832" t="str">
        <f t="shared" ref="AM215:AM228" si="684">IF($F215="na","",IF($F215=H215,"X",""))</f>
        <v/>
      </c>
      <c r="AN215" s="366" t="str">
        <f t="shared" ref="AN215:AN228" si="685">IF($F215="na","",IF($F215=M215,"X",""))</f>
        <v/>
      </c>
      <c r="AO215" s="366" t="str">
        <f t="shared" ref="AO215:AO228" si="686">IF($F215="na","",IF($F215=N215,"X",""))</f>
        <v/>
      </c>
      <c r="AP215" s="366" t="str">
        <f t="shared" ref="AP215:AP228" si="687">IF($F215="na","",IF($F215=O215,"X",""))</f>
        <v/>
      </c>
      <c r="AQ215" s="366" t="str">
        <f t="shared" ref="AQ215:AQ228" si="688">IF($F215="na","",IF($F215=P215,"X",""))</f>
        <v>X</v>
      </c>
      <c r="AR215" s="833" t="str">
        <f t="shared" ref="AR215:AR228" si="689">IF($F215="na","",IF($F215=Q215,"X",""))</f>
        <v/>
      </c>
      <c r="AT215" s="1062"/>
      <c r="AY215" s="4"/>
    </row>
    <row r="216" spans="1:51" ht="13.9" customHeight="1" x14ac:dyDescent="0.25">
      <c r="A216" s="846">
        <f>Chem!A216</f>
        <v>214</v>
      </c>
      <c r="B216" s="951" t="str">
        <f>Chem!B216</f>
        <v>1,1,1-Trichloroethane</v>
      </c>
      <c r="C216" s="946">
        <f t="shared" ref="C216:C239" si="690">IF(MIN($H216,$I216:$K216,$O216,$P216)=0,"na",IF($Q216="na",MIN($H216,$I216:$K216,$O216,$P216),IF($Q216&gt;MIN($H216,$I216:$K216,$O216,$P216),$Q216,MIN($H216,$I216:$K216,$O216,$P216))))</f>
        <v>1.4856462468695433</v>
      </c>
      <c r="D216" s="463">
        <f t="shared" ref="D216:D239" si="691">IF(MIN($H216,$L216:$N216,$O216,$P216)=0,"na",IF($Q216="na",MIN($H216,$L216:$N216,$O216,$P216),IF($Q216&gt;MIN($H216,$L216:$N216,$O216,$P216),$Q216,MIN($H216,$L216:$N216,$O216,$P216))))</f>
        <v>8.4333333333333343E-2</v>
      </c>
      <c r="E216" s="634">
        <f t="shared" ref="E216:E239" si="692">IF(MIN($H216,$J216:$K216,$O216,$P216)=0,"na",IF($Q216="na",MIN($H216,$J216:$K216,$O216,$P216),IF($Q216&gt;MIN($H216,$J216:$K216,$O216,$P216),$Q216,MIN($H216,$J216:$K216,$O216,$P216))))</f>
        <v>371.41156171738584</v>
      </c>
      <c r="F216" s="634">
        <f t="shared" ref="F216:F239" si="693">IF(MIN($H216,$M216:$P216)=0,"na",IF($Q216="na",MIN($H216,$M216:$P216),IF($Q216&gt;MIN($H216,$M216:$P216),$Q216,MIN($H216,$M216:$P216))))</f>
        <v>21.083333333333336</v>
      </c>
      <c r="G216" s="634"/>
      <c r="H216" s="467">
        <f>'SL-Det'!E216</f>
        <v>160000</v>
      </c>
      <c r="I216" s="231">
        <f>Leach!F216</f>
        <v>1.4856462468695433</v>
      </c>
      <c r="J216" s="231">
        <f>Leach!I216</f>
        <v>371.41156171738584</v>
      </c>
      <c r="K216" s="231" t="str">
        <f>Leach!L216</f>
        <v>na</v>
      </c>
      <c r="L216" s="476">
        <f>Leach!G216</f>
        <v>8.4333333333333343E-2</v>
      </c>
      <c r="M216" s="476">
        <f>Leach!J216</f>
        <v>21.083333333333336</v>
      </c>
      <c r="N216" s="476" t="str">
        <f>Leach!M216</f>
        <v>na</v>
      </c>
      <c r="O216" s="485" t="str">
        <f>'SD-Det'!Z216</f>
        <v>na</v>
      </c>
      <c r="P216" s="494" t="str">
        <f>'SL-Det'!I216</f>
        <v>na</v>
      </c>
      <c r="Q216" s="975" t="s">
        <v>232</v>
      </c>
      <c r="S216" s="832" t="str">
        <f t="shared" si="664"/>
        <v/>
      </c>
      <c r="T216" s="366" t="str">
        <f t="shared" si="665"/>
        <v>X</v>
      </c>
      <c r="U216" s="366" t="str">
        <f t="shared" si="666"/>
        <v/>
      </c>
      <c r="V216" s="366" t="str">
        <f t="shared" si="667"/>
        <v/>
      </c>
      <c r="W216" s="366" t="str">
        <f t="shared" si="668"/>
        <v/>
      </c>
      <c r="X216" s="366" t="str">
        <f t="shared" si="669"/>
        <v/>
      </c>
      <c r="Y216" s="989" t="str">
        <f t="shared" si="670"/>
        <v/>
      </c>
      <c r="Z216" s="832" t="str">
        <f t="shared" si="671"/>
        <v/>
      </c>
      <c r="AA216" s="366" t="str">
        <f t="shared" si="672"/>
        <v>X</v>
      </c>
      <c r="AB216" s="366" t="str">
        <f t="shared" si="673"/>
        <v/>
      </c>
      <c r="AC216" s="366" t="str">
        <f t="shared" si="674"/>
        <v/>
      </c>
      <c r="AD216" s="366" t="str">
        <f t="shared" si="675"/>
        <v/>
      </c>
      <c r="AE216" s="366" t="str">
        <f t="shared" si="676"/>
        <v/>
      </c>
      <c r="AF216" s="833" t="str">
        <f t="shared" si="677"/>
        <v/>
      </c>
      <c r="AG216" s="832" t="str">
        <f t="shared" si="678"/>
        <v/>
      </c>
      <c r="AH216" s="366" t="str">
        <f t="shared" si="679"/>
        <v>X</v>
      </c>
      <c r="AI216" s="366" t="str">
        <f t="shared" si="680"/>
        <v/>
      </c>
      <c r="AJ216" s="366" t="str">
        <f t="shared" si="681"/>
        <v/>
      </c>
      <c r="AK216" s="366" t="str">
        <f t="shared" si="682"/>
        <v/>
      </c>
      <c r="AL216" s="833" t="str">
        <f t="shared" si="683"/>
        <v/>
      </c>
      <c r="AM216" s="832" t="str">
        <f t="shared" si="684"/>
        <v/>
      </c>
      <c r="AN216" s="366" t="str">
        <f t="shared" si="685"/>
        <v>X</v>
      </c>
      <c r="AO216" s="366" t="str">
        <f t="shared" si="686"/>
        <v/>
      </c>
      <c r="AP216" s="366" t="str">
        <f t="shared" si="687"/>
        <v/>
      </c>
      <c r="AQ216" s="366" t="str">
        <f t="shared" si="688"/>
        <v/>
      </c>
      <c r="AR216" s="833" t="str">
        <f t="shared" si="689"/>
        <v/>
      </c>
      <c r="AT216" s="1062"/>
      <c r="AY216" s="4"/>
    </row>
    <row r="217" spans="1:51" ht="13.9" customHeight="1" x14ac:dyDescent="0.25">
      <c r="A217" s="846">
        <f>Chem!A217</f>
        <v>215</v>
      </c>
      <c r="B217" s="951" t="str">
        <f>Chem!B217</f>
        <v>1,1,2-Trichloroethane</v>
      </c>
      <c r="C217" s="946">
        <f t="shared" si="690"/>
        <v>4.9778272896702528E-3</v>
      </c>
      <c r="D217" s="463">
        <f t="shared" si="691"/>
        <v>3.2550000000000005E-4</v>
      </c>
      <c r="E217" s="634">
        <f t="shared" si="692"/>
        <v>4.9778272896702528E-3</v>
      </c>
      <c r="F217" s="634">
        <f t="shared" si="693"/>
        <v>3.2550000000000005E-4</v>
      </c>
      <c r="G217" s="634"/>
      <c r="H217" s="467">
        <f>'SL-Det'!E217</f>
        <v>17.543859649122805</v>
      </c>
      <c r="I217" s="231">
        <f>Leach!F217</f>
        <v>1.6592757632234174E-2</v>
      </c>
      <c r="J217" s="231">
        <f>Leach!I217</f>
        <v>4.9778272896702528E-3</v>
      </c>
      <c r="K217" s="231" t="str">
        <f>Leach!L217</f>
        <v>na</v>
      </c>
      <c r="L217" s="476">
        <f>Leach!G217</f>
        <v>1.085E-3</v>
      </c>
      <c r="M217" s="476">
        <f>Leach!J217</f>
        <v>3.2550000000000005E-4</v>
      </c>
      <c r="N217" s="476" t="str">
        <f>Leach!M217</f>
        <v>na</v>
      </c>
      <c r="O217" s="485" t="str">
        <f>'SD-Det'!Z217</f>
        <v>na</v>
      </c>
      <c r="P217" s="494" t="str">
        <f>'SL-Det'!I217</f>
        <v>na</v>
      </c>
      <c r="Q217" s="975" t="s">
        <v>232</v>
      </c>
      <c r="S217" s="832" t="str">
        <f t="shared" si="664"/>
        <v/>
      </c>
      <c r="T217" s="366" t="str">
        <f t="shared" si="665"/>
        <v/>
      </c>
      <c r="U217" s="366" t="str">
        <f t="shared" si="666"/>
        <v>X</v>
      </c>
      <c r="V217" s="366" t="str">
        <f t="shared" si="667"/>
        <v/>
      </c>
      <c r="W217" s="366" t="str">
        <f t="shared" si="668"/>
        <v/>
      </c>
      <c r="X217" s="366" t="str">
        <f t="shared" si="669"/>
        <v/>
      </c>
      <c r="Y217" s="989" t="str">
        <f t="shared" si="670"/>
        <v/>
      </c>
      <c r="Z217" s="832" t="str">
        <f t="shared" si="671"/>
        <v/>
      </c>
      <c r="AA217" s="366" t="str">
        <f t="shared" si="672"/>
        <v/>
      </c>
      <c r="AB217" s="366" t="str">
        <f t="shared" si="673"/>
        <v>X</v>
      </c>
      <c r="AC217" s="366" t="str">
        <f t="shared" si="674"/>
        <v/>
      </c>
      <c r="AD217" s="366" t="str">
        <f t="shared" si="675"/>
        <v/>
      </c>
      <c r="AE217" s="366" t="str">
        <f t="shared" si="676"/>
        <v/>
      </c>
      <c r="AF217" s="833" t="str">
        <f t="shared" si="677"/>
        <v/>
      </c>
      <c r="AG217" s="832" t="str">
        <f t="shared" si="678"/>
        <v/>
      </c>
      <c r="AH217" s="366" t="str">
        <f t="shared" si="679"/>
        <v>X</v>
      </c>
      <c r="AI217" s="366" t="str">
        <f t="shared" si="680"/>
        <v/>
      </c>
      <c r="AJ217" s="366" t="str">
        <f t="shared" si="681"/>
        <v/>
      </c>
      <c r="AK217" s="366" t="str">
        <f t="shared" si="682"/>
        <v/>
      </c>
      <c r="AL217" s="833" t="str">
        <f t="shared" si="683"/>
        <v/>
      </c>
      <c r="AM217" s="832" t="str">
        <f t="shared" si="684"/>
        <v/>
      </c>
      <c r="AN217" s="366" t="str">
        <f t="shared" si="685"/>
        <v>X</v>
      </c>
      <c r="AO217" s="366" t="str">
        <f t="shared" si="686"/>
        <v/>
      </c>
      <c r="AP217" s="366" t="str">
        <f t="shared" si="687"/>
        <v/>
      </c>
      <c r="AQ217" s="366" t="str">
        <f t="shared" si="688"/>
        <v/>
      </c>
      <c r="AR217" s="833" t="str">
        <f t="shared" si="689"/>
        <v/>
      </c>
      <c r="AT217" s="1062"/>
      <c r="AY217" s="4"/>
    </row>
    <row r="218" spans="1:51" ht="13.9" customHeight="1" x14ac:dyDescent="0.25">
      <c r="A218" s="846">
        <f>Chem!A218</f>
        <v>216</v>
      </c>
      <c r="B218" s="951" t="str">
        <f>Chem!B218</f>
        <v>Trichloroethylene (TCE)</v>
      </c>
      <c r="C218" s="946">
        <f t="shared" si="690"/>
        <v>4.3979389324836238E-3</v>
      </c>
      <c r="D218" s="463">
        <f t="shared" si="691"/>
        <v>2.6646666666666667E-4</v>
      </c>
      <c r="E218" s="634">
        <f t="shared" si="692"/>
        <v>4.3979389324836238E-3</v>
      </c>
      <c r="F218" s="634">
        <f t="shared" si="693"/>
        <v>2.6646666666666667E-4</v>
      </c>
      <c r="G218" s="634"/>
      <c r="H218" s="467">
        <f>'SL-Det'!E218</f>
        <v>12</v>
      </c>
      <c r="I218" s="231">
        <f>Leach!F218</f>
        <v>2.5131079614192139E-2</v>
      </c>
      <c r="J218" s="231">
        <f>Leach!I218</f>
        <v>4.3979389324836238E-3</v>
      </c>
      <c r="K218" s="231" t="str">
        <f>Leach!L218</f>
        <v>na</v>
      </c>
      <c r="L218" s="476">
        <f>Leach!G218</f>
        <v>1.522666666666667E-3</v>
      </c>
      <c r="M218" s="476">
        <f>Leach!J218</f>
        <v>2.6646666666666667E-4</v>
      </c>
      <c r="N218" s="476" t="str">
        <f>Leach!M218</f>
        <v>na</v>
      </c>
      <c r="O218" s="485" t="str">
        <f>'SD-Det'!Z218</f>
        <v>na</v>
      </c>
      <c r="P218" s="494" t="str">
        <f>'SL-Det'!I218</f>
        <v>na</v>
      </c>
      <c r="Q218" s="975" t="s">
        <v>232</v>
      </c>
      <c r="S218" s="832" t="str">
        <f t="shared" si="664"/>
        <v/>
      </c>
      <c r="T218" s="366" t="str">
        <f t="shared" si="665"/>
        <v/>
      </c>
      <c r="U218" s="366" t="str">
        <f t="shared" si="666"/>
        <v>X</v>
      </c>
      <c r="V218" s="366" t="str">
        <f t="shared" si="667"/>
        <v/>
      </c>
      <c r="W218" s="366" t="str">
        <f t="shared" si="668"/>
        <v/>
      </c>
      <c r="X218" s="366" t="str">
        <f t="shared" si="669"/>
        <v/>
      </c>
      <c r="Y218" s="989" t="str">
        <f t="shared" si="670"/>
        <v/>
      </c>
      <c r="Z218" s="832" t="str">
        <f t="shared" si="671"/>
        <v/>
      </c>
      <c r="AA218" s="366" t="str">
        <f t="shared" si="672"/>
        <v/>
      </c>
      <c r="AB218" s="366" t="str">
        <f t="shared" si="673"/>
        <v>X</v>
      </c>
      <c r="AC218" s="366" t="str">
        <f t="shared" si="674"/>
        <v/>
      </c>
      <c r="AD218" s="366" t="str">
        <f t="shared" si="675"/>
        <v/>
      </c>
      <c r="AE218" s="366" t="str">
        <f t="shared" si="676"/>
        <v/>
      </c>
      <c r="AF218" s="833" t="str">
        <f t="shared" si="677"/>
        <v/>
      </c>
      <c r="AG218" s="832" t="str">
        <f t="shared" si="678"/>
        <v/>
      </c>
      <c r="AH218" s="366" t="str">
        <f t="shared" si="679"/>
        <v>X</v>
      </c>
      <c r="AI218" s="366" t="str">
        <f t="shared" si="680"/>
        <v/>
      </c>
      <c r="AJ218" s="366" t="str">
        <f t="shared" si="681"/>
        <v/>
      </c>
      <c r="AK218" s="366" t="str">
        <f t="shared" si="682"/>
        <v/>
      </c>
      <c r="AL218" s="833" t="str">
        <f t="shared" si="683"/>
        <v/>
      </c>
      <c r="AM218" s="832" t="str">
        <f t="shared" si="684"/>
        <v/>
      </c>
      <c r="AN218" s="366" t="str">
        <f t="shared" si="685"/>
        <v>X</v>
      </c>
      <c r="AO218" s="366" t="str">
        <f t="shared" si="686"/>
        <v/>
      </c>
      <c r="AP218" s="366" t="str">
        <f t="shared" si="687"/>
        <v/>
      </c>
      <c r="AQ218" s="366" t="str">
        <f t="shared" si="688"/>
        <v/>
      </c>
      <c r="AR218" s="833" t="str">
        <f t="shared" si="689"/>
        <v/>
      </c>
      <c r="AT218" s="1062"/>
      <c r="AY218" s="4"/>
    </row>
    <row r="219" spans="1:51" ht="13.9" customHeight="1" x14ac:dyDescent="0.25">
      <c r="A219" s="846">
        <f>Chem!A219</f>
        <v>217</v>
      </c>
      <c r="B219" s="951" t="str">
        <f>Chem!B219</f>
        <v>Trichlorofluoroethane</v>
      </c>
      <c r="C219" s="946" t="str">
        <f t="shared" si="690"/>
        <v>na</v>
      </c>
      <c r="D219" s="463" t="str">
        <f t="shared" si="691"/>
        <v>na</v>
      </c>
      <c r="E219" s="634" t="str">
        <f t="shared" si="692"/>
        <v>na</v>
      </c>
      <c r="F219" s="634" t="str">
        <f t="shared" si="693"/>
        <v>na</v>
      </c>
      <c r="G219" s="634"/>
      <c r="H219" s="467" t="str">
        <f>'SL-Det'!E219</f>
        <v>na</v>
      </c>
      <c r="I219" s="231" t="str">
        <f>Leach!F219</f>
        <v>na</v>
      </c>
      <c r="J219" s="231" t="str">
        <f>Leach!I219</f>
        <v>na</v>
      </c>
      <c r="K219" s="231" t="str">
        <f>Leach!L219</f>
        <v>na</v>
      </c>
      <c r="L219" s="476" t="str">
        <f>Leach!G219</f>
        <v>na</v>
      </c>
      <c r="M219" s="476" t="str">
        <f>Leach!J219</f>
        <v>na</v>
      </c>
      <c r="N219" s="476" t="str">
        <f>Leach!M219</f>
        <v>na</v>
      </c>
      <c r="O219" s="485" t="str">
        <f>'SD-Det'!Z219</f>
        <v>na</v>
      </c>
      <c r="P219" s="494" t="str">
        <f>'SL-Det'!I219</f>
        <v>na</v>
      </c>
      <c r="Q219" s="975" t="s">
        <v>232</v>
      </c>
      <c r="S219" s="832" t="str">
        <f t="shared" si="664"/>
        <v/>
      </c>
      <c r="T219" s="366" t="str">
        <f t="shared" si="665"/>
        <v/>
      </c>
      <c r="U219" s="366" t="str">
        <f t="shared" si="666"/>
        <v/>
      </c>
      <c r="V219" s="366" t="str">
        <f t="shared" si="667"/>
        <v/>
      </c>
      <c r="W219" s="366" t="str">
        <f t="shared" si="668"/>
        <v/>
      </c>
      <c r="X219" s="366" t="str">
        <f t="shared" si="669"/>
        <v/>
      </c>
      <c r="Y219" s="989" t="str">
        <f t="shared" si="670"/>
        <v/>
      </c>
      <c r="Z219" s="832" t="str">
        <f t="shared" si="671"/>
        <v/>
      </c>
      <c r="AA219" s="366" t="str">
        <f t="shared" si="672"/>
        <v/>
      </c>
      <c r="AB219" s="366" t="str">
        <f t="shared" si="673"/>
        <v/>
      </c>
      <c r="AC219" s="366" t="str">
        <f t="shared" si="674"/>
        <v/>
      </c>
      <c r="AD219" s="366" t="str">
        <f t="shared" si="675"/>
        <v/>
      </c>
      <c r="AE219" s="366" t="str">
        <f t="shared" si="676"/>
        <v/>
      </c>
      <c r="AF219" s="833" t="str">
        <f t="shared" si="677"/>
        <v/>
      </c>
      <c r="AG219" s="832" t="str">
        <f t="shared" si="678"/>
        <v/>
      </c>
      <c r="AH219" s="366" t="str">
        <f t="shared" si="679"/>
        <v/>
      </c>
      <c r="AI219" s="366" t="str">
        <f t="shared" si="680"/>
        <v/>
      </c>
      <c r="AJ219" s="366" t="str">
        <f t="shared" si="681"/>
        <v/>
      </c>
      <c r="AK219" s="366" t="str">
        <f t="shared" si="682"/>
        <v/>
      </c>
      <c r="AL219" s="833" t="str">
        <f t="shared" si="683"/>
        <v/>
      </c>
      <c r="AM219" s="832" t="str">
        <f t="shared" si="684"/>
        <v/>
      </c>
      <c r="AN219" s="366" t="str">
        <f t="shared" si="685"/>
        <v/>
      </c>
      <c r="AO219" s="366" t="str">
        <f t="shared" si="686"/>
        <v/>
      </c>
      <c r="AP219" s="366" t="str">
        <f t="shared" si="687"/>
        <v/>
      </c>
      <c r="AQ219" s="366" t="str">
        <f t="shared" si="688"/>
        <v/>
      </c>
      <c r="AR219" s="833" t="str">
        <f t="shared" si="689"/>
        <v/>
      </c>
      <c r="AT219" s="1062"/>
      <c r="AY219" s="4"/>
    </row>
    <row r="220" spans="1:51" ht="13.9" customHeight="1" x14ac:dyDescent="0.25">
      <c r="A220" s="846">
        <f>Chem!A220</f>
        <v>218</v>
      </c>
      <c r="B220" s="951" t="str">
        <f>Chem!B220</f>
        <v>Trichlorofluoromethane</v>
      </c>
      <c r="C220" s="946">
        <f t="shared" si="690"/>
        <v>22.846021200187408</v>
      </c>
      <c r="D220" s="463">
        <f t="shared" si="691"/>
        <v>0.79335999999999995</v>
      </c>
      <c r="E220" s="634">
        <f t="shared" si="692"/>
        <v>24000</v>
      </c>
      <c r="F220" s="634">
        <f t="shared" si="693"/>
        <v>24000</v>
      </c>
      <c r="G220" s="634"/>
      <c r="H220" s="467">
        <f>'SL-Det'!E220</f>
        <v>24000</v>
      </c>
      <c r="I220" s="231">
        <f>Leach!F220</f>
        <v>22.846021200187408</v>
      </c>
      <c r="J220" s="231" t="str">
        <f>Leach!I220</f>
        <v>na</v>
      </c>
      <c r="K220" s="231" t="str">
        <f>Leach!L220</f>
        <v>na</v>
      </c>
      <c r="L220" s="476">
        <f>Leach!G220</f>
        <v>0.79335999999999995</v>
      </c>
      <c r="M220" s="476" t="str">
        <f>Leach!J220</f>
        <v>na</v>
      </c>
      <c r="N220" s="476" t="str">
        <f>Leach!M220</f>
        <v>na</v>
      </c>
      <c r="O220" s="485" t="str">
        <f>'SD-Det'!Z220</f>
        <v>na</v>
      </c>
      <c r="P220" s="494" t="str">
        <f>'SL-Det'!I220</f>
        <v>na</v>
      </c>
      <c r="Q220" s="975" t="s">
        <v>232</v>
      </c>
      <c r="S220" s="832" t="str">
        <f t="shared" si="664"/>
        <v/>
      </c>
      <c r="T220" s="366" t="str">
        <f t="shared" si="665"/>
        <v>X</v>
      </c>
      <c r="U220" s="366" t="str">
        <f t="shared" si="666"/>
        <v/>
      </c>
      <c r="V220" s="366" t="str">
        <f t="shared" si="667"/>
        <v/>
      </c>
      <c r="W220" s="366" t="str">
        <f t="shared" si="668"/>
        <v/>
      </c>
      <c r="X220" s="366" t="str">
        <f t="shared" si="669"/>
        <v/>
      </c>
      <c r="Y220" s="989" t="str">
        <f t="shared" si="670"/>
        <v/>
      </c>
      <c r="Z220" s="832" t="str">
        <f t="shared" si="671"/>
        <v/>
      </c>
      <c r="AA220" s="366" t="str">
        <f t="shared" si="672"/>
        <v>X</v>
      </c>
      <c r="AB220" s="366" t="str">
        <f t="shared" si="673"/>
        <v/>
      </c>
      <c r="AC220" s="366" t="str">
        <f t="shared" si="674"/>
        <v/>
      </c>
      <c r="AD220" s="366" t="str">
        <f t="shared" si="675"/>
        <v/>
      </c>
      <c r="AE220" s="366" t="str">
        <f t="shared" si="676"/>
        <v/>
      </c>
      <c r="AF220" s="833" t="str">
        <f t="shared" si="677"/>
        <v/>
      </c>
      <c r="AG220" s="832" t="str">
        <f t="shared" si="678"/>
        <v>X</v>
      </c>
      <c r="AH220" s="366" t="str">
        <f t="shared" si="679"/>
        <v/>
      </c>
      <c r="AI220" s="366" t="str">
        <f t="shared" si="680"/>
        <v/>
      </c>
      <c r="AJ220" s="366" t="str">
        <f t="shared" si="681"/>
        <v/>
      </c>
      <c r="AK220" s="366" t="str">
        <f t="shared" si="682"/>
        <v/>
      </c>
      <c r="AL220" s="833" t="str">
        <f t="shared" si="683"/>
        <v/>
      </c>
      <c r="AM220" s="832" t="str">
        <f t="shared" si="684"/>
        <v>X</v>
      </c>
      <c r="AN220" s="366" t="str">
        <f t="shared" si="685"/>
        <v/>
      </c>
      <c r="AO220" s="366" t="str">
        <f t="shared" si="686"/>
        <v/>
      </c>
      <c r="AP220" s="366" t="str">
        <f t="shared" si="687"/>
        <v/>
      </c>
      <c r="AQ220" s="366" t="str">
        <f t="shared" si="688"/>
        <v/>
      </c>
      <c r="AR220" s="833" t="str">
        <f t="shared" si="689"/>
        <v/>
      </c>
      <c r="AT220" s="1062"/>
      <c r="AY220" s="4"/>
    </row>
    <row r="221" spans="1:51" ht="13.9" customHeight="1" x14ac:dyDescent="0.25">
      <c r="A221" s="846">
        <f>Chem!A221</f>
        <v>219</v>
      </c>
      <c r="B221" s="951" t="str">
        <f>Chem!B221</f>
        <v>1,2,3-Trichloropropane</v>
      </c>
      <c r="C221" s="946">
        <f t="shared" si="690"/>
        <v>2.4061158574921795E-6</v>
      </c>
      <c r="D221" s="463">
        <f t="shared" si="691"/>
        <v>1.5301333333333334E-7</v>
      </c>
      <c r="E221" s="634">
        <f t="shared" si="692"/>
        <v>6.3E-3</v>
      </c>
      <c r="F221" s="634">
        <f t="shared" si="693"/>
        <v>6.3E-3</v>
      </c>
      <c r="G221" s="634"/>
      <c r="H221" s="467">
        <f>'SL-Det'!E221</f>
        <v>6.3E-3</v>
      </c>
      <c r="I221" s="231">
        <f>Leach!F221</f>
        <v>2.4061158574921795E-6</v>
      </c>
      <c r="J221" s="231" t="str">
        <f>Leach!I221</f>
        <v>na</v>
      </c>
      <c r="K221" s="231" t="str">
        <f>Leach!L221</f>
        <v>na</v>
      </c>
      <c r="L221" s="476">
        <f>Leach!G221</f>
        <v>1.5301333333333334E-7</v>
      </c>
      <c r="M221" s="476" t="str">
        <f>Leach!J221</f>
        <v>na</v>
      </c>
      <c r="N221" s="476" t="str">
        <f>Leach!M221</f>
        <v>na</v>
      </c>
      <c r="O221" s="485" t="str">
        <f>'SD-Det'!Z221</f>
        <v>na</v>
      </c>
      <c r="P221" s="494" t="str">
        <f>'SL-Det'!I221</f>
        <v>na</v>
      </c>
      <c r="Q221" s="975" t="s">
        <v>232</v>
      </c>
      <c r="S221" s="832" t="str">
        <f t="shared" si="664"/>
        <v/>
      </c>
      <c r="T221" s="366" t="str">
        <f t="shared" si="665"/>
        <v>X</v>
      </c>
      <c r="U221" s="366" t="str">
        <f t="shared" si="666"/>
        <v/>
      </c>
      <c r="V221" s="366" t="str">
        <f t="shared" si="667"/>
        <v/>
      </c>
      <c r="W221" s="366" t="str">
        <f t="shared" si="668"/>
        <v/>
      </c>
      <c r="X221" s="366" t="str">
        <f t="shared" si="669"/>
        <v/>
      </c>
      <c r="Y221" s="989" t="str">
        <f t="shared" si="670"/>
        <v/>
      </c>
      <c r="Z221" s="832" t="str">
        <f t="shared" si="671"/>
        <v/>
      </c>
      <c r="AA221" s="366" t="str">
        <f t="shared" si="672"/>
        <v>X</v>
      </c>
      <c r="AB221" s="366" t="str">
        <f t="shared" si="673"/>
        <v/>
      </c>
      <c r="AC221" s="366" t="str">
        <f t="shared" si="674"/>
        <v/>
      </c>
      <c r="AD221" s="366" t="str">
        <f t="shared" si="675"/>
        <v/>
      </c>
      <c r="AE221" s="366" t="str">
        <f t="shared" si="676"/>
        <v/>
      </c>
      <c r="AF221" s="833" t="str">
        <f t="shared" si="677"/>
        <v/>
      </c>
      <c r="AG221" s="832" t="str">
        <f t="shared" si="678"/>
        <v>X</v>
      </c>
      <c r="AH221" s="366" t="str">
        <f t="shared" si="679"/>
        <v/>
      </c>
      <c r="AI221" s="366" t="str">
        <f t="shared" si="680"/>
        <v/>
      </c>
      <c r="AJ221" s="366" t="str">
        <f t="shared" si="681"/>
        <v/>
      </c>
      <c r="AK221" s="366" t="str">
        <f t="shared" si="682"/>
        <v/>
      </c>
      <c r="AL221" s="833" t="str">
        <f t="shared" si="683"/>
        <v/>
      </c>
      <c r="AM221" s="832" t="str">
        <f t="shared" si="684"/>
        <v>X</v>
      </c>
      <c r="AN221" s="366" t="str">
        <f t="shared" si="685"/>
        <v/>
      </c>
      <c r="AO221" s="366" t="str">
        <f t="shared" si="686"/>
        <v/>
      </c>
      <c r="AP221" s="366" t="str">
        <f t="shared" si="687"/>
        <v/>
      </c>
      <c r="AQ221" s="366" t="str">
        <f t="shared" si="688"/>
        <v/>
      </c>
      <c r="AR221" s="833" t="str">
        <f t="shared" si="689"/>
        <v/>
      </c>
      <c r="AT221" s="1062"/>
      <c r="AY221" s="4"/>
    </row>
    <row r="222" spans="1:51" ht="13.9" customHeight="1" x14ac:dyDescent="0.25">
      <c r="A222" s="846">
        <f>Chem!A222</f>
        <v>220</v>
      </c>
      <c r="B222" s="951" t="str">
        <f>Chem!B222</f>
        <v>Trichlorotrifluoroethane</v>
      </c>
      <c r="C222" s="946">
        <f t="shared" si="690"/>
        <v>7609.9232705533514</v>
      </c>
      <c r="D222" s="463">
        <f t="shared" si="691"/>
        <v>116.08000000000001</v>
      </c>
      <c r="E222" s="634">
        <f t="shared" si="692"/>
        <v>2400000</v>
      </c>
      <c r="F222" s="634">
        <f t="shared" si="693"/>
        <v>2400000</v>
      </c>
      <c r="G222" s="634"/>
      <c r="H222" s="467">
        <f>'SL-Det'!E222</f>
        <v>2400000</v>
      </c>
      <c r="I222" s="231">
        <f>Leach!F222</f>
        <v>7609.9232705533514</v>
      </c>
      <c r="J222" s="231" t="str">
        <f>Leach!I222</f>
        <v>na</v>
      </c>
      <c r="K222" s="231" t="str">
        <f>Leach!L222</f>
        <v>na</v>
      </c>
      <c r="L222" s="476">
        <f>Leach!G222</f>
        <v>116.08000000000001</v>
      </c>
      <c r="M222" s="476" t="str">
        <f>Leach!J222</f>
        <v>na</v>
      </c>
      <c r="N222" s="476" t="str">
        <f>Leach!M222</f>
        <v>na</v>
      </c>
      <c r="O222" s="485" t="str">
        <f>'SD-Det'!Z222</f>
        <v>na</v>
      </c>
      <c r="P222" s="494" t="str">
        <f>'SL-Det'!I222</f>
        <v>na</v>
      </c>
      <c r="Q222" s="975" t="s">
        <v>232</v>
      </c>
      <c r="S222" s="832" t="str">
        <f t="shared" si="664"/>
        <v/>
      </c>
      <c r="T222" s="366" t="str">
        <f t="shared" si="665"/>
        <v>X</v>
      </c>
      <c r="U222" s="366" t="str">
        <f t="shared" si="666"/>
        <v/>
      </c>
      <c r="V222" s="366" t="str">
        <f t="shared" si="667"/>
        <v/>
      </c>
      <c r="W222" s="366" t="str">
        <f t="shared" si="668"/>
        <v/>
      </c>
      <c r="X222" s="366" t="str">
        <f t="shared" si="669"/>
        <v/>
      </c>
      <c r="Y222" s="989" t="str">
        <f t="shared" si="670"/>
        <v/>
      </c>
      <c r="Z222" s="832" t="str">
        <f t="shared" si="671"/>
        <v/>
      </c>
      <c r="AA222" s="366" t="str">
        <f t="shared" si="672"/>
        <v>X</v>
      </c>
      <c r="AB222" s="366" t="str">
        <f t="shared" si="673"/>
        <v/>
      </c>
      <c r="AC222" s="366" t="str">
        <f t="shared" si="674"/>
        <v/>
      </c>
      <c r="AD222" s="366" t="str">
        <f t="shared" si="675"/>
        <v/>
      </c>
      <c r="AE222" s="366" t="str">
        <f t="shared" si="676"/>
        <v/>
      </c>
      <c r="AF222" s="833" t="str">
        <f t="shared" si="677"/>
        <v/>
      </c>
      <c r="AG222" s="832" t="str">
        <f t="shared" si="678"/>
        <v>X</v>
      </c>
      <c r="AH222" s="366" t="str">
        <f t="shared" si="679"/>
        <v/>
      </c>
      <c r="AI222" s="366" t="str">
        <f t="shared" si="680"/>
        <v/>
      </c>
      <c r="AJ222" s="366" t="str">
        <f t="shared" si="681"/>
        <v/>
      </c>
      <c r="AK222" s="366" t="str">
        <f t="shared" si="682"/>
        <v/>
      </c>
      <c r="AL222" s="833" t="str">
        <f t="shared" si="683"/>
        <v/>
      </c>
      <c r="AM222" s="832" t="str">
        <f t="shared" si="684"/>
        <v>X</v>
      </c>
      <c r="AN222" s="366" t="str">
        <f t="shared" si="685"/>
        <v/>
      </c>
      <c r="AO222" s="366" t="str">
        <f t="shared" si="686"/>
        <v/>
      </c>
      <c r="AP222" s="366" t="str">
        <f t="shared" si="687"/>
        <v/>
      </c>
      <c r="AQ222" s="366" t="str">
        <f t="shared" si="688"/>
        <v/>
      </c>
      <c r="AR222" s="833" t="str">
        <f t="shared" si="689"/>
        <v/>
      </c>
      <c r="AT222" s="1062"/>
      <c r="AY222" s="4"/>
    </row>
    <row r="223" spans="1:51" ht="13.9" customHeight="1" x14ac:dyDescent="0.25">
      <c r="A223" s="846">
        <f>Chem!A223</f>
        <v>221</v>
      </c>
      <c r="B223" s="951" t="str">
        <f>Chem!B223</f>
        <v>1,2,3-Trimethylbenzene</v>
      </c>
      <c r="C223" s="946">
        <f t="shared" si="690"/>
        <v>1.3323856425442087</v>
      </c>
      <c r="D223" s="463">
        <f t="shared" si="691"/>
        <v>7.309333333333333E-2</v>
      </c>
      <c r="E223" s="634">
        <f t="shared" si="692"/>
        <v>800</v>
      </c>
      <c r="F223" s="634">
        <f t="shared" si="693"/>
        <v>800</v>
      </c>
      <c r="G223" s="634"/>
      <c r="H223" s="467">
        <f>'SL-Det'!E223</f>
        <v>800</v>
      </c>
      <c r="I223" s="231">
        <f>Leach!F223</f>
        <v>1.3323856425442087</v>
      </c>
      <c r="J223" s="231" t="str">
        <f>Leach!I223</f>
        <v>na</v>
      </c>
      <c r="K223" s="231" t="str">
        <f>Leach!L223</f>
        <v>na</v>
      </c>
      <c r="L223" s="476">
        <f>Leach!G223</f>
        <v>7.309333333333333E-2</v>
      </c>
      <c r="M223" s="476" t="str">
        <f>Leach!J223</f>
        <v>na</v>
      </c>
      <c r="N223" s="476" t="str">
        <f>Leach!M223</f>
        <v>na</v>
      </c>
      <c r="O223" s="485" t="str">
        <f>'SD-Det'!Z223</f>
        <v>na</v>
      </c>
      <c r="P223" s="494" t="str">
        <f>'SL-Det'!I223</f>
        <v>na</v>
      </c>
      <c r="Q223" s="975" t="s">
        <v>232</v>
      </c>
      <c r="S223" s="832" t="str">
        <f t="shared" si="664"/>
        <v/>
      </c>
      <c r="T223" s="366" t="str">
        <f t="shared" si="665"/>
        <v>X</v>
      </c>
      <c r="U223" s="366" t="str">
        <f t="shared" si="666"/>
        <v/>
      </c>
      <c r="V223" s="366" t="str">
        <f t="shared" si="667"/>
        <v/>
      </c>
      <c r="W223" s="366" t="str">
        <f t="shared" si="668"/>
        <v/>
      </c>
      <c r="X223" s="366" t="str">
        <f t="shared" si="669"/>
        <v/>
      </c>
      <c r="Y223" s="989" t="str">
        <f t="shared" si="670"/>
        <v/>
      </c>
      <c r="Z223" s="832" t="str">
        <f t="shared" si="671"/>
        <v/>
      </c>
      <c r="AA223" s="366" t="str">
        <f t="shared" si="672"/>
        <v>X</v>
      </c>
      <c r="AB223" s="366" t="str">
        <f t="shared" si="673"/>
        <v/>
      </c>
      <c r="AC223" s="366" t="str">
        <f t="shared" si="674"/>
        <v/>
      </c>
      <c r="AD223" s="366" t="str">
        <f t="shared" si="675"/>
        <v/>
      </c>
      <c r="AE223" s="366" t="str">
        <f t="shared" si="676"/>
        <v/>
      </c>
      <c r="AF223" s="833" t="str">
        <f t="shared" si="677"/>
        <v/>
      </c>
      <c r="AG223" s="832" t="str">
        <f t="shared" si="678"/>
        <v>X</v>
      </c>
      <c r="AH223" s="366" t="str">
        <f t="shared" si="679"/>
        <v/>
      </c>
      <c r="AI223" s="366" t="str">
        <f t="shared" si="680"/>
        <v/>
      </c>
      <c r="AJ223" s="366" t="str">
        <f t="shared" si="681"/>
        <v/>
      </c>
      <c r="AK223" s="366" t="str">
        <f t="shared" si="682"/>
        <v/>
      </c>
      <c r="AL223" s="833" t="str">
        <f t="shared" si="683"/>
        <v/>
      </c>
      <c r="AM223" s="832" t="str">
        <f t="shared" si="684"/>
        <v>X</v>
      </c>
      <c r="AN223" s="366" t="str">
        <f t="shared" si="685"/>
        <v/>
      </c>
      <c r="AO223" s="366" t="str">
        <f t="shared" si="686"/>
        <v/>
      </c>
      <c r="AP223" s="366" t="str">
        <f t="shared" si="687"/>
        <v/>
      </c>
      <c r="AQ223" s="366" t="str">
        <f t="shared" si="688"/>
        <v/>
      </c>
      <c r="AR223" s="833" t="str">
        <f t="shared" si="689"/>
        <v/>
      </c>
      <c r="AT223" s="1062"/>
      <c r="AY223" s="4"/>
    </row>
    <row r="224" spans="1:51" ht="13.9" customHeight="1" x14ac:dyDescent="0.25">
      <c r="A224" s="846">
        <f>Chem!A224</f>
        <v>222</v>
      </c>
      <c r="B224" s="951" t="str">
        <f>Chem!B224</f>
        <v>1,2,4-Trimethylbenzene</v>
      </c>
      <c r="C224" s="946">
        <f t="shared" si="690"/>
        <v>1.3183304358877583</v>
      </c>
      <c r="D224" s="463">
        <f t="shared" si="691"/>
        <v>7.2053333333333344E-2</v>
      </c>
      <c r="E224" s="634">
        <f t="shared" si="692"/>
        <v>800</v>
      </c>
      <c r="F224" s="634">
        <f t="shared" si="693"/>
        <v>800</v>
      </c>
      <c r="G224" s="634"/>
      <c r="H224" s="467">
        <f>'SL-Det'!E224</f>
        <v>800</v>
      </c>
      <c r="I224" s="231">
        <f>Leach!F224</f>
        <v>1.3183304358877583</v>
      </c>
      <c r="J224" s="231" t="str">
        <f>Leach!I224</f>
        <v>na</v>
      </c>
      <c r="K224" s="231" t="str">
        <f>Leach!L224</f>
        <v>na</v>
      </c>
      <c r="L224" s="476">
        <f>Leach!G224</f>
        <v>7.2053333333333344E-2</v>
      </c>
      <c r="M224" s="476" t="str">
        <f>Leach!J224</f>
        <v>na</v>
      </c>
      <c r="N224" s="476" t="str">
        <f>Leach!M224</f>
        <v>na</v>
      </c>
      <c r="O224" s="485" t="str">
        <f>'SD-Det'!Z224</f>
        <v>na</v>
      </c>
      <c r="P224" s="494" t="str">
        <f>'SL-Det'!I224</f>
        <v>na</v>
      </c>
      <c r="Q224" s="975" t="s">
        <v>232</v>
      </c>
      <c r="S224" s="832" t="str">
        <f t="shared" si="664"/>
        <v/>
      </c>
      <c r="T224" s="366" t="str">
        <f t="shared" si="665"/>
        <v>X</v>
      </c>
      <c r="U224" s="366" t="str">
        <f t="shared" si="666"/>
        <v/>
      </c>
      <c r="V224" s="366" t="str">
        <f t="shared" si="667"/>
        <v/>
      </c>
      <c r="W224" s="366" t="str">
        <f t="shared" si="668"/>
        <v/>
      </c>
      <c r="X224" s="366" t="str">
        <f t="shared" si="669"/>
        <v/>
      </c>
      <c r="Y224" s="989" t="str">
        <f t="shared" si="670"/>
        <v/>
      </c>
      <c r="Z224" s="832" t="str">
        <f t="shared" si="671"/>
        <v/>
      </c>
      <c r="AA224" s="366" t="str">
        <f t="shared" si="672"/>
        <v>X</v>
      </c>
      <c r="AB224" s="366" t="str">
        <f t="shared" si="673"/>
        <v/>
      </c>
      <c r="AC224" s="366" t="str">
        <f t="shared" si="674"/>
        <v/>
      </c>
      <c r="AD224" s="366" t="str">
        <f t="shared" si="675"/>
        <v/>
      </c>
      <c r="AE224" s="366" t="str">
        <f t="shared" si="676"/>
        <v/>
      </c>
      <c r="AF224" s="833" t="str">
        <f t="shared" si="677"/>
        <v/>
      </c>
      <c r="AG224" s="832" t="str">
        <f t="shared" si="678"/>
        <v>X</v>
      </c>
      <c r="AH224" s="366" t="str">
        <f t="shared" si="679"/>
        <v/>
      </c>
      <c r="AI224" s="366" t="str">
        <f t="shared" si="680"/>
        <v/>
      </c>
      <c r="AJ224" s="366" t="str">
        <f t="shared" si="681"/>
        <v/>
      </c>
      <c r="AK224" s="366" t="str">
        <f t="shared" si="682"/>
        <v/>
      </c>
      <c r="AL224" s="833" t="str">
        <f t="shared" si="683"/>
        <v/>
      </c>
      <c r="AM224" s="832" t="str">
        <f t="shared" si="684"/>
        <v>X</v>
      </c>
      <c r="AN224" s="366" t="str">
        <f t="shared" si="685"/>
        <v/>
      </c>
      <c r="AO224" s="366" t="str">
        <f t="shared" si="686"/>
        <v/>
      </c>
      <c r="AP224" s="366" t="str">
        <f t="shared" si="687"/>
        <v/>
      </c>
      <c r="AQ224" s="366" t="str">
        <f t="shared" si="688"/>
        <v/>
      </c>
      <c r="AR224" s="833" t="str">
        <f t="shared" si="689"/>
        <v/>
      </c>
      <c r="AT224" s="1062"/>
      <c r="AY224" s="4"/>
    </row>
    <row r="225" spans="1:51" ht="13.9" customHeight="1" x14ac:dyDescent="0.25">
      <c r="A225" s="846">
        <f>Chem!A225</f>
        <v>223</v>
      </c>
      <c r="B225" s="951" t="str">
        <f>Chem!B225</f>
        <v>1,3,5-Trimethylbenzene</v>
      </c>
      <c r="C225" s="946">
        <f t="shared" si="690"/>
        <v>1.3059162101753055</v>
      </c>
      <c r="D225" s="463">
        <f t="shared" si="691"/>
        <v>7.1093333333333342E-2</v>
      </c>
      <c r="E225" s="634">
        <f t="shared" si="692"/>
        <v>800</v>
      </c>
      <c r="F225" s="634">
        <f t="shared" si="693"/>
        <v>800</v>
      </c>
      <c r="G225" s="634"/>
      <c r="H225" s="467">
        <f>'SL-Det'!E225</f>
        <v>800</v>
      </c>
      <c r="I225" s="231">
        <f>Leach!F225</f>
        <v>1.3059162101753055</v>
      </c>
      <c r="J225" s="231" t="str">
        <f>Leach!I225</f>
        <v>na</v>
      </c>
      <c r="K225" s="231" t="str">
        <f>Leach!L225</f>
        <v>na</v>
      </c>
      <c r="L225" s="476">
        <f>Leach!G225</f>
        <v>7.1093333333333342E-2</v>
      </c>
      <c r="M225" s="476" t="str">
        <f>Leach!J225</f>
        <v>na</v>
      </c>
      <c r="N225" s="476" t="str">
        <f>Leach!M225</f>
        <v>na</v>
      </c>
      <c r="O225" s="485" t="str">
        <f>'SD-Det'!Z225</f>
        <v>na</v>
      </c>
      <c r="P225" s="494" t="str">
        <f>'SL-Det'!I225</f>
        <v>na</v>
      </c>
      <c r="Q225" s="975" t="s">
        <v>232</v>
      </c>
      <c r="S225" s="832" t="str">
        <f t="shared" si="664"/>
        <v/>
      </c>
      <c r="T225" s="366" t="str">
        <f t="shared" si="665"/>
        <v>X</v>
      </c>
      <c r="U225" s="366" t="str">
        <f t="shared" si="666"/>
        <v/>
      </c>
      <c r="V225" s="366" t="str">
        <f t="shared" si="667"/>
        <v/>
      </c>
      <c r="W225" s="366" t="str">
        <f t="shared" si="668"/>
        <v/>
      </c>
      <c r="X225" s="366" t="str">
        <f t="shared" si="669"/>
        <v/>
      </c>
      <c r="Y225" s="989" t="str">
        <f t="shared" si="670"/>
        <v/>
      </c>
      <c r="Z225" s="832" t="str">
        <f t="shared" si="671"/>
        <v/>
      </c>
      <c r="AA225" s="366" t="str">
        <f t="shared" si="672"/>
        <v>X</v>
      </c>
      <c r="AB225" s="366" t="str">
        <f t="shared" si="673"/>
        <v/>
      </c>
      <c r="AC225" s="366" t="str">
        <f t="shared" si="674"/>
        <v/>
      </c>
      <c r="AD225" s="366" t="str">
        <f t="shared" si="675"/>
        <v/>
      </c>
      <c r="AE225" s="366" t="str">
        <f t="shared" si="676"/>
        <v/>
      </c>
      <c r="AF225" s="833" t="str">
        <f t="shared" si="677"/>
        <v/>
      </c>
      <c r="AG225" s="832" t="str">
        <f t="shared" si="678"/>
        <v>X</v>
      </c>
      <c r="AH225" s="366" t="str">
        <f t="shared" si="679"/>
        <v/>
      </c>
      <c r="AI225" s="366" t="str">
        <f t="shared" si="680"/>
        <v/>
      </c>
      <c r="AJ225" s="366" t="str">
        <f t="shared" si="681"/>
        <v/>
      </c>
      <c r="AK225" s="366" t="str">
        <f t="shared" si="682"/>
        <v/>
      </c>
      <c r="AL225" s="833" t="str">
        <f t="shared" si="683"/>
        <v/>
      </c>
      <c r="AM225" s="832" t="str">
        <f t="shared" si="684"/>
        <v>X</v>
      </c>
      <c r="AN225" s="366" t="str">
        <f t="shared" si="685"/>
        <v/>
      </c>
      <c r="AO225" s="366" t="str">
        <f t="shared" si="686"/>
        <v/>
      </c>
      <c r="AP225" s="366" t="str">
        <f t="shared" si="687"/>
        <v/>
      </c>
      <c r="AQ225" s="366" t="str">
        <f t="shared" si="688"/>
        <v/>
      </c>
      <c r="AR225" s="833" t="str">
        <f t="shared" si="689"/>
        <v/>
      </c>
      <c r="AT225" s="1062"/>
      <c r="AY225" s="4"/>
    </row>
    <row r="226" spans="1:51" ht="13.9" customHeight="1" x14ac:dyDescent="0.25">
      <c r="A226" s="846">
        <f>Chem!A226</f>
        <v>224</v>
      </c>
      <c r="B226" s="951" t="str">
        <f>Chem!B226</f>
        <v>Vinyl acetate</v>
      </c>
      <c r="C226" s="946">
        <f t="shared" si="690"/>
        <v>33.049574594554961</v>
      </c>
      <c r="D226" s="463">
        <f t="shared" si="691"/>
        <v>2.3379733333333332</v>
      </c>
      <c r="E226" s="634">
        <f t="shared" si="692"/>
        <v>80000</v>
      </c>
      <c r="F226" s="634">
        <f t="shared" si="693"/>
        <v>80000</v>
      </c>
      <c r="G226" s="634"/>
      <c r="H226" s="467">
        <f>'SL-Det'!E226</f>
        <v>80000</v>
      </c>
      <c r="I226" s="231">
        <f>Leach!F226</f>
        <v>33.049574594554961</v>
      </c>
      <c r="J226" s="231" t="str">
        <f>Leach!I226</f>
        <v>na</v>
      </c>
      <c r="K226" s="231" t="str">
        <f>Leach!L226</f>
        <v>na</v>
      </c>
      <c r="L226" s="476">
        <f>Leach!G226</f>
        <v>2.3379733333333332</v>
      </c>
      <c r="M226" s="476" t="str">
        <f>Leach!J226</f>
        <v>na</v>
      </c>
      <c r="N226" s="476" t="str">
        <f>Leach!M226</f>
        <v>na</v>
      </c>
      <c r="O226" s="485" t="str">
        <f>'SD-Det'!Z226</f>
        <v>na</v>
      </c>
      <c r="P226" s="494" t="str">
        <f>'SL-Det'!I226</f>
        <v>na</v>
      </c>
      <c r="Q226" s="975" t="s">
        <v>232</v>
      </c>
      <c r="S226" s="832" t="str">
        <f t="shared" si="664"/>
        <v/>
      </c>
      <c r="T226" s="366" t="str">
        <f t="shared" si="665"/>
        <v>X</v>
      </c>
      <c r="U226" s="366" t="str">
        <f t="shared" si="666"/>
        <v/>
      </c>
      <c r="V226" s="366" t="str">
        <f t="shared" si="667"/>
        <v/>
      </c>
      <c r="W226" s="366" t="str">
        <f t="shared" si="668"/>
        <v/>
      </c>
      <c r="X226" s="366" t="str">
        <f t="shared" si="669"/>
        <v/>
      </c>
      <c r="Y226" s="989" t="str">
        <f t="shared" si="670"/>
        <v/>
      </c>
      <c r="Z226" s="832" t="str">
        <f t="shared" si="671"/>
        <v/>
      </c>
      <c r="AA226" s="366" t="str">
        <f t="shared" si="672"/>
        <v>X</v>
      </c>
      <c r="AB226" s="366" t="str">
        <f t="shared" si="673"/>
        <v/>
      </c>
      <c r="AC226" s="366" t="str">
        <f t="shared" si="674"/>
        <v/>
      </c>
      <c r="AD226" s="366" t="str">
        <f t="shared" si="675"/>
        <v/>
      </c>
      <c r="AE226" s="366" t="str">
        <f t="shared" si="676"/>
        <v/>
      </c>
      <c r="AF226" s="833" t="str">
        <f t="shared" si="677"/>
        <v/>
      </c>
      <c r="AG226" s="832" t="str">
        <f t="shared" si="678"/>
        <v>X</v>
      </c>
      <c r="AH226" s="366" t="str">
        <f t="shared" si="679"/>
        <v/>
      </c>
      <c r="AI226" s="366" t="str">
        <f t="shared" si="680"/>
        <v/>
      </c>
      <c r="AJ226" s="366" t="str">
        <f t="shared" si="681"/>
        <v/>
      </c>
      <c r="AK226" s="366" t="str">
        <f t="shared" si="682"/>
        <v/>
      </c>
      <c r="AL226" s="833" t="str">
        <f t="shared" si="683"/>
        <v/>
      </c>
      <c r="AM226" s="832" t="str">
        <f t="shared" si="684"/>
        <v>X</v>
      </c>
      <c r="AN226" s="366" t="str">
        <f t="shared" si="685"/>
        <v/>
      </c>
      <c r="AO226" s="366" t="str">
        <f t="shared" si="686"/>
        <v/>
      </c>
      <c r="AP226" s="366" t="str">
        <f t="shared" si="687"/>
        <v/>
      </c>
      <c r="AQ226" s="366" t="str">
        <f t="shared" si="688"/>
        <v/>
      </c>
      <c r="AR226" s="833" t="str">
        <f t="shared" si="689"/>
        <v/>
      </c>
      <c r="AT226" s="1062"/>
      <c r="AY226" s="4"/>
    </row>
    <row r="227" spans="1:51" ht="13.9" customHeight="1" x14ac:dyDescent="0.25">
      <c r="A227" s="846">
        <f>Chem!A227</f>
        <v>225</v>
      </c>
      <c r="B227" s="951" t="str">
        <f>Chem!B227</f>
        <v>Vinyl chloride</v>
      </c>
      <c r="C227" s="946">
        <f t="shared" si="690"/>
        <v>1.0631925280063521E-3</v>
      </c>
      <c r="D227" s="463">
        <f t="shared" si="691"/>
        <v>5.5506E-5</v>
      </c>
      <c r="E227" s="634">
        <f t="shared" si="692"/>
        <v>1.0631925280063521E-3</v>
      </c>
      <c r="F227" s="634">
        <f t="shared" si="693"/>
        <v>5.5506E-5</v>
      </c>
      <c r="G227" s="634"/>
      <c r="H227" s="467">
        <f>'SL-Det'!E227</f>
        <v>0.66666666666666663</v>
      </c>
      <c r="I227" s="231">
        <f>Leach!F227</f>
        <v>1.7227656703806631E-3</v>
      </c>
      <c r="J227" s="231">
        <f>Leach!I227</f>
        <v>1.0631925280063521E-3</v>
      </c>
      <c r="K227" s="231" t="str">
        <f>Leach!L227</f>
        <v>na</v>
      </c>
      <c r="L227" s="476">
        <f>Leach!G227</f>
        <v>8.9940277777777772E-5</v>
      </c>
      <c r="M227" s="476">
        <f>Leach!J227</f>
        <v>5.5506E-5</v>
      </c>
      <c r="N227" s="476" t="str">
        <f>Leach!M227</f>
        <v>na</v>
      </c>
      <c r="O227" s="485" t="str">
        <f>'SD-Det'!Z227</f>
        <v>na</v>
      </c>
      <c r="P227" s="494" t="str">
        <f>'SL-Det'!I227</f>
        <v>na</v>
      </c>
      <c r="Q227" s="975" t="s">
        <v>232</v>
      </c>
      <c r="S227" s="832" t="str">
        <f t="shared" si="664"/>
        <v/>
      </c>
      <c r="T227" s="366" t="str">
        <f t="shared" si="665"/>
        <v/>
      </c>
      <c r="U227" s="366" t="str">
        <f t="shared" si="666"/>
        <v>X</v>
      </c>
      <c r="V227" s="366" t="str">
        <f t="shared" si="667"/>
        <v/>
      </c>
      <c r="W227" s="366" t="str">
        <f t="shared" si="668"/>
        <v/>
      </c>
      <c r="X227" s="366" t="str">
        <f t="shared" si="669"/>
        <v/>
      </c>
      <c r="Y227" s="989" t="str">
        <f t="shared" si="670"/>
        <v/>
      </c>
      <c r="Z227" s="832" t="str">
        <f t="shared" si="671"/>
        <v/>
      </c>
      <c r="AA227" s="366" t="str">
        <f t="shared" si="672"/>
        <v/>
      </c>
      <c r="AB227" s="366" t="str">
        <f t="shared" si="673"/>
        <v>X</v>
      </c>
      <c r="AC227" s="366" t="str">
        <f t="shared" si="674"/>
        <v/>
      </c>
      <c r="AD227" s="366" t="str">
        <f t="shared" si="675"/>
        <v/>
      </c>
      <c r="AE227" s="366" t="str">
        <f t="shared" si="676"/>
        <v/>
      </c>
      <c r="AF227" s="833" t="str">
        <f t="shared" si="677"/>
        <v/>
      </c>
      <c r="AG227" s="832" t="str">
        <f t="shared" si="678"/>
        <v/>
      </c>
      <c r="AH227" s="366" t="str">
        <f t="shared" si="679"/>
        <v>X</v>
      </c>
      <c r="AI227" s="366" t="str">
        <f t="shared" si="680"/>
        <v/>
      </c>
      <c r="AJ227" s="366" t="str">
        <f t="shared" si="681"/>
        <v/>
      </c>
      <c r="AK227" s="366" t="str">
        <f t="shared" si="682"/>
        <v/>
      </c>
      <c r="AL227" s="833" t="str">
        <f t="shared" si="683"/>
        <v/>
      </c>
      <c r="AM227" s="832" t="str">
        <f t="shared" si="684"/>
        <v/>
      </c>
      <c r="AN227" s="366" t="str">
        <f t="shared" si="685"/>
        <v>X</v>
      </c>
      <c r="AO227" s="366" t="str">
        <f t="shared" si="686"/>
        <v/>
      </c>
      <c r="AP227" s="366" t="str">
        <f t="shared" si="687"/>
        <v/>
      </c>
      <c r="AQ227" s="366" t="str">
        <f t="shared" si="688"/>
        <v/>
      </c>
      <c r="AR227" s="833" t="str">
        <f t="shared" si="689"/>
        <v/>
      </c>
      <c r="AT227" s="1062"/>
      <c r="AY227" s="4"/>
    </row>
    <row r="228" spans="1:51" ht="13.9" customHeight="1" x14ac:dyDescent="0.25">
      <c r="A228" s="1661">
        <f>Chem!A228</f>
        <v>226</v>
      </c>
      <c r="B228" s="951" t="str">
        <f>Chem!B228</f>
        <v>Total xylenes</v>
      </c>
      <c r="C228" s="946">
        <f t="shared" si="690"/>
        <v>0.94394687774851282</v>
      </c>
      <c r="D228" s="463">
        <f t="shared" si="691"/>
        <v>5.5084666666666671E-2</v>
      </c>
      <c r="E228" s="634">
        <f t="shared" si="692"/>
        <v>0.94394687774851282</v>
      </c>
      <c r="F228" s="634">
        <f t="shared" si="693"/>
        <v>5.5084666666666671E-2</v>
      </c>
      <c r="G228" s="634"/>
      <c r="H228" s="467">
        <f>'SL-Det'!E228</f>
        <v>16000</v>
      </c>
      <c r="I228" s="470">
        <f>Leach!F228</f>
        <v>14.248254758468118</v>
      </c>
      <c r="J228" s="470">
        <f>Leach!I228</f>
        <v>0.94394687774851282</v>
      </c>
      <c r="K228" s="470" t="str">
        <f>Leach!L228</f>
        <v>na</v>
      </c>
      <c r="L228" s="477">
        <f>Leach!G228</f>
        <v>0.8314666666666668</v>
      </c>
      <c r="M228" s="477">
        <f>Leach!J228</f>
        <v>5.5084666666666671E-2</v>
      </c>
      <c r="N228" s="477" t="str">
        <f>Leach!M228</f>
        <v>na</v>
      </c>
      <c r="O228" s="490" t="str">
        <f>'SD-Det'!Z228</f>
        <v>na</v>
      </c>
      <c r="P228" s="494" t="str">
        <f>'SL-Det'!I228</f>
        <v>na</v>
      </c>
      <c r="Q228" s="975" t="s">
        <v>232</v>
      </c>
      <c r="S228" s="834" t="str">
        <f t="shared" si="664"/>
        <v/>
      </c>
      <c r="T228" s="368" t="str">
        <f t="shared" si="665"/>
        <v/>
      </c>
      <c r="U228" s="368" t="str">
        <f t="shared" si="666"/>
        <v>X</v>
      </c>
      <c r="V228" s="368" t="str">
        <f t="shared" si="667"/>
        <v/>
      </c>
      <c r="W228" s="368" t="str">
        <f t="shared" si="668"/>
        <v/>
      </c>
      <c r="X228" s="368" t="str">
        <f t="shared" si="669"/>
        <v/>
      </c>
      <c r="Y228" s="990" t="str">
        <f t="shared" si="670"/>
        <v/>
      </c>
      <c r="Z228" s="834" t="str">
        <f t="shared" si="671"/>
        <v/>
      </c>
      <c r="AA228" s="368" t="str">
        <f t="shared" si="672"/>
        <v/>
      </c>
      <c r="AB228" s="368" t="str">
        <f t="shared" si="673"/>
        <v>X</v>
      </c>
      <c r="AC228" s="368" t="str">
        <f t="shared" si="674"/>
        <v/>
      </c>
      <c r="AD228" s="368" t="str">
        <f t="shared" si="675"/>
        <v/>
      </c>
      <c r="AE228" s="368" t="str">
        <f t="shared" si="676"/>
        <v/>
      </c>
      <c r="AF228" s="835" t="str">
        <f t="shared" si="677"/>
        <v/>
      </c>
      <c r="AG228" s="834" t="str">
        <f t="shared" si="678"/>
        <v/>
      </c>
      <c r="AH228" s="368" t="str">
        <f t="shared" si="679"/>
        <v>X</v>
      </c>
      <c r="AI228" s="368" t="str">
        <f t="shared" si="680"/>
        <v/>
      </c>
      <c r="AJ228" s="368" t="str">
        <f t="shared" si="681"/>
        <v/>
      </c>
      <c r="AK228" s="368" t="str">
        <f t="shared" si="682"/>
        <v/>
      </c>
      <c r="AL228" s="835" t="str">
        <f t="shared" si="683"/>
        <v/>
      </c>
      <c r="AM228" s="834" t="str">
        <f t="shared" si="684"/>
        <v/>
      </c>
      <c r="AN228" s="368" t="str">
        <f t="shared" si="685"/>
        <v>X</v>
      </c>
      <c r="AO228" s="368" t="str">
        <f t="shared" si="686"/>
        <v/>
      </c>
      <c r="AP228" s="368" t="str">
        <f t="shared" si="687"/>
        <v/>
      </c>
      <c r="AQ228" s="368" t="str">
        <f t="shared" si="688"/>
        <v/>
      </c>
      <c r="AR228" s="835" t="str">
        <f t="shared" si="689"/>
        <v/>
      </c>
      <c r="AT228" s="1062"/>
      <c r="AY228" s="4"/>
    </row>
    <row r="229" spans="1:51" ht="13.9" customHeight="1" x14ac:dyDescent="0.25">
      <c r="A229" s="1197">
        <f>Chem!A229</f>
        <v>227</v>
      </c>
      <c r="B229" s="953" t="str">
        <f>Chem!B229</f>
        <v>PFAS</v>
      </c>
      <c r="C229" s="28"/>
      <c r="D229" s="28"/>
      <c r="E229" s="28"/>
      <c r="F229" s="28"/>
      <c r="G229" s="28"/>
      <c r="H229" s="28"/>
      <c r="I229" s="28"/>
      <c r="J229" s="28"/>
      <c r="K229" s="28"/>
      <c r="L229" s="28"/>
      <c r="M229" s="28"/>
      <c r="N229" s="28"/>
      <c r="O229" s="43"/>
      <c r="P229" s="2323"/>
      <c r="Q229" s="2324"/>
      <c r="S229" s="26" t="str">
        <f>B229</f>
        <v>PFAS</v>
      </c>
      <c r="T229" s="2328"/>
      <c r="U229" s="2328"/>
      <c r="V229" s="2328"/>
      <c r="W229" s="2328"/>
      <c r="X229" s="2328"/>
      <c r="Y229" s="2328"/>
      <c r="Z229" s="2328"/>
      <c r="AA229" s="2328"/>
      <c r="AB229" s="2328"/>
      <c r="AC229" s="2328"/>
      <c r="AD229" s="2328"/>
      <c r="AE229" s="2328"/>
      <c r="AF229" s="2328"/>
      <c r="AG229" s="2329"/>
      <c r="AH229" s="2328"/>
      <c r="AI229" s="2328"/>
      <c r="AJ229" s="2328"/>
      <c r="AK229" s="2328"/>
      <c r="AL229" s="2328"/>
      <c r="AM229" s="2328"/>
      <c r="AN229" s="2328"/>
      <c r="AO229" s="2328"/>
      <c r="AP229" s="2328"/>
      <c r="AQ229" s="2328"/>
      <c r="AR229" s="2330"/>
      <c r="AT229" s="2325"/>
      <c r="AY229" s="4"/>
    </row>
    <row r="230" spans="1:51" s="1476" customFormat="1" ht="13.9" customHeight="1" x14ac:dyDescent="0.25">
      <c r="A230" s="2251">
        <f>Chem!A230</f>
        <v>228</v>
      </c>
      <c r="B230" s="2183" t="str">
        <f>Chem!B230</f>
        <v>6:2 Fluorotelomer sulfonic acid (6:2 FTS)</v>
      </c>
      <c r="C230" s="1805">
        <f t="shared" si="690"/>
        <v>7.3920000041267198E-2</v>
      </c>
      <c r="D230" s="1805">
        <f t="shared" si="691"/>
        <v>3.9733333333333339E-3</v>
      </c>
      <c r="E230" s="1805">
        <f t="shared" si="692"/>
        <v>16</v>
      </c>
      <c r="F230" s="1805">
        <f t="shared" si="693"/>
        <v>16</v>
      </c>
      <c r="G230" s="1805"/>
      <c r="H230" s="1801">
        <f>'SL-Det'!E230</f>
        <v>16</v>
      </c>
      <c r="I230" s="1106">
        <f>Leach!F230</f>
        <v>7.3920000041267198E-2</v>
      </c>
      <c r="J230" s="1106" t="str">
        <f>Leach!I230</f>
        <v>na</v>
      </c>
      <c r="K230" s="1106" t="str">
        <f>Leach!L230</f>
        <v>na</v>
      </c>
      <c r="L230" s="1804">
        <f>Leach!G230</f>
        <v>3.9733333333333339E-3</v>
      </c>
      <c r="M230" s="1804" t="str">
        <f>Leach!J230</f>
        <v>na</v>
      </c>
      <c r="N230" s="1804" t="str">
        <f>Leach!M230</f>
        <v>na</v>
      </c>
      <c r="O230" s="1536" t="str">
        <f>'SD-Det'!Z230</f>
        <v>na</v>
      </c>
      <c r="P230" s="2284" t="str">
        <f>'SL-Det'!I230</f>
        <v>na</v>
      </c>
      <c r="Q230" s="2285" t="s">
        <v>232</v>
      </c>
      <c r="S230" s="1986" t="str">
        <f t="shared" ref="S230" si="694">IF($C230="na","",IF($C230=H230,"X",""))</f>
        <v/>
      </c>
      <c r="T230" s="2198" t="str">
        <f t="shared" ref="T230" si="695">IF($C230="na","",IF($C230=I230,"X",""))</f>
        <v>X</v>
      </c>
      <c r="U230" s="2198" t="str">
        <f t="shared" ref="U230" si="696">IF($C230="na","",IF($C230=J230,"X",""))</f>
        <v/>
      </c>
      <c r="V230" s="2198" t="str">
        <f t="shared" ref="V230" si="697">IF($C230="na","",IF($C230=K230,"X",""))</f>
        <v/>
      </c>
      <c r="W230" s="2198" t="str">
        <f t="shared" ref="W230" si="698">IF($C230="na","",IF($C230=O230,"X",""))</f>
        <v/>
      </c>
      <c r="X230" s="2198" t="str">
        <f t="shared" ref="X230" si="699">IF($C230="na","",IF($C230=P230,"X",""))</f>
        <v/>
      </c>
      <c r="Y230" s="2286" t="str">
        <f t="shared" ref="Y230" si="700">IF($C230="na","",IF($C230=Q230,"X",""))</f>
        <v/>
      </c>
      <c r="Z230" s="2287" t="str">
        <f t="shared" ref="Z230" si="701">IF($D230="na","",IF($D230=H230,"X",""))</f>
        <v/>
      </c>
      <c r="AA230" s="2198" t="str">
        <f t="shared" ref="AA230" si="702">IF($D230="na","",IF($D230=L230,"X",""))</f>
        <v>X</v>
      </c>
      <c r="AB230" s="2198" t="str">
        <f t="shared" ref="AB230" si="703">IF($D230="na","",IF($D230=M230,"X",""))</f>
        <v/>
      </c>
      <c r="AC230" s="2198" t="str">
        <f t="shared" ref="AC230" si="704">IF($D230="na","",IF($D230=N230,"X",""))</f>
        <v/>
      </c>
      <c r="AD230" s="2198" t="str">
        <f t="shared" ref="AD230" si="705">IF($D230="na","",IF($D230=O230,"X",""))</f>
        <v/>
      </c>
      <c r="AE230" s="2198" t="str">
        <f t="shared" ref="AE230" si="706">IF($D230="na","",IF($D230=P230,"X",""))</f>
        <v/>
      </c>
      <c r="AF230" s="2286" t="str">
        <f t="shared" ref="AF230" si="707">IF($D230="na","",IF($D230=Q230,"X",""))</f>
        <v/>
      </c>
      <c r="AG230" s="1986" t="str">
        <f t="shared" ref="AG230" si="708">IF($E230="na","",IF($E230=H230,"X",""))</f>
        <v>X</v>
      </c>
      <c r="AH230" s="2198" t="str">
        <f t="shared" ref="AH230" si="709">IF($E230="na","",IF($E230=J230,"X",""))</f>
        <v/>
      </c>
      <c r="AI230" s="2198" t="str">
        <f t="shared" ref="AI230" si="710">IF($E230="na","",IF($E230=K230,"X",""))</f>
        <v/>
      </c>
      <c r="AJ230" s="2198" t="str">
        <f t="shared" ref="AJ230" si="711">IF($E230="na","",IF($E230=O230,"X",""))</f>
        <v/>
      </c>
      <c r="AK230" s="2198" t="str">
        <f t="shared" ref="AK230" si="712">IF($E230="na","",IF($E230=P230,"X",""))</f>
        <v/>
      </c>
      <c r="AL230" s="2286" t="str">
        <f t="shared" ref="AL230" si="713">IF($E230="na","",IF($E230=Q230,"X",""))</f>
        <v/>
      </c>
      <c r="AM230" s="2287" t="str">
        <f t="shared" ref="AM230" si="714">IF($F230="na","",IF($F230=H230,"X",""))</f>
        <v>X</v>
      </c>
      <c r="AN230" s="2198" t="str">
        <f t="shared" ref="AN230" si="715">IF($F230="na","",IF($F230=M230,"X",""))</f>
        <v/>
      </c>
      <c r="AO230" s="2198" t="str">
        <f t="shared" ref="AO230" si="716">IF($F230="na","",IF($F230=N230,"X",""))</f>
        <v/>
      </c>
      <c r="AP230" s="2198" t="str">
        <f t="shared" ref="AP230" si="717">IF($F230="na","",IF($F230=O230,"X",""))</f>
        <v/>
      </c>
      <c r="AQ230" s="2198" t="str">
        <f t="shared" ref="AQ230" si="718">IF($F230="na","",IF($F230=P230,"X",""))</f>
        <v/>
      </c>
      <c r="AR230" s="2199" t="str">
        <f t="shared" ref="AR230" si="719">IF($F230="na","",IF($F230=Q230,"X",""))</f>
        <v/>
      </c>
      <c r="AS230" s="2185"/>
      <c r="AT230" s="1987"/>
      <c r="AY230" s="2283"/>
    </row>
    <row r="231" spans="1:51" ht="13.9" customHeight="1" x14ac:dyDescent="0.25">
      <c r="A231" s="846">
        <f>Chem!A231</f>
        <v>229</v>
      </c>
      <c r="B231" s="950" t="str">
        <f>Chem!B231</f>
        <v>GenX (HFPO-DA)</v>
      </c>
      <c r="C231" s="497">
        <f t="shared" si="690"/>
        <v>1.2157714666666666E-4</v>
      </c>
      <c r="D231" s="497">
        <f t="shared" si="691"/>
        <v>6.9366666666666675E-6</v>
      </c>
      <c r="E231" s="497">
        <f t="shared" si="692"/>
        <v>0.24000000000000002</v>
      </c>
      <c r="F231" s="497">
        <f t="shared" si="693"/>
        <v>0.24000000000000002</v>
      </c>
      <c r="G231" s="497"/>
      <c r="H231" s="503">
        <f>'SL-Det'!E231</f>
        <v>0.24000000000000002</v>
      </c>
      <c r="I231" s="233">
        <f>Leach!F231</f>
        <v>1.2157714666666666E-4</v>
      </c>
      <c r="J231" s="233" t="str">
        <f>Leach!I231</f>
        <v>na</v>
      </c>
      <c r="K231" s="233" t="str">
        <f>Leach!L231</f>
        <v>na</v>
      </c>
      <c r="L231" s="475">
        <f>Leach!G231</f>
        <v>6.9366666666666675E-6</v>
      </c>
      <c r="M231" s="475" t="str">
        <f>Leach!J231</f>
        <v>na</v>
      </c>
      <c r="N231" s="475" t="str">
        <f>Leach!M231</f>
        <v>na</v>
      </c>
      <c r="O231" s="1441" t="str">
        <f>'SD-Det'!Z231</f>
        <v>na</v>
      </c>
      <c r="P231" s="494" t="str">
        <f>'SL-Det'!I231</f>
        <v>na</v>
      </c>
      <c r="Q231" s="975" t="s">
        <v>232</v>
      </c>
      <c r="S231" s="1361" t="str">
        <f t="shared" ref="S231:S239" si="720">IF($C231="na","",IF($C231=H231,"X",""))</f>
        <v/>
      </c>
      <c r="T231" s="1362" t="str">
        <f t="shared" ref="T231:T239" si="721">IF($C231="na","",IF($C231=I231,"X",""))</f>
        <v>X</v>
      </c>
      <c r="U231" s="1362" t="str">
        <f t="shared" ref="U231:U239" si="722">IF($C231="na","",IF($C231=J231,"X",""))</f>
        <v/>
      </c>
      <c r="V231" s="1362" t="str">
        <f t="shared" ref="V231:V239" si="723">IF($C231="na","",IF($C231=K231,"X",""))</f>
        <v/>
      </c>
      <c r="W231" s="1362" t="str">
        <f t="shared" ref="W231:W239" si="724">IF($C231="na","",IF($C231=O231,"X",""))</f>
        <v/>
      </c>
      <c r="X231" s="1362" t="str">
        <f t="shared" ref="X231:X239" si="725">IF($C231="na","",IF($C231=P231,"X",""))</f>
        <v/>
      </c>
      <c r="Y231" s="1363" t="str">
        <f t="shared" ref="Y231:Y239" si="726">IF($C231="na","",IF($C231=Q231,"X",""))</f>
        <v/>
      </c>
      <c r="Z231" s="1361" t="str">
        <f t="shared" ref="Z231:Z239" si="727">IF($D231="na","",IF($D231=H231,"X",""))</f>
        <v/>
      </c>
      <c r="AA231" s="1362" t="str">
        <f t="shared" ref="AA231:AA239" si="728">IF($D231="na","",IF($D231=L231,"X",""))</f>
        <v>X</v>
      </c>
      <c r="AB231" s="1362" t="str">
        <f t="shared" ref="AB231:AB239" si="729">IF($D231="na","",IF($D231=M231,"X",""))</f>
        <v/>
      </c>
      <c r="AC231" s="1362" t="str">
        <f t="shared" ref="AC231:AC239" si="730">IF($D231="na","",IF($D231=N231,"X",""))</f>
        <v/>
      </c>
      <c r="AD231" s="1362" t="str">
        <f t="shared" ref="AD231:AD239" si="731">IF($D231="na","",IF($D231=O231,"X",""))</f>
        <v/>
      </c>
      <c r="AE231" s="1362" t="str">
        <f t="shared" ref="AE231:AE239" si="732">IF($D231="na","",IF($D231=P231,"X",""))</f>
        <v/>
      </c>
      <c r="AF231" s="1363" t="str">
        <f t="shared" ref="AF231:AF239" si="733">IF($D231="na","",IF($D231=Q231,"X",""))</f>
        <v/>
      </c>
      <c r="AG231" s="1361" t="str">
        <f t="shared" ref="AG231:AG239" si="734">IF($E231="na","",IF($E231=H231,"X",""))</f>
        <v>X</v>
      </c>
      <c r="AH231" s="1362" t="str">
        <f t="shared" ref="AH231:AH239" si="735">IF($E231="na","",IF($E231=J231,"X",""))</f>
        <v/>
      </c>
      <c r="AI231" s="1362" t="str">
        <f t="shared" ref="AI231:AI239" si="736">IF($E231="na","",IF($E231=K231,"X",""))</f>
        <v/>
      </c>
      <c r="AJ231" s="1362" t="str">
        <f t="shared" ref="AJ231:AJ239" si="737">IF($E231="na","",IF($E231=O231,"X",""))</f>
        <v/>
      </c>
      <c r="AK231" s="1362" t="str">
        <f t="shared" ref="AK231:AK239" si="738">IF($E231="na","",IF($E231=P231,"X",""))</f>
        <v/>
      </c>
      <c r="AL231" s="1363" t="str">
        <f t="shared" ref="AL231:AL239" si="739">IF($E231="na","",IF($E231=Q231,"X",""))</f>
        <v/>
      </c>
      <c r="AM231" s="1361" t="str">
        <f t="shared" ref="AM231:AM239" si="740">IF($F231="na","",IF($F231=H231,"X",""))</f>
        <v>X</v>
      </c>
      <c r="AN231" s="1362" t="str">
        <f t="shared" ref="AN231:AN239" si="741">IF($F231="na","",IF($F231=M231,"X",""))</f>
        <v/>
      </c>
      <c r="AO231" s="1362" t="str">
        <f t="shared" ref="AO231:AO239" si="742">IF($F231="na","",IF($F231=N231,"X",""))</f>
        <v/>
      </c>
      <c r="AP231" s="1362" t="str">
        <f t="shared" ref="AP231:AP239" si="743">IF($F231="na","",IF($F231=O231,"X",""))</f>
        <v/>
      </c>
      <c r="AQ231" s="1362" t="str">
        <f t="shared" ref="AQ231:AQ239" si="744">IF($F231="na","",IF($F231=P231,"X",""))</f>
        <v/>
      </c>
      <c r="AR231" s="1364" t="str">
        <f t="shared" ref="AR231:AR239" si="745">IF($F231="na","",IF($F231=Q231,"X",""))</f>
        <v/>
      </c>
      <c r="AT231" s="1062"/>
      <c r="AY231" s="4"/>
    </row>
    <row r="232" spans="1:51" ht="13.9" customHeight="1" x14ac:dyDescent="0.25">
      <c r="A232" s="846">
        <f>Chem!A232</f>
        <v>230</v>
      </c>
      <c r="B232" s="950" t="str">
        <f>Chem!B232</f>
        <v>Perfluorobutanoic acid (PFBA)</v>
      </c>
      <c r="C232" s="497">
        <f t="shared" si="690"/>
        <v>4.4172426666666667E-2</v>
      </c>
      <c r="D232" s="497">
        <f t="shared" si="691"/>
        <v>2.9005333333333339E-3</v>
      </c>
      <c r="E232" s="497">
        <f t="shared" si="692"/>
        <v>80</v>
      </c>
      <c r="F232" s="497">
        <f t="shared" si="693"/>
        <v>80</v>
      </c>
      <c r="G232" s="497"/>
      <c r="H232" s="503">
        <f>'SL-Det'!E232</f>
        <v>80</v>
      </c>
      <c r="I232" s="233">
        <f>Leach!F232</f>
        <v>4.4172426666666667E-2</v>
      </c>
      <c r="J232" s="233" t="str">
        <f>Leach!I232</f>
        <v>na</v>
      </c>
      <c r="K232" s="233" t="str">
        <f>Leach!L232</f>
        <v>na</v>
      </c>
      <c r="L232" s="475">
        <f>Leach!G232</f>
        <v>2.9005333333333339E-3</v>
      </c>
      <c r="M232" s="475" t="str">
        <f>Leach!J232</f>
        <v>na</v>
      </c>
      <c r="N232" s="475" t="str">
        <f>Leach!M232</f>
        <v>na</v>
      </c>
      <c r="O232" s="1441" t="str">
        <f>'SD-Det'!Z232</f>
        <v>na</v>
      </c>
      <c r="P232" s="494" t="str">
        <f>'SL-Det'!I232</f>
        <v>na</v>
      </c>
      <c r="Q232" s="975" t="s">
        <v>232</v>
      </c>
      <c r="S232" s="1361" t="str">
        <f t="shared" ref="S232" si="746">IF($C232="na","",IF($C232=H232,"X",""))</f>
        <v/>
      </c>
      <c r="T232" s="1362" t="str">
        <f t="shared" ref="T232" si="747">IF($C232="na","",IF($C232=I232,"X",""))</f>
        <v>X</v>
      </c>
      <c r="U232" s="1362" t="str">
        <f t="shared" ref="U232" si="748">IF($C232="na","",IF($C232=J232,"X",""))</f>
        <v/>
      </c>
      <c r="V232" s="1362" t="str">
        <f t="shared" ref="V232" si="749">IF($C232="na","",IF($C232=K232,"X",""))</f>
        <v/>
      </c>
      <c r="W232" s="1362" t="str">
        <f t="shared" ref="W232" si="750">IF($C232="na","",IF($C232=O232,"X",""))</f>
        <v/>
      </c>
      <c r="X232" s="1362" t="str">
        <f t="shared" ref="X232" si="751">IF($C232="na","",IF($C232=P232,"X",""))</f>
        <v/>
      </c>
      <c r="Y232" s="1363" t="str">
        <f t="shared" ref="Y232" si="752">IF($C232="na","",IF($C232=Q232,"X",""))</f>
        <v/>
      </c>
      <c r="Z232" s="1361" t="str">
        <f t="shared" ref="Z232" si="753">IF($D232="na","",IF($D232=H232,"X",""))</f>
        <v/>
      </c>
      <c r="AA232" s="1362" t="str">
        <f t="shared" ref="AA232" si="754">IF($D232="na","",IF($D232=L232,"X",""))</f>
        <v>X</v>
      </c>
      <c r="AB232" s="1362" t="str">
        <f t="shared" ref="AB232" si="755">IF($D232="na","",IF($D232=M232,"X",""))</f>
        <v/>
      </c>
      <c r="AC232" s="1362" t="str">
        <f t="shared" ref="AC232" si="756">IF($D232="na","",IF($D232=N232,"X",""))</f>
        <v/>
      </c>
      <c r="AD232" s="1362" t="str">
        <f t="shared" ref="AD232" si="757">IF($D232="na","",IF($D232=O232,"X",""))</f>
        <v/>
      </c>
      <c r="AE232" s="1362" t="str">
        <f t="shared" ref="AE232" si="758">IF($D232="na","",IF($D232=P232,"X",""))</f>
        <v/>
      </c>
      <c r="AF232" s="1363" t="str">
        <f t="shared" ref="AF232" si="759">IF($D232="na","",IF($D232=Q232,"X",""))</f>
        <v/>
      </c>
      <c r="AG232" s="1361" t="str">
        <f t="shared" ref="AG232" si="760">IF($E232="na","",IF($E232=H232,"X",""))</f>
        <v>X</v>
      </c>
      <c r="AH232" s="1362" t="str">
        <f t="shared" ref="AH232" si="761">IF($E232="na","",IF($E232=J232,"X",""))</f>
        <v/>
      </c>
      <c r="AI232" s="1362" t="str">
        <f t="shared" ref="AI232" si="762">IF($E232="na","",IF($E232=K232,"X",""))</f>
        <v/>
      </c>
      <c r="AJ232" s="1362" t="str">
        <f t="shared" ref="AJ232" si="763">IF($E232="na","",IF($E232=O232,"X",""))</f>
        <v/>
      </c>
      <c r="AK232" s="1362" t="str">
        <f t="shared" ref="AK232" si="764">IF($E232="na","",IF($E232=P232,"X",""))</f>
        <v/>
      </c>
      <c r="AL232" s="1363" t="str">
        <f t="shared" ref="AL232" si="765">IF($E232="na","",IF($E232=Q232,"X",""))</f>
        <v/>
      </c>
      <c r="AM232" s="1361" t="str">
        <f t="shared" ref="AM232" si="766">IF($F232="na","",IF($F232=H232,"X",""))</f>
        <v>X</v>
      </c>
      <c r="AN232" s="1362" t="str">
        <f t="shared" ref="AN232" si="767">IF($F232="na","",IF($F232=M232,"X",""))</f>
        <v/>
      </c>
      <c r="AO232" s="1362" t="str">
        <f t="shared" ref="AO232" si="768">IF($F232="na","",IF($F232=N232,"X",""))</f>
        <v/>
      </c>
      <c r="AP232" s="1362" t="str">
        <f t="shared" ref="AP232" si="769">IF($F232="na","",IF($F232=O232,"X",""))</f>
        <v/>
      </c>
      <c r="AQ232" s="1362" t="str">
        <f t="shared" ref="AQ232" si="770">IF($F232="na","",IF($F232=P232,"X",""))</f>
        <v/>
      </c>
      <c r="AR232" s="1364" t="str">
        <f t="shared" ref="AR232" si="771">IF($F232="na","",IF($F232=Q232,"X",""))</f>
        <v/>
      </c>
      <c r="AT232" s="1062"/>
      <c r="AY232" s="4"/>
    </row>
    <row r="233" spans="1:51" ht="13.9" customHeight="1" x14ac:dyDescent="0.25">
      <c r="A233" s="846">
        <f>Chem!A233</f>
        <v>231</v>
      </c>
      <c r="B233" s="951" t="str">
        <f>Chem!B233</f>
        <v>Perfluorobutanesulfonic acid (PFBS)</v>
      </c>
      <c r="C233" s="463">
        <f t="shared" si="690"/>
        <v>2.5123200100671997E-2</v>
      </c>
      <c r="D233" s="463">
        <f t="shared" si="691"/>
        <v>1.67216E-3</v>
      </c>
      <c r="E233" s="463">
        <f t="shared" si="692"/>
        <v>20.2</v>
      </c>
      <c r="F233" s="463">
        <f t="shared" si="693"/>
        <v>20.2</v>
      </c>
      <c r="G233" s="463"/>
      <c r="H233" s="501">
        <f>'SL-Det'!E233</f>
        <v>23.999999999999996</v>
      </c>
      <c r="I233" s="231">
        <f>Leach!F233</f>
        <v>2.5123200100671997E-2</v>
      </c>
      <c r="J233" s="231">
        <f>Leach!I233</f>
        <v>664.71800266361322</v>
      </c>
      <c r="K233" s="231" t="str">
        <f>Leach!L233</f>
        <v>na</v>
      </c>
      <c r="L233" s="476">
        <f>Leach!G233</f>
        <v>1.67216E-3</v>
      </c>
      <c r="M233" s="476">
        <f>Leach!J233</f>
        <v>44.242566666666676</v>
      </c>
      <c r="N233" s="476" t="str">
        <f>Leach!M233</f>
        <v>na</v>
      </c>
      <c r="O233" s="1443" t="str">
        <f>'SD-Det'!Z233</f>
        <v>na</v>
      </c>
      <c r="P233" s="492">
        <f>'SL-Det'!H233</f>
        <v>20.2</v>
      </c>
      <c r="Q233" s="970" t="s">
        <v>232</v>
      </c>
      <c r="S233" s="832" t="str">
        <f t="shared" si="720"/>
        <v/>
      </c>
      <c r="T233" s="366" t="str">
        <f t="shared" si="721"/>
        <v>X</v>
      </c>
      <c r="U233" s="366" t="str">
        <f t="shared" si="722"/>
        <v/>
      </c>
      <c r="V233" s="366" t="str">
        <f t="shared" si="723"/>
        <v/>
      </c>
      <c r="W233" s="366" t="str">
        <f t="shared" si="724"/>
        <v/>
      </c>
      <c r="X233" s="366" t="str">
        <f t="shared" si="725"/>
        <v/>
      </c>
      <c r="Y233" s="989" t="str">
        <f t="shared" si="726"/>
        <v/>
      </c>
      <c r="Z233" s="832" t="str">
        <f t="shared" si="727"/>
        <v/>
      </c>
      <c r="AA233" s="366" t="str">
        <f t="shared" si="728"/>
        <v>X</v>
      </c>
      <c r="AB233" s="366" t="str">
        <f t="shared" si="729"/>
        <v/>
      </c>
      <c r="AC233" s="366" t="str">
        <f t="shared" si="730"/>
        <v/>
      </c>
      <c r="AD233" s="366" t="str">
        <f t="shared" si="731"/>
        <v/>
      </c>
      <c r="AE233" s="366" t="str">
        <f t="shared" si="732"/>
        <v/>
      </c>
      <c r="AF233" s="989" t="str">
        <f t="shared" si="733"/>
        <v/>
      </c>
      <c r="AG233" s="832" t="str">
        <f t="shared" si="734"/>
        <v/>
      </c>
      <c r="AH233" s="366" t="str">
        <f t="shared" si="735"/>
        <v/>
      </c>
      <c r="AI233" s="366" t="str">
        <f t="shared" si="736"/>
        <v/>
      </c>
      <c r="AJ233" s="366" t="str">
        <f t="shared" si="737"/>
        <v/>
      </c>
      <c r="AK233" s="366" t="str">
        <f t="shared" si="738"/>
        <v>X</v>
      </c>
      <c r="AL233" s="989" t="str">
        <f t="shared" si="739"/>
        <v/>
      </c>
      <c r="AM233" s="832" t="str">
        <f t="shared" si="740"/>
        <v/>
      </c>
      <c r="AN233" s="366" t="str">
        <f t="shared" si="741"/>
        <v/>
      </c>
      <c r="AO233" s="366" t="str">
        <f t="shared" si="742"/>
        <v/>
      </c>
      <c r="AP233" s="366" t="str">
        <f t="shared" si="743"/>
        <v/>
      </c>
      <c r="AQ233" s="366" t="str">
        <f t="shared" si="744"/>
        <v>X</v>
      </c>
      <c r="AR233" s="833" t="str">
        <f t="shared" si="745"/>
        <v/>
      </c>
      <c r="AT233" s="1062"/>
      <c r="AY233" s="4"/>
    </row>
    <row r="234" spans="1:51" ht="13.9" customHeight="1" x14ac:dyDescent="0.25">
      <c r="A234" s="846">
        <f>Chem!A234</f>
        <v>232</v>
      </c>
      <c r="B234" s="951" t="str">
        <f>Chem!B234</f>
        <v>Perfluorodecanoic acid (PFDA)</v>
      </c>
      <c r="C234" s="463">
        <f t="shared" si="690"/>
        <v>3.8272000011980807E-7</v>
      </c>
      <c r="D234" s="463">
        <f t="shared" si="691"/>
        <v>2.1909333333333344E-8</v>
      </c>
      <c r="E234" s="463">
        <f t="shared" si="692"/>
        <v>1.6000000000000001E-4</v>
      </c>
      <c r="F234" s="463">
        <f t="shared" si="693"/>
        <v>1.6000000000000001E-4</v>
      </c>
      <c r="G234" s="463"/>
      <c r="H234" s="501">
        <f>'SL-Det'!E234</f>
        <v>1.6000000000000001E-4</v>
      </c>
      <c r="I234" s="231">
        <f>Leach!F234</f>
        <v>3.8272000011980807E-7</v>
      </c>
      <c r="J234" s="231">
        <f>Leach!I234</f>
        <v>0.932880000292032</v>
      </c>
      <c r="K234" s="231" t="str">
        <f>Leach!L234</f>
        <v>na</v>
      </c>
      <c r="L234" s="476">
        <f>Leach!G234</f>
        <v>2.1909333333333344E-8</v>
      </c>
      <c r="M234" s="476">
        <f>Leach!J234</f>
        <v>5.3404000000000007E-2</v>
      </c>
      <c r="N234" s="476" t="str">
        <f>Leach!M234</f>
        <v>na</v>
      </c>
      <c r="O234" s="1443" t="str">
        <f>'SD-Det'!Z234</f>
        <v>na</v>
      </c>
      <c r="P234" s="492">
        <f>'SL-Det'!H234</f>
        <v>0.13700000000000001</v>
      </c>
      <c r="Q234" s="970" t="s">
        <v>232</v>
      </c>
      <c r="S234" s="832" t="str">
        <f t="shared" ref="S234" si="772">IF($C234="na","",IF($C234=H234,"X",""))</f>
        <v/>
      </c>
      <c r="T234" s="366" t="str">
        <f t="shared" ref="T234" si="773">IF($C234="na","",IF($C234=I234,"X",""))</f>
        <v>X</v>
      </c>
      <c r="U234" s="366" t="str">
        <f t="shared" ref="U234" si="774">IF($C234="na","",IF($C234=J234,"X",""))</f>
        <v/>
      </c>
      <c r="V234" s="366" t="str">
        <f t="shared" ref="V234" si="775">IF($C234="na","",IF($C234=K234,"X",""))</f>
        <v/>
      </c>
      <c r="W234" s="366" t="str">
        <f t="shared" ref="W234" si="776">IF($C234="na","",IF($C234=O234,"X",""))</f>
        <v/>
      </c>
      <c r="X234" s="366" t="str">
        <f t="shared" ref="X234" si="777">IF($C234="na","",IF($C234=P234,"X",""))</f>
        <v/>
      </c>
      <c r="Y234" s="989" t="str">
        <f t="shared" ref="Y234" si="778">IF($C234="na","",IF($C234=Q234,"X",""))</f>
        <v/>
      </c>
      <c r="Z234" s="832" t="str">
        <f t="shared" ref="Z234" si="779">IF($D234="na","",IF($D234=H234,"X",""))</f>
        <v/>
      </c>
      <c r="AA234" s="366" t="str">
        <f t="shared" ref="AA234" si="780">IF($D234="na","",IF($D234=L234,"X",""))</f>
        <v>X</v>
      </c>
      <c r="AB234" s="366" t="str">
        <f t="shared" ref="AB234" si="781">IF($D234="na","",IF($D234=M234,"X",""))</f>
        <v/>
      </c>
      <c r="AC234" s="366" t="str">
        <f t="shared" ref="AC234" si="782">IF($D234="na","",IF($D234=N234,"X",""))</f>
        <v/>
      </c>
      <c r="AD234" s="366" t="str">
        <f t="shared" ref="AD234" si="783">IF($D234="na","",IF($D234=O234,"X",""))</f>
        <v/>
      </c>
      <c r="AE234" s="366" t="str">
        <f t="shared" ref="AE234" si="784">IF($D234="na","",IF($D234=P234,"X",""))</f>
        <v/>
      </c>
      <c r="AF234" s="989" t="str">
        <f t="shared" ref="AF234" si="785">IF($D234="na","",IF($D234=Q234,"X",""))</f>
        <v/>
      </c>
      <c r="AG234" s="832" t="str">
        <f t="shared" ref="AG234" si="786">IF($E234="na","",IF($E234=H234,"X",""))</f>
        <v>X</v>
      </c>
      <c r="AH234" s="366" t="str">
        <f t="shared" ref="AH234" si="787">IF($E234="na","",IF($E234=J234,"X",""))</f>
        <v/>
      </c>
      <c r="AI234" s="366" t="str">
        <f t="shared" ref="AI234" si="788">IF($E234="na","",IF($E234=K234,"X",""))</f>
        <v/>
      </c>
      <c r="AJ234" s="366" t="str">
        <f t="shared" ref="AJ234" si="789">IF($E234="na","",IF($E234=O234,"X",""))</f>
        <v/>
      </c>
      <c r="AK234" s="366" t="str">
        <f t="shared" ref="AK234" si="790">IF($E234="na","",IF($E234=P234,"X",""))</f>
        <v/>
      </c>
      <c r="AL234" s="989" t="str">
        <f t="shared" ref="AL234" si="791">IF($E234="na","",IF($E234=Q234,"X",""))</f>
        <v/>
      </c>
      <c r="AM234" s="832" t="str">
        <f t="shared" ref="AM234" si="792">IF($F234="na","",IF($F234=H234,"X",""))</f>
        <v>X</v>
      </c>
      <c r="AN234" s="366" t="str">
        <f t="shared" ref="AN234" si="793">IF($F234="na","",IF($F234=M234,"X",""))</f>
        <v/>
      </c>
      <c r="AO234" s="366" t="str">
        <f t="shared" ref="AO234" si="794">IF($F234="na","",IF($F234=N234,"X",""))</f>
        <v/>
      </c>
      <c r="AP234" s="366" t="str">
        <f t="shared" ref="AP234" si="795">IF($F234="na","",IF($F234=O234,"X",""))</f>
        <v/>
      </c>
      <c r="AQ234" s="366" t="str">
        <f t="shared" ref="AQ234" si="796">IF($F234="na","",IF($F234=P234,"X",""))</f>
        <v/>
      </c>
      <c r="AR234" s="833" t="str">
        <f t="shared" ref="AR234" si="797">IF($F234="na","",IF($F234=Q234,"X",""))</f>
        <v/>
      </c>
      <c r="AT234" s="1062"/>
      <c r="AY234" s="4"/>
    </row>
    <row r="235" spans="1:51" ht="13.9" customHeight="1" x14ac:dyDescent="0.25">
      <c r="A235" s="846">
        <f>Chem!A235</f>
        <v>233</v>
      </c>
      <c r="B235" s="951" t="str">
        <f>Chem!B235</f>
        <v>Perfluorohexanoic acid (PFHxA)</v>
      </c>
      <c r="C235" s="463">
        <f t="shared" si="690"/>
        <v>3.5267200133258667E-2</v>
      </c>
      <c r="D235" s="463">
        <f t="shared" si="691"/>
        <v>2.4566933333333334E-3</v>
      </c>
      <c r="E235" s="463">
        <f t="shared" si="692"/>
        <v>40</v>
      </c>
      <c r="F235" s="463">
        <f t="shared" si="693"/>
        <v>40</v>
      </c>
      <c r="G235" s="463"/>
      <c r="H235" s="501">
        <f>'SL-Det'!E235</f>
        <v>40</v>
      </c>
      <c r="I235" s="231">
        <f>Leach!F235</f>
        <v>3.5267200133258667E-2</v>
      </c>
      <c r="J235" s="231" t="str">
        <f>Leach!I235</f>
        <v>na</v>
      </c>
      <c r="K235" s="231" t="str">
        <f>Leach!L235</f>
        <v>na</v>
      </c>
      <c r="L235" s="476">
        <f>Leach!G235</f>
        <v>2.4566933333333334E-3</v>
      </c>
      <c r="M235" s="476" t="str">
        <f>Leach!J235</f>
        <v>na</v>
      </c>
      <c r="N235" s="476" t="str">
        <f>Leach!M235</f>
        <v>na</v>
      </c>
      <c r="O235" s="1443" t="str">
        <f>'SD-Det'!Z235</f>
        <v>na</v>
      </c>
      <c r="P235" s="492">
        <f>'SL-Det'!H235</f>
        <v>59.2</v>
      </c>
      <c r="Q235" s="970" t="s">
        <v>232</v>
      </c>
      <c r="S235" s="832" t="str">
        <f t="shared" ref="S235" si="798">IF($C235="na","",IF($C235=H235,"X",""))</f>
        <v/>
      </c>
      <c r="T235" s="366" t="str">
        <f t="shared" ref="T235" si="799">IF($C235="na","",IF($C235=I235,"X",""))</f>
        <v>X</v>
      </c>
      <c r="U235" s="366" t="str">
        <f t="shared" ref="U235" si="800">IF($C235="na","",IF($C235=J235,"X",""))</f>
        <v/>
      </c>
      <c r="V235" s="366" t="str">
        <f t="shared" ref="V235" si="801">IF($C235="na","",IF($C235=K235,"X",""))</f>
        <v/>
      </c>
      <c r="W235" s="366" t="str">
        <f t="shared" ref="W235" si="802">IF($C235="na","",IF($C235=O235,"X",""))</f>
        <v/>
      </c>
      <c r="X235" s="366" t="str">
        <f t="shared" ref="X235" si="803">IF($C235="na","",IF($C235=P235,"X",""))</f>
        <v/>
      </c>
      <c r="Y235" s="989" t="str">
        <f t="shared" ref="Y235" si="804">IF($C235="na","",IF($C235=Q235,"X",""))</f>
        <v/>
      </c>
      <c r="Z235" s="832" t="str">
        <f t="shared" ref="Z235" si="805">IF($D235="na","",IF($D235=H235,"X",""))</f>
        <v/>
      </c>
      <c r="AA235" s="366" t="str">
        <f t="shared" ref="AA235" si="806">IF($D235="na","",IF($D235=L235,"X",""))</f>
        <v>X</v>
      </c>
      <c r="AB235" s="366" t="str">
        <f t="shared" ref="AB235" si="807">IF($D235="na","",IF($D235=M235,"X",""))</f>
        <v/>
      </c>
      <c r="AC235" s="366" t="str">
        <f t="shared" ref="AC235" si="808">IF($D235="na","",IF($D235=N235,"X",""))</f>
        <v/>
      </c>
      <c r="AD235" s="366" t="str">
        <f t="shared" ref="AD235" si="809">IF($D235="na","",IF($D235=O235,"X",""))</f>
        <v/>
      </c>
      <c r="AE235" s="366" t="str">
        <f t="shared" ref="AE235" si="810">IF($D235="na","",IF($D235=P235,"X",""))</f>
        <v/>
      </c>
      <c r="AF235" s="989" t="str">
        <f t="shared" ref="AF235" si="811">IF($D235="na","",IF($D235=Q235,"X",""))</f>
        <v/>
      </c>
      <c r="AG235" s="832" t="str">
        <f t="shared" ref="AG235" si="812">IF($E235="na","",IF($E235=H235,"X",""))</f>
        <v>X</v>
      </c>
      <c r="AH235" s="366" t="str">
        <f t="shared" ref="AH235" si="813">IF($E235="na","",IF($E235=J235,"X",""))</f>
        <v/>
      </c>
      <c r="AI235" s="366" t="str">
        <f t="shared" ref="AI235" si="814">IF($E235="na","",IF($E235=K235,"X",""))</f>
        <v/>
      </c>
      <c r="AJ235" s="366" t="str">
        <f t="shared" ref="AJ235" si="815">IF($E235="na","",IF($E235=O235,"X",""))</f>
        <v/>
      </c>
      <c r="AK235" s="366" t="str">
        <f t="shared" ref="AK235" si="816">IF($E235="na","",IF($E235=P235,"X",""))</f>
        <v/>
      </c>
      <c r="AL235" s="989" t="str">
        <f t="shared" ref="AL235" si="817">IF($E235="na","",IF($E235=Q235,"X",""))</f>
        <v/>
      </c>
      <c r="AM235" s="832" t="str">
        <f t="shared" ref="AM235" si="818">IF($F235="na","",IF($F235=H235,"X",""))</f>
        <v>X</v>
      </c>
      <c r="AN235" s="366" t="str">
        <f t="shared" ref="AN235" si="819">IF($F235="na","",IF($F235=M235,"X",""))</f>
        <v/>
      </c>
      <c r="AO235" s="366" t="str">
        <f t="shared" ref="AO235" si="820">IF($F235="na","",IF($F235=N235,"X",""))</f>
        <v/>
      </c>
      <c r="AP235" s="366" t="str">
        <f t="shared" ref="AP235" si="821">IF($F235="na","",IF($F235=O235,"X",""))</f>
        <v/>
      </c>
      <c r="AQ235" s="366" t="str">
        <f t="shared" ref="AQ235" si="822">IF($F235="na","",IF($F235=P235,"X",""))</f>
        <v/>
      </c>
      <c r="AR235" s="833" t="str">
        <f t="shared" ref="AR235" si="823">IF($F235="na","",IF($F235=Q235,"X",""))</f>
        <v/>
      </c>
      <c r="AT235" s="1062"/>
      <c r="AY235" s="4"/>
    </row>
    <row r="236" spans="1:51" ht="13.9" customHeight="1" x14ac:dyDescent="0.25">
      <c r="A236" s="846">
        <f>Chem!A236</f>
        <v>234</v>
      </c>
      <c r="B236" s="951" t="str">
        <f>Chem!B236</f>
        <v>Perfluorohexanesulfonic acid (PFHxS)</v>
      </c>
      <c r="C236" s="463">
        <f t="shared" si="690"/>
        <v>3.9936000000000001E-8</v>
      </c>
      <c r="D236" s="463">
        <f t="shared" si="691"/>
        <v>2.5514666666666672E-9</v>
      </c>
      <c r="E236" s="463">
        <f t="shared" si="692"/>
        <v>3.1999999999999999E-5</v>
      </c>
      <c r="F236" s="463">
        <f t="shared" si="693"/>
        <v>3.1999999999999999E-5</v>
      </c>
      <c r="G236" s="463"/>
      <c r="H236" s="501">
        <f>'SL-Det'!E236</f>
        <v>3.1999999999999999E-5</v>
      </c>
      <c r="I236" s="231">
        <f>Leach!F236</f>
        <v>3.9936000000000001E-8</v>
      </c>
      <c r="J236" s="231" t="str">
        <f>Leach!I236</f>
        <v>na</v>
      </c>
      <c r="K236" s="231" t="str">
        <f>Leach!L236</f>
        <v>na</v>
      </c>
      <c r="L236" s="476">
        <f>Leach!G236</f>
        <v>2.5514666666666672E-9</v>
      </c>
      <c r="M236" s="476" t="str">
        <f>Leach!J236</f>
        <v>na</v>
      </c>
      <c r="N236" s="476" t="str">
        <f>Leach!M236</f>
        <v>na</v>
      </c>
      <c r="O236" s="1443" t="str">
        <f>'SD-Det'!Z236</f>
        <v>na</v>
      </c>
      <c r="P236" s="492">
        <f>'SL-Det'!H236</f>
        <v>3.49E-2</v>
      </c>
      <c r="Q236" s="970" t="s">
        <v>232</v>
      </c>
      <c r="S236" s="832" t="str">
        <f t="shared" si="720"/>
        <v/>
      </c>
      <c r="T236" s="366" t="str">
        <f t="shared" si="721"/>
        <v>X</v>
      </c>
      <c r="U236" s="366" t="str">
        <f t="shared" si="722"/>
        <v/>
      </c>
      <c r="V236" s="366" t="str">
        <f t="shared" si="723"/>
        <v/>
      </c>
      <c r="W236" s="366" t="str">
        <f t="shared" si="724"/>
        <v/>
      </c>
      <c r="X236" s="366" t="str">
        <f t="shared" si="725"/>
        <v/>
      </c>
      <c r="Y236" s="989" t="str">
        <f t="shared" si="726"/>
        <v/>
      </c>
      <c r="Z236" s="832" t="str">
        <f t="shared" si="727"/>
        <v/>
      </c>
      <c r="AA236" s="366" t="str">
        <f t="shared" si="728"/>
        <v>X</v>
      </c>
      <c r="AB236" s="366" t="str">
        <f t="shared" si="729"/>
        <v/>
      </c>
      <c r="AC236" s="366" t="str">
        <f t="shared" si="730"/>
        <v/>
      </c>
      <c r="AD236" s="366" t="str">
        <f t="shared" si="731"/>
        <v/>
      </c>
      <c r="AE236" s="366" t="str">
        <f t="shared" si="732"/>
        <v/>
      </c>
      <c r="AF236" s="989" t="str">
        <f t="shared" si="733"/>
        <v/>
      </c>
      <c r="AG236" s="832" t="str">
        <f t="shared" si="734"/>
        <v>X</v>
      </c>
      <c r="AH236" s="366" t="str">
        <f t="shared" si="735"/>
        <v/>
      </c>
      <c r="AI236" s="366" t="str">
        <f t="shared" si="736"/>
        <v/>
      </c>
      <c r="AJ236" s="366" t="str">
        <f t="shared" si="737"/>
        <v/>
      </c>
      <c r="AK236" s="366" t="str">
        <f t="shared" si="738"/>
        <v/>
      </c>
      <c r="AL236" s="989" t="str">
        <f t="shared" si="739"/>
        <v/>
      </c>
      <c r="AM236" s="832" t="str">
        <f t="shared" si="740"/>
        <v>X</v>
      </c>
      <c r="AN236" s="366" t="str">
        <f t="shared" si="741"/>
        <v/>
      </c>
      <c r="AO236" s="366" t="str">
        <f t="shared" si="742"/>
        <v/>
      </c>
      <c r="AP236" s="366" t="str">
        <f t="shared" si="743"/>
        <v/>
      </c>
      <c r="AQ236" s="366" t="str">
        <f t="shared" si="744"/>
        <v/>
      </c>
      <c r="AR236" s="833" t="str">
        <f t="shared" si="745"/>
        <v/>
      </c>
      <c r="AT236" s="1062"/>
      <c r="AY236" s="4"/>
    </row>
    <row r="237" spans="1:51" ht="13.9" customHeight="1" x14ac:dyDescent="0.25">
      <c r="A237" s="846">
        <f>Chem!A237</f>
        <v>235</v>
      </c>
      <c r="B237" s="951" t="str">
        <f>Chem!B237</f>
        <v>Perfluorononanoic acid (PFNA)</v>
      </c>
      <c r="C237" s="463">
        <f t="shared" si="690"/>
        <v>8.92E-5</v>
      </c>
      <c r="D237" s="463">
        <f t="shared" si="691"/>
        <v>5.3266666666666668E-6</v>
      </c>
      <c r="E237" s="463">
        <f t="shared" si="692"/>
        <v>9.2768000000000003E-2</v>
      </c>
      <c r="F237" s="463">
        <f t="shared" si="693"/>
        <v>5.5397333333333338E-3</v>
      </c>
      <c r="G237" s="463"/>
      <c r="H237" s="501">
        <f>'SL-Det'!E237</f>
        <v>0.2</v>
      </c>
      <c r="I237" s="231">
        <f>Leach!F237</f>
        <v>8.92E-5</v>
      </c>
      <c r="J237" s="231">
        <f>Leach!I237</f>
        <v>9.2768000000000003E-2</v>
      </c>
      <c r="K237" s="231" t="str">
        <f>Leach!L237</f>
        <v>na</v>
      </c>
      <c r="L237" s="476">
        <f>Leach!G237</f>
        <v>5.3266666666666668E-6</v>
      </c>
      <c r="M237" s="476">
        <f>Leach!J237</f>
        <v>5.5397333333333338E-3</v>
      </c>
      <c r="N237" s="476" t="str">
        <f>Leach!M237</f>
        <v>na</v>
      </c>
      <c r="O237" s="1443" t="str">
        <f>'SD-Det'!Z237</f>
        <v>na</v>
      </c>
      <c r="P237" s="492">
        <f>'SL-Det'!H237</f>
        <v>0.20599999999999999</v>
      </c>
      <c r="Q237" s="970" t="s">
        <v>232</v>
      </c>
      <c r="S237" s="832" t="str">
        <f t="shared" si="720"/>
        <v/>
      </c>
      <c r="T237" s="366" t="str">
        <f t="shared" si="721"/>
        <v>X</v>
      </c>
      <c r="U237" s="366" t="str">
        <f t="shared" si="722"/>
        <v/>
      </c>
      <c r="V237" s="366" t="str">
        <f t="shared" si="723"/>
        <v/>
      </c>
      <c r="W237" s="366" t="str">
        <f t="shared" si="724"/>
        <v/>
      </c>
      <c r="X237" s="366" t="str">
        <f t="shared" si="725"/>
        <v/>
      </c>
      <c r="Y237" s="989" t="str">
        <f t="shared" si="726"/>
        <v/>
      </c>
      <c r="Z237" s="832" t="str">
        <f t="shared" si="727"/>
        <v/>
      </c>
      <c r="AA237" s="366" t="str">
        <f t="shared" si="728"/>
        <v>X</v>
      </c>
      <c r="AB237" s="366" t="str">
        <f t="shared" si="729"/>
        <v/>
      </c>
      <c r="AC237" s="366" t="str">
        <f t="shared" si="730"/>
        <v/>
      </c>
      <c r="AD237" s="366" t="str">
        <f t="shared" si="731"/>
        <v/>
      </c>
      <c r="AE237" s="366" t="str">
        <f t="shared" si="732"/>
        <v/>
      </c>
      <c r="AF237" s="989" t="str">
        <f t="shared" si="733"/>
        <v/>
      </c>
      <c r="AG237" s="832" t="str">
        <f t="shared" si="734"/>
        <v/>
      </c>
      <c r="AH237" s="366" t="str">
        <f t="shared" si="735"/>
        <v>X</v>
      </c>
      <c r="AI237" s="366" t="str">
        <f t="shared" si="736"/>
        <v/>
      </c>
      <c r="AJ237" s="366" t="str">
        <f t="shared" si="737"/>
        <v/>
      </c>
      <c r="AK237" s="366" t="str">
        <f t="shared" si="738"/>
        <v/>
      </c>
      <c r="AL237" s="989" t="str">
        <f t="shared" si="739"/>
        <v/>
      </c>
      <c r="AM237" s="832" t="str">
        <f t="shared" si="740"/>
        <v/>
      </c>
      <c r="AN237" s="366" t="str">
        <f t="shared" si="741"/>
        <v>X</v>
      </c>
      <c r="AO237" s="366" t="str">
        <f t="shared" si="742"/>
        <v/>
      </c>
      <c r="AP237" s="366" t="str">
        <f t="shared" si="743"/>
        <v/>
      </c>
      <c r="AQ237" s="366" t="str">
        <f t="shared" si="744"/>
        <v/>
      </c>
      <c r="AR237" s="833" t="str">
        <f t="shared" si="745"/>
        <v/>
      </c>
      <c r="AT237" s="1062"/>
      <c r="AY237" s="4"/>
    </row>
    <row r="238" spans="1:51" ht="13.9" customHeight="1" x14ac:dyDescent="0.25">
      <c r="A238" s="846">
        <f>Chem!A238</f>
        <v>236</v>
      </c>
      <c r="B238" s="951" t="str">
        <f>Chem!B238</f>
        <v>Perfluorooctanesulfonic acid (PFOS)</v>
      </c>
      <c r="C238" s="463">
        <f t="shared" si="690"/>
        <v>4.576012301989643E-5</v>
      </c>
      <c r="D238" s="463">
        <f t="shared" si="691"/>
        <v>2.634666666666667E-6</v>
      </c>
      <c r="E238" s="463">
        <f t="shared" si="692"/>
        <v>8.0000000000000002E-3</v>
      </c>
      <c r="F238" s="463">
        <f t="shared" si="693"/>
        <v>7.2453333333333345E-4</v>
      </c>
      <c r="G238" s="463"/>
      <c r="H238" s="501">
        <f>'SL-Det'!E238</f>
        <v>8.0000000000000002E-3</v>
      </c>
      <c r="I238" s="231">
        <f>Leach!F238</f>
        <v>4.576012301989643E-5</v>
      </c>
      <c r="J238" s="231">
        <f>Leach!I238</f>
        <v>1.2584033830471518E-2</v>
      </c>
      <c r="K238" s="231" t="str">
        <f>Leach!L238</f>
        <v>na</v>
      </c>
      <c r="L238" s="476">
        <f>Leach!G238</f>
        <v>2.634666666666667E-6</v>
      </c>
      <c r="M238" s="476">
        <f>Leach!J238</f>
        <v>7.2453333333333345E-4</v>
      </c>
      <c r="N238" s="476" t="str">
        <f>Leach!M238</f>
        <v>na</v>
      </c>
      <c r="O238" s="1443" t="str">
        <f>'SD-Det'!Z238</f>
        <v>na</v>
      </c>
      <c r="P238" s="492">
        <f>'SL-Det'!H238</f>
        <v>7.8399999999999997E-2</v>
      </c>
      <c r="Q238" s="970" t="s">
        <v>232</v>
      </c>
      <c r="S238" s="832" t="str">
        <f t="shared" si="720"/>
        <v/>
      </c>
      <c r="T238" s="366" t="str">
        <f t="shared" si="721"/>
        <v>X</v>
      </c>
      <c r="U238" s="366" t="str">
        <f t="shared" si="722"/>
        <v/>
      </c>
      <c r="V238" s="366" t="str">
        <f t="shared" si="723"/>
        <v/>
      </c>
      <c r="W238" s="366" t="str">
        <f t="shared" si="724"/>
        <v/>
      </c>
      <c r="X238" s="366" t="str">
        <f t="shared" si="725"/>
        <v/>
      </c>
      <c r="Y238" s="989" t="str">
        <f t="shared" si="726"/>
        <v/>
      </c>
      <c r="Z238" s="832" t="str">
        <f t="shared" si="727"/>
        <v/>
      </c>
      <c r="AA238" s="366" t="str">
        <f t="shared" si="728"/>
        <v>X</v>
      </c>
      <c r="AB238" s="366" t="str">
        <f t="shared" si="729"/>
        <v/>
      </c>
      <c r="AC238" s="366" t="str">
        <f t="shared" si="730"/>
        <v/>
      </c>
      <c r="AD238" s="366" t="str">
        <f t="shared" si="731"/>
        <v/>
      </c>
      <c r="AE238" s="366" t="str">
        <f t="shared" si="732"/>
        <v/>
      </c>
      <c r="AF238" s="989" t="str">
        <f t="shared" si="733"/>
        <v/>
      </c>
      <c r="AG238" s="832" t="str">
        <f t="shared" si="734"/>
        <v>X</v>
      </c>
      <c r="AH238" s="366" t="str">
        <f t="shared" si="735"/>
        <v/>
      </c>
      <c r="AI238" s="366" t="str">
        <f t="shared" si="736"/>
        <v/>
      </c>
      <c r="AJ238" s="366" t="str">
        <f t="shared" si="737"/>
        <v/>
      </c>
      <c r="AK238" s="366" t="str">
        <f t="shared" si="738"/>
        <v/>
      </c>
      <c r="AL238" s="989" t="str">
        <f t="shared" si="739"/>
        <v/>
      </c>
      <c r="AM238" s="832" t="str">
        <f t="shared" si="740"/>
        <v/>
      </c>
      <c r="AN238" s="366" t="str">
        <f t="shared" si="741"/>
        <v>X</v>
      </c>
      <c r="AO238" s="366" t="str">
        <f t="shared" si="742"/>
        <v/>
      </c>
      <c r="AP238" s="366" t="str">
        <f t="shared" si="743"/>
        <v/>
      </c>
      <c r="AQ238" s="366" t="str">
        <f t="shared" si="744"/>
        <v/>
      </c>
      <c r="AR238" s="833" t="str">
        <f t="shared" si="745"/>
        <v/>
      </c>
      <c r="AT238" s="1062"/>
      <c r="AY238" s="4"/>
    </row>
    <row r="239" spans="1:51" ht="13.9" customHeight="1" x14ac:dyDescent="0.25">
      <c r="A239" s="1661">
        <f>Chem!A239</f>
        <v>237</v>
      </c>
      <c r="B239" s="1166" t="str">
        <f>Chem!B239</f>
        <v>Perfluorooctanoic acid (PFOA)</v>
      </c>
      <c r="C239" s="499">
        <f t="shared" si="690"/>
        <v>2.5201012502400002E-5</v>
      </c>
      <c r="D239" s="499">
        <f t="shared" si="691"/>
        <v>1.6066666666666666E-6</v>
      </c>
      <c r="E239" s="499">
        <f t="shared" si="692"/>
        <v>3.4129692832764505E-5</v>
      </c>
      <c r="F239" s="499">
        <f t="shared" si="693"/>
        <v>3.4129692832764505E-5</v>
      </c>
      <c r="G239" s="499"/>
      <c r="H239" s="506">
        <f>'SL-Det'!E239</f>
        <v>3.4129692832764505E-5</v>
      </c>
      <c r="I239" s="470">
        <f>Leach!F239</f>
        <v>2.5201012502400002E-5</v>
      </c>
      <c r="J239" s="470">
        <f>Leach!I239</f>
        <v>0.74973012194639999</v>
      </c>
      <c r="K239" s="470" t="str">
        <f>Leach!L239</f>
        <v>na</v>
      </c>
      <c r="L239" s="477">
        <f>Leach!G239</f>
        <v>1.6066666666666666E-6</v>
      </c>
      <c r="M239" s="477">
        <f>Leach!J239</f>
        <v>4.7798333333333339E-2</v>
      </c>
      <c r="N239" s="477" t="str">
        <f>Leach!M239</f>
        <v>na</v>
      </c>
      <c r="O239" s="1442" t="str">
        <f>'SD-Det'!Z239</f>
        <v>na</v>
      </c>
      <c r="P239" s="810">
        <f>'SL-Det'!H239</f>
        <v>0.46</v>
      </c>
      <c r="Q239" s="1169" t="s">
        <v>232</v>
      </c>
      <c r="S239" s="1121" t="str">
        <f t="shared" si="720"/>
        <v/>
      </c>
      <c r="T239" s="1171" t="str">
        <f t="shared" si="721"/>
        <v>X</v>
      </c>
      <c r="U239" s="1171" t="str">
        <f t="shared" si="722"/>
        <v/>
      </c>
      <c r="V239" s="1171" t="str">
        <f t="shared" si="723"/>
        <v/>
      </c>
      <c r="W239" s="1171" t="str">
        <f t="shared" si="724"/>
        <v/>
      </c>
      <c r="X239" s="1171" t="str">
        <f t="shared" si="725"/>
        <v/>
      </c>
      <c r="Y239" s="1172" t="str">
        <f t="shared" si="726"/>
        <v/>
      </c>
      <c r="Z239" s="1121" t="str">
        <f t="shared" si="727"/>
        <v/>
      </c>
      <c r="AA239" s="1171" t="str">
        <f t="shared" si="728"/>
        <v>X</v>
      </c>
      <c r="AB239" s="1171" t="str">
        <f t="shared" si="729"/>
        <v/>
      </c>
      <c r="AC239" s="1171" t="str">
        <f t="shared" si="730"/>
        <v/>
      </c>
      <c r="AD239" s="1171" t="str">
        <f t="shared" si="731"/>
        <v/>
      </c>
      <c r="AE239" s="1171" t="str">
        <f t="shared" si="732"/>
        <v/>
      </c>
      <c r="AF239" s="1172" t="str">
        <f t="shared" si="733"/>
        <v/>
      </c>
      <c r="AG239" s="1121" t="str">
        <f t="shared" si="734"/>
        <v>X</v>
      </c>
      <c r="AH239" s="1171" t="str">
        <f t="shared" si="735"/>
        <v/>
      </c>
      <c r="AI239" s="1171" t="str">
        <f t="shared" si="736"/>
        <v/>
      </c>
      <c r="AJ239" s="1171" t="str">
        <f t="shared" si="737"/>
        <v/>
      </c>
      <c r="AK239" s="1171" t="str">
        <f t="shared" si="738"/>
        <v/>
      </c>
      <c r="AL239" s="1172" t="str">
        <f t="shared" si="739"/>
        <v/>
      </c>
      <c r="AM239" s="1121" t="str">
        <f t="shared" si="740"/>
        <v>X</v>
      </c>
      <c r="AN239" s="1171" t="str">
        <f t="shared" si="741"/>
        <v/>
      </c>
      <c r="AO239" s="1171" t="str">
        <f t="shared" si="742"/>
        <v/>
      </c>
      <c r="AP239" s="1171" t="str">
        <f t="shared" si="743"/>
        <v/>
      </c>
      <c r="AQ239" s="1171" t="str">
        <f t="shared" si="744"/>
        <v/>
      </c>
      <c r="AR239" s="1173" t="str">
        <f t="shared" si="745"/>
        <v/>
      </c>
      <c r="AT239" s="1062"/>
      <c r="AY239" s="4"/>
    </row>
    <row r="240" spans="1:51" ht="13.9" customHeight="1" x14ac:dyDescent="0.25">
      <c r="A240" s="1197">
        <f>Chem!A240</f>
        <v>238</v>
      </c>
      <c r="B240" s="953" t="str">
        <f>Chem!B240</f>
        <v>Petroleum Hydrocarbons</v>
      </c>
      <c r="C240" s="28"/>
      <c r="D240" s="28"/>
      <c r="E240" s="28"/>
      <c r="F240" s="28"/>
      <c r="G240" s="28"/>
      <c r="H240" s="28"/>
      <c r="I240" s="28"/>
      <c r="J240" s="28"/>
      <c r="K240" s="28"/>
      <c r="L240" s="28"/>
      <c r="M240" s="28"/>
      <c r="N240" s="28"/>
      <c r="O240" s="43"/>
      <c r="P240" s="2323"/>
      <c r="Q240" s="2324"/>
      <c r="S240" s="26" t="str">
        <f>B240</f>
        <v>Petroleum Hydrocarbons</v>
      </c>
      <c r="T240" s="2328"/>
      <c r="U240" s="2328"/>
      <c r="V240" s="2328"/>
      <c r="W240" s="2328"/>
      <c r="X240" s="2328"/>
      <c r="Y240" s="2328"/>
      <c r="Z240" s="2328"/>
      <c r="AA240" s="2328"/>
      <c r="AB240" s="2328"/>
      <c r="AC240" s="2328"/>
      <c r="AD240" s="2328"/>
      <c r="AE240" s="2328"/>
      <c r="AF240" s="2328"/>
      <c r="AG240" s="2329"/>
      <c r="AH240" s="2328"/>
      <c r="AI240" s="2328"/>
      <c r="AJ240" s="2328"/>
      <c r="AK240" s="2328"/>
      <c r="AL240" s="2328"/>
      <c r="AM240" s="2328"/>
      <c r="AN240" s="2328"/>
      <c r="AO240" s="2328"/>
      <c r="AP240" s="2328"/>
      <c r="AQ240" s="2328"/>
      <c r="AR240" s="2330"/>
      <c r="AT240" s="2325"/>
      <c r="AY240" s="4"/>
    </row>
    <row r="241" spans="1:51" ht="13.9" customHeight="1" x14ac:dyDescent="0.25">
      <c r="A241" s="846">
        <f>Chem!A241</f>
        <v>239</v>
      </c>
      <c r="B241" s="951" t="str">
        <f>Chem!B241</f>
        <v>Gasoline range hydrocarbons, fresh</v>
      </c>
      <c r="C241" s="948">
        <f t="shared" ref="C241:C246" si="824">IF(MIN($H241,$I241:$K241,$O241,$P241)=0,"na",IF($Q241="na",MIN($H241,$I241:$K241,$O241,$P241),IF($Q241&gt;MIN($H241,$I241:$K241,$O241,$P241),$Q241,MIN($H241,$I241:$K241,$O241,$P241))))</f>
        <v>30</v>
      </c>
      <c r="D241" s="465">
        <f t="shared" ref="D241:D246" si="825">IF(MIN($H241,$L241:$N241,$O241,$P241)=0,"na",IF($Q241="na",MIN($H241,$L241:$N241,$O241,$P241),IF($Q241&gt;MIN($H241,$L241:$N241,$O241,$P241),$Q241,MIN($H241,$L241:$N241,$O241,$P241))))</f>
        <v>30</v>
      </c>
      <c r="E241" s="637">
        <f t="shared" ref="E241:E246" si="826">IF(MIN($H241,$J241:$K241,$O241,$P241)=0,"na",IF($Q241="na",MIN($H241,$J241:$K241,$O241,$P241),IF($Q241&gt;MIN($H241,$J241:$K241,$O241,$P241),$Q241,MIN($H241,$J241:$K241,$O241,$P241))))</f>
        <v>30</v>
      </c>
      <c r="F241" s="637">
        <f t="shared" ref="F241:F246" si="827">IF(MIN($H241,$M241:$P241)=0,"na",IF($Q241="na",MIN($H241,$M241:$P241),IF($Q241&gt;MIN($H241,$M241:$P241),$Q241,MIN($H241,$M241:$P241))))</f>
        <v>30</v>
      </c>
      <c r="G241" s="637"/>
      <c r="H241" s="467">
        <f>'SL-Det'!E241</f>
        <v>1500</v>
      </c>
      <c r="I241" s="469">
        <f>Leach!F241</f>
        <v>30</v>
      </c>
      <c r="J241" s="472">
        <f>Leach!I241</f>
        <v>30</v>
      </c>
      <c r="K241" s="472" t="str">
        <f>Leach!L241</f>
        <v>na</v>
      </c>
      <c r="L241" s="474">
        <f>Leach!G241</f>
        <v>30</v>
      </c>
      <c r="M241" s="480">
        <f>Leach!J241</f>
        <v>30</v>
      </c>
      <c r="N241" s="480" t="str">
        <f>Leach!M241</f>
        <v>na</v>
      </c>
      <c r="O241" s="485" t="str">
        <f>'SD-Det'!Z241</f>
        <v>na</v>
      </c>
      <c r="P241" s="495">
        <f>'SL-Det'!I241</f>
        <v>120</v>
      </c>
      <c r="Q241" s="975" t="s">
        <v>232</v>
      </c>
      <c r="S241" s="978" t="str">
        <f t="shared" ref="S241:V245" si="828">IF($C241="na","",IF($C241=H241,"X",""))</f>
        <v/>
      </c>
      <c r="T241" s="979" t="str">
        <f t="shared" si="828"/>
        <v>X</v>
      </c>
      <c r="U241" s="979" t="str">
        <f t="shared" si="828"/>
        <v>X</v>
      </c>
      <c r="V241" s="979" t="str">
        <f t="shared" si="828"/>
        <v/>
      </c>
      <c r="W241" s="979" t="str">
        <f t="shared" ref="W241:Y245" si="829">IF($C241="na","",IF($C241=O241,"X",""))</f>
        <v/>
      </c>
      <c r="X241" s="979" t="str">
        <f t="shared" si="829"/>
        <v/>
      </c>
      <c r="Y241" s="988" t="str">
        <f t="shared" si="829"/>
        <v/>
      </c>
      <c r="Z241" s="978" t="str">
        <f t="shared" ref="Z241:Z246" si="830">IF($D241="na","",IF($D241=H241,"X",""))</f>
        <v/>
      </c>
      <c r="AA241" s="979" t="str">
        <f t="shared" ref="AA241:AF245" si="831">IF($D241="na","",IF($D241=L241,"X",""))</f>
        <v>X</v>
      </c>
      <c r="AB241" s="979" t="str">
        <f t="shared" si="831"/>
        <v>X</v>
      </c>
      <c r="AC241" s="979" t="str">
        <f t="shared" si="831"/>
        <v/>
      </c>
      <c r="AD241" s="979" t="str">
        <f t="shared" si="831"/>
        <v/>
      </c>
      <c r="AE241" s="979" t="str">
        <f t="shared" si="831"/>
        <v/>
      </c>
      <c r="AF241" s="980" t="str">
        <f t="shared" si="831"/>
        <v/>
      </c>
      <c r="AG241" s="978" t="str">
        <f t="shared" ref="AG241:AG246" si="832">IF($E241="na","",IF($E241=H241,"X",""))</f>
        <v/>
      </c>
      <c r="AH241" s="979" t="str">
        <f t="shared" ref="AH241:AI245" si="833">IF($E241="na","",IF($E241=J241,"X",""))</f>
        <v>X</v>
      </c>
      <c r="AI241" s="979" t="str">
        <f t="shared" si="833"/>
        <v/>
      </c>
      <c r="AJ241" s="979" t="str">
        <f t="shared" ref="AJ241:AL245" si="834">IF($E241="na","",IF($E241=O241,"X",""))</f>
        <v/>
      </c>
      <c r="AK241" s="979" t="str">
        <f t="shared" si="834"/>
        <v/>
      </c>
      <c r="AL241" s="980" t="str">
        <f t="shared" si="834"/>
        <v/>
      </c>
      <c r="AM241" s="978" t="str">
        <f t="shared" ref="AM241:AM246" si="835">IF($F241="na","",IF($F241=H241,"X",""))</f>
        <v/>
      </c>
      <c r="AN241" s="979" t="str">
        <f t="shared" ref="AN241:AR245" si="836">IF($F241="na","",IF($F241=M241,"X",""))</f>
        <v>X</v>
      </c>
      <c r="AO241" s="979" t="str">
        <f t="shared" si="836"/>
        <v/>
      </c>
      <c r="AP241" s="979" t="str">
        <f t="shared" si="836"/>
        <v/>
      </c>
      <c r="AQ241" s="979" t="str">
        <f t="shared" si="836"/>
        <v/>
      </c>
      <c r="AR241" s="980" t="str">
        <f t="shared" si="836"/>
        <v/>
      </c>
      <c r="AT241" s="1062"/>
      <c r="AY241" s="4"/>
    </row>
    <row r="242" spans="1:51" ht="13.9" customHeight="1" x14ac:dyDescent="0.25">
      <c r="A242" s="846">
        <f>Chem!A242</f>
        <v>240</v>
      </c>
      <c r="B242" s="951" t="str">
        <f>Chem!B242</f>
        <v>Gasoline range hydrocarbons, weathered</v>
      </c>
      <c r="C242" s="948">
        <f t="shared" si="824"/>
        <v>100</v>
      </c>
      <c r="D242" s="465">
        <f t="shared" si="825"/>
        <v>100</v>
      </c>
      <c r="E242" s="637">
        <f t="shared" si="826"/>
        <v>100</v>
      </c>
      <c r="F242" s="637">
        <f t="shared" si="827"/>
        <v>100</v>
      </c>
      <c r="G242" s="637"/>
      <c r="H242" s="467">
        <f>'SL-Det'!E242</f>
        <v>1501</v>
      </c>
      <c r="I242" s="233">
        <f>Leach!F242</f>
        <v>100</v>
      </c>
      <c r="J242" s="1360">
        <f>Leach!I242</f>
        <v>100</v>
      </c>
      <c r="K242" s="1360" t="str">
        <f>Leach!L242</f>
        <v>na</v>
      </c>
      <c r="L242" s="475">
        <f>Leach!G242</f>
        <v>100</v>
      </c>
      <c r="M242" s="1319">
        <f>Leach!J242</f>
        <v>100</v>
      </c>
      <c r="N242" s="1319" t="str">
        <f>Leach!M242</f>
        <v>na</v>
      </c>
      <c r="O242" s="485" t="str">
        <f>'SD-Det'!Z242</f>
        <v>na</v>
      </c>
      <c r="P242" s="495">
        <f>'SL-Det'!I242</f>
        <v>120</v>
      </c>
      <c r="Q242" s="975" t="s">
        <v>232</v>
      </c>
      <c r="S242" s="1361" t="str">
        <f t="shared" ref="S242" si="837">IF($C242="na","",IF($C242=H242,"X",""))</f>
        <v/>
      </c>
      <c r="T242" s="1362" t="str">
        <f t="shared" ref="T242" si="838">IF($C242="na","",IF($C242=I242,"X",""))</f>
        <v>X</v>
      </c>
      <c r="U242" s="1362" t="str">
        <f t="shared" ref="U242" si="839">IF($C242="na","",IF($C242=J242,"X",""))</f>
        <v>X</v>
      </c>
      <c r="V242" s="1362" t="str">
        <f t="shared" ref="V242" si="840">IF($C242="na","",IF($C242=K242,"X",""))</f>
        <v/>
      </c>
      <c r="W242" s="1362" t="str">
        <f t="shared" ref="W242" si="841">IF($C242="na","",IF($C242=O242,"X",""))</f>
        <v/>
      </c>
      <c r="X242" s="1362" t="str">
        <f t="shared" ref="X242" si="842">IF($C242="na","",IF($C242=P242,"X",""))</f>
        <v/>
      </c>
      <c r="Y242" s="1363" t="str">
        <f t="shared" ref="Y242" si="843">IF($C242="na","",IF($C242=Q242,"X",""))</f>
        <v/>
      </c>
      <c r="Z242" s="1361" t="str">
        <f t="shared" si="830"/>
        <v/>
      </c>
      <c r="AA242" s="1362" t="str">
        <f t="shared" ref="AA242" si="844">IF($D242="na","",IF($D242=L242,"X",""))</f>
        <v>X</v>
      </c>
      <c r="AB242" s="1362" t="str">
        <f t="shared" ref="AB242" si="845">IF($D242="na","",IF($D242=M242,"X",""))</f>
        <v>X</v>
      </c>
      <c r="AC242" s="1362" t="str">
        <f t="shared" ref="AC242" si="846">IF($D242="na","",IF($D242=N242,"X",""))</f>
        <v/>
      </c>
      <c r="AD242" s="1362" t="str">
        <f t="shared" ref="AD242" si="847">IF($D242="na","",IF($D242=O242,"X",""))</f>
        <v/>
      </c>
      <c r="AE242" s="1362" t="str">
        <f t="shared" ref="AE242" si="848">IF($D242="na","",IF($D242=P242,"X",""))</f>
        <v/>
      </c>
      <c r="AF242" s="1364" t="str">
        <f t="shared" ref="AF242" si="849">IF($D242="na","",IF($D242=Q242,"X",""))</f>
        <v/>
      </c>
      <c r="AG242" s="1361" t="str">
        <f t="shared" si="832"/>
        <v/>
      </c>
      <c r="AH242" s="1362" t="str">
        <f t="shared" ref="AH242" si="850">IF($E242="na","",IF($E242=J242,"X",""))</f>
        <v>X</v>
      </c>
      <c r="AI242" s="1362" t="str">
        <f t="shared" ref="AI242" si="851">IF($E242="na","",IF($E242=K242,"X",""))</f>
        <v/>
      </c>
      <c r="AJ242" s="1362" t="str">
        <f t="shared" ref="AJ242" si="852">IF($E242="na","",IF($E242=O242,"X",""))</f>
        <v/>
      </c>
      <c r="AK242" s="1362" t="str">
        <f t="shared" ref="AK242" si="853">IF($E242="na","",IF($E242=P242,"X",""))</f>
        <v/>
      </c>
      <c r="AL242" s="1364" t="str">
        <f t="shared" ref="AL242" si="854">IF($E242="na","",IF($E242=Q242,"X",""))</f>
        <v/>
      </c>
      <c r="AM242" s="1361" t="str">
        <f t="shared" si="835"/>
        <v/>
      </c>
      <c r="AN242" s="1362" t="str">
        <f t="shared" ref="AN242" si="855">IF($F242="na","",IF($F242=M242,"X",""))</f>
        <v>X</v>
      </c>
      <c r="AO242" s="1362" t="str">
        <f t="shared" ref="AO242" si="856">IF($F242="na","",IF($F242=N242,"X",""))</f>
        <v/>
      </c>
      <c r="AP242" s="1362" t="str">
        <f t="shared" ref="AP242" si="857">IF($F242="na","",IF($F242=O242,"X",""))</f>
        <v/>
      </c>
      <c r="AQ242" s="1362" t="str">
        <f t="shared" ref="AQ242" si="858">IF($F242="na","",IF($F242=P242,"X",""))</f>
        <v/>
      </c>
      <c r="AR242" s="1364" t="str">
        <f t="shared" ref="AR242" si="859">IF($F242="na","",IF($F242=Q242,"X",""))</f>
        <v/>
      </c>
      <c r="AT242" s="1062"/>
      <c r="AY242" s="4"/>
    </row>
    <row r="243" spans="1:51" ht="13.9" customHeight="1" x14ac:dyDescent="0.25">
      <c r="A243" s="846">
        <f>Chem!A243</f>
        <v>241</v>
      </c>
      <c r="B243" s="951" t="str">
        <f>Chem!B243</f>
        <v>Diesel range hydrocarbons, fresh</v>
      </c>
      <c r="C243" s="948">
        <f t="shared" si="824"/>
        <v>260</v>
      </c>
      <c r="D243" s="465">
        <f t="shared" si="825"/>
        <v>260</v>
      </c>
      <c r="E243" s="637">
        <f t="shared" si="826"/>
        <v>260</v>
      </c>
      <c r="F243" s="637">
        <f t="shared" si="827"/>
        <v>260</v>
      </c>
      <c r="G243" s="637"/>
      <c r="H243" s="467" t="str">
        <f>'SL-Det'!E243</f>
        <v>na</v>
      </c>
      <c r="I243" s="231">
        <f>Leach!F243</f>
        <v>2000</v>
      </c>
      <c r="J243" s="234">
        <f>Leach!I243</f>
        <v>2000</v>
      </c>
      <c r="K243" s="234" t="str">
        <f>Leach!L243</f>
        <v>na</v>
      </c>
      <c r="L243" s="476">
        <f>Leach!G243</f>
        <v>2000</v>
      </c>
      <c r="M243" s="481">
        <f>Leach!J243</f>
        <v>2000</v>
      </c>
      <c r="N243" s="481" t="str">
        <f>Leach!M243</f>
        <v>na</v>
      </c>
      <c r="O243" s="485" t="str">
        <f>'SD-Det'!Z243</f>
        <v>na</v>
      </c>
      <c r="P243" s="495">
        <f>'SL-Det'!I243</f>
        <v>260</v>
      </c>
      <c r="Q243" s="975" t="s">
        <v>232</v>
      </c>
      <c r="S243" s="832" t="str">
        <f t="shared" si="828"/>
        <v/>
      </c>
      <c r="T243" s="366" t="str">
        <f t="shared" si="828"/>
        <v/>
      </c>
      <c r="U243" s="366" t="str">
        <f t="shared" si="828"/>
        <v/>
      </c>
      <c r="V243" s="366" t="str">
        <f t="shared" si="828"/>
        <v/>
      </c>
      <c r="W243" s="366" t="str">
        <f t="shared" si="829"/>
        <v/>
      </c>
      <c r="X243" s="366" t="str">
        <f t="shared" si="829"/>
        <v>X</v>
      </c>
      <c r="Y243" s="989" t="str">
        <f t="shared" si="829"/>
        <v/>
      </c>
      <c r="Z243" s="832" t="str">
        <f t="shared" si="830"/>
        <v/>
      </c>
      <c r="AA243" s="366" t="str">
        <f t="shared" si="831"/>
        <v/>
      </c>
      <c r="AB243" s="366" t="str">
        <f t="shared" si="831"/>
        <v/>
      </c>
      <c r="AC243" s="366" t="str">
        <f t="shared" si="831"/>
        <v/>
      </c>
      <c r="AD243" s="366" t="str">
        <f t="shared" si="831"/>
        <v/>
      </c>
      <c r="AE243" s="366" t="str">
        <f t="shared" si="831"/>
        <v>X</v>
      </c>
      <c r="AF243" s="833" t="str">
        <f t="shared" si="831"/>
        <v/>
      </c>
      <c r="AG243" s="832" t="str">
        <f t="shared" si="832"/>
        <v/>
      </c>
      <c r="AH243" s="366" t="str">
        <f t="shared" si="833"/>
        <v/>
      </c>
      <c r="AI243" s="366" t="str">
        <f t="shared" si="833"/>
        <v/>
      </c>
      <c r="AJ243" s="366" t="str">
        <f t="shared" si="834"/>
        <v/>
      </c>
      <c r="AK243" s="366" t="str">
        <f t="shared" si="834"/>
        <v>X</v>
      </c>
      <c r="AL243" s="833" t="str">
        <f t="shared" si="834"/>
        <v/>
      </c>
      <c r="AM243" s="832" t="str">
        <f t="shared" si="835"/>
        <v/>
      </c>
      <c r="AN243" s="366" t="str">
        <f t="shared" si="836"/>
        <v/>
      </c>
      <c r="AO243" s="366" t="str">
        <f t="shared" si="836"/>
        <v/>
      </c>
      <c r="AP243" s="366" t="str">
        <f t="shared" si="836"/>
        <v/>
      </c>
      <c r="AQ243" s="366" t="str">
        <f t="shared" si="836"/>
        <v>X</v>
      </c>
      <c r="AR243" s="833" t="str">
        <f t="shared" si="836"/>
        <v/>
      </c>
      <c r="AT243" s="1062"/>
      <c r="AY243" s="4"/>
    </row>
    <row r="244" spans="1:51" ht="13.9" customHeight="1" x14ac:dyDescent="0.25">
      <c r="A244" s="846">
        <f>Chem!A244</f>
        <v>242</v>
      </c>
      <c r="B244" s="951" t="str">
        <f>Chem!B244</f>
        <v>Diesel range hydrocarbons, weathered</v>
      </c>
      <c r="C244" s="948">
        <f t="shared" si="824"/>
        <v>260</v>
      </c>
      <c r="D244" s="465">
        <f t="shared" si="825"/>
        <v>260</v>
      </c>
      <c r="E244" s="637">
        <f t="shared" si="826"/>
        <v>260</v>
      </c>
      <c r="F244" s="637">
        <f t="shared" si="827"/>
        <v>260</v>
      </c>
      <c r="G244" s="637"/>
      <c r="H244" s="467" t="str">
        <f>'SL-Det'!E244</f>
        <v>na</v>
      </c>
      <c r="I244" s="231">
        <f>Leach!F244</f>
        <v>2000</v>
      </c>
      <c r="J244" s="234">
        <f>Leach!I244</f>
        <v>2000</v>
      </c>
      <c r="K244" s="234" t="str">
        <f>Leach!L244</f>
        <v>na</v>
      </c>
      <c r="L244" s="476">
        <f>Leach!G244</f>
        <v>2000</v>
      </c>
      <c r="M244" s="481">
        <f>Leach!J244</f>
        <v>2000</v>
      </c>
      <c r="N244" s="481" t="str">
        <f>Leach!M244</f>
        <v>na</v>
      </c>
      <c r="O244" s="485" t="str">
        <f>'SD-Det'!Z244</f>
        <v>na</v>
      </c>
      <c r="P244" s="495">
        <f>'SL-Det'!I244</f>
        <v>260</v>
      </c>
      <c r="Q244" s="975" t="s">
        <v>232</v>
      </c>
      <c r="S244" s="832" t="str">
        <f t="shared" ref="S244" si="860">IF($C244="na","",IF($C244=H244,"X",""))</f>
        <v/>
      </c>
      <c r="T244" s="366" t="str">
        <f t="shared" ref="T244" si="861">IF($C244="na","",IF($C244=I244,"X",""))</f>
        <v/>
      </c>
      <c r="U244" s="366" t="str">
        <f t="shared" ref="U244" si="862">IF($C244="na","",IF($C244=J244,"X",""))</f>
        <v/>
      </c>
      <c r="V244" s="366" t="str">
        <f t="shared" ref="V244" si="863">IF($C244="na","",IF($C244=K244,"X",""))</f>
        <v/>
      </c>
      <c r="W244" s="366" t="str">
        <f t="shared" ref="W244" si="864">IF($C244="na","",IF($C244=O244,"X",""))</f>
        <v/>
      </c>
      <c r="X244" s="366" t="str">
        <f t="shared" ref="X244" si="865">IF($C244="na","",IF($C244=P244,"X",""))</f>
        <v>X</v>
      </c>
      <c r="Y244" s="989" t="str">
        <f t="shared" ref="Y244" si="866">IF($C244="na","",IF($C244=Q244,"X",""))</f>
        <v/>
      </c>
      <c r="Z244" s="832" t="str">
        <f t="shared" si="830"/>
        <v/>
      </c>
      <c r="AA244" s="366" t="str">
        <f t="shared" ref="AA244" si="867">IF($D244="na","",IF($D244=L244,"X",""))</f>
        <v/>
      </c>
      <c r="AB244" s="366" t="str">
        <f t="shared" ref="AB244" si="868">IF($D244="na","",IF($D244=M244,"X",""))</f>
        <v/>
      </c>
      <c r="AC244" s="366" t="str">
        <f t="shared" ref="AC244" si="869">IF($D244="na","",IF($D244=N244,"X",""))</f>
        <v/>
      </c>
      <c r="AD244" s="366" t="str">
        <f t="shared" ref="AD244" si="870">IF($D244="na","",IF($D244=O244,"X",""))</f>
        <v/>
      </c>
      <c r="AE244" s="366" t="str">
        <f t="shared" ref="AE244" si="871">IF($D244="na","",IF($D244=P244,"X",""))</f>
        <v>X</v>
      </c>
      <c r="AF244" s="833" t="str">
        <f t="shared" ref="AF244" si="872">IF($D244="na","",IF($D244=Q244,"X",""))</f>
        <v/>
      </c>
      <c r="AG244" s="832" t="str">
        <f t="shared" si="832"/>
        <v/>
      </c>
      <c r="AH244" s="366" t="str">
        <f t="shared" ref="AH244" si="873">IF($E244="na","",IF($E244=J244,"X",""))</f>
        <v/>
      </c>
      <c r="AI244" s="366" t="str">
        <f t="shared" ref="AI244" si="874">IF($E244="na","",IF($E244=K244,"X",""))</f>
        <v/>
      </c>
      <c r="AJ244" s="366" t="str">
        <f t="shared" ref="AJ244" si="875">IF($E244="na","",IF($E244=O244,"X",""))</f>
        <v/>
      </c>
      <c r="AK244" s="366" t="str">
        <f t="shared" ref="AK244" si="876">IF($E244="na","",IF($E244=P244,"X",""))</f>
        <v>X</v>
      </c>
      <c r="AL244" s="833" t="str">
        <f t="shared" ref="AL244" si="877">IF($E244="na","",IF($E244=Q244,"X",""))</f>
        <v/>
      </c>
      <c r="AM244" s="832" t="str">
        <f t="shared" si="835"/>
        <v/>
      </c>
      <c r="AN244" s="366" t="str">
        <f t="shared" ref="AN244" si="878">IF($F244="na","",IF($F244=M244,"X",""))</f>
        <v/>
      </c>
      <c r="AO244" s="366" t="str">
        <f t="shared" ref="AO244" si="879">IF($F244="na","",IF($F244=N244,"X",""))</f>
        <v/>
      </c>
      <c r="AP244" s="366" t="str">
        <f t="shared" ref="AP244" si="880">IF($F244="na","",IF($F244=O244,"X",""))</f>
        <v/>
      </c>
      <c r="AQ244" s="366" t="str">
        <f t="shared" ref="AQ244" si="881">IF($F244="na","",IF($F244=P244,"X",""))</f>
        <v>X</v>
      </c>
      <c r="AR244" s="833" t="str">
        <f t="shared" ref="AR244" si="882">IF($F244="na","",IF($F244=Q244,"X",""))</f>
        <v/>
      </c>
      <c r="AT244" s="1062"/>
      <c r="AY244" s="4"/>
    </row>
    <row r="245" spans="1:51" ht="13.9" customHeight="1" x14ac:dyDescent="0.25">
      <c r="A245" s="846">
        <f>Chem!A245</f>
        <v>243</v>
      </c>
      <c r="B245" s="952" t="str">
        <f>Chem!B245</f>
        <v>Oil range hydrocarbons</v>
      </c>
      <c r="C245" s="948">
        <f t="shared" si="824"/>
        <v>260</v>
      </c>
      <c r="D245" s="465">
        <f t="shared" si="825"/>
        <v>260</v>
      </c>
      <c r="E245" s="637">
        <f t="shared" si="826"/>
        <v>260</v>
      </c>
      <c r="F245" s="637">
        <f t="shared" si="827"/>
        <v>260</v>
      </c>
      <c r="G245" s="637"/>
      <c r="H245" s="467" t="str">
        <f>'SL-Det'!E245</f>
        <v>na</v>
      </c>
      <c r="I245" s="231">
        <f>Leach!F245</f>
        <v>2000</v>
      </c>
      <c r="J245" s="234">
        <f>Leach!I245</f>
        <v>2000</v>
      </c>
      <c r="K245" s="234" t="str">
        <f>Leach!L245</f>
        <v>na</v>
      </c>
      <c r="L245" s="476">
        <f>Leach!G245</f>
        <v>2000</v>
      </c>
      <c r="M245" s="481">
        <f>Leach!J245</f>
        <v>2000</v>
      </c>
      <c r="N245" s="481" t="str">
        <f>Leach!M245</f>
        <v>na</v>
      </c>
      <c r="O245" s="485" t="str">
        <f>'SD-Det'!Z245</f>
        <v>na</v>
      </c>
      <c r="P245" s="494">
        <f>'SL-Det'!I245</f>
        <v>260</v>
      </c>
      <c r="Q245" s="975" t="s">
        <v>232</v>
      </c>
      <c r="S245" s="834" t="str">
        <f t="shared" si="828"/>
        <v/>
      </c>
      <c r="T245" s="368" t="str">
        <f t="shared" si="828"/>
        <v/>
      </c>
      <c r="U245" s="368" t="str">
        <f t="shared" si="828"/>
        <v/>
      </c>
      <c r="V245" s="368" t="str">
        <f t="shared" si="828"/>
        <v/>
      </c>
      <c r="W245" s="368" t="str">
        <f t="shared" si="829"/>
        <v/>
      </c>
      <c r="X245" s="368" t="str">
        <f t="shared" si="829"/>
        <v>X</v>
      </c>
      <c r="Y245" s="990" t="str">
        <f t="shared" si="829"/>
        <v/>
      </c>
      <c r="Z245" s="834" t="str">
        <f t="shared" si="830"/>
        <v/>
      </c>
      <c r="AA245" s="368" t="str">
        <f t="shared" si="831"/>
        <v/>
      </c>
      <c r="AB245" s="368" t="str">
        <f t="shared" si="831"/>
        <v/>
      </c>
      <c r="AC245" s="368" t="str">
        <f t="shared" si="831"/>
        <v/>
      </c>
      <c r="AD245" s="368" t="str">
        <f t="shared" si="831"/>
        <v/>
      </c>
      <c r="AE245" s="368" t="str">
        <f t="shared" si="831"/>
        <v>X</v>
      </c>
      <c r="AF245" s="835" t="str">
        <f t="shared" si="831"/>
        <v/>
      </c>
      <c r="AG245" s="834" t="str">
        <f t="shared" si="832"/>
        <v/>
      </c>
      <c r="AH245" s="368" t="str">
        <f t="shared" si="833"/>
        <v/>
      </c>
      <c r="AI245" s="368" t="str">
        <f t="shared" si="833"/>
        <v/>
      </c>
      <c r="AJ245" s="368" t="str">
        <f t="shared" si="834"/>
        <v/>
      </c>
      <c r="AK245" s="368" t="str">
        <f t="shared" si="834"/>
        <v>X</v>
      </c>
      <c r="AL245" s="835" t="str">
        <f t="shared" si="834"/>
        <v/>
      </c>
      <c r="AM245" s="834" t="str">
        <f t="shared" si="835"/>
        <v/>
      </c>
      <c r="AN245" s="368" t="str">
        <f t="shared" si="836"/>
        <v/>
      </c>
      <c r="AO245" s="368" t="str">
        <f t="shared" si="836"/>
        <v/>
      </c>
      <c r="AP245" s="368" t="str">
        <f t="shared" si="836"/>
        <v/>
      </c>
      <c r="AQ245" s="368" t="str">
        <f t="shared" si="836"/>
        <v>X</v>
      </c>
      <c r="AR245" s="835" t="str">
        <f t="shared" si="836"/>
        <v/>
      </c>
      <c r="AT245" s="1062"/>
      <c r="AY245" s="4"/>
    </row>
    <row r="246" spans="1:51" ht="13.9" customHeight="1" x14ac:dyDescent="0.25">
      <c r="A246" s="1661">
        <f>Chem!A246</f>
        <v>244</v>
      </c>
      <c r="B246" s="952" t="str">
        <f>Chem!B246</f>
        <v>Total diesel &amp; oil range hydrocarbons</v>
      </c>
      <c r="C246" s="948">
        <f t="shared" si="824"/>
        <v>260</v>
      </c>
      <c r="D246" s="465">
        <f t="shared" si="825"/>
        <v>260</v>
      </c>
      <c r="E246" s="637">
        <f t="shared" si="826"/>
        <v>260</v>
      </c>
      <c r="F246" s="637">
        <f t="shared" si="827"/>
        <v>260</v>
      </c>
      <c r="G246" s="637"/>
      <c r="H246" s="467" t="str">
        <f>'SL-Det'!E246</f>
        <v>na</v>
      </c>
      <c r="I246" s="471">
        <f>Leach!F246</f>
        <v>2000</v>
      </c>
      <c r="J246" s="1017">
        <f>Leach!I246</f>
        <v>2000</v>
      </c>
      <c r="K246" s="1017" t="str">
        <f>Leach!L246</f>
        <v>na</v>
      </c>
      <c r="L246" s="479">
        <f>Leach!G246</f>
        <v>2000</v>
      </c>
      <c r="M246" s="1018">
        <f>Leach!J246</f>
        <v>2000</v>
      </c>
      <c r="N246" s="1018" t="str">
        <f>Leach!M246</f>
        <v>na</v>
      </c>
      <c r="O246" s="485" t="str">
        <f>'SD-Det'!Z246</f>
        <v>na</v>
      </c>
      <c r="P246" s="494">
        <f>'SL-Det'!I246</f>
        <v>260</v>
      </c>
      <c r="Q246" s="975" t="s">
        <v>232</v>
      </c>
      <c r="S246" s="834" t="str">
        <f t="shared" ref="S246" si="883">IF($C246="na","",IF($C246=H246,"X",""))</f>
        <v/>
      </c>
      <c r="T246" s="368" t="str">
        <f t="shared" ref="T246" si="884">IF($C246="na","",IF($C246=I246,"X",""))</f>
        <v/>
      </c>
      <c r="U246" s="368" t="str">
        <f t="shared" ref="U246" si="885">IF($C246="na","",IF($C246=J246,"X",""))</f>
        <v/>
      </c>
      <c r="V246" s="368" t="str">
        <f t="shared" ref="V246" si="886">IF($C246="na","",IF($C246=K246,"X",""))</f>
        <v/>
      </c>
      <c r="W246" s="368" t="str">
        <f t="shared" ref="W246" si="887">IF($C246="na","",IF($C246=O246,"X",""))</f>
        <v/>
      </c>
      <c r="X246" s="368" t="str">
        <f t="shared" ref="X246" si="888">IF($C246="na","",IF($C246=P246,"X",""))</f>
        <v>X</v>
      </c>
      <c r="Y246" s="990" t="str">
        <f t="shared" ref="Y246" si="889">IF($C246="na","",IF($C246=Q246,"X",""))</f>
        <v/>
      </c>
      <c r="Z246" s="834" t="str">
        <f t="shared" si="830"/>
        <v/>
      </c>
      <c r="AA246" s="368" t="str">
        <f t="shared" ref="AA246" si="890">IF($D246="na","",IF($D246=L246,"X",""))</f>
        <v/>
      </c>
      <c r="AB246" s="368" t="str">
        <f t="shared" ref="AB246" si="891">IF($D246="na","",IF($D246=M246,"X",""))</f>
        <v/>
      </c>
      <c r="AC246" s="368" t="str">
        <f t="shared" ref="AC246" si="892">IF($D246="na","",IF($D246=N246,"X",""))</f>
        <v/>
      </c>
      <c r="AD246" s="368" t="str">
        <f t="shared" ref="AD246" si="893">IF($D246="na","",IF($D246=O246,"X",""))</f>
        <v/>
      </c>
      <c r="AE246" s="368" t="str">
        <f t="shared" ref="AE246" si="894">IF($D246="na","",IF($D246=P246,"X",""))</f>
        <v>X</v>
      </c>
      <c r="AF246" s="835" t="str">
        <f t="shared" ref="AF246" si="895">IF($D246="na","",IF($D246=Q246,"X",""))</f>
        <v/>
      </c>
      <c r="AG246" s="834" t="str">
        <f t="shared" si="832"/>
        <v/>
      </c>
      <c r="AH246" s="368" t="str">
        <f t="shared" ref="AH246" si="896">IF($E246="na","",IF($E246=J246,"X",""))</f>
        <v/>
      </c>
      <c r="AI246" s="368" t="str">
        <f t="shared" ref="AI246" si="897">IF($E246="na","",IF($E246=K246,"X",""))</f>
        <v/>
      </c>
      <c r="AJ246" s="368" t="str">
        <f t="shared" ref="AJ246" si="898">IF($E246="na","",IF($E246=O246,"X",""))</f>
        <v/>
      </c>
      <c r="AK246" s="368" t="str">
        <f t="shared" ref="AK246" si="899">IF($E246="na","",IF($E246=P246,"X",""))</f>
        <v>X</v>
      </c>
      <c r="AL246" s="835" t="str">
        <f t="shared" ref="AL246" si="900">IF($E246="na","",IF($E246=Q246,"X",""))</f>
        <v/>
      </c>
      <c r="AM246" s="834" t="str">
        <f t="shared" si="835"/>
        <v/>
      </c>
      <c r="AN246" s="368" t="str">
        <f t="shared" ref="AN246" si="901">IF($F246="na","",IF($F246=M246,"X",""))</f>
        <v/>
      </c>
      <c r="AO246" s="368" t="str">
        <f t="shared" ref="AO246" si="902">IF($F246="na","",IF($F246=N246,"X",""))</f>
        <v/>
      </c>
      <c r="AP246" s="368" t="str">
        <f t="shared" ref="AP246" si="903">IF($F246="na","",IF($F246=O246,"X",""))</f>
        <v/>
      </c>
      <c r="AQ246" s="368" t="str">
        <f t="shared" ref="AQ246" si="904">IF($F246="na","",IF($F246=P246,"X",""))</f>
        <v>X</v>
      </c>
      <c r="AR246" s="835" t="str">
        <f t="shared" ref="AR246" si="905">IF($F246="na","",IF($F246=Q246,"X",""))</f>
        <v/>
      </c>
      <c r="AT246" s="1062"/>
      <c r="AY246" s="4"/>
    </row>
    <row r="247" spans="1:51" ht="13.9" customHeight="1" x14ac:dyDescent="0.25">
      <c r="A247" s="1197">
        <f>Chem!A247</f>
        <v>245</v>
      </c>
      <c r="B247" s="953" t="str">
        <f>Chem!B247</f>
        <v>Pesticides</v>
      </c>
      <c r="C247" s="28"/>
      <c r="D247" s="28"/>
      <c r="E247" s="28"/>
      <c r="F247" s="28"/>
      <c r="G247" s="28"/>
      <c r="H247" s="28"/>
      <c r="I247" s="28"/>
      <c r="J247" s="28"/>
      <c r="K247" s="28"/>
      <c r="L247" s="28"/>
      <c r="M247" s="28"/>
      <c r="N247" s="28"/>
      <c r="O247" s="43"/>
      <c r="P247" s="2323"/>
      <c r="Q247" s="2324"/>
      <c r="S247" s="26" t="str">
        <f>B247</f>
        <v>Pesticides</v>
      </c>
      <c r="T247" s="2328"/>
      <c r="U247" s="2328"/>
      <c r="V247" s="2328"/>
      <c r="W247" s="2328"/>
      <c r="X247" s="2328"/>
      <c r="Y247" s="2328"/>
      <c r="Z247" s="2328"/>
      <c r="AA247" s="2328"/>
      <c r="AB247" s="2328"/>
      <c r="AC247" s="2328"/>
      <c r="AD247" s="2328"/>
      <c r="AE247" s="2328"/>
      <c r="AF247" s="2328"/>
      <c r="AG247" s="2329"/>
      <c r="AH247" s="2328"/>
      <c r="AI247" s="2328"/>
      <c r="AJ247" s="2328"/>
      <c r="AK247" s="2328"/>
      <c r="AL247" s="2328"/>
      <c r="AM247" s="2328"/>
      <c r="AN247" s="2328"/>
      <c r="AO247" s="2328"/>
      <c r="AP247" s="2328"/>
      <c r="AQ247" s="2328"/>
      <c r="AR247" s="2330"/>
      <c r="AT247" s="2325"/>
      <c r="AY247" s="4"/>
    </row>
    <row r="248" spans="1:51" ht="13.9" customHeight="1" x14ac:dyDescent="0.25">
      <c r="A248" s="846">
        <f>Chem!A248</f>
        <v>246</v>
      </c>
      <c r="B248" s="950" t="str">
        <f>Chem!B248</f>
        <v>Aldrin</v>
      </c>
      <c r="C248" s="946">
        <f t="shared" ref="C248:C291" si="906">IF(MIN($H248,$I248:$K248,$O248,$P248)=0,"na",IF($Q248="na",MIN($H248,$I248:$K248,$O248,$P248),IF($Q248&gt;MIN($H248,$I248:$K248,$O248,$P248),$Q248,MIN($H248,$I248:$K248,$O248,$P248))))</f>
        <v>4.0098005742420439E-8</v>
      </c>
      <c r="D248" s="463">
        <f t="shared" ref="D248:D291" si="907">IF(MIN($H248,$L248:$N248,$O248,$P248)=0,"na",IF($Q248="na",MIN($H248,$L248:$N248,$O248,$P248),IF($Q248&gt;MIN($H248,$L248:$N248,$O248,$P248),$Q248,MIN($H248,$L248:$N248,$O248,$P248))))</f>
        <v>2.0084533333333337E-9</v>
      </c>
      <c r="E248" s="634">
        <f t="shared" ref="E248:E291" si="908">IF(MIN($H248,$J248:$K248,$O248,$P248)=0,"na",IF($Q248="na",MIN($H248,$J248:$K248,$O248,$P248),IF($Q248&gt;MIN($H248,$J248:$K248,$O248,$P248),$Q248,MIN($H248,$J248:$K248,$O248,$P248))))</f>
        <v>4.0098005742420439E-8</v>
      </c>
      <c r="F248" s="634">
        <f t="shared" ref="F248:F291" si="909">IF(MIN($H248,$M248:$P248)=0,"na",IF($Q248="na",MIN($H248,$M248:$P248),IF($Q248&gt;MIN($H248,$M248:$P248),$Q248,MIN($H248,$M248:$P248))))</f>
        <v>2.0084533333333337E-9</v>
      </c>
      <c r="G248" s="634"/>
      <c r="H248" s="467">
        <f>'SL-Det'!E248</f>
        <v>5.8823529411764705E-2</v>
      </c>
      <c r="I248" s="469">
        <f>Leach!F248</f>
        <v>2.5169121251519279E-3</v>
      </c>
      <c r="J248" s="469">
        <f>Leach!I248</f>
        <v>4.0098005742420439E-8</v>
      </c>
      <c r="K248" s="469">
        <f>Leach!L248</f>
        <v>1.0562663715230983E-4</v>
      </c>
      <c r="L248" s="474">
        <f>Leach!G248</f>
        <v>1.260686274509804E-4</v>
      </c>
      <c r="M248" s="474">
        <f>Leach!J248</f>
        <v>2.0084533333333337E-9</v>
      </c>
      <c r="N248" s="474">
        <f>Leach!M248</f>
        <v>5.2906913336319304E-6</v>
      </c>
      <c r="O248" s="485">
        <f>'SD-Det'!Z248</f>
        <v>1E-4</v>
      </c>
      <c r="P248" s="492">
        <f>'SL-Det'!I248</f>
        <v>0.1</v>
      </c>
      <c r="Q248" s="975" t="s">
        <v>232</v>
      </c>
      <c r="S248" s="978" t="str">
        <f t="shared" ref="S248:S280" si="910">IF($C248="na","",IF($C248=H248,"X",""))</f>
        <v/>
      </c>
      <c r="T248" s="979" t="str">
        <f t="shared" ref="T248:T280" si="911">IF($C248="na","",IF($C248=I248,"X",""))</f>
        <v/>
      </c>
      <c r="U248" s="979" t="str">
        <f t="shared" ref="U248:U280" si="912">IF($C248="na","",IF($C248=J248,"X",""))</f>
        <v>X</v>
      </c>
      <c r="V248" s="979" t="str">
        <f t="shared" ref="V248:V280" si="913">IF($C248="na","",IF($C248=K248,"X",""))</f>
        <v/>
      </c>
      <c r="W248" s="979" t="str">
        <f t="shared" ref="W248:W280" si="914">IF($C248="na","",IF($C248=O248,"X",""))</f>
        <v/>
      </c>
      <c r="X248" s="979" t="str">
        <f t="shared" ref="X248:X280" si="915">IF($C248="na","",IF($C248=P248,"X",""))</f>
        <v/>
      </c>
      <c r="Y248" s="988" t="str">
        <f t="shared" ref="Y248:Y280" si="916">IF($C248="na","",IF($C248=Q248,"X",""))</f>
        <v/>
      </c>
      <c r="Z248" s="978" t="str">
        <f t="shared" ref="Z248:Z280" si="917">IF($D248="na","",IF($D248=H248,"X",""))</f>
        <v/>
      </c>
      <c r="AA248" s="979" t="str">
        <f t="shared" ref="AA248:AA280" si="918">IF($D248="na","",IF($D248=L248,"X",""))</f>
        <v/>
      </c>
      <c r="AB248" s="979" t="str">
        <f t="shared" ref="AB248:AB280" si="919">IF($D248="na","",IF($D248=M248,"X",""))</f>
        <v>X</v>
      </c>
      <c r="AC248" s="979" t="str">
        <f t="shared" ref="AC248:AC280" si="920">IF($D248="na","",IF($D248=N248,"X",""))</f>
        <v/>
      </c>
      <c r="AD248" s="979" t="str">
        <f t="shared" ref="AD248:AD280" si="921">IF($D248="na","",IF($D248=O248,"X",""))</f>
        <v/>
      </c>
      <c r="AE248" s="979" t="str">
        <f t="shared" ref="AE248:AE280" si="922">IF($D248="na","",IF($D248=P248,"X",""))</f>
        <v/>
      </c>
      <c r="AF248" s="980" t="str">
        <f t="shared" ref="AF248:AF280" si="923">IF($D248="na","",IF($D248=Q248,"X",""))</f>
        <v/>
      </c>
      <c r="AG248" s="978" t="str">
        <f t="shared" ref="AG248:AG280" si="924">IF($E248="na","",IF($E248=H248,"X",""))</f>
        <v/>
      </c>
      <c r="AH248" s="979" t="str">
        <f t="shared" ref="AH248:AH280" si="925">IF($E248="na","",IF($E248=J248,"X",""))</f>
        <v>X</v>
      </c>
      <c r="AI248" s="979" t="str">
        <f t="shared" ref="AI248:AI280" si="926">IF($E248="na","",IF($E248=K248,"X",""))</f>
        <v/>
      </c>
      <c r="AJ248" s="979" t="str">
        <f t="shared" ref="AJ248:AJ280" si="927">IF($E248="na","",IF($E248=O248,"X",""))</f>
        <v/>
      </c>
      <c r="AK248" s="979" t="str">
        <f t="shared" ref="AK248:AK280" si="928">IF($E248="na","",IF($E248=P248,"X",""))</f>
        <v/>
      </c>
      <c r="AL248" s="980" t="str">
        <f t="shared" ref="AL248:AL280" si="929">IF($E248="na","",IF($E248=Q248,"X",""))</f>
        <v/>
      </c>
      <c r="AM248" s="978" t="str">
        <f t="shared" ref="AM248:AM280" si="930">IF($F248="na","",IF($F248=H248,"X",""))</f>
        <v/>
      </c>
      <c r="AN248" s="979" t="str">
        <f t="shared" ref="AN248:AN280" si="931">IF($F248="na","",IF($F248=M248,"X",""))</f>
        <v>X</v>
      </c>
      <c r="AO248" s="979" t="str">
        <f t="shared" ref="AO248:AO280" si="932">IF($F248="na","",IF($F248=N248,"X",""))</f>
        <v/>
      </c>
      <c r="AP248" s="979" t="str">
        <f t="shared" ref="AP248:AP280" si="933">IF($F248="na","",IF($F248=O248,"X",""))</f>
        <v/>
      </c>
      <c r="AQ248" s="979" t="str">
        <f t="shared" ref="AQ248:AQ280" si="934">IF($F248="na","",IF($F248=P248,"X",""))</f>
        <v/>
      </c>
      <c r="AR248" s="980" t="str">
        <f t="shared" ref="AR248:AR280" si="935">IF($F248="na","",IF($F248=Q248,"X",""))</f>
        <v/>
      </c>
      <c r="AT248" s="1062"/>
      <c r="AY248" s="4"/>
    </row>
    <row r="249" spans="1:51" ht="13.9" customHeight="1" x14ac:dyDescent="0.25">
      <c r="A249" s="846">
        <f>Chem!A249</f>
        <v>247</v>
      </c>
      <c r="B249" s="951" t="str">
        <f>Chem!B249</f>
        <v>alpha-BHC (alpha-HCH)</v>
      </c>
      <c r="C249" s="946">
        <f t="shared" si="906"/>
        <v>1.8816227898609979E-6</v>
      </c>
      <c r="D249" s="463">
        <f t="shared" si="907"/>
        <v>9.8240000000000011E-8</v>
      </c>
      <c r="E249" s="634">
        <f t="shared" si="908"/>
        <v>1.8816227898609979E-6</v>
      </c>
      <c r="F249" s="634">
        <f t="shared" si="909"/>
        <v>9.8240000000000011E-8</v>
      </c>
      <c r="G249" s="634"/>
      <c r="H249" s="467">
        <f>'SL-Det'!E249</f>
        <v>0.15873015873015872</v>
      </c>
      <c r="I249" s="231">
        <f>Leach!F249</f>
        <v>5.444510387329274E-4</v>
      </c>
      <c r="J249" s="231">
        <f>Leach!I249</f>
        <v>1.8816227898609979E-6</v>
      </c>
      <c r="K249" s="231" t="str">
        <f>Leach!L249</f>
        <v>na</v>
      </c>
      <c r="L249" s="476">
        <f>Leach!G249</f>
        <v>2.8425925925925921E-5</v>
      </c>
      <c r="M249" s="476">
        <f>Leach!J249</f>
        <v>9.8240000000000011E-8</v>
      </c>
      <c r="N249" s="476" t="str">
        <f>Leach!M249</f>
        <v>na</v>
      </c>
      <c r="O249" s="485" t="str">
        <f>'SD-Det'!Z249</f>
        <v>na</v>
      </c>
      <c r="P249" s="492">
        <f>'SL-Det'!I249</f>
        <v>6</v>
      </c>
      <c r="Q249" s="975" t="s">
        <v>232</v>
      </c>
      <c r="S249" s="832" t="str">
        <f t="shared" si="910"/>
        <v/>
      </c>
      <c r="T249" s="366" t="str">
        <f t="shared" si="911"/>
        <v/>
      </c>
      <c r="U249" s="366" t="str">
        <f t="shared" si="912"/>
        <v>X</v>
      </c>
      <c r="V249" s="366" t="str">
        <f t="shared" si="913"/>
        <v/>
      </c>
      <c r="W249" s="366" t="str">
        <f t="shared" si="914"/>
        <v/>
      </c>
      <c r="X249" s="366" t="str">
        <f t="shared" si="915"/>
        <v/>
      </c>
      <c r="Y249" s="989" t="str">
        <f t="shared" si="916"/>
        <v/>
      </c>
      <c r="Z249" s="832" t="str">
        <f t="shared" si="917"/>
        <v/>
      </c>
      <c r="AA249" s="366" t="str">
        <f t="shared" si="918"/>
        <v/>
      </c>
      <c r="AB249" s="366" t="str">
        <f t="shared" si="919"/>
        <v>X</v>
      </c>
      <c r="AC249" s="366" t="str">
        <f t="shared" si="920"/>
        <v/>
      </c>
      <c r="AD249" s="366" t="str">
        <f t="shared" si="921"/>
        <v/>
      </c>
      <c r="AE249" s="366" t="str">
        <f t="shared" si="922"/>
        <v/>
      </c>
      <c r="AF249" s="833" t="str">
        <f t="shared" si="923"/>
        <v/>
      </c>
      <c r="AG249" s="832" t="str">
        <f t="shared" si="924"/>
        <v/>
      </c>
      <c r="AH249" s="366" t="str">
        <f t="shared" si="925"/>
        <v>X</v>
      </c>
      <c r="AI249" s="366" t="str">
        <f t="shared" si="926"/>
        <v/>
      </c>
      <c r="AJ249" s="366" t="str">
        <f t="shared" si="927"/>
        <v/>
      </c>
      <c r="AK249" s="366" t="str">
        <f t="shared" si="928"/>
        <v/>
      </c>
      <c r="AL249" s="833" t="str">
        <f t="shared" si="929"/>
        <v/>
      </c>
      <c r="AM249" s="832" t="str">
        <f t="shared" si="930"/>
        <v/>
      </c>
      <c r="AN249" s="366" t="str">
        <f t="shared" si="931"/>
        <v>X</v>
      </c>
      <c r="AO249" s="366" t="str">
        <f t="shared" si="932"/>
        <v/>
      </c>
      <c r="AP249" s="366" t="str">
        <f t="shared" si="933"/>
        <v/>
      </c>
      <c r="AQ249" s="366" t="str">
        <f t="shared" si="934"/>
        <v/>
      </c>
      <c r="AR249" s="833" t="str">
        <f t="shared" si="935"/>
        <v/>
      </c>
      <c r="AT249" s="1062"/>
      <c r="AY249" s="4"/>
    </row>
    <row r="250" spans="1:51" ht="13.9" customHeight="1" x14ac:dyDescent="0.25">
      <c r="A250" s="846">
        <f>Chem!A250</f>
        <v>248</v>
      </c>
      <c r="B250" s="951" t="str">
        <f>Chem!B250</f>
        <v>beta-BHC (beta-HCH)</v>
      </c>
      <c r="C250" s="946">
        <f t="shared" si="906"/>
        <v>6.5520043652221319E-5</v>
      </c>
      <c r="D250" s="463">
        <f t="shared" si="907"/>
        <v>3.3973333333333335E-6</v>
      </c>
      <c r="E250" s="634">
        <f t="shared" si="908"/>
        <v>6.5520043652221319E-5</v>
      </c>
      <c r="F250" s="634">
        <f t="shared" si="909"/>
        <v>3.3973333333333335E-6</v>
      </c>
      <c r="G250" s="634"/>
      <c r="H250" s="467">
        <f>'SL-Det'!E250</f>
        <v>0.55555555555555558</v>
      </c>
      <c r="I250" s="231">
        <f>Leach!F250</f>
        <v>2.2750015157021286E-3</v>
      </c>
      <c r="J250" s="231">
        <f>Leach!I250</f>
        <v>6.5520043652221319E-5</v>
      </c>
      <c r="K250" s="231" t="str">
        <f>Leach!L250</f>
        <v>na</v>
      </c>
      <c r="L250" s="476">
        <f>Leach!G250</f>
        <v>1.1796296296296294E-4</v>
      </c>
      <c r="M250" s="476">
        <f>Leach!J250</f>
        <v>3.3973333333333335E-6</v>
      </c>
      <c r="N250" s="476" t="str">
        <f>Leach!M250</f>
        <v>na</v>
      </c>
      <c r="O250" s="485" t="str">
        <f>'SD-Det'!Z250</f>
        <v>na</v>
      </c>
      <c r="P250" s="492">
        <f>'SL-Det'!I250</f>
        <v>6</v>
      </c>
      <c r="Q250" s="975" t="s">
        <v>232</v>
      </c>
      <c r="S250" s="832" t="str">
        <f t="shared" si="910"/>
        <v/>
      </c>
      <c r="T250" s="366" t="str">
        <f t="shared" si="911"/>
        <v/>
      </c>
      <c r="U250" s="366" t="str">
        <f t="shared" si="912"/>
        <v>X</v>
      </c>
      <c r="V250" s="366" t="str">
        <f t="shared" si="913"/>
        <v/>
      </c>
      <c r="W250" s="366" t="str">
        <f t="shared" si="914"/>
        <v/>
      </c>
      <c r="X250" s="366" t="str">
        <f t="shared" si="915"/>
        <v/>
      </c>
      <c r="Y250" s="989" t="str">
        <f t="shared" si="916"/>
        <v/>
      </c>
      <c r="Z250" s="832" t="str">
        <f t="shared" si="917"/>
        <v/>
      </c>
      <c r="AA250" s="366" t="str">
        <f t="shared" si="918"/>
        <v/>
      </c>
      <c r="AB250" s="366" t="str">
        <f t="shared" si="919"/>
        <v>X</v>
      </c>
      <c r="AC250" s="366" t="str">
        <f t="shared" si="920"/>
        <v/>
      </c>
      <c r="AD250" s="366" t="str">
        <f t="shared" si="921"/>
        <v/>
      </c>
      <c r="AE250" s="366" t="str">
        <f t="shared" si="922"/>
        <v/>
      </c>
      <c r="AF250" s="833" t="str">
        <f t="shared" si="923"/>
        <v/>
      </c>
      <c r="AG250" s="832" t="str">
        <f t="shared" si="924"/>
        <v/>
      </c>
      <c r="AH250" s="366" t="str">
        <f t="shared" si="925"/>
        <v>X</v>
      </c>
      <c r="AI250" s="366" t="str">
        <f t="shared" si="926"/>
        <v/>
      </c>
      <c r="AJ250" s="366" t="str">
        <f t="shared" si="927"/>
        <v/>
      </c>
      <c r="AK250" s="366" t="str">
        <f t="shared" si="928"/>
        <v/>
      </c>
      <c r="AL250" s="833" t="str">
        <f t="shared" si="929"/>
        <v/>
      </c>
      <c r="AM250" s="832" t="str">
        <f t="shared" si="930"/>
        <v/>
      </c>
      <c r="AN250" s="366" t="str">
        <f t="shared" si="931"/>
        <v>X</v>
      </c>
      <c r="AO250" s="366" t="str">
        <f t="shared" si="932"/>
        <v/>
      </c>
      <c r="AP250" s="366" t="str">
        <f t="shared" si="933"/>
        <v/>
      </c>
      <c r="AQ250" s="366" t="str">
        <f t="shared" si="934"/>
        <v/>
      </c>
      <c r="AR250" s="833" t="str">
        <f t="shared" si="935"/>
        <v/>
      </c>
      <c r="AT250" s="1062"/>
      <c r="AY250" s="4"/>
    </row>
    <row r="251" spans="1:51" ht="13.9" customHeight="1" x14ac:dyDescent="0.25">
      <c r="A251" s="846">
        <f>Chem!A251</f>
        <v>249</v>
      </c>
      <c r="B251" s="951" t="str">
        <f>Chem!B251</f>
        <v>delta-BHC (delta-HCH)</v>
      </c>
      <c r="C251" s="946">
        <f t="shared" si="906"/>
        <v>5.7792349439999999E-5</v>
      </c>
      <c r="D251" s="463">
        <f t="shared" si="907"/>
        <v>2.9727999999999997E-6</v>
      </c>
      <c r="E251" s="634">
        <f t="shared" si="908"/>
        <v>4.7999999999999996E-3</v>
      </c>
      <c r="F251" s="634">
        <f t="shared" si="909"/>
        <v>4.7999999999999996E-3</v>
      </c>
      <c r="G251" s="634"/>
      <c r="H251" s="467">
        <f>'SL-Det'!E251</f>
        <v>4.7999999999999996E-3</v>
      </c>
      <c r="I251" s="231">
        <f>Leach!F251</f>
        <v>5.7792349439999999E-5</v>
      </c>
      <c r="J251" s="231" t="str">
        <f>Leach!I251</f>
        <v>na</v>
      </c>
      <c r="K251" s="231" t="str">
        <f>Leach!L251</f>
        <v>na</v>
      </c>
      <c r="L251" s="476">
        <f>Leach!G251</f>
        <v>2.9727999999999997E-6</v>
      </c>
      <c r="M251" s="476" t="str">
        <f>Leach!J251</f>
        <v>na</v>
      </c>
      <c r="N251" s="476" t="str">
        <f>Leach!M251</f>
        <v>na</v>
      </c>
      <c r="O251" s="485" t="str">
        <f>'SD-Det'!Z251</f>
        <v>na</v>
      </c>
      <c r="P251" s="492">
        <f>'SL-Det'!I251</f>
        <v>6</v>
      </c>
      <c r="Q251" s="975" t="s">
        <v>232</v>
      </c>
      <c r="S251" s="832" t="str">
        <f t="shared" si="910"/>
        <v/>
      </c>
      <c r="T251" s="366" t="str">
        <f t="shared" si="911"/>
        <v>X</v>
      </c>
      <c r="U251" s="366" t="str">
        <f t="shared" si="912"/>
        <v/>
      </c>
      <c r="V251" s="366" t="str">
        <f t="shared" si="913"/>
        <v/>
      </c>
      <c r="W251" s="366" t="str">
        <f t="shared" si="914"/>
        <v/>
      </c>
      <c r="X251" s="366" t="str">
        <f t="shared" si="915"/>
        <v/>
      </c>
      <c r="Y251" s="989" t="str">
        <f t="shared" si="916"/>
        <v/>
      </c>
      <c r="Z251" s="832" t="str">
        <f t="shared" si="917"/>
        <v/>
      </c>
      <c r="AA251" s="366" t="str">
        <f t="shared" si="918"/>
        <v>X</v>
      </c>
      <c r="AB251" s="366" t="str">
        <f t="shared" si="919"/>
        <v/>
      </c>
      <c r="AC251" s="366" t="str">
        <f t="shared" si="920"/>
        <v/>
      </c>
      <c r="AD251" s="366" t="str">
        <f t="shared" si="921"/>
        <v/>
      </c>
      <c r="AE251" s="366" t="str">
        <f t="shared" si="922"/>
        <v/>
      </c>
      <c r="AF251" s="833" t="str">
        <f t="shared" si="923"/>
        <v/>
      </c>
      <c r="AG251" s="832" t="str">
        <f t="shared" si="924"/>
        <v>X</v>
      </c>
      <c r="AH251" s="366" t="str">
        <f t="shared" si="925"/>
        <v/>
      </c>
      <c r="AI251" s="366" t="str">
        <f t="shared" si="926"/>
        <v/>
      </c>
      <c r="AJ251" s="366" t="str">
        <f t="shared" si="927"/>
        <v/>
      </c>
      <c r="AK251" s="366" t="str">
        <f t="shared" si="928"/>
        <v/>
      </c>
      <c r="AL251" s="833" t="str">
        <f t="shared" si="929"/>
        <v/>
      </c>
      <c r="AM251" s="832" t="str">
        <f t="shared" si="930"/>
        <v>X</v>
      </c>
      <c r="AN251" s="366" t="str">
        <f t="shared" si="931"/>
        <v/>
      </c>
      <c r="AO251" s="366" t="str">
        <f t="shared" si="932"/>
        <v/>
      </c>
      <c r="AP251" s="366" t="str">
        <f t="shared" si="933"/>
        <v/>
      </c>
      <c r="AQ251" s="366" t="str">
        <f t="shared" si="934"/>
        <v/>
      </c>
      <c r="AR251" s="833" t="str">
        <f t="shared" si="935"/>
        <v/>
      </c>
      <c r="AT251" s="1062"/>
      <c r="AY251" s="4"/>
    </row>
    <row r="252" spans="1:51" ht="13.9" customHeight="1" x14ac:dyDescent="0.25">
      <c r="A252" s="846">
        <f>Chem!A252</f>
        <v>250</v>
      </c>
      <c r="B252" s="951" t="str">
        <f>Chem!B252</f>
        <v>Carbaryl</v>
      </c>
      <c r="C252" s="946">
        <f t="shared" si="906"/>
        <v>1.7753600370760424E-2</v>
      </c>
      <c r="D252" s="463">
        <f t="shared" si="907"/>
        <v>1.0263466666666666E-3</v>
      </c>
      <c r="E252" s="634">
        <f t="shared" si="908"/>
        <v>1.7753600370760424E-2</v>
      </c>
      <c r="F252" s="634">
        <f t="shared" si="909"/>
        <v>1.0263466666666666E-3</v>
      </c>
      <c r="G252" s="634"/>
      <c r="H252" s="467">
        <f>'SL-Det'!E252</f>
        <v>8000</v>
      </c>
      <c r="I252" s="231">
        <f>Leach!F252</f>
        <v>17.753600370760424</v>
      </c>
      <c r="J252" s="231">
        <f>Leach!I252</f>
        <v>1.7753600370760424E-2</v>
      </c>
      <c r="K252" s="231" t="str">
        <f>Leach!L252</f>
        <v>na</v>
      </c>
      <c r="L252" s="476">
        <f>Leach!G252</f>
        <v>1.0263466666666667</v>
      </c>
      <c r="M252" s="476">
        <f>Leach!J252</f>
        <v>1.0263466666666666E-3</v>
      </c>
      <c r="N252" s="476" t="str">
        <f>Leach!M252</f>
        <v>na</v>
      </c>
      <c r="O252" s="485" t="str">
        <f>'SD-Det'!Z252</f>
        <v>na</v>
      </c>
      <c r="P252" s="492" t="str">
        <f>'SL-Det'!I252</f>
        <v>na</v>
      </c>
      <c r="Q252" s="975" t="s">
        <v>232</v>
      </c>
      <c r="S252" s="832" t="str">
        <f t="shared" ref="S252" si="936">IF($C252="na","",IF($C252=H252,"X",""))</f>
        <v/>
      </c>
      <c r="T252" s="366" t="str">
        <f t="shared" ref="T252" si="937">IF($C252="na","",IF($C252=I252,"X",""))</f>
        <v/>
      </c>
      <c r="U252" s="366" t="str">
        <f t="shared" ref="U252" si="938">IF($C252="na","",IF($C252=J252,"X",""))</f>
        <v>X</v>
      </c>
      <c r="V252" s="366" t="str">
        <f t="shared" ref="V252" si="939">IF($C252="na","",IF($C252=K252,"X",""))</f>
        <v/>
      </c>
      <c r="W252" s="366" t="str">
        <f t="shared" ref="W252" si="940">IF($C252="na","",IF($C252=O252,"X",""))</f>
        <v/>
      </c>
      <c r="X252" s="366" t="str">
        <f t="shared" ref="X252" si="941">IF($C252="na","",IF($C252=P252,"X",""))</f>
        <v/>
      </c>
      <c r="Y252" s="989" t="str">
        <f t="shared" ref="Y252" si="942">IF($C252="na","",IF($C252=Q252,"X",""))</f>
        <v/>
      </c>
      <c r="Z252" s="832" t="str">
        <f t="shared" ref="Z252" si="943">IF($D252="na","",IF($D252=H252,"X",""))</f>
        <v/>
      </c>
      <c r="AA252" s="366" t="str">
        <f t="shared" ref="AA252" si="944">IF($D252="na","",IF($D252=L252,"X",""))</f>
        <v/>
      </c>
      <c r="AB252" s="366" t="str">
        <f t="shared" ref="AB252" si="945">IF($D252="na","",IF($D252=M252,"X",""))</f>
        <v>X</v>
      </c>
      <c r="AC252" s="366" t="str">
        <f t="shared" ref="AC252" si="946">IF($D252="na","",IF($D252=N252,"X",""))</f>
        <v/>
      </c>
      <c r="AD252" s="366" t="str">
        <f t="shared" ref="AD252" si="947">IF($D252="na","",IF($D252=O252,"X",""))</f>
        <v/>
      </c>
      <c r="AE252" s="366" t="str">
        <f t="shared" ref="AE252" si="948">IF($D252="na","",IF($D252=P252,"X",""))</f>
        <v/>
      </c>
      <c r="AF252" s="833" t="str">
        <f t="shared" ref="AF252" si="949">IF($D252="na","",IF($D252=Q252,"X",""))</f>
        <v/>
      </c>
      <c r="AG252" s="832" t="str">
        <f t="shared" ref="AG252" si="950">IF($E252="na","",IF($E252=H252,"X",""))</f>
        <v/>
      </c>
      <c r="AH252" s="366" t="str">
        <f t="shared" ref="AH252" si="951">IF($E252="na","",IF($E252=J252,"X",""))</f>
        <v>X</v>
      </c>
      <c r="AI252" s="366" t="str">
        <f t="shared" ref="AI252" si="952">IF($E252="na","",IF($E252=K252,"X",""))</f>
        <v/>
      </c>
      <c r="AJ252" s="366" t="str">
        <f t="shared" ref="AJ252" si="953">IF($E252="na","",IF($E252=O252,"X",""))</f>
        <v/>
      </c>
      <c r="AK252" s="366" t="str">
        <f t="shared" ref="AK252" si="954">IF($E252="na","",IF($E252=P252,"X",""))</f>
        <v/>
      </c>
      <c r="AL252" s="833" t="str">
        <f t="shared" ref="AL252" si="955">IF($E252="na","",IF($E252=Q252,"X",""))</f>
        <v/>
      </c>
      <c r="AM252" s="832" t="str">
        <f t="shared" ref="AM252" si="956">IF($F252="na","",IF($F252=H252,"X",""))</f>
        <v/>
      </c>
      <c r="AN252" s="366" t="str">
        <f t="shared" ref="AN252" si="957">IF($F252="na","",IF($F252=M252,"X",""))</f>
        <v>X</v>
      </c>
      <c r="AO252" s="366" t="str">
        <f t="shared" ref="AO252" si="958">IF($F252="na","",IF($F252=N252,"X",""))</f>
        <v/>
      </c>
      <c r="AP252" s="366" t="str">
        <f t="shared" ref="AP252" si="959">IF($F252="na","",IF($F252=O252,"X",""))</f>
        <v/>
      </c>
      <c r="AQ252" s="366" t="str">
        <f t="shared" ref="AQ252" si="960">IF($F252="na","",IF($F252=P252,"X",""))</f>
        <v/>
      </c>
      <c r="AR252" s="833" t="str">
        <f t="shared" ref="AR252" si="961">IF($F252="na","",IF($F252=Q252,"X",""))</f>
        <v/>
      </c>
      <c r="AT252" s="1062"/>
      <c r="AY252" s="4"/>
    </row>
    <row r="253" spans="1:51" ht="13.9" customHeight="1" x14ac:dyDescent="0.25">
      <c r="A253" s="846">
        <f>Chem!A253</f>
        <v>251</v>
      </c>
      <c r="B253" s="951" t="str">
        <f>Chem!B253</f>
        <v>cis-Chlordane (alpha)</v>
      </c>
      <c r="C253" s="946">
        <f t="shared" si="906"/>
        <v>1E-4</v>
      </c>
      <c r="D253" s="463">
        <f t="shared" si="907"/>
        <v>5.2830263645497858E-6</v>
      </c>
      <c r="E253" s="634">
        <f t="shared" si="908"/>
        <v>1E-4</v>
      </c>
      <c r="F253" s="634">
        <f t="shared" si="909"/>
        <v>5.2830263645497858E-6</v>
      </c>
      <c r="G253" s="634"/>
      <c r="H253" s="467">
        <f>'SL-Det'!E253</f>
        <v>40</v>
      </c>
      <c r="I253" s="231">
        <f>Leach!F253</f>
        <v>5.416013775960753</v>
      </c>
      <c r="J253" s="231" t="str">
        <f>Leach!I253</f>
        <v>na</v>
      </c>
      <c r="K253" s="231">
        <f>Leach!L253</f>
        <v>1.0552570651491995E-4</v>
      </c>
      <c r="L253" s="476">
        <f>Leach!G253</f>
        <v>0.27114666666666665</v>
      </c>
      <c r="M253" s="476" t="str">
        <f>Leach!J253</f>
        <v>na</v>
      </c>
      <c r="N253" s="476">
        <f>Leach!M253</f>
        <v>5.2830263645497858E-6</v>
      </c>
      <c r="O253" s="485">
        <f>'SD-Det'!Z253</f>
        <v>1E-4</v>
      </c>
      <c r="P253" s="494">
        <f>'SL-Det'!I253</f>
        <v>1</v>
      </c>
      <c r="Q253" s="975" t="s">
        <v>232</v>
      </c>
      <c r="S253" s="832" t="str">
        <f t="shared" si="910"/>
        <v/>
      </c>
      <c r="T253" s="366" t="str">
        <f t="shared" si="911"/>
        <v/>
      </c>
      <c r="U253" s="366" t="str">
        <f t="shared" si="912"/>
        <v/>
      </c>
      <c r="V253" s="366" t="str">
        <f t="shared" si="913"/>
        <v/>
      </c>
      <c r="W253" s="366" t="str">
        <f t="shared" si="914"/>
        <v>X</v>
      </c>
      <c r="X253" s="366" t="str">
        <f t="shared" si="915"/>
        <v/>
      </c>
      <c r="Y253" s="989" t="str">
        <f t="shared" si="916"/>
        <v/>
      </c>
      <c r="Z253" s="832" t="str">
        <f t="shared" si="917"/>
        <v/>
      </c>
      <c r="AA253" s="366" t="str">
        <f t="shared" si="918"/>
        <v/>
      </c>
      <c r="AB253" s="366" t="str">
        <f t="shared" si="919"/>
        <v/>
      </c>
      <c r="AC253" s="366" t="str">
        <f t="shared" si="920"/>
        <v>X</v>
      </c>
      <c r="AD253" s="366" t="str">
        <f t="shared" si="921"/>
        <v/>
      </c>
      <c r="AE253" s="366" t="str">
        <f t="shared" si="922"/>
        <v/>
      </c>
      <c r="AF253" s="833" t="str">
        <f t="shared" si="923"/>
        <v/>
      </c>
      <c r="AG253" s="832" t="str">
        <f t="shared" si="924"/>
        <v/>
      </c>
      <c r="AH253" s="366" t="str">
        <f t="shared" si="925"/>
        <v/>
      </c>
      <c r="AI253" s="366" t="str">
        <f t="shared" si="926"/>
        <v/>
      </c>
      <c r="AJ253" s="366" t="str">
        <f t="shared" si="927"/>
        <v>X</v>
      </c>
      <c r="AK253" s="366" t="str">
        <f t="shared" si="928"/>
        <v/>
      </c>
      <c r="AL253" s="833" t="str">
        <f t="shared" si="929"/>
        <v/>
      </c>
      <c r="AM253" s="832" t="str">
        <f t="shared" si="930"/>
        <v/>
      </c>
      <c r="AN253" s="366" t="str">
        <f t="shared" si="931"/>
        <v/>
      </c>
      <c r="AO253" s="366" t="str">
        <f t="shared" si="932"/>
        <v>X</v>
      </c>
      <c r="AP253" s="366" t="str">
        <f t="shared" si="933"/>
        <v/>
      </c>
      <c r="AQ253" s="366" t="str">
        <f t="shared" si="934"/>
        <v/>
      </c>
      <c r="AR253" s="833" t="str">
        <f t="shared" si="935"/>
        <v/>
      </c>
      <c r="AT253" s="1062"/>
      <c r="AY253" s="4"/>
    </row>
    <row r="254" spans="1:51" ht="13.9" customHeight="1" x14ac:dyDescent="0.25">
      <c r="A254" s="846">
        <f>Chem!A254</f>
        <v>252</v>
      </c>
      <c r="B254" s="951" t="str">
        <f>Chem!B254</f>
        <v>trans-Chlordane (gamma)</v>
      </c>
      <c r="C254" s="946">
        <f t="shared" si="906"/>
        <v>1E-4</v>
      </c>
      <c r="D254" s="463">
        <f t="shared" si="907"/>
        <v>5.2830263645497858E-6</v>
      </c>
      <c r="E254" s="634">
        <f t="shared" si="908"/>
        <v>1E-4</v>
      </c>
      <c r="F254" s="634">
        <f t="shared" si="909"/>
        <v>5.2830263645497858E-6</v>
      </c>
      <c r="G254" s="634"/>
      <c r="H254" s="467">
        <f>'SL-Det'!E254</f>
        <v>40</v>
      </c>
      <c r="I254" s="231">
        <f>Leach!F254</f>
        <v>5.416013775960753</v>
      </c>
      <c r="J254" s="231" t="str">
        <f>Leach!I254</f>
        <v>na</v>
      </c>
      <c r="K254" s="231">
        <f>Leach!L254</f>
        <v>1.0552570651491995E-4</v>
      </c>
      <c r="L254" s="476">
        <f>Leach!G254</f>
        <v>0.27114666666666665</v>
      </c>
      <c r="M254" s="476" t="str">
        <f>Leach!J254</f>
        <v>na</v>
      </c>
      <c r="N254" s="476">
        <f>Leach!M254</f>
        <v>5.2830263645497858E-6</v>
      </c>
      <c r="O254" s="485">
        <f>'SD-Det'!Z254</f>
        <v>1E-4</v>
      </c>
      <c r="P254" s="494">
        <f>'SL-Det'!I254</f>
        <v>1</v>
      </c>
      <c r="Q254" s="975" t="s">
        <v>232</v>
      </c>
      <c r="S254" s="832" t="str">
        <f t="shared" si="910"/>
        <v/>
      </c>
      <c r="T254" s="366" t="str">
        <f t="shared" si="911"/>
        <v/>
      </c>
      <c r="U254" s="366" t="str">
        <f t="shared" si="912"/>
        <v/>
      </c>
      <c r="V254" s="366" t="str">
        <f t="shared" si="913"/>
        <v/>
      </c>
      <c r="W254" s="366" t="str">
        <f t="shared" si="914"/>
        <v>X</v>
      </c>
      <c r="X254" s="366" t="str">
        <f t="shared" si="915"/>
        <v/>
      </c>
      <c r="Y254" s="989" t="str">
        <f t="shared" si="916"/>
        <v/>
      </c>
      <c r="Z254" s="832" t="str">
        <f t="shared" si="917"/>
        <v/>
      </c>
      <c r="AA254" s="366" t="str">
        <f t="shared" si="918"/>
        <v/>
      </c>
      <c r="AB254" s="366" t="str">
        <f t="shared" si="919"/>
        <v/>
      </c>
      <c r="AC254" s="366" t="str">
        <f t="shared" si="920"/>
        <v>X</v>
      </c>
      <c r="AD254" s="366" t="str">
        <f t="shared" si="921"/>
        <v/>
      </c>
      <c r="AE254" s="366" t="str">
        <f t="shared" si="922"/>
        <v/>
      </c>
      <c r="AF254" s="833" t="str">
        <f t="shared" si="923"/>
        <v/>
      </c>
      <c r="AG254" s="832" t="str">
        <f t="shared" si="924"/>
        <v/>
      </c>
      <c r="AH254" s="366" t="str">
        <f t="shared" si="925"/>
        <v/>
      </c>
      <c r="AI254" s="366" t="str">
        <f t="shared" si="926"/>
        <v/>
      </c>
      <c r="AJ254" s="366" t="str">
        <f t="shared" si="927"/>
        <v>X</v>
      </c>
      <c r="AK254" s="366" t="str">
        <f t="shared" si="928"/>
        <v/>
      </c>
      <c r="AL254" s="833" t="str">
        <f t="shared" si="929"/>
        <v/>
      </c>
      <c r="AM254" s="832" t="str">
        <f t="shared" si="930"/>
        <v/>
      </c>
      <c r="AN254" s="366" t="str">
        <f t="shared" si="931"/>
        <v/>
      </c>
      <c r="AO254" s="366" t="str">
        <f t="shared" si="932"/>
        <v>X</v>
      </c>
      <c r="AP254" s="366" t="str">
        <f t="shared" si="933"/>
        <v/>
      </c>
      <c r="AQ254" s="366" t="str">
        <f t="shared" si="934"/>
        <v/>
      </c>
      <c r="AR254" s="833" t="str">
        <f t="shared" si="935"/>
        <v/>
      </c>
      <c r="AT254" s="1062"/>
      <c r="AY254" s="4"/>
    </row>
    <row r="255" spans="1:51" ht="13.9" customHeight="1" x14ac:dyDescent="0.25">
      <c r="A255" s="846">
        <f>Chem!A255</f>
        <v>253</v>
      </c>
      <c r="B255" s="951" t="str">
        <f>Chem!B255</f>
        <v>Chlordane</v>
      </c>
      <c r="C255" s="946">
        <f t="shared" si="906"/>
        <v>2.266000766359198E-5</v>
      </c>
      <c r="D255" s="463">
        <f t="shared" si="907"/>
        <v>1.1349066666666668E-6</v>
      </c>
      <c r="E255" s="634">
        <f t="shared" si="908"/>
        <v>2.266000766359198E-5</v>
      </c>
      <c r="F255" s="634">
        <f t="shared" si="909"/>
        <v>1.1349066666666668E-6</v>
      </c>
      <c r="G255" s="634"/>
      <c r="H255" s="467">
        <f>'SL-Det'!E255</f>
        <v>2.8571428571428572</v>
      </c>
      <c r="I255" s="231">
        <f>Leach!F255</f>
        <v>1.2875004354313622</v>
      </c>
      <c r="J255" s="231">
        <f>Leach!I255</f>
        <v>2.266000766359198E-5</v>
      </c>
      <c r="K255" s="231">
        <f>Leach!L255</f>
        <v>5.9316605259643342</v>
      </c>
      <c r="L255" s="476">
        <f>Leach!G255</f>
        <v>6.4483333333333337E-2</v>
      </c>
      <c r="M255" s="476">
        <f>Leach!J255</f>
        <v>1.1349066666666668E-6</v>
      </c>
      <c r="N255" s="476">
        <f>Leach!M255</f>
        <v>0.29708202994726252</v>
      </c>
      <c r="O255" s="485">
        <f>'SD-Det'!Z255</f>
        <v>5.6166640781514872</v>
      </c>
      <c r="P255" s="492">
        <f>'SL-Det'!I255</f>
        <v>1</v>
      </c>
      <c r="Q255" s="975" t="s">
        <v>232</v>
      </c>
      <c r="S255" s="832" t="str">
        <f t="shared" si="910"/>
        <v/>
      </c>
      <c r="T255" s="366" t="str">
        <f t="shared" si="911"/>
        <v/>
      </c>
      <c r="U255" s="366" t="str">
        <f t="shared" si="912"/>
        <v>X</v>
      </c>
      <c r="V255" s="366" t="str">
        <f t="shared" si="913"/>
        <v/>
      </c>
      <c r="W255" s="366" t="str">
        <f t="shared" si="914"/>
        <v/>
      </c>
      <c r="X255" s="366" t="str">
        <f t="shared" si="915"/>
        <v/>
      </c>
      <c r="Y255" s="989" t="str">
        <f t="shared" si="916"/>
        <v/>
      </c>
      <c r="Z255" s="832" t="str">
        <f t="shared" si="917"/>
        <v/>
      </c>
      <c r="AA255" s="366" t="str">
        <f t="shared" si="918"/>
        <v/>
      </c>
      <c r="AB255" s="366" t="str">
        <f t="shared" si="919"/>
        <v>X</v>
      </c>
      <c r="AC255" s="366" t="str">
        <f t="shared" si="920"/>
        <v/>
      </c>
      <c r="AD255" s="366" t="str">
        <f t="shared" si="921"/>
        <v/>
      </c>
      <c r="AE255" s="366" t="str">
        <f t="shared" si="922"/>
        <v/>
      </c>
      <c r="AF255" s="833" t="str">
        <f t="shared" si="923"/>
        <v/>
      </c>
      <c r="AG255" s="832" t="str">
        <f t="shared" si="924"/>
        <v/>
      </c>
      <c r="AH255" s="366" t="str">
        <f t="shared" si="925"/>
        <v>X</v>
      </c>
      <c r="AI255" s="366" t="str">
        <f t="shared" si="926"/>
        <v/>
      </c>
      <c r="AJ255" s="366" t="str">
        <f t="shared" si="927"/>
        <v/>
      </c>
      <c r="AK255" s="366" t="str">
        <f t="shared" si="928"/>
        <v/>
      </c>
      <c r="AL255" s="833" t="str">
        <f t="shared" si="929"/>
        <v/>
      </c>
      <c r="AM255" s="832" t="str">
        <f t="shared" si="930"/>
        <v/>
      </c>
      <c r="AN255" s="366" t="str">
        <f t="shared" si="931"/>
        <v>X</v>
      </c>
      <c r="AO255" s="366" t="str">
        <f t="shared" si="932"/>
        <v/>
      </c>
      <c r="AP255" s="366" t="str">
        <f t="shared" si="933"/>
        <v/>
      </c>
      <c r="AQ255" s="366" t="str">
        <f t="shared" si="934"/>
        <v/>
      </c>
      <c r="AR255" s="833" t="str">
        <f t="shared" si="935"/>
        <v/>
      </c>
      <c r="AT255" s="1062"/>
      <c r="AY255" s="4"/>
    </row>
    <row r="256" spans="1:51" ht="13.9" customHeight="1" x14ac:dyDescent="0.25">
      <c r="A256" s="846">
        <f>Chem!A256</f>
        <v>254</v>
      </c>
      <c r="B256" s="951" t="str">
        <f>Chem!B256</f>
        <v>Chlorpyrifos</v>
      </c>
      <c r="C256" s="946">
        <f t="shared" si="906"/>
        <v>8.3776116273644044E-4</v>
      </c>
      <c r="D256" s="463">
        <f t="shared" si="907"/>
        <v>4.2373333333333336E-5</v>
      </c>
      <c r="E256" s="634">
        <f t="shared" si="908"/>
        <v>8.3776116273644044E-4</v>
      </c>
      <c r="F256" s="634">
        <f t="shared" si="909"/>
        <v>4.2373333333333336E-5</v>
      </c>
      <c r="G256" s="634"/>
      <c r="H256" s="467">
        <f>'SL-Det'!E256</f>
        <v>80</v>
      </c>
      <c r="I256" s="231">
        <f>Leach!F256</f>
        <v>2.393603322104116</v>
      </c>
      <c r="J256" s="231">
        <f>Leach!I256</f>
        <v>8.3776116273644044E-4</v>
      </c>
      <c r="K256" s="231" t="str">
        <f>Leach!L256</f>
        <v>na</v>
      </c>
      <c r="L256" s="476">
        <f>Leach!G256</f>
        <v>0.12106666666666668</v>
      </c>
      <c r="M256" s="476">
        <f>Leach!J256</f>
        <v>4.2373333333333336E-5</v>
      </c>
      <c r="N256" s="476" t="str">
        <f>Leach!M256</f>
        <v>na</v>
      </c>
      <c r="O256" s="488" t="str">
        <f>'SD-Det'!Z256</f>
        <v>na</v>
      </c>
      <c r="P256" s="494" t="str">
        <f>'SL-Det'!I256</f>
        <v>na</v>
      </c>
      <c r="Q256" s="975" t="s">
        <v>232</v>
      </c>
      <c r="S256" s="832" t="str">
        <f t="shared" si="910"/>
        <v/>
      </c>
      <c r="T256" s="366" t="str">
        <f t="shared" si="911"/>
        <v/>
      </c>
      <c r="U256" s="366" t="str">
        <f t="shared" si="912"/>
        <v>X</v>
      </c>
      <c r="V256" s="366" t="str">
        <f t="shared" si="913"/>
        <v/>
      </c>
      <c r="W256" s="366" t="str">
        <f t="shared" si="914"/>
        <v/>
      </c>
      <c r="X256" s="366" t="str">
        <f t="shared" si="915"/>
        <v/>
      </c>
      <c r="Y256" s="989" t="str">
        <f t="shared" si="916"/>
        <v/>
      </c>
      <c r="Z256" s="832" t="str">
        <f t="shared" si="917"/>
        <v/>
      </c>
      <c r="AA256" s="366" t="str">
        <f t="shared" si="918"/>
        <v/>
      </c>
      <c r="AB256" s="366" t="str">
        <f t="shared" si="919"/>
        <v>X</v>
      </c>
      <c r="AC256" s="366" t="str">
        <f t="shared" si="920"/>
        <v/>
      </c>
      <c r="AD256" s="366" t="str">
        <f t="shared" si="921"/>
        <v/>
      </c>
      <c r="AE256" s="366" t="str">
        <f t="shared" si="922"/>
        <v/>
      </c>
      <c r="AF256" s="833" t="str">
        <f t="shared" si="923"/>
        <v/>
      </c>
      <c r="AG256" s="832" t="str">
        <f t="shared" si="924"/>
        <v/>
      </c>
      <c r="AH256" s="366" t="str">
        <f t="shared" si="925"/>
        <v>X</v>
      </c>
      <c r="AI256" s="366" t="str">
        <f t="shared" si="926"/>
        <v/>
      </c>
      <c r="AJ256" s="366" t="str">
        <f t="shared" si="927"/>
        <v/>
      </c>
      <c r="AK256" s="366" t="str">
        <f t="shared" si="928"/>
        <v/>
      </c>
      <c r="AL256" s="833" t="str">
        <f t="shared" si="929"/>
        <v/>
      </c>
      <c r="AM256" s="832" t="str">
        <f t="shared" si="930"/>
        <v/>
      </c>
      <c r="AN256" s="366" t="str">
        <f t="shared" si="931"/>
        <v>X</v>
      </c>
      <c r="AO256" s="366" t="str">
        <f t="shared" si="932"/>
        <v/>
      </c>
      <c r="AP256" s="366" t="str">
        <f t="shared" si="933"/>
        <v/>
      </c>
      <c r="AQ256" s="366" t="str">
        <f t="shared" si="934"/>
        <v/>
      </c>
      <c r="AR256" s="833" t="str">
        <f t="shared" si="935"/>
        <v/>
      </c>
      <c r="AT256" s="1062"/>
      <c r="AY256" s="4"/>
    </row>
    <row r="257" spans="1:51" ht="13.9" customHeight="1" x14ac:dyDescent="0.25">
      <c r="A257" s="846">
        <f>Chem!A257</f>
        <v>255</v>
      </c>
      <c r="B257" s="951" t="str">
        <f>Chem!B257</f>
        <v>4,4'-DDD</v>
      </c>
      <c r="C257" s="946">
        <f t="shared" si="906"/>
        <v>7.2680036948487344E-6</v>
      </c>
      <c r="D257" s="463">
        <f t="shared" si="907"/>
        <v>3.6408466666666676E-7</v>
      </c>
      <c r="E257" s="634">
        <f t="shared" si="908"/>
        <v>7.2680036948487344E-6</v>
      </c>
      <c r="F257" s="634">
        <f t="shared" si="909"/>
        <v>3.6408466666666676E-7</v>
      </c>
      <c r="G257" s="634"/>
      <c r="H257" s="467">
        <f>'SL-Det'!E257</f>
        <v>4.166666666666667</v>
      </c>
      <c r="I257" s="231">
        <f>Leach!F257</f>
        <v>0.33541683718315612</v>
      </c>
      <c r="J257" s="231">
        <f>Leach!I257</f>
        <v>7.2680036948487344E-6</v>
      </c>
      <c r="K257" s="231" t="str">
        <f>Leach!L257</f>
        <v>na</v>
      </c>
      <c r="L257" s="476">
        <f>Leach!G257</f>
        <v>1.6802430555555553E-2</v>
      </c>
      <c r="M257" s="476">
        <f>Leach!J257</f>
        <v>3.6408466666666676E-7</v>
      </c>
      <c r="N257" s="476" t="str">
        <f>Leach!M257</f>
        <v>na</v>
      </c>
      <c r="O257" s="485" t="str">
        <f>'SD-Det'!Z257</f>
        <v>na</v>
      </c>
      <c r="P257" s="492">
        <f>'SL-Det'!I257</f>
        <v>0.75</v>
      </c>
      <c r="Q257" s="975" t="s">
        <v>232</v>
      </c>
      <c r="S257" s="832" t="str">
        <f t="shared" si="910"/>
        <v/>
      </c>
      <c r="T257" s="366" t="str">
        <f t="shared" si="911"/>
        <v/>
      </c>
      <c r="U257" s="366" t="str">
        <f t="shared" si="912"/>
        <v>X</v>
      </c>
      <c r="V257" s="366" t="str">
        <f t="shared" si="913"/>
        <v/>
      </c>
      <c r="W257" s="366" t="str">
        <f t="shared" si="914"/>
        <v/>
      </c>
      <c r="X257" s="366" t="str">
        <f t="shared" si="915"/>
        <v/>
      </c>
      <c r="Y257" s="989" t="str">
        <f t="shared" si="916"/>
        <v/>
      </c>
      <c r="Z257" s="832" t="str">
        <f t="shared" si="917"/>
        <v/>
      </c>
      <c r="AA257" s="366" t="str">
        <f t="shared" si="918"/>
        <v/>
      </c>
      <c r="AB257" s="366" t="str">
        <f t="shared" si="919"/>
        <v>X</v>
      </c>
      <c r="AC257" s="366" t="str">
        <f t="shared" si="920"/>
        <v/>
      </c>
      <c r="AD257" s="366" t="str">
        <f t="shared" si="921"/>
        <v/>
      </c>
      <c r="AE257" s="366" t="str">
        <f t="shared" si="922"/>
        <v/>
      </c>
      <c r="AF257" s="833" t="str">
        <f t="shared" si="923"/>
        <v/>
      </c>
      <c r="AG257" s="832" t="str">
        <f t="shared" si="924"/>
        <v/>
      </c>
      <c r="AH257" s="366" t="str">
        <f t="shared" si="925"/>
        <v>X</v>
      </c>
      <c r="AI257" s="366" t="str">
        <f t="shared" si="926"/>
        <v/>
      </c>
      <c r="AJ257" s="366" t="str">
        <f t="shared" si="927"/>
        <v/>
      </c>
      <c r="AK257" s="366" t="str">
        <f t="shared" si="928"/>
        <v/>
      </c>
      <c r="AL257" s="833" t="str">
        <f t="shared" si="929"/>
        <v/>
      </c>
      <c r="AM257" s="832" t="str">
        <f t="shared" si="930"/>
        <v/>
      </c>
      <c r="AN257" s="366" t="str">
        <f t="shared" si="931"/>
        <v>X</v>
      </c>
      <c r="AO257" s="366" t="str">
        <f t="shared" si="932"/>
        <v/>
      </c>
      <c r="AP257" s="366" t="str">
        <f t="shared" si="933"/>
        <v/>
      </c>
      <c r="AQ257" s="366" t="str">
        <f t="shared" si="934"/>
        <v/>
      </c>
      <c r="AR257" s="833" t="str">
        <f t="shared" si="935"/>
        <v/>
      </c>
      <c r="AT257" s="1062"/>
      <c r="AY257" s="4"/>
    </row>
    <row r="258" spans="1:51" ht="13.9" customHeight="1" x14ac:dyDescent="0.25">
      <c r="A258" s="846">
        <f>Chem!A258</f>
        <v>256</v>
      </c>
      <c r="B258" s="951" t="str">
        <f>Chem!B258</f>
        <v>4,4'-DDE</v>
      </c>
      <c r="C258" s="946">
        <f t="shared" si="906"/>
        <v>1.5241606692643239E-6</v>
      </c>
      <c r="D258" s="463">
        <f t="shared" si="907"/>
        <v>7.6284266666666673E-8</v>
      </c>
      <c r="E258" s="634">
        <f t="shared" si="908"/>
        <v>1.5241606692643239E-6</v>
      </c>
      <c r="F258" s="634">
        <f t="shared" si="909"/>
        <v>7.6284266666666673E-8</v>
      </c>
      <c r="G258" s="634"/>
      <c r="H258" s="467">
        <f>'SL-Det'!E258</f>
        <v>2.9411764705882351</v>
      </c>
      <c r="I258" s="231">
        <f>Leach!F258</f>
        <v>0.22286774492083605</v>
      </c>
      <c r="J258" s="231">
        <f>Leach!I258</f>
        <v>1.5241606692643239E-6</v>
      </c>
      <c r="K258" s="231" t="str">
        <f>Leach!L258</f>
        <v>na</v>
      </c>
      <c r="L258" s="476">
        <f>Leach!G258</f>
        <v>1.1154534313725487E-2</v>
      </c>
      <c r="M258" s="476">
        <f>Leach!J258</f>
        <v>7.6284266666666673E-8</v>
      </c>
      <c r="N258" s="476" t="str">
        <f>Leach!M258</f>
        <v>na</v>
      </c>
      <c r="O258" s="485" t="str">
        <f>'SD-Det'!Z258</f>
        <v>na</v>
      </c>
      <c r="P258" s="492">
        <f>'SL-Det'!I258</f>
        <v>0.75</v>
      </c>
      <c r="Q258" s="975" t="s">
        <v>232</v>
      </c>
      <c r="S258" s="832" t="str">
        <f t="shared" si="910"/>
        <v/>
      </c>
      <c r="T258" s="366" t="str">
        <f t="shared" si="911"/>
        <v/>
      </c>
      <c r="U258" s="366" t="str">
        <f t="shared" si="912"/>
        <v>X</v>
      </c>
      <c r="V258" s="366" t="str">
        <f t="shared" si="913"/>
        <v/>
      </c>
      <c r="W258" s="366" t="str">
        <f t="shared" si="914"/>
        <v/>
      </c>
      <c r="X258" s="366" t="str">
        <f t="shared" si="915"/>
        <v/>
      </c>
      <c r="Y258" s="989" t="str">
        <f t="shared" si="916"/>
        <v/>
      </c>
      <c r="Z258" s="832" t="str">
        <f t="shared" si="917"/>
        <v/>
      </c>
      <c r="AA258" s="366" t="str">
        <f t="shared" si="918"/>
        <v/>
      </c>
      <c r="AB258" s="366" t="str">
        <f t="shared" si="919"/>
        <v>X</v>
      </c>
      <c r="AC258" s="366" t="str">
        <f t="shared" si="920"/>
        <v/>
      </c>
      <c r="AD258" s="366" t="str">
        <f t="shared" si="921"/>
        <v/>
      </c>
      <c r="AE258" s="366" t="str">
        <f t="shared" si="922"/>
        <v/>
      </c>
      <c r="AF258" s="833" t="str">
        <f t="shared" si="923"/>
        <v/>
      </c>
      <c r="AG258" s="832" t="str">
        <f t="shared" si="924"/>
        <v/>
      </c>
      <c r="AH258" s="366" t="str">
        <f t="shared" si="925"/>
        <v>X</v>
      </c>
      <c r="AI258" s="366" t="str">
        <f t="shared" si="926"/>
        <v/>
      </c>
      <c r="AJ258" s="366" t="str">
        <f t="shared" si="927"/>
        <v/>
      </c>
      <c r="AK258" s="366" t="str">
        <f t="shared" si="928"/>
        <v/>
      </c>
      <c r="AL258" s="833" t="str">
        <f t="shared" si="929"/>
        <v/>
      </c>
      <c r="AM258" s="832" t="str">
        <f t="shared" si="930"/>
        <v/>
      </c>
      <c r="AN258" s="366" t="str">
        <f t="shared" si="931"/>
        <v>X</v>
      </c>
      <c r="AO258" s="366" t="str">
        <f t="shared" si="932"/>
        <v/>
      </c>
      <c r="AP258" s="366" t="str">
        <f t="shared" si="933"/>
        <v/>
      </c>
      <c r="AQ258" s="366" t="str">
        <f t="shared" si="934"/>
        <v/>
      </c>
      <c r="AR258" s="833" t="str">
        <f t="shared" si="935"/>
        <v/>
      </c>
      <c r="AT258" s="1062"/>
      <c r="AY258" s="4"/>
    </row>
    <row r="259" spans="1:51" ht="13.9" customHeight="1" x14ac:dyDescent="0.25">
      <c r="A259" s="846">
        <f>Chem!A259</f>
        <v>257</v>
      </c>
      <c r="B259" s="951" t="str">
        <f>Chem!B259</f>
        <v>4,4'-DDT</v>
      </c>
      <c r="C259" s="946">
        <f t="shared" si="906"/>
        <v>1.6276800265597809E-5</v>
      </c>
      <c r="D259" s="463">
        <f t="shared" si="907"/>
        <v>8.13944E-7</v>
      </c>
      <c r="E259" s="634">
        <f t="shared" si="908"/>
        <v>1.6276800265597809E-5</v>
      </c>
      <c r="F259" s="634">
        <f t="shared" si="909"/>
        <v>8.13944E-7</v>
      </c>
      <c r="G259" s="634"/>
      <c r="H259" s="467">
        <f>'SL-Det'!E259</f>
        <v>2.9411764705882351</v>
      </c>
      <c r="I259" s="231">
        <f>Leach!F259</f>
        <v>3.4907353510779604</v>
      </c>
      <c r="J259" s="231">
        <f>Leach!I259</f>
        <v>1.6276800265597809E-5</v>
      </c>
      <c r="K259" s="231">
        <f>Leach!L259</f>
        <v>1.0528928263384645E-4</v>
      </c>
      <c r="L259" s="476">
        <f>Leach!G259</f>
        <v>0.17455906862745091</v>
      </c>
      <c r="M259" s="476">
        <f>Leach!J259</f>
        <v>8.13944E-7</v>
      </c>
      <c r="N259" s="476">
        <f>Leach!M259</f>
        <v>5.2651367876802999E-6</v>
      </c>
      <c r="O259" s="485">
        <f>'SD-Det'!Z259</f>
        <v>1E-4</v>
      </c>
      <c r="P259" s="492">
        <f>'SL-Det'!I259</f>
        <v>0.75</v>
      </c>
      <c r="Q259" s="975" t="s">
        <v>232</v>
      </c>
      <c r="S259" s="832" t="str">
        <f t="shared" si="910"/>
        <v/>
      </c>
      <c r="T259" s="366" t="str">
        <f t="shared" si="911"/>
        <v/>
      </c>
      <c r="U259" s="366" t="str">
        <f t="shared" si="912"/>
        <v>X</v>
      </c>
      <c r="V259" s="366" t="str">
        <f t="shared" si="913"/>
        <v/>
      </c>
      <c r="W259" s="366" t="str">
        <f t="shared" si="914"/>
        <v/>
      </c>
      <c r="X259" s="366" t="str">
        <f t="shared" si="915"/>
        <v/>
      </c>
      <c r="Y259" s="989" t="str">
        <f t="shared" si="916"/>
        <v/>
      </c>
      <c r="Z259" s="832" t="str">
        <f t="shared" si="917"/>
        <v/>
      </c>
      <c r="AA259" s="366" t="str">
        <f t="shared" si="918"/>
        <v/>
      </c>
      <c r="AB259" s="366" t="str">
        <f t="shared" si="919"/>
        <v>X</v>
      </c>
      <c r="AC259" s="366" t="str">
        <f t="shared" si="920"/>
        <v/>
      </c>
      <c r="AD259" s="366" t="str">
        <f t="shared" si="921"/>
        <v/>
      </c>
      <c r="AE259" s="366" t="str">
        <f t="shared" si="922"/>
        <v/>
      </c>
      <c r="AF259" s="833" t="str">
        <f t="shared" si="923"/>
        <v/>
      </c>
      <c r="AG259" s="832" t="str">
        <f t="shared" si="924"/>
        <v/>
      </c>
      <c r="AH259" s="366" t="str">
        <f t="shared" si="925"/>
        <v>X</v>
      </c>
      <c r="AI259" s="366" t="str">
        <f t="shared" si="926"/>
        <v/>
      </c>
      <c r="AJ259" s="366" t="str">
        <f t="shared" si="927"/>
        <v/>
      </c>
      <c r="AK259" s="366" t="str">
        <f t="shared" si="928"/>
        <v/>
      </c>
      <c r="AL259" s="833" t="str">
        <f t="shared" si="929"/>
        <v/>
      </c>
      <c r="AM259" s="832" t="str">
        <f t="shared" si="930"/>
        <v/>
      </c>
      <c r="AN259" s="366" t="str">
        <f t="shared" si="931"/>
        <v>X</v>
      </c>
      <c r="AO259" s="366" t="str">
        <f t="shared" si="932"/>
        <v/>
      </c>
      <c r="AP259" s="366" t="str">
        <f t="shared" si="933"/>
        <v/>
      </c>
      <c r="AQ259" s="366" t="str">
        <f t="shared" si="934"/>
        <v/>
      </c>
      <c r="AR259" s="833" t="str">
        <f t="shared" si="935"/>
        <v/>
      </c>
      <c r="AT259" s="1062"/>
      <c r="AY259" s="4"/>
    </row>
    <row r="260" spans="1:51" ht="13.9" customHeight="1" x14ac:dyDescent="0.25">
      <c r="A260" s="846">
        <f>Chem!A260</f>
        <v>258</v>
      </c>
      <c r="B260" s="951" t="str">
        <f>Chem!B260</f>
        <v xml:space="preserve">Total DDD </v>
      </c>
      <c r="C260" s="946">
        <f t="shared" si="906"/>
        <v>7.2680036948487344E-6</v>
      </c>
      <c r="D260" s="463">
        <f t="shared" si="907"/>
        <v>3.6408466666666676E-7</v>
      </c>
      <c r="E260" s="634">
        <f t="shared" si="908"/>
        <v>7.2680036948487344E-6</v>
      </c>
      <c r="F260" s="634">
        <f t="shared" si="909"/>
        <v>3.6408466666666676E-7</v>
      </c>
      <c r="G260" s="634"/>
      <c r="H260" s="467">
        <f>'SL-Det'!E260</f>
        <v>4.166666666666667</v>
      </c>
      <c r="I260" s="231">
        <f>Leach!F260</f>
        <v>0.33541683718315612</v>
      </c>
      <c r="J260" s="231">
        <f>Leach!I260</f>
        <v>7.2680036948487344E-6</v>
      </c>
      <c r="K260" s="231" t="str">
        <f>Leach!L260</f>
        <v>na</v>
      </c>
      <c r="L260" s="476">
        <f>Leach!G260</f>
        <v>1.6802430555555553E-2</v>
      </c>
      <c r="M260" s="476">
        <f>Leach!J260</f>
        <v>3.6408466666666676E-7</v>
      </c>
      <c r="N260" s="476" t="str">
        <f>Leach!M260</f>
        <v>na</v>
      </c>
      <c r="O260" s="491" t="str">
        <f>'SD-Det'!Z260</f>
        <v>na</v>
      </c>
      <c r="P260" s="494">
        <f>'SL-Det'!I260</f>
        <v>0.75</v>
      </c>
      <c r="Q260" s="975" t="s">
        <v>232</v>
      </c>
      <c r="S260" s="832" t="str">
        <f t="shared" si="910"/>
        <v/>
      </c>
      <c r="T260" s="366" t="str">
        <f t="shared" si="911"/>
        <v/>
      </c>
      <c r="U260" s="366" t="str">
        <f t="shared" si="912"/>
        <v>X</v>
      </c>
      <c r="V260" s="366" t="str">
        <f t="shared" si="913"/>
        <v/>
      </c>
      <c r="W260" s="366" t="str">
        <f t="shared" si="914"/>
        <v/>
      </c>
      <c r="X260" s="366" t="str">
        <f t="shared" si="915"/>
        <v/>
      </c>
      <c r="Y260" s="989" t="str">
        <f t="shared" si="916"/>
        <v/>
      </c>
      <c r="Z260" s="832" t="str">
        <f t="shared" si="917"/>
        <v/>
      </c>
      <c r="AA260" s="366" t="str">
        <f t="shared" si="918"/>
        <v/>
      </c>
      <c r="AB260" s="366" t="str">
        <f t="shared" si="919"/>
        <v>X</v>
      </c>
      <c r="AC260" s="366" t="str">
        <f t="shared" si="920"/>
        <v/>
      </c>
      <c r="AD260" s="366" t="str">
        <f t="shared" si="921"/>
        <v/>
      </c>
      <c r="AE260" s="366" t="str">
        <f t="shared" si="922"/>
        <v/>
      </c>
      <c r="AF260" s="833" t="str">
        <f t="shared" si="923"/>
        <v/>
      </c>
      <c r="AG260" s="832" t="str">
        <f t="shared" si="924"/>
        <v/>
      </c>
      <c r="AH260" s="366" t="str">
        <f t="shared" si="925"/>
        <v>X</v>
      </c>
      <c r="AI260" s="366" t="str">
        <f t="shared" si="926"/>
        <v/>
      </c>
      <c r="AJ260" s="366" t="str">
        <f t="shared" si="927"/>
        <v/>
      </c>
      <c r="AK260" s="366" t="str">
        <f t="shared" si="928"/>
        <v/>
      </c>
      <c r="AL260" s="833" t="str">
        <f t="shared" si="929"/>
        <v/>
      </c>
      <c r="AM260" s="832" t="str">
        <f t="shared" si="930"/>
        <v/>
      </c>
      <c r="AN260" s="366" t="str">
        <f t="shared" si="931"/>
        <v>X</v>
      </c>
      <c r="AO260" s="366" t="str">
        <f t="shared" si="932"/>
        <v/>
      </c>
      <c r="AP260" s="366" t="str">
        <f t="shared" si="933"/>
        <v/>
      </c>
      <c r="AQ260" s="366" t="str">
        <f t="shared" si="934"/>
        <v/>
      </c>
      <c r="AR260" s="833" t="str">
        <f t="shared" si="935"/>
        <v/>
      </c>
      <c r="AT260" s="1062"/>
      <c r="AY260" s="4"/>
    </row>
    <row r="261" spans="1:51" ht="13.9" customHeight="1" x14ac:dyDescent="0.25">
      <c r="A261" s="846">
        <f>Chem!A261</f>
        <v>259</v>
      </c>
      <c r="B261" s="951" t="str">
        <f>Chem!B261</f>
        <v>Total DDE</v>
      </c>
      <c r="C261" s="946">
        <f t="shared" si="906"/>
        <v>1.5241606692643239E-6</v>
      </c>
      <c r="D261" s="463">
        <f t="shared" si="907"/>
        <v>7.6284266666666673E-8</v>
      </c>
      <c r="E261" s="634">
        <f t="shared" si="908"/>
        <v>1.5241606692643239E-6</v>
      </c>
      <c r="F261" s="634">
        <f t="shared" si="909"/>
        <v>7.6284266666666673E-8</v>
      </c>
      <c r="G261" s="634"/>
      <c r="H261" s="467">
        <f>'SL-Det'!E261</f>
        <v>2.9411764705882351</v>
      </c>
      <c r="I261" s="231">
        <f>Leach!F261</f>
        <v>0.22286774492083605</v>
      </c>
      <c r="J261" s="231">
        <f>Leach!I261</f>
        <v>1.5241606692643239E-6</v>
      </c>
      <c r="K261" s="231" t="str">
        <f>Leach!L261</f>
        <v>na</v>
      </c>
      <c r="L261" s="476">
        <f>Leach!G261</f>
        <v>1.1154534313725487E-2</v>
      </c>
      <c r="M261" s="476">
        <f>Leach!J261</f>
        <v>7.6284266666666673E-8</v>
      </c>
      <c r="N261" s="476" t="str">
        <f>Leach!M261</f>
        <v>na</v>
      </c>
      <c r="O261" s="491" t="str">
        <f>'SD-Det'!Z261</f>
        <v>na</v>
      </c>
      <c r="P261" s="494">
        <f>'SL-Det'!I261</f>
        <v>0.75</v>
      </c>
      <c r="Q261" s="975" t="s">
        <v>232</v>
      </c>
      <c r="S261" s="832" t="str">
        <f t="shared" si="910"/>
        <v/>
      </c>
      <c r="T261" s="366" t="str">
        <f t="shared" si="911"/>
        <v/>
      </c>
      <c r="U261" s="366" t="str">
        <f t="shared" si="912"/>
        <v>X</v>
      </c>
      <c r="V261" s="366" t="str">
        <f t="shared" si="913"/>
        <v/>
      </c>
      <c r="W261" s="366" t="str">
        <f t="shared" si="914"/>
        <v/>
      </c>
      <c r="X261" s="366" t="str">
        <f t="shared" si="915"/>
        <v/>
      </c>
      <c r="Y261" s="989" t="str">
        <f t="shared" si="916"/>
        <v/>
      </c>
      <c r="Z261" s="832" t="str">
        <f t="shared" si="917"/>
        <v/>
      </c>
      <c r="AA261" s="366" t="str">
        <f t="shared" si="918"/>
        <v/>
      </c>
      <c r="AB261" s="366" t="str">
        <f t="shared" si="919"/>
        <v>X</v>
      </c>
      <c r="AC261" s="366" t="str">
        <f t="shared" si="920"/>
        <v/>
      </c>
      <c r="AD261" s="366" t="str">
        <f t="shared" si="921"/>
        <v/>
      </c>
      <c r="AE261" s="366" t="str">
        <f t="shared" si="922"/>
        <v/>
      </c>
      <c r="AF261" s="833" t="str">
        <f t="shared" si="923"/>
        <v/>
      </c>
      <c r="AG261" s="832" t="str">
        <f t="shared" si="924"/>
        <v/>
      </c>
      <c r="AH261" s="366" t="str">
        <f t="shared" si="925"/>
        <v>X</v>
      </c>
      <c r="AI261" s="366" t="str">
        <f t="shared" si="926"/>
        <v/>
      </c>
      <c r="AJ261" s="366" t="str">
        <f t="shared" si="927"/>
        <v/>
      </c>
      <c r="AK261" s="366" t="str">
        <f t="shared" si="928"/>
        <v/>
      </c>
      <c r="AL261" s="833" t="str">
        <f t="shared" si="929"/>
        <v/>
      </c>
      <c r="AM261" s="832" t="str">
        <f t="shared" si="930"/>
        <v/>
      </c>
      <c r="AN261" s="366" t="str">
        <f t="shared" si="931"/>
        <v>X</v>
      </c>
      <c r="AO261" s="366" t="str">
        <f t="shared" si="932"/>
        <v/>
      </c>
      <c r="AP261" s="366" t="str">
        <f t="shared" si="933"/>
        <v/>
      </c>
      <c r="AQ261" s="366" t="str">
        <f t="shared" si="934"/>
        <v/>
      </c>
      <c r="AR261" s="833" t="str">
        <f t="shared" si="935"/>
        <v/>
      </c>
      <c r="AT261" s="1062"/>
      <c r="AY261" s="4"/>
    </row>
    <row r="262" spans="1:51" ht="13.9" customHeight="1" x14ac:dyDescent="0.25">
      <c r="A262" s="846">
        <f>Chem!A262</f>
        <v>260</v>
      </c>
      <c r="B262" s="951" t="str">
        <f>Chem!B262</f>
        <v>Total DDT</v>
      </c>
      <c r="C262" s="946">
        <f t="shared" si="906"/>
        <v>1.6276800265597809E-5</v>
      </c>
      <c r="D262" s="463">
        <f t="shared" si="907"/>
        <v>8.13944E-7</v>
      </c>
      <c r="E262" s="634">
        <f t="shared" si="908"/>
        <v>1.6276800265597809E-5</v>
      </c>
      <c r="F262" s="634">
        <f t="shared" si="909"/>
        <v>8.13944E-7</v>
      </c>
      <c r="G262" s="634"/>
      <c r="H262" s="467">
        <f>'SL-Det'!E262</f>
        <v>2.9411764705882351</v>
      </c>
      <c r="I262" s="231">
        <f>Leach!F262</f>
        <v>3.4907353510779604</v>
      </c>
      <c r="J262" s="231">
        <f>Leach!I262</f>
        <v>1.6276800265597809E-5</v>
      </c>
      <c r="K262" s="231">
        <f>Leach!L262</f>
        <v>6.6274555895266083</v>
      </c>
      <c r="L262" s="476">
        <f>Leach!G262</f>
        <v>0.17455906862745091</v>
      </c>
      <c r="M262" s="476">
        <f>Leach!J262</f>
        <v>8.13944E-7</v>
      </c>
      <c r="N262" s="476">
        <f>Leach!M262</f>
        <v>0.33141511994608985</v>
      </c>
      <c r="O262" s="491">
        <f>'SD-Det'!Z262</f>
        <v>6.2945206043185031</v>
      </c>
      <c r="P262" s="494">
        <f>'SL-Det'!I262</f>
        <v>0.75</v>
      </c>
      <c r="Q262" s="975" t="s">
        <v>232</v>
      </c>
      <c r="S262" s="832" t="str">
        <f t="shared" si="910"/>
        <v/>
      </c>
      <c r="T262" s="366" t="str">
        <f t="shared" si="911"/>
        <v/>
      </c>
      <c r="U262" s="366" t="str">
        <f t="shared" si="912"/>
        <v>X</v>
      </c>
      <c r="V262" s="366" t="str">
        <f t="shared" si="913"/>
        <v/>
      </c>
      <c r="W262" s="366" t="str">
        <f t="shared" si="914"/>
        <v/>
      </c>
      <c r="X262" s="366" t="str">
        <f t="shared" si="915"/>
        <v/>
      </c>
      <c r="Y262" s="989" t="str">
        <f t="shared" si="916"/>
        <v/>
      </c>
      <c r="Z262" s="832" t="str">
        <f t="shared" si="917"/>
        <v/>
      </c>
      <c r="AA262" s="366" t="str">
        <f t="shared" si="918"/>
        <v/>
      </c>
      <c r="AB262" s="366" t="str">
        <f t="shared" si="919"/>
        <v>X</v>
      </c>
      <c r="AC262" s="366" t="str">
        <f t="shared" si="920"/>
        <v/>
      </c>
      <c r="AD262" s="366" t="str">
        <f t="shared" si="921"/>
        <v/>
      </c>
      <c r="AE262" s="366" t="str">
        <f t="shared" si="922"/>
        <v/>
      </c>
      <c r="AF262" s="833" t="str">
        <f t="shared" si="923"/>
        <v/>
      </c>
      <c r="AG262" s="832" t="str">
        <f t="shared" si="924"/>
        <v/>
      </c>
      <c r="AH262" s="366" t="str">
        <f t="shared" si="925"/>
        <v>X</v>
      </c>
      <c r="AI262" s="366" t="str">
        <f t="shared" si="926"/>
        <v/>
      </c>
      <c r="AJ262" s="366" t="str">
        <f t="shared" si="927"/>
        <v/>
      </c>
      <c r="AK262" s="366" t="str">
        <f t="shared" si="928"/>
        <v/>
      </c>
      <c r="AL262" s="833" t="str">
        <f t="shared" si="929"/>
        <v/>
      </c>
      <c r="AM262" s="832" t="str">
        <f t="shared" si="930"/>
        <v/>
      </c>
      <c r="AN262" s="366" t="str">
        <f t="shared" si="931"/>
        <v>X</v>
      </c>
      <c r="AO262" s="366" t="str">
        <f t="shared" si="932"/>
        <v/>
      </c>
      <c r="AP262" s="366" t="str">
        <f t="shared" si="933"/>
        <v/>
      </c>
      <c r="AQ262" s="366" t="str">
        <f t="shared" si="934"/>
        <v/>
      </c>
      <c r="AR262" s="833" t="str">
        <f t="shared" si="935"/>
        <v/>
      </c>
      <c r="AT262" s="1062"/>
      <c r="AY262" s="4"/>
    </row>
    <row r="263" spans="1:51" ht="13.9" customHeight="1" x14ac:dyDescent="0.25">
      <c r="A263" s="846">
        <f>Chem!A263</f>
        <v>261</v>
      </c>
      <c r="B263" s="951" t="str">
        <f>Chem!B263</f>
        <v>Diazinon</v>
      </c>
      <c r="C263" s="946">
        <f t="shared" si="906"/>
        <v>5.2972006566257834E-2</v>
      </c>
      <c r="D263" s="463">
        <f t="shared" si="907"/>
        <v>2.7196666666666667E-3</v>
      </c>
      <c r="E263" s="634">
        <f t="shared" si="908"/>
        <v>5.2972006566257834E-2</v>
      </c>
      <c r="F263" s="634">
        <f t="shared" si="909"/>
        <v>2.7196666666666667E-3</v>
      </c>
      <c r="G263" s="634"/>
      <c r="H263" s="467">
        <f>'SL-Det'!E263</f>
        <v>56</v>
      </c>
      <c r="I263" s="231">
        <f>Leach!F263</f>
        <v>0.72352008968547288</v>
      </c>
      <c r="J263" s="231">
        <f>Leach!I263</f>
        <v>5.2972006566257834E-2</v>
      </c>
      <c r="K263" s="231" t="str">
        <f>Leach!L263</f>
        <v>na</v>
      </c>
      <c r="L263" s="476">
        <f>Leach!G263</f>
        <v>3.7146666666666668E-2</v>
      </c>
      <c r="M263" s="476">
        <f>Leach!J263</f>
        <v>2.7196666666666667E-3</v>
      </c>
      <c r="N263" s="476" t="str">
        <f>Leach!M263</f>
        <v>na</v>
      </c>
      <c r="O263" s="488" t="str">
        <f>'SD-Det'!Z263</f>
        <v>na</v>
      </c>
      <c r="P263" s="494" t="str">
        <f>'SL-Det'!I263</f>
        <v>na</v>
      </c>
      <c r="Q263" s="975" t="s">
        <v>232</v>
      </c>
      <c r="S263" s="832" t="str">
        <f t="shared" si="910"/>
        <v/>
      </c>
      <c r="T263" s="366" t="str">
        <f t="shared" si="911"/>
        <v/>
      </c>
      <c r="U263" s="366" t="str">
        <f t="shared" si="912"/>
        <v>X</v>
      </c>
      <c r="V263" s="366" t="str">
        <f t="shared" si="913"/>
        <v/>
      </c>
      <c r="W263" s="366" t="str">
        <f t="shared" si="914"/>
        <v/>
      </c>
      <c r="X263" s="366" t="str">
        <f t="shared" si="915"/>
        <v/>
      </c>
      <c r="Y263" s="989" t="str">
        <f t="shared" si="916"/>
        <v/>
      </c>
      <c r="Z263" s="832" t="str">
        <f t="shared" si="917"/>
        <v/>
      </c>
      <c r="AA263" s="366" t="str">
        <f t="shared" si="918"/>
        <v/>
      </c>
      <c r="AB263" s="366" t="str">
        <f t="shared" si="919"/>
        <v>X</v>
      </c>
      <c r="AC263" s="366" t="str">
        <f t="shared" si="920"/>
        <v/>
      </c>
      <c r="AD263" s="366" t="str">
        <f t="shared" si="921"/>
        <v/>
      </c>
      <c r="AE263" s="366" t="str">
        <f t="shared" si="922"/>
        <v/>
      </c>
      <c r="AF263" s="833" t="str">
        <f t="shared" si="923"/>
        <v/>
      </c>
      <c r="AG263" s="832" t="str">
        <f t="shared" si="924"/>
        <v/>
      </c>
      <c r="AH263" s="366" t="str">
        <f t="shared" si="925"/>
        <v>X</v>
      </c>
      <c r="AI263" s="366" t="str">
        <f t="shared" si="926"/>
        <v/>
      </c>
      <c r="AJ263" s="366" t="str">
        <f t="shared" si="927"/>
        <v/>
      </c>
      <c r="AK263" s="366" t="str">
        <f t="shared" si="928"/>
        <v/>
      </c>
      <c r="AL263" s="833" t="str">
        <f t="shared" si="929"/>
        <v/>
      </c>
      <c r="AM263" s="832" t="str">
        <f t="shared" si="930"/>
        <v/>
      </c>
      <c r="AN263" s="366" t="str">
        <f t="shared" si="931"/>
        <v>X</v>
      </c>
      <c r="AO263" s="366" t="str">
        <f t="shared" si="932"/>
        <v/>
      </c>
      <c r="AP263" s="366" t="str">
        <f t="shared" si="933"/>
        <v/>
      </c>
      <c r="AQ263" s="366" t="str">
        <f t="shared" si="934"/>
        <v/>
      </c>
      <c r="AR263" s="833" t="str">
        <f t="shared" si="935"/>
        <v/>
      </c>
      <c r="AT263" s="1062"/>
      <c r="AY263" s="4"/>
    </row>
    <row r="264" spans="1:51" ht="13.9" customHeight="1" x14ac:dyDescent="0.25">
      <c r="A264" s="846">
        <f>Chem!A264</f>
        <v>262</v>
      </c>
      <c r="B264" s="951" t="str">
        <f>Chem!B264</f>
        <v>Dieldrin</v>
      </c>
      <c r="C264" s="946">
        <f t="shared" si="906"/>
        <v>3.5980010652368376E-8</v>
      </c>
      <c r="D264" s="463">
        <f t="shared" si="907"/>
        <v>1.8050666666666668E-9</v>
      </c>
      <c r="E264" s="634">
        <f t="shared" si="908"/>
        <v>3.5980010652368376E-8</v>
      </c>
      <c r="F264" s="634">
        <f t="shared" si="909"/>
        <v>1.8050666666666668E-9</v>
      </c>
      <c r="G264" s="634"/>
      <c r="H264" s="467">
        <f>'SL-Det'!E264</f>
        <v>6.25E-2</v>
      </c>
      <c r="I264" s="231">
        <f>Leach!F264</f>
        <v>2.8109383322162782E-3</v>
      </c>
      <c r="J264" s="231">
        <f>Leach!I264</f>
        <v>3.5980010652368376E-8</v>
      </c>
      <c r="K264" s="231">
        <f>Leach!L264</f>
        <v>1.059569234789917E-4</v>
      </c>
      <c r="L264" s="476">
        <f>Leach!G264</f>
        <v>1.410208333333333E-4</v>
      </c>
      <c r="M264" s="476">
        <f>Leach!J264</f>
        <v>1.8050666666666668E-9</v>
      </c>
      <c r="N264" s="476">
        <f>Leach!M264</f>
        <v>5.3157102292822419E-6</v>
      </c>
      <c r="O264" s="485">
        <f>'SD-Det'!Z264</f>
        <v>1E-4</v>
      </c>
      <c r="P264" s="492">
        <f>'SL-Det'!I264</f>
        <v>7.0000000000000007E-2</v>
      </c>
      <c r="Q264" s="975" t="s">
        <v>232</v>
      </c>
      <c r="S264" s="832" t="str">
        <f t="shared" si="910"/>
        <v/>
      </c>
      <c r="T264" s="366" t="str">
        <f t="shared" si="911"/>
        <v/>
      </c>
      <c r="U264" s="366" t="str">
        <f t="shared" si="912"/>
        <v>X</v>
      </c>
      <c r="V264" s="366" t="str">
        <f t="shared" si="913"/>
        <v/>
      </c>
      <c r="W264" s="366" t="str">
        <f t="shared" si="914"/>
        <v/>
      </c>
      <c r="X264" s="366" t="str">
        <f t="shared" si="915"/>
        <v/>
      </c>
      <c r="Y264" s="989" t="str">
        <f t="shared" si="916"/>
        <v/>
      </c>
      <c r="Z264" s="832" t="str">
        <f t="shared" si="917"/>
        <v/>
      </c>
      <c r="AA264" s="366" t="str">
        <f t="shared" si="918"/>
        <v/>
      </c>
      <c r="AB264" s="366" t="str">
        <f t="shared" si="919"/>
        <v>X</v>
      </c>
      <c r="AC264" s="366" t="str">
        <f t="shared" si="920"/>
        <v/>
      </c>
      <c r="AD264" s="366" t="str">
        <f t="shared" si="921"/>
        <v/>
      </c>
      <c r="AE264" s="366" t="str">
        <f t="shared" si="922"/>
        <v/>
      </c>
      <c r="AF264" s="833" t="str">
        <f t="shared" si="923"/>
        <v/>
      </c>
      <c r="AG264" s="832" t="str">
        <f t="shared" si="924"/>
        <v/>
      </c>
      <c r="AH264" s="366" t="str">
        <f t="shared" si="925"/>
        <v>X</v>
      </c>
      <c r="AI264" s="366" t="str">
        <f t="shared" si="926"/>
        <v/>
      </c>
      <c r="AJ264" s="366" t="str">
        <f t="shared" si="927"/>
        <v/>
      </c>
      <c r="AK264" s="366" t="str">
        <f t="shared" si="928"/>
        <v/>
      </c>
      <c r="AL264" s="833" t="str">
        <f t="shared" si="929"/>
        <v/>
      </c>
      <c r="AM264" s="832" t="str">
        <f t="shared" si="930"/>
        <v/>
      </c>
      <c r="AN264" s="366" t="str">
        <f t="shared" si="931"/>
        <v>X</v>
      </c>
      <c r="AO264" s="366" t="str">
        <f t="shared" si="932"/>
        <v/>
      </c>
      <c r="AP264" s="366" t="str">
        <f t="shared" si="933"/>
        <v/>
      </c>
      <c r="AQ264" s="366" t="str">
        <f t="shared" si="934"/>
        <v/>
      </c>
      <c r="AR264" s="833" t="str">
        <f t="shared" si="935"/>
        <v/>
      </c>
      <c r="AT264" s="1062"/>
      <c r="AY264" s="4"/>
    </row>
    <row r="265" spans="1:51" ht="13.9" customHeight="1" x14ac:dyDescent="0.25">
      <c r="A265" s="846">
        <f>Chem!A265</f>
        <v>263</v>
      </c>
      <c r="B265" s="951" t="str">
        <f>Chem!B265</f>
        <v>alpha-Endosulfan</v>
      </c>
      <c r="C265" s="946" t="str">
        <f t="shared" si="906"/>
        <v>na</v>
      </c>
      <c r="D265" s="463" t="str">
        <f t="shared" si="907"/>
        <v>na</v>
      </c>
      <c r="E265" s="634" t="str">
        <f t="shared" si="908"/>
        <v>na</v>
      </c>
      <c r="F265" s="634" t="str">
        <f t="shared" si="909"/>
        <v>na</v>
      </c>
      <c r="G265" s="634"/>
      <c r="H265" s="467" t="str">
        <f>'SL-Det'!E265</f>
        <v>na</v>
      </c>
      <c r="I265" s="231" t="str">
        <f>Leach!F265</f>
        <v>na</v>
      </c>
      <c r="J265" s="231" t="str">
        <f>Leach!I265</f>
        <v>na</v>
      </c>
      <c r="K265" s="231" t="str">
        <f>Leach!L265</f>
        <v>na</v>
      </c>
      <c r="L265" s="476" t="str">
        <f>Leach!G265</f>
        <v>na</v>
      </c>
      <c r="M265" s="476" t="str">
        <f>Leach!J265</f>
        <v>na</v>
      </c>
      <c r="N265" s="476" t="str">
        <f>Leach!M265</f>
        <v>na</v>
      </c>
      <c r="O265" s="485" t="str">
        <f>'SD-Det'!Z265</f>
        <v>na</v>
      </c>
      <c r="P265" s="492" t="str">
        <f>'SL-Det'!I265</f>
        <v>na</v>
      </c>
      <c r="Q265" s="975" t="s">
        <v>232</v>
      </c>
      <c r="S265" s="832" t="str">
        <f t="shared" ref="S265:S269" si="962">IF($C265="na","",IF($C265=H265,"X",""))</f>
        <v/>
      </c>
      <c r="T265" s="366" t="str">
        <f t="shared" ref="T265:T269" si="963">IF($C265="na","",IF($C265=I265,"X",""))</f>
        <v/>
      </c>
      <c r="U265" s="366" t="str">
        <f t="shared" ref="U265:U269" si="964">IF($C265="na","",IF($C265=J265,"X",""))</f>
        <v/>
      </c>
      <c r="V265" s="366" t="str">
        <f t="shared" ref="V265:V269" si="965">IF($C265="na","",IF($C265=K265,"X",""))</f>
        <v/>
      </c>
      <c r="W265" s="366" t="str">
        <f t="shared" ref="W265:W269" si="966">IF($C265="na","",IF($C265=O265,"X",""))</f>
        <v/>
      </c>
      <c r="X265" s="366" t="str">
        <f t="shared" ref="X265:X269" si="967">IF($C265="na","",IF($C265=P265,"X",""))</f>
        <v/>
      </c>
      <c r="Y265" s="989" t="str">
        <f t="shared" ref="Y265:Y269" si="968">IF($C265="na","",IF($C265=Q265,"X",""))</f>
        <v/>
      </c>
      <c r="Z265" s="832" t="str">
        <f t="shared" ref="Z265:Z269" si="969">IF($D265="na","",IF($D265=H265,"X",""))</f>
        <v/>
      </c>
      <c r="AA265" s="366" t="str">
        <f t="shared" ref="AA265:AA269" si="970">IF($D265="na","",IF($D265=L265,"X",""))</f>
        <v/>
      </c>
      <c r="AB265" s="366" t="str">
        <f t="shared" ref="AB265:AB269" si="971">IF($D265="na","",IF($D265=M265,"X",""))</f>
        <v/>
      </c>
      <c r="AC265" s="366" t="str">
        <f t="shared" ref="AC265:AC269" si="972">IF($D265="na","",IF($D265=N265,"X",""))</f>
        <v/>
      </c>
      <c r="AD265" s="366" t="str">
        <f t="shared" ref="AD265:AD269" si="973">IF($D265="na","",IF($D265=O265,"X",""))</f>
        <v/>
      </c>
      <c r="AE265" s="366" t="str">
        <f t="shared" ref="AE265:AE269" si="974">IF($D265="na","",IF($D265=P265,"X",""))</f>
        <v/>
      </c>
      <c r="AF265" s="833" t="str">
        <f t="shared" ref="AF265:AF269" si="975">IF($D265="na","",IF($D265=Q265,"X",""))</f>
        <v/>
      </c>
      <c r="AG265" s="832" t="str">
        <f t="shared" ref="AG265:AG269" si="976">IF($E265="na","",IF($E265=H265,"X",""))</f>
        <v/>
      </c>
      <c r="AH265" s="366" t="str">
        <f t="shared" ref="AH265:AH269" si="977">IF($E265="na","",IF($E265=J265,"X",""))</f>
        <v/>
      </c>
      <c r="AI265" s="366" t="str">
        <f t="shared" ref="AI265:AI269" si="978">IF($E265="na","",IF($E265=K265,"X",""))</f>
        <v/>
      </c>
      <c r="AJ265" s="366" t="str">
        <f t="shared" ref="AJ265:AJ269" si="979">IF($E265="na","",IF($E265=O265,"X",""))</f>
        <v/>
      </c>
      <c r="AK265" s="366" t="str">
        <f t="shared" ref="AK265:AK269" si="980">IF($E265="na","",IF($E265=P265,"X",""))</f>
        <v/>
      </c>
      <c r="AL265" s="833" t="str">
        <f t="shared" ref="AL265:AL269" si="981">IF($E265="na","",IF($E265=Q265,"X",""))</f>
        <v/>
      </c>
      <c r="AM265" s="832" t="str">
        <f t="shared" ref="AM265:AM269" si="982">IF($F265="na","",IF($F265=H265,"X",""))</f>
        <v/>
      </c>
      <c r="AN265" s="366" t="str">
        <f t="shared" ref="AN265:AN269" si="983">IF($F265="na","",IF($F265=M265,"X",""))</f>
        <v/>
      </c>
      <c r="AO265" s="366" t="str">
        <f t="shared" ref="AO265:AO269" si="984">IF($F265="na","",IF($F265=N265,"X",""))</f>
        <v/>
      </c>
      <c r="AP265" s="366" t="str">
        <f t="shared" ref="AP265:AP269" si="985">IF($F265="na","",IF($F265=O265,"X",""))</f>
        <v/>
      </c>
      <c r="AQ265" s="366" t="str">
        <f t="shared" ref="AQ265:AQ269" si="986">IF($F265="na","",IF($F265=P265,"X",""))</f>
        <v/>
      </c>
      <c r="AR265" s="833" t="str">
        <f t="shared" ref="AR265:AR269" si="987">IF($F265="na","",IF($F265=Q265,"X",""))</f>
        <v/>
      </c>
      <c r="AT265" s="1062"/>
      <c r="AY265" s="4"/>
    </row>
    <row r="266" spans="1:51" ht="13.9" customHeight="1" x14ac:dyDescent="0.25">
      <c r="A266" s="846">
        <f>Chem!A266</f>
        <v>264</v>
      </c>
      <c r="B266" s="951" t="str">
        <f>Chem!B266</f>
        <v>beta-Endosulfan</v>
      </c>
      <c r="C266" s="946" t="str">
        <f t="shared" si="906"/>
        <v>na</v>
      </c>
      <c r="D266" s="463" t="str">
        <f t="shared" si="907"/>
        <v>na</v>
      </c>
      <c r="E266" s="634" t="str">
        <f t="shared" si="908"/>
        <v>na</v>
      </c>
      <c r="F266" s="634" t="str">
        <f t="shared" si="909"/>
        <v>na</v>
      </c>
      <c r="G266" s="634"/>
      <c r="H266" s="467" t="str">
        <f>'SL-Det'!E266</f>
        <v>na</v>
      </c>
      <c r="I266" s="231" t="str">
        <f>Leach!F266</f>
        <v>na</v>
      </c>
      <c r="J266" s="231" t="str">
        <f>Leach!I266</f>
        <v>na</v>
      </c>
      <c r="K266" s="231" t="str">
        <f>Leach!L266</f>
        <v>na</v>
      </c>
      <c r="L266" s="476" t="str">
        <f>Leach!G266</f>
        <v>na</v>
      </c>
      <c r="M266" s="476" t="str">
        <f>Leach!J266</f>
        <v>na</v>
      </c>
      <c r="N266" s="476" t="str">
        <f>Leach!M266</f>
        <v>na</v>
      </c>
      <c r="O266" s="485" t="str">
        <f>'SD-Det'!Z266</f>
        <v>na</v>
      </c>
      <c r="P266" s="492" t="str">
        <f>'SL-Det'!I266</f>
        <v>na</v>
      </c>
      <c r="Q266" s="975" t="s">
        <v>232</v>
      </c>
      <c r="S266" s="832" t="str">
        <f t="shared" si="962"/>
        <v/>
      </c>
      <c r="T266" s="366" t="str">
        <f t="shared" si="963"/>
        <v/>
      </c>
      <c r="U266" s="366" t="str">
        <f t="shared" si="964"/>
        <v/>
      </c>
      <c r="V266" s="366" t="str">
        <f t="shared" si="965"/>
        <v/>
      </c>
      <c r="W266" s="366" t="str">
        <f t="shared" si="966"/>
        <v/>
      </c>
      <c r="X266" s="366" t="str">
        <f t="shared" si="967"/>
        <v/>
      </c>
      <c r="Y266" s="989" t="str">
        <f t="shared" si="968"/>
        <v/>
      </c>
      <c r="Z266" s="832" t="str">
        <f t="shared" si="969"/>
        <v/>
      </c>
      <c r="AA266" s="366" t="str">
        <f t="shared" si="970"/>
        <v/>
      </c>
      <c r="AB266" s="366" t="str">
        <f t="shared" si="971"/>
        <v/>
      </c>
      <c r="AC266" s="366" t="str">
        <f t="shared" si="972"/>
        <v/>
      </c>
      <c r="AD266" s="366" t="str">
        <f t="shared" si="973"/>
        <v/>
      </c>
      <c r="AE266" s="366" t="str">
        <f t="shared" si="974"/>
        <v/>
      </c>
      <c r="AF266" s="833" t="str">
        <f t="shared" si="975"/>
        <v/>
      </c>
      <c r="AG266" s="832" t="str">
        <f t="shared" si="976"/>
        <v/>
      </c>
      <c r="AH266" s="366" t="str">
        <f t="shared" si="977"/>
        <v/>
      </c>
      <c r="AI266" s="366" t="str">
        <f t="shared" si="978"/>
        <v/>
      </c>
      <c r="AJ266" s="366" t="str">
        <f t="shared" si="979"/>
        <v/>
      </c>
      <c r="AK266" s="366" t="str">
        <f t="shared" si="980"/>
        <v/>
      </c>
      <c r="AL266" s="833" t="str">
        <f t="shared" si="981"/>
        <v/>
      </c>
      <c r="AM266" s="832" t="str">
        <f t="shared" si="982"/>
        <v/>
      </c>
      <c r="AN266" s="366" t="str">
        <f t="shared" si="983"/>
        <v/>
      </c>
      <c r="AO266" s="366" t="str">
        <f t="shared" si="984"/>
        <v/>
      </c>
      <c r="AP266" s="366" t="str">
        <f t="shared" si="985"/>
        <v/>
      </c>
      <c r="AQ266" s="366" t="str">
        <f t="shared" si="986"/>
        <v/>
      </c>
      <c r="AR266" s="833" t="str">
        <f t="shared" si="987"/>
        <v/>
      </c>
      <c r="AT266" s="1062"/>
      <c r="AY266" s="4"/>
    </row>
    <row r="267" spans="1:51" ht="13.9" customHeight="1" x14ac:dyDescent="0.25">
      <c r="A267" s="846">
        <f>Chem!A267</f>
        <v>265</v>
      </c>
      <c r="B267" s="951" t="str">
        <f>Chem!B267</f>
        <v>Sum of alpha and beta endosuflan</v>
      </c>
      <c r="C267" s="946">
        <f t="shared" si="906"/>
        <v>3.8976010691720009E-4</v>
      </c>
      <c r="D267" s="463">
        <f t="shared" si="907"/>
        <v>2.0242E-5</v>
      </c>
      <c r="E267" s="634">
        <f t="shared" si="908"/>
        <v>3.8976010691720009E-4</v>
      </c>
      <c r="F267" s="634">
        <f t="shared" si="909"/>
        <v>2.0242E-5</v>
      </c>
      <c r="G267" s="634"/>
      <c r="H267" s="467">
        <f>'SL-Det'!E267</f>
        <v>480</v>
      </c>
      <c r="I267" s="231">
        <f>Leach!F267</f>
        <v>2.1504005898880005</v>
      </c>
      <c r="J267" s="231">
        <f>Leach!I267</f>
        <v>3.8976010691720009E-4</v>
      </c>
      <c r="K267" s="231" t="str">
        <f>Leach!L267</f>
        <v>na</v>
      </c>
      <c r="L267" s="476">
        <f>Leach!G267</f>
        <v>0.11168</v>
      </c>
      <c r="M267" s="476">
        <f>Leach!J267</f>
        <v>2.0242E-5</v>
      </c>
      <c r="N267" s="476" t="str">
        <f>Leach!M267</f>
        <v>na</v>
      </c>
      <c r="O267" s="485" t="str">
        <f>'SD-Det'!Z267</f>
        <v>na</v>
      </c>
      <c r="P267" s="492" t="str">
        <f>'SL-Det'!I267</f>
        <v>na</v>
      </c>
      <c r="Q267" s="975" t="s">
        <v>232</v>
      </c>
      <c r="S267" s="832" t="str">
        <f t="shared" si="962"/>
        <v/>
      </c>
      <c r="T267" s="366" t="str">
        <f t="shared" si="963"/>
        <v/>
      </c>
      <c r="U267" s="366" t="str">
        <f t="shared" si="964"/>
        <v>X</v>
      </c>
      <c r="V267" s="366" t="str">
        <f t="shared" si="965"/>
        <v/>
      </c>
      <c r="W267" s="366" t="str">
        <f t="shared" si="966"/>
        <v/>
      </c>
      <c r="X267" s="366" t="str">
        <f t="shared" si="967"/>
        <v/>
      </c>
      <c r="Y267" s="989" t="str">
        <f t="shared" si="968"/>
        <v/>
      </c>
      <c r="Z267" s="832" t="str">
        <f t="shared" si="969"/>
        <v/>
      </c>
      <c r="AA267" s="366" t="str">
        <f t="shared" si="970"/>
        <v/>
      </c>
      <c r="AB267" s="366" t="str">
        <f t="shared" si="971"/>
        <v>X</v>
      </c>
      <c r="AC267" s="366" t="str">
        <f t="shared" si="972"/>
        <v/>
      </c>
      <c r="AD267" s="366" t="str">
        <f t="shared" si="973"/>
        <v/>
      </c>
      <c r="AE267" s="366" t="str">
        <f t="shared" si="974"/>
        <v/>
      </c>
      <c r="AF267" s="833" t="str">
        <f t="shared" si="975"/>
        <v/>
      </c>
      <c r="AG267" s="832" t="str">
        <f t="shared" si="976"/>
        <v/>
      </c>
      <c r="AH267" s="366" t="str">
        <f t="shared" si="977"/>
        <v>X</v>
      </c>
      <c r="AI267" s="366" t="str">
        <f t="shared" si="978"/>
        <v/>
      </c>
      <c r="AJ267" s="366" t="str">
        <f t="shared" si="979"/>
        <v/>
      </c>
      <c r="AK267" s="366" t="str">
        <f t="shared" si="980"/>
        <v/>
      </c>
      <c r="AL267" s="833" t="str">
        <f t="shared" si="981"/>
        <v/>
      </c>
      <c r="AM267" s="832" t="str">
        <f t="shared" si="982"/>
        <v/>
      </c>
      <c r="AN267" s="366" t="str">
        <f t="shared" si="983"/>
        <v>X</v>
      </c>
      <c r="AO267" s="366" t="str">
        <f t="shared" si="984"/>
        <v/>
      </c>
      <c r="AP267" s="366" t="str">
        <f t="shared" si="985"/>
        <v/>
      </c>
      <c r="AQ267" s="366" t="str">
        <f t="shared" si="986"/>
        <v/>
      </c>
      <c r="AR267" s="833" t="str">
        <f t="shared" si="987"/>
        <v/>
      </c>
      <c r="AT267" s="1062"/>
      <c r="AY267" s="4"/>
    </row>
    <row r="268" spans="1:51" ht="13.9" customHeight="1" x14ac:dyDescent="0.25">
      <c r="A268" s="846">
        <f>Chem!A268</f>
        <v>266</v>
      </c>
      <c r="B268" s="951" t="str">
        <f>Chem!B268</f>
        <v>Endosulfan sulfate</v>
      </c>
      <c r="C268" s="946">
        <f t="shared" si="906"/>
        <v>2.0093999999999999</v>
      </c>
      <c r="D268" s="463">
        <f t="shared" si="907"/>
        <v>0.10133666666666667</v>
      </c>
      <c r="E268" s="634">
        <f t="shared" si="908"/>
        <v>2.0093999999999999</v>
      </c>
      <c r="F268" s="634">
        <f t="shared" si="909"/>
        <v>0.10133666666666667</v>
      </c>
      <c r="G268" s="634"/>
      <c r="H268" s="467">
        <f>'SL-Det'!E268</f>
        <v>480</v>
      </c>
      <c r="I268" s="231">
        <f>Leach!F268</f>
        <v>19.290239999999997</v>
      </c>
      <c r="J268" s="231">
        <f>Leach!I268</f>
        <v>2.0093999999999999</v>
      </c>
      <c r="K268" s="231" t="str">
        <f>Leach!L268</f>
        <v>na</v>
      </c>
      <c r="L268" s="476">
        <f>Leach!G268</f>
        <v>0.97283200000000003</v>
      </c>
      <c r="M268" s="476">
        <f>Leach!J268</f>
        <v>0.10133666666666667</v>
      </c>
      <c r="N268" s="476" t="str">
        <f>Leach!M268</f>
        <v>na</v>
      </c>
      <c r="O268" s="485" t="str">
        <f>'SD-Det'!Z268</f>
        <v>na</v>
      </c>
      <c r="P268" s="492" t="str">
        <f>'SL-Det'!I268</f>
        <v>na</v>
      </c>
      <c r="Q268" s="975" t="s">
        <v>232</v>
      </c>
      <c r="S268" s="832" t="str">
        <f t="shared" si="962"/>
        <v/>
      </c>
      <c r="T268" s="366" t="str">
        <f t="shared" si="963"/>
        <v/>
      </c>
      <c r="U268" s="366" t="str">
        <f t="shared" si="964"/>
        <v>X</v>
      </c>
      <c r="V268" s="366" t="str">
        <f t="shared" si="965"/>
        <v/>
      </c>
      <c r="W268" s="366" t="str">
        <f t="shared" si="966"/>
        <v/>
      </c>
      <c r="X268" s="366" t="str">
        <f t="shared" si="967"/>
        <v/>
      </c>
      <c r="Y268" s="989" t="str">
        <f t="shared" si="968"/>
        <v/>
      </c>
      <c r="Z268" s="832" t="str">
        <f t="shared" si="969"/>
        <v/>
      </c>
      <c r="AA268" s="366" t="str">
        <f t="shared" si="970"/>
        <v/>
      </c>
      <c r="AB268" s="366" t="str">
        <f t="shared" si="971"/>
        <v>X</v>
      </c>
      <c r="AC268" s="366" t="str">
        <f t="shared" si="972"/>
        <v/>
      </c>
      <c r="AD268" s="366" t="str">
        <f t="shared" si="973"/>
        <v/>
      </c>
      <c r="AE268" s="366" t="str">
        <f t="shared" si="974"/>
        <v/>
      </c>
      <c r="AF268" s="833" t="str">
        <f t="shared" si="975"/>
        <v/>
      </c>
      <c r="AG268" s="832" t="str">
        <f t="shared" si="976"/>
        <v/>
      </c>
      <c r="AH268" s="366" t="str">
        <f t="shared" si="977"/>
        <v>X</v>
      </c>
      <c r="AI268" s="366" t="str">
        <f t="shared" si="978"/>
        <v/>
      </c>
      <c r="AJ268" s="366" t="str">
        <f t="shared" si="979"/>
        <v/>
      </c>
      <c r="AK268" s="366" t="str">
        <f t="shared" si="980"/>
        <v/>
      </c>
      <c r="AL268" s="833" t="str">
        <f t="shared" si="981"/>
        <v/>
      </c>
      <c r="AM268" s="832" t="str">
        <f t="shared" si="982"/>
        <v/>
      </c>
      <c r="AN268" s="366" t="str">
        <f t="shared" si="983"/>
        <v>X</v>
      </c>
      <c r="AO268" s="366" t="str">
        <f t="shared" si="984"/>
        <v/>
      </c>
      <c r="AP268" s="366" t="str">
        <f t="shared" si="985"/>
        <v/>
      </c>
      <c r="AQ268" s="366" t="str">
        <f t="shared" si="986"/>
        <v/>
      </c>
      <c r="AR268" s="833" t="str">
        <f t="shared" si="987"/>
        <v/>
      </c>
      <c r="AT268" s="1062"/>
      <c r="AY268" s="4"/>
    </row>
    <row r="269" spans="1:51" ht="13.9" customHeight="1" x14ac:dyDescent="0.25">
      <c r="A269" s="846">
        <f>Chem!A269</f>
        <v>267</v>
      </c>
      <c r="B269" s="951" t="str">
        <f>Chem!B269</f>
        <v>Sum of alpha, beta, and endosulfan sulfate</v>
      </c>
      <c r="C269" s="946">
        <f t="shared" si="906"/>
        <v>480</v>
      </c>
      <c r="D269" s="463">
        <f t="shared" si="907"/>
        <v>480</v>
      </c>
      <c r="E269" s="634">
        <f t="shared" si="908"/>
        <v>480</v>
      </c>
      <c r="F269" s="634">
        <f t="shared" si="909"/>
        <v>480</v>
      </c>
      <c r="G269" s="634"/>
      <c r="H269" s="467">
        <f>'SL-Det'!E269</f>
        <v>480</v>
      </c>
      <c r="I269" s="231" t="str">
        <f>Leach!F269</f>
        <v>na</v>
      </c>
      <c r="J269" s="231" t="str">
        <f>Leach!I269</f>
        <v>na</v>
      </c>
      <c r="K269" s="231" t="str">
        <f>Leach!L269</f>
        <v>na</v>
      </c>
      <c r="L269" s="476" t="str">
        <f>Leach!G269</f>
        <v>na</v>
      </c>
      <c r="M269" s="476" t="str">
        <f>Leach!J269</f>
        <v>na</v>
      </c>
      <c r="N269" s="476" t="str">
        <f>Leach!M269</f>
        <v>na</v>
      </c>
      <c r="O269" s="485" t="str">
        <f>'SD-Det'!Z269</f>
        <v>na</v>
      </c>
      <c r="P269" s="492" t="str">
        <f>'SL-Det'!I269</f>
        <v>na</v>
      </c>
      <c r="Q269" s="975" t="s">
        <v>232</v>
      </c>
      <c r="S269" s="832" t="str">
        <f t="shared" si="962"/>
        <v>X</v>
      </c>
      <c r="T269" s="366" t="str">
        <f t="shared" si="963"/>
        <v/>
      </c>
      <c r="U269" s="366" t="str">
        <f t="shared" si="964"/>
        <v/>
      </c>
      <c r="V269" s="366" t="str">
        <f t="shared" si="965"/>
        <v/>
      </c>
      <c r="W269" s="366" t="str">
        <f t="shared" si="966"/>
        <v/>
      </c>
      <c r="X269" s="366" t="str">
        <f t="shared" si="967"/>
        <v/>
      </c>
      <c r="Y269" s="989" t="str">
        <f t="shared" si="968"/>
        <v/>
      </c>
      <c r="Z269" s="832" t="str">
        <f t="shared" si="969"/>
        <v>X</v>
      </c>
      <c r="AA269" s="366" t="str">
        <f t="shared" si="970"/>
        <v/>
      </c>
      <c r="AB269" s="366" t="str">
        <f t="shared" si="971"/>
        <v/>
      </c>
      <c r="AC269" s="366" t="str">
        <f t="shared" si="972"/>
        <v/>
      </c>
      <c r="AD269" s="366" t="str">
        <f t="shared" si="973"/>
        <v/>
      </c>
      <c r="AE269" s="366" t="str">
        <f t="shared" si="974"/>
        <v/>
      </c>
      <c r="AF269" s="833" t="str">
        <f t="shared" si="975"/>
        <v/>
      </c>
      <c r="AG269" s="832" t="str">
        <f t="shared" si="976"/>
        <v>X</v>
      </c>
      <c r="AH269" s="366" t="str">
        <f t="shared" si="977"/>
        <v/>
      </c>
      <c r="AI269" s="366" t="str">
        <f t="shared" si="978"/>
        <v/>
      </c>
      <c r="AJ269" s="366" t="str">
        <f t="shared" si="979"/>
        <v/>
      </c>
      <c r="AK269" s="366" t="str">
        <f t="shared" si="980"/>
        <v/>
      </c>
      <c r="AL269" s="833" t="str">
        <f t="shared" si="981"/>
        <v/>
      </c>
      <c r="AM269" s="832" t="str">
        <f t="shared" si="982"/>
        <v>X</v>
      </c>
      <c r="AN269" s="366" t="str">
        <f t="shared" si="983"/>
        <v/>
      </c>
      <c r="AO269" s="366" t="str">
        <f t="shared" si="984"/>
        <v/>
      </c>
      <c r="AP269" s="366" t="str">
        <f t="shared" si="985"/>
        <v/>
      </c>
      <c r="AQ269" s="366" t="str">
        <f t="shared" si="986"/>
        <v/>
      </c>
      <c r="AR269" s="833" t="str">
        <f t="shared" si="987"/>
        <v/>
      </c>
      <c r="AT269" s="1062"/>
      <c r="AY269" s="4"/>
    </row>
    <row r="270" spans="1:51" ht="13.9" customHeight="1" x14ac:dyDescent="0.25">
      <c r="A270" s="846">
        <f>Chem!A270</f>
        <v>268</v>
      </c>
      <c r="B270" s="951" t="str">
        <f>Chem!B270</f>
        <v>Endrin</v>
      </c>
      <c r="C270" s="946">
        <f t="shared" si="906"/>
        <v>4.4000090139002454E-4</v>
      </c>
      <c r="D270" s="463">
        <f t="shared" si="907"/>
        <v>2.2173333333333333E-5</v>
      </c>
      <c r="E270" s="634">
        <f t="shared" si="908"/>
        <v>4.4000090139002454E-4</v>
      </c>
      <c r="F270" s="634">
        <f t="shared" si="909"/>
        <v>2.2173333333333333E-5</v>
      </c>
      <c r="G270" s="634"/>
      <c r="H270" s="467">
        <f>'SL-Det'!E270</f>
        <v>23.999999999999996</v>
      </c>
      <c r="I270" s="231">
        <f>Leach!F270</f>
        <v>0.44000090139002451</v>
      </c>
      <c r="J270" s="231">
        <f>Leach!I270</f>
        <v>4.4000090139002454E-4</v>
      </c>
      <c r="K270" s="231" t="str">
        <f>Leach!L270</f>
        <v>na</v>
      </c>
      <c r="L270" s="476">
        <f>Leach!G270</f>
        <v>2.2173333333333337E-2</v>
      </c>
      <c r="M270" s="476">
        <f>Leach!J270</f>
        <v>2.2173333333333333E-5</v>
      </c>
      <c r="N270" s="476" t="str">
        <f>Leach!M270</f>
        <v>na</v>
      </c>
      <c r="O270" s="485" t="str">
        <f>'SD-Det'!Z270</f>
        <v>na</v>
      </c>
      <c r="P270" s="492">
        <f>'SL-Det'!I270</f>
        <v>0.2</v>
      </c>
      <c r="Q270" s="975" t="s">
        <v>232</v>
      </c>
      <c r="S270" s="832" t="str">
        <f t="shared" si="910"/>
        <v/>
      </c>
      <c r="T270" s="366" t="str">
        <f t="shared" si="911"/>
        <v/>
      </c>
      <c r="U270" s="366" t="str">
        <f t="shared" si="912"/>
        <v>X</v>
      </c>
      <c r="V270" s="366" t="str">
        <f t="shared" si="913"/>
        <v/>
      </c>
      <c r="W270" s="366" t="str">
        <f t="shared" si="914"/>
        <v/>
      </c>
      <c r="X270" s="366" t="str">
        <f t="shared" si="915"/>
        <v/>
      </c>
      <c r="Y270" s="989" t="str">
        <f t="shared" si="916"/>
        <v/>
      </c>
      <c r="Z270" s="832" t="str">
        <f t="shared" si="917"/>
        <v/>
      </c>
      <c r="AA270" s="366" t="str">
        <f t="shared" si="918"/>
        <v/>
      </c>
      <c r="AB270" s="366" t="str">
        <f t="shared" si="919"/>
        <v>X</v>
      </c>
      <c r="AC270" s="366" t="str">
        <f t="shared" si="920"/>
        <v/>
      </c>
      <c r="AD270" s="366" t="str">
        <f t="shared" si="921"/>
        <v/>
      </c>
      <c r="AE270" s="366" t="str">
        <f t="shared" si="922"/>
        <v/>
      </c>
      <c r="AF270" s="833" t="str">
        <f t="shared" si="923"/>
        <v/>
      </c>
      <c r="AG270" s="832" t="str">
        <f t="shared" si="924"/>
        <v/>
      </c>
      <c r="AH270" s="366" t="str">
        <f t="shared" si="925"/>
        <v>X</v>
      </c>
      <c r="AI270" s="366" t="str">
        <f t="shared" si="926"/>
        <v/>
      </c>
      <c r="AJ270" s="366" t="str">
        <f t="shared" si="927"/>
        <v/>
      </c>
      <c r="AK270" s="366" t="str">
        <f t="shared" si="928"/>
        <v/>
      </c>
      <c r="AL270" s="833" t="str">
        <f t="shared" si="929"/>
        <v/>
      </c>
      <c r="AM270" s="832" t="str">
        <f t="shared" si="930"/>
        <v/>
      </c>
      <c r="AN270" s="366" t="str">
        <f t="shared" si="931"/>
        <v>X</v>
      </c>
      <c r="AO270" s="366" t="str">
        <f t="shared" si="932"/>
        <v/>
      </c>
      <c r="AP270" s="366" t="str">
        <f t="shared" si="933"/>
        <v/>
      </c>
      <c r="AQ270" s="366" t="str">
        <f t="shared" si="934"/>
        <v/>
      </c>
      <c r="AR270" s="833" t="str">
        <f t="shared" si="935"/>
        <v/>
      </c>
      <c r="AT270" s="1062"/>
      <c r="AY270" s="4"/>
    </row>
    <row r="271" spans="1:51" ht="13.9" customHeight="1" x14ac:dyDescent="0.25">
      <c r="A271" s="846">
        <f>Chem!A271</f>
        <v>269</v>
      </c>
      <c r="B271" s="951" t="str">
        <f>Chem!B271</f>
        <v>Endrin aldehyde</v>
      </c>
      <c r="C271" s="946">
        <f t="shared" si="906"/>
        <v>2.4290103674025625E-3</v>
      </c>
      <c r="D271" s="463">
        <f t="shared" si="907"/>
        <v>1.2448333333333334E-4</v>
      </c>
      <c r="E271" s="634">
        <f t="shared" si="908"/>
        <v>2.4290103674025625E-3</v>
      </c>
      <c r="F271" s="634">
        <f t="shared" si="909"/>
        <v>1.2448333333333334E-4</v>
      </c>
      <c r="G271" s="634"/>
      <c r="H271" s="467" t="str">
        <f>'SL-Det'!E271</f>
        <v>na</v>
      </c>
      <c r="I271" s="231" t="str">
        <f>Leach!F271</f>
        <v>na</v>
      </c>
      <c r="J271" s="231">
        <f>Leach!I271</f>
        <v>2.4290103674025625E-3</v>
      </c>
      <c r="K271" s="231" t="str">
        <f>Leach!L271</f>
        <v>na</v>
      </c>
      <c r="L271" s="476" t="str">
        <f>Leach!G271</f>
        <v>na</v>
      </c>
      <c r="M271" s="476">
        <f>Leach!J271</f>
        <v>1.2448333333333334E-4</v>
      </c>
      <c r="N271" s="476" t="str">
        <f>Leach!M271</f>
        <v>na</v>
      </c>
      <c r="O271" s="485" t="str">
        <f>'SD-Det'!Z271</f>
        <v>na</v>
      </c>
      <c r="P271" s="494" t="str">
        <f>'SL-Det'!I271</f>
        <v>na</v>
      </c>
      <c r="Q271" s="975" t="s">
        <v>232</v>
      </c>
      <c r="S271" s="832" t="str">
        <f t="shared" si="910"/>
        <v/>
      </c>
      <c r="T271" s="366" t="str">
        <f t="shared" si="911"/>
        <v/>
      </c>
      <c r="U271" s="366" t="str">
        <f t="shared" si="912"/>
        <v>X</v>
      </c>
      <c r="V271" s="366" t="str">
        <f t="shared" si="913"/>
        <v/>
      </c>
      <c r="W271" s="366" t="str">
        <f t="shared" si="914"/>
        <v/>
      </c>
      <c r="X271" s="366" t="str">
        <f t="shared" si="915"/>
        <v/>
      </c>
      <c r="Y271" s="989" t="str">
        <f t="shared" si="916"/>
        <v/>
      </c>
      <c r="Z271" s="832" t="str">
        <f t="shared" si="917"/>
        <v/>
      </c>
      <c r="AA271" s="366" t="str">
        <f t="shared" si="918"/>
        <v/>
      </c>
      <c r="AB271" s="366" t="str">
        <f t="shared" si="919"/>
        <v>X</v>
      </c>
      <c r="AC271" s="366" t="str">
        <f t="shared" si="920"/>
        <v/>
      </c>
      <c r="AD271" s="366" t="str">
        <f t="shared" si="921"/>
        <v/>
      </c>
      <c r="AE271" s="366" t="str">
        <f t="shared" si="922"/>
        <v/>
      </c>
      <c r="AF271" s="833" t="str">
        <f t="shared" si="923"/>
        <v/>
      </c>
      <c r="AG271" s="832" t="str">
        <f t="shared" si="924"/>
        <v/>
      </c>
      <c r="AH271" s="366" t="str">
        <f t="shared" si="925"/>
        <v>X</v>
      </c>
      <c r="AI271" s="366" t="str">
        <f t="shared" si="926"/>
        <v/>
      </c>
      <c r="AJ271" s="366" t="str">
        <f t="shared" si="927"/>
        <v/>
      </c>
      <c r="AK271" s="366" t="str">
        <f t="shared" si="928"/>
        <v/>
      </c>
      <c r="AL271" s="833" t="str">
        <f t="shared" si="929"/>
        <v/>
      </c>
      <c r="AM271" s="832" t="str">
        <f t="shared" si="930"/>
        <v/>
      </c>
      <c r="AN271" s="366" t="str">
        <f t="shared" si="931"/>
        <v>X</v>
      </c>
      <c r="AO271" s="366" t="str">
        <f t="shared" si="932"/>
        <v/>
      </c>
      <c r="AP271" s="366" t="str">
        <f t="shared" si="933"/>
        <v/>
      </c>
      <c r="AQ271" s="366" t="str">
        <f t="shared" si="934"/>
        <v/>
      </c>
      <c r="AR271" s="833" t="str">
        <f t="shared" si="935"/>
        <v/>
      </c>
      <c r="AT271" s="1062"/>
      <c r="AY271" s="4"/>
    </row>
    <row r="272" spans="1:51" ht="13.9" customHeight="1" x14ac:dyDescent="0.25">
      <c r="A272" s="846">
        <f>Chem!A272</f>
        <v>270</v>
      </c>
      <c r="B272" s="951" t="str">
        <f>Chem!B272</f>
        <v>Endrin ketone</v>
      </c>
      <c r="C272" s="946" t="str">
        <f t="shared" si="906"/>
        <v>na</v>
      </c>
      <c r="D272" s="463" t="str">
        <f t="shared" si="907"/>
        <v>na</v>
      </c>
      <c r="E272" s="634" t="str">
        <f t="shared" si="908"/>
        <v>na</v>
      </c>
      <c r="F272" s="634" t="str">
        <f t="shared" si="909"/>
        <v>na</v>
      </c>
      <c r="G272" s="634"/>
      <c r="H272" s="467" t="str">
        <f>'SL-Det'!E272</f>
        <v>na</v>
      </c>
      <c r="I272" s="231" t="str">
        <f>Leach!F272</f>
        <v>na</v>
      </c>
      <c r="J272" s="231" t="str">
        <f>Leach!I272</f>
        <v>na</v>
      </c>
      <c r="K272" s="231" t="str">
        <f>Leach!L272</f>
        <v>na</v>
      </c>
      <c r="L272" s="476" t="str">
        <f>Leach!G272</f>
        <v>na</v>
      </c>
      <c r="M272" s="476" t="str">
        <f>Leach!J272</f>
        <v>na</v>
      </c>
      <c r="N272" s="476" t="str">
        <f>Leach!M272</f>
        <v>na</v>
      </c>
      <c r="O272" s="485" t="str">
        <f>'SD-Det'!Z272</f>
        <v>na</v>
      </c>
      <c r="P272" s="494" t="str">
        <f>'SL-Det'!I272</f>
        <v>na</v>
      </c>
      <c r="Q272" s="975" t="s">
        <v>232</v>
      </c>
      <c r="S272" s="832" t="str">
        <f t="shared" si="910"/>
        <v/>
      </c>
      <c r="T272" s="366" t="str">
        <f t="shared" si="911"/>
        <v/>
      </c>
      <c r="U272" s="366" t="str">
        <f t="shared" si="912"/>
        <v/>
      </c>
      <c r="V272" s="366" t="str">
        <f t="shared" si="913"/>
        <v/>
      </c>
      <c r="W272" s="366" t="str">
        <f t="shared" si="914"/>
        <v/>
      </c>
      <c r="X272" s="366" t="str">
        <f t="shared" si="915"/>
        <v/>
      </c>
      <c r="Y272" s="989" t="str">
        <f t="shared" si="916"/>
        <v/>
      </c>
      <c r="Z272" s="832" t="str">
        <f t="shared" si="917"/>
        <v/>
      </c>
      <c r="AA272" s="366" t="str">
        <f t="shared" si="918"/>
        <v/>
      </c>
      <c r="AB272" s="366" t="str">
        <f t="shared" si="919"/>
        <v/>
      </c>
      <c r="AC272" s="366" t="str">
        <f t="shared" si="920"/>
        <v/>
      </c>
      <c r="AD272" s="366" t="str">
        <f t="shared" si="921"/>
        <v/>
      </c>
      <c r="AE272" s="366" t="str">
        <f t="shared" si="922"/>
        <v/>
      </c>
      <c r="AF272" s="833" t="str">
        <f t="shared" si="923"/>
        <v/>
      </c>
      <c r="AG272" s="832" t="str">
        <f t="shared" si="924"/>
        <v/>
      </c>
      <c r="AH272" s="366" t="str">
        <f t="shared" si="925"/>
        <v/>
      </c>
      <c r="AI272" s="366" t="str">
        <f t="shared" si="926"/>
        <v/>
      </c>
      <c r="AJ272" s="366" t="str">
        <f t="shared" si="927"/>
        <v/>
      </c>
      <c r="AK272" s="366" t="str">
        <f t="shared" si="928"/>
        <v/>
      </c>
      <c r="AL272" s="833" t="str">
        <f t="shared" si="929"/>
        <v/>
      </c>
      <c r="AM272" s="832" t="str">
        <f t="shared" si="930"/>
        <v/>
      </c>
      <c r="AN272" s="366" t="str">
        <f t="shared" si="931"/>
        <v/>
      </c>
      <c r="AO272" s="366" t="str">
        <f t="shared" si="932"/>
        <v/>
      </c>
      <c r="AP272" s="366" t="str">
        <f t="shared" si="933"/>
        <v/>
      </c>
      <c r="AQ272" s="366" t="str">
        <f t="shared" si="934"/>
        <v/>
      </c>
      <c r="AR272" s="833" t="str">
        <f t="shared" si="935"/>
        <v/>
      </c>
      <c r="AT272" s="1062"/>
      <c r="AY272" s="4"/>
    </row>
    <row r="273" spans="1:51" ht="13.9" customHeight="1" x14ac:dyDescent="0.25">
      <c r="A273" s="846">
        <f>Chem!A273</f>
        <v>271</v>
      </c>
      <c r="B273" s="951" t="str">
        <f>Chem!B273</f>
        <v>Heptachlor</v>
      </c>
      <c r="C273" s="946">
        <f t="shared" si="906"/>
        <v>6.6166222042583995E-8</v>
      </c>
      <c r="D273" s="463">
        <f t="shared" si="907"/>
        <v>3.3376666666666664E-9</v>
      </c>
      <c r="E273" s="634">
        <f t="shared" si="908"/>
        <v>6.6166222042583995E-8</v>
      </c>
      <c r="F273" s="634">
        <f t="shared" si="909"/>
        <v>3.3376666666666664E-9</v>
      </c>
      <c r="G273" s="634"/>
      <c r="H273" s="467">
        <f>'SL-Det'!E273</f>
        <v>0.22222222222222221</v>
      </c>
      <c r="I273" s="231">
        <f>Leach!F273</f>
        <v>1.8920079832438232E-2</v>
      </c>
      <c r="J273" s="231">
        <f>Leach!I273</f>
        <v>6.6166222042583995E-8</v>
      </c>
      <c r="K273" s="231">
        <f>Leach!L273</f>
        <v>1.0711916378913627E-4</v>
      </c>
      <c r="L273" s="476">
        <f>Leach!G273</f>
        <v>9.5439814814814812E-4</v>
      </c>
      <c r="M273" s="476">
        <f>Leach!J273</f>
        <v>3.3376666666666664E-9</v>
      </c>
      <c r="N273" s="476">
        <f>Leach!M273</f>
        <v>5.4034830961046142E-6</v>
      </c>
      <c r="O273" s="485">
        <f>'SD-Det'!Z273</f>
        <v>1E-4</v>
      </c>
      <c r="P273" s="492">
        <f>'SL-Det'!I273</f>
        <v>0.4</v>
      </c>
      <c r="Q273" s="975" t="s">
        <v>232</v>
      </c>
      <c r="S273" s="832" t="str">
        <f t="shared" si="910"/>
        <v/>
      </c>
      <c r="T273" s="366" t="str">
        <f t="shared" si="911"/>
        <v/>
      </c>
      <c r="U273" s="366" t="str">
        <f t="shared" si="912"/>
        <v>X</v>
      </c>
      <c r="V273" s="366" t="str">
        <f t="shared" si="913"/>
        <v/>
      </c>
      <c r="W273" s="366" t="str">
        <f t="shared" si="914"/>
        <v/>
      </c>
      <c r="X273" s="366" t="str">
        <f t="shared" si="915"/>
        <v/>
      </c>
      <c r="Y273" s="989" t="str">
        <f t="shared" si="916"/>
        <v/>
      </c>
      <c r="Z273" s="832" t="str">
        <f t="shared" si="917"/>
        <v/>
      </c>
      <c r="AA273" s="366" t="str">
        <f t="shared" si="918"/>
        <v/>
      </c>
      <c r="AB273" s="366" t="str">
        <f t="shared" si="919"/>
        <v>X</v>
      </c>
      <c r="AC273" s="366" t="str">
        <f t="shared" si="920"/>
        <v/>
      </c>
      <c r="AD273" s="366" t="str">
        <f t="shared" si="921"/>
        <v/>
      </c>
      <c r="AE273" s="366" t="str">
        <f t="shared" si="922"/>
        <v/>
      </c>
      <c r="AF273" s="833" t="str">
        <f t="shared" si="923"/>
        <v/>
      </c>
      <c r="AG273" s="832" t="str">
        <f t="shared" si="924"/>
        <v/>
      </c>
      <c r="AH273" s="366" t="str">
        <f t="shared" si="925"/>
        <v>X</v>
      </c>
      <c r="AI273" s="366" t="str">
        <f t="shared" si="926"/>
        <v/>
      </c>
      <c r="AJ273" s="366" t="str">
        <f t="shared" si="927"/>
        <v/>
      </c>
      <c r="AK273" s="366" t="str">
        <f t="shared" si="928"/>
        <v/>
      </c>
      <c r="AL273" s="833" t="str">
        <f t="shared" si="929"/>
        <v/>
      </c>
      <c r="AM273" s="832" t="str">
        <f t="shared" si="930"/>
        <v/>
      </c>
      <c r="AN273" s="366" t="str">
        <f t="shared" si="931"/>
        <v>X</v>
      </c>
      <c r="AO273" s="366" t="str">
        <f t="shared" si="932"/>
        <v/>
      </c>
      <c r="AP273" s="366" t="str">
        <f t="shared" si="933"/>
        <v/>
      </c>
      <c r="AQ273" s="366" t="str">
        <f t="shared" si="934"/>
        <v/>
      </c>
      <c r="AR273" s="833" t="str">
        <f t="shared" si="935"/>
        <v/>
      </c>
      <c r="AT273" s="1062"/>
      <c r="AY273" s="4"/>
    </row>
    <row r="274" spans="1:51" ht="13.9" customHeight="1" x14ac:dyDescent="0.25">
      <c r="A274" s="846">
        <f>Chem!A274</f>
        <v>272</v>
      </c>
      <c r="B274" s="951" t="str">
        <f>Chem!B274</f>
        <v>Heptachlor epoxide</v>
      </c>
      <c r="C274" s="946">
        <f t="shared" si="906"/>
        <v>4.9440083783164887E-7</v>
      </c>
      <c r="D274" s="463">
        <f t="shared" si="907"/>
        <v>2.4928E-8</v>
      </c>
      <c r="E274" s="634">
        <f t="shared" si="908"/>
        <v>4.9440083783164887E-7</v>
      </c>
      <c r="F274" s="634">
        <f t="shared" si="909"/>
        <v>2.4928E-8</v>
      </c>
      <c r="G274" s="634"/>
      <c r="H274" s="467">
        <f>'SL-Det'!E274</f>
        <v>0.10989010989010989</v>
      </c>
      <c r="I274" s="231">
        <f>Leach!F274</f>
        <v>9.9038629373327091E-3</v>
      </c>
      <c r="J274" s="231">
        <f>Leach!I274</f>
        <v>4.9440083783164887E-7</v>
      </c>
      <c r="K274" s="231">
        <f>Leach!L274</f>
        <v>0.34287467282224121</v>
      </c>
      <c r="L274" s="476">
        <f>Leach!G274</f>
        <v>4.9935897435897435E-4</v>
      </c>
      <c r="M274" s="476">
        <f>Leach!J274</f>
        <v>2.4928E-8</v>
      </c>
      <c r="N274" s="476">
        <f>Leach!M274</f>
        <v>1.7287955824668879E-2</v>
      </c>
      <c r="O274" s="485">
        <f>'SD-Det'!Z274</f>
        <v>0.32040908310439559</v>
      </c>
      <c r="P274" s="492">
        <f>'SL-Det'!I274</f>
        <v>0.4</v>
      </c>
      <c r="Q274" s="975" t="s">
        <v>232</v>
      </c>
      <c r="S274" s="832" t="str">
        <f t="shared" si="910"/>
        <v/>
      </c>
      <c r="T274" s="366" t="str">
        <f t="shared" si="911"/>
        <v/>
      </c>
      <c r="U274" s="366" t="str">
        <f t="shared" si="912"/>
        <v>X</v>
      </c>
      <c r="V274" s="366" t="str">
        <f t="shared" si="913"/>
        <v/>
      </c>
      <c r="W274" s="366" t="str">
        <f t="shared" si="914"/>
        <v/>
      </c>
      <c r="X274" s="366" t="str">
        <f t="shared" si="915"/>
        <v/>
      </c>
      <c r="Y274" s="989" t="str">
        <f t="shared" si="916"/>
        <v/>
      </c>
      <c r="Z274" s="832" t="str">
        <f t="shared" si="917"/>
        <v/>
      </c>
      <c r="AA274" s="366" t="str">
        <f t="shared" si="918"/>
        <v/>
      </c>
      <c r="AB274" s="366" t="str">
        <f t="shared" si="919"/>
        <v>X</v>
      </c>
      <c r="AC274" s="366" t="str">
        <f t="shared" si="920"/>
        <v/>
      </c>
      <c r="AD274" s="366" t="str">
        <f t="shared" si="921"/>
        <v/>
      </c>
      <c r="AE274" s="366" t="str">
        <f t="shared" si="922"/>
        <v/>
      </c>
      <c r="AF274" s="833" t="str">
        <f t="shared" si="923"/>
        <v/>
      </c>
      <c r="AG274" s="832" t="str">
        <f t="shared" si="924"/>
        <v/>
      </c>
      <c r="AH274" s="366" t="str">
        <f t="shared" si="925"/>
        <v>X</v>
      </c>
      <c r="AI274" s="366" t="str">
        <f t="shared" si="926"/>
        <v/>
      </c>
      <c r="AJ274" s="366" t="str">
        <f t="shared" si="927"/>
        <v/>
      </c>
      <c r="AK274" s="366" t="str">
        <f t="shared" si="928"/>
        <v/>
      </c>
      <c r="AL274" s="833" t="str">
        <f t="shared" si="929"/>
        <v/>
      </c>
      <c r="AM274" s="832" t="str">
        <f t="shared" si="930"/>
        <v/>
      </c>
      <c r="AN274" s="366" t="str">
        <f t="shared" si="931"/>
        <v>X</v>
      </c>
      <c r="AO274" s="366" t="str">
        <f t="shared" si="932"/>
        <v/>
      </c>
      <c r="AP274" s="366" t="str">
        <f t="shared" si="933"/>
        <v/>
      </c>
      <c r="AQ274" s="366" t="str">
        <f t="shared" si="934"/>
        <v/>
      </c>
      <c r="AR274" s="833" t="str">
        <f t="shared" si="935"/>
        <v/>
      </c>
      <c r="AT274" s="1062"/>
      <c r="AY274" s="4"/>
    </row>
    <row r="275" spans="1:51" ht="13.9" customHeight="1" x14ac:dyDescent="0.25">
      <c r="A275" s="846">
        <f>Chem!A275</f>
        <v>273</v>
      </c>
      <c r="B275" s="951" t="str">
        <f>Chem!B275</f>
        <v>Lindane (gamma-BHC)</v>
      </c>
      <c r="C275" s="946">
        <f t="shared" si="906"/>
        <v>3.8910265319448277E-3</v>
      </c>
      <c r="D275" s="463">
        <f t="shared" si="907"/>
        <v>2.0542705158089767E-4</v>
      </c>
      <c r="E275" s="634">
        <f t="shared" si="908"/>
        <v>3.8910265319448277E-3</v>
      </c>
      <c r="F275" s="634">
        <f t="shared" si="909"/>
        <v>2.0542705158089767E-4</v>
      </c>
      <c r="G275" s="634"/>
      <c r="H275" s="467">
        <f>'SL-Det'!E275</f>
        <v>0.90909090909090906</v>
      </c>
      <c r="I275" s="231">
        <f>Leach!F275</f>
        <v>6.2000728481875177E-3</v>
      </c>
      <c r="J275" s="231">
        <f>Leach!I275</f>
        <v>3.8910265319448277E-3</v>
      </c>
      <c r="K275" s="231" t="str">
        <f>Leach!L275</f>
        <v>na</v>
      </c>
      <c r="L275" s="476">
        <f>Leach!G275</f>
        <v>3.2733333333333334E-4</v>
      </c>
      <c r="M275" s="476">
        <f>Leach!J275</f>
        <v>2.0542705158089767E-4</v>
      </c>
      <c r="N275" s="476" t="str">
        <f>Leach!M275</f>
        <v>na</v>
      </c>
      <c r="O275" s="485" t="str">
        <f>'SD-Det'!Z275</f>
        <v>na</v>
      </c>
      <c r="P275" s="492">
        <f>'SL-Det'!I275</f>
        <v>6</v>
      </c>
      <c r="Q275" s="975" t="s">
        <v>232</v>
      </c>
      <c r="S275" s="832" t="str">
        <f t="shared" ref="S275" si="988">IF($C275="na","",IF($C275=H275,"X",""))</f>
        <v/>
      </c>
      <c r="T275" s="366" t="str">
        <f t="shared" ref="T275" si="989">IF($C275="na","",IF($C275=I275,"X",""))</f>
        <v/>
      </c>
      <c r="U275" s="366" t="str">
        <f t="shared" ref="U275" si="990">IF($C275="na","",IF($C275=J275,"X",""))</f>
        <v>X</v>
      </c>
      <c r="V275" s="366" t="str">
        <f t="shared" ref="V275" si="991">IF($C275="na","",IF($C275=K275,"X",""))</f>
        <v/>
      </c>
      <c r="W275" s="366" t="str">
        <f t="shared" ref="W275" si="992">IF($C275="na","",IF($C275=O275,"X",""))</f>
        <v/>
      </c>
      <c r="X275" s="366" t="str">
        <f t="shared" ref="X275" si="993">IF($C275="na","",IF($C275=P275,"X",""))</f>
        <v/>
      </c>
      <c r="Y275" s="989" t="str">
        <f t="shared" ref="Y275" si="994">IF($C275="na","",IF($C275=Q275,"X",""))</f>
        <v/>
      </c>
      <c r="Z275" s="832" t="str">
        <f t="shared" ref="Z275" si="995">IF($D275="na","",IF($D275=H275,"X",""))</f>
        <v/>
      </c>
      <c r="AA275" s="366" t="str">
        <f t="shared" ref="AA275" si="996">IF($D275="na","",IF($D275=L275,"X",""))</f>
        <v/>
      </c>
      <c r="AB275" s="366" t="str">
        <f t="shared" ref="AB275" si="997">IF($D275="na","",IF($D275=M275,"X",""))</f>
        <v>X</v>
      </c>
      <c r="AC275" s="366" t="str">
        <f t="shared" ref="AC275" si="998">IF($D275="na","",IF($D275=N275,"X",""))</f>
        <v/>
      </c>
      <c r="AD275" s="366" t="str">
        <f t="shared" ref="AD275" si="999">IF($D275="na","",IF($D275=O275,"X",""))</f>
        <v/>
      </c>
      <c r="AE275" s="366" t="str">
        <f t="shared" ref="AE275" si="1000">IF($D275="na","",IF($D275=P275,"X",""))</f>
        <v/>
      </c>
      <c r="AF275" s="833" t="str">
        <f t="shared" ref="AF275" si="1001">IF($D275="na","",IF($D275=Q275,"X",""))</f>
        <v/>
      </c>
      <c r="AG275" s="832" t="str">
        <f t="shared" ref="AG275" si="1002">IF($E275="na","",IF($E275=H275,"X",""))</f>
        <v/>
      </c>
      <c r="AH275" s="366" t="str">
        <f t="shared" ref="AH275" si="1003">IF($E275="na","",IF($E275=J275,"X",""))</f>
        <v>X</v>
      </c>
      <c r="AI275" s="366" t="str">
        <f t="shared" ref="AI275" si="1004">IF($E275="na","",IF($E275=K275,"X",""))</f>
        <v/>
      </c>
      <c r="AJ275" s="366" t="str">
        <f t="shared" ref="AJ275" si="1005">IF($E275="na","",IF($E275=O275,"X",""))</f>
        <v/>
      </c>
      <c r="AK275" s="366" t="str">
        <f t="shared" ref="AK275" si="1006">IF($E275="na","",IF($E275=P275,"X",""))</f>
        <v/>
      </c>
      <c r="AL275" s="833" t="str">
        <f t="shared" ref="AL275" si="1007">IF($E275="na","",IF($E275=Q275,"X",""))</f>
        <v/>
      </c>
      <c r="AM275" s="832" t="str">
        <f t="shared" ref="AM275" si="1008">IF($F275="na","",IF($F275=H275,"X",""))</f>
        <v/>
      </c>
      <c r="AN275" s="366" t="str">
        <f t="shared" ref="AN275" si="1009">IF($F275="na","",IF($F275=M275,"X",""))</f>
        <v>X</v>
      </c>
      <c r="AO275" s="366" t="str">
        <f t="shared" ref="AO275" si="1010">IF($F275="na","",IF($F275=N275,"X",""))</f>
        <v/>
      </c>
      <c r="AP275" s="366" t="str">
        <f t="shared" ref="AP275" si="1011">IF($F275="na","",IF($F275=O275,"X",""))</f>
        <v/>
      </c>
      <c r="AQ275" s="366" t="str">
        <f t="shared" ref="AQ275" si="1012">IF($F275="na","",IF($F275=P275,"X",""))</f>
        <v/>
      </c>
      <c r="AR275" s="833" t="str">
        <f t="shared" ref="AR275" si="1013">IF($F275="na","",IF($F275=Q275,"X",""))</f>
        <v/>
      </c>
      <c r="AT275" s="1062"/>
      <c r="AY275" s="4"/>
    </row>
    <row r="276" spans="1:51" ht="13.9" customHeight="1" x14ac:dyDescent="0.25">
      <c r="A276" s="846">
        <f>Chem!A276</f>
        <v>274</v>
      </c>
      <c r="B276" s="951" t="str">
        <f>Chem!B276</f>
        <v>Malathion</v>
      </c>
      <c r="C276" s="946">
        <f t="shared" si="906"/>
        <v>4.6260003465249384E-4</v>
      </c>
      <c r="D276" s="463">
        <f t="shared" si="907"/>
        <v>3.1796666666666667E-5</v>
      </c>
      <c r="E276" s="634">
        <f t="shared" si="908"/>
        <v>4.6260003465249384E-4</v>
      </c>
      <c r="F276" s="634">
        <f t="shared" si="909"/>
        <v>3.1796666666666667E-5</v>
      </c>
      <c r="G276" s="634"/>
      <c r="H276" s="467">
        <f>'SL-Det'!E276</f>
        <v>1600</v>
      </c>
      <c r="I276" s="231">
        <f>Leach!F276</f>
        <v>1.4803201108879804</v>
      </c>
      <c r="J276" s="231">
        <f>Leach!I276</f>
        <v>4.6260003465249384E-4</v>
      </c>
      <c r="K276" s="231" t="str">
        <f>Leach!L276</f>
        <v>na</v>
      </c>
      <c r="L276" s="476">
        <f>Leach!G276</f>
        <v>0.10174933333333334</v>
      </c>
      <c r="M276" s="476">
        <f>Leach!J276</f>
        <v>3.1796666666666667E-5</v>
      </c>
      <c r="N276" s="476" t="str">
        <f>Leach!M276</f>
        <v>na</v>
      </c>
      <c r="O276" s="488" t="str">
        <f>'SD-Det'!Z276</f>
        <v>na</v>
      </c>
      <c r="P276" s="494" t="str">
        <f>'SL-Det'!I276</f>
        <v>na</v>
      </c>
      <c r="Q276" s="975" t="s">
        <v>232</v>
      </c>
      <c r="S276" s="832" t="str">
        <f t="shared" si="910"/>
        <v/>
      </c>
      <c r="T276" s="366" t="str">
        <f t="shared" si="911"/>
        <v/>
      </c>
      <c r="U276" s="366" t="str">
        <f t="shared" si="912"/>
        <v>X</v>
      </c>
      <c r="V276" s="366" t="str">
        <f t="shared" si="913"/>
        <v/>
      </c>
      <c r="W276" s="366" t="str">
        <f t="shared" si="914"/>
        <v/>
      </c>
      <c r="X276" s="366" t="str">
        <f t="shared" si="915"/>
        <v/>
      </c>
      <c r="Y276" s="989" t="str">
        <f t="shared" si="916"/>
        <v/>
      </c>
      <c r="Z276" s="832" t="str">
        <f t="shared" si="917"/>
        <v/>
      </c>
      <c r="AA276" s="366" t="str">
        <f t="shared" si="918"/>
        <v/>
      </c>
      <c r="AB276" s="366" t="str">
        <f t="shared" si="919"/>
        <v>X</v>
      </c>
      <c r="AC276" s="366" t="str">
        <f t="shared" si="920"/>
        <v/>
      </c>
      <c r="AD276" s="366" t="str">
        <f t="shared" si="921"/>
        <v/>
      </c>
      <c r="AE276" s="366" t="str">
        <f t="shared" si="922"/>
        <v/>
      </c>
      <c r="AF276" s="833" t="str">
        <f t="shared" si="923"/>
        <v/>
      </c>
      <c r="AG276" s="832" t="str">
        <f t="shared" si="924"/>
        <v/>
      </c>
      <c r="AH276" s="366" t="str">
        <f t="shared" si="925"/>
        <v>X</v>
      </c>
      <c r="AI276" s="366" t="str">
        <f t="shared" si="926"/>
        <v/>
      </c>
      <c r="AJ276" s="366" t="str">
        <f t="shared" si="927"/>
        <v/>
      </c>
      <c r="AK276" s="366" t="str">
        <f t="shared" si="928"/>
        <v/>
      </c>
      <c r="AL276" s="833" t="str">
        <f t="shared" si="929"/>
        <v/>
      </c>
      <c r="AM276" s="832" t="str">
        <f t="shared" si="930"/>
        <v/>
      </c>
      <c r="AN276" s="366" t="str">
        <f t="shared" si="931"/>
        <v>X</v>
      </c>
      <c r="AO276" s="366" t="str">
        <f t="shared" si="932"/>
        <v/>
      </c>
      <c r="AP276" s="366" t="str">
        <f t="shared" si="933"/>
        <v/>
      </c>
      <c r="AQ276" s="366" t="str">
        <f t="shared" si="934"/>
        <v/>
      </c>
      <c r="AR276" s="833" t="str">
        <f t="shared" si="935"/>
        <v/>
      </c>
      <c r="AT276" s="1062"/>
      <c r="AY276" s="4"/>
    </row>
    <row r="277" spans="1:51" ht="13.9" customHeight="1" x14ac:dyDescent="0.25">
      <c r="A277" s="846">
        <f>Chem!A277</f>
        <v>275</v>
      </c>
      <c r="B277" s="951" t="str">
        <f>Chem!B277</f>
        <v>Methoxychlor</v>
      </c>
      <c r="C277" s="946">
        <f t="shared" si="906"/>
        <v>3.208000028770782E-2</v>
      </c>
      <c r="D277" s="463">
        <f t="shared" si="907"/>
        <v>1.6057333333333334E-3</v>
      </c>
      <c r="E277" s="634">
        <f t="shared" si="908"/>
        <v>3.208000028770782E-2</v>
      </c>
      <c r="F277" s="634">
        <f t="shared" si="909"/>
        <v>1.6057333333333334E-3</v>
      </c>
      <c r="G277" s="634"/>
      <c r="H277" s="467">
        <f>'SL-Det'!E277</f>
        <v>400</v>
      </c>
      <c r="I277" s="231">
        <f>Leach!F277</f>
        <v>64.160000575415651</v>
      </c>
      <c r="J277" s="231">
        <f>Leach!I277</f>
        <v>3.208000028770782E-2</v>
      </c>
      <c r="K277" s="231" t="str">
        <f>Leach!L277</f>
        <v>na</v>
      </c>
      <c r="L277" s="476">
        <f>Leach!G277</f>
        <v>3.2114666666666665</v>
      </c>
      <c r="M277" s="476">
        <f>Leach!J277</f>
        <v>1.6057333333333334E-3</v>
      </c>
      <c r="N277" s="476" t="str">
        <f>Leach!M277</f>
        <v>na</v>
      </c>
      <c r="O277" s="485" t="str">
        <f>'SD-Det'!Z277</f>
        <v>na</v>
      </c>
      <c r="P277" s="494" t="str">
        <f>'SL-Det'!I277</f>
        <v>na</v>
      </c>
      <c r="Q277" s="975" t="s">
        <v>232</v>
      </c>
      <c r="S277" s="832" t="str">
        <f t="shared" si="910"/>
        <v/>
      </c>
      <c r="T277" s="366" t="str">
        <f t="shared" si="911"/>
        <v/>
      </c>
      <c r="U277" s="366" t="str">
        <f t="shared" si="912"/>
        <v>X</v>
      </c>
      <c r="V277" s="366" t="str">
        <f t="shared" si="913"/>
        <v/>
      </c>
      <c r="W277" s="366" t="str">
        <f t="shared" si="914"/>
        <v/>
      </c>
      <c r="X277" s="366" t="str">
        <f t="shared" si="915"/>
        <v/>
      </c>
      <c r="Y277" s="989" t="str">
        <f t="shared" si="916"/>
        <v/>
      </c>
      <c r="Z277" s="832" t="str">
        <f t="shared" si="917"/>
        <v/>
      </c>
      <c r="AA277" s="366" t="str">
        <f t="shared" si="918"/>
        <v/>
      </c>
      <c r="AB277" s="366" t="str">
        <f t="shared" si="919"/>
        <v>X</v>
      </c>
      <c r="AC277" s="366" t="str">
        <f t="shared" si="920"/>
        <v/>
      </c>
      <c r="AD277" s="366" t="str">
        <f t="shared" si="921"/>
        <v/>
      </c>
      <c r="AE277" s="366" t="str">
        <f t="shared" si="922"/>
        <v/>
      </c>
      <c r="AF277" s="833" t="str">
        <f t="shared" si="923"/>
        <v/>
      </c>
      <c r="AG277" s="832" t="str">
        <f t="shared" si="924"/>
        <v/>
      </c>
      <c r="AH277" s="366" t="str">
        <f t="shared" si="925"/>
        <v>X</v>
      </c>
      <c r="AI277" s="366" t="str">
        <f t="shared" si="926"/>
        <v/>
      </c>
      <c r="AJ277" s="366" t="str">
        <f t="shared" si="927"/>
        <v/>
      </c>
      <c r="AK277" s="366" t="str">
        <f t="shared" si="928"/>
        <v/>
      </c>
      <c r="AL277" s="833" t="str">
        <f t="shared" si="929"/>
        <v/>
      </c>
      <c r="AM277" s="832" t="str">
        <f t="shared" si="930"/>
        <v/>
      </c>
      <c r="AN277" s="366" t="str">
        <f t="shared" si="931"/>
        <v>X</v>
      </c>
      <c r="AO277" s="366" t="str">
        <f t="shared" si="932"/>
        <v/>
      </c>
      <c r="AP277" s="366" t="str">
        <f t="shared" si="933"/>
        <v/>
      </c>
      <c r="AQ277" s="366" t="str">
        <f t="shared" si="934"/>
        <v/>
      </c>
      <c r="AR277" s="833" t="str">
        <f t="shared" si="935"/>
        <v/>
      </c>
      <c r="AT277" s="1062"/>
      <c r="AY277" s="4"/>
    </row>
    <row r="278" spans="1:51" ht="13.9" customHeight="1" x14ac:dyDescent="0.25">
      <c r="A278" s="846">
        <f>Chem!A278</f>
        <v>276</v>
      </c>
      <c r="B278" s="951" t="str">
        <f>Chem!B278</f>
        <v>Mirex</v>
      </c>
      <c r="C278" s="946">
        <f t="shared" si="906"/>
        <v>7.1440574707004644E-3</v>
      </c>
      <c r="D278" s="463">
        <f t="shared" si="907"/>
        <v>3.5728666666666665E-4</v>
      </c>
      <c r="E278" s="634">
        <f t="shared" si="908"/>
        <v>7.1440574707004644E-3</v>
      </c>
      <c r="F278" s="634">
        <f t="shared" si="909"/>
        <v>3.5728666666666665E-4</v>
      </c>
      <c r="G278" s="634"/>
      <c r="H278" s="467">
        <f>'SL-Det'!E278</f>
        <v>5.5555555555555552E-2</v>
      </c>
      <c r="I278" s="231">
        <f>Leach!F278</f>
        <v>1.7364028574619179E-2</v>
      </c>
      <c r="J278" s="231">
        <f>Leach!I278</f>
        <v>7.1440574707004644E-3</v>
      </c>
      <c r="K278" s="231" t="str">
        <f>Leach!L278</f>
        <v>na</v>
      </c>
      <c r="L278" s="476">
        <f>Leach!G278</f>
        <v>8.6840509259259249E-4</v>
      </c>
      <c r="M278" s="476">
        <f>Leach!J278</f>
        <v>3.5728666666666665E-4</v>
      </c>
      <c r="N278" s="476" t="str">
        <f>Leach!M278</f>
        <v>na</v>
      </c>
      <c r="O278" s="491" t="str">
        <f>'SD-Det'!Z278</f>
        <v>na</v>
      </c>
      <c r="P278" s="494" t="str">
        <f>'SL-Det'!I278</f>
        <v>na</v>
      </c>
      <c r="Q278" s="975" t="s">
        <v>232</v>
      </c>
      <c r="S278" s="832" t="str">
        <f t="shared" si="910"/>
        <v/>
      </c>
      <c r="T278" s="366" t="str">
        <f t="shared" si="911"/>
        <v/>
      </c>
      <c r="U278" s="366" t="str">
        <f t="shared" si="912"/>
        <v>X</v>
      </c>
      <c r="V278" s="366" t="str">
        <f t="shared" si="913"/>
        <v/>
      </c>
      <c r="W278" s="366" t="str">
        <f t="shared" si="914"/>
        <v/>
      </c>
      <c r="X278" s="366" t="str">
        <f t="shared" si="915"/>
        <v/>
      </c>
      <c r="Y278" s="989" t="str">
        <f t="shared" si="916"/>
        <v/>
      </c>
      <c r="Z278" s="832" t="str">
        <f t="shared" si="917"/>
        <v/>
      </c>
      <c r="AA278" s="366" t="str">
        <f t="shared" si="918"/>
        <v/>
      </c>
      <c r="AB278" s="366" t="str">
        <f t="shared" si="919"/>
        <v>X</v>
      </c>
      <c r="AC278" s="366" t="str">
        <f t="shared" si="920"/>
        <v/>
      </c>
      <c r="AD278" s="366" t="str">
        <f t="shared" si="921"/>
        <v/>
      </c>
      <c r="AE278" s="366" t="str">
        <f t="shared" si="922"/>
        <v/>
      </c>
      <c r="AF278" s="833" t="str">
        <f t="shared" si="923"/>
        <v/>
      </c>
      <c r="AG278" s="832" t="str">
        <f t="shared" si="924"/>
        <v/>
      </c>
      <c r="AH278" s="366" t="str">
        <f t="shared" si="925"/>
        <v>X</v>
      </c>
      <c r="AI278" s="366" t="str">
        <f t="shared" si="926"/>
        <v/>
      </c>
      <c r="AJ278" s="366" t="str">
        <f t="shared" si="927"/>
        <v/>
      </c>
      <c r="AK278" s="366" t="str">
        <f t="shared" si="928"/>
        <v/>
      </c>
      <c r="AL278" s="833" t="str">
        <f t="shared" si="929"/>
        <v/>
      </c>
      <c r="AM278" s="832" t="str">
        <f t="shared" si="930"/>
        <v/>
      </c>
      <c r="AN278" s="366" t="str">
        <f t="shared" si="931"/>
        <v>X</v>
      </c>
      <c r="AO278" s="366" t="str">
        <f t="shared" si="932"/>
        <v/>
      </c>
      <c r="AP278" s="366" t="str">
        <f t="shared" si="933"/>
        <v/>
      </c>
      <c r="AQ278" s="366" t="str">
        <f t="shared" si="934"/>
        <v/>
      </c>
      <c r="AR278" s="833" t="str">
        <f t="shared" si="935"/>
        <v/>
      </c>
      <c r="AT278" s="1062"/>
      <c r="AY278" s="4"/>
    </row>
    <row r="279" spans="1:51" ht="13.9" customHeight="1" x14ac:dyDescent="0.25">
      <c r="A279" s="846">
        <f>Chem!A279</f>
        <v>277</v>
      </c>
      <c r="B279" s="951" t="str">
        <f>Chem!B279</f>
        <v>Nonachlor</v>
      </c>
      <c r="C279" s="946" t="str">
        <f t="shared" si="906"/>
        <v>na</v>
      </c>
      <c r="D279" s="463" t="str">
        <f t="shared" si="907"/>
        <v>na</v>
      </c>
      <c r="E279" s="634" t="str">
        <f t="shared" si="908"/>
        <v>na</v>
      </c>
      <c r="F279" s="634" t="str">
        <f t="shared" si="909"/>
        <v>na</v>
      </c>
      <c r="G279" s="634"/>
      <c r="H279" s="467" t="str">
        <f>'SL-Det'!E279</f>
        <v>na</v>
      </c>
      <c r="I279" s="231" t="str">
        <f>Leach!F279</f>
        <v>na</v>
      </c>
      <c r="J279" s="231" t="str">
        <f>Leach!I279</f>
        <v>na</v>
      </c>
      <c r="K279" s="231" t="str">
        <f>Leach!L279</f>
        <v>na</v>
      </c>
      <c r="L279" s="476" t="str">
        <f>Leach!G279</f>
        <v>na</v>
      </c>
      <c r="M279" s="476" t="str">
        <f>Leach!J279</f>
        <v>na</v>
      </c>
      <c r="N279" s="476" t="str">
        <f>Leach!M279</f>
        <v>na</v>
      </c>
      <c r="O279" s="491" t="str">
        <f>'SD-Det'!Z279</f>
        <v>na</v>
      </c>
      <c r="P279" s="494" t="str">
        <f>'SL-Det'!I279</f>
        <v>na</v>
      </c>
      <c r="Q279" s="975" t="s">
        <v>232</v>
      </c>
      <c r="S279" s="832" t="str">
        <f t="shared" si="910"/>
        <v/>
      </c>
      <c r="T279" s="366" t="str">
        <f t="shared" si="911"/>
        <v/>
      </c>
      <c r="U279" s="366" t="str">
        <f t="shared" si="912"/>
        <v/>
      </c>
      <c r="V279" s="366" t="str">
        <f t="shared" si="913"/>
        <v/>
      </c>
      <c r="W279" s="366" t="str">
        <f t="shared" si="914"/>
        <v/>
      </c>
      <c r="X279" s="366" t="str">
        <f t="shared" si="915"/>
        <v/>
      </c>
      <c r="Y279" s="989" t="str">
        <f t="shared" si="916"/>
        <v/>
      </c>
      <c r="Z279" s="832" t="str">
        <f t="shared" si="917"/>
        <v/>
      </c>
      <c r="AA279" s="366" t="str">
        <f t="shared" si="918"/>
        <v/>
      </c>
      <c r="AB279" s="366" t="str">
        <f t="shared" si="919"/>
        <v/>
      </c>
      <c r="AC279" s="366" t="str">
        <f t="shared" si="920"/>
        <v/>
      </c>
      <c r="AD279" s="366" t="str">
        <f t="shared" si="921"/>
        <v/>
      </c>
      <c r="AE279" s="366" t="str">
        <f t="shared" si="922"/>
        <v/>
      </c>
      <c r="AF279" s="833" t="str">
        <f t="shared" si="923"/>
        <v/>
      </c>
      <c r="AG279" s="832" t="str">
        <f t="shared" si="924"/>
        <v/>
      </c>
      <c r="AH279" s="366" t="str">
        <f t="shared" si="925"/>
        <v/>
      </c>
      <c r="AI279" s="366" t="str">
        <f t="shared" si="926"/>
        <v/>
      </c>
      <c r="AJ279" s="366" t="str">
        <f t="shared" si="927"/>
        <v/>
      </c>
      <c r="AK279" s="366" t="str">
        <f t="shared" si="928"/>
        <v/>
      </c>
      <c r="AL279" s="833" t="str">
        <f t="shared" si="929"/>
        <v/>
      </c>
      <c r="AM279" s="832" t="str">
        <f t="shared" si="930"/>
        <v/>
      </c>
      <c r="AN279" s="366" t="str">
        <f t="shared" si="931"/>
        <v/>
      </c>
      <c r="AO279" s="366" t="str">
        <f t="shared" si="932"/>
        <v/>
      </c>
      <c r="AP279" s="366" t="str">
        <f t="shared" si="933"/>
        <v/>
      </c>
      <c r="AQ279" s="366" t="str">
        <f t="shared" si="934"/>
        <v/>
      </c>
      <c r="AR279" s="833" t="str">
        <f t="shared" si="935"/>
        <v/>
      </c>
      <c r="AT279" s="1062"/>
      <c r="AY279" s="4"/>
    </row>
    <row r="280" spans="1:51" ht="13.9" customHeight="1" x14ac:dyDescent="0.25">
      <c r="A280" s="1661">
        <f>Chem!A280</f>
        <v>278</v>
      </c>
      <c r="B280" s="1166" t="str">
        <f>Chem!B280</f>
        <v>Toxaphene</v>
      </c>
      <c r="C280" s="955">
        <f t="shared" si="906"/>
        <v>6.1440013605887163E-5</v>
      </c>
      <c r="D280" s="499">
        <f t="shared" si="907"/>
        <v>3.0747733333333332E-6</v>
      </c>
      <c r="E280" s="1167">
        <f t="shared" si="908"/>
        <v>6.1440013605887163E-5</v>
      </c>
      <c r="F280" s="1167">
        <f t="shared" si="909"/>
        <v>3.0747733333333332E-6</v>
      </c>
      <c r="G280" s="1167"/>
      <c r="H280" s="1168">
        <f>'SL-Det'!E280</f>
        <v>0.90909090909090906</v>
      </c>
      <c r="I280" s="470">
        <f>Leach!F280</f>
        <v>1.5272730654872513</v>
      </c>
      <c r="J280" s="470">
        <f>Leach!I280</f>
        <v>6.1440013605887163E-5</v>
      </c>
      <c r="K280" s="470" t="str">
        <f>Leach!L280</f>
        <v>na</v>
      </c>
      <c r="L280" s="477">
        <f>Leach!G280</f>
        <v>7.6432575757575727E-2</v>
      </c>
      <c r="M280" s="477">
        <f>Leach!J280</f>
        <v>3.0747733333333332E-6</v>
      </c>
      <c r="N280" s="477" t="str">
        <f>Leach!M280</f>
        <v>na</v>
      </c>
      <c r="O280" s="490" t="str">
        <f>'SD-Det'!Z280</f>
        <v>na</v>
      </c>
      <c r="P280" s="810" t="str">
        <f>'SL-Det'!I280</f>
        <v>na</v>
      </c>
      <c r="Q280" s="1169" t="s">
        <v>232</v>
      </c>
      <c r="S280" s="1121" t="str">
        <f t="shared" si="910"/>
        <v/>
      </c>
      <c r="T280" s="1171" t="str">
        <f t="shared" si="911"/>
        <v/>
      </c>
      <c r="U280" s="1171" t="str">
        <f t="shared" si="912"/>
        <v>X</v>
      </c>
      <c r="V280" s="1171" t="str">
        <f t="shared" si="913"/>
        <v/>
      </c>
      <c r="W280" s="1171" t="str">
        <f t="shared" si="914"/>
        <v/>
      </c>
      <c r="X280" s="1171" t="str">
        <f t="shared" si="915"/>
        <v/>
      </c>
      <c r="Y280" s="1172" t="str">
        <f t="shared" si="916"/>
        <v/>
      </c>
      <c r="Z280" s="1121" t="str">
        <f t="shared" si="917"/>
        <v/>
      </c>
      <c r="AA280" s="1171" t="str">
        <f t="shared" si="918"/>
        <v/>
      </c>
      <c r="AB280" s="1171" t="str">
        <f t="shared" si="919"/>
        <v>X</v>
      </c>
      <c r="AC280" s="1171" t="str">
        <f t="shared" si="920"/>
        <v/>
      </c>
      <c r="AD280" s="1171" t="str">
        <f t="shared" si="921"/>
        <v/>
      </c>
      <c r="AE280" s="1171" t="str">
        <f t="shared" si="922"/>
        <v/>
      </c>
      <c r="AF280" s="1173" t="str">
        <f t="shared" si="923"/>
        <v/>
      </c>
      <c r="AG280" s="1121" t="str">
        <f t="shared" si="924"/>
        <v/>
      </c>
      <c r="AH280" s="1171" t="str">
        <f t="shared" si="925"/>
        <v>X</v>
      </c>
      <c r="AI280" s="1171" t="str">
        <f t="shared" si="926"/>
        <v/>
      </c>
      <c r="AJ280" s="1171" t="str">
        <f t="shared" si="927"/>
        <v/>
      </c>
      <c r="AK280" s="1171" t="str">
        <f t="shared" si="928"/>
        <v/>
      </c>
      <c r="AL280" s="1173" t="str">
        <f t="shared" si="929"/>
        <v/>
      </c>
      <c r="AM280" s="1121" t="str">
        <f t="shared" si="930"/>
        <v/>
      </c>
      <c r="AN280" s="1171" t="str">
        <f t="shared" si="931"/>
        <v>X</v>
      </c>
      <c r="AO280" s="1171" t="str">
        <f t="shared" si="932"/>
        <v/>
      </c>
      <c r="AP280" s="1171" t="str">
        <f t="shared" si="933"/>
        <v/>
      </c>
      <c r="AQ280" s="1171" t="str">
        <f t="shared" si="934"/>
        <v/>
      </c>
      <c r="AR280" s="1173" t="str">
        <f t="shared" si="935"/>
        <v/>
      </c>
      <c r="AT280" s="1137"/>
      <c r="AY280" s="4"/>
    </row>
    <row r="281" spans="1:51" ht="13.9" customHeight="1" x14ac:dyDescent="0.25">
      <c r="A281" s="1197">
        <f>Chem!A281</f>
        <v>279</v>
      </c>
      <c r="B281" s="1170" t="str">
        <f>Chem!B281</f>
        <v>Herbicides</v>
      </c>
      <c r="C281" s="2320"/>
      <c r="D281" s="2320"/>
      <c r="E281" s="2320"/>
      <c r="F281" s="2320"/>
      <c r="G281" s="2320"/>
      <c r="H281" s="2320"/>
      <c r="I281" s="2320"/>
      <c r="J281" s="2320"/>
      <c r="K281" s="2320"/>
      <c r="L281" s="2320"/>
      <c r="M281" s="2320"/>
      <c r="N281" s="2320"/>
      <c r="O281" s="2321"/>
      <c r="P281" s="2320"/>
      <c r="Q281" s="2322"/>
      <c r="S281" s="1174" t="str">
        <f>B281</f>
        <v>Herbicides</v>
      </c>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2326"/>
      <c r="AN281" s="2326"/>
      <c r="AO281" s="2326"/>
      <c r="AP281" s="2326"/>
      <c r="AQ281" s="2326"/>
      <c r="AR281" s="2327"/>
      <c r="AT281" s="2325"/>
      <c r="AY281" s="4"/>
    </row>
    <row r="282" spans="1:51" ht="13.9" customHeight="1" x14ac:dyDescent="0.25">
      <c r="A282" s="846">
        <f>Chem!A282</f>
        <v>280</v>
      </c>
      <c r="B282" s="1689" t="str">
        <f>Chem!B282</f>
        <v>2,4-Dichlorophenoxyacetic acid (2,4-D)</v>
      </c>
      <c r="C282" s="1215">
        <f t="shared" si="906"/>
        <v>0.32144017560098115</v>
      </c>
      <c r="D282" s="1192">
        <f t="shared" si="907"/>
        <v>2.2138666666666671E-2</v>
      </c>
      <c r="E282" s="1216">
        <f t="shared" si="908"/>
        <v>55.104030103025337</v>
      </c>
      <c r="F282" s="1216">
        <f t="shared" si="909"/>
        <v>3.7952000000000004</v>
      </c>
      <c r="G282" s="1192"/>
      <c r="H282" s="1218">
        <f>'SL-Det'!E282</f>
        <v>800</v>
      </c>
      <c r="I282" s="469">
        <f>Leach!F282</f>
        <v>0.32144017560098115</v>
      </c>
      <c r="J282" s="469">
        <f>Leach!I282</f>
        <v>55.104030103025337</v>
      </c>
      <c r="K282" s="469" t="str">
        <f>Leach!L282</f>
        <v>na</v>
      </c>
      <c r="L282" s="474">
        <f>Leach!G282</f>
        <v>2.2138666666666671E-2</v>
      </c>
      <c r="M282" s="474">
        <f>Leach!J282</f>
        <v>3.7952000000000004</v>
      </c>
      <c r="N282" s="474" t="str">
        <f>Leach!M282</f>
        <v>na</v>
      </c>
      <c r="O282" s="1210" t="str">
        <f>'SD-Det'!Z282</f>
        <v>na</v>
      </c>
      <c r="P282" s="811" t="str">
        <f>'SL-Det'!I282</f>
        <v>na</v>
      </c>
      <c r="Q282" s="1219" t="s">
        <v>232</v>
      </c>
      <c r="S282" s="832" t="str">
        <f t="shared" ref="S282:S291" si="1014">IF($C282="na","",IF($C282=H282,"X",""))</f>
        <v/>
      </c>
      <c r="T282" s="366" t="str">
        <f t="shared" ref="T282:T291" si="1015">IF($C282="na","",IF($C282=I282,"X",""))</f>
        <v>X</v>
      </c>
      <c r="U282" s="366" t="str">
        <f t="shared" ref="U282:U291" si="1016">IF($C282="na","",IF($C282=J282,"X",""))</f>
        <v/>
      </c>
      <c r="V282" s="366" t="str">
        <f t="shared" ref="V282:V291" si="1017">IF($C282="na","",IF($C282=K282,"X",""))</f>
        <v/>
      </c>
      <c r="W282" s="366" t="str">
        <f t="shared" ref="W282:W291" si="1018">IF($C282="na","",IF($C282=O282,"X",""))</f>
        <v/>
      </c>
      <c r="X282" s="366" t="str">
        <f t="shared" ref="X282:X291" si="1019">IF($C282="na","",IF($C282=P282,"X",""))</f>
        <v/>
      </c>
      <c r="Y282" s="989" t="str">
        <f t="shared" ref="Y282:Y291" si="1020">IF($C282="na","",IF($C282=Q282,"X",""))</f>
        <v/>
      </c>
      <c r="Z282" s="832" t="str">
        <f t="shared" ref="Z282:Z291" si="1021">IF($D282="na","",IF($D282=H282,"X",""))</f>
        <v/>
      </c>
      <c r="AA282" s="366" t="str">
        <f t="shared" ref="AA282:AA291" si="1022">IF($D282="na","",IF($D282=L282,"X",""))</f>
        <v>X</v>
      </c>
      <c r="AB282" s="366" t="str">
        <f t="shared" ref="AB282:AB291" si="1023">IF($D282="na","",IF($D282=M282,"X",""))</f>
        <v/>
      </c>
      <c r="AC282" s="366" t="str">
        <f t="shared" ref="AC282:AC291" si="1024">IF($D282="na","",IF($D282=N282,"X",""))</f>
        <v/>
      </c>
      <c r="AD282" s="366" t="str">
        <f t="shared" ref="AD282:AD291" si="1025">IF($D282="na","",IF($D282=O282,"X",""))</f>
        <v/>
      </c>
      <c r="AE282" s="366" t="str">
        <f t="shared" ref="AE282:AE291" si="1026">IF($D282="na","",IF($D282=P282,"X",""))</f>
        <v/>
      </c>
      <c r="AF282" s="833" t="str">
        <f t="shared" ref="AF282:AF291" si="1027">IF($D282="na","",IF($D282=Q282,"X",""))</f>
        <v/>
      </c>
      <c r="AG282" s="832" t="str">
        <f t="shared" ref="AG282:AG291" si="1028">IF($E282="na","",IF($E282=H282,"X",""))</f>
        <v/>
      </c>
      <c r="AH282" s="366" t="str">
        <f t="shared" ref="AH282:AH291" si="1029">IF($E282="na","",IF($E282=J282,"X",""))</f>
        <v>X</v>
      </c>
      <c r="AI282" s="366" t="str">
        <f t="shared" ref="AI282:AI291" si="1030">IF($E282="na","",IF($E282=K282,"X",""))</f>
        <v/>
      </c>
      <c r="AJ282" s="366" t="str">
        <f t="shared" ref="AJ282:AJ291" si="1031">IF($E282="na","",IF($E282=O282,"X",""))</f>
        <v/>
      </c>
      <c r="AK282" s="366" t="str">
        <f t="shared" ref="AK282:AK291" si="1032">IF($E282="na","",IF($E282=P282,"X",""))</f>
        <v/>
      </c>
      <c r="AL282" s="833" t="str">
        <f t="shared" ref="AL282:AL291" si="1033">IF($E282="na","",IF($E282=Q282,"X",""))</f>
        <v/>
      </c>
      <c r="AM282" s="832" t="str">
        <f t="shared" ref="AM282:AM291" si="1034">IF($F282="na","",IF($F282=H282,"X",""))</f>
        <v/>
      </c>
      <c r="AN282" s="366" t="str">
        <f t="shared" ref="AN282:AN291" si="1035">IF($F282="na","",IF($F282=M282,"X",""))</f>
        <v>X</v>
      </c>
      <c r="AO282" s="366" t="str">
        <f t="shared" ref="AO282:AO291" si="1036">IF($F282="na","",IF($F282=N282,"X",""))</f>
        <v/>
      </c>
      <c r="AP282" s="366" t="str">
        <f t="shared" ref="AP282:AP291" si="1037">IF($F282="na","",IF($F282=O282,"X",""))</f>
        <v/>
      </c>
      <c r="AQ282" s="366" t="str">
        <f t="shared" ref="AQ282:AQ291" si="1038">IF($F282="na","",IF($F282=P282,"X",""))</f>
        <v/>
      </c>
      <c r="AR282" s="833" t="str">
        <f t="shared" ref="AR282:AR291" si="1039">IF($F282="na","",IF($F282=Q282,"X",""))</f>
        <v/>
      </c>
      <c r="AT282" s="1062"/>
      <c r="AY282" s="4"/>
    </row>
    <row r="283" spans="1:51" ht="13.9" customHeight="1" x14ac:dyDescent="0.25">
      <c r="A283" s="846">
        <f>Chem!A283</f>
        <v>281</v>
      </c>
      <c r="B283" s="1578" t="str">
        <f>Chem!B283</f>
        <v>4-(2,4-Dichlorophenoxy)butanoic acid 2,4-DB</v>
      </c>
      <c r="C283" s="946" t="str">
        <f t="shared" si="906"/>
        <v>na</v>
      </c>
      <c r="D283" s="463" t="str">
        <f t="shared" si="907"/>
        <v>na</v>
      </c>
      <c r="E283" s="1220" t="str">
        <f t="shared" si="908"/>
        <v>na</v>
      </c>
      <c r="F283" s="1220" t="str">
        <f t="shared" si="909"/>
        <v>na</v>
      </c>
      <c r="G283" s="463"/>
      <c r="H283" s="1222" t="str">
        <f>'SL-Det'!E283</f>
        <v>na</v>
      </c>
      <c r="I283" s="231" t="str">
        <f>Leach!F283</f>
        <v>na</v>
      </c>
      <c r="J283" s="231" t="str">
        <f>Leach!I283</f>
        <v>na</v>
      </c>
      <c r="K283" s="231" t="str">
        <f>Leach!L283</f>
        <v>na</v>
      </c>
      <c r="L283" s="476" t="str">
        <f>Leach!G283</f>
        <v>na</v>
      </c>
      <c r="M283" s="476" t="str">
        <f>Leach!J283</f>
        <v>na</v>
      </c>
      <c r="N283" s="476" t="str">
        <f>Leach!M283</f>
        <v>na</v>
      </c>
      <c r="O283" s="488" t="str">
        <f>'SD-Det'!Z283</f>
        <v>na</v>
      </c>
      <c r="P283" s="492" t="str">
        <f>'SL-Det'!I283</f>
        <v>na</v>
      </c>
      <c r="Q283" s="970" t="s">
        <v>232</v>
      </c>
      <c r="S283" s="832" t="str">
        <f t="shared" si="1014"/>
        <v/>
      </c>
      <c r="T283" s="366" t="str">
        <f t="shared" si="1015"/>
        <v/>
      </c>
      <c r="U283" s="366" t="str">
        <f t="shared" si="1016"/>
        <v/>
      </c>
      <c r="V283" s="366" t="str">
        <f t="shared" si="1017"/>
        <v/>
      </c>
      <c r="W283" s="366" t="str">
        <f t="shared" si="1018"/>
        <v/>
      </c>
      <c r="X283" s="366" t="str">
        <f t="shared" si="1019"/>
        <v/>
      </c>
      <c r="Y283" s="989" t="str">
        <f t="shared" si="1020"/>
        <v/>
      </c>
      <c r="Z283" s="832" t="str">
        <f t="shared" si="1021"/>
        <v/>
      </c>
      <c r="AA283" s="366" t="str">
        <f t="shared" si="1022"/>
        <v/>
      </c>
      <c r="AB283" s="366" t="str">
        <f t="shared" si="1023"/>
        <v/>
      </c>
      <c r="AC283" s="366" t="str">
        <f t="shared" si="1024"/>
        <v/>
      </c>
      <c r="AD283" s="366" t="str">
        <f t="shared" si="1025"/>
        <v/>
      </c>
      <c r="AE283" s="366" t="str">
        <f t="shared" si="1026"/>
        <v/>
      </c>
      <c r="AF283" s="833" t="str">
        <f t="shared" si="1027"/>
        <v/>
      </c>
      <c r="AG283" s="832" t="str">
        <f t="shared" si="1028"/>
        <v/>
      </c>
      <c r="AH283" s="366" t="str">
        <f t="shared" si="1029"/>
        <v/>
      </c>
      <c r="AI283" s="366" t="str">
        <f t="shared" si="1030"/>
        <v/>
      </c>
      <c r="AJ283" s="366" t="str">
        <f t="shared" si="1031"/>
        <v/>
      </c>
      <c r="AK283" s="366" t="str">
        <f t="shared" si="1032"/>
        <v/>
      </c>
      <c r="AL283" s="833" t="str">
        <f t="shared" si="1033"/>
        <v/>
      </c>
      <c r="AM283" s="832" t="str">
        <f t="shared" si="1034"/>
        <v/>
      </c>
      <c r="AN283" s="366" t="str">
        <f t="shared" si="1035"/>
        <v/>
      </c>
      <c r="AO283" s="366" t="str">
        <f t="shared" si="1036"/>
        <v/>
      </c>
      <c r="AP283" s="366" t="str">
        <f t="shared" si="1037"/>
        <v/>
      </c>
      <c r="AQ283" s="366" t="str">
        <f t="shared" si="1038"/>
        <v/>
      </c>
      <c r="AR283" s="833" t="str">
        <f t="shared" si="1039"/>
        <v/>
      </c>
      <c r="AT283" s="1062"/>
      <c r="AY283" s="4"/>
    </row>
    <row r="284" spans="1:51" ht="13.9" customHeight="1" x14ac:dyDescent="0.25">
      <c r="A284" s="846">
        <f>Chem!A284</f>
        <v>282</v>
      </c>
      <c r="B284" s="1578" t="str">
        <f>Chem!B284</f>
        <v>2-(2,4,5-Trichlorophenoxy)propionic acid (2,4,5-TP)</v>
      </c>
      <c r="C284" s="946">
        <f t="shared" si="906"/>
        <v>0.37500003210139005</v>
      </c>
      <c r="D284" s="463">
        <f t="shared" si="907"/>
        <v>2.3083333333333334E-2</v>
      </c>
      <c r="E284" s="1220">
        <f t="shared" si="908"/>
        <v>3.0000002568111204</v>
      </c>
      <c r="F284" s="1220">
        <f t="shared" si="909"/>
        <v>0.18466666666666667</v>
      </c>
      <c r="G284" s="463"/>
      <c r="H284" s="1222">
        <f>'SL-Det'!E284</f>
        <v>640</v>
      </c>
      <c r="I284" s="231">
        <f>Leach!F284</f>
        <v>0.37500003210139005</v>
      </c>
      <c r="J284" s="231">
        <f>Leach!I284</f>
        <v>3.0000002568111204</v>
      </c>
      <c r="K284" s="231" t="str">
        <f>Leach!L284</f>
        <v>na</v>
      </c>
      <c r="L284" s="476">
        <f>Leach!G284</f>
        <v>2.3083333333333334E-2</v>
      </c>
      <c r="M284" s="476">
        <f>Leach!J284</f>
        <v>0.18466666666666667</v>
      </c>
      <c r="N284" s="476" t="str">
        <f>Leach!M284</f>
        <v>na</v>
      </c>
      <c r="O284" s="488" t="str">
        <f>'SD-Det'!Z284</f>
        <v>na</v>
      </c>
      <c r="P284" s="492" t="str">
        <f>'SL-Det'!I284</f>
        <v>na</v>
      </c>
      <c r="Q284" s="970" t="s">
        <v>232</v>
      </c>
      <c r="S284" s="832" t="str">
        <f t="shared" si="1014"/>
        <v/>
      </c>
      <c r="T284" s="366" t="str">
        <f t="shared" si="1015"/>
        <v>X</v>
      </c>
      <c r="U284" s="366" t="str">
        <f t="shared" si="1016"/>
        <v/>
      </c>
      <c r="V284" s="366" t="str">
        <f t="shared" si="1017"/>
        <v/>
      </c>
      <c r="W284" s="366" t="str">
        <f t="shared" si="1018"/>
        <v/>
      </c>
      <c r="X284" s="366" t="str">
        <f t="shared" si="1019"/>
        <v/>
      </c>
      <c r="Y284" s="989" t="str">
        <f t="shared" si="1020"/>
        <v/>
      </c>
      <c r="Z284" s="832" t="str">
        <f t="shared" si="1021"/>
        <v/>
      </c>
      <c r="AA284" s="366" t="str">
        <f t="shared" si="1022"/>
        <v>X</v>
      </c>
      <c r="AB284" s="366" t="str">
        <f t="shared" si="1023"/>
        <v/>
      </c>
      <c r="AC284" s="366" t="str">
        <f t="shared" si="1024"/>
        <v/>
      </c>
      <c r="AD284" s="366" t="str">
        <f t="shared" si="1025"/>
        <v/>
      </c>
      <c r="AE284" s="366" t="str">
        <f t="shared" si="1026"/>
        <v/>
      </c>
      <c r="AF284" s="833" t="str">
        <f t="shared" si="1027"/>
        <v/>
      </c>
      <c r="AG284" s="832" t="str">
        <f t="shared" si="1028"/>
        <v/>
      </c>
      <c r="AH284" s="366" t="str">
        <f t="shared" si="1029"/>
        <v>X</v>
      </c>
      <c r="AI284" s="366" t="str">
        <f t="shared" si="1030"/>
        <v/>
      </c>
      <c r="AJ284" s="366" t="str">
        <f t="shared" si="1031"/>
        <v/>
      </c>
      <c r="AK284" s="366" t="str">
        <f t="shared" si="1032"/>
        <v/>
      </c>
      <c r="AL284" s="833" t="str">
        <f t="shared" si="1033"/>
        <v/>
      </c>
      <c r="AM284" s="832" t="str">
        <f t="shared" si="1034"/>
        <v/>
      </c>
      <c r="AN284" s="366" t="str">
        <f t="shared" si="1035"/>
        <v>X</v>
      </c>
      <c r="AO284" s="366" t="str">
        <f t="shared" si="1036"/>
        <v/>
      </c>
      <c r="AP284" s="366" t="str">
        <f t="shared" si="1037"/>
        <v/>
      </c>
      <c r="AQ284" s="366" t="str">
        <f t="shared" si="1038"/>
        <v/>
      </c>
      <c r="AR284" s="833" t="str">
        <f t="shared" si="1039"/>
        <v/>
      </c>
      <c r="AT284" s="1062"/>
      <c r="AY284" s="4"/>
    </row>
    <row r="285" spans="1:51" ht="13.9" customHeight="1" x14ac:dyDescent="0.25">
      <c r="A285" s="846">
        <f>Chem!A285</f>
        <v>283</v>
      </c>
      <c r="B285" s="1578" t="str">
        <f>Chem!B285</f>
        <v>2,4,5-Trichlorophenoxyacetic acid (2,4,5-T)</v>
      </c>
      <c r="C285" s="946">
        <f t="shared" si="906"/>
        <v>0.98240009841591724</v>
      </c>
      <c r="D285" s="463">
        <f t="shared" si="907"/>
        <v>6.2986666666666663E-2</v>
      </c>
      <c r="E285" s="1220">
        <f t="shared" si="908"/>
        <v>800</v>
      </c>
      <c r="F285" s="1220">
        <f t="shared" si="909"/>
        <v>800</v>
      </c>
      <c r="G285" s="463"/>
      <c r="H285" s="1222">
        <f>'SL-Det'!E285</f>
        <v>800</v>
      </c>
      <c r="I285" s="231">
        <f>Leach!F285</f>
        <v>0.98240009841591724</v>
      </c>
      <c r="J285" s="231" t="str">
        <f>Leach!I285</f>
        <v>na</v>
      </c>
      <c r="K285" s="231" t="str">
        <f>Leach!L285</f>
        <v>na</v>
      </c>
      <c r="L285" s="476">
        <f>Leach!G285</f>
        <v>6.2986666666666663E-2</v>
      </c>
      <c r="M285" s="476" t="str">
        <f>Leach!J285</f>
        <v>na</v>
      </c>
      <c r="N285" s="476" t="str">
        <f>Leach!M285</f>
        <v>na</v>
      </c>
      <c r="O285" s="488" t="str">
        <f>'SD-Det'!Z285</f>
        <v>na</v>
      </c>
      <c r="P285" s="492" t="str">
        <f>'SL-Det'!I285</f>
        <v>na</v>
      </c>
      <c r="Q285" s="970" t="s">
        <v>232</v>
      </c>
      <c r="S285" s="832" t="str">
        <f t="shared" si="1014"/>
        <v/>
      </c>
      <c r="T285" s="366" t="str">
        <f t="shared" si="1015"/>
        <v>X</v>
      </c>
      <c r="U285" s="366" t="str">
        <f t="shared" si="1016"/>
        <v/>
      </c>
      <c r="V285" s="366" t="str">
        <f t="shared" si="1017"/>
        <v/>
      </c>
      <c r="W285" s="366" t="str">
        <f t="shared" si="1018"/>
        <v/>
      </c>
      <c r="X285" s="366" t="str">
        <f t="shared" si="1019"/>
        <v/>
      </c>
      <c r="Y285" s="989" t="str">
        <f t="shared" si="1020"/>
        <v/>
      </c>
      <c r="Z285" s="832" t="str">
        <f t="shared" si="1021"/>
        <v/>
      </c>
      <c r="AA285" s="366" t="str">
        <f t="shared" si="1022"/>
        <v>X</v>
      </c>
      <c r="AB285" s="366" t="str">
        <f t="shared" si="1023"/>
        <v/>
      </c>
      <c r="AC285" s="366" t="str">
        <f t="shared" si="1024"/>
        <v/>
      </c>
      <c r="AD285" s="366" t="str">
        <f t="shared" si="1025"/>
        <v/>
      </c>
      <c r="AE285" s="366" t="str">
        <f t="shared" si="1026"/>
        <v/>
      </c>
      <c r="AF285" s="833" t="str">
        <f t="shared" si="1027"/>
        <v/>
      </c>
      <c r="AG285" s="832" t="str">
        <f t="shared" si="1028"/>
        <v>X</v>
      </c>
      <c r="AH285" s="366" t="str">
        <f t="shared" si="1029"/>
        <v/>
      </c>
      <c r="AI285" s="366" t="str">
        <f t="shared" si="1030"/>
        <v/>
      </c>
      <c r="AJ285" s="366" t="str">
        <f t="shared" si="1031"/>
        <v/>
      </c>
      <c r="AK285" s="366" t="str">
        <f t="shared" si="1032"/>
        <v/>
      </c>
      <c r="AL285" s="833" t="str">
        <f t="shared" si="1033"/>
        <v/>
      </c>
      <c r="AM285" s="832" t="str">
        <f t="shared" si="1034"/>
        <v>X</v>
      </c>
      <c r="AN285" s="366" t="str">
        <f t="shared" si="1035"/>
        <v/>
      </c>
      <c r="AO285" s="366" t="str">
        <f t="shared" si="1036"/>
        <v/>
      </c>
      <c r="AP285" s="366" t="str">
        <f t="shared" si="1037"/>
        <v/>
      </c>
      <c r="AQ285" s="366" t="str">
        <f t="shared" si="1038"/>
        <v/>
      </c>
      <c r="AR285" s="833" t="str">
        <f t="shared" si="1039"/>
        <v/>
      </c>
      <c r="AT285" s="1062"/>
      <c r="AY285" s="4"/>
    </row>
    <row r="286" spans="1:51" ht="13.9" customHeight="1" x14ac:dyDescent="0.25">
      <c r="A286" s="846">
        <f>Chem!A286</f>
        <v>284</v>
      </c>
      <c r="B286" s="1578" t="str">
        <f>Chem!B286</f>
        <v>Dalapon</v>
      </c>
      <c r="C286" s="946">
        <f t="shared" si="906"/>
        <v>0.81292036073817275</v>
      </c>
      <c r="D286" s="463">
        <f t="shared" si="907"/>
        <v>5.7979333333333341E-2</v>
      </c>
      <c r="E286" s="1220">
        <f t="shared" si="908"/>
        <v>2400</v>
      </c>
      <c r="F286" s="1220">
        <f t="shared" si="909"/>
        <v>2400</v>
      </c>
      <c r="G286" s="463"/>
      <c r="H286" s="1222">
        <f>'SL-Det'!E286</f>
        <v>2400</v>
      </c>
      <c r="I286" s="231">
        <f>Leach!F286</f>
        <v>0.81292036073817275</v>
      </c>
      <c r="J286" s="231" t="str">
        <f>Leach!I286</f>
        <v>na</v>
      </c>
      <c r="K286" s="231" t="str">
        <f>Leach!L286</f>
        <v>na</v>
      </c>
      <c r="L286" s="476">
        <f>Leach!G286</f>
        <v>5.7979333333333341E-2</v>
      </c>
      <c r="M286" s="476" t="str">
        <f>Leach!J286</f>
        <v>na</v>
      </c>
      <c r="N286" s="476" t="str">
        <f>Leach!M286</f>
        <v>na</v>
      </c>
      <c r="O286" s="488" t="str">
        <f>'SD-Det'!Z286</f>
        <v>na</v>
      </c>
      <c r="P286" s="492" t="str">
        <f>'SL-Det'!I286</f>
        <v>na</v>
      </c>
      <c r="Q286" s="970" t="s">
        <v>232</v>
      </c>
      <c r="S286" s="832" t="str">
        <f t="shared" si="1014"/>
        <v/>
      </c>
      <c r="T286" s="366" t="str">
        <f t="shared" si="1015"/>
        <v>X</v>
      </c>
      <c r="U286" s="366" t="str">
        <f t="shared" si="1016"/>
        <v/>
      </c>
      <c r="V286" s="366" t="str">
        <f t="shared" si="1017"/>
        <v/>
      </c>
      <c r="W286" s="366" t="str">
        <f t="shared" si="1018"/>
        <v/>
      </c>
      <c r="X286" s="366" t="str">
        <f t="shared" si="1019"/>
        <v/>
      </c>
      <c r="Y286" s="989" t="str">
        <f t="shared" si="1020"/>
        <v/>
      </c>
      <c r="Z286" s="832" t="str">
        <f t="shared" si="1021"/>
        <v/>
      </c>
      <c r="AA286" s="366" t="str">
        <f t="shared" si="1022"/>
        <v>X</v>
      </c>
      <c r="AB286" s="366" t="str">
        <f t="shared" si="1023"/>
        <v/>
      </c>
      <c r="AC286" s="366" t="str">
        <f t="shared" si="1024"/>
        <v/>
      </c>
      <c r="AD286" s="366" t="str">
        <f t="shared" si="1025"/>
        <v/>
      </c>
      <c r="AE286" s="366" t="str">
        <f t="shared" si="1026"/>
        <v/>
      </c>
      <c r="AF286" s="833" t="str">
        <f t="shared" si="1027"/>
        <v/>
      </c>
      <c r="AG286" s="832" t="str">
        <f t="shared" si="1028"/>
        <v>X</v>
      </c>
      <c r="AH286" s="366" t="str">
        <f t="shared" si="1029"/>
        <v/>
      </c>
      <c r="AI286" s="366" t="str">
        <f t="shared" si="1030"/>
        <v/>
      </c>
      <c r="AJ286" s="366" t="str">
        <f t="shared" si="1031"/>
        <v/>
      </c>
      <c r="AK286" s="366" t="str">
        <f t="shared" si="1032"/>
        <v/>
      </c>
      <c r="AL286" s="833" t="str">
        <f t="shared" si="1033"/>
        <v/>
      </c>
      <c r="AM286" s="832" t="str">
        <f t="shared" si="1034"/>
        <v>X</v>
      </c>
      <c r="AN286" s="366" t="str">
        <f t="shared" si="1035"/>
        <v/>
      </c>
      <c r="AO286" s="366" t="str">
        <f t="shared" si="1036"/>
        <v/>
      </c>
      <c r="AP286" s="366" t="str">
        <f t="shared" si="1037"/>
        <v/>
      </c>
      <c r="AQ286" s="366" t="str">
        <f t="shared" si="1038"/>
        <v/>
      </c>
      <c r="AR286" s="833" t="str">
        <f t="shared" si="1039"/>
        <v/>
      </c>
      <c r="AT286" s="1062"/>
      <c r="AY286" s="4"/>
    </row>
    <row r="287" spans="1:51" ht="13.9" customHeight="1" x14ac:dyDescent="0.25">
      <c r="A287" s="846">
        <f>Chem!A287</f>
        <v>285</v>
      </c>
      <c r="B287" s="1578" t="str">
        <f>Chem!B287</f>
        <v>Dicamba</v>
      </c>
      <c r="C287" s="946">
        <f t="shared" si="906"/>
        <v>2.1984000741520848</v>
      </c>
      <c r="D287" s="463">
        <f t="shared" si="907"/>
        <v>0.15152000000000002</v>
      </c>
      <c r="E287" s="1220">
        <f t="shared" si="908"/>
        <v>2400</v>
      </c>
      <c r="F287" s="1220">
        <f t="shared" si="909"/>
        <v>2400</v>
      </c>
      <c r="G287" s="463"/>
      <c r="H287" s="1222">
        <f>'SL-Det'!E287</f>
        <v>2400</v>
      </c>
      <c r="I287" s="231">
        <f>Leach!F287</f>
        <v>2.1984000741520848</v>
      </c>
      <c r="J287" s="231" t="str">
        <f>Leach!I287</f>
        <v>na</v>
      </c>
      <c r="K287" s="231" t="str">
        <f>Leach!L287</f>
        <v>na</v>
      </c>
      <c r="L287" s="476">
        <f>Leach!G287</f>
        <v>0.15152000000000002</v>
      </c>
      <c r="M287" s="476" t="str">
        <f>Leach!J287</f>
        <v>na</v>
      </c>
      <c r="N287" s="476" t="str">
        <f>Leach!M287</f>
        <v>na</v>
      </c>
      <c r="O287" s="488" t="str">
        <f>'SD-Det'!Z287</f>
        <v>na</v>
      </c>
      <c r="P287" s="492" t="str">
        <f>'SL-Det'!I287</f>
        <v>na</v>
      </c>
      <c r="Q287" s="970" t="s">
        <v>232</v>
      </c>
      <c r="S287" s="832" t="str">
        <f t="shared" si="1014"/>
        <v/>
      </c>
      <c r="T287" s="366" t="str">
        <f t="shared" si="1015"/>
        <v>X</v>
      </c>
      <c r="U287" s="366" t="str">
        <f t="shared" si="1016"/>
        <v/>
      </c>
      <c r="V287" s="366" t="str">
        <f t="shared" si="1017"/>
        <v/>
      </c>
      <c r="W287" s="366" t="str">
        <f t="shared" si="1018"/>
        <v/>
      </c>
      <c r="X287" s="366" t="str">
        <f t="shared" si="1019"/>
        <v/>
      </c>
      <c r="Y287" s="989" t="str">
        <f t="shared" si="1020"/>
        <v/>
      </c>
      <c r="Z287" s="832" t="str">
        <f t="shared" si="1021"/>
        <v/>
      </c>
      <c r="AA287" s="366" t="str">
        <f t="shared" si="1022"/>
        <v>X</v>
      </c>
      <c r="AB287" s="366" t="str">
        <f t="shared" si="1023"/>
        <v/>
      </c>
      <c r="AC287" s="366" t="str">
        <f t="shared" si="1024"/>
        <v/>
      </c>
      <c r="AD287" s="366" t="str">
        <f t="shared" si="1025"/>
        <v/>
      </c>
      <c r="AE287" s="366" t="str">
        <f t="shared" si="1026"/>
        <v/>
      </c>
      <c r="AF287" s="833" t="str">
        <f t="shared" si="1027"/>
        <v/>
      </c>
      <c r="AG287" s="832" t="str">
        <f t="shared" si="1028"/>
        <v>X</v>
      </c>
      <c r="AH287" s="366" t="str">
        <f t="shared" si="1029"/>
        <v/>
      </c>
      <c r="AI287" s="366" t="str">
        <f t="shared" si="1030"/>
        <v/>
      </c>
      <c r="AJ287" s="366" t="str">
        <f t="shared" si="1031"/>
        <v/>
      </c>
      <c r="AK287" s="366" t="str">
        <f t="shared" si="1032"/>
        <v/>
      </c>
      <c r="AL287" s="833" t="str">
        <f t="shared" si="1033"/>
        <v/>
      </c>
      <c r="AM287" s="832" t="str">
        <f t="shared" si="1034"/>
        <v>X</v>
      </c>
      <c r="AN287" s="366" t="str">
        <f t="shared" si="1035"/>
        <v/>
      </c>
      <c r="AO287" s="366" t="str">
        <f t="shared" si="1036"/>
        <v/>
      </c>
      <c r="AP287" s="366" t="str">
        <f t="shared" si="1037"/>
        <v/>
      </c>
      <c r="AQ287" s="366" t="str">
        <f t="shared" si="1038"/>
        <v/>
      </c>
      <c r="AR287" s="833" t="str">
        <f t="shared" si="1039"/>
        <v/>
      </c>
      <c r="AT287" s="1062"/>
      <c r="AY287" s="4"/>
    </row>
    <row r="288" spans="1:51" ht="13.9" customHeight="1" x14ac:dyDescent="0.25">
      <c r="A288" s="846">
        <f>Chem!A288</f>
        <v>286</v>
      </c>
      <c r="B288" s="1578" t="str">
        <f>Chem!B288</f>
        <v>Dichloroprop</v>
      </c>
      <c r="C288" s="946" t="str">
        <f t="shared" si="906"/>
        <v>na</v>
      </c>
      <c r="D288" s="463" t="str">
        <f t="shared" si="907"/>
        <v>na</v>
      </c>
      <c r="E288" s="1220" t="str">
        <f t="shared" si="908"/>
        <v>na</v>
      </c>
      <c r="F288" s="1220" t="str">
        <f t="shared" si="909"/>
        <v>na</v>
      </c>
      <c r="G288" s="463"/>
      <c r="H288" s="1222" t="str">
        <f>'SL-Det'!E288</f>
        <v>na</v>
      </c>
      <c r="I288" s="231" t="str">
        <f>Leach!F288</f>
        <v>na</v>
      </c>
      <c r="J288" s="231" t="str">
        <f>Leach!I288</f>
        <v>na</v>
      </c>
      <c r="K288" s="231" t="str">
        <f>Leach!L288</f>
        <v>na</v>
      </c>
      <c r="L288" s="476" t="str">
        <f>Leach!G288</f>
        <v>na</v>
      </c>
      <c r="M288" s="476" t="str">
        <f>Leach!J288</f>
        <v>na</v>
      </c>
      <c r="N288" s="476" t="str">
        <f>Leach!M288</f>
        <v>na</v>
      </c>
      <c r="O288" s="488" t="str">
        <f>'SD-Det'!Z288</f>
        <v>na</v>
      </c>
      <c r="P288" s="492" t="str">
        <f>'SL-Det'!I288</f>
        <v>na</v>
      </c>
      <c r="Q288" s="970" t="s">
        <v>232</v>
      </c>
      <c r="S288" s="832" t="str">
        <f t="shared" si="1014"/>
        <v/>
      </c>
      <c r="T288" s="366" t="str">
        <f t="shared" si="1015"/>
        <v/>
      </c>
      <c r="U288" s="366" t="str">
        <f t="shared" si="1016"/>
        <v/>
      </c>
      <c r="V288" s="366" t="str">
        <f t="shared" si="1017"/>
        <v/>
      </c>
      <c r="W288" s="366" t="str">
        <f t="shared" si="1018"/>
        <v/>
      </c>
      <c r="X288" s="366" t="str">
        <f t="shared" si="1019"/>
        <v/>
      </c>
      <c r="Y288" s="989" t="str">
        <f t="shared" si="1020"/>
        <v/>
      </c>
      <c r="Z288" s="832" t="str">
        <f t="shared" si="1021"/>
        <v/>
      </c>
      <c r="AA288" s="366" t="str">
        <f t="shared" si="1022"/>
        <v/>
      </c>
      <c r="AB288" s="366" t="str">
        <f t="shared" si="1023"/>
        <v/>
      </c>
      <c r="AC288" s="366" t="str">
        <f t="shared" si="1024"/>
        <v/>
      </c>
      <c r="AD288" s="366" t="str">
        <f t="shared" si="1025"/>
        <v/>
      </c>
      <c r="AE288" s="366" t="str">
        <f t="shared" si="1026"/>
        <v/>
      </c>
      <c r="AF288" s="833" t="str">
        <f t="shared" si="1027"/>
        <v/>
      </c>
      <c r="AG288" s="832" t="str">
        <f t="shared" si="1028"/>
        <v/>
      </c>
      <c r="AH288" s="366" t="str">
        <f t="shared" si="1029"/>
        <v/>
      </c>
      <c r="AI288" s="366" t="str">
        <f t="shared" si="1030"/>
        <v/>
      </c>
      <c r="AJ288" s="366" t="str">
        <f t="shared" si="1031"/>
        <v/>
      </c>
      <c r="AK288" s="366" t="str">
        <f t="shared" si="1032"/>
        <v/>
      </c>
      <c r="AL288" s="833" t="str">
        <f t="shared" si="1033"/>
        <v/>
      </c>
      <c r="AM288" s="832" t="str">
        <f t="shared" si="1034"/>
        <v/>
      </c>
      <c r="AN288" s="366" t="str">
        <f t="shared" si="1035"/>
        <v/>
      </c>
      <c r="AO288" s="366" t="str">
        <f t="shared" si="1036"/>
        <v/>
      </c>
      <c r="AP288" s="366" t="str">
        <f t="shared" si="1037"/>
        <v/>
      </c>
      <c r="AQ288" s="366" t="str">
        <f t="shared" si="1038"/>
        <v/>
      </c>
      <c r="AR288" s="833" t="str">
        <f t="shared" si="1039"/>
        <v/>
      </c>
      <c r="AT288" s="1062"/>
      <c r="AY288" s="4"/>
    </row>
    <row r="289" spans="1:51" ht="13.9" customHeight="1" x14ac:dyDescent="0.25">
      <c r="A289" s="846">
        <f>Chem!A289</f>
        <v>287</v>
      </c>
      <c r="B289" s="1578" t="str">
        <f>Chem!B289</f>
        <v>Dinoseb</v>
      </c>
      <c r="C289" s="946">
        <f t="shared" si="906"/>
        <v>0.62860022619787415</v>
      </c>
      <c r="D289" s="463">
        <f t="shared" si="907"/>
        <v>3.2036666666666672E-2</v>
      </c>
      <c r="E289" s="1220">
        <f t="shared" si="908"/>
        <v>80</v>
      </c>
      <c r="F289" s="1220">
        <f t="shared" si="909"/>
        <v>80</v>
      </c>
      <c r="G289" s="463"/>
      <c r="H289" s="1222">
        <f>'SL-Det'!E289</f>
        <v>80</v>
      </c>
      <c r="I289" s="231">
        <f>Leach!F289</f>
        <v>0.62860022619787415</v>
      </c>
      <c r="J289" s="231" t="str">
        <f>Leach!I289</f>
        <v>na</v>
      </c>
      <c r="K289" s="231" t="str">
        <f>Leach!L289</f>
        <v>na</v>
      </c>
      <c r="L289" s="476">
        <f>Leach!G289</f>
        <v>3.2036666666666672E-2</v>
      </c>
      <c r="M289" s="476" t="str">
        <f>Leach!J289</f>
        <v>na</v>
      </c>
      <c r="N289" s="476" t="str">
        <f>Leach!M289</f>
        <v>na</v>
      </c>
      <c r="O289" s="488" t="str">
        <f>'SD-Det'!Z289</f>
        <v>na</v>
      </c>
      <c r="P289" s="492" t="str">
        <f>'SL-Det'!I289</f>
        <v>na</v>
      </c>
      <c r="Q289" s="970" t="s">
        <v>232</v>
      </c>
      <c r="S289" s="832" t="str">
        <f t="shared" si="1014"/>
        <v/>
      </c>
      <c r="T289" s="366" t="str">
        <f t="shared" si="1015"/>
        <v>X</v>
      </c>
      <c r="U289" s="366" t="str">
        <f t="shared" si="1016"/>
        <v/>
      </c>
      <c r="V289" s="366" t="str">
        <f t="shared" si="1017"/>
        <v/>
      </c>
      <c r="W289" s="366" t="str">
        <f t="shared" si="1018"/>
        <v/>
      </c>
      <c r="X289" s="366" t="str">
        <f t="shared" si="1019"/>
        <v/>
      </c>
      <c r="Y289" s="989" t="str">
        <f t="shared" si="1020"/>
        <v/>
      </c>
      <c r="Z289" s="832" t="str">
        <f t="shared" si="1021"/>
        <v/>
      </c>
      <c r="AA289" s="366" t="str">
        <f t="shared" si="1022"/>
        <v>X</v>
      </c>
      <c r="AB289" s="366" t="str">
        <f t="shared" si="1023"/>
        <v/>
      </c>
      <c r="AC289" s="366" t="str">
        <f t="shared" si="1024"/>
        <v/>
      </c>
      <c r="AD289" s="366" t="str">
        <f t="shared" si="1025"/>
        <v/>
      </c>
      <c r="AE289" s="366" t="str">
        <f t="shared" si="1026"/>
        <v/>
      </c>
      <c r="AF289" s="833" t="str">
        <f t="shared" si="1027"/>
        <v/>
      </c>
      <c r="AG289" s="832" t="str">
        <f t="shared" si="1028"/>
        <v>X</v>
      </c>
      <c r="AH289" s="366" t="str">
        <f t="shared" si="1029"/>
        <v/>
      </c>
      <c r="AI289" s="366" t="str">
        <f t="shared" si="1030"/>
        <v/>
      </c>
      <c r="AJ289" s="366" t="str">
        <f t="shared" si="1031"/>
        <v/>
      </c>
      <c r="AK289" s="366" t="str">
        <f t="shared" si="1032"/>
        <v/>
      </c>
      <c r="AL289" s="833" t="str">
        <f t="shared" si="1033"/>
        <v/>
      </c>
      <c r="AM289" s="832" t="str">
        <f t="shared" si="1034"/>
        <v>X</v>
      </c>
      <c r="AN289" s="366" t="str">
        <f t="shared" si="1035"/>
        <v/>
      </c>
      <c r="AO289" s="366" t="str">
        <f t="shared" si="1036"/>
        <v/>
      </c>
      <c r="AP289" s="366" t="str">
        <f t="shared" si="1037"/>
        <v/>
      </c>
      <c r="AQ289" s="366" t="str">
        <f t="shared" si="1038"/>
        <v/>
      </c>
      <c r="AR289" s="833" t="str">
        <f t="shared" si="1039"/>
        <v/>
      </c>
      <c r="AT289" s="1062"/>
      <c r="AY289" s="4"/>
    </row>
    <row r="290" spans="1:51" ht="13.9" customHeight="1" x14ac:dyDescent="0.25">
      <c r="A290" s="846">
        <f>Chem!A290</f>
        <v>288</v>
      </c>
      <c r="B290" s="1578" t="str">
        <f>Chem!B290</f>
        <v>2-Methyl-4-chlorophenoxy acetic acid (MCPA)</v>
      </c>
      <c r="C290" s="946">
        <f t="shared" si="906"/>
        <v>3.6736000753992908E-2</v>
      </c>
      <c r="D290" s="463">
        <f t="shared" si="907"/>
        <v>2.5301333333333335E-3</v>
      </c>
      <c r="E290" s="1220">
        <f t="shared" si="908"/>
        <v>40</v>
      </c>
      <c r="F290" s="1220">
        <f t="shared" si="909"/>
        <v>40</v>
      </c>
      <c r="G290" s="463"/>
      <c r="H290" s="1222">
        <f>'SL-Det'!E290</f>
        <v>40</v>
      </c>
      <c r="I290" s="231">
        <f>Leach!F290</f>
        <v>3.6736000753992908E-2</v>
      </c>
      <c r="J290" s="231" t="str">
        <f>Leach!I290</f>
        <v>na</v>
      </c>
      <c r="K290" s="231" t="str">
        <f>Leach!L290</f>
        <v>na</v>
      </c>
      <c r="L290" s="476">
        <f>Leach!G290</f>
        <v>2.5301333333333335E-3</v>
      </c>
      <c r="M290" s="476" t="str">
        <f>Leach!J290</f>
        <v>na</v>
      </c>
      <c r="N290" s="476" t="str">
        <f>Leach!M290</f>
        <v>na</v>
      </c>
      <c r="O290" s="488" t="str">
        <f>'SD-Det'!Z290</f>
        <v>na</v>
      </c>
      <c r="P290" s="492" t="str">
        <f>'SL-Det'!I290</f>
        <v>na</v>
      </c>
      <c r="Q290" s="970" t="s">
        <v>232</v>
      </c>
      <c r="S290" s="832" t="str">
        <f t="shared" si="1014"/>
        <v/>
      </c>
      <c r="T290" s="366" t="str">
        <f t="shared" si="1015"/>
        <v>X</v>
      </c>
      <c r="U290" s="366" t="str">
        <f t="shared" si="1016"/>
        <v/>
      </c>
      <c r="V290" s="366" t="str">
        <f t="shared" si="1017"/>
        <v/>
      </c>
      <c r="W290" s="366" t="str">
        <f t="shared" si="1018"/>
        <v/>
      </c>
      <c r="X290" s="366" t="str">
        <f t="shared" si="1019"/>
        <v/>
      </c>
      <c r="Y290" s="989" t="str">
        <f t="shared" si="1020"/>
        <v/>
      </c>
      <c r="Z290" s="832" t="str">
        <f t="shared" si="1021"/>
        <v/>
      </c>
      <c r="AA290" s="366" t="str">
        <f t="shared" si="1022"/>
        <v>X</v>
      </c>
      <c r="AB290" s="366" t="str">
        <f t="shared" si="1023"/>
        <v/>
      </c>
      <c r="AC290" s="366" t="str">
        <f t="shared" si="1024"/>
        <v/>
      </c>
      <c r="AD290" s="366" t="str">
        <f t="shared" si="1025"/>
        <v/>
      </c>
      <c r="AE290" s="366" t="str">
        <f t="shared" si="1026"/>
        <v/>
      </c>
      <c r="AF290" s="833" t="str">
        <f t="shared" si="1027"/>
        <v/>
      </c>
      <c r="AG290" s="832" t="str">
        <f t="shared" si="1028"/>
        <v>X</v>
      </c>
      <c r="AH290" s="366" t="str">
        <f t="shared" si="1029"/>
        <v/>
      </c>
      <c r="AI290" s="366" t="str">
        <f t="shared" si="1030"/>
        <v/>
      </c>
      <c r="AJ290" s="366" t="str">
        <f t="shared" si="1031"/>
        <v/>
      </c>
      <c r="AK290" s="366" t="str">
        <f t="shared" si="1032"/>
        <v/>
      </c>
      <c r="AL290" s="833" t="str">
        <f t="shared" si="1033"/>
        <v/>
      </c>
      <c r="AM290" s="832" t="str">
        <f t="shared" si="1034"/>
        <v>X</v>
      </c>
      <c r="AN290" s="366" t="str">
        <f t="shared" si="1035"/>
        <v/>
      </c>
      <c r="AO290" s="366" t="str">
        <f t="shared" si="1036"/>
        <v/>
      </c>
      <c r="AP290" s="366" t="str">
        <f t="shared" si="1037"/>
        <v/>
      </c>
      <c r="AQ290" s="366" t="str">
        <f t="shared" si="1038"/>
        <v/>
      </c>
      <c r="AR290" s="833" t="str">
        <f t="shared" si="1039"/>
        <v/>
      </c>
      <c r="AT290" s="1062"/>
    </row>
    <row r="291" spans="1:51" ht="13.9" customHeight="1" thickBot="1" x14ac:dyDescent="0.3">
      <c r="A291" s="1662">
        <f>Chem!A291</f>
        <v>289</v>
      </c>
      <c r="B291" s="1579" t="str">
        <f>Chem!B291</f>
        <v>(2-Methyl-4-chlorophenol)2-propionic acid (MCPP)</v>
      </c>
      <c r="C291" s="949">
        <f t="shared" si="906"/>
        <v>7.9520020635595531E-2</v>
      </c>
      <c r="D291" s="466">
        <f t="shared" si="907"/>
        <v>5.3626666666666666E-3</v>
      </c>
      <c r="E291" s="1223">
        <f t="shared" si="908"/>
        <v>80</v>
      </c>
      <c r="F291" s="1223">
        <f t="shared" si="909"/>
        <v>80</v>
      </c>
      <c r="G291" s="466"/>
      <c r="H291" s="1225">
        <f>'SL-Det'!E291</f>
        <v>80</v>
      </c>
      <c r="I291" s="473">
        <f>Leach!F291</f>
        <v>7.9520020635595531E-2</v>
      </c>
      <c r="J291" s="473" t="str">
        <f>Leach!I291</f>
        <v>na</v>
      </c>
      <c r="K291" s="473" t="str">
        <f>Leach!L291</f>
        <v>na</v>
      </c>
      <c r="L291" s="482">
        <f>Leach!G291</f>
        <v>5.3626666666666666E-3</v>
      </c>
      <c r="M291" s="482" t="str">
        <f>Leach!J291</f>
        <v>na</v>
      </c>
      <c r="N291" s="482" t="str">
        <f>Leach!M291</f>
        <v>na</v>
      </c>
      <c r="O291" s="1193" t="str">
        <f>'SD-Det'!Z291</f>
        <v>na</v>
      </c>
      <c r="P291" s="1211" t="str">
        <f>'SL-Det'!I291</f>
        <v>na</v>
      </c>
      <c r="Q291" s="973" t="s">
        <v>232</v>
      </c>
      <c r="S291" s="832" t="str">
        <f t="shared" si="1014"/>
        <v/>
      </c>
      <c r="T291" s="366" t="str">
        <f t="shared" si="1015"/>
        <v>X</v>
      </c>
      <c r="U291" s="366" t="str">
        <f t="shared" si="1016"/>
        <v/>
      </c>
      <c r="V291" s="366" t="str">
        <f t="shared" si="1017"/>
        <v/>
      </c>
      <c r="W291" s="366" t="str">
        <f t="shared" si="1018"/>
        <v/>
      </c>
      <c r="X291" s="366" t="str">
        <f t="shared" si="1019"/>
        <v/>
      </c>
      <c r="Y291" s="989" t="str">
        <f t="shared" si="1020"/>
        <v/>
      </c>
      <c r="Z291" s="832" t="str">
        <f t="shared" si="1021"/>
        <v/>
      </c>
      <c r="AA291" s="366" t="str">
        <f t="shared" si="1022"/>
        <v>X</v>
      </c>
      <c r="AB291" s="366" t="str">
        <f t="shared" si="1023"/>
        <v/>
      </c>
      <c r="AC291" s="366" t="str">
        <f t="shared" si="1024"/>
        <v/>
      </c>
      <c r="AD291" s="366" t="str">
        <f t="shared" si="1025"/>
        <v/>
      </c>
      <c r="AE291" s="366" t="str">
        <f t="shared" si="1026"/>
        <v/>
      </c>
      <c r="AF291" s="833" t="str">
        <f t="shared" si="1027"/>
        <v/>
      </c>
      <c r="AG291" s="832" t="str">
        <f t="shared" si="1028"/>
        <v>X</v>
      </c>
      <c r="AH291" s="366" t="str">
        <f t="shared" si="1029"/>
        <v/>
      </c>
      <c r="AI291" s="366" t="str">
        <f t="shared" si="1030"/>
        <v/>
      </c>
      <c r="AJ291" s="366" t="str">
        <f t="shared" si="1031"/>
        <v/>
      </c>
      <c r="AK291" s="366" t="str">
        <f t="shared" si="1032"/>
        <v/>
      </c>
      <c r="AL291" s="833" t="str">
        <f t="shared" si="1033"/>
        <v/>
      </c>
      <c r="AM291" s="832" t="str">
        <f t="shared" si="1034"/>
        <v>X</v>
      </c>
      <c r="AN291" s="366" t="str">
        <f t="shared" si="1035"/>
        <v/>
      </c>
      <c r="AO291" s="366" t="str">
        <f t="shared" si="1036"/>
        <v/>
      </c>
      <c r="AP291" s="366" t="str">
        <f t="shared" si="1037"/>
        <v/>
      </c>
      <c r="AQ291" s="366" t="str">
        <f t="shared" si="1038"/>
        <v/>
      </c>
      <c r="AR291" s="833" t="str">
        <f t="shared" si="1039"/>
        <v/>
      </c>
      <c r="AT291" s="1065"/>
    </row>
    <row r="292" spans="1:51" ht="13.9" customHeight="1" thickTop="1" x14ac:dyDescent="0.25">
      <c r="B292" s="137"/>
      <c r="C292" s="138"/>
      <c r="D292" s="138"/>
      <c r="E292" s="138"/>
      <c r="F292" s="138"/>
      <c r="G292" s="138"/>
      <c r="R292" s="827" t="s">
        <v>440</v>
      </c>
      <c r="S292" s="981">
        <f t="shared" ref="S292:AR292" si="1040">COUNTIF(S$3:S$291,"X")</f>
        <v>3</v>
      </c>
      <c r="T292" s="981">
        <f t="shared" si="1040"/>
        <v>98</v>
      </c>
      <c r="U292" s="981">
        <f t="shared" si="1040"/>
        <v>72</v>
      </c>
      <c r="V292" s="981">
        <f t="shared" si="1040"/>
        <v>0</v>
      </c>
      <c r="W292" s="981">
        <f t="shared" si="1040"/>
        <v>31</v>
      </c>
      <c r="X292" s="981">
        <f t="shared" si="1040"/>
        <v>17</v>
      </c>
      <c r="Y292" s="981">
        <f t="shared" si="1040"/>
        <v>17</v>
      </c>
      <c r="Z292" s="981">
        <f t="shared" si="1040"/>
        <v>3</v>
      </c>
      <c r="AA292" s="981">
        <f t="shared" si="1040"/>
        <v>100</v>
      </c>
      <c r="AB292" s="981">
        <f t="shared" si="1040"/>
        <v>73</v>
      </c>
      <c r="AC292" s="981">
        <f t="shared" si="1040"/>
        <v>22</v>
      </c>
      <c r="AD292" s="981">
        <f t="shared" si="1040"/>
        <v>9</v>
      </c>
      <c r="AE292" s="981">
        <f t="shared" si="1040"/>
        <v>13</v>
      </c>
      <c r="AF292" s="981">
        <f t="shared" si="1040"/>
        <v>18</v>
      </c>
      <c r="AG292" s="981">
        <f t="shared" si="1040"/>
        <v>73</v>
      </c>
      <c r="AH292" s="981">
        <f t="shared" si="1040"/>
        <v>96</v>
      </c>
      <c r="AI292" s="981">
        <f t="shared" si="1040"/>
        <v>0</v>
      </c>
      <c r="AJ292" s="981">
        <f t="shared" si="1040"/>
        <v>31</v>
      </c>
      <c r="AK292" s="981">
        <f t="shared" si="1040"/>
        <v>21</v>
      </c>
      <c r="AL292" s="981">
        <f t="shared" si="1040"/>
        <v>15</v>
      </c>
      <c r="AM292" s="981">
        <f t="shared" si="1040"/>
        <v>72</v>
      </c>
      <c r="AN292" s="981">
        <f t="shared" si="1040"/>
        <v>98</v>
      </c>
      <c r="AO292" s="981">
        <f t="shared" si="1040"/>
        <v>22</v>
      </c>
      <c r="AP292" s="981">
        <f t="shared" si="1040"/>
        <v>9</v>
      </c>
      <c r="AQ292" s="981">
        <f t="shared" si="1040"/>
        <v>19</v>
      </c>
      <c r="AR292" s="981">
        <f t="shared" si="1040"/>
        <v>16</v>
      </c>
      <c r="AT292" s="968">
        <f>COUNTA(AT4:AT291)</f>
        <v>0</v>
      </c>
    </row>
    <row r="293" spans="1:51" ht="13.9" customHeight="1" x14ac:dyDescent="0.25">
      <c r="Y293" s="968"/>
      <c r="AF293" s="968"/>
      <c r="AL293" s="968"/>
      <c r="AR293" s="968"/>
    </row>
  </sheetData>
  <autoFilter ref="A2:AT292" xr:uid="{00000000-0009-0000-0000-000002000000}"/>
  <mergeCells count="4">
    <mergeCell ref="S1:Y1"/>
    <mergeCell ref="Z1:AF1"/>
    <mergeCell ref="AM1:AR1"/>
    <mergeCell ref="AG1:AL1"/>
  </mergeCells>
  <pageMargins left="0.7" right="0.7" top="0.75" bottom="0.75" header="0.3" footer="0.3"/>
  <pageSetup orientation="portrait" r:id="rId1"/>
  <headerFooter scaleWithDoc="0">
    <oddFooter>&amp;LDecember 1, 2018&amp;CLDW Soil PCUL Summary&amp;RPage &amp;P of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S43"/>
  <sheetViews>
    <sheetView workbookViewId="0">
      <selection activeCell="B6" sqref="B6"/>
    </sheetView>
  </sheetViews>
  <sheetFormatPr defaultColWidth="9.140625" defaultRowHeight="12.75" x14ac:dyDescent="0.2"/>
  <cols>
    <col min="1" max="1" width="33" style="2404" customWidth="1"/>
    <col min="2" max="14" width="11.42578125" style="2404" customWidth="1"/>
    <col min="15" max="15" width="12.28515625" style="2404" bestFit="1" customWidth="1"/>
    <col min="16" max="26" width="11.42578125" style="2404" customWidth="1"/>
    <col min="27" max="16384" width="9.140625" style="2404"/>
  </cols>
  <sheetData>
    <row r="1" spans="1:12" x14ac:dyDescent="0.2">
      <c r="A1" s="2515" t="s">
        <v>1704</v>
      </c>
    </row>
    <row r="3" spans="1:12" x14ac:dyDescent="0.2">
      <c r="A3" s="2405" t="s">
        <v>543</v>
      </c>
    </row>
    <row r="4" spans="1:12" x14ac:dyDescent="0.2">
      <c r="A4" s="2406" t="s">
        <v>544</v>
      </c>
      <c r="B4" s="2406"/>
      <c r="C4" s="2406"/>
      <c r="D4" s="2406"/>
      <c r="E4" s="2406"/>
      <c r="F4" s="2406"/>
    </row>
    <row r="5" spans="1:12" x14ac:dyDescent="0.2">
      <c r="A5" s="2407" t="s">
        <v>587</v>
      </c>
      <c r="B5" s="2407"/>
      <c r="C5" s="2407"/>
      <c r="D5" s="2407"/>
      <c r="E5" s="2407"/>
      <c r="F5" s="2407"/>
    </row>
    <row r="6" spans="1:12" x14ac:dyDescent="0.2">
      <c r="A6" s="2407" t="s">
        <v>579</v>
      </c>
      <c r="B6" s="2407"/>
      <c r="C6" s="2407"/>
      <c r="D6" s="2407"/>
      <c r="E6" s="2407"/>
      <c r="F6" s="2407"/>
    </row>
    <row r="7" spans="1:12" x14ac:dyDescent="0.2">
      <c r="A7" s="2407" t="s">
        <v>589</v>
      </c>
      <c r="B7" s="2407"/>
      <c r="C7" s="2407"/>
      <c r="D7" s="2407"/>
      <c r="E7" s="2407"/>
      <c r="F7" s="2407"/>
    </row>
    <row r="8" spans="1:12" x14ac:dyDescent="0.2">
      <c r="A8" s="2418" t="s">
        <v>578</v>
      </c>
      <c r="B8" s="2418"/>
      <c r="C8" s="2418"/>
      <c r="D8" s="2418"/>
      <c r="E8" s="2418"/>
      <c r="F8" s="2418"/>
    </row>
    <row r="9" spans="1:12" x14ac:dyDescent="0.2">
      <c r="A9" s="2405"/>
    </row>
    <row r="10" spans="1:12" x14ac:dyDescent="0.2">
      <c r="A10" s="2405" t="s">
        <v>545</v>
      </c>
      <c r="B10" s="2410"/>
      <c r="C10" s="2410"/>
      <c r="D10" s="2410"/>
      <c r="H10" s="2411"/>
      <c r="I10" s="2411"/>
      <c r="J10" s="2411"/>
      <c r="K10" s="2411"/>
      <c r="L10" s="2411"/>
    </row>
    <row r="11" spans="1:12" ht="13.5" thickBot="1" x14ac:dyDescent="0.25">
      <c r="A11" s="2422" t="s">
        <v>472</v>
      </c>
      <c r="B11" s="2423" t="s">
        <v>471</v>
      </c>
      <c r="C11" s="2450" t="s">
        <v>546</v>
      </c>
      <c r="D11" s="2450" t="s">
        <v>547</v>
      </c>
      <c r="E11" s="2422" t="s">
        <v>539</v>
      </c>
      <c r="H11" s="2411"/>
      <c r="I11" s="2411"/>
      <c r="J11" s="2411"/>
      <c r="K11" s="2411"/>
      <c r="L11" s="2411"/>
    </row>
    <row r="12" spans="1:12" ht="13.5" thickTop="1" x14ac:dyDescent="0.2">
      <c r="A12" s="2441" t="s">
        <v>91</v>
      </c>
      <c r="B12" s="2451" t="s">
        <v>30</v>
      </c>
      <c r="C12" s="2451">
        <v>2</v>
      </c>
      <c r="D12" s="2451">
        <v>4</v>
      </c>
      <c r="E12" s="2452" t="s">
        <v>444</v>
      </c>
      <c r="H12" s="2411"/>
      <c r="I12" s="2413"/>
      <c r="J12" s="2413"/>
      <c r="K12" s="2411"/>
      <c r="L12" s="2411"/>
    </row>
    <row r="13" spans="1:12" x14ac:dyDescent="0.2">
      <c r="A13" s="2407" t="s">
        <v>449</v>
      </c>
      <c r="B13" s="2425" t="s">
        <v>44</v>
      </c>
      <c r="C13" s="2428">
        <f>Eqtn!D413</f>
        <v>120</v>
      </c>
      <c r="D13" s="2428">
        <f>Eqtn!D413</f>
        <v>120</v>
      </c>
      <c r="E13" s="2407" t="s">
        <v>576</v>
      </c>
      <c r="H13" s="2411"/>
      <c r="I13" s="2411"/>
      <c r="J13" s="2411"/>
      <c r="K13" s="2413"/>
      <c r="L13" s="2413"/>
    </row>
    <row r="14" spans="1:12" x14ac:dyDescent="0.2">
      <c r="A14" s="2407" t="s">
        <v>548</v>
      </c>
      <c r="B14" s="2425" t="s">
        <v>92</v>
      </c>
      <c r="C14" s="2425">
        <f>Eqtn!D415</f>
        <v>200</v>
      </c>
      <c r="D14" s="2425">
        <f>Eqtn!D415</f>
        <v>200</v>
      </c>
      <c r="E14" s="2407" t="s">
        <v>576</v>
      </c>
      <c r="H14" s="2411"/>
      <c r="I14" s="2411"/>
      <c r="J14" s="2411"/>
      <c r="K14" s="2413"/>
      <c r="L14" s="2413"/>
    </row>
    <row r="15" spans="1:12" x14ac:dyDescent="0.2">
      <c r="A15" s="2407" t="s">
        <v>549</v>
      </c>
      <c r="B15" s="2425" t="s">
        <v>96</v>
      </c>
      <c r="C15" s="2428">
        <f>Eqtn!D416</f>
        <v>2200</v>
      </c>
      <c r="D15" s="2428">
        <f>Eqtn!D416</f>
        <v>2200</v>
      </c>
      <c r="E15" s="2407" t="s">
        <v>576</v>
      </c>
      <c r="H15" s="2411"/>
      <c r="I15" s="2411"/>
      <c r="J15" s="2411"/>
      <c r="K15" s="2411"/>
      <c r="L15" s="2411"/>
    </row>
    <row r="16" spans="1:12" x14ac:dyDescent="0.2">
      <c r="A16" s="2407" t="s">
        <v>550</v>
      </c>
      <c r="B16" s="2425" t="s">
        <v>97</v>
      </c>
      <c r="C16" s="2425">
        <f>Eqtn!D417</f>
        <v>0.2</v>
      </c>
      <c r="D16" s="2425">
        <f>Eqtn!D417</f>
        <v>0.2</v>
      </c>
      <c r="E16" s="2407" t="s">
        <v>576</v>
      </c>
      <c r="H16" s="2411"/>
      <c r="I16" s="2415"/>
      <c r="J16" s="2415"/>
      <c r="K16" s="2415"/>
      <c r="L16" s="2415"/>
    </row>
    <row r="17" spans="1:19" x14ac:dyDescent="0.2">
      <c r="A17" s="2407" t="s">
        <v>551</v>
      </c>
      <c r="B17" s="2425" t="s">
        <v>552</v>
      </c>
      <c r="C17" s="2425">
        <v>10</v>
      </c>
      <c r="D17" s="2425">
        <v>3</v>
      </c>
      <c r="E17" s="2407" t="s">
        <v>540</v>
      </c>
      <c r="H17" s="2411"/>
      <c r="I17" s="2415"/>
      <c r="J17" s="2415"/>
      <c r="K17" s="2415"/>
      <c r="L17" s="2415"/>
    </row>
    <row r="18" spans="1:19" x14ac:dyDescent="0.2">
      <c r="A18" s="2404" t="s">
        <v>466</v>
      </c>
      <c r="B18" s="2410" t="s">
        <v>87</v>
      </c>
      <c r="C18" s="2410">
        <f>Eqtn!D411</f>
        <v>16</v>
      </c>
      <c r="D18" s="2410">
        <f>Eqtn!D411</f>
        <v>16</v>
      </c>
      <c r="E18" s="2418" t="s">
        <v>576</v>
      </c>
      <c r="H18" s="2411"/>
      <c r="I18" s="2415"/>
      <c r="J18" s="2415"/>
      <c r="K18" s="2415"/>
      <c r="L18" s="2415"/>
    </row>
    <row r="19" spans="1:19" x14ac:dyDescent="0.2">
      <c r="A19" s="2406" t="s">
        <v>553</v>
      </c>
      <c r="B19" s="2416" t="s">
        <v>554</v>
      </c>
      <c r="C19" s="2417">
        <f t="shared" ref="C19:D19" si="0">C12*C13*C14*C17/C18</f>
        <v>30000</v>
      </c>
      <c r="D19" s="2417">
        <f t="shared" si="0"/>
        <v>18000</v>
      </c>
      <c r="E19" s="2406" t="s">
        <v>541</v>
      </c>
      <c r="O19" s="2411"/>
      <c r="P19" s="2411"/>
      <c r="Q19" s="2411"/>
      <c r="R19" s="2411"/>
      <c r="S19" s="2411"/>
    </row>
    <row r="20" spans="1:19" x14ac:dyDescent="0.2">
      <c r="A20" s="2418" t="s">
        <v>555</v>
      </c>
      <c r="B20" s="2419" t="s">
        <v>588</v>
      </c>
      <c r="C20" s="2420">
        <f t="shared" ref="C20:D20" si="1">C12*C13*C15*C16*C17/C18</f>
        <v>66000</v>
      </c>
      <c r="D20" s="2420">
        <f t="shared" si="1"/>
        <v>39600</v>
      </c>
      <c r="E20" s="2418" t="s">
        <v>542</v>
      </c>
      <c r="J20" s="2411"/>
      <c r="K20" s="2411"/>
      <c r="L20" s="2411"/>
      <c r="M20" s="2411"/>
      <c r="N20" s="2411"/>
      <c r="O20" s="2411"/>
      <c r="P20" s="2415"/>
      <c r="Q20" s="2415"/>
      <c r="R20" s="2415"/>
      <c r="S20" s="2415"/>
    </row>
    <row r="21" spans="1:19" x14ac:dyDescent="0.2">
      <c r="A21" s="2405"/>
      <c r="J21" s="2411"/>
      <c r="K21" s="2411"/>
      <c r="L21" s="2411"/>
      <c r="M21" s="2411"/>
      <c r="N21" s="2411"/>
      <c r="O21" s="2411"/>
      <c r="P21" s="2415"/>
      <c r="Q21" s="2415"/>
      <c r="R21" s="2415"/>
      <c r="S21" s="2415"/>
    </row>
    <row r="22" spans="1:19" x14ac:dyDescent="0.2">
      <c r="A22" s="2405" t="s">
        <v>556</v>
      </c>
      <c r="B22" s="2410"/>
      <c r="C22" s="2421"/>
      <c r="D22" s="2410"/>
      <c r="E22" s="2421"/>
      <c r="F22" s="2410"/>
      <c r="J22" s="2411"/>
      <c r="K22" s="2411"/>
      <c r="L22" s="2411"/>
      <c r="M22" s="2411"/>
      <c r="N22" s="2411"/>
      <c r="O22" s="2411"/>
      <c r="P22" s="2415"/>
      <c r="Q22" s="2415"/>
      <c r="R22" s="2415"/>
      <c r="S22" s="2415"/>
    </row>
    <row r="23" spans="1:19" ht="13.5" thickBot="1" x14ac:dyDescent="0.25">
      <c r="A23" s="2422" t="s">
        <v>472</v>
      </c>
      <c r="B23" s="2423" t="s">
        <v>471</v>
      </c>
      <c r="C23" s="2423" t="s">
        <v>538</v>
      </c>
      <c r="D23" s="2423" t="s">
        <v>473</v>
      </c>
      <c r="E23" s="2424" t="s">
        <v>539</v>
      </c>
      <c r="F23" s="2423"/>
      <c r="O23" s="2409"/>
      <c r="P23" s="2409"/>
      <c r="Q23" s="2409"/>
      <c r="R23" s="2409"/>
      <c r="S23" s="2409"/>
    </row>
    <row r="24" spans="1:19" ht="13.5" thickTop="1" x14ac:dyDescent="0.2">
      <c r="A24" s="2407" t="s">
        <v>557</v>
      </c>
      <c r="B24" s="2425" t="s">
        <v>558</v>
      </c>
      <c r="C24" s="2426">
        <v>9.9999999999999995E-7</v>
      </c>
      <c r="D24" s="2427" t="s">
        <v>17</v>
      </c>
      <c r="E24" s="2407" t="s">
        <v>559</v>
      </c>
      <c r="F24" s="2407"/>
      <c r="O24" s="2409"/>
      <c r="P24" s="2409"/>
      <c r="Q24" s="2409"/>
      <c r="R24" s="2409"/>
      <c r="S24" s="2409"/>
    </row>
    <row r="25" spans="1:19" x14ac:dyDescent="0.2">
      <c r="A25" s="2407" t="s">
        <v>560</v>
      </c>
      <c r="B25" s="2425" t="s">
        <v>561</v>
      </c>
      <c r="C25" s="2426">
        <v>1.0000000000000001E-5</v>
      </c>
      <c r="D25" s="2427" t="s">
        <v>17</v>
      </c>
      <c r="E25" s="2407" t="s">
        <v>559</v>
      </c>
      <c r="F25" s="2407"/>
      <c r="O25" s="2409"/>
      <c r="P25" s="2409"/>
      <c r="Q25" s="2409"/>
      <c r="R25" s="2409"/>
      <c r="S25" s="2409"/>
    </row>
    <row r="26" spans="1:19" x14ac:dyDescent="0.2">
      <c r="A26" s="2407" t="s">
        <v>562</v>
      </c>
      <c r="B26" s="2425" t="s">
        <v>20</v>
      </c>
      <c r="C26" s="2428">
        <f>Eqtn!D412</f>
        <v>27375</v>
      </c>
      <c r="D26" s="2425" t="s">
        <v>88</v>
      </c>
      <c r="E26" s="2407" t="s">
        <v>576</v>
      </c>
      <c r="F26" s="2407"/>
      <c r="O26" s="2409"/>
      <c r="P26" s="2409"/>
      <c r="Q26" s="2409"/>
      <c r="R26" s="2409"/>
      <c r="S26" s="2409"/>
    </row>
    <row r="27" spans="1:19" x14ac:dyDescent="0.2">
      <c r="A27" s="2418" t="s">
        <v>95</v>
      </c>
      <c r="B27" s="2419" t="s">
        <v>46</v>
      </c>
      <c r="C27" s="2429">
        <v>1000000</v>
      </c>
      <c r="D27" s="2430" t="s">
        <v>41</v>
      </c>
      <c r="E27" s="2431" t="s">
        <v>444</v>
      </c>
      <c r="F27" s="2431"/>
      <c r="O27" s="2409"/>
      <c r="P27" s="2409"/>
      <c r="Q27" s="2409"/>
      <c r="R27" s="2409"/>
      <c r="S27" s="2409"/>
    </row>
    <row r="28" spans="1:19" x14ac:dyDescent="0.2">
      <c r="A28" s="2405"/>
      <c r="O28" s="2409"/>
      <c r="P28" s="2409"/>
      <c r="Q28" s="2409"/>
      <c r="R28" s="2409"/>
      <c r="S28" s="2409"/>
    </row>
    <row r="29" spans="1:19" x14ac:dyDescent="0.2">
      <c r="A29" s="2405" t="s">
        <v>631</v>
      </c>
      <c r="B29" s="2410"/>
      <c r="C29" s="2410"/>
      <c r="D29" s="2410"/>
      <c r="E29" s="2410"/>
      <c r="F29" s="2410"/>
      <c r="G29" s="2410"/>
    </row>
    <row r="30" spans="1:19" x14ac:dyDescent="0.2">
      <c r="A30" s="2432"/>
      <c r="B30" s="2432"/>
      <c r="C30" s="2432"/>
      <c r="D30" s="2432"/>
      <c r="E30" s="2432"/>
      <c r="F30" s="2680" t="s">
        <v>563</v>
      </c>
      <c r="G30" s="2681"/>
      <c r="H30" s="2682"/>
      <c r="I30" s="2680" t="s">
        <v>564</v>
      </c>
      <c r="J30" s="2681"/>
      <c r="K30" s="2681"/>
    </row>
    <row r="31" spans="1:19" ht="39" thickBot="1" x14ac:dyDescent="0.25">
      <c r="A31" s="2433" t="s">
        <v>590</v>
      </c>
      <c r="B31" s="2434" t="s">
        <v>569</v>
      </c>
      <c r="C31" s="2434" t="s">
        <v>570</v>
      </c>
      <c r="D31" s="2434" t="s">
        <v>571</v>
      </c>
      <c r="E31" s="2434" t="s">
        <v>572</v>
      </c>
      <c r="F31" s="2435" t="s">
        <v>565</v>
      </c>
      <c r="G31" s="2434" t="s">
        <v>566</v>
      </c>
      <c r="H31" s="2434" t="s">
        <v>567</v>
      </c>
      <c r="I31" s="2435" t="s">
        <v>565</v>
      </c>
      <c r="J31" s="2434" t="s">
        <v>566</v>
      </c>
      <c r="K31" s="2434" t="s">
        <v>568</v>
      </c>
    </row>
    <row r="32" spans="1:19" ht="13.5" thickTop="1" x14ac:dyDescent="0.2">
      <c r="A32" s="2436" t="s">
        <v>3</v>
      </c>
      <c r="B32" s="2437">
        <f>Param!V30</f>
        <v>0.16</v>
      </c>
      <c r="C32" s="2437">
        <f>Param!X30</f>
        <v>6.3999999999999995</v>
      </c>
      <c r="D32" s="2438">
        <f>Param!AD30</f>
        <v>1</v>
      </c>
      <c r="E32" s="2439">
        <f>Param!AE30</f>
        <v>0</v>
      </c>
      <c r="F32" s="2440">
        <f>IF(ISNUMBER($B32),$C$24*$C$26*$C$27/($D32*$B32*($C$19+$D$19)),"na")</f>
        <v>3.564453125</v>
      </c>
      <c r="G32" s="2437" t="str">
        <f>IF($E32=0,"na",IF(ISNUMBER($C32),$C$24*$C$26*$C$27/($E32*$C32*($C$20+$D$20)),"na"))</f>
        <v>na</v>
      </c>
      <c r="H32" s="2437">
        <f>IF(G32="na",F32,IF(F32="na",G32,1/(1/F32+1/G32)))</f>
        <v>3.564453125</v>
      </c>
      <c r="I32" s="2440">
        <f>IF(ISNUMBER($B32),$C$25*$C$26*$C$27/($D32*$B32*($C$19+$D$19)),"na")</f>
        <v>35.644531250000007</v>
      </c>
      <c r="J32" s="2437" t="str">
        <f>IF($E32=0,"na",IF(ISNUMBER($C32),$C$25*$C$26*$C$27/($E32*$C32*($C$20+$D$20)),"na"))</f>
        <v>na</v>
      </c>
      <c r="K32" s="2437">
        <f>IF(J32="na",I32,IF(I32="na",J32,1/(1/I32+1/J32)))</f>
        <v>35.644531250000007</v>
      </c>
      <c r="L32" s="2404" t="s">
        <v>677</v>
      </c>
      <c r="M32" s="2421"/>
      <c r="N32" s="2421"/>
      <c r="O32" s="2421"/>
    </row>
    <row r="33" spans="1:15" x14ac:dyDescent="0.2">
      <c r="A33" s="2441" t="s">
        <v>4</v>
      </c>
      <c r="B33" s="2442">
        <f>Param!V61</f>
        <v>1</v>
      </c>
      <c r="C33" s="2442">
        <f>Param!X61</f>
        <v>1</v>
      </c>
      <c r="D33" s="2443">
        <f>Param!AD61</f>
        <v>1</v>
      </c>
      <c r="E33" s="2443">
        <f>Param!AE61</f>
        <v>0.13</v>
      </c>
      <c r="F33" s="2444">
        <f t="shared" ref="F33" si="2">IF(ISNUMBER($B33),$C$24*$C$26*$C$27/($D33*$B33*($C$19+$D$19)),"na")</f>
        <v>0.5703125</v>
      </c>
      <c r="G33" s="2442">
        <f t="shared" ref="G33" si="3">IF($E33=0,"na",IF(ISNUMBER($C33),$C$24*$C$26*$C$27/($E33*$C33*($C$20+$D$20)),"na"))</f>
        <v>1.9940996503496504</v>
      </c>
      <c r="H33" s="2442">
        <f t="shared" ref="H33" si="4">IF(G33="na",F33,IF(F33="na",G33,1/(1/F33+1/G33)))</f>
        <v>0.44347783825816495</v>
      </c>
      <c r="I33" s="2444">
        <f t="shared" ref="I33" si="5">IF(ISNUMBER($B33),$C$25*$C$26*$C$27/($D33*$B33*($C$19+$D$19)),"na")</f>
        <v>5.7031250000000009</v>
      </c>
      <c r="J33" s="2442">
        <f t="shared" ref="J33" si="6">IF($E33=0,"na",IF(ISNUMBER($C33),$C$25*$C$26*$C$27/($E33*$C33*($C$20+$D$20)),"na"))</f>
        <v>19.940996503496507</v>
      </c>
      <c r="K33" s="2442">
        <f t="shared" ref="K33" si="7">IF(J33="na",I33,IF(I33="na",J33,1/(1/I33+1/J33)))</f>
        <v>4.4347783825816496</v>
      </c>
      <c r="M33" s="2421"/>
      <c r="N33" s="2421"/>
      <c r="O33" s="2421"/>
    </row>
    <row r="34" spans="1:15" x14ac:dyDescent="0.2">
      <c r="A34" s="2445" t="s">
        <v>539</v>
      </c>
      <c r="B34" s="2446" t="s">
        <v>577</v>
      </c>
      <c r="C34" s="2446" t="s">
        <v>577</v>
      </c>
      <c r="D34" s="2446" t="s">
        <v>577</v>
      </c>
      <c r="E34" s="2446" t="s">
        <v>577</v>
      </c>
      <c r="F34" s="2447" t="s">
        <v>573</v>
      </c>
      <c r="G34" s="2448" t="s">
        <v>574</v>
      </c>
      <c r="H34" s="2448" t="s">
        <v>575</v>
      </c>
      <c r="I34" s="2447" t="s">
        <v>573</v>
      </c>
      <c r="J34" s="2448" t="s">
        <v>574</v>
      </c>
      <c r="K34" s="2448" t="s">
        <v>575</v>
      </c>
    </row>
    <row r="36" spans="1:15" x14ac:dyDescent="0.2">
      <c r="A36" s="2405" t="s">
        <v>580</v>
      </c>
    </row>
    <row r="37" spans="1:15" x14ac:dyDescent="0.2">
      <c r="A37" s="2404" t="s">
        <v>582</v>
      </c>
    </row>
    <row r="38" spans="1:15" x14ac:dyDescent="0.2">
      <c r="A38" s="2404" t="s">
        <v>581</v>
      </c>
    </row>
    <row r="39" spans="1:15" x14ac:dyDescent="0.2">
      <c r="A39" s="2404" t="s">
        <v>583</v>
      </c>
    </row>
    <row r="40" spans="1:15" x14ac:dyDescent="0.2">
      <c r="A40" s="2404" t="s">
        <v>584</v>
      </c>
    </row>
    <row r="42" spans="1:15" x14ac:dyDescent="0.2">
      <c r="A42" s="2405" t="s">
        <v>585</v>
      </c>
    </row>
    <row r="43" spans="1:15" ht="30.75" customHeight="1" x14ac:dyDescent="0.2">
      <c r="A43" s="2668" t="s">
        <v>586</v>
      </c>
      <c r="B43" s="2668"/>
      <c r="C43" s="2668"/>
      <c r="D43" s="2668"/>
      <c r="E43" s="2668"/>
      <c r="F43" s="2668"/>
      <c r="G43" s="2668"/>
      <c r="H43" s="2668"/>
      <c r="I43" s="2668"/>
      <c r="J43" s="2668"/>
      <c r="K43" s="2668"/>
    </row>
  </sheetData>
  <mergeCells count="3">
    <mergeCell ref="A43:K43"/>
    <mergeCell ref="I30:K30"/>
    <mergeCell ref="F30:H3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S292"/>
  <sheetViews>
    <sheetView zoomScaleNormal="100" workbookViewId="0">
      <pane xSplit="2" ySplit="2" topLeftCell="C256" activePane="bottomRight" state="frozen"/>
      <selection pane="topRight" activeCell="B1" sqref="B1"/>
      <selection pane="bottomLeft" activeCell="A3" sqref="A3"/>
      <selection pane="bottomRight" activeCell="C267" sqref="C267"/>
    </sheetView>
  </sheetViews>
  <sheetFormatPr defaultColWidth="8.85546875" defaultRowHeight="13.9" customHeight="1" x14ac:dyDescent="0.25"/>
  <cols>
    <col min="1" max="1" width="5.7109375" style="309" customWidth="1"/>
    <col min="2" max="2" width="34.28515625" style="304" customWidth="1"/>
    <col min="3" max="3" width="12.7109375" style="304" customWidth="1"/>
    <col min="4" max="4" width="12.28515625" style="304" customWidth="1"/>
    <col min="5" max="5" width="9.5703125" style="304" customWidth="1"/>
    <col min="6" max="6" width="9.7109375" style="304" customWidth="1"/>
    <col min="7" max="7" width="16.5703125" style="309" customWidth="1"/>
    <col min="8" max="8" width="12.42578125" style="304" customWidth="1"/>
    <col min="9" max="9" width="12.140625" style="304" customWidth="1"/>
    <col min="10" max="10" width="11.7109375" style="304" customWidth="1"/>
    <col min="11" max="15" width="15.5703125" style="304" customWidth="1"/>
    <col min="16" max="17" width="24.42578125" style="304" customWidth="1"/>
    <col min="18" max="18" width="4.7109375" style="304" customWidth="1"/>
    <col min="19" max="19" width="15.42578125" style="309" customWidth="1"/>
    <col min="20" max="16384" width="8.85546875" style="304"/>
  </cols>
  <sheetData>
    <row r="1" spans="1:19" s="247" customFormat="1" ht="13.9" customHeight="1" thickBot="1" x14ac:dyDescent="0.3">
      <c r="A1" s="267"/>
      <c r="B1" s="248" t="s">
        <v>1702</v>
      </c>
      <c r="G1" s="267"/>
      <c r="S1" s="267"/>
    </row>
    <row r="2" spans="1:19" s="361" customFormat="1" ht="61.9" customHeight="1" thickTop="1" thickBot="1" x14ac:dyDescent="0.25">
      <c r="A2" s="1709" t="s">
        <v>445</v>
      </c>
      <c r="B2" s="1735" t="s">
        <v>647</v>
      </c>
      <c r="C2" s="1738" t="s">
        <v>295</v>
      </c>
      <c r="D2" s="1738" t="s">
        <v>296</v>
      </c>
      <c r="E2" s="1740" t="s">
        <v>486</v>
      </c>
      <c r="F2" s="1738" t="s">
        <v>297</v>
      </c>
      <c r="G2" s="1738" t="s">
        <v>598</v>
      </c>
      <c r="H2" s="1738" t="s">
        <v>303</v>
      </c>
      <c r="I2" s="1738" t="s">
        <v>304</v>
      </c>
      <c r="J2" s="1727" t="s">
        <v>188</v>
      </c>
      <c r="K2" s="1738" t="s">
        <v>601</v>
      </c>
      <c r="L2" s="1738" t="s">
        <v>606</v>
      </c>
      <c r="M2" s="1738" t="s">
        <v>607</v>
      </c>
      <c r="N2" s="1727" t="s">
        <v>608</v>
      </c>
      <c r="O2" s="1727" t="s">
        <v>609</v>
      </c>
      <c r="P2" s="1727" t="s">
        <v>642</v>
      </c>
      <c r="Q2" s="1743" t="s">
        <v>643</v>
      </c>
      <c r="S2" s="1724" t="s">
        <v>465</v>
      </c>
    </row>
    <row r="3" spans="1:19" ht="13.9" customHeight="1" thickTop="1" x14ac:dyDescent="0.25">
      <c r="A3" s="907">
        <f>Chem!A3</f>
        <v>1</v>
      </c>
      <c r="B3" s="939" t="str">
        <f>Chem!B3</f>
        <v>PCBs</v>
      </c>
      <c r="C3" s="251"/>
      <c r="D3" s="251"/>
      <c r="E3" s="251"/>
      <c r="F3" s="251"/>
      <c r="G3" s="251"/>
      <c r="H3" s="303"/>
      <c r="I3" s="251"/>
      <c r="J3" s="251"/>
      <c r="K3" s="251"/>
      <c r="L3" s="1495"/>
      <c r="M3" s="1495"/>
      <c r="N3" s="1495"/>
      <c r="O3" s="321"/>
      <c r="P3" s="321"/>
      <c r="Q3" s="1507"/>
      <c r="S3" s="1061"/>
    </row>
    <row r="4" spans="1:19" ht="13.9" customHeight="1" x14ac:dyDescent="0.25">
      <c r="A4" s="842">
        <f>Chem!A4</f>
        <v>2</v>
      </c>
      <c r="B4" s="937" t="str">
        <f>Chem!B4</f>
        <v>Total PCB Aroclors</v>
      </c>
      <c r="C4" s="590" t="str">
        <f>'AR-Eq'!E4</f>
        <v>na</v>
      </c>
      <c r="D4" s="393">
        <f>'AR-Eq'!F4</f>
        <v>4.3859649122807015E-3</v>
      </c>
      <c r="E4" s="1298" t="str">
        <f>Param!AF4</f>
        <v>no</v>
      </c>
      <c r="F4" s="571">
        <f>IF(C4="na",IF(D4="na","na",D4),MIN(C4,D4))</f>
        <v>4.3859649122807015E-3</v>
      </c>
      <c r="G4" s="572" t="str">
        <f>IF(OR(F4="na",E4="no"),"na",F4/Eqtn!$D$387)</f>
        <v>na</v>
      </c>
      <c r="H4" s="305" t="str">
        <f>'AR-Eq'!G4</f>
        <v>na</v>
      </c>
      <c r="I4" s="305">
        <f>'AR-Eq'!H4</f>
        <v>4.3859649122807022E-2</v>
      </c>
      <c r="J4" s="692">
        <f>IF(H4="na",IF(I4="na","na",I4),MIN(H4,I4))</f>
        <v>4.3859649122807022E-2</v>
      </c>
      <c r="K4" s="698" t="str">
        <f>IF(OR(J4="na",$E4="no"),"na",J4/Eqtn!$D$387)</f>
        <v>na</v>
      </c>
      <c r="L4" s="698" t="str">
        <f>'AR-Eq'!I4</f>
        <v>na</v>
      </c>
      <c r="M4" s="698">
        <f>'AR-Eq'!J4</f>
        <v>2.0491228070175432E-2</v>
      </c>
      <c r="N4" s="692">
        <f>IF(L4="na",IF(M4="na","na",M4),MIN(L4,M4))</f>
        <v>2.0491228070175432E-2</v>
      </c>
      <c r="O4" s="1528" t="str">
        <f>IF(OR(N4="na",$E4="no"),"na",N4/Eqtn!$D$387)</f>
        <v>na</v>
      </c>
      <c r="P4" s="823" t="s">
        <v>232</v>
      </c>
      <c r="Q4" s="1535" t="s">
        <v>232</v>
      </c>
      <c r="S4" s="1062"/>
    </row>
    <row r="5" spans="1:19" ht="13.9" customHeight="1" x14ac:dyDescent="0.25">
      <c r="A5" s="842">
        <f>Chem!A5</f>
        <v>3</v>
      </c>
      <c r="B5" s="937" t="str">
        <f>Chem!B5</f>
        <v>Total PCB congeners</v>
      </c>
      <c r="C5" s="392" t="str">
        <f>'AR-Eq'!E5</f>
        <v>na</v>
      </c>
      <c r="D5" s="532">
        <f>'AR-Eq'!F5</f>
        <v>4.3859649122807015E-3</v>
      </c>
      <c r="E5" s="1299" t="str">
        <f>Param!AF5</f>
        <v>no</v>
      </c>
      <c r="F5" s="573">
        <f>IF(C5="na",IF(D5="na","na",D5),MIN(C5,D5))</f>
        <v>4.3859649122807015E-3</v>
      </c>
      <c r="G5" s="574" t="str">
        <f>IF(OR(F5="na",E5="no"),"na",F5/Eqtn!$D$387)</f>
        <v>na</v>
      </c>
      <c r="H5" s="306" t="str">
        <f>'AR-Eq'!G5</f>
        <v>na</v>
      </c>
      <c r="I5" s="306">
        <f>'AR-Eq'!H5</f>
        <v>4.3859649122807022E-2</v>
      </c>
      <c r="J5" s="693">
        <f>IF(H5="na",IF(I5="na","na",I5),MIN(H5,I5))</f>
        <v>4.3859649122807022E-2</v>
      </c>
      <c r="K5" s="699" t="str">
        <f>IF(OR(J5="na",E5="no"),"na",J5/Eqtn!$D$387)</f>
        <v>na</v>
      </c>
      <c r="L5" s="1496" t="str">
        <f>'AR-Eq'!I5</f>
        <v>na</v>
      </c>
      <c r="M5" s="699">
        <f>'AR-Eq'!J5</f>
        <v>2.0491228070175432E-2</v>
      </c>
      <c r="N5" s="699">
        <f t="shared" ref="N5:N6" si="0">IF(L5="na",IF(M5="na","na",M5),MIN(L5,M5))</f>
        <v>2.0491228070175432E-2</v>
      </c>
      <c r="O5" s="1529" t="str">
        <f>IF(OR(N5="na",$E5="no"),"na",N5/Eqtn!$D$387)</f>
        <v>na</v>
      </c>
      <c r="P5" s="1529" t="s">
        <v>232</v>
      </c>
      <c r="Q5" s="760" t="s">
        <v>232</v>
      </c>
      <c r="S5" s="1062"/>
    </row>
    <row r="6" spans="1:19" ht="13.9" customHeight="1" x14ac:dyDescent="0.25">
      <c r="A6" s="842">
        <f>Chem!A6</f>
        <v>4</v>
      </c>
      <c r="B6" s="937" t="str">
        <f>Chem!B6</f>
        <v>Total PCB TEQ</v>
      </c>
      <c r="C6" s="392">
        <f>'AR-Eq'!E6</f>
        <v>1.8285714285714288E-5</v>
      </c>
      <c r="D6" s="532">
        <f>'AR-Eq'!F6</f>
        <v>6.578947368421052E-8</v>
      </c>
      <c r="E6" s="1299" t="str">
        <f>Param!AF6</f>
        <v>no</v>
      </c>
      <c r="F6" s="573">
        <f>IF(C6="na",IF(D6="na","na",D6),MIN(C6,D6))</f>
        <v>6.578947368421052E-8</v>
      </c>
      <c r="G6" s="574" t="str">
        <f>IF(OR(F6="na",E6="no"),"na",F6/Eqtn!$D$387)</f>
        <v>na</v>
      </c>
      <c r="H6" s="306">
        <f>'AR-Eq'!G6</f>
        <v>4.0000000000000003E-5</v>
      </c>
      <c r="I6" s="306">
        <f>'AR-Eq'!H6</f>
        <v>6.5789473684210528E-7</v>
      </c>
      <c r="J6" s="693">
        <f>IF(H6="na",IF(I6="na","na",I6),MIN(H6,I6))</f>
        <v>6.5789473684210528E-7</v>
      </c>
      <c r="K6" s="699" t="str">
        <f>IF(OR(J6="na",E6="no"),"na",J6/Eqtn!$D$387)</f>
        <v>na</v>
      </c>
      <c r="L6" s="1499">
        <f>'AR-Eq'!I6</f>
        <v>1.5573333333333331E-4</v>
      </c>
      <c r="M6" s="1500">
        <f>'AR-Eq'!J6</f>
        <v>3.0736842105263147E-7</v>
      </c>
      <c r="N6" s="1500">
        <f t="shared" si="0"/>
        <v>3.0736842105263147E-7</v>
      </c>
      <c r="O6" s="1530" t="str">
        <f>IF(OR(N6="na",$E6="no"),"na",N6/Eqtn!$D$387)</f>
        <v>na</v>
      </c>
      <c r="P6" s="1530" t="s">
        <v>232</v>
      </c>
      <c r="Q6" s="1501" t="s">
        <v>232</v>
      </c>
      <c r="S6" s="1062"/>
    </row>
    <row r="7" spans="1:19" ht="13.9" customHeight="1" x14ac:dyDescent="0.25">
      <c r="A7" s="906">
        <f>Chem!A7</f>
        <v>5</v>
      </c>
      <c r="B7" s="939" t="str">
        <f>Chem!B7</f>
        <v xml:space="preserve">Dioxins/Furans </v>
      </c>
      <c r="C7" s="259"/>
      <c r="D7" s="259"/>
      <c r="E7" s="259"/>
      <c r="F7" s="259"/>
      <c r="G7" s="259"/>
      <c r="H7" s="259"/>
      <c r="I7" s="259"/>
      <c r="J7" s="259"/>
      <c r="K7" s="259"/>
      <c r="L7" s="259"/>
      <c r="M7" s="259"/>
      <c r="N7" s="259"/>
      <c r="O7" s="259"/>
      <c r="P7" s="259"/>
      <c r="Q7" s="1533"/>
      <c r="S7" s="1063"/>
    </row>
    <row r="8" spans="1:19" ht="13.9" customHeight="1" x14ac:dyDescent="0.25">
      <c r="A8" s="844">
        <f>Chem!A8</f>
        <v>6</v>
      </c>
      <c r="B8" s="937" t="str">
        <f>Chem!B8</f>
        <v>Total dioxin/furan TEQ</v>
      </c>
      <c r="C8" s="384">
        <f>'AR-Eq'!E8</f>
        <v>1.8285714285714288E-5</v>
      </c>
      <c r="D8" s="343">
        <f>'AR-Eq'!F8</f>
        <v>6.578947368421052E-8</v>
      </c>
      <c r="E8" s="1300" t="str">
        <f>Param!AF8</f>
        <v>no</v>
      </c>
      <c r="F8" s="573">
        <f>IF(C8="na",IF(D8="na","na",D8),MIN(C8,D8))</f>
        <v>6.578947368421052E-8</v>
      </c>
      <c r="G8" s="574" t="str">
        <f>IF(OR(F8="na",E8="no"),"na",F8/Eqtn!$D$387)</f>
        <v>na</v>
      </c>
      <c r="H8" s="306">
        <f>'AR-Eq'!G8</f>
        <v>4.0000000000000003E-5</v>
      </c>
      <c r="I8" s="306">
        <f>'AR-Eq'!H8</f>
        <v>6.5789473684210528E-7</v>
      </c>
      <c r="J8" s="693">
        <f>IF(H8="na",IF(I8="na","na",I8),MIN(H8,I8))</f>
        <v>6.5789473684210528E-7</v>
      </c>
      <c r="K8" s="699" t="str">
        <f>IF(OR(J8="na",E8="no"),"na",J8/Eqtn!$D$387)</f>
        <v>na</v>
      </c>
      <c r="L8" s="1503">
        <f>'AR-Eq'!I8</f>
        <v>1.5573333333333331E-4</v>
      </c>
      <c r="M8" s="1504">
        <f>'AR-Eq'!J8</f>
        <v>3.0736842105263147E-7</v>
      </c>
      <c r="N8" s="1504">
        <f t="shared" ref="N8:N11" si="1">IF(L8="na",IF(M8="na","na",M8),MIN(L8,M8))</f>
        <v>3.0736842105263147E-7</v>
      </c>
      <c r="O8" s="1531" t="str">
        <f>IF(OR(N8="na",$E8="no"),"na",N8/Eqtn!$D$387)</f>
        <v>na</v>
      </c>
      <c r="P8" s="1531" t="s">
        <v>232</v>
      </c>
      <c r="Q8" s="1505" t="s">
        <v>232</v>
      </c>
      <c r="S8" s="1062"/>
    </row>
    <row r="9" spans="1:19" ht="13.9" customHeight="1" x14ac:dyDescent="0.25">
      <c r="A9" s="845">
        <f>Chem!A9</f>
        <v>7</v>
      </c>
      <c r="B9" s="937" t="str">
        <f>Chem!B9</f>
        <v>2,3,7,8-TCDD</v>
      </c>
      <c r="C9" s="384">
        <f>'AR-Eq'!E9</f>
        <v>1.8285714285714288E-5</v>
      </c>
      <c r="D9" s="343">
        <f>'AR-Eq'!F9</f>
        <v>6.578947368421052E-8</v>
      </c>
      <c r="E9" s="1300" t="str">
        <f>Param!AF9</f>
        <v>no</v>
      </c>
      <c r="F9" s="573">
        <f>IF(C9="na",IF(D9="na","na",D9),MIN(C9,D9))</f>
        <v>6.578947368421052E-8</v>
      </c>
      <c r="G9" s="574" t="str">
        <f>IF(OR(F9="na",E9="no"),"na",F9/Eqtn!$D$387)</f>
        <v>na</v>
      </c>
      <c r="H9" s="306">
        <f>'AR-Eq'!G9</f>
        <v>4.0000000000000003E-5</v>
      </c>
      <c r="I9" s="306">
        <f>'AR-Eq'!H9</f>
        <v>6.5789473684210528E-7</v>
      </c>
      <c r="J9" s="693">
        <f>IF(H9="na",IF(I9="na","na",I9),MIN(H9,I9))</f>
        <v>6.5789473684210528E-7</v>
      </c>
      <c r="K9" s="699" t="str">
        <f>IF(OR(J9="na",E9="no"),"na",J9/Eqtn!$D$387)</f>
        <v>na</v>
      </c>
      <c r="L9" s="1496">
        <f>'AR-Eq'!I9</f>
        <v>1.5573333333333331E-4</v>
      </c>
      <c r="M9" s="699">
        <f>'AR-Eq'!J9</f>
        <v>3.0736842105263147E-7</v>
      </c>
      <c r="N9" s="699">
        <f t="shared" si="1"/>
        <v>3.0736842105263147E-7</v>
      </c>
      <c r="O9" s="1529" t="str">
        <f>IF(OR(N9="na",$E9="no"),"na",N9/Eqtn!$D$387)</f>
        <v>na</v>
      </c>
      <c r="P9" s="1529" t="s">
        <v>232</v>
      </c>
      <c r="Q9" s="760" t="s">
        <v>232</v>
      </c>
      <c r="S9" s="1062"/>
    </row>
    <row r="10" spans="1:19" s="247" customFormat="1" ht="13.9" customHeight="1" x14ac:dyDescent="0.2">
      <c r="A10" s="845">
        <f>Chem!A10</f>
        <v>8</v>
      </c>
      <c r="B10" s="937" t="str">
        <f>Chem!B10</f>
        <v>Total chlorinated dioxins</v>
      </c>
      <c r="C10" s="384" t="str">
        <f>'AR-Eq'!E10</f>
        <v>na</v>
      </c>
      <c r="D10" s="343" t="str">
        <f>'AR-Eq'!F10</f>
        <v>na</v>
      </c>
      <c r="E10" s="1300" t="str">
        <f>Param!AF10</f>
        <v>no</v>
      </c>
      <c r="F10" s="360" t="str">
        <f t="shared" ref="F10:F11" si="2">IF(C10="na",IF(D10="na","na",D10),MIN(C10,D10))</f>
        <v>na</v>
      </c>
      <c r="G10" s="360" t="str">
        <f>IF(OR(F10="na",E10="no"),"na",F10/Eqtn!$D$387)</f>
        <v>na</v>
      </c>
      <c r="H10" s="348" t="str">
        <f>'AR-Eq'!G10</f>
        <v>na</v>
      </c>
      <c r="I10" s="348" t="str">
        <f>'AR-Eq'!H10</f>
        <v>na</v>
      </c>
      <c r="J10" s="695" t="str">
        <f t="shared" ref="J10:J11" si="3">IF(H10="na",IF(I10="na","na",I10),MIN(H10,I10))</f>
        <v>na</v>
      </c>
      <c r="K10" s="348" t="str">
        <f>IF(OR(J10="na",E10="no"),"na",J10/Eqtn!$D$387)</f>
        <v>na</v>
      </c>
      <c r="L10" s="1497" t="str">
        <f>'AR-Eq'!I10</f>
        <v>na</v>
      </c>
      <c r="M10" s="348" t="str">
        <f>'AR-Eq'!J10</f>
        <v>na</v>
      </c>
      <c r="N10" s="348" t="str">
        <f t="shared" si="1"/>
        <v>na</v>
      </c>
      <c r="O10" s="695" t="str">
        <f>IF(OR(N10="na",$E10="no"),"na",N10/Eqtn!$D$387)</f>
        <v>na</v>
      </c>
      <c r="P10" s="695" t="s">
        <v>232</v>
      </c>
      <c r="Q10" s="367" t="s">
        <v>232</v>
      </c>
      <c r="S10" s="1064"/>
    </row>
    <row r="11" spans="1:19" s="247" customFormat="1" ht="13.9" customHeight="1" x14ac:dyDescent="0.2">
      <c r="A11" s="845">
        <f>Chem!A11</f>
        <v>9</v>
      </c>
      <c r="B11" s="937" t="str">
        <f>Chem!B11</f>
        <v>Total chlorinated furans</v>
      </c>
      <c r="C11" s="384" t="str">
        <f>'AR-Eq'!E11</f>
        <v>na</v>
      </c>
      <c r="D11" s="343" t="str">
        <f>'AR-Eq'!F11</f>
        <v>na</v>
      </c>
      <c r="E11" s="1300" t="str">
        <f>Param!AF11</f>
        <v>no</v>
      </c>
      <c r="F11" s="360" t="str">
        <f t="shared" si="2"/>
        <v>na</v>
      </c>
      <c r="G11" s="360" t="str">
        <f>IF(OR(F11="na",E11="no"),"na",F11/Eqtn!$D$387)</f>
        <v>na</v>
      </c>
      <c r="H11" s="348" t="str">
        <f>'AR-Eq'!G11</f>
        <v>na</v>
      </c>
      <c r="I11" s="348" t="str">
        <f>'AR-Eq'!H11</f>
        <v>na</v>
      </c>
      <c r="J11" s="695" t="str">
        <f t="shared" si="3"/>
        <v>na</v>
      </c>
      <c r="K11" s="348" t="str">
        <f>IF(OR(J11="na",E11="no"),"na",J11/Eqtn!$D$387)</f>
        <v>na</v>
      </c>
      <c r="L11" s="1502" t="str">
        <f>'AR-Eq'!I11</f>
        <v>na</v>
      </c>
      <c r="M11" s="723" t="str">
        <f>'AR-Eq'!J11</f>
        <v>na</v>
      </c>
      <c r="N11" s="723" t="str">
        <f t="shared" si="1"/>
        <v>na</v>
      </c>
      <c r="O11" s="1492" t="str">
        <f>IF(OR(N11="na",$E11="no"),"na",N11/Eqtn!$D$387)</f>
        <v>na</v>
      </c>
      <c r="P11" s="1492" t="s">
        <v>232</v>
      </c>
      <c r="Q11" s="724" t="s">
        <v>232</v>
      </c>
      <c r="S11" s="1064"/>
    </row>
    <row r="12" spans="1:19" s="247" customFormat="1" ht="13.9" customHeight="1" x14ac:dyDescent="0.25">
      <c r="A12" s="906">
        <f>Chem!A12</f>
        <v>10</v>
      </c>
      <c r="B12" s="939" t="str">
        <f>Chem!B12</f>
        <v>Inorganics</v>
      </c>
      <c r="C12" s="259"/>
      <c r="D12" s="259"/>
      <c r="E12" s="259"/>
      <c r="F12" s="259"/>
      <c r="G12" s="259"/>
      <c r="H12" s="259"/>
      <c r="I12" s="259"/>
      <c r="J12" s="259"/>
      <c r="K12" s="259"/>
      <c r="L12" s="259"/>
      <c r="M12" s="259"/>
      <c r="N12" s="259"/>
      <c r="O12" s="259"/>
      <c r="P12" s="259"/>
      <c r="Q12" s="1533"/>
      <c r="R12" s="304"/>
      <c r="S12" s="1063"/>
    </row>
    <row r="13" spans="1:19" s="247" customFormat="1" ht="13.9" customHeight="1" x14ac:dyDescent="0.25">
      <c r="A13" s="2076">
        <f>Chem!A13</f>
        <v>11</v>
      </c>
      <c r="B13" s="2077" t="str">
        <f>Chem!B13</f>
        <v>Ammonia</v>
      </c>
      <c r="C13" s="2064">
        <f>'AR-Eq'!E13</f>
        <v>228.57142857142856</v>
      </c>
      <c r="D13" s="2064" t="str">
        <f>'AR-Eq'!F13</f>
        <v>na</v>
      </c>
      <c r="E13" s="2082" t="str">
        <f>Param!AF13</f>
        <v>no</v>
      </c>
      <c r="F13" s="2055">
        <f t="shared" ref="F13:F14" si="4">IF(C13="na",IF(D13="na","na",D13),MIN(C13,D13))</f>
        <v>228.57142857142856</v>
      </c>
      <c r="G13" s="2055" t="str">
        <f>IF(OR(F13="na",E13="no"),"na",F13/Eqtn!$D$387)</f>
        <v>na</v>
      </c>
      <c r="H13" s="2051">
        <f>'AR-Eq'!G13</f>
        <v>500</v>
      </c>
      <c r="I13" s="2051" t="str">
        <f>'AR-Eq'!H13</f>
        <v>na</v>
      </c>
      <c r="J13" s="2051">
        <f t="shared" ref="J13:J14" si="5">IF(H13="na",IF(I13="na","na",I13),MIN(H13,I13))</f>
        <v>500</v>
      </c>
      <c r="K13" s="2051" t="str">
        <f>IF(OR(J13="na",E13="no"),"na",J13/Eqtn!$D$387)</f>
        <v>na</v>
      </c>
      <c r="L13" s="2051">
        <f>'AR-Eq'!I13</f>
        <v>1946.6666666666663</v>
      </c>
      <c r="M13" s="2051" t="str">
        <f>'AR-Eq'!J13</f>
        <v>na</v>
      </c>
      <c r="N13" s="2051">
        <f t="shared" ref="N13:N14" si="6">IF(L13="na",IF(M13="na","na",M13),MIN(L13,M13))</f>
        <v>1946.6666666666663</v>
      </c>
      <c r="O13" s="2051" t="str">
        <f>IF(OR(N13="na",$E13="no"),"na",N13/Eqtn!$D$387)</f>
        <v>na</v>
      </c>
      <c r="P13" s="2051" t="s">
        <v>232</v>
      </c>
      <c r="Q13" s="2078" t="s">
        <v>232</v>
      </c>
      <c r="S13" s="1062"/>
    </row>
    <row r="14" spans="1:19" s="247" customFormat="1" ht="13.9" customHeight="1" x14ac:dyDescent="0.25">
      <c r="A14" s="2079">
        <f>Chem!A14</f>
        <v>12</v>
      </c>
      <c r="B14" s="2080" t="str">
        <f>Chem!B14</f>
        <v>Chloride</v>
      </c>
      <c r="C14" s="2073" t="str">
        <f>'AR-Eq'!E14</f>
        <v>na</v>
      </c>
      <c r="D14" s="2073" t="str">
        <f>'AR-Eq'!F14</f>
        <v>na</v>
      </c>
      <c r="E14" s="2083" t="str">
        <f>Param!AF14</f>
        <v>no</v>
      </c>
      <c r="F14" s="2074" t="str">
        <f t="shared" si="4"/>
        <v>na</v>
      </c>
      <c r="G14" s="2074" t="str">
        <f>IF(OR(F14="na",E14="no"),"na",F14/Eqtn!$D$387)</f>
        <v>na</v>
      </c>
      <c r="H14" s="2072" t="str">
        <f>'AR-Eq'!G14</f>
        <v>na</v>
      </c>
      <c r="I14" s="2072" t="str">
        <f>'AR-Eq'!H14</f>
        <v>na</v>
      </c>
      <c r="J14" s="2072" t="str">
        <f t="shared" si="5"/>
        <v>na</v>
      </c>
      <c r="K14" s="2072" t="str">
        <f>IF(OR(J14="na",E14="no"),"na",J14/Eqtn!$D$387)</f>
        <v>na</v>
      </c>
      <c r="L14" s="2072" t="str">
        <f>'AR-Eq'!I14</f>
        <v>na</v>
      </c>
      <c r="M14" s="2072" t="str">
        <f>'AR-Eq'!J14</f>
        <v>na</v>
      </c>
      <c r="N14" s="2072" t="str">
        <f t="shared" si="6"/>
        <v>na</v>
      </c>
      <c r="O14" s="2072" t="str">
        <f>IF(OR(N14="na",$E14="no"),"na",N14/Eqtn!$D$387)</f>
        <v>na</v>
      </c>
      <c r="P14" s="2072" t="s">
        <v>232</v>
      </c>
      <c r="Q14" s="2081" t="s">
        <v>232</v>
      </c>
      <c r="S14" s="1062"/>
    </row>
    <row r="15" spans="1:19" s="247" customFormat="1" ht="13.9" customHeight="1" x14ac:dyDescent="0.2">
      <c r="A15" s="843">
        <f>Chem!A15</f>
        <v>13</v>
      </c>
      <c r="B15" s="936" t="str">
        <f>Chem!B15</f>
        <v>Cyanide (multiple forms, see notes)</v>
      </c>
      <c r="C15" s="387">
        <f>'AR-Eq'!E15</f>
        <v>0.36571428571428571</v>
      </c>
      <c r="D15" s="531" t="str">
        <f>'AR-Eq'!F15</f>
        <v>na</v>
      </c>
      <c r="E15" s="1301" t="str">
        <f>Param!AF15</f>
        <v>no</v>
      </c>
      <c r="F15" s="2075">
        <f t="shared" ref="F15:F19" si="7">IF(C15="na",IF(D15="na","na",D15),MIN(C15,D15))</f>
        <v>0.36571428571428571</v>
      </c>
      <c r="G15" s="2075" t="str">
        <f>IF(OR(F15="na",E15="no"),"na",F15/Eqtn!$D$387)</f>
        <v>na</v>
      </c>
      <c r="H15" s="721">
        <f>'AR-Eq'!G15</f>
        <v>0.79999999999999993</v>
      </c>
      <c r="I15" s="721" t="str">
        <f>'AR-Eq'!H15</f>
        <v>na</v>
      </c>
      <c r="J15" s="1493">
        <f t="shared" ref="J15:J19" si="8">IF(H15="na",IF(I15="na","na",I15),MIN(H15,I15))</f>
        <v>0.79999999999999993</v>
      </c>
      <c r="K15" s="721" t="str">
        <f>IF(OR(J15="na",E15="no"),"na",J15/Eqtn!$D$387)</f>
        <v>na</v>
      </c>
      <c r="L15" s="1506">
        <f>'AR-Eq'!I15</f>
        <v>3.114666666666666</v>
      </c>
      <c r="M15" s="721" t="str">
        <f>'AR-Eq'!J15</f>
        <v>na</v>
      </c>
      <c r="N15" s="721">
        <f t="shared" ref="N15:N20" si="9">IF(L15="na",IF(M15="na","na",M15),MIN(L15,M15))</f>
        <v>3.114666666666666</v>
      </c>
      <c r="O15" s="1493" t="str">
        <f>IF(OR(N15="na",$E15="no"),"na",N15/Eqtn!$D$387)</f>
        <v>na</v>
      </c>
      <c r="P15" s="1493" t="s">
        <v>232</v>
      </c>
      <c r="Q15" s="722" t="s">
        <v>232</v>
      </c>
      <c r="S15" s="1064"/>
    </row>
    <row r="16" spans="1:19" s="247" customFormat="1" ht="13.9" customHeight="1" x14ac:dyDescent="0.2">
      <c r="A16" s="843">
        <f>Chem!A16</f>
        <v>14</v>
      </c>
      <c r="B16" s="937" t="str">
        <f>Chem!B16</f>
        <v>Fluoride</v>
      </c>
      <c r="C16" s="384">
        <f>'AR-Eq'!E16</f>
        <v>5.9428571428571431</v>
      </c>
      <c r="D16" s="343" t="str">
        <f>'AR-Eq'!F16</f>
        <v>na</v>
      </c>
      <c r="E16" s="1300" t="str">
        <f>Param!AF16</f>
        <v>no</v>
      </c>
      <c r="F16" s="360">
        <f t="shared" ref="F16" si="10">IF(C16="na",IF(D16="na","na",D16),MIN(C16,D16))</f>
        <v>5.9428571428571431</v>
      </c>
      <c r="G16" s="360" t="str">
        <f>IF(OR(F16="na",E16="no"),"na",F16/Eqtn!$D$387)</f>
        <v>na</v>
      </c>
      <c r="H16" s="348">
        <f>'AR-Eq'!G16</f>
        <v>13</v>
      </c>
      <c r="I16" s="348" t="str">
        <f>'AR-Eq'!H16</f>
        <v>na</v>
      </c>
      <c r="J16" s="695">
        <f t="shared" ref="J16" si="11">IF(H16="na",IF(I16="na","na",I16),MIN(H16,I16))</f>
        <v>13</v>
      </c>
      <c r="K16" s="348" t="str">
        <f>IF(OR(J16="na",E16="no"),"na",J16/Eqtn!$D$387)</f>
        <v>na</v>
      </c>
      <c r="L16" s="1506">
        <f>'AR-Eq'!I16</f>
        <v>50.613333333333323</v>
      </c>
      <c r="M16" s="721" t="str">
        <f>'AR-Eq'!J16</f>
        <v>na</v>
      </c>
      <c r="N16" s="721">
        <f t="shared" ref="N16" si="12">IF(L16="na",IF(M16="na","na",M16),MIN(L16,M16))</f>
        <v>50.613333333333323</v>
      </c>
      <c r="O16" s="1493" t="str">
        <f>IF(OR(N16="na",$E16="no"),"na",N16/Eqtn!$D$387)</f>
        <v>na</v>
      </c>
      <c r="P16" s="1493" t="s">
        <v>232</v>
      </c>
      <c r="Q16" s="722" t="s">
        <v>232</v>
      </c>
      <c r="S16" s="1064"/>
    </row>
    <row r="17" spans="1:19" s="247" customFormat="1" ht="13.9" customHeight="1" x14ac:dyDescent="0.2">
      <c r="A17" s="1069">
        <f>Chem!A17</f>
        <v>15</v>
      </c>
      <c r="B17" s="937" t="str">
        <f>Chem!B17</f>
        <v>Nitrate</v>
      </c>
      <c r="C17" s="384" t="str">
        <f>'AR-Eq'!E17</f>
        <v>na</v>
      </c>
      <c r="D17" s="343" t="str">
        <f>'AR-Eq'!F17</f>
        <v>na</v>
      </c>
      <c r="E17" s="1300" t="str">
        <f>Param!AF17</f>
        <v>no</v>
      </c>
      <c r="F17" s="360" t="str">
        <f t="shared" si="7"/>
        <v>na</v>
      </c>
      <c r="G17" s="360" t="str">
        <f>IF(OR(F17="na",E17="no"),"na",F17/Eqtn!$D$387)</f>
        <v>na</v>
      </c>
      <c r="H17" s="348" t="str">
        <f>'AR-Eq'!G17</f>
        <v>na</v>
      </c>
      <c r="I17" s="348" t="str">
        <f>'AR-Eq'!H17</f>
        <v>na</v>
      </c>
      <c r="J17" s="695" t="str">
        <f t="shared" si="8"/>
        <v>na</v>
      </c>
      <c r="K17" s="348" t="str">
        <f>IF(OR(J17="na",E17="no"),"na",J17/Eqtn!$D$387)</f>
        <v>na</v>
      </c>
      <c r="L17" s="1497" t="str">
        <f>'AR-Eq'!I17</f>
        <v>na</v>
      </c>
      <c r="M17" s="348" t="str">
        <f>'AR-Eq'!J17</f>
        <v>na</v>
      </c>
      <c r="N17" s="348" t="str">
        <f t="shared" si="9"/>
        <v>na</v>
      </c>
      <c r="O17" s="695" t="str">
        <f>IF(OR(N17="na",$E17="no"),"na",N17/Eqtn!$D$387)</f>
        <v>na</v>
      </c>
      <c r="P17" s="695" t="s">
        <v>232</v>
      </c>
      <c r="Q17" s="367" t="s">
        <v>232</v>
      </c>
      <c r="S17" s="1064"/>
    </row>
    <row r="18" spans="1:19" s="247" customFormat="1" ht="13.9" customHeight="1" x14ac:dyDescent="0.2">
      <c r="A18" s="844">
        <f>Chem!A18</f>
        <v>16</v>
      </c>
      <c r="B18" s="937" t="str">
        <f>Chem!B18</f>
        <v>Nitrite</v>
      </c>
      <c r="C18" s="384" t="str">
        <f>'AR-Eq'!E18</f>
        <v>na</v>
      </c>
      <c r="D18" s="343" t="str">
        <f>'AR-Eq'!F18</f>
        <v>na</v>
      </c>
      <c r="E18" s="1300" t="str">
        <f>Param!AF18</f>
        <v>no</v>
      </c>
      <c r="F18" s="360" t="str">
        <f t="shared" si="7"/>
        <v>na</v>
      </c>
      <c r="G18" s="360" t="str">
        <f>IF(OR(F18="na",E18="no"),"na",F18/Eqtn!$D$387)</f>
        <v>na</v>
      </c>
      <c r="H18" s="348" t="str">
        <f>'AR-Eq'!G18</f>
        <v>na</v>
      </c>
      <c r="I18" s="348" t="str">
        <f>'AR-Eq'!H18</f>
        <v>na</v>
      </c>
      <c r="J18" s="695" t="str">
        <f t="shared" si="8"/>
        <v>na</v>
      </c>
      <c r="K18" s="348" t="str">
        <f>IF(OR(J18="na",E18="no"),"na",J18/Eqtn!$D$387)</f>
        <v>na</v>
      </c>
      <c r="L18" s="1497" t="str">
        <f>'AR-Eq'!I18</f>
        <v>na</v>
      </c>
      <c r="M18" s="348" t="str">
        <f>'AR-Eq'!J18</f>
        <v>na</v>
      </c>
      <c r="N18" s="348" t="str">
        <f t="shared" si="9"/>
        <v>na</v>
      </c>
      <c r="O18" s="695" t="str">
        <f>IF(OR(N18="na",$E18="no"),"na",N18/Eqtn!$D$387)</f>
        <v>na</v>
      </c>
      <c r="P18" s="695" t="s">
        <v>232</v>
      </c>
      <c r="Q18" s="367" t="s">
        <v>232</v>
      </c>
      <c r="S18" s="1064"/>
    </row>
    <row r="19" spans="1:19" s="247" customFormat="1" ht="13.9" customHeight="1" x14ac:dyDescent="0.2">
      <c r="A19" s="1321">
        <f>Chem!A19</f>
        <v>17</v>
      </c>
      <c r="B19" s="937" t="str">
        <f>Chem!B19</f>
        <v>Sulfate</v>
      </c>
      <c r="C19" s="343" t="str">
        <f>'AR-Eq'!E19</f>
        <v>na</v>
      </c>
      <c r="D19" s="343" t="str">
        <f>'AR-Eq'!F19</f>
        <v>na</v>
      </c>
      <c r="E19" s="1300" t="str">
        <f>Param!AF19</f>
        <v>no</v>
      </c>
      <c r="F19" s="360" t="str">
        <f t="shared" si="7"/>
        <v>na</v>
      </c>
      <c r="G19" s="360" t="str">
        <f>IF(OR(F19="na",E19="no"),"na",F19/Eqtn!$D$387)</f>
        <v>na</v>
      </c>
      <c r="H19" s="348" t="str">
        <f>'AR-Eq'!G19</f>
        <v>na</v>
      </c>
      <c r="I19" s="348" t="str">
        <f>'AR-Eq'!H19</f>
        <v>na</v>
      </c>
      <c r="J19" s="348" t="str">
        <f t="shared" si="8"/>
        <v>na</v>
      </c>
      <c r="K19" s="348" t="str">
        <f>IF(OR(J19="na",E19="no"),"na",J19/Eqtn!$D$387)</f>
        <v>na</v>
      </c>
      <c r="L19" s="1497" t="str">
        <f>'AR-Eq'!I19</f>
        <v>na</v>
      </c>
      <c r="M19" s="348" t="str">
        <f>'AR-Eq'!J19</f>
        <v>na</v>
      </c>
      <c r="N19" s="348" t="str">
        <f t="shared" si="9"/>
        <v>na</v>
      </c>
      <c r="O19" s="695" t="str">
        <f>IF(OR(N19="na",$E19="no"),"na",N19/Eqtn!$D$387)</f>
        <v>na</v>
      </c>
      <c r="P19" s="695" t="s">
        <v>232</v>
      </c>
      <c r="Q19" s="367" t="s">
        <v>232</v>
      </c>
      <c r="S19" s="1064"/>
    </row>
    <row r="20" spans="1:19" s="247" customFormat="1" ht="13.9" customHeight="1" x14ac:dyDescent="0.2">
      <c r="A20" s="1322">
        <f>Chem!A20</f>
        <v>18</v>
      </c>
      <c r="B20" s="1158" t="str">
        <f>Chem!B20</f>
        <v>Sulfide</v>
      </c>
      <c r="C20" s="533" t="str">
        <f>'AR-Eq'!E20</f>
        <v>na</v>
      </c>
      <c r="D20" s="533" t="str">
        <f>'AR-Eq'!F20</f>
        <v>na</v>
      </c>
      <c r="E20" s="1306" t="str">
        <f>Param!AF20</f>
        <v>no</v>
      </c>
      <c r="F20" s="1335" t="str">
        <f t="shared" ref="F20" si="13">IF(C20="na",IF(D20="na","na",D20),MIN(C20,D20))</f>
        <v>na</v>
      </c>
      <c r="G20" s="1335" t="str">
        <f>IF(OR(F20="na",E20="no"),"na",F20/Eqtn!$D$387)</f>
        <v>na</v>
      </c>
      <c r="H20" s="737" t="str">
        <f>'AR-Eq'!G20</f>
        <v>na</v>
      </c>
      <c r="I20" s="737" t="str">
        <f>'AR-Eq'!H20</f>
        <v>na</v>
      </c>
      <c r="J20" s="737" t="str">
        <f t="shared" ref="J20" si="14">IF(H20="na",IF(I20="na","na",I20),MIN(H20,I20))</f>
        <v>na</v>
      </c>
      <c r="K20" s="737" t="str">
        <f>IF(OR(J20="na",E20="no"),"na",J20/Eqtn!$D$387)</f>
        <v>na</v>
      </c>
      <c r="L20" s="1502" t="str">
        <f>'AR-Eq'!I20</f>
        <v>na</v>
      </c>
      <c r="M20" s="723" t="str">
        <f>'AR-Eq'!J20</f>
        <v>na</v>
      </c>
      <c r="N20" s="723" t="str">
        <f t="shared" si="9"/>
        <v>na</v>
      </c>
      <c r="O20" s="1492" t="str">
        <f>IF(OR(N20="na",$E20="no"),"na",N20/Eqtn!$D$387)</f>
        <v>na</v>
      </c>
      <c r="P20" s="1492" t="s">
        <v>232</v>
      </c>
      <c r="Q20" s="724" t="s">
        <v>232</v>
      </c>
      <c r="S20" s="1064"/>
    </row>
    <row r="21" spans="1:19" ht="13.9" customHeight="1" x14ac:dyDescent="0.25">
      <c r="A21" s="906">
        <f>Chem!A21</f>
        <v>19</v>
      </c>
      <c r="B21" s="939" t="str">
        <f>Chem!B21</f>
        <v>Metals</v>
      </c>
      <c r="C21" s="259"/>
      <c r="D21" s="259"/>
      <c r="E21" s="259"/>
      <c r="F21" s="259"/>
      <c r="G21" s="259"/>
      <c r="H21" s="259"/>
      <c r="I21" s="259"/>
      <c r="J21" s="259"/>
      <c r="K21" s="259"/>
      <c r="L21" s="259"/>
      <c r="M21" s="259"/>
      <c r="N21" s="259"/>
      <c r="O21" s="259"/>
      <c r="P21" s="259"/>
      <c r="Q21" s="1533"/>
      <c r="S21" s="1063"/>
    </row>
    <row r="22" spans="1:19" ht="13.9" customHeight="1" x14ac:dyDescent="0.25">
      <c r="A22" s="846">
        <f>Chem!A22</f>
        <v>20</v>
      </c>
      <c r="B22" s="937" t="str">
        <f>Chem!B22</f>
        <v>Aluminum</v>
      </c>
      <c r="C22" s="384">
        <f>'AR-Eq'!E22</f>
        <v>2.2857142857142856</v>
      </c>
      <c r="D22" s="343" t="str">
        <f>'AR-Eq'!F22</f>
        <v>na</v>
      </c>
      <c r="E22" s="1300" t="str">
        <f>Param!AF22</f>
        <v>no</v>
      </c>
      <c r="F22" s="573">
        <f t="shared" ref="F22:F45" si="15">IF(C22="na",IF(D22="na","na",D22),MIN(C22,D22))</f>
        <v>2.2857142857142856</v>
      </c>
      <c r="G22" s="574" t="str">
        <f>IF(OR(F22="na",E22="no"),"na",F22/Eqtn!$D$387)</f>
        <v>na</v>
      </c>
      <c r="H22" s="306">
        <f>'AR-Eq'!G22</f>
        <v>5</v>
      </c>
      <c r="I22" s="306" t="str">
        <f>'AR-Eq'!H22</f>
        <v>na</v>
      </c>
      <c r="J22" s="693">
        <f t="shared" ref="J22:J45" si="16">IF(H22="na",IF(I22="na","na",I22),MIN(H22,I22))</f>
        <v>5</v>
      </c>
      <c r="K22" s="699" t="str">
        <f>IF(OR(J22="na",E22="no"),"na",J22/Eqtn!$D$387)</f>
        <v>na</v>
      </c>
      <c r="L22" s="1503">
        <f>'AR-Eq'!I22</f>
        <v>19.466666666666661</v>
      </c>
      <c r="M22" s="1504" t="str">
        <f>'AR-Eq'!J22</f>
        <v>na</v>
      </c>
      <c r="N22" s="1504">
        <f t="shared" ref="N22:N45" si="17">IF(L22="na",IF(M22="na","na",M22),MIN(L22,M22))</f>
        <v>19.466666666666661</v>
      </c>
      <c r="O22" s="1531" t="str">
        <f>IF(OR(N22="na",$E22="no"),"na",N22/Eqtn!$D$387)</f>
        <v>na</v>
      </c>
      <c r="P22" s="1531" t="s">
        <v>232</v>
      </c>
      <c r="Q22" s="1505" t="s">
        <v>232</v>
      </c>
      <c r="S22" s="1062"/>
    </row>
    <row r="23" spans="1:19" ht="13.9" customHeight="1" x14ac:dyDescent="0.25">
      <c r="A23" s="847">
        <f>Chem!A23</f>
        <v>21</v>
      </c>
      <c r="B23" s="937" t="str">
        <f>Chem!B23</f>
        <v>Antimony</v>
      </c>
      <c r="C23" s="384">
        <f>'AR-Eq'!E23</f>
        <v>0.13714285714285712</v>
      </c>
      <c r="D23" s="343" t="str">
        <f>'AR-Eq'!F23</f>
        <v>na</v>
      </c>
      <c r="E23" s="1300" t="str">
        <f>Param!AF23</f>
        <v>no</v>
      </c>
      <c r="F23" s="573">
        <f t="shared" si="15"/>
        <v>0.13714285714285712</v>
      </c>
      <c r="G23" s="574" t="str">
        <f>IF(OR(F23="na",E23="no"),"na",F23/Eqtn!$D$387)</f>
        <v>na</v>
      </c>
      <c r="H23" s="306">
        <f>'AR-Eq'!G23</f>
        <v>0.29999999999999993</v>
      </c>
      <c r="I23" s="306" t="str">
        <f>'AR-Eq'!H23</f>
        <v>na</v>
      </c>
      <c r="J23" s="693">
        <f t="shared" si="16"/>
        <v>0.29999999999999993</v>
      </c>
      <c r="K23" s="699" t="str">
        <f>IF(OR(J23="na",E23="no"),"na",J23/Eqtn!$D$387)</f>
        <v>na</v>
      </c>
      <c r="L23" s="1496">
        <f>'AR-Eq'!I23</f>
        <v>1.1679999999999995</v>
      </c>
      <c r="M23" s="699" t="str">
        <f>'AR-Eq'!J23</f>
        <v>na</v>
      </c>
      <c r="N23" s="699">
        <f t="shared" si="17"/>
        <v>1.1679999999999995</v>
      </c>
      <c r="O23" s="1529" t="str">
        <f>IF(OR(N23="na",$E23="no"),"na",N23/Eqtn!$D$387)</f>
        <v>na</v>
      </c>
      <c r="P23" s="1529" t="s">
        <v>232</v>
      </c>
      <c r="Q23" s="760" t="s">
        <v>232</v>
      </c>
      <c r="S23" s="1062"/>
    </row>
    <row r="24" spans="1:19" ht="13.9" customHeight="1" x14ac:dyDescent="0.25">
      <c r="A24" s="847">
        <f>Chem!A24</f>
        <v>22</v>
      </c>
      <c r="B24" s="937" t="str">
        <f>Chem!B24</f>
        <v>Arsenic</v>
      </c>
      <c r="C24" s="384">
        <f>'AR-Eq'!E24</f>
        <v>6.8571428571428585E-3</v>
      </c>
      <c r="D24" s="343">
        <f>'AR-Eq'!F24</f>
        <v>5.8139534883720919E-4</v>
      </c>
      <c r="E24" s="1300" t="str">
        <f>Param!AF24</f>
        <v>no</v>
      </c>
      <c r="F24" s="575">
        <f t="shared" si="15"/>
        <v>5.8139534883720919E-4</v>
      </c>
      <c r="G24" s="574" t="str">
        <f>IF(OR(F24="na",E24="no"),"na",F24/Eqtn!$D$387)</f>
        <v>na</v>
      </c>
      <c r="H24" s="17">
        <f>'AR-Eq'!G24</f>
        <v>1.5000000000000003E-2</v>
      </c>
      <c r="I24" s="17">
        <f>'AR-Eq'!H24</f>
        <v>5.8139534883720929E-3</v>
      </c>
      <c r="J24" s="694">
        <f t="shared" si="16"/>
        <v>5.8139534883720929E-3</v>
      </c>
      <c r="K24" s="699" t="str">
        <f>IF(OR(J24="na",E24="no"),"na",J24/Eqtn!$D$387)</f>
        <v>na</v>
      </c>
      <c r="L24" s="1496">
        <f>'AR-Eq'!I24</f>
        <v>5.8400000000000001E-2</v>
      </c>
      <c r="M24" s="699">
        <f>'AR-Eq'!J24</f>
        <v>2.7162790697674404E-3</v>
      </c>
      <c r="N24" s="699">
        <f t="shared" si="17"/>
        <v>2.7162790697674404E-3</v>
      </c>
      <c r="O24" s="1529" t="str">
        <f>IF(OR(N24="na",$E24="no"),"na",N24/Eqtn!$D$387)</f>
        <v>na</v>
      </c>
      <c r="P24" s="1529" t="s">
        <v>232</v>
      </c>
      <c r="Q24" s="760" t="s">
        <v>232</v>
      </c>
      <c r="S24" s="1062"/>
    </row>
    <row r="25" spans="1:19" ht="13.9" customHeight="1" x14ac:dyDescent="0.25">
      <c r="A25" s="847">
        <f>Chem!A25</f>
        <v>23</v>
      </c>
      <c r="B25" s="937" t="str">
        <f>Chem!B25</f>
        <v>Barium</v>
      </c>
      <c r="C25" s="384">
        <f>'AR-Eq'!E25</f>
        <v>0.22857142857142859</v>
      </c>
      <c r="D25" s="343" t="str">
        <f>'AR-Eq'!F25</f>
        <v>na</v>
      </c>
      <c r="E25" s="1300" t="str">
        <f>Param!AF25</f>
        <v>no</v>
      </c>
      <c r="F25" s="573">
        <f t="shared" si="15"/>
        <v>0.22857142857142859</v>
      </c>
      <c r="G25" s="574" t="str">
        <f>IF(OR(F25="na",E25="no"),"na",F25/Eqtn!$D$387)</f>
        <v>na</v>
      </c>
      <c r="H25" s="306">
        <f>'AR-Eq'!G25</f>
        <v>0.5</v>
      </c>
      <c r="I25" s="306" t="str">
        <f>'AR-Eq'!H25</f>
        <v>na</v>
      </c>
      <c r="J25" s="693">
        <f t="shared" si="16"/>
        <v>0.5</v>
      </c>
      <c r="K25" s="699" t="str">
        <f>IF(OR(J25="na",E25="no"),"na",J25/Eqtn!$D$387)</f>
        <v>na</v>
      </c>
      <c r="L25" s="1496">
        <f>'AR-Eq'!I25</f>
        <v>1.9466666666666665</v>
      </c>
      <c r="M25" s="699" t="str">
        <f>'AR-Eq'!J25</f>
        <v>na</v>
      </c>
      <c r="N25" s="699">
        <f t="shared" si="17"/>
        <v>1.9466666666666665</v>
      </c>
      <c r="O25" s="1529" t="str">
        <f>IF(OR(N25="na",$E25="no"),"na",N25/Eqtn!$D$387)</f>
        <v>na</v>
      </c>
      <c r="P25" s="1529" t="s">
        <v>232</v>
      </c>
      <c r="Q25" s="760" t="s">
        <v>232</v>
      </c>
      <c r="S25" s="1062"/>
    </row>
    <row r="26" spans="1:19" ht="13.9" customHeight="1" x14ac:dyDescent="0.25">
      <c r="A26" s="847">
        <f>Chem!A26</f>
        <v>24</v>
      </c>
      <c r="B26" s="937" t="str">
        <f>Chem!B26</f>
        <v>Beryllium</v>
      </c>
      <c r="C26" s="384">
        <f>'AR-Eq'!E26</f>
        <v>9.1428571428571435E-3</v>
      </c>
      <c r="D26" s="343">
        <f>'AR-Eq'!F26</f>
        <v>1.0416666666666667E-3</v>
      </c>
      <c r="E26" s="1300" t="str">
        <f>Param!AF26</f>
        <v>no</v>
      </c>
      <c r="F26" s="575">
        <f t="shared" si="15"/>
        <v>1.0416666666666667E-3</v>
      </c>
      <c r="G26" s="574" t="str">
        <f>IF(OR(F26="na",E26="no"),"na",F26/Eqtn!$D$387)</f>
        <v>na</v>
      </c>
      <c r="H26" s="17">
        <f>'AR-Eq'!G26</f>
        <v>0.02</v>
      </c>
      <c r="I26" s="17">
        <f>'AR-Eq'!H26</f>
        <v>1.041666666666667E-2</v>
      </c>
      <c r="J26" s="694">
        <f t="shared" si="16"/>
        <v>1.041666666666667E-2</v>
      </c>
      <c r="K26" s="699" t="str">
        <f>IF(OR(J26="na",E26="no"),"na",J26/Eqtn!$D$387)</f>
        <v>na</v>
      </c>
      <c r="L26" s="1496">
        <f>'AR-Eq'!I26</f>
        <v>7.7866666666666653E-2</v>
      </c>
      <c r="M26" s="699">
        <f>'AR-Eq'!J26</f>
        <v>4.8666666666666658E-3</v>
      </c>
      <c r="N26" s="699">
        <f t="shared" si="17"/>
        <v>4.8666666666666658E-3</v>
      </c>
      <c r="O26" s="1529" t="str">
        <f>IF(OR(N26="na",$E26="no"),"na",N26/Eqtn!$D$387)</f>
        <v>na</v>
      </c>
      <c r="P26" s="1529" t="s">
        <v>232</v>
      </c>
      <c r="Q26" s="760" t="s">
        <v>232</v>
      </c>
      <c r="S26" s="1062"/>
    </row>
    <row r="27" spans="1:19" ht="13.9" customHeight="1" x14ac:dyDescent="0.25">
      <c r="A27" s="847">
        <f>Chem!A27</f>
        <v>25</v>
      </c>
      <c r="B27" s="937" t="str">
        <f>Chem!B27</f>
        <v>Cadmium</v>
      </c>
      <c r="C27" s="384">
        <f>'AR-Eq'!E27</f>
        <v>4.5714285714285718E-3</v>
      </c>
      <c r="D27" s="343">
        <f>'AR-Eq'!F27</f>
        <v>1.3888888888888887E-3</v>
      </c>
      <c r="E27" s="1300" t="str">
        <f>Param!AF27</f>
        <v>no</v>
      </c>
      <c r="F27" s="575">
        <f t="shared" si="15"/>
        <v>1.3888888888888887E-3</v>
      </c>
      <c r="G27" s="574" t="str">
        <f>IF(OR(F27="na",E27="no"),"na",F27/Eqtn!$D$387)</f>
        <v>na</v>
      </c>
      <c r="H27" s="17">
        <f>'AR-Eq'!G27</f>
        <v>0.01</v>
      </c>
      <c r="I27" s="17">
        <f>'AR-Eq'!H27</f>
        <v>1.388888888888889E-2</v>
      </c>
      <c r="J27" s="694">
        <f t="shared" si="16"/>
        <v>0.01</v>
      </c>
      <c r="K27" s="699" t="str">
        <f>IF(OR(J27="na",E27="no"),"na",J27/Eqtn!$D$387)</f>
        <v>na</v>
      </c>
      <c r="L27" s="1496">
        <f>'AR-Eq'!I27</f>
        <v>3.8933333333333327E-2</v>
      </c>
      <c r="M27" s="699">
        <f>'AR-Eq'!J27</f>
        <v>6.4888888888888869E-3</v>
      </c>
      <c r="N27" s="699">
        <f t="shared" si="17"/>
        <v>6.4888888888888869E-3</v>
      </c>
      <c r="O27" s="1529" t="str">
        <f>IF(OR(N27="na",$E27="no"),"na",N27/Eqtn!$D$387)</f>
        <v>na</v>
      </c>
      <c r="P27" s="1529" t="s">
        <v>232</v>
      </c>
      <c r="Q27" s="760" t="s">
        <v>232</v>
      </c>
      <c r="S27" s="1062"/>
    </row>
    <row r="28" spans="1:19" ht="13.9" customHeight="1" x14ac:dyDescent="0.25">
      <c r="A28" s="847">
        <f>Chem!A28</f>
        <v>26</v>
      </c>
      <c r="B28" s="937" t="str">
        <f>Chem!B28</f>
        <v>Chromium, total</v>
      </c>
      <c r="C28" s="384" t="str">
        <f>'AR-Eq'!E28</f>
        <v>na</v>
      </c>
      <c r="D28" s="343" t="str">
        <f>'AR-Eq'!F28</f>
        <v>na</v>
      </c>
      <c r="E28" s="1300" t="str">
        <f>Param!AF28</f>
        <v>no</v>
      </c>
      <c r="F28" s="575" t="str">
        <f t="shared" ref="F28" si="18">IF(C28="na",IF(D28="na","na",D28),MIN(C28,D28))</f>
        <v>na</v>
      </c>
      <c r="G28" s="574" t="str">
        <f>IF(OR(F28="na",E28="no"),"na",F28/Eqtn!$D$387)</f>
        <v>na</v>
      </c>
      <c r="H28" s="17" t="str">
        <f>'AR-Eq'!G28</f>
        <v>na</v>
      </c>
      <c r="I28" s="17" t="str">
        <f>'AR-Eq'!H28</f>
        <v>na</v>
      </c>
      <c r="J28" s="694" t="str">
        <f t="shared" ref="J28" si="19">IF(H28="na",IF(I28="na","na",I28),MIN(H28,I28))</f>
        <v>na</v>
      </c>
      <c r="K28" s="699" t="str">
        <f>IF(OR(J28="na",E28="no"),"na",J28/Eqtn!$D$387)</f>
        <v>na</v>
      </c>
      <c r="L28" s="1496" t="str">
        <f>'AR-Eq'!I28</f>
        <v>na</v>
      </c>
      <c r="M28" s="699" t="str">
        <f>'AR-Eq'!J28</f>
        <v>na</v>
      </c>
      <c r="N28" s="699" t="str">
        <f t="shared" si="17"/>
        <v>na</v>
      </c>
      <c r="O28" s="1529" t="str">
        <f>IF(OR(N28="na",$E28="no"),"na",N28/Eqtn!$D$387)</f>
        <v>na</v>
      </c>
      <c r="P28" s="1529" t="s">
        <v>232</v>
      </c>
      <c r="Q28" s="760" t="s">
        <v>232</v>
      </c>
      <c r="S28" s="1062"/>
    </row>
    <row r="29" spans="1:19" ht="13.9" customHeight="1" x14ac:dyDescent="0.25">
      <c r="A29" s="847">
        <f>Chem!A29</f>
        <v>27</v>
      </c>
      <c r="B29" s="937" t="str">
        <f>Chem!B29</f>
        <v>Chromium, trivalent</v>
      </c>
      <c r="C29" s="384" t="str">
        <f>'AR-Eq'!E29</f>
        <v>na</v>
      </c>
      <c r="D29" s="343" t="str">
        <f>'AR-Eq'!F29</f>
        <v>na</v>
      </c>
      <c r="E29" s="1300" t="str">
        <f>Param!AF29</f>
        <v>no</v>
      </c>
      <c r="F29" s="573" t="str">
        <f t="shared" si="15"/>
        <v>na</v>
      </c>
      <c r="G29" s="574" t="str">
        <f>IF(OR(F29="na",E29="no"),"na",F29/Eqtn!$D$387)</f>
        <v>na</v>
      </c>
      <c r="H29" s="306" t="str">
        <f>'AR-Eq'!G29</f>
        <v>na</v>
      </c>
      <c r="I29" s="306" t="str">
        <f>'AR-Eq'!H29</f>
        <v>na</v>
      </c>
      <c r="J29" s="693" t="str">
        <f t="shared" si="16"/>
        <v>na</v>
      </c>
      <c r="K29" s="699" t="str">
        <f>IF(OR(J29="na",E29="no"),"na",J29/Eqtn!$D$387)</f>
        <v>na</v>
      </c>
      <c r="L29" s="1496" t="str">
        <f>'AR-Eq'!I29</f>
        <v>na</v>
      </c>
      <c r="M29" s="699" t="str">
        <f>'AR-Eq'!J29</f>
        <v>na</v>
      </c>
      <c r="N29" s="699" t="str">
        <f t="shared" si="17"/>
        <v>na</v>
      </c>
      <c r="O29" s="1529" t="str">
        <f>IF(OR(N29="na",$E29="no"),"na",N29/Eqtn!$D$387)</f>
        <v>na</v>
      </c>
      <c r="P29" s="1529" t="s">
        <v>232</v>
      </c>
      <c r="Q29" s="760" t="s">
        <v>232</v>
      </c>
      <c r="S29" s="1062"/>
    </row>
    <row r="30" spans="1:19" ht="13.9" customHeight="1" x14ac:dyDescent="0.25">
      <c r="A30" s="847">
        <f>Chem!A30</f>
        <v>28</v>
      </c>
      <c r="B30" s="937" t="str">
        <f>Chem!B30</f>
        <v>Chromium, hexavalent</v>
      </c>
      <c r="C30" s="384">
        <f>'AR-Eq'!E30</f>
        <v>1.3714285714285717E-2</v>
      </c>
      <c r="D30" s="343">
        <f>'AR-Eq'!F30</f>
        <v>6.0000000000000002E-5</v>
      </c>
      <c r="E30" s="1300" t="str">
        <f>Param!AF30</f>
        <v>no</v>
      </c>
      <c r="F30" s="575">
        <f t="shared" si="15"/>
        <v>6.0000000000000002E-5</v>
      </c>
      <c r="G30" s="574" t="str">
        <f>IF(OR(F30="na",E30="no"),"na",F30/Eqtn!$D$387)</f>
        <v>na</v>
      </c>
      <c r="H30" s="17">
        <f>'AR-Eq'!G30</f>
        <v>3.0000000000000006E-2</v>
      </c>
      <c r="I30" s="17">
        <f>'AR-Eq'!H30</f>
        <v>2.2727272727272735E-3</v>
      </c>
      <c r="J30" s="694">
        <f t="shared" si="16"/>
        <v>2.2727272727272735E-3</v>
      </c>
      <c r="K30" s="699" t="str">
        <f>IF(OR(J30="na",E30="no"),"na",J30/Eqtn!$D$387)</f>
        <v>na</v>
      </c>
      <c r="L30" s="1496">
        <f>'AR-Eq'!I30</f>
        <v>0.1168</v>
      </c>
      <c r="M30" s="699">
        <f>'AR-Eq'!J30</f>
        <v>1.0618181818181816E-3</v>
      </c>
      <c r="N30" s="699">
        <f t="shared" si="17"/>
        <v>1.0618181818181816E-3</v>
      </c>
      <c r="O30" s="1529" t="str">
        <f>IF(OR(N30="na",$E30="no"),"na",N30/Eqtn!$D$387)</f>
        <v>na</v>
      </c>
      <c r="P30" s="1529" t="s">
        <v>232</v>
      </c>
      <c r="Q30" s="760" t="s">
        <v>232</v>
      </c>
      <c r="S30" s="1062"/>
    </row>
    <row r="31" spans="1:19" ht="13.9" customHeight="1" x14ac:dyDescent="0.25">
      <c r="A31" s="847">
        <f>Chem!A31</f>
        <v>29</v>
      </c>
      <c r="B31" s="937" t="str">
        <f>Chem!B31</f>
        <v>Cobalt</v>
      </c>
      <c r="C31" s="384">
        <f>'AR-Eq'!E31</f>
        <v>2.7428571428571428E-3</v>
      </c>
      <c r="D31" s="343">
        <f>'AR-Eq'!F31</f>
        <v>2.7777777777777772E-4</v>
      </c>
      <c r="E31" s="1300" t="str">
        <f>Param!AF31</f>
        <v>no</v>
      </c>
      <c r="F31" s="573">
        <f t="shared" si="15"/>
        <v>2.7777777777777772E-4</v>
      </c>
      <c r="G31" s="574" t="str">
        <f>IF(OR(F31="na",E31="no"),"na",F31/Eqtn!$D$387)</f>
        <v>na</v>
      </c>
      <c r="H31" s="306">
        <f>'AR-Eq'!G31</f>
        <v>6.0000000000000001E-3</v>
      </c>
      <c r="I31" s="306">
        <f>'AR-Eq'!H31</f>
        <v>2.7777777777777779E-3</v>
      </c>
      <c r="J31" s="693">
        <f t="shared" si="16"/>
        <v>2.7777777777777779E-3</v>
      </c>
      <c r="K31" s="699" t="str">
        <f>IF(OR(J31="na",E31="no"),"na",J31/Eqtn!$D$387)</f>
        <v>na</v>
      </c>
      <c r="L31" s="1496">
        <f>'AR-Eq'!I31</f>
        <v>2.3359999999999995E-2</v>
      </c>
      <c r="M31" s="699">
        <f>'AR-Eq'!J31</f>
        <v>1.2977777777777773E-3</v>
      </c>
      <c r="N31" s="699">
        <f t="shared" si="17"/>
        <v>1.2977777777777773E-3</v>
      </c>
      <c r="O31" s="1529" t="str">
        <f>IF(OR(N31="na",$E31="no"),"na",N31/Eqtn!$D$387)</f>
        <v>na</v>
      </c>
      <c r="P31" s="1529" t="s">
        <v>232</v>
      </c>
      <c r="Q31" s="760" t="s">
        <v>232</v>
      </c>
      <c r="S31" s="1062"/>
    </row>
    <row r="32" spans="1:19" ht="13.9" customHeight="1" x14ac:dyDescent="0.25">
      <c r="A32" s="847">
        <f>Chem!A32</f>
        <v>30</v>
      </c>
      <c r="B32" s="937" t="str">
        <f>Chem!B32</f>
        <v>Copper</v>
      </c>
      <c r="C32" s="384" t="str">
        <f>'AR-Eq'!E32</f>
        <v>na</v>
      </c>
      <c r="D32" s="343" t="str">
        <f>'AR-Eq'!F32</f>
        <v>na</v>
      </c>
      <c r="E32" s="1300" t="str">
        <f>Param!AF32</f>
        <v>no</v>
      </c>
      <c r="F32" s="573" t="str">
        <f t="shared" si="15"/>
        <v>na</v>
      </c>
      <c r="G32" s="574" t="str">
        <f>IF(OR(F32="na",E32="no"),"na",F32/Eqtn!$D$387)</f>
        <v>na</v>
      </c>
      <c r="H32" s="306" t="str">
        <f>'AR-Eq'!G32</f>
        <v>na</v>
      </c>
      <c r="I32" s="306" t="str">
        <f>'AR-Eq'!H32</f>
        <v>na</v>
      </c>
      <c r="J32" s="693" t="str">
        <f t="shared" si="16"/>
        <v>na</v>
      </c>
      <c r="K32" s="699" t="str">
        <f>IF(OR(J32="na",E32="no"),"na",J32/Eqtn!$D$387)</f>
        <v>na</v>
      </c>
      <c r="L32" s="1496" t="str">
        <f>'AR-Eq'!I32</f>
        <v>na</v>
      </c>
      <c r="M32" s="699" t="str">
        <f>'AR-Eq'!J32</f>
        <v>na</v>
      </c>
      <c r="N32" s="699" t="str">
        <f t="shared" si="17"/>
        <v>na</v>
      </c>
      <c r="O32" s="1529" t="str">
        <f>IF(OR(N32="na",$E32="no"),"na",N32/Eqtn!$D$387)</f>
        <v>na</v>
      </c>
      <c r="P32" s="1529" t="s">
        <v>232</v>
      </c>
      <c r="Q32" s="760" t="s">
        <v>232</v>
      </c>
      <c r="S32" s="1062"/>
    </row>
    <row r="33" spans="1:19" ht="13.9" customHeight="1" x14ac:dyDescent="0.25">
      <c r="A33" s="847">
        <f>Chem!A33</f>
        <v>31</v>
      </c>
      <c r="B33" s="937" t="str">
        <f>Chem!B33</f>
        <v>Iron</v>
      </c>
      <c r="C33" s="384" t="str">
        <f>'AR-Eq'!E33</f>
        <v>na</v>
      </c>
      <c r="D33" s="343" t="str">
        <f>'AR-Eq'!F33</f>
        <v>na</v>
      </c>
      <c r="E33" s="1300" t="str">
        <f>Param!AF33</f>
        <v>no</v>
      </c>
      <c r="F33" s="573" t="str">
        <f t="shared" si="15"/>
        <v>na</v>
      </c>
      <c r="G33" s="574" t="str">
        <f>IF(OR(F33="na",E33="no"),"na",F33/Eqtn!$D$387)</f>
        <v>na</v>
      </c>
      <c r="H33" s="306" t="str">
        <f>'AR-Eq'!G33</f>
        <v>na</v>
      </c>
      <c r="I33" s="306" t="str">
        <f>'AR-Eq'!H33</f>
        <v>na</v>
      </c>
      <c r="J33" s="693" t="str">
        <f t="shared" si="16"/>
        <v>na</v>
      </c>
      <c r="K33" s="699" t="str">
        <f>IF(OR(J33="na",E33="no"),"na",J33/Eqtn!$D$387)</f>
        <v>na</v>
      </c>
      <c r="L33" s="1496" t="str">
        <f>'AR-Eq'!I33</f>
        <v>na</v>
      </c>
      <c r="M33" s="699" t="str">
        <f>'AR-Eq'!J33</f>
        <v>na</v>
      </c>
      <c r="N33" s="699" t="str">
        <f t="shared" si="17"/>
        <v>na</v>
      </c>
      <c r="O33" s="1529" t="str">
        <f>IF(OR(N33="na",$E33="no"),"na",N33/Eqtn!$D$387)</f>
        <v>na</v>
      </c>
      <c r="P33" s="1529" t="s">
        <v>232</v>
      </c>
      <c r="Q33" s="760" t="s">
        <v>232</v>
      </c>
      <c r="S33" s="1062"/>
    </row>
    <row r="34" spans="1:19" ht="13.9" customHeight="1" x14ac:dyDescent="0.25">
      <c r="A34" s="847">
        <f>Chem!A34</f>
        <v>32</v>
      </c>
      <c r="B34" s="937" t="str">
        <f>Chem!B34</f>
        <v>Lead</v>
      </c>
      <c r="C34" s="384" t="str">
        <f>'AR-Eq'!E34</f>
        <v>na</v>
      </c>
      <c r="D34" s="343" t="str">
        <f>'AR-Eq'!F34</f>
        <v>na</v>
      </c>
      <c r="E34" s="1300" t="str">
        <f>Param!AF34</f>
        <v>no</v>
      </c>
      <c r="F34" s="573" t="str">
        <f t="shared" si="15"/>
        <v>na</v>
      </c>
      <c r="G34" s="574" t="str">
        <f>IF(OR(F34="na",E34="no"),"na",F34/Eqtn!$D$387)</f>
        <v>na</v>
      </c>
      <c r="H34" s="306" t="str">
        <f>'AR-Eq'!G34</f>
        <v>na</v>
      </c>
      <c r="I34" s="306" t="str">
        <f>'AR-Eq'!H34</f>
        <v>na</v>
      </c>
      <c r="J34" s="693" t="str">
        <f t="shared" si="16"/>
        <v>na</v>
      </c>
      <c r="K34" s="699" t="str">
        <f>IF(OR(J34="na",E34="no"),"na",J34/Eqtn!$D$387)</f>
        <v>na</v>
      </c>
      <c r="L34" s="1496" t="str">
        <f>'AR-Eq'!I34</f>
        <v>na</v>
      </c>
      <c r="M34" s="699" t="str">
        <f>'AR-Eq'!J34</f>
        <v>na</v>
      </c>
      <c r="N34" s="699" t="str">
        <f t="shared" si="17"/>
        <v>na</v>
      </c>
      <c r="O34" s="1529" t="str">
        <f>IF(OR(N34="na",$E34="no"),"na",N34/Eqtn!$D$387)</f>
        <v>na</v>
      </c>
      <c r="P34" s="1529" t="s">
        <v>232</v>
      </c>
      <c r="Q34" s="760" t="s">
        <v>232</v>
      </c>
      <c r="S34" s="1062"/>
    </row>
    <row r="35" spans="1:19" ht="13.9" customHeight="1" x14ac:dyDescent="0.25">
      <c r="A35" s="847">
        <f>Chem!A35</f>
        <v>33</v>
      </c>
      <c r="B35" s="937" t="str">
        <f>Chem!B35</f>
        <v>Manganese</v>
      </c>
      <c r="C35" s="384">
        <f>'AR-Eq'!E35</f>
        <v>2.2857142857142857E-2</v>
      </c>
      <c r="D35" s="343" t="str">
        <f>'AR-Eq'!F35</f>
        <v>na</v>
      </c>
      <c r="E35" s="1300" t="str">
        <f>Param!AF35</f>
        <v>no</v>
      </c>
      <c r="F35" s="573">
        <f t="shared" si="15"/>
        <v>2.2857142857142857E-2</v>
      </c>
      <c r="G35" s="574" t="str">
        <f>IF(OR(F35="na",E35="no"),"na",F35/Eqtn!$D$387)</f>
        <v>na</v>
      </c>
      <c r="H35" s="306">
        <f>'AR-Eq'!G35</f>
        <v>4.9999999999999996E-2</v>
      </c>
      <c r="I35" s="306" t="str">
        <f>'AR-Eq'!H35</f>
        <v>na</v>
      </c>
      <c r="J35" s="693">
        <f t="shared" si="16"/>
        <v>4.9999999999999996E-2</v>
      </c>
      <c r="K35" s="699" t="str">
        <f>IF(OR(J35="na",E35="no"),"na",J35/Eqtn!$D$387)</f>
        <v>na</v>
      </c>
      <c r="L35" s="1496">
        <f>'AR-Eq'!I35</f>
        <v>0.19466666666666663</v>
      </c>
      <c r="M35" s="699" t="str">
        <f>'AR-Eq'!J35</f>
        <v>na</v>
      </c>
      <c r="N35" s="699">
        <f t="shared" si="17"/>
        <v>0.19466666666666663</v>
      </c>
      <c r="O35" s="1529" t="str">
        <f>IF(OR(N35="na",$E35="no"),"na",N35/Eqtn!$D$387)</f>
        <v>na</v>
      </c>
      <c r="P35" s="1529" t="s">
        <v>232</v>
      </c>
      <c r="Q35" s="760" t="s">
        <v>232</v>
      </c>
      <c r="S35" s="1062"/>
    </row>
    <row r="36" spans="1:19" ht="13.9" customHeight="1" x14ac:dyDescent="0.25">
      <c r="A36" s="847">
        <f>Chem!A36</f>
        <v>34</v>
      </c>
      <c r="B36" s="937" t="str">
        <f>Chem!B36</f>
        <v>Mercury, inorganic</v>
      </c>
      <c r="C36" s="384">
        <f>'AR-Eq'!E36</f>
        <v>0.13714285714285709</v>
      </c>
      <c r="D36" s="343" t="str">
        <f>'AR-Eq'!F36</f>
        <v>na</v>
      </c>
      <c r="E36" s="1300" t="str">
        <f>Param!AF36</f>
        <v>YES</v>
      </c>
      <c r="F36" s="573">
        <f t="shared" si="15"/>
        <v>0.13714285714285709</v>
      </c>
      <c r="G36" s="574">
        <f>IF(OR(F36="na",E36="no"),"na",F36/Eqtn!$D$387)</f>
        <v>4.5714285714285703</v>
      </c>
      <c r="H36" s="306">
        <f>'AR-Eq'!G36</f>
        <v>0.29999999999999988</v>
      </c>
      <c r="I36" s="306" t="str">
        <f>'AR-Eq'!H36</f>
        <v>na</v>
      </c>
      <c r="J36" s="693">
        <f t="shared" si="16"/>
        <v>0.29999999999999988</v>
      </c>
      <c r="K36" s="699">
        <f>IF(OR(J36="na",E36="no"),"na",J36/Eqtn!$D$387)</f>
        <v>9.9999999999999964</v>
      </c>
      <c r="L36" s="1496">
        <f>'AR-Eq'!I36</f>
        <v>1.1679999999999995</v>
      </c>
      <c r="M36" s="699" t="str">
        <f>'AR-Eq'!J36</f>
        <v>na</v>
      </c>
      <c r="N36" s="699">
        <f t="shared" si="17"/>
        <v>1.1679999999999995</v>
      </c>
      <c r="O36" s="1529">
        <f>IF(OR(N36="na",$E36="no"),"na",N36/Eqtn!$D$387)</f>
        <v>38.933333333333316</v>
      </c>
      <c r="P36" s="1529" t="s">
        <v>232</v>
      </c>
      <c r="Q36" s="760" t="s">
        <v>232</v>
      </c>
      <c r="S36" s="1062"/>
    </row>
    <row r="37" spans="1:19" ht="13.9" customHeight="1" x14ac:dyDescent="0.25">
      <c r="A37" s="847">
        <f>Chem!A37</f>
        <v>35</v>
      </c>
      <c r="B37" s="937" t="str">
        <f>Chem!B37</f>
        <v>Methylmercury</v>
      </c>
      <c r="C37" s="384" t="str">
        <f>'AR-Eq'!E37</f>
        <v>na</v>
      </c>
      <c r="D37" s="343" t="str">
        <f>'AR-Eq'!F37</f>
        <v>na</v>
      </c>
      <c r="E37" s="1300" t="str">
        <f>Param!AF37</f>
        <v>no</v>
      </c>
      <c r="F37" s="573" t="str">
        <f t="shared" si="15"/>
        <v>na</v>
      </c>
      <c r="G37" s="574" t="str">
        <f>IF(OR(F37="na",E37="no"),"na",F37/Eqtn!$D$387)</f>
        <v>na</v>
      </c>
      <c r="H37" s="306" t="str">
        <f>'AR-Eq'!G37</f>
        <v>na</v>
      </c>
      <c r="I37" s="306" t="str">
        <f>'AR-Eq'!H37</f>
        <v>na</v>
      </c>
      <c r="J37" s="693" t="str">
        <f t="shared" si="16"/>
        <v>na</v>
      </c>
      <c r="K37" s="699" t="str">
        <f>IF(OR(J37="na",E37="no"),"na",J37/Eqtn!$D$387)</f>
        <v>na</v>
      </c>
      <c r="L37" s="1496" t="str">
        <f>'AR-Eq'!I37</f>
        <v>na</v>
      </c>
      <c r="M37" s="699" t="str">
        <f>'AR-Eq'!J37</f>
        <v>na</v>
      </c>
      <c r="N37" s="699" t="str">
        <f t="shared" si="17"/>
        <v>na</v>
      </c>
      <c r="O37" s="1529" t="str">
        <f>IF(OR(N37="na",$E37="no"),"na",N37/Eqtn!$D$387)</f>
        <v>na</v>
      </c>
      <c r="P37" s="1529" t="s">
        <v>232</v>
      </c>
      <c r="Q37" s="760" t="s">
        <v>232</v>
      </c>
      <c r="S37" s="1062"/>
    </row>
    <row r="38" spans="1:19" ht="13.9" customHeight="1" x14ac:dyDescent="0.25">
      <c r="A38" s="847">
        <f>Chem!A38</f>
        <v>36</v>
      </c>
      <c r="B38" s="937" t="str">
        <f>Chem!B38</f>
        <v>Molybdenum</v>
      </c>
      <c r="C38" s="384">
        <f>'AR-Eq'!E38</f>
        <v>0.91428571428571437</v>
      </c>
      <c r="D38" s="343" t="str">
        <f>'AR-Eq'!F38</f>
        <v>na</v>
      </c>
      <c r="E38" s="1300" t="str">
        <f>Param!AF38</f>
        <v>no</v>
      </c>
      <c r="F38" s="573">
        <f t="shared" si="15"/>
        <v>0.91428571428571437</v>
      </c>
      <c r="G38" s="574" t="str">
        <f>IF(OR(F38="na",E38="no"),"na",F38/Eqtn!$D$387)</f>
        <v>na</v>
      </c>
      <c r="H38" s="306">
        <f>'AR-Eq'!G38</f>
        <v>2</v>
      </c>
      <c r="I38" s="306" t="str">
        <f>'AR-Eq'!H38</f>
        <v>na</v>
      </c>
      <c r="J38" s="693">
        <f t="shared" si="16"/>
        <v>2</v>
      </c>
      <c r="K38" s="699" t="str">
        <f>IF(OR(J38="na",E38="no"),"na",J38/Eqtn!$D$387)</f>
        <v>na</v>
      </c>
      <c r="L38" s="1496">
        <f>'AR-Eq'!I38</f>
        <v>7.7866666666666662</v>
      </c>
      <c r="M38" s="699" t="str">
        <f>'AR-Eq'!J38</f>
        <v>na</v>
      </c>
      <c r="N38" s="699">
        <f t="shared" si="17"/>
        <v>7.7866666666666662</v>
      </c>
      <c r="O38" s="1529" t="str">
        <f>IF(OR(N38="na",$E38="no"),"na",N38/Eqtn!$D$387)</f>
        <v>na</v>
      </c>
      <c r="P38" s="1529" t="s">
        <v>232</v>
      </c>
      <c r="Q38" s="760" t="s">
        <v>232</v>
      </c>
      <c r="S38" s="1062"/>
    </row>
    <row r="39" spans="1:19" ht="13.9" customHeight="1" x14ac:dyDescent="0.25">
      <c r="A39" s="847">
        <f>Chem!A39</f>
        <v>37</v>
      </c>
      <c r="B39" s="937" t="str">
        <f>Chem!B39</f>
        <v>Nickel</v>
      </c>
      <c r="C39" s="384">
        <f>'AR-Eq'!E39</f>
        <v>6.3999999999999994E-3</v>
      </c>
      <c r="D39" s="343">
        <f>'AR-Eq'!F39</f>
        <v>9.6153846153846159E-3</v>
      </c>
      <c r="E39" s="1300" t="str">
        <f>Param!AF39</f>
        <v>no</v>
      </c>
      <c r="F39" s="575">
        <f t="shared" si="15"/>
        <v>6.3999999999999994E-3</v>
      </c>
      <c r="G39" s="574" t="str">
        <f>IF(OR(F39="na",E39="no"),"na",F39/Eqtn!$D$387)</f>
        <v>na</v>
      </c>
      <c r="H39" s="17">
        <f>'AR-Eq'!G39</f>
        <v>1.3999999999999999E-2</v>
      </c>
      <c r="I39" s="17">
        <f>'AR-Eq'!H39</f>
        <v>9.6153846153846187E-2</v>
      </c>
      <c r="J39" s="694">
        <f t="shared" si="16"/>
        <v>1.3999999999999999E-2</v>
      </c>
      <c r="K39" s="699" t="str">
        <f>IF(OR(J39="na",E39="no"),"na",J39/Eqtn!$D$387)</f>
        <v>na</v>
      </c>
      <c r="L39" s="1496">
        <f>'AR-Eq'!I39</f>
        <v>5.4506666666666655E-2</v>
      </c>
      <c r="M39" s="699">
        <f>'AR-Eq'!J39</f>
        <v>4.492307692307692E-2</v>
      </c>
      <c r="N39" s="699">
        <f t="shared" si="17"/>
        <v>4.492307692307692E-2</v>
      </c>
      <c r="O39" s="1529" t="str">
        <f>IF(OR(N39="na",$E39="no"),"na",N39/Eqtn!$D$387)</f>
        <v>na</v>
      </c>
      <c r="P39" s="1529" t="s">
        <v>232</v>
      </c>
      <c r="Q39" s="760" t="s">
        <v>232</v>
      </c>
      <c r="S39" s="1062"/>
    </row>
    <row r="40" spans="1:19" ht="13.9" customHeight="1" x14ac:dyDescent="0.25">
      <c r="A40" s="847">
        <f>Chem!A40</f>
        <v>38</v>
      </c>
      <c r="B40" s="937" t="str">
        <f>Chem!B40</f>
        <v>Selenium</v>
      </c>
      <c r="C40" s="384">
        <f>'AR-Eq'!E40</f>
        <v>9.1428571428571423</v>
      </c>
      <c r="D40" s="343" t="str">
        <f>'AR-Eq'!F40</f>
        <v>na</v>
      </c>
      <c r="E40" s="1300" t="str">
        <f>Param!AF40</f>
        <v>no</v>
      </c>
      <c r="F40" s="573">
        <f t="shared" si="15"/>
        <v>9.1428571428571423</v>
      </c>
      <c r="G40" s="574" t="str">
        <f>IF(OR(F40="na",E40="no"),"na",F40/Eqtn!$D$387)</f>
        <v>na</v>
      </c>
      <c r="H40" s="306">
        <f>'AR-Eq'!G40</f>
        <v>20</v>
      </c>
      <c r="I40" s="306" t="str">
        <f>'AR-Eq'!H40</f>
        <v>na</v>
      </c>
      <c r="J40" s="693">
        <f t="shared" si="16"/>
        <v>20</v>
      </c>
      <c r="K40" s="699" t="str">
        <f>IF(OR(J40="na",E40="no"),"na",J40/Eqtn!$D$387)</f>
        <v>na</v>
      </c>
      <c r="L40" s="1496">
        <f>'AR-Eq'!I40</f>
        <v>77.866666666666646</v>
      </c>
      <c r="M40" s="699" t="str">
        <f>'AR-Eq'!J40</f>
        <v>na</v>
      </c>
      <c r="N40" s="699">
        <f t="shared" si="17"/>
        <v>77.866666666666646</v>
      </c>
      <c r="O40" s="1529" t="str">
        <f>IF(OR(N40="na",$E40="no"),"na",N40/Eqtn!$D$387)</f>
        <v>na</v>
      </c>
      <c r="P40" s="1529" t="s">
        <v>232</v>
      </c>
      <c r="Q40" s="760" t="s">
        <v>232</v>
      </c>
      <c r="S40" s="1062"/>
    </row>
    <row r="41" spans="1:19" ht="13.9" customHeight="1" x14ac:dyDescent="0.25">
      <c r="A41" s="847">
        <f>Chem!A41</f>
        <v>39</v>
      </c>
      <c r="B41" s="937" t="str">
        <f>Chem!B41</f>
        <v>Silver</v>
      </c>
      <c r="C41" s="384" t="str">
        <f>'AR-Eq'!E41</f>
        <v>na</v>
      </c>
      <c r="D41" s="343" t="str">
        <f>'AR-Eq'!F41</f>
        <v>na</v>
      </c>
      <c r="E41" s="1300" t="str">
        <f>Param!AF41</f>
        <v>no</v>
      </c>
      <c r="F41" s="573" t="str">
        <f t="shared" si="15"/>
        <v>na</v>
      </c>
      <c r="G41" s="574" t="str">
        <f>IF(OR(F41="na",E41="no"),"na",F41/Eqtn!$D$387)</f>
        <v>na</v>
      </c>
      <c r="H41" s="306" t="str">
        <f>'AR-Eq'!G41</f>
        <v>na</v>
      </c>
      <c r="I41" s="306" t="str">
        <f>'AR-Eq'!H41</f>
        <v>na</v>
      </c>
      <c r="J41" s="693" t="str">
        <f t="shared" si="16"/>
        <v>na</v>
      </c>
      <c r="K41" s="699" t="str">
        <f>IF(OR(J41="na",E41="no"),"na",J41/Eqtn!$D$387)</f>
        <v>na</v>
      </c>
      <c r="L41" s="1496" t="str">
        <f>'AR-Eq'!I41</f>
        <v>na</v>
      </c>
      <c r="M41" s="699" t="str">
        <f>'AR-Eq'!J41</f>
        <v>na</v>
      </c>
      <c r="N41" s="699" t="str">
        <f t="shared" si="17"/>
        <v>na</v>
      </c>
      <c r="O41" s="1529" t="str">
        <f>IF(OR(N41="na",$E41="no"),"na",N41/Eqtn!$D$387)</f>
        <v>na</v>
      </c>
      <c r="P41" s="1529" t="s">
        <v>232</v>
      </c>
      <c r="Q41" s="760" t="s">
        <v>232</v>
      </c>
      <c r="S41" s="1062"/>
    </row>
    <row r="42" spans="1:19" ht="13.9" customHeight="1" x14ac:dyDescent="0.25">
      <c r="A42" s="847">
        <f>Chem!A42</f>
        <v>40</v>
      </c>
      <c r="B42" s="937" t="str">
        <f>Chem!B42</f>
        <v>Thallium</v>
      </c>
      <c r="C42" s="384" t="str">
        <f>'AR-Eq'!E42</f>
        <v>na</v>
      </c>
      <c r="D42" s="343" t="str">
        <f>'AR-Eq'!F42</f>
        <v>na</v>
      </c>
      <c r="E42" s="1300" t="str">
        <f>Param!AF42</f>
        <v>no</v>
      </c>
      <c r="F42" s="573" t="str">
        <f t="shared" si="15"/>
        <v>na</v>
      </c>
      <c r="G42" s="574" t="str">
        <f>IF(OR(F42="na",E42="no"),"na",F42/Eqtn!$D$387)</f>
        <v>na</v>
      </c>
      <c r="H42" s="306" t="str">
        <f>'AR-Eq'!G42</f>
        <v>na</v>
      </c>
      <c r="I42" s="306" t="str">
        <f>'AR-Eq'!H42</f>
        <v>na</v>
      </c>
      <c r="J42" s="693" t="str">
        <f t="shared" si="16"/>
        <v>na</v>
      </c>
      <c r="K42" s="699" t="str">
        <f>IF(OR(J42="na",E42="no"),"na",J42/Eqtn!$D$387)</f>
        <v>na</v>
      </c>
      <c r="L42" s="1496" t="str">
        <f>'AR-Eq'!I42</f>
        <v>na</v>
      </c>
      <c r="M42" s="699" t="str">
        <f>'AR-Eq'!J42</f>
        <v>na</v>
      </c>
      <c r="N42" s="699" t="str">
        <f t="shared" si="17"/>
        <v>na</v>
      </c>
      <c r="O42" s="1529" t="str">
        <f>IF(OR(N42="na",$E42="no"),"na",N42/Eqtn!$D$387)</f>
        <v>na</v>
      </c>
      <c r="P42" s="1529" t="s">
        <v>232</v>
      </c>
      <c r="Q42" s="760" t="s">
        <v>232</v>
      </c>
      <c r="S42" s="1062"/>
    </row>
    <row r="43" spans="1:19" ht="13.9" customHeight="1" x14ac:dyDescent="0.25">
      <c r="A43" s="847">
        <f>Chem!A43</f>
        <v>41</v>
      </c>
      <c r="B43" s="937" t="str">
        <f>Chem!B43</f>
        <v>Tin</v>
      </c>
      <c r="C43" s="384" t="str">
        <f>'AR-Eq'!E43</f>
        <v>na</v>
      </c>
      <c r="D43" s="343" t="str">
        <f>'AR-Eq'!F43</f>
        <v>na</v>
      </c>
      <c r="E43" s="1300" t="str">
        <f>Param!AF43</f>
        <v>no</v>
      </c>
      <c r="F43" s="573" t="str">
        <f t="shared" si="15"/>
        <v>na</v>
      </c>
      <c r="G43" s="574" t="str">
        <f>IF(OR(F43="na",E43="no"),"na",F43/Eqtn!$D$387)</f>
        <v>na</v>
      </c>
      <c r="H43" s="306" t="str">
        <f>'AR-Eq'!G43</f>
        <v>na</v>
      </c>
      <c r="I43" s="306" t="str">
        <f>'AR-Eq'!H43</f>
        <v>na</v>
      </c>
      <c r="J43" s="693" t="str">
        <f t="shared" si="16"/>
        <v>na</v>
      </c>
      <c r="K43" s="699" t="str">
        <f>IF(OR(J43="na",E43="no"),"na",J43/Eqtn!$D$387)</f>
        <v>na</v>
      </c>
      <c r="L43" s="1496" t="str">
        <f>'AR-Eq'!I43</f>
        <v>na</v>
      </c>
      <c r="M43" s="699" t="str">
        <f>'AR-Eq'!J43</f>
        <v>na</v>
      </c>
      <c r="N43" s="699" t="str">
        <f t="shared" si="17"/>
        <v>na</v>
      </c>
      <c r="O43" s="1529" t="str">
        <f>IF(OR(N43="na",$E43="no"),"na",N43/Eqtn!$D$387)</f>
        <v>na</v>
      </c>
      <c r="P43" s="1529" t="s">
        <v>232</v>
      </c>
      <c r="Q43" s="760" t="s">
        <v>232</v>
      </c>
      <c r="S43" s="1062"/>
    </row>
    <row r="44" spans="1:19" ht="13.9" customHeight="1" x14ac:dyDescent="0.25">
      <c r="A44" s="847">
        <f>Chem!A44</f>
        <v>42</v>
      </c>
      <c r="B44" s="937" t="str">
        <f>Chem!B44</f>
        <v>Vanadium</v>
      </c>
      <c r="C44" s="392">
        <f>'AR-Eq'!E44</f>
        <v>4.5714285714285714E-2</v>
      </c>
      <c r="D44" s="532" t="str">
        <f>'AR-Eq'!F44</f>
        <v>na</v>
      </c>
      <c r="E44" s="1299" t="str">
        <f>Param!AF44</f>
        <v>no</v>
      </c>
      <c r="F44" s="573">
        <f t="shared" si="15"/>
        <v>4.5714285714285714E-2</v>
      </c>
      <c r="G44" s="574" t="str">
        <f>IF(OR(F44="na",E44="no"),"na",F44/Eqtn!$D$387)</f>
        <v>na</v>
      </c>
      <c r="H44" s="306">
        <f>'AR-Eq'!G44</f>
        <v>9.9999999999999992E-2</v>
      </c>
      <c r="I44" s="306" t="str">
        <f>'AR-Eq'!H44</f>
        <v>na</v>
      </c>
      <c r="J44" s="693">
        <f t="shared" si="16"/>
        <v>9.9999999999999992E-2</v>
      </c>
      <c r="K44" s="699" t="str">
        <f>IF(OR(J44="na",E44="no"),"na",J44/Eqtn!$D$387)</f>
        <v>na</v>
      </c>
      <c r="L44" s="1496">
        <f>'AR-Eq'!I44</f>
        <v>0.38933333333333325</v>
      </c>
      <c r="M44" s="699" t="str">
        <f>'AR-Eq'!J44</f>
        <v>na</v>
      </c>
      <c r="N44" s="699">
        <f t="shared" si="17"/>
        <v>0.38933333333333325</v>
      </c>
      <c r="O44" s="1529" t="str">
        <f>IF(OR(N44="na",$E44="no"),"na",N44/Eqtn!$D$387)</f>
        <v>na</v>
      </c>
      <c r="P44" s="1529" t="s">
        <v>232</v>
      </c>
      <c r="Q44" s="760" t="s">
        <v>232</v>
      </c>
      <c r="S44" s="1062"/>
    </row>
    <row r="45" spans="1:19" ht="13.9" customHeight="1" x14ac:dyDescent="0.25">
      <c r="A45" s="844">
        <f>Chem!A45</f>
        <v>43</v>
      </c>
      <c r="B45" s="937" t="str">
        <f>Chem!B45</f>
        <v>Zinc</v>
      </c>
      <c r="C45" s="392" t="str">
        <f>'AR-Eq'!E45</f>
        <v>na</v>
      </c>
      <c r="D45" s="532" t="str">
        <f>'AR-Eq'!F45</f>
        <v>na</v>
      </c>
      <c r="E45" s="1299" t="str">
        <f>Param!AF45</f>
        <v>no</v>
      </c>
      <c r="F45" s="573" t="str">
        <f t="shared" si="15"/>
        <v>na</v>
      </c>
      <c r="G45" s="574" t="str">
        <f>IF(OR(F45="na",E45="no"),"na",F45/Eqtn!$D$387)</f>
        <v>na</v>
      </c>
      <c r="H45" s="306" t="str">
        <f>'AR-Eq'!G45</f>
        <v>na</v>
      </c>
      <c r="I45" s="306" t="str">
        <f>'AR-Eq'!H45</f>
        <v>na</v>
      </c>
      <c r="J45" s="693" t="str">
        <f t="shared" si="16"/>
        <v>na</v>
      </c>
      <c r="K45" s="699" t="str">
        <f>IF(OR(J45="na",E45="no"),"na",J45/Eqtn!$D$387)</f>
        <v>na</v>
      </c>
      <c r="L45" s="1499" t="str">
        <f>'AR-Eq'!I45</f>
        <v>na</v>
      </c>
      <c r="M45" s="1500" t="str">
        <f>'AR-Eq'!J45</f>
        <v>na</v>
      </c>
      <c r="N45" s="1500" t="str">
        <f t="shared" si="17"/>
        <v>na</v>
      </c>
      <c r="O45" s="1530" t="str">
        <f>IF(OR(N45="na",$E45="no"),"na",N45/Eqtn!$D$387)</f>
        <v>na</v>
      </c>
      <c r="P45" s="1530" t="s">
        <v>232</v>
      </c>
      <c r="Q45" s="1501" t="s">
        <v>232</v>
      </c>
      <c r="S45" s="1062"/>
    </row>
    <row r="46" spans="1:19" ht="13.9" customHeight="1" x14ac:dyDescent="0.25">
      <c r="A46" s="906">
        <f>Chem!A46</f>
        <v>44</v>
      </c>
      <c r="B46" s="939" t="str">
        <f>Chem!B46</f>
        <v>Metals - Butyltins</v>
      </c>
      <c r="C46" s="259"/>
      <c r="D46" s="259"/>
      <c r="E46" s="259"/>
      <c r="F46" s="259"/>
      <c r="G46" s="259"/>
      <c r="H46" s="259"/>
      <c r="I46" s="259"/>
      <c r="J46" s="259"/>
      <c r="K46" s="259"/>
      <c r="L46" s="259"/>
      <c r="M46" s="259"/>
      <c r="N46" s="259"/>
      <c r="O46" s="259"/>
      <c r="P46" s="259"/>
      <c r="Q46" s="1533"/>
      <c r="S46" s="1063"/>
    </row>
    <row r="47" spans="1:19" ht="13.9" customHeight="1" x14ac:dyDescent="0.25">
      <c r="A47" s="847">
        <f>Chem!A47</f>
        <v>45</v>
      </c>
      <c r="B47" s="937" t="str">
        <f>Chem!B47</f>
        <v>Monobutyltin</v>
      </c>
      <c r="C47" s="384" t="str">
        <f>'AR-Eq'!E47</f>
        <v>na</v>
      </c>
      <c r="D47" s="343" t="str">
        <f>'AR-Eq'!F47</f>
        <v>na</v>
      </c>
      <c r="E47" s="1300" t="str">
        <f>Param!AF47</f>
        <v>no</v>
      </c>
      <c r="F47" s="573" t="str">
        <f>IF(C47="na",IF(D47="na","na",D47),MIN(C47,D47))</f>
        <v>na</v>
      </c>
      <c r="G47" s="574" t="str">
        <f>IF(OR(F47="na",E47="no"),"na",F47/Eqtn!$D$387)</f>
        <v>na</v>
      </c>
      <c r="H47" s="306" t="str">
        <f>'AR-Eq'!G47</f>
        <v>na</v>
      </c>
      <c r="I47" s="306" t="str">
        <f>'AR-Eq'!H47</f>
        <v>na</v>
      </c>
      <c r="J47" s="693" t="str">
        <f>IF(H47="na",IF(I47="na","na",I47),MIN(H47,I47))</f>
        <v>na</v>
      </c>
      <c r="K47" s="699" t="str">
        <f>IF(OR(J47="na",E47="no"),"na",J47/Eqtn!$D$387)</f>
        <v>na</v>
      </c>
      <c r="L47" s="1503" t="str">
        <f>'AR-Eq'!I47</f>
        <v>na</v>
      </c>
      <c r="M47" s="1504" t="str">
        <f>'AR-Eq'!J47</f>
        <v>na</v>
      </c>
      <c r="N47" s="1504" t="str">
        <f t="shared" ref="N47:N51" si="20">IF(L47="na",IF(M47="na","na",M47),MIN(L47,M47))</f>
        <v>na</v>
      </c>
      <c r="O47" s="1531" t="str">
        <f>IF(OR(N47="na",$E47="no"),"na",N47/Eqtn!$D$387)</f>
        <v>na</v>
      </c>
      <c r="P47" s="1531" t="s">
        <v>232</v>
      </c>
      <c r="Q47" s="1505" t="s">
        <v>232</v>
      </c>
      <c r="S47" s="1062"/>
    </row>
    <row r="48" spans="1:19" ht="13.9" customHeight="1" x14ac:dyDescent="0.25">
      <c r="A48" s="847">
        <f>Chem!A48</f>
        <v>46</v>
      </c>
      <c r="B48" s="937" t="str">
        <f>Chem!B48</f>
        <v>Dibutyltin</v>
      </c>
      <c r="C48" s="384" t="str">
        <f>'AR-Eq'!E48</f>
        <v>na</v>
      </c>
      <c r="D48" s="343" t="str">
        <f>'AR-Eq'!F48</f>
        <v>na</v>
      </c>
      <c r="E48" s="1300" t="str">
        <f>Param!AF48</f>
        <v>no</v>
      </c>
      <c r="F48" s="573" t="str">
        <f>IF(C48="na",IF(D48="na","na",D48),MIN(C48,D48))</f>
        <v>na</v>
      </c>
      <c r="G48" s="574" t="str">
        <f>IF(OR(F48="na",E48="no"),"na",F48/Eqtn!$D$387)</f>
        <v>na</v>
      </c>
      <c r="H48" s="306" t="str">
        <f>'AR-Eq'!G48</f>
        <v>na</v>
      </c>
      <c r="I48" s="306" t="str">
        <f>'AR-Eq'!H48</f>
        <v>na</v>
      </c>
      <c r="J48" s="693" t="str">
        <f>IF(H48="na",IF(I48="na","na",I48),MIN(H48,I48))</f>
        <v>na</v>
      </c>
      <c r="K48" s="699" t="str">
        <f>IF(OR(J48="na",E48="no"),"na",J48/Eqtn!$D$387)</f>
        <v>na</v>
      </c>
      <c r="L48" s="1496" t="str">
        <f>'AR-Eq'!I48</f>
        <v>na</v>
      </c>
      <c r="M48" s="699" t="str">
        <f>'AR-Eq'!J48</f>
        <v>na</v>
      </c>
      <c r="N48" s="699" t="str">
        <f t="shared" si="20"/>
        <v>na</v>
      </c>
      <c r="O48" s="1529" t="str">
        <f>IF(OR(N48="na",$E48="no"),"na",N48/Eqtn!$D$387)</f>
        <v>na</v>
      </c>
      <c r="P48" s="1529" t="s">
        <v>232</v>
      </c>
      <c r="Q48" s="760" t="s">
        <v>232</v>
      </c>
      <c r="S48" s="1062"/>
    </row>
    <row r="49" spans="1:19" ht="13.9" customHeight="1" x14ac:dyDescent="0.25">
      <c r="A49" s="847">
        <f>Chem!A49</f>
        <v>47</v>
      </c>
      <c r="B49" s="937" t="str">
        <f>Chem!B49</f>
        <v>Tributyl tin</v>
      </c>
      <c r="C49" s="384" t="str">
        <f>'AR-Eq'!E49</f>
        <v>na</v>
      </c>
      <c r="D49" s="343" t="str">
        <f>'AR-Eq'!F49</f>
        <v>na</v>
      </c>
      <c r="E49" s="1300" t="str">
        <f>Param!AF49</f>
        <v>no</v>
      </c>
      <c r="F49" s="573" t="str">
        <f>IF(C49="na",IF(D49="na","na",D49),MIN(C49,D49))</f>
        <v>na</v>
      </c>
      <c r="G49" s="574" t="str">
        <f>IF(OR(F49="na",E49="no"),"na",F49/Eqtn!$D$387)</f>
        <v>na</v>
      </c>
      <c r="H49" s="306" t="str">
        <f>'AR-Eq'!G49</f>
        <v>na</v>
      </c>
      <c r="I49" s="306" t="str">
        <f>'AR-Eq'!H49</f>
        <v>na</v>
      </c>
      <c r="J49" s="693" t="str">
        <f>IF(H49="na",IF(I49="na","na",I49),MIN(H49,I49))</f>
        <v>na</v>
      </c>
      <c r="K49" s="699" t="str">
        <f>IF(OR(J49="na",E49="no"),"na",J49/Eqtn!$D$387)</f>
        <v>na</v>
      </c>
      <c r="L49" s="1496" t="str">
        <f>'AR-Eq'!I49</f>
        <v>na</v>
      </c>
      <c r="M49" s="699" t="str">
        <f>'AR-Eq'!J49</f>
        <v>na</v>
      </c>
      <c r="N49" s="699" t="str">
        <f t="shared" ref="N49" si="21">IF(L49="na",IF(M49="na","na",M49),MIN(L49,M49))</f>
        <v>na</v>
      </c>
      <c r="O49" s="1529" t="str">
        <f>IF(OR(N49="na",$E49="no"),"na",N49/Eqtn!$D$387)</f>
        <v>na</v>
      </c>
      <c r="P49" s="1529" t="s">
        <v>232</v>
      </c>
      <c r="Q49" s="760" t="s">
        <v>232</v>
      </c>
      <c r="S49" s="1062"/>
    </row>
    <row r="50" spans="1:19" ht="13.9" customHeight="1" x14ac:dyDescent="0.25">
      <c r="A50" s="847">
        <f>Chem!A50</f>
        <v>48</v>
      </c>
      <c r="B50" s="937" t="str">
        <f>Chem!B50</f>
        <v>Tributyltin oxide</v>
      </c>
      <c r="C50" s="384" t="str">
        <f>'AR-Eq'!E50</f>
        <v>na</v>
      </c>
      <c r="D50" s="343" t="str">
        <f>'AR-Eq'!F50</f>
        <v>na</v>
      </c>
      <c r="E50" s="1300" t="str">
        <f>Param!AF50</f>
        <v>no</v>
      </c>
      <c r="F50" s="573" t="str">
        <f>IF(C50="na",IF(D50="na","na",D50),MIN(C50,D50))</f>
        <v>na</v>
      </c>
      <c r="G50" s="574" t="str">
        <f>IF(OR(F50="na",E50="no"),"na",F50/Eqtn!$D$387)</f>
        <v>na</v>
      </c>
      <c r="H50" s="306" t="str">
        <f>'AR-Eq'!G50</f>
        <v>na</v>
      </c>
      <c r="I50" s="306" t="str">
        <f>'AR-Eq'!H50</f>
        <v>na</v>
      </c>
      <c r="J50" s="693" t="str">
        <f>IF(H50="na",IF(I50="na","na",I50),MIN(H50,I50))</f>
        <v>na</v>
      </c>
      <c r="K50" s="699" t="str">
        <f>IF(OR(J50="na",E50="no"),"na",J50/Eqtn!$D$387)</f>
        <v>na</v>
      </c>
      <c r="L50" s="1496" t="str">
        <f>'AR-Eq'!I50</f>
        <v>na</v>
      </c>
      <c r="M50" s="699" t="str">
        <f>'AR-Eq'!J50</f>
        <v>na</v>
      </c>
      <c r="N50" s="699" t="str">
        <f t="shared" si="20"/>
        <v>na</v>
      </c>
      <c r="O50" s="1529" t="str">
        <f>IF(OR(N50="na",$E50="no"),"na",N50/Eqtn!$D$387)</f>
        <v>na</v>
      </c>
      <c r="P50" s="1529" t="s">
        <v>232</v>
      </c>
      <c r="Q50" s="760" t="s">
        <v>232</v>
      </c>
      <c r="S50" s="1062"/>
    </row>
    <row r="51" spans="1:19" ht="13.9" customHeight="1" x14ac:dyDescent="0.25">
      <c r="A51" s="847">
        <f>Chem!A51</f>
        <v>49</v>
      </c>
      <c r="B51" s="937" t="str">
        <f>Chem!B51</f>
        <v>Tetrabutyltin</v>
      </c>
      <c r="C51" s="384" t="str">
        <f>'AR-Eq'!E51</f>
        <v>na</v>
      </c>
      <c r="D51" s="343" t="str">
        <f>'AR-Eq'!F51</f>
        <v>na</v>
      </c>
      <c r="E51" s="1300" t="str">
        <f>Param!AF51</f>
        <v>no</v>
      </c>
      <c r="F51" s="573" t="str">
        <f>IF(C51="na",IF(D51="na","na",D51),MIN(C51,D51))</f>
        <v>na</v>
      </c>
      <c r="G51" s="574" t="str">
        <f>IF(OR(F51="na",E51="no"),"na",F51/Eqtn!$D$387)</f>
        <v>na</v>
      </c>
      <c r="H51" s="306" t="str">
        <f>'AR-Eq'!G51</f>
        <v>na</v>
      </c>
      <c r="I51" s="306" t="str">
        <f>'AR-Eq'!H51</f>
        <v>na</v>
      </c>
      <c r="J51" s="693" t="str">
        <f>IF(H51="na",IF(I51="na","na",I51),MIN(H51,I51))</f>
        <v>na</v>
      </c>
      <c r="K51" s="699" t="str">
        <f>IF(OR(J51="na",E51="no"),"na",J51/Eqtn!$D$387)</f>
        <v>na</v>
      </c>
      <c r="L51" s="1499" t="str">
        <f>'AR-Eq'!I51</f>
        <v>na</v>
      </c>
      <c r="M51" s="1500" t="str">
        <f>'AR-Eq'!J51</f>
        <v>na</v>
      </c>
      <c r="N51" s="1500" t="str">
        <f t="shared" si="20"/>
        <v>na</v>
      </c>
      <c r="O51" s="1530" t="str">
        <f>IF(OR(N51="na",$E51="no"),"na",N51/Eqtn!$D$387)</f>
        <v>na</v>
      </c>
      <c r="P51" s="1530" t="s">
        <v>232</v>
      </c>
      <c r="Q51" s="1501" t="s">
        <v>232</v>
      </c>
      <c r="S51" s="1062"/>
    </row>
    <row r="52" spans="1:19" ht="13.9" customHeight="1" x14ac:dyDescent="0.25">
      <c r="A52" s="906">
        <f>Chem!A52</f>
        <v>50</v>
      </c>
      <c r="B52" s="939" t="str">
        <f>Chem!B52</f>
        <v>SVOCs - PAHs</v>
      </c>
      <c r="C52" s="259"/>
      <c r="D52" s="259"/>
      <c r="E52" s="259"/>
      <c r="F52" s="259"/>
      <c r="G52" s="259"/>
      <c r="H52" s="259"/>
      <c r="I52" s="259"/>
      <c r="J52" s="259"/>
      <c r="K52" s="259"/>
      <c r="L52" s="259"/>
      <c r="M52" s="259"/>
      <c r="N52" s="259"/>
      <c r="O52" s="259"/>
      <c r="P52" s="259"/>
      <c r="Q52" s="1533"/>
      <c r="S52" s="1063"/>
    </row>
    <row r="53" spans="1:19" ht="13.9" customHeight="1" x14ac:dyDescent="0.25">
      <c r="A53" s="846">
        <f>Chem!A53</f>
        <v>51</v>
      </c>
      <c r="B53" s="937" t="str">
        <f>Chem!B53</f>
        <v>Acenaphthene</v>
      </c>
      <c r="C53" s="387" t="str">
        <f>'AR-Eq'!E53</f>
        <v>na</v>
      </c>
      <c r="D53" s="531" t="str">
        <f>'AR-Eq'!F53</f>
        <v>na</v>
      </c>
      <c r="E53" s="1301" t="str">
        <f>Param!AF53</f>
        <v>no</v>
      </c>
      <c r="F53" s="573" t="str">
        <f t="shared" ref="F53:F77" si="22">IF(C53="na",IF(D53="na","na",D53),MIN(C53,D53))</f>
        <v>na</v>
      </c>
      <c r="G53" s="574" t="str">
        <f>IF(OR(F53="na",E53="no"),"na",F53/Eqtn!$D$387)</f>
        <v>na</v>
      </c>
      <c r="H53" s="306" t="str">
        <f>'AR-Eq'!G53</f>
        <v>na</v>
      </c>
      <c r="I53" s="306" t="str">
        <f>'AR-Eq'!H53</f>
        <v>na</v>
      </c>
      <c r="J53" s="693" t="str">
        <f t="shared" ref="J53:J77" si="23">IF(H53="na",IF(I53="na","na",I53),MIN(H53,I53))</f>
        <v>na</v>
      </c>
      <c r="K53" s="699" t="str">
        <f>IF(OR(J53="na",E53="no"),"na",J53/Eqtn!$D$387)</f>
        <v>na</v>
      </c>
      <c r="L53" s="1503" t="str">
        <f>'AR-Eq'!I53</f>
        <v>na</v>
      </c>
      <c r="M53" s="1504" t="str">
        <f>'AR-Eq'!J53</f>
        <v>na</v>
      </c>
      <c r="N53" s="1504" t="str">
        <f t="shared" ref="N53:N77" si="24">IF(L53="na",IF(M53="na","na",M53),MIN(L53,M53))</f>
        <v>na</v>
      </c>
      <c r="O53" s="1531" t="str">
        <f>IF(OR(N53="na",$E53="no"),"na",N53/Eqtn!$D$387)</f>
        <v>na</v>
      </c>
      <c r="P53" s="1531" t="s">
        <v>232</v>
      </c>
      <c r="Q53" s="1505" t="s">
        <v>232</v>
      </c>
      <c r="S53" s="1062"/>
    </row>
    <row r="54" spans="1:19" ht="13.9" customHeight="1" x14ac:dyDescent="0.25">
      <c r="A54" s="847">
        <f>Chem!A54</f>
        <v>52</v>
      </c>
      <c r="B54" s="937" t="str">
        <f>Chem!B54</f>
        <v>Acenaphthylene</v>
      </c>
      <c r="C54" s="384" t="str">
        <f>'AR-Eq'!E54</f>
        <v>na</v>
      </c>
      <c r="D54" s="343" t="str">
        <f>'AR-Eq'!F54</f>
        <v>na</v>
      </c>
      <c r="E54" s="1300" t="str">
        <f>Param!AF54</f>
        <v>no</v>
      </c>
      <c r="F54" s="573" t="str">
        <f t="shared" si="22"/>
        <v>na</v>
      </c>
      <c r="G54" s="574" t="str">
        <f>IF(OR(F54="na",E54="no"),"na",F54/Eqtn!$D$387)</f>
        <v>na</v>
      </c>
      <c r="H54" s="306" t="str">
        <f>'AR-Eq'!G54</f>
        <v>na</v>
      </c>
      <c r="I54" s="306" t="str">
        <f>'AR-Eq'!H54</f>
        <v>na</v>
      </c>
      <c r="J54" s="693" t="str">
        <f t="shared" si="23"/>
        <v>na</v>
      </c>
      <c r="K54" s="699" t="str">
        <f>IF(OR(J54="na",E54="no"),"na",J54/Eqtn!$D$387)</f>
        <v>na</v>
      </c>
      <c r="L54" s="1496" t="str">
        <f>'AR-Eq'!I54</f>
        <v>na</v>
      </c>
      <c r="M54" s="699" t="str">
        <f>'AR-Eq'!J54</f>
        <v>na</v>
      </c>
      <c r="N54" s="699" t="str">
        <f t="shared" si="24"/>
        <v>na</v>
      </c>
      <c r="O54" s="1529" t="str">
        <f>IF(OR(N54="na",$E54="no"),"na",N54/Eqtn!$D$387)</f>
        <v>na</v>
      </c>
      <c r="P54" s="1529" t="s">
        <v>232</v>
      </c>
      <c r="Q54" s="760" t="s">
        <v>232</v>
      </c>
      <c r="S54" s="1062"/>
    </row>
    <row r="55" spans="1:19" ht="13.9" customHeight="1" x14ac:dyDescent="0.25">
      <c r="A55" s="847">
        <f>Chem!A55</f>
        <v>53</v>
      </c>
      <c r="B55" s="937" t="str">
        <f>Chem!B55</f>
        <v>Anthracene</v>
      </c>
      <c r="C55" s="384" t="str">
        <f>'AR-Eq'!E55</f>
        <v>na</v>
      </c>
      <c r="D55" s="343" t="str">
        <f>'AR-Eq'!F55</f>
        <v>na</v>
      </c>
      <c r="E55" s="1300" t="str">
        <f>Param!AF55</f>
        <v>no</v>
      </c>
      <c r="F55" s="573" t="str">
        <f t="shared" si="22"/>
        <v>na</v>
      </c>
      <c r="G55" s="574" t="str">
        <f>IF(OR(F55="na",E55="no"),"na",F55/Eqtn!$D$387)</f>
        <v>na</v>
      </c>
      <c r="H55" s="306" t="str">
        <f>'AR-Eq'!G55</f>
        <v>na</v>
      </c>
      <c r="I55" s="306" t="str">
        <f>'AR-Eq'!H55</f>
        <v>na</v>
      </c>
      <c r="J55" s="693" t="str">
        <f t="shared" si="23"/>
        <v>na</v>
      </c>
      <c r="K55" s="699" t="str">
        <f>IF(OR(J55="na",E55="no"),"na",J55/Eqtn!$D$387)</f>
        <v>na</v>
      </c>
      <c r="L55" s="1496" t="str">
        <f>'AR-Eq'!I55</f>
        <v>na</v>
      </c>
      <c r="M55" s="699" t="str">
        <f>'AR-Eq'!J55</f>
        <v>na</v>
      </c>
      <c r="N55" s="699" t="str">
        <f t="shared" si="24"/>
        <v>na</v>
      </c>
      <c r="O55" s="1529" t="str">
        <f>IF(OR(N55="na",$E55="no"),"na",N55/Eqtn!$D$387)</f>
        <v>na</v>
      </c>
      <c r="P55" s="1529" t="s">
        <v>232</v>
      </c>
      <c r="Q55" s="760" t="s">
        <v>232</v>
      </c>
      <c r="S55" s="1062"/>
    </row>
    <row r="56" spans="1:19" ht="13.9" customHeight="1" x14ac:dyDescent="0.25">
      <c r="A56" s="847">
        <f>Chem!A56</f>
        <v>54</v>
      </c>
      <c r="B56" s="937" t="str">
        <f>Chem!B56</f>
        <v>Benzo(a)anthracene</v>
      </c>
      <c r="C56" s="384" t="str">
        <f>'AR-Eq'!E56</f>
        <v>na</v>
      </c>
      <c r="D56" s="343" t="str">
        <f>'AR-Eq'!F56</f>
        <v>na</v>
      </c>
      <c r="E56" s="1300" t="str">
        <f>Param!AF56</f>
        <v>no</v>
      </c>
      <c r="F56" s="573" t="str">
        <f t="shared" si="22"/>
        <v>na</v>
      </c>
      <c r="G56" s="574" t="str">
        <f>IF(OR(F56="na",E56="no"),"na",F56/Eqtn!$D$387)</f>
        <v>na</v>
      </c>
      <c r="H56" s="306" t="str">
        <f>'AR-Eq'!G56</f>
        <v>na</v>
      </c>
      <c r="I56" s="306" t="str">
        <f>'AR-Eq'!H56</f>
        <v>na</v>
      </c>
      <c r="J56" s="693" t="str">
        <f t="shared" si="23"/>
        <v>na</v>
      </c>
      <c r="K56" s="699" t="str">
        <f>IF(OR(J56="na",E56="no"),"na",J56/Eqtn!$D$387)</f>
        <v>na</v>
      </c>
      <c r="L56" s="1496" t="str">
        <f>'AR-Eq'!I56</f>
        <v>na</v>
      </c>
      <c r="M56" s="699" t="str">
        <f>'AR-Eq'!J56</f>
        <v>na</v>
      </c>
      <c r="N56" s="699" t="str">
        <f t="shared" si="24"/>
        <v>na</v>
      </c>
      <c r="O56" s="1529" t="str">
        <f>IF(OR(N56="na",$E56="no"),"na",N56/Eqtn!$D$387)</f>
        <v>na</v>
      </c>
      <c r="P56" s="1529" t="s">
        <v>232</v>
      </c>
      <c r="Q56" s="760" t="s">
        <v>232</v>
      </c>
      <c r="S56" s="1062"/>
    </row>
    <row r="57" spans="1:19" ht="13.9" customHeight="1" x14ac:dyDescent="0.25">
      <c r="A57" s="847">
        <f>Chem!A57</f>
        <v>55</v>
      </c>
      <c r="B57" s="937" t="str">
        <f>Chem!B57</f>
        <v>Benzo(b)fluoranthene</v>
      </c>
      <c r="C57" s="384" t="str">
        <f>'AR-Eq'!E57</f>
        <v>na</v>
      </c>
      <c r="D57" s="343" t="str">
        <f>'AR-Eq'!F57</f>
        <v>na</v>
      </c>
      <c r="E57" s="1300" t="str">
        <f>Param!AF57</f>
        <v>no</v>
      </c>
      <c r="F57" s="573" t="str">
        <f t="shared" si="22"/>
        <v>na</v>
      </c>
      <c r="G57" s="574" t="str">
        <f>IF(OR(F57="na",E57="no"),"na",F57/Eqtn!$D$387)</f>
        <v>na</v>
      </c>
      <c r="H57" s="306" t="str">
        <f>'AR-Eq'!G57</f>
        <v>na</v>
      </c>
      <c r="I57" s="306" t="str">
        <f>'AR-Eq'!H57</f>
        <v>na</v>
      </c>
      <c r="J57" s="693" t="str">
        <f t="shared" si="23"/>
        <v>na</v>
      </c>
      <c r="K57" s="699" t="str">
        <f>IF(OR(J57="na",E57="no"),"na",J57/Eqtn!$D$387)</f>
        <v>na</v>
      </c>
      <c r="L57" s="1496" t="str">
        <f>'AR-Eq'!I57</f>
        <v>na</v>
      </c>
      <c r="M57" s="699" t="str">
        <f>'AR-Eq'!J57</f>
        <v>na</v>
      </c>
      <c r="N57" s="699" t="str">
        <f t="shared" si="24"/>
        <v>na</v>
      </c>
      <c r="O57" s="1529" t="str">
        <f>IF(OR(N57="na",$E57="no"),"na",N57/Eqtn!$D$387)</f>
        <v>na</v>
      </c>
      <c r="P57" s="1529" t="s">
        <v>232</v>
      </c>
      <c r="Q57" s="760" t="s">
        <v>232</v>
      </c>
      <c r="S57" s="1062"/>
    </row>
    <row r="58" spans="1:19" ht="13.9" customHeight="1" x14ac:dyDescent="0.25">
      <c r="A58" s="847">
        <f>Chem!A58</f>
        <v>56</v>
      </c>
      <c r="B58" s="937" t="str">
        <f>Chem!B58</f>
        <v>Benzo(k)fluoranthene</v>
      </c>
      <c r="C58" s="384" t="str">
        <f>'AR-Eq'!E58</f>
        <v>na</v>
      </c>
      <c r="D58" s="343" t="str">
        <f>'AR-Eq'!F58</f>
        <v>na</v>
      </c>
      <c r="E58" s="1300" t="str">
        <f>Param!AF58</f>
        <v>no</v>
      </c>
      <c r="F58" s="573" t="str">
        <f t="shared" si="22"/>
        <v>na</v>
      </c>
      <c r="G58" s="574" t="str">
        <f>IF(OR(F58="na",E58="no"),"na",F58/Eqtn!$D$387)</f>
        <v>na</v>
      </c>
      <c r="H58" s="306" t="str">
        <f>'AR-Eq'!G58</f>
        <v>na</v>
      </c>
      <c r="I58" s="306" t="str">
        <f>'AR-Eq'!H58</f>
        <v>na</v>
      </c>
      <c r="J58" s="693" t="str">
        <f t="shared" si="23"/>
        <v>na</v>
      </c>
      <c r="K58" s="699" t="str">
        <f>IF(OR(J58="na",E58="no"),"na",J58/Eqtn!$D$387)</f>
        <v>na</v>
      </c>
      <c r="L58" s="1496" t="str">
        <f>'AR-Eq'!I58</f>
        <v>na</v>
      </c>
      <c r="M58" s="699" t="str">
        <f>'AR-Eq'!J58</f>
        <v>na</v>
      </c>
      <c r="N58" s="699" t="str">
        <f t="shared" si="24"/>
        <v>na</v>
      </c>
      <c r="O58" s="1529" t="str">
        <f>IF(OR(N58="na",$E58="no"),"na",N58/Eqtn!$D$387)</f>
        <v>na</v>
      </c>
      <c r="P58" s="1529" t="s">
        <v>232</v>
      </c>
      <c r="Q58" s="760" t="s">
        <v>232</v>
      </c>
      <c r="S58" s="1062"/>
    </row>
    <row r="59" spans="1:19" ht="13.9" customHeight="1" x14ac:dyDescent="0.25">
      <c r="A59" s="847">
        <f>Chem!A59</f>
        <v>57</v>
      </c>
      <c r="B59" s="937" t="str">
        <f>Chem!B59</f>
        <v>Total benzofluoranthenes</v>
      </c>
      <c r="C59" s="384" t="str">
        <f>'AR-Eq'!E59</f>
        <v>na</v>
      </c>
      <c r="D59" s="343" t="str">
        <f>'AR-Eq'!F59</f>
        <v>na</v>
      </c>
      <c r="E59" s="1300" t="str">
        <f>Param!AF59</f>
        <v>no</v>
      </c>
      <c r="F59" s="573" t="str">
        <f t="shared" si="22"/>
        <v>na</v>
      </c>
      <c r="G59" s="574" t="str">
        <f>IF(OR(F59="na",E59="no"),"na",F59/Eqtn!$D$387)</f>
        <v>na</v>
      </c>
      <c r="H59" s="306" t="str">
        <f>'AR-Eq'!G59</f>
        <v>na</v>
      </c>
      <c r="I59" s="306" t="str">
        <f>'AR-Eq'!H59</f>
        <v>na</v>
      </c>
      <c r="J59" s="693" t="str">
        <f t="shared" si="23"/>
        <v>na</v>
      </c>
      <c r="K59" s="699" t="str">
        <f>IF(OR(J59="na",E59="no"),"na",J59/Eqtn!$D$387)</f>
        <v>na</v>
      </c>
      <c r="L59" s="1496" t="str">
        <f>'AR-Eq'!I59</f>
        <v>na</v>
      </c>
      <c r="M59" s="699" t="str">
        <f>'AR-Eq'!J59</f>
        <v>na</v>
      </c>
      <c r="N59" s="699" t="str">
        <f t="shared" si="24"/>
        <v>na</v>
      </c>
      <c r="O59" s="1529" t="str">
        <f>IF(OR(N59="na",$E59="no"),"na",N59/Eqtn!$D$387)</f>
        <v>na</v>
      </c>
      <c r="P59" s="1529" t="s">
        <v>232</v>
      </c>
      <c r="Q59" s="760" t="s">
        <v>232</v>
      </c>
      <c r="S59" s="1062"/>
    </row>
    <row r="60" spans="1:19" ht="13.9" customHeight="1" x14ac:dyDescent="0.25">
      <c r="A60" s="847">
        <f>Chem!A60</f>
        <v>58</v>
      </c>
      <c r="B60" s="937" t="str">
        <f>Chem!B60</f>
        <v>Benzo(g,h,i)perylene</v>
      </c>
      <c r="C60" s="384" t="str">
        <f>'AR-Eq'!E60</f>
        <v>na</v>
      </c>
      <c r="D60" s="343" t="str">
        <f>'AR-Eq'!F60</f>
        <v>na</v>
      </c>
      <c r="E60" s="1300" t="str">
        <f>Param!AF60</f>
        <v>no</v>
      </c>
      <c r="F60" s="573" t="str">
        <f t="shared" si="22"/>
        <v>na</v>
      </c>
      <c r="G60" s="574" t="str">
        <f>IF(OR(F60="na",E60="no"),"na",F60/Eqtn!$D$387)</f>
        <v>na</v>
      </c>
      <c r="H60" s="306" t="str">
        <f>'AR-Eq'!G60</f>
        <v>na</v>
      </c>
      <c r="I60" s="306" t="str">
        <f>'AR-Eq'!H60</f>
        <v>na</v>
      </c>
      <c r="J60" s="693" t="str">
        <f t="shared" si="23"/>
        <v>na</v>
      </c>
      <c r="K60" s="699" t="str">
        <f>IF(OR(J60="na",E60="no"),"na",J60/Eqtn!$D$387)</f>
        <v>na</v>
      </c>
      <c r="L60" s="1496" t="str">
        <f>'AR-Eq'!I60</f>
        <v>na</v>
      </c>
      <c r="M60" s="699" t="str">
        <f>'AR-Eq'!J60</f>
        <v>na</v>
      </c>
      <c r="N60" s="699" t="str">
        <f t="shared" si="24"/>
        <v>na</v>
      </c>
      <c r="O60" s="1529" t="str">
        <f>IF(OR(N60="na",$E60="no"),"na",N60/Eqtn!$D$387)</f>
        <v>na</v>
      </c>
      <c r="P60" s="1529" t="s">
        <v>232</v>
      </c>
      <c r="Q60" s="760" t="s">
        <v>232</v>
      </c>
      <c r="S60" s="1062"/>
    </row>
    <row r="61" spans="1:19" ht="13.9" customHeight="1" x14ac:dyDescent="0.25">
      <c r="A61" s="847">
        <f>Chem!A61</f>
        <v>59</v>
      </c>
      <c r="B61" s="937" t="str">
        <f>Chem!B61</f>
        <v>Benzo(a)pyrene</v>
      </c>
      <c r="C61" s="384" t="str">
        <f>'AR-Eq'!E61</f>
        <v>na</v>
      </c>
      <c r="D61" s="343" t="str">
        <f>'AR-Eq'!F61</f>
        <v>na</v>
      </c>
      <c r="E61" s="1300" t="str">
        <f>Param!AF61</f>
        <v>no</v>
      </c>
      <c r="F61" s="573" t="str">
        <f t="shared" si="22"/>
        <v>na</v>
      </c>
      <c r="G61" s="574" t="str">
        <f>IF(OR(F61="na",E61="no"),"na",F61/Eqtn!$D$387)</f>
        <v>na</v>
      </c>
      <c r="H61" s="306" t="str">
        <f>'AR-Eq'!G61</f>
        <v>na</v>
      </c>
      <c r="I61" s="306" t="str">
        <f>'AR-Eq'!H61</f>
        <v>na</v>
      </c>
      <c r="J61" s="693" t="str">
        <f t="shared" si="23"/>
        <v>na</v>
      </c>
      <c r="K61" s="699" t="str">
        <f>IF(OR(J61="na",E61="no"),"na",J61/Eqtn!$D$387)</f>
        <v>na</v>
      </c>
      <c r="L61" s="1496" t="str">
        <f>'AR-Eq'!I61</f>
        <v>na</v>
      </c>
      <c r="M61" s="699" t="str">
        <f>'AR-Eq'!J61</f>
        <v>na</v>
      </c>
      <c r="N61" s="699" t="str">
        <f t="shared" si="24"/>
        <v>na</v>
      </c>
      <c r="O61" s="1529" t="str">
        <f>IF(OR(N61="na",$E61="no"),"na",N61/Eqtn!$D$387)</f>
        <v>na</v>
      </c>
      <c r="P61" s="1529" t="s">
        <v>232</v>
      </c>
      <c r="Q61" s="760" t="s">
        <v>232</v>
      </c>
      <c r="S61" s="1062"/>
    </row>
    <row r="62" spans="1:19" ht="13.9" customHeight="1" x14ac:dyDescent="0.25">
      <c r="A62" s="847">
        <f>Chem!A62</f>
        <v>60</v>
      </c>
      <c r="B62" s="937" t="str">
        <f>Chem!B62</f>
        <v>Chrysene</v>
      </c>
      <c r="C62" s="384" t="str">
        <f>'AR-Eq'!E62</f>
        <v>na</v>
      </c>
      <c r="D62" s="343" t="str">
        <f>'AR-Eq'!F62</f>
        <v>na</v>
      </c>
      <c r="E62" s="1300" t="str">
        <f>Param!AF62</f>
        <v>no</v>
      </c>
      <c r="F62" s="573" t="str">
        <f t="shared" si="22"/>
        <v>na</v>
      </c>
      <c r="G62" s="574" t="str">
        <f>IF(OR(F62="na",E62="no"),"na",F62/Eqtn!$D$387)</f>
        <v>na</v>
      </c>
      <c r="H62" s="306" t="str">
        <f>'AR-Eq'!G62</f>
        <v>na</v>
      </c>
      <c r="I62" s="306" t="str">
        <f>'AR-Eq'!H62</f>
        <v>na</v>
      </c>
      <c r="J62" s="693" t="str">
        <f t="shared" si="23"/>
        <v>na</v>
      </c>
      <c r="K62" s="699" t="str">
        <f>IF(OR(J62="na",E62="no"),"na",J62/Eqtn!$D$387)</f>
        <v>na</v>
      </c>
      <c r="L62" s="1496" t="str">
        <f>'AR-Eq'!I62</f>
        <v>na</v>
      </c>
      <c r="M62" s="699" t="str">
        <f>'AR-Eq'!J62</f>
        <v>na</v>
      </c>
      <c r="N62" s="699" t="str">
        <f t="shared" si="24"/>
        <v>na</v>
      </c>
      <c r="O62" s="1529" t="str">
        <f>IF(OR(N62="na",$E62="no"),"na",N62/Eqtn!$D$387)</f>
        <v>na</v>
      </c>
      <c r="P62" s="1529" t="s">
        <v>232</v>
      </c>
      <c r="Q62" s="760" t="s">
        <v>232</v>
      </c>
      <c r="S62" s="1062"/>
    </row>
    <row r="63" spans="1:19" ht="13.9" customHeight="1" x14ac:dyDescent="0.25">
      <c r="A63" s="847">
        <f>Chem!A63</f>
        <v>61</v>
      </c>
      <c r="B63" s="937" t="str">
        <f>Chem!B63</f>
        <v>Dibenz(a,h)anthracene</v>
      </c>
      <c r="C63" s="384" t="str">
        <f>'AR-Eq'!E63</f>
        <v>na</v>
      </c>
      <c r="D63" s="343" t="str">
        <f>'AR-Eq'!F63</f>
        <v>na</v>
      </c>
      <c r="E63" s="1300" t="str">
        <f>Param!AF63</f>
        <v>no</v>
      </c>
      <c r="F63" s="573" t="str">
        <f t="shared" si="22"/>
        <v>na</v>
      </c>
      <c r="G63" s="574" t="str">
        <f>IF(OR(F63="na",E63="no"),"na",F63/Eqtn!$D$387)</f>
        <v>na</v>
      </c>
      <c r="H63" s="306" t="str">
        <f>'AR-Eq'!G63</f>
        <v>na</v>
      </c>
      <c r="I63" s="306" t="str">
        <f>'AR-Eq'!H63</f>
        <v>na</v>
      </c>
      <c r="J63" s="693" t="str">
        <f t="shared" si="23"/>
        <v>na</v>
      </c>
      <c r="K63" s="699" t="str">
        <f>IF(OR(J63="na",E63="no"),"na",J63/Eqtn!$D$387)</f>
        <v>na</v>
      </c>
      <c r="L63" s="1496" t="str">
        <f>'AR-Eq'!I63</f>
        <v>na</v>
      </c>
      <c r="M63" s="699" t="str">
        <f>'AR-Eq'!J63</f>
        <v>na</v>
      </c>
      <c r="N63" s="699" t="str">
        <f t="shared" si="24"/>
        <v>na</v>
      </c>
      <c r="O63" s="1529" t="str">
        <f>IF(OR(N63="na",$E63="no"),"na",N63/Eqtn!$D$387)</f>
        <v>na</v>
      </c>
      <c r="P63" s="1529" t="s">
        <v>232</v>
      </c>
      <c r="Q63" s="760" t="s">
        <v>232</v>
      </c>
      <c r="S63" s="1062"/>
    </row>
    <row r="64" spans="1:19" ht="13.9" customHeight="1" x14ac:dyDescent="0.25">
      <c r="A64" s="847">
        <f>Chem!A64</f>
        <v>62</v>
      </c>
      <c r="B64" s="937" t="str">
        <f>Chem!B64</f>
        <v>Dibenzofuran</v>
      </c>
      <c r="C64" s="384" t="str">
        <f>'AR-Eq'!E64</f>
        <v>na</v>
      </c>
      <c r="D64" s="343" t="str">
        <f>'AR-Eq'!F64</f>
        <v>na</v>
      </c>
      <c r="E64" s="1300" t="str">
        <f>Param!AF64</f>
        <v>no</v>
      </c>
      <c r="F64" s="573" t="str">
        <f t="shared" si="22"/>
        <v>na</v>
      </c>
      <c r="G64" s="574" t="str">
        <f>IF(OR(F64="na",E64="no"),"na",F64/Eqtn!$D$387)</f>
        <v>na</v>
      </c>
      <c r="H64" s="306" t="str">
        <f>'AR-Eq'!G64</f>
        <v>na</v>
      </c>
      <c r="I64" s="306" t="str">
        <f>'AR-Eq'!H64</f>
        <v>na</v>
      </c>
      <c r="J64" s="693" t="str">
        <f t="shared" si="23"/>
        <v>na</v>
      </c>
      <c r="K64" s="699" t="str">
        <f>IF(OR(J64="na",E64="no"),"na",J64/Eqtn!$D$387)</f>
        <v>na</v>
      </c>
      <c r="L64" s="1496" t="str">
        <f>'AR-Eq'!I64</f>
        <v>na</v>
      </c>
      <c r="M64" s="699" t="str">
        <f>'AR-Eq'!J64</f>
        <v>na</v>
      </c>
      <c r="N64" s="699" t="str">
        <f t="shared" si="24"/>
        <v>na</v>
      </c>
      <c r="O64" s="1529" t="str">
        <f>IF(OR(N64="na",$E64="no"),"na",N64/Eqtn!$D$387)</f>
        <v>na</v>
      </c>
      <c r="P64" s="1529" t="s">
        <v>232</v>
      </c>
      <c r="Q64" s="760" t="s">
        <v>232</v>
      </c>
      <c r="S64" s="1062"/>
    </row>
    <row r="65" spans="1:19" ht="13.9" customHeight="1" x14ac:dyDescent="0.25">
      <c r="A65" s="847">
        <f>Chem!A65</f>
        <v>63</v>
      </c>
      <c r="B65" s="937" t="str">
        <f>Chem!B65</f>
        <v>Fluoranthene</v>
      </c>
      <c r="C65" s="384" t="str">
        <f>'AR-Eq'!E65</f>
        <v>na</v>
      </c>
      <c r="D65" s="343" t="str">
        <f>'AR-Eq'!F65</f>
        <v>na</v>
      </c>
      <c r="E65" s="1300" t="str">
        <f>Param!AF65</f>
        <v>no</v>
      </c>
      <c r="F65" s="573" t="str">
        <f t="shared" si="22"/>
        <v>na</v>
      </c>
      <c r="G65" s="574" t="str">
        <f>IF(OR(F65="na",E65="no"),"na",F65/Eqtn!$D$387)</f>
        <v>na</v>
      </c>
      <c r="H65" s="306" t="str">
        <f>'AR-Eq'!G65</f>
        <v>na</v>
      </c>
      <c r="I65" s="306" t="str">
        <f>'AR-Eq'!H65</f>
        <v>na</v>
      </c>
      <c r="J65" s="693" t="str">
        <f t="shared" si="23"/>
        <v>na</v>
      </c>
      <c r="K65" s="699" t="str">
        <f>IF(OR(J65="na",E65="no"),"na",J65/Eqtn!$D$387)</f>
        <v>na</v>
      </c>
      <c r="L65" s="1496" t="str">
        <f>'AR-Eq'!I65</f>
        <v>na</v>
      </c>
      <c r="M65" s="699" t="str">
        <f>'AR-Eq'!J65</f>
        <v>na</v>
      </c>
      <c r="N65" s="699" t="str">
        <f t="shared" si="24"/>
        <v>na</v>
      </c>
      <c r="O65" s="1529" t="str">
        <f>IF(OR(N65="na",$E65="no"),"na",N65/Eqtn!$D$387)</f>
        <v>na</v>
      </c>
      <c r="P65" s="1529" t="s">
        <v>232</v>
      </c>
      <c r="Q65" s="760" t="s">
        <v>232</v>
      </c>
      <c r="S65" s="1062"/>
    </row>
    <row r="66" spans="1:19" ht="13.9" customHeight="1" x14ac:dyDescent="0.25">
      <c r="A66" s="847">
        <f>Chem!A66</f>
        <v>64</v>
      </c>
      <c r="B66" s="937" t="str">
        <f>Chem!B66</f>
        <v>Fluorene</v>
      </c>
      <c r="C66" s="384" t="str">
        <f>'AR-Eq'!E66</f>
        <v>na</v>
      </c>
      <c r="D66" s="343" t="str">
        <f>'AR-Eq'!F66</f>
        <v>na</v>
      </c>
      <c r="E66" s="1300" t="str">
        <f>Param!AF66</f>
        <v>no</v>
      </c>
      <c r="F66" s="573" t="str">
        <f t="shared" si="22"/>
        <v>na</v>
      </c>
      <c r="G66" s="574" t="str">
        <f>IF(OR(F66="na",E66="no"),"na",F66/Eqtn!$D$387)</f>
        <v>na</v>
      </c>
      <c r="H66" s="306" t="str">
        <f>'AR-Eq'!G66</f>
        <v>na</v>
      </c>
      <c r="I66" s="306" t="str">
        <f>'AR-Eq'!H66</f>
        <v>na</v>
      </c>
      <c r="J66" s="693" t="str">
        <f t="shared" si="23"/>
        <v>na</v>
      </c>
      <c r="K66" s="699" t="str">
        <f>IF(OR(J66="na",E66="no"),"na",J66/Eqtn!$D$387)</f>
        <v>na</v>
      </c>
      <c r="L66" s="1496" t="str">
        <f>'AR-Eq'!I66</f>
        <v>na</v>
      </c>
      <c r="M66" s="699" t="str">
        <f>'AR-Eq'!J66</f>
        <v>na</v>
      </c>
      <c r="N66" s="699" t="str">
        <f t="shared" si="24"/>
        <v>na</v>
      </c>
      <c r="O66" s="1529" t="str">
        <f>IF(OR(N66="na",$E66="no"),"na",N66/Eqtn!$D$387)</f>
        <v>na</v>
      </c>
      <c r="P66" s="1529" t="s">
        <v>232</v>
      </c>
      <c r="Q66" s="760" t="s">
        <v>232</v>
      </c>
      <c r="S66" s="1062"/>
    </row>
    <row r="67" spans="1:19" ht="13.9" customHeight="1" x14ac:dyDescent="0.25">
      <c r="A67" s="847">
        <f>Chem!A67</f>
        <v>65</v>
      </c>
      <c r="B67" s="937" t="str">
        <f>Chem!B67</f>
        <v>Indeno(1,2,3-cd)pyrene</v>
      </c>
      <c r="C67" s="384" t="str">
        <f>'AR-Eq'!E67</f>
        <v>na</v>
      </c>
      <c r="D67" s="343" t="str">
        <f>'AR-Eq'!F67</f>
        <v>na</v>
      </c>
      <c r="E67" s="1300" t="str">
        <f>Param!AF67</f>
        <v>no</v>
      </c>
      <c r="F67" s="573" t="str">
        <f t="shared" si="22"/>
        <v>na</v>
      </c>
      <c r="G67" s="574" t="str">
        <f>IF(OR(F67="na",E67="no"),"na",F67/Eqtn!$D$387)</f>
        <v>na</v>
      </c>
      <c r="H67" s="306" t="str">
        <f>'AR-Eq'!G67</f>
        <v>na</v>
      </c>
      <c r="I67" s="306" t="str">
        <f>'AR-Eq'!H67</f>
        <v>na</v>
      </c>
      <c r="J67" s="693" t="str">
        <f t="shared" si="23"/>
        <v>na</v>
      </c>
      <c r="K67" s="699" t="str">
        <f>IF(OR(J67="na",E67="no"),"na",J67/Eqtn!$D$387)</f>
        <v>na</v>
      </c>
      <c r="L67" s="1496" t="str">
        <f>'AR-Eq'!I67</f>
        <v>na</v>
      </c>
      <c r="M67" s="699" t="str">
        <f>'AR-Eq'!J67</f>
        <v>na</v>
      </c>
      <c r="N67" s="699" t="str">
        <f t="shared" si="24"/>
        <v>na</v>
      </c>
      <c r="O67" s="1529" t="str">
        <f>IF(OR(N67="na",$E67="no"),"na",N67/Eqtn!$D$387)</f>
        <v>na</v>
      </c>
      <c r="P67" s="1529" t="s">
        <v>232</v>
      </c>
      <c r="Q67" s="760" t="s">
        <v>232</v>
      </c>
      <c r="S67" s="1062"/>
    </row>
    <row r="68" spans="1:19" ht="13.9" customHeight="1" x14ac:dyDescent="0.25">
      <c r="A68" s="847">
        <f>Chem!A68</f>
        <v>66</v>
      </c>
      <c r="B68" s="937" t="str">
        <f>Chem!B68</f>
        <v>Methyl isopropyl phenanthrene (retene)</v>
      </c>
      <c r="C68" s="384" t="str">
        <f>'AR-Eq'!E68</f>
        <v>na</v>
      </c>
      <c r="D68" s="343" t="str">
        <f>'AR-Eq'!F68</f>
        <v>na</v>
      </c>
      <c r="E68" s="1300" t="str">
        <f>Param!AF68</f>
        <v>no</v>
      </c>
      <c r="F68" s="573" t="str">
        <f t="shared" si="22"/>
        <v>na</v>
      </c>
      <c r="G68" s="574" t="str">
        <f>IF(OR(F68="na",E68="no"),"na",F68/Eqtn!$D$387)</f>
        <v>na</v>
      </c>
      <c r="H68" s="306" t="str">
        <f>'AR-Eq'!G68</f>
        <v>na</v>
      </c>
      <c r="I68" s="306" t="str">
        <f>'AR-Eq'!H68</f>
        <v>na</v>
      </c>
      <c r="J68" s="693" t="str">
        <f t="shared" si="23"/>
        <v>na</v>
      </c>
      <c r="K68" s="699" t="str">
        <f>IF(OR(J68="na",E68="no"),"na",J68/Eqtn!$D$387)</f>
        <v>na</v>
      </c>
      <c r="L68" s="1496" t="str">
        <f>'AR-Eq'!I68</f>
        <v>na</v>
      </c>
      <c r="M68" s="699" t="str">
        <f>'AR-Eq'!J68</f>
        <v>na</v>
      </c>
      <c r="N68" s="699" t="str">
        <f t="shared" si="24"/>
        <v>na</v>
      </c>
      <c r="O68" s="1529" t="str">
        <f>IF(OR(N68="na",$E68="no"),"na",N68/Eqtn!$D$387)</f>
        <v>na</v>
      </c>
      <c r="P68" s="1529" t="s">
        <v>232</v>
      </c>
      <c r="Q68" s="760" t="s">
        <v>232</v>
      </c>
      <c r="S68" s="1062"/>
    </row>
    <row r="69" spans="1:19" ht="13.9" customHeight="1" x14ac:dyDescent="0.25">
      <c r="A69" s="847">
        <f>Chem!A69</f>
        <v>67</v>
      </c>
      <c r="B69" s="937" t="str">
        <f>Chem!B69</f>
        <v>1-Methylnaphthalene</v>
      </c>
      <c r="C69" s="384">
        <f>'AR-Eq'!E69</f>
        <v>1.3714285714285714E-3</v>
      </c>
      <c r="D69" s="343" t="str">
        <f>'AR-Eq'!F69</f>
        <v>na</v>
      </c>
      <c r="E69" s="1300" t="str">
        <f>Param!AF69</f>
        <v>YES</v>
      </c>
      <c r="F69" s="573">
        <f t="shared" si="22"/>
        <v>1.3714285714285714E-3</v>
      </c>
      <c r="G69" s="574">
        <f>IF(OR(F69="na",E69="no"),"na",F69/Eqtn!$D$387)</f>
        <v>4.5714285714285714E-2</v>
      </c>
      <c r="H69" s="306">
        <f>'AR-Eq'!G69</f>
        <v>3.0000000000000001E-3</v>
      </c>
      <c r="I69" s="306" t="str">
        <f>'AR-Eq'!H69</f>
        <v>na</v>
      </c>
      <c r="J69" s="693">
        <f t="shared" si="23"/>
        <v>3.0000000000000001E-3</v>
      </c>
      <c r="K69" s="699">
        <f>IF(OR(J69="na",E69="no"),"na",J69/Eqtn!$D$387)</f>
        <v>0.1</v>
      </c>
      <c r="L69" s="1496">
        <f>'AR-Eq'!I69</f>
        <v>1.1679999999999998E-2</v>
      </c>
      <c r="M69" s="699" t="str">
        <f>'AR-Eq'!J69</f>
        <v>na</v>
      </c>
      <c r="N69" s="699">
        <f t="shared" si="24"/>
        <v>1.1679999999999998E-2</v>
      </c>
      <c r="O69" s="1529">
        <f>IF(OR(N69="na",$E69="no"),"na",N69/Eqtn!$D$387)</f>
        <v>0.38933333333333325</v>
      </c>
      <c r="P69" s="1529" t="s">
        <v>232</v>
      </c>
      <c r="Q69" s="760" t="s">
        <v>232</v>
      </c>
      <c r="S69" s="1062"/>
    </row>
    <row r="70" spans="1:19" ht="13.9" customHeight="1" x14ac:dyDescent="0.25">
      <c r="A70" s="847">
        <f>Chem!A70</f>
        <v>68</v>
      </c>
      <c r="B70" s="937" t="str">
        <f>Chem!B70</f>
        <v>2-Methylnaphthalene</v>
      </c>
      <c r="C70" s="384" t="str">
        <f>'AR-Eq'!E70</f>
        <v>na</v>
      </c>
      <c r="D70" s="343" t="str">
        <f>'AR-Eq'!F70</f>
        <v>na</v>
      </c>
      <c r="E70" s="1300" t="str">
        <f>Param!AF70</f>
        <v>no</v>
      </c>
      <c r="F70" s="573" t="str">
        <f t="shared" si="22"/>
        <v>na</v>
      </c>
      <c r="G70" s="574" t="str">
        <f>IF(OR(F70="na",E70="no"),"na",F70/Eqtn!$D$387)</f>
        <v>na</v>
      </c>
      <c r="H70" s="306" t="str">
        <f>'AR-Eq'!G70</f>
        <v>na</v>
      </c>
      <c r="I70" s="306" t="str">
        <f>'AR-Eq'!H70</f>
        <v>na</v>
      </c>
      <c r="J70" s="693" t="str">
        <f t="shared" si="23"/>
        <v>na</v>
      </c>
      <c r="K70" s="699" t="str">
        <f>IF(OR(J70="na",E70="no"),"na",J70/Eqtn!$D$387)</f>
        <v>na</v>
      </c>
      <c r="L70" s="1496" t="str">
        <f>'AR-Eq'!I70</f>
        <v>na</v>
      </c>
      <c r="M70" s="699" t="str">
        <f>'AR-Eq'!J70</f>
        <v>na</v>
      </c>
      <c r="N70" s="699" t="str">
        <f t="shared" si="24"/>
        <v>na</v>
      </c>
      <c r="O70" s="1529" t="str">
        <f>IF(OR(N70="na",$E70="no"),"na",N70/Eqtn!$D$387)</f>
        <v>na</v>
      </c>
      <c r="P70" s="1529" t="s">
        <v>232</v>
      </c>
      <c r="Q70" s="760" t="s">
        <v>232</v>
      </c>
      <c r="S70" s="1062"/>
    </row>
    <row r="71" spans="1:19" ht="13.9" customHeight="1" x14ac:dyDescent="0.25">
      <c r="A71" s="847">
        <f>Chem!A71</f>
        <v>69</v>
      </c>
      <c r="B71" s="937" t="str">
        <f>Chem!B71</f>
        <v>Naphthalene</v>
      </c>
      <c r="C71" s="384">
        <f>'AR-Eq'!E71</f>
        <v>1.3714285714285714</v>
      </c>
      <c r="D71" s="343">
        <f>'AR-Eq'!F71</f>
        <v>7.3529411764705857E-2</v>
      </c>
      <c r="E71" s="1300" t="str">
        <f>Param!AF71</f>
        <v>YES</v>
      </c>
      <c r="F71" s="575">
        <f t="shared" si="22"/>
        <v>7.3529411764705857E-2</v>
      </c>
      <c r="G71" s="574">
        <f>IF(OR(F71="na",E71="no"),"na",F71/Eqtn!$D$387)</f>
        <v>2.450980392156862</v>
      </c>
      <c r="H71" s="17">
        <f>'AR-Eq'!G71</f>
        <v>3</v>
      </c>
      <c r="I71" s="17">
        <f>'AR-Eq'!H71</f>
        <v>0.73529411764705876</v>
      </c>
      <c r="J71" s="694">
        <f t="shared" si="23"/>
        <v>0.73529411764705876</v>
      </c>
      <c r="K71" s="699">
        <f>IF(OR(J71="na",E71="no"),"na",J71/Eqtn!$D$387)</f>
        <v>24.509803921568626</v>
      </c>
      <c r="L71" s="1496">
        <f>'AR-Eq'!I71</f>
        <v>11.679999999999998</v>
      </c>
      <c r="M71" s="699">
        <f>'AR-Eq'!J71</f>
        <v>0.34352941176470569</v>
      </c>
      <c r="N71" s="699">
        <f t="shared" si="24"/>
        <v>0.34352941176470569</v>
      </c>
      <c r="O71" s="1529">
        <f>IF(OR(N71="na",$E71="no"),"na",N71/Eqtn!$D$387)</f>
        <v>11.450980392156858</v>
      </c>
      <c r="P71" s="1529" t="s">
        <v>232</v>
      </c>
      <c r="Q71" s="760" t="s">
        <v>232</v>
      </c>
      <c r="S71" s="1062"/>
    </row>
    <row r="72" spans="1:19" ht="13.9" customHeight="1" x14ac:dyDescent="0.25">
      <c r="A72" s="847">
        <f>Chem!A72</f>
        <v>70</v>
      </c>
      <c r="B72" s="937" t="str">
        <f>Chem!B72</f>
        <v>Phenanthrene</v>
      </c>
      <c r="C72" s="384" t="str">
        <f>'AR-Eq'!E72</f>
        <v>na</v>
      </c>
      <c r="D72" s="343" t="str">
        <f>'AR-Eq'!F72</f>
        <v>na</v>
      </c>
      <c r="E72" s="1300" t="str">
        <f>Param!AF72</f>
        <v>no</v>
      </c>
      <c r="F72" s="573" t="str">
        <f t="shared" si="22"/>
        <v>na</v>
      </c>
      <c r="G72" s="574" t="str">
        <f>IF(OR(F72="na",E72="no"),"na",F72/Eqtn!$D$387)</f>
        <v>na</v>
      </c>
      <c r="H72" s="306" t="str">
        <f>'AR-Eq'!G72</f>
        <v>na</v>
      </c>
      <c r="I72" s="306" t="str">
        <f>'AR-Eq'!H72</f>
        <v>na</v>
      </c>
      <c r="J72" s="693" t="str">
        <f t="shared" si="23"/>
        <v>na</v>
      </c>
      <c r="K72" s="699" t="str">
        <f>IF(OR(J72="na",E72="no"),"na",J72/Eqtn!$D$387)</f>
        <v>na</v>
      </c>
      <c r="L72" s="1496" t="str">
        <f>'AR-Eq'!I72</f>
        <v>na</v>
      </c>
      <c r="M72" s="699" t="str">
        <f>'AR-Eq'!J72</f>
        <v>na</v>
      </c>
      <c r="N72" s="699" t="str">
        <f t="shared" si="24"/>
        <v>na</v>
      </c>
      <c r="O72" s="1529" t="str">
        <f>IF(OR(N72="na",$E72="no"),"na",N72/Eqtn!$D$387)</f>
        <v>na</v>
      </c>
      <c r="P72" s="1529" t="s">
        <v>232</v>
      </c>
      <c r="Q72" s="760" t="s">
        <v>232</v>
      </c>
      <c r="S72" s="1062"/>
    </row>
    <row r="73" spans="1:19" ht="13.9" customHeight="1" x14ac:dyDescent="0.25">
      <c r="A73" s="847">
        <f>Chem!A73</f>
        <v>71</v>
      </c>
      <c r="B73" s="937" t="str">
        <f>Chem!B73</f>
        <v>Pyrene</v>
      </c>
      <c r="C73" s="384" t="str">
        <f>'AR-Eq'!E73</f>
        <v>na</v>
      </c>
      <c r="D73" s="343" t="str">
        <f>'AR-Eq'!F73</f>
        <v>na</v>
      </c>
      <c r="E73" s="1300" t="str">
        <f>Param!AF73</f>
        <v>no</v>
      </c>
      <c r="F73" s="573" t="str">
        <f t="shared" si="22"/>
        <v>na</v>
      </c>
      <c r="G73" s="574" t="str">
        <f>IF(OR(F73="na",E73="no"),"na",F73/Eqtn!$D$387)</f>
        <v>na</v>
      </c>
      <c r="H73" s="306" t="str">
        <f>'AR-Eq'!G73</f>
        <v>na</v>
      </c>
      <c r="I73" s="306" t="str">
        <f>'AR-Eq'!H73</f>
        <v>na</v>
      </c>
      <c r="J73" s="693" t="str">
        <f t="shared" si="23"/>
        <v>na</v>
      </c>
      <c r="K73" s="699" t="str">
        <f>IF(OR(J73="na",E73="no"),"na",J73/Eqtn!$D$387)</f>
        <v>na</v>
      </c>
      <c r="L73" s="1496" t="str">
        <f>'AR-Eq'!I73</f>
        <v>na</v>
      </c>
      <c r="M73" s="699" t="str">
        <f>'AR-Eq'!J73</f>
        <v>na</v>
      </c>
      <c r="N73" s="699" t="str">
        <f t="shared" si="24"/>
        <v>na</v>
      </c>
      <c r="O73" s="1529" t="str">
        <f>IF(OR(N73="na",$E73="no"),"na",N73/Eqtn!$D$387)</f>
        <v>na</v>
      </c>
      <c r="P73" s="1529" t="s">
        <v>232</v>
      </c>
      <c r="Q73" s="760" t="s">
        <v>232</v>
      </c>
      <c r="S73" s="1062"/>
    </row>
    <row r="74" spans="1:19" ht="13.9" customHeight="1" x14ac:dyDescent="0.25">
      <c r="A74" s="847">
        <f>Chem!A74</f>
        <v>72</v>
      </c>
      <c r="B74" s="937" t="str">
        <f>Chem!B74</f>
        <v>Total LPAHs</v>
      </c>
      <c r="C74" s="384" t="str">
        <f>'AR-Eq'!E74</f>
        <v>na</v>
      </c>
      <c r="D74" s="343" t="str">
        <f>'AR-Eq'!F74</f>
        <v>na</v>
      </c>
      <c r="E74" s="1300" t="str">
        <f>Param!AF74</f>
        <v>no</v>
      </c>
      <c r="F74" s="573" t="str">
        <f t="shared" si="22"/>
        <v>na</v>
      </c>
      <c r="G74" s="574" t="str">
        <f>IF(OR(F74="na",E74="no"),"na",F74/Eqtn!$D$387)</f>
        <v>na</v>
      </c>
      <c r="H74" s="306" t="str">
        <f>'AR-Eq'!G74</f>
        <v>na</v>
      </c>
      <c r="I74" s="306" t="str">
        <f>'AR-Eq'!H74</f>
        <v>na</v>
      </c>
      <c r="J74" s="693" t="str">
        <f t="shared" si="23"/>
        <v>na</v>
      </c>
      <c r="K74" s="699" t="str">
        <f>IF(OR(J74="na",E74="no"),"na",J74/Eqtn!$D$387)</f>
        <v>na</v>
      </c>
      <c r="L74" s="1496" t="str">
        <f>'AR-Eq'!I74</f>
        <v>na</v>
      </c>
      <c r="M74" s="699" t="str">
        <f>'AR-Eq'!J74</f>
        <v>na</v>
      </c>
      <c r="N74" s="699" t="str">
        <f t="shared" si="24"/>
        <v>na</v>
      </c>
      <c r="O74" s="1529" t="str">
        <f>IF(OR(N74="na",$E74="no"),"na",N74/Eqtn!$D$387)</f>
        <v>na</v>
      </c>
      <c r="P74" s="1529" t="s">
        <v>232</v>
      </c>
      <c r="Q74" s="760" t="s">
        <v>232</v>
      </c>
      <c r="S74" s="1062"/>
    </row>
    <row r="75" spans="1:19" ht="13.9" customHeight="1" x14ac:dyDescent="0.25">
      <c r="A75" s="847">
        <f>Chem!A75</f>
        <v>73</v>
      </c>
      <c r="B75" s="937" t="str">
        <f>Chem!B75</f>
        <v>Total HPAHs</v>
      </c>
      <c r="C75" s="392" t="str">
        <f>'AR-Eq'!E75</f>
        <v>na</v>
      </c>
      <c r="D75" s="532" t="str">
        <f>'AR-Eq'!F75</f>
        <v>na</v>
      </c>
      <c r="E75" s="1299" t="str">
        <f>Param!AF75</f>
        <v>no</v>
      </c>
      <c r="F75" s="573" t="str">
        <f t="shared" si="22"/>
        <v>na</v>
      </c>
      <c r="G75" s="574" t="str">
        <f>IF(OR(F75="na",E75="no"),"na",F75/Eqtn!$D$387)</f>
        <v>na</v>
      </c>
      <c r="H75" s="306" t="str">
        <f>'AR-Eq'!G75</f>
        <v>na</v>
      </c>
      <c r="I75" s="306" t="str">
        <f>'AR-Eq'!H75</f>
        <v>na</v>
      </c>
      <c r="J75" s="693" t="str">
        <f t="shared" si="23"/>
        <v>na</v>
      </c>
      <c r="K75" s="699" t="str">
        <f>IF(OR(J75="na",E75="no"),"na",J75/Eqtn!$D$387)</f>
        <v>na</v>
      </c>
      <c r="L75" s="1496" t="str">
        <f>'AR-Eq'!I75</f>
        <v>na</v>
      </c>
      <c r="M75" s="699" t="str">
        <f>'AR-Eq'!J75</f>
        <v>na</v>
      </c>
      <c r="N75" s="699" t="str">
        <f t="shared" si="24"/>
        <v>na</v>
      </c>
      <c r="O75" s="1529" t="str">
        <f>IF(OR(N75="na",$E75="no"),"na",N75/Eqtn!$D$387)</f>
        <v>na</v>
      </c>
      <c r="P75" s="1529" t="s">
        <v>232</v>
      </c>
      <c r="Q75" s="760" t="s">
        <v>232</v>
      </c>
      <c r="S75" s="1062"/>
    </row>
    <row r="76" spans="1:19" ht="13.9" customHeight="1" x14ac:dyDescent="0.25">
      <c r="A76" s="842">
        <f>Chem!A76</f>
        <v>74</v>
      </c>
      <c r="B76" s="937" t="str">
        <f>Chem!B76</f>
        <v>Total PAHs</v>
      </c>
      <c r="C76" s="392" t="str">
        <f>'AR-Eq'!E76</f>
        <v>na</v>
      </c>
      <c r="D76" s="532" t="str">
        <f>'AR-Eq'!F76</f>
        <v>na</v>
      </c>
      <c r="E76" s="1299" t="str">
        <f>Param!AF76</f>
        <v>no</v>
      </c>
      <c r="F76" s="573" t="str">
        <f t="shared" si="22"/>
        <v>na</v>
      </c>
      <c r="G76" s="574" t="str">
        <f>IF(OR(F76="na",E76="no"),"na",F76/Eqtn!$D$387)</f>
        <v>na</v>
      </c>
      <c r="H76" s="306" t="str">
        <f>'AR-Eq'!G76</f>
        <v>na</v>
      </c>
      <c r="I76" s="306" t="str">
        <f>'AR-Eq'!H76</f>
        <v>na</v>
      </c>
      <c r="J76" s="693" t="str">
        <f t="shared" si="23"/>
        <v>na</v>
      </c>
      <c r="K76" s="699" t="str">
        <f>IF(OR(J76="na",E76="no"),"na",J76/Eqtn!$D$387)</f>
        <v>na</v>
      </c>
      <c r="L76" s="1496" t="str">
        <f>'AR-Eq'!I76</f>
        <v>na</v>
      </c>
      <c r="M76" s="699" t="str">
        <f>'AR-Eq'!J76</f>
        <v>na</v>
      </c>
      <c r="N76" s="699" t="str">
        <f t="shared" si="24"/>
        <v>na</v>
      </c>
      <c r="O76" s="1529" t="str">
        <f>IF(OR(N76="na",$E76="no"),"na",N76/Eqtn!$D$387)</f>
        <v>na</v>
      </c>
      <c r="P76" s="1529" t="s">
        <v>232</v>
      </c>
      <c r="Q76" s="760" t="s">
        <v>232</v>
      </c>
      <c r="S76" s="1062"/>
    </row>
    <row r="77" spans="1:19" ht="13.9" customHeight="1" x14ac:dyDescent="0.25">
      <c r="A77" s="844">
        <f>Chem!A77</f>
        <v>75</v>
      </c>
      <c r="B77" s="937" t="str">
        <f>Chem!B77</f>
        <v>Total cPAH TEQ</v>
      </c>
      <c r="C77" s="384" t="str">
        <f>'AR-Eq'!E77</f>
        <v>na</v>
      </c>
      <c r="D77" s="343">
        <f>'AR-Eq'!F77</f>
        <v>1.0970000000000001E-3</v>
      </c>
      <c r="E77" s="1300" t="str">
        <f>Param!AF77</f>
        <v>no</v>
      </c>
      <c r="F77" s="573">
        <f t="shared" si="22"/>
        <v>1.0970000000000001E-3</v>
      </c>
      <c r="G77" s="574" t="str">
        <f>IF(OR(F77="na",E77="no"),"na",F77/Eqtn!$D$387)</f>
        <v>na</v>
      </c>
      <c r="H77" s="306" t="str">
        <f>'AR-Eq'!G77</f>
        <v>na</v>
      </c>
      <c r="I77" s="306">
        <f>'AR-Eq'!H77</f>
        <v>4.1666666666666671E-2</v>
      </c>
      <c r="J77" s="693">
        <f t="shared" si="23"/>
        <v>4.1666666666666671E-2</v>
      </c>
      <c r="K77" s="699" t="str">
        <f>IF(OR(J77="na",E77="no"),"na",J77/Eqtn!$D$387)</f>
        <v>na</v>
      </c>
      <c r="L77" s="1499" t="str">
        <f>'AR-Eq'!I77</f>
        <v>na</v>
      </c>
      <c r="M77" s="1500">
        <f>'AR-Eq'!J77</f>
        <v>1.946666666666666E-2</v>
      </c>
      <c r="N77" s="1500">
        <f t="shared" si="24"/>
        <v>1.946666666666666E-2</v>
      </c>
      <c r="O77" s="1530" t="str">
        <f>IF(OR(N77="na",$E77="no"),"na",N77/Eqtn!$D$387)</f>
        <v>na</v>
      </c>
      <c r="P77" s="1530" t="s">
        <v>232</v>
      </c>
      <c r="Q77" s="1501" t="s">
        <v>232</v>
      </c>
      <c r="S77" s="1062"/>
    </row>
    <row r="78" spans="1:19" ht="13.9" customHeight="1" x14ac:dyDescent="0.25">
      <c r="A78" s="906">
        <f>Chem!A78</f>
        <v>76</v>
      </c>
      <c r="B78" s="939" t="str">
        <f>Chem!B78</f>
        <v>Other SVOCs</v>
      </c>
      <c r="C78" s="259"/>
      <c r="D78" s="259"/>
      <c r="E78" s="259"/>
      <c r="F78" s="259"/>
      <c r="G78" s="259"/>
      <c r="H78" s="259"/>
      <c r="I78" s="259"/>
      <c r="J78" s="259"/>
      <c r="K78" s="259"/>
      <c r="L78" s="259"/>
      <c r="M78" s="259"/>
      <c r="N78" s="259"/>
      <c r="O78" s="259"/>
      <c r="P78" s="259"/>
      <c r="Q78" s="1533"/>
      <c r="S78" s="1063"/>
    </row>
    <row r="79" spans="1:19" ht="13.9" customHeight="1" x14ac:dyDescent="0.25">
      <c r="A79" s="846">
        <f>Chem!A79</f>
        <v>77</v>
      </c>
      <c r="B79" s="937" t="str">
        <f>Chem!B79</f>
        <v>Aniline</v>
      </c>
      <c r="C79" s="384">
        <f>'AR-Eq'!E79</f>
        <v>0.45714285714285718</v>
      </c>
      <c r="D79" s="343">
        <f>'AR-Eq'!F79</f>
        <v>1.5624999999999996</v>
      </c>
      <c r="E79" s="1300" t="str">
        <f>Param!AF79</f>
        <v>no</v>
      </c>
      <c r="F79" s="575">
        <f t="shared" ref="F79:F115" si="25">IF(C79="na",IF(D79="na","na",D79),MIN(C79,D79))</f>
        <v>0.45714285714285718</v>
      </c>
      <c r="G79" s="574" t="str">
        <f>IF(OR(F79="na",E79="no"),"na",F79/Eqtn!$D$387)</f>
        <v>na</v>
      </c>
      <c r="H79" s="17">
        <f>'AR-Eq'!G79</f>
        <v>1</v>
      </c>
      <c r="I79" s="17">
        <f>'AR-Eq'!H79</f>
        <v>15.625</v>
      </c>
      <c r="J79" s="694">
        <f t="shared" ref="J79:J115" si="26">IF(H79="na",IF(I79="na","na",I79),MIN(H79,I79))</f>
        <v>1</v>
      </c>
      <c r="K79" s="699" t="str">
        <f>IF(OR(J79="na",E79="no"),"na",J79/Eqtn!$D$387)</f>
        <v>na</v>
      </c>
      <c r="L79" s="1503">
        <f>'AR-Eq'!I79</f>
        <v>3.8933333333333331</v>
      </c>
      <c r="M79" s="1504">
        <f>'AR-Eq'!J79</f>
        <v>7.2999999999999963</v>
      </c>
      <c r="N79" s="1504">
        <f t="shared" ref="N79:N142" si="27">IF(L79="na",IF(M79="na","na",M79),MIN(L79,M79))</f>
        <v>3.8933333333333331</v>
      </c>
      <c r="O79" s="1531" t="str">
        <f>IF(OR(N79="na",$E79="no"),"na",N79/Eqtn!$D$387)</f>
        <v>na</v>
      </c>
      <c r="P79" s="1531" t="s">
        <v>232</v>
      </c>
      <c r="Q79" s="1505" t="s">
        <v>232</v>
      </c>
      <c r="S79" s="1062"/>
    </row>
    <row r="80" spans="1:19" ht="13.9" customHeight="1" x14ac:dyDescent="0.25">
      <c r="A80" s="847">
        <f>Chem!A80</f>
        <v>78</v>
      </c>
      <c r="B80" s="937" t="str">
        <f>Chem!B80</f>
        <v>Azobenzene</v>
      </c>
      <c r="C80" s="392" t="str">
        <f>'AR-Eq'!E80</f>
        <v>na</v>
      </c>
      <c r="D80" s="532">
        <f>'AR-Eq'!F80</f>
        <v>8.0645161290322578E-2</v>
      </c>
      <c r="E80" s="1299" t="str">
        <f>Param!AF80</f>
        <v>no</v>
      </c>
      <c r="F80" s="573">
        <f t="shared" si="25"/>
        <v>8.0645161290322578E-2</v>
      </c>
      <c r="G80" s="574" t="str">
        <f>IF(OR(F80="na",E80="no"),"na",F80/Eqtn!$D$387)</f>
        <v>na</v>
      </c>
      <c r="H80" s="306" t="str">
        <f>'AR-Eq'!G80</f>
        <v>na</v>
      </c>
      <c r="I80" s="306">
        <f>'AR-Eq'!H80</f>
        <v>0.80645161290322587</v>
      </c>
      <c r="J80" s="693">
        <f t="shared" si="26"/>
        <v>0.80645161290322587</v>
      </c>
      <c r="K80" s="699" t="str">
        <f>IF(OR(J80="na",E80="no"),"na",J80/Eqtn!$D$387)</f>
        <v>na</v>
      </c>
      <c r="L80" s="1496" t="str">
        <f>'AR-Eq'!I80</f>
        <v>na</v>
      </c>
      <c r="M80" s="699">
        <f>'AR-Eq'!J80</f>
        <v>0.37677419354838698</v>
      </c>
      <c r="N80" s="699">
        <f t="shared" si="27"/>
        <v>0.37677419354838698</v>
      </c>
      <c r="O80" s="1529" t="str">
        <f>IF(OR(N80="na",$E80="no"),"na",N80/Eqtn!$D$387)</f>
        <v>na</v>
      </c>
      <c r="P80" s="1529" t="s">
        <v>232</v>
      </c>
      <c r="Q80" s="760" t="s">
        <v>232</v>
      </c>
      <c r="S80" s="1062"/>
    </row>
    <row r="81" spans="1:19" ht="13.9" customHeight="1" x14ac:dyDescent="0.25">
      <c r="A81" s="847">
        <f>Chem!A81</f>
        <v>79</v>
      </c>
      <c r="B81" s="937" t="str">
        <f>Chem!B81</f>
        <v>Benzidine</v>
      </c>
      <c r="C81" s="384" t="str">
        <f>'AR-Eq'!E81</f>
        <v>na</v>
      </c>
      <c r="D81" s="343">
        <f>'AR-Eq'!F81</f>
        <v>9.7999999999999993E-6</v>
      </c>
      <c r="E81" s="1300" t="str">
        <f>Param!AF81</f>
        <v>no</v>
      </c>
      <c r="F81" s="575">
        <f t="shared" si="25"/>
        <v>9.7999999999999993E-6</v>
      </c>
      <c r="G81" s="574" t="str">
        <f>IF(OR(F81="na",E81="no"),"na",F81/Eqtn!$D$387)</f>
        <v>na</v>
      </c>
      <c r="H81" s="17" t="str">
        <f>'AR-Eq'!G81</f>
        <v>na</v>
      </c>
      <c r="I81" s="17">
        <f>'AR-Eq'!H81</f>
        <v>3.7313432835820901E-4</v>
      </c>
      <c r="J81" s="694">
        <f t="shared" si="26"/>
        <v>3.7313432835820901E-4</v>
      </c>
      <c r="K81" s="699" t="str">
        <f>IF(OR(J81="na",E81="no"),"na",J81/Eqtn!$D$387)</f>
        <v>na</v>
      </c>
      <c r="L81" s="1496" t="str">
        <f>'AR-Eq'!I81</f>
        <v>na</v>
      </c>
      <c r="M81" s="699">
        <f>'AR-Eq'!J81</f>
        <v>1.7432835820895516E-4</v>
      </c>
      <c r="N81" s="699">
        <f t="shared" si="27"/>
        <v>1.7432835820895516E-4</v>
      </c>
      <c r="O81" s="1529" t="str">
        <f>IF(OR(N81="na",$E81="no"),"na",N81/Eqtn!$D$387)</f>
        <v>na</v>
      </c>
      <c r="P81" s="1529" t="s">
        <v>232</v>
      </c>
      <c r="Q81" s="760" t="s">
        <v>232</v>
      </c>
      <c r="S81" s="1062"/>
    </row>
    <row r="82" spans="1:19" ht="13.9" customHeight="1" x14ac:dyDescent="0.25">
      <c r="A82" s="847">
        <f>Chem!A82</f>
        <v>80</v>
      </c>
      <c r="B82" s="937" t="str">
        <f>Chem!B82</f>
        <v>Benzoic acid</v>
      </c>
      <c r="C82" s="384" t="str">
        <f>'AR-Eq'!E82</f>
        <v>na</v>
      </c>
      <c r="D82" s="343" t="str">
        <f>'AR-Eq'!F82</f>
        <v>na</v>
      </c>
      <c r="E82" s="1300" t="str">
        <f>Param!AF82</f>
        <v>no</v>
      </c>
      <c r="F82" s="575" t="str">
        <f t="shared" si="25"/>
        <v>na</v>
      </c>
      <c r="G82" s="574" t="str">
        <f>IF(OR(F82="na",E82="no"),"na",F82/Eqtn!$D$387)</f>
        <v>na</v>
      </c>
      <c r="H82" s="17" t="str">
        <f>'AR-Eq'!G82</f>
        <v>na</v>
      </c>
      <c r="I82" s="17" t="str">
        <f>'AR-Eq'!H82</f>
        <v>na</v>
      </c>
      <c r="J82" s="694" t="str">
        <f t="shared" si="26"/>
        <v>na</v>
      </c>
      <c r="K82" s="699" t="str">
        <f>IF(OR(J82="na",E82="no"),"na",J82/Eqtn!$D$387)</f>
        <v>na</v>
      </c>
      <c r="L82" s="1496" t="str">
        <f>'AR-Eq'!I82</f>
        <v>na</v>
      </c>
      <c r="M82" s="699" t="str">
        <f>'AR-Eq'!J82</f>
        <v>na</v>
      </c>
      <c r="N82" s="699" t="str">
        <f t="shared" si="27"/>
        <v>na</v>
      </c>
      <c r="O82" s="1529" t="str">
        <f>IF(OR(N82="na",$E82="no"),"na",N82/Eqtn!$D$387)</f>
        <v>na</v>
      </c>
      <c r="P82" s="1529" t="s">
        <v>232</v>
      </c>
      <c r="Q82" s="760" t="s">
        <v>232</v>
      </c>
      <c r="S82" s="1062"/>
    </row>
    <row r="83" spans="1:19" ht="13.9" customHeight="1" x14ac:dyDescent="0.25">
      <c r="A83" s="847">
        <f>Chem!A83</f>
        <v>81</v>
      </c>
      <c r="B83" s="937" t="str">
        <f>Chem!B83</f>
        <v>Benzyl alcohol</v>
      </c>
      <c r="C83" s="392" t="str">
        <f>'AR-Eq'!E83</f>
        <v>na</v>
      </c>
      <c r="D83" s="532" t="str">
        <f>'AR-Eq'!F83</f>
        <v>na</v>
      </c>
      <c r="E83" s="1299" t="str">
        <f>Param!AF83</f>
        <v>no</v>
      </c>
      <c r="F83" s="575" t="str">
        <f t="shared" si="25"/>
        <v>na</v>
      </c>
      <c r="G83" s="574" t="str">
        <f>IF(OR(F83="na",E83="no"),"na",F83/Eqtn!$D$387)</f>
        <v>na</v>
      </c>
      <c r="H83" s="17" t="str">
        <f>'AR-Eq'!G83</f>
        <v>na</v>
      </c>
      <c r="I83" s="17" t="str">
        <f>'AR-Eq'!H83</f>
        <v>na</v>
      </c>
      <c r="J83" s="694" t="str">
        <f t="shared" si="26"/>
        <v>na</v>
      </c>
      <c r="K83" s="699" t="str">
        <f>IF(OR(J83="na",E83="no"),"na",J83/Eqtn!$D$387)</f>
        <v>na</v>
      </c>
      <c r="L83" s="1496" t="str">
        <f>'AR-Eq'!I83</f>
        <v>na</v>
      </c>
      <c r="M83" s="699" t="str">
        <f>'AR-Eq'!J83</f>
        <v>na</v>
      </c>
      <c r="N83" s="699" t="str">
        <f t="shared" si="27"/>
        <v>na</v>
      </c>
      <c r="O83" s="1529" t="str">
        <f>IF(OR(N83="na",$E83="no"),"na",N83/Eqtn!$D$387)</f>
        <v>na</v>
      </c>
      <c r="P83" s="1529" t="s">
        <v>232</v>
      </c>
      <c r="Q83" s="760" t="s">
        <v>232</v>
      </c>
      <c r="S83" s="1062"/>
    </row>
    <row r="84" spans="1:19" ht="13.9" customHeight="1" x14ac:dyDescent="0.25">
      <c r="A84" s="847">
        <f>Chem!A84</f>
        <v>82</v>
      </c>
      <c r="B84" s="937" t="str">
        <f>Chem!B84</f>
        <v>Bis(2-chloroethoxy)methane</v>
      </c>
      <c r="C84" s="384" t="str">
        <f>'AR-Eq'!E84</f>
        <v>na</v>
      </c>
      <c r="D84" s="343" t="str">
        <f>'AR-Eq'!F84</f>
        <v>na</v>
      </c>
      <c r="E84" s="1300" t="str">
        <f>Param!AF84</f>
        <v>no</v>
      </c>
      <c r="F84" s="576" t="str">
        <f t="shared" si="25"/>
        <v>na</v>
      </c>
      <c r="G84" s="574" t="str">
        <f>IF(OR(F84="na",E84="no"),"na",F84/Eqtn!$D$387)</f>
        <v>na</v>
      </c>
      <c r="H84" s="307" t="str">
        <f>'AR-Eq'!G84</f>
        <v>na</v>
      </c>
      <c r="I84" s="307" t="str">
        <f>'AR-Eq'!H84</f>
        <v>na</v>
      </c>
      <c r="J84" s="696" t="str">
        <f t="shared" si="26"/>
        <v>na</v>
      </c>
      <c r="K84" s="699" t="str">
        <f>IF(OR(J84="na",E84="no"),"na",J84/Eqtn!$D$387)</f>
        <v>na</v>
      </c>
      <c r="L84" s="1496" t="str">
        <f>'AR-Eq'!I84</f>
        <v>na</v>
      </c>
      <c r="M84" s="699" t="str">
        <f>'AR-Eq'!J84</f>
        <v>na</v>
      </c>
      <c r="N84" s="699" t="str">
        <f t="shared" si="27"/>
        <v>na</v>
      </c>
      <c r="O84" s="1529" t="str">
        <f>IF(OR(N84="na",$E84="no"),"na",N84/Eqtn!$D$387)</f>
        <v>na</v>
      </c>
      <c r="P84" s="1529" t="s">
        <v>232</v>
      </c>
      <c r="Q84" s="760" t="s">
        <v>232</v>
      </c>
      <c r="S84" s="1062"/>
    </row>
    <row r="85" spans="1:19" ht="13.9" customHeight="1" x14ac:dyDescent="0.25">
      <c r="A85" s="847">
        <f>Chem!A85</f>
        <v>83</v>
      </c>
      <c r="B85" s="937" t="str">
        <f>Chem!B85</f>
        <v>Bis(2-chloroethyl)ether</v>
      </c>
      <c r="C85" s="384" t="str">
        <f>'AR-Eq'!E85</f>
        <v>na</v>
      </c>
      <c r="D85" s="343">
        <f>'AR-Eq'!F85</f>
        <v>7.5757575757575751E-3</v>
      </c>
      <c r="E85" s="1300" t="str">
        <f>Param!AF85</f>
        <v>no</v>
      </c>
      <c r="F85" s="577">
        <f t="shared" si="25"/>
        <v>7.5757575757575751E-3</v>
      </c>
      <c r="G85" s="574" t="str">
        <f>IF(OR(F85="na",E85="no"),"na",F85/Eqtn!$D$387)</f>
        <v>na</v>
      </c>
      <c r="H85" s="308" t="str">
        <f>'AR-Eq'!G85</f>
        <v>na</v>
      </c>
      <c r="I85" s="308">
        <f>'AR-Eq'!H85</f>
        <v>7.575757575757576E-2</v>
      </c>
      <c r="J85" s="697">
        <f t="shared" si="26"/>
        <v>7.575757575757576E-2</v>
      </c>
      <c r="K85" s="699" t="str">
        <f>IF(OR(J85="na",E85="no"),"na",J85/Eqtn!$D$387)</f>
        <v>na</v>
      </c>
      <c r="L85" s="1496" t="str">
        <f>'AR-Eq'!I85</f>
        <v>na</v>
      </c>
      <c r="M85" s="699">
        <f>'AR-Eq'!J85</f>
        <v>3.539393939393938E-2</v>
      </c>
      <c r="N85" s="699">
        <f t="shared" si="27"/>
        <v>3.539393939393938E-2</v>
      </c>
      <c r="O85" s="1529" t="str">
        <f>IF(OR(N85="na",$E85="no"),"na",N85/Eqtn!$D$387)</f>
        <v>na</v>
      </c>
      <c r="P85" s="1529" t="s">
        <v>232</v>
      </c>
      <c r="Q85" s="760" t="s">
        <v>232</v>
      </c>
      <c r="S85" s="1062"/>
    </row>
    <row r="86" spans="1:19" ht="13.9" customHeight="1" x14ac:dyDescent="0.25">
      <c r="A86" s="847">
        <f>Chem!A86</f>
        <v>84</v>
      </c>
      <c r="B86" s="937" t="str">
        <f>Chem!B86</f>
        <v>Bis(chloromethyl)ether</v>
      </c>
      <c r="C86" s="384" t="str">
        <f>'AR-Eq'!E86</f>
        <v>na</v>
      </c>
      <c r="D86" s="343">
        <f>'AR-Eq'!F86</f>
        <v>4.0322580645161277E-5</v>
      </c>
      <c r="E86" s="1300" t="str">
        <f>Param!AF86</f>
        <v>no</v>
      </c>
      <c r="F86" s="577">
        <f t="shared" ref="F86" si="28">IF(C86="na",IF(D86="na","na",D86),MIN(C86,D86))</f>
        <v>4.0322580645161277E-5</v>
      </c>
      <c r="G86" s="574" t="str">
        <f>IF(OR(F86="na",E86="no"),"na",F86/Eqtn!$D$387)</f>
        <v>na</v>
      </c>
      <c r="H86" s="308" t="str">
        <f>'AR-Eq'!G86</f>
        <v>na</v>
      </c>
      <c r="I86" s="308">
        <f>'AR-Eq'!H86</f>
        <v>4.0322580645161285E-4</v>
      </c>
      <c r="J86" s="697">
        <f t="shared" ref="J86" si="29">IF(H86="na",IF(I86="na","na",I86),MIN(H86,I86))</f>
        <v>4.0322580645161285E-4</v>
      </c>
      <c r="K86" s="699" t="str">
        <f>IF(OR(J86="na",E86="no"),"na",J86/Eqtn!$D$387)</f>
        <v>na</v>
      </c>
      <c r="L86" s="1496" t="str">
        <f>'AR-Eq'!I86</f>
        <v>na</v>
      </c>
      <c r="M86" s="699">
        <f>'AR-Eq'!J86</f>
        <v>1.8838709677419343E-4</v>
      </c>
      <c r="N86" s="699">
        <f t="shared" si="27"/>
        <v>1.8838709677419343E-4</v>
      </c>
      <c r="O86" s="1529" t="str">
        <f>IF(OR(N86="na",$E86="no"),"na",N86/Eqtn!$D$387)</f>
        <v>na</v>
      </c>
      <c r="P86" s="1529" t="s">
        <v>232</v>
      </c>
      <c r="Q86" s="760" t="s">
        <v>232</v>
      </c>
      <c r="S86" s="1062"/>
    </row>
    <row r="87" spans="1:19" ht="13.9" customHeight="1" x14ac:dyDescent="0.25">
      <c r="A87" s="847">
        <f>Chem!A87</f>
        <v>85</v>
      </c>
      <c r="B87" s="937" t="str">
        <f>Chem!B87</f>
        <v xml:space="preserve">Bis(2-chloro-1-methylethyl)ether </v>
      </c>
      <c r="C87" s="384" t="str">
        <f>'AR-Eq'!E87</f>
        <v>na</v>
      </c>
      <c r="D87" s="343">
        <f>'AR-Eq'!F87</f>
        <v>0.24999999999999989</v>
      </c>
      <c r="E87" s="1300" t="str">
        <f>Param!AF87</f>
        <v>no</v>
      </c>
      <c r="F87" s="575">
        <f t="shared" si="25"/>
        <v>0.24999999999999989</v>
      </c>
      <c r="G87" s="574" t="str">
        <f>IF(OR(F87="na",E87="no"),"na",F87/Eqtn!$D$387)</f>
        <v>na</v>
      </c>
      <c r="H87" s="17" t="str">
        <f>'AR-Eq'!G87</f>
        <v>na</v>
      </c>
      <c r="I87" s="17">
        <f>'AR-Eq'!H87</f>
        <v>2.4999999999999996</v>
      </c>
      <c r="J87" s="694">
        <f t="shared" si="26"/>
        <v>2.4999999999999996</v>
      </c>
      <c r="K87" s="699" t="str">
        <f>IF(OR(J87="na",E87="no"),"na",J87/Eqtn!$D$387)</f>
        <v>na</v>
      </c>
      <c r="L87" s="1496" t="str">
        <f>'AR-Eq'!I87</f>
        <v>na</v>
      </c>
      <c r="M87" s="699">
        <f>'AR-Eq'!J87</f>
        <v>1.1679999999999993</v>
      </c>
      <c r="N87" s="699">
        <f t="shared" si="27"/>
        <v>1.1679999999999993</v>
      </c>
      <c r="O87" s="1529" t="str">
        <f>IF(OR(N87="na",$E87="no"),"na",N87/Eqtn!$D$387)</f>
        <v>na</v>
      </c>
      <c r="P87" s="1529" t="s">
        <v>232</v>
      </c>
      <c r="Q87" s="760" t="s">
        <v>232</v>
      </c>
      <c r="S87" s="1062"/>
    </row>
    <row r="88" spans="1:19" ht="13.9" customHeight="1" x14ac:dyDescent="0.25">
      <c r="A88" s="847">
        <f>Chem!A88</f>
        <v>86</v>
      </c>
      <c r="B88" s="937" t="str">
        <f>Chem!B88</f>
        <v>2,6-Bis(1,1-dimethylethyl) phenol</v>
      </c>
      <c r="C88" s="384" t="str">
        <f>'AR-Eq'!E88</f>
        <v>na</v>
      </c>
      <c r="D88" s="343" t="str">
        <f>'AR-Eq'!F88</f>
        <v>na</v>
      </c>
      <c r="E88" s="1300" t="str">
        <f>Param!AF88</f>
        <v>no</v>
      </c>
      <c r="F88" s="576" t="str">
        <f t="shared" si="25"/>
        <v>na</v>
      </c>
      <c r="G88" s="574" t="str">
        <f>IF(OR(F88="na",E88="no"),"na",F88/Eqtn!$D$387)</f>
        <v>na</v>
      </c>
      <c r="H88" s="307" t="str">
        <f>'AR-Eq'!G88</f>
        <v>na</v>
      </c>
      <c r="I88" s="307" t="str">
        <f>'AR-Eq'!H88</f>
        <v>na</v>
      </c>
      <c r="J88" s="696" t="str">
        <f t="shared" si="26"/>
        <v>na</v>
      </c>
      <c r="K88" s="699" t="str">
        <f>IF(OR(J88="na",E88="no"),"na",J88/Eqtn!$D$387)</f>
        <v>na</v>
      </c>
      <c r="L88" s="1496" t="str">
        <f>'AR-Eq'!I88</f>
        <v>na</v>
      </c>
      <c r="M88" s="699" t="str">
        <f>'AR-Eq'!J88</f>
        <v>na</v>
      </c>
      <c r="N88" s="699" t="str">
        <f t="shared" si="27"/>
        <v>na</v>
      </c>
      <c r="O88" s="1529" t="str">
        <f>IF(OR(N88="na",$E88="no"),"na",N88/Eqtn!$D$387)</f>
        <v>na</v>
      </c>
      <c r="P88" s="1529" t="s">
        <v>232</v>
      </c>
      <c r="Q88" s="760" t="s">
        <v>232</v>
      </c>
      <c r="S88" s="1062"/>
    </row>
    <row r="89" spans="1:19" ht="13.9" customHeight="1" x14ac:dyDescent="0.25">
      <c r="A89" s="847">
        <f>Chem!A89</f>
        <v>87</v>
      </c>
      <c r="B89" s="937" t="str">
        <f>Chem!B89</f>
        <v>Bis(2-ethylhexyl) phthalate</v>
      </c>
      <c r="C89" s="384" t="str">
        <f>'AR-Eq'!E89</f>
        <v>na</v>
      </c>
      <c r="D89" s="343">
        <f>'AR-Eq'!F89</f>
        <v>1.0416666666666665</v>
      </c>
      <c r="E89" s="1300" t="str">
        <f>Param!AF89</f>
        <v>no</v>
      </c>
      <c r="F89" s="575">
        <f t="shared" si="25"/>
        <v>1.0416666666666665</v>
      </c>
      <c r="G89" s="574" t="str">
        <f>IF(OR(F89="na",E89="no"),"na",F89/Eqtn!$D$387)</f>
        <v>na</v>
      </c>
      <c r="H89" s="17" t="str">
        <f>'AR-Eq'!G89</f>
        <v>na</v>
      </c>
      <c r="I89" s="17">
        <f>'AR-Eq'!H89</f>
        <v>10.416666666666668</v>
      </c>
      <c r="J89" s="694">
        <f t="shared" si="26"/>
        <v>10.416666666666668</v>
      </c>
      <c r="K89" s="699" t="str">
        <f>IF(OR(J89="na",E89="no"),"na",J89/Eqtn!$D$387)</f>
        <v>na</v>
      </c>
      <c r="L89" s="1496" t="str">
        <f>'AR-Eq'!I89</f>
        <v>na</v>
      </c>
      <c r="M89" s="699">
        <f>'AR-Eq'!J89</f>
        <v>4.8666666666666654</v>
      </c>
      <c r="N89" s="699">
        <f t="shared" si="27"/>
        <v>4.8666666666666654</v>
      </c>
      <c r="O89" s="1529" t="str">
        <f>IF(OR(N89="na",$E89="no"),"na",N89/Eqtn!$D$387)</f>
        <v>na</v>
      </c>
      <c r="P89" s="1529" t="s">
        <v>232</v>
      </c>
      <c r="Q89" s="760" t="s">
        <v>232</v>
      </c>
      <c r="S89" s="1062"/>
    </row>
    <row r="90" spans="1:19" ht="13.9" customHeight="1" x14ac:dyDescent="0.25">
      <c r="A90" s="847">
        <f>Chem!A90</f>
        <v>88</v>
      </c>
      <c r="B90" s="937" t="str">
        <f>Chem!B90</f>
        <v>4-Bromophenyl phenyl ether</v>
      </c>
      <c r="C90" s="384" t="str">
        <f>'AR-Eq'!E90</f>
        <v>na</v>
      </c>
      <c r="D90" s="343" t="str">
        <f>'AR-Eq'!F90</f>
        <v>na</v>
      </c>
      <c r="E90" s="1300" t="str">
        <f>Param!AF90</f>
        <v>no</v>
      </c>
      <c r="F90" s="576" t="str">
        <f t="shared" si="25"/>
        <v>na</v>
      </c>
      <c r="G90" s="574" t="str">
        <f>IF(OR(F90="na",E90="no"),"na",F90/Eqtn!$D$387)</f>
        <v>na</v>
      </c>
      <c r="H90" s="307" t="str">
        <f>'AR-Eq'!G90</f>
        <v>na</v>
      </c>
      <c r="I90" s="307" t="str">
        <f>'AR-Eq'!H90</f>
        <v>na</v>
      </c>
      <c r="J90" s="696" t="str">
        <f t="shared" si="26"/>
        <v>na</v>
      </c>
      <c r="K90" s="699" t="str">
        <f>IF(OR(J90="na",E90="no"),"na",J90/Eqtn!$D$387)</f>
        <v>na</v>
      </c>
      <c r="L90" s="1496" t="str">
        <f>'AR-Eq'!I90</f>
        <v>na</v>
      </c>
      <c r="M90" s="699" t="str">
        <f>'AR-Eq'!J90</f>
        <v>na</v>
      </c>
      <c r="N90" s="699" t="str">
        <f t="shared" si="27"/>
        <v>na</v>
      </c>
      <c r="O90" s="1529" t="str">
        <f>IF(OR(N90="na",$E90="no"),"na",N90/Eqtn!$D$387)</f>
        <v>na</v>
      </c>
      <c r="P90" s="1529" t="s">
        <v>232</v>
      </c>
      <c r="Q90" s="760" t="s">
        <v>232</v>
      </c>
      <c r="S90" s="1062"/>
    </row>
    <row r="91" spans="1:19" ht="13.9" customHeight="1" x14ac:dyDescent="0.25">
      <c r="A91" s="847">
        <f>Chem!A91</f>
        <v>89</v>
      </c>
      <c r="B91" s="937" t="str">
        <f>Chem!B91</f>
        <v>Butyl benzyl phthalate</v>
      </c>
      <c r="C91" s="384" t="str">
        <f>'AR-Eq'!E91</f>
        <v>na</v>
      </c>
      <c r="D91" s="343" t="str">
        <f>'AR-Eq'!F91</f>
        <v>na</v>
      </c>
      <c r="E91" s="1300" t="str">
        <f>Param!AF91</f>
        <v>no</v>
      </c>
      <c r="F91" s="575" t="str">
        <f t="shared" si="25"/>
        <v>na</v>
      </c>
      <c r="G91" s="574" t="str">
        <f>IF(OR(F91="na",E91="no"),"na",F91/Eqtn!$D$387)</f>
        <v>na</v>
      </c>
      <c r="H91" s="17" t="str">
        <f>'AR-Eq'!G91</f>
        <v>na</v>
      </c>
      <c r="I91" s="17" t="str">
        <f>'AR-Eq'!H91</f>
        <v>na</v>
      </c>
      <c r="J91" s="694" t="str">
        <f t="shared" si="26"/>
        <v>na</v>
      </c>
      <c r="K91" s="699" t="str">
        <f>IF(OR(J91="na",E91="no"),"na",J91/Eqtn!$D$387)</f>
        <v>na</v>
      </c>
      <c r="L91" s="1496" t="str">
        <f>'AR-Eq'!I91</f>
        <v>na</v>
      </c>
      <c r="M91" s="699" t="str">
        <f>'AR-Eq'!J91</f>
        <v>na</v>
      </c>
      <c r="N91" s="699" t="str">
        <f t="shared" si="27"/>
        <v>na</v>
      </c>
      <c r="O91" s="1529" t="str">
        <f>IF(OR(N91="na",$E91="no"),"na",N91/Eqtn!$D$387)</f>
        <v>na</v>
      </c>
      <c r="P91" s="1529" t="s">
        <v>232</v>
      </c>
      <c r="Q91" s="760" t="s">
        <v>232</v>
      </c>
      <c r="S91" s="1062"/>
    </row>
    <row r="92" spans="1:19" ht="13.9" customHeight="1" x14ac:dyDescent="0.25">
      <c r="A92" s="847">
        <f>Chem!A92</f>
        <v>90</v>
      </c>
      <c r="B92" s="937" t="str">
        <f>Chem!B92</f>
        <v>Butyl diphenyl phosphate</v>
      </c>
      <c r="C92" s="384" t="str">
        <f>'AR-Eq'!E92</f>
        <v>na</v>
      </c>
      <c r="D92" s="343" t="str">
        <f>'AR-Eq'!F92</f>
        <v>na</v>
      </c>
      <c r="E92" s="1300" t="str">
        <f>Param!AF92</f>
        <v>no</v>
      </c>
      <c r="F92" s="576" t="str">
        <f t="shared" si="25"/>
        <v>na</v>
      </c>
      <c r="G92" s="574" t="str">
        <f>IF(OR(F92="na",E92="no"),"na",F92/Eqtn!$D$387)</f>
        <v>na</v>
      </c>
      <c r="H92" s="307" t="str">
        <f>'AR-Eq'!G92</f>
        <v>na</v>
      </c>
      <c r="I92" s="307" t="str">
        <f>'AR-Eq'!H92</f>
        <v>na</v>
      </c>
      <c r="J92" s="696" t="str">
        <f t="shared" si="26"/>
        <v>na</v>
      </c>
      <c r="K92" s="699" t="str">
        <f>IF(OR(J92="na",E92="no"),"na",J92/Eqtn!$D$387)</f>
        <v>na</v>
      </c>
      <c r="L92" s="1496" t="str">
        <f>'AR-Eq'!I92</f>
        <v>na</v>
      </c>
      <c r="M92" s="699" t="str">
        <f>'AR-Eq'!J92</f>
        <v>na</v>
      </c>
      <c r="N92" s="699" t="str">
        <f t="shared" si="27"/>
        <v>na</v>
      </c>
      <c r="O92" s="1529" t="str">
        <f>IF(OR(N92="na",$E92="no"),"na",N92/Eqtn!$D$387)</f>
        <v>na</v>
      </c>
      <c r="P92" s="1529" t="s">
        <v>232</v>
      </c>
      <c r="Q92" s="760" t="s">
        <v>232</v>
      </c>
      <c r="S92" s="1062"/>
    </row>
    <row r="93" spans="1:19" ht="13.9" customHeight="1" x14ac:dyDescent="0.25">
      <c r="A93" s="847">
        <f>Chem!A93</f>
        <v>91</v>
      </c>
      <c r="B93" s="937" t="str">
        <f>Chem!B93</f>
        <v>Carbazole</v>
      </c>
      <c r="C93" s="384" t="str">
        <f>'AR-Eq'!E93</f>
        <v>na</v>
      </c>
      <c r="D93" s="343" t="str">
        <f>'AR-Eq'!F93</f>
        <v>na</v>
      </c>
      <c r="E93" s="1300" t="str">
        <f>Param!AF93</f>
        <v>no</v>
      </c>
      <c r="F93" s="577" t="str">
        <f t="shared" si="25"/>
        <v>na</v>
      </c>
      <c r="G93" s="574" t="str">
        <f>IF(OR(F93="na",E93="no"),"na",F93/Eqtn!$D$387)</f>
        <v>na</v>
      </c>
      <c r="H93" s="308" t="str">
        <f>'AR-Eq'!G93</f>
        <v>na</v>
      </c>
      <c r="I93" s="308" t="str">
        <f>'AR-Eq'!H93</f>
        <v>na</v>
      </c>
      <c r="J93" s="697" t="str">
        <f t="shared" si="26"/>
        <v>na</v>
      </c>
      <c r="K93" s="699" t="str">
        <f>IF(OR(J93="na",E93="no"),"na",J93/Eqtn!$D$387)</f>
        <v>na</v>
      </c>
      <c r="L93" s="1496" t="str">
        <f>'AR-Eq'!I93</f>
        <v>na</v>
      </c>
      <c r="M93" s="699" t="str">
        <f>'AR-Eq'!J93</f>
        <v>na</v>
      </c>
      <c r="N93" s="699" t="str">
        <f t="shared" si="27"/>
        <v>na</v>
      </c>
      <c r="O93" s="1529" t="str">
        <f>IF(OR(N93="na",$E93="no"),"na",N93/Eqtn!$D$387)</f>
        <v>na</v>
      </c>
      <c r="P93" s="1529" t="s">
        <v>232</v>
      </c>
      <c r="Q93" s="760" t="s">
        <v>232</v>
      </c>
      <c r="S93" s="1062"/>
    </row>
    <row r="94" spans="1:19" ht="13.9" customHeight="1" x14ac:dyDescent="0.25">
      <c r="A94" s="847">
        <f>Chem!A94</f>
        <v>92</v>
      </c>
      <c r="B94" s="937" t="str">
        <f>Chem!B94</f>
        <v>4-Chloroaniline</v>
      </c>
      <c r="C94" s="384" t="str">
        <f>'AR-Eq'!E94</f>
        <v>na</v>
      </c>
      <c r="D94" s="343" t="str">
        <f>'AR-Eq'!F94</f>
        <v>na</v>
      </c>
      <c r="E94" s="1300" t="str">
        <f>Param!AF94</f>
        <v>no</v>
      </c>
      <c r="F94" s="575" t="str">
        <f t="shared" si="25"/>
        <v>na</v>
      </c>
      <c r="G94" s="574" t="str">
        <f>IF(OR(F94="na",E94="no"),"na",F94/Eqtn!$D$387)</f>
        <v>na</v>
      </c>
      <c r="H94" s="17" t="str">
        <f>'AR-Eq'!G94</f>
        <v>na</v>
      </c>
      <c r="I94" s="17" t="str">
        <f>'AR-Eq'!H94</f>
        <v>na</v>
      </c>
      <c r="J94" s="694" t="str">
        <f t="shared" si="26"/>
        <v>na</v>
      </c>
      <c r="K94" s="699" t="str">
        <f>IF(OR(J94="na",E94="no"),"na",J94/Eqtn!$D$387)</f>
        <v>na</v>
      </c>
      <c r="L94" s="1496" t="str">
        <f>'AR-Eq'!I94</f>
        <v>na</v>
      </c>
      <c r="M94" s="699" t="str">
        <f>'AR-Eq'!J94</f>
        <v>na</v>
      </c>
      <c r="N94" s="699" t="str">
        <f t="shared" si="27"/>
        <v>na</v>
      </c>
      <c r="O94" s="1529" t="str">
        <f>IF(OR(N94="na",$E94="no"),"na",N94/Eqtn!$D$387)</f>
        <v>na</v>
      </c>
      <c r="P94" s="1529" t="s">
        <v>232</v>
      </c>
      <c r="Q94" s="760" t="s">
        <v>232</v>
      </c>
      <c r="S94" s="1062"/>
    </row>
    <row r="95" spans="1:19" ht="13.9" customHeight="1" x14ac:dyDescent="0.25">
      <c r="A95" s="847">
        <f>Chem!A95</f>
        <v>93</v>
      </c>
      <c r="B95" s="937" t="str">
        <f>Chem!B95</f>
        <v>4-Chloro-3-methylphenol (chlorocresol)</v>
      </c>
      <c r="C95" s="384" t="str">
        <f>'AR-Eq'!E95</f>
        <v>na</v>
      </c>
      <c r="D95" s="343" t="str">
        <f>'AR-Eq'!F95</f>
        <v>na</v>
      </c>
      <c r="E95" s="1300" t="str">
        <f>Param!AF95</f>
        <v>no</v>
      </c>
      <c r="F95" s="576" t="str">
        <f t="shared" si="25"/>
        <v>na</v>
      </c>
      <c r="G95" s="574" t="str">
        <f>IF(OR(F95="na",E95="no"),"na",F95/Eqtn!$D$387)</f>
        <v>na</v>
      </c>
      <c r="H95" s="307" t="str">
        <f>'AR-Eq'!G95</f>
        <v>na</v>
      </c>
      <c r="I95" s="307" t="str">
        <f>'AR-Eq'!H95</f>
        <v>na</v>
      </c>
      <c r="J95" s="696" t="str">
        <f t="shared" si="26"/>
        <v>na</v>
      </c>
      <c r="K95" s="699" t="str">
        <f>IF(OR(J95="na",E95="no"),"na",J95/Eqtn!$D$387)</f>
        <v>na</v>
      </c>
      <c r="L95" s="1496" t="str">
        <f>'AR-Eq'!I95</f>
        <v>na</v>
      </c>
      <c r="M95" s="699" t="str">
        <f>'AR-Eq'!J95</f>
        <v>na</v>
      </c>
      <c r="N95" s="699" t="str">
        <f t="shared" si="27"/>
        <v>na</v>
      </c>
      <c r="O95" s="1529" t="str">
        <f>IF(OR(N95="na",$E95="no"),"na",N95/Eqtn!$D$387)</f>
        <v>na</v>
      </c>
      <c r="P95" s="1529" t="s">
        <v>232</v>
      </c>
      <c r="Q95" s="760" t="s">
        <v>232</v>
      </c>
      <c r="S95" s="1062"/>
    </row>
    <row r="96" spans="1:19" ht="13.9" customHeight="1" x14ac:dyDescent="0.25">
      <c r="A96" s="847">
        <f>Chem!A96</f>
        <v>94</v>
      </c>
      <c r="B96" s="937" t="str">
        <f>Chem!B96</f>
        <v>2-Chloronaphthalene (beta-)</v>
      </c>
      <c r="C96" s="384" t="str">
        <f>'AR-Eq'!E96</f>
        <v>na</v>
      </c>
      <c r="D96" s="343" t="str">
        <f>'AR-Eq'!F96</f>
        <v>na</v>
      </c>
      <c r="E96" s="1300" t="str">
        <f>Param!AF96</f>
        <v>no</v>
      </c>
      <c r="F96" s="575" t="str">
        <f t="shared" si="25"/>
        <v>na</v>
      </c>
      <c r="G96" s="574" t="str">
        <f>IF(OR(F96="na",E96="no"),"na",F96/Eqtn!$D$387)</f>
        <v>na</v>
      </c>
      <c r="H96" s="17" t="str">
        <f>'AR-Eq'!G96</f>
        <v>na</v>
      </c>
      <c r="I96" s="17" t="str">
        <f>'AR-Eq'!H96</f>
        <v>na</v>
      </c>
      <c r="J96" s="694" t="str">
        <f t="shared" si="26"/>
        <v>na</v>
      </c>
      <c r="K96" s="699" t="str">
        <f>IF(OR(J96="na",E96="no"),"na",J96/Eqtn!$D$387)</f>
        <v>na</v>
      </c>
      <c r="L96" s="1496" t="str">
        <f>'AR-Eq'!I96</f>
        <v>na</v>
      </c>
      <c r="M96" s="699" t="str">
        <f>'AR-Eq'!J96</f>
        <v>na</v>
      </c>
      <c r="N96" s="699" t="str">
        <f t="shared" si="27"/>
        <v>na</v>
      </c>
      <c r="O96" s="1529" t="str">
        <f>IF(OR(N96="na",$E96="no"),"na",N96/Eqtn!$D$387)</f>
        <v>na</v>
      </c>
      <c r="P96" s="1529" t="s">
        <v>232</v>
      </c>
      <c r="Q96" s="760" t="s">
        <v>232</v>
      </c>
      <c r="S96" s="1062"/>
    </row>
    <row r="97" spans="1:19" ht="13.9" customHeight="1" x14ac:dyDescent="0.25">
      <c r="A97" s="847">
        <f>Chem!A97</f>
        <v>95</v>
      </c>
      <c r="B97" s="937" t="str">
        <f>Chem!B97</f>
        <v>2-Chlorophenol</v>
      </c>
      <c r="C97" s="384" t="str">
        <f>'AR-Eq'!E97</f>
        <v>na</v>
      </c>
      <c r="D97" s="343" t="str">
        <f>'AR-Eq'!F97</f>
        <v>na</v>
      </c>
      <c r="E97" s="1300" t="str">
        <f>Param!AF97</f>
        <v>no</v>
      </c>
      <c r="F97" s="575" t="str">
        <f t="shared" si="25"/>
        <v>na</v>
      </c>
      <c r="G97" s="574" t="str">
        <f>IF(OR(F97="na",E97="no"),"na",F97/Eqtn!$D$387)</f>
        <v>na</v>
      </c>
      <c r="H97" s="17" t="str">
        <f>'AR-Eq'!G97</f>
        <v>na</v>
      </c>
      <c r="I97" s="17" t="str">
        <f>'AR-Eq'!H97</f>
        <v>na</v>
      </c>
      <c r="J97" s="694" t="str">
        <f t="shared" si="26"/>
        <v>na</v>
      </c>
      <c r="K97" s="699" t="str">
        <f>IF(OR(J97="na",E97="no"),"na",J97/Eqtn!$D$387)</f>
        <v>na</v>
      </c>
      <c r="L97" s="1496" t="str">
        <f>'AR-Eq'!I97</f>
        <v>na</v>
      </c>
      <c r="M97" s="699" t="str">
        <f>'AR-Eq'!J97</f>
        <v>na</v>
      </c>
      <c r="N97" s="699" t="str">
        <f t="shared" si="27"/>
        <v>na</v>
      </c>
      <c r="O97" s="1529" t="str">
        <f>IF(OR(N97="na",$E97="no"),"na",N97/Eqtn!$D$387)</f>
        <v>na</v>
      </c>
      <c r="P97" s="1529" t="s">
        <v>232</v>
      </c>
      <c r="Q97" s="760" t="s">
        <v>232</v>
      </c>
      <c r="S97" s="1062"/>
    </row>
    <row r="98" spans="1:19" ht="13.9" customHeight="1" x14ac:dyDescent="0.25">
      <c r="A98" s="847">
        <f>Chem!A98</f>
        <v>96</v>
      </c>
      <c r="B98" s="937" t="str">
        <f>Chem!B98</f>
        <v>4-Chlorophenyl phenyl ether</v>
      </c>
      <c r="C98" s="384" t="str">
        <f>'AR-Eq'!E98</f>
        <v>na</v>
      </c>
      <c r="D98" s="343" t="str">
        <f>'AR-Eq'!F98</f>
        <v>na</v>
      </c>
      <c r="E98" s="1300" t="str">
        <f>Param!AF98</f>
        <v>no</v>
      </c>
      <c r="F98" s="576" t="str">
        <f t="shared" si="25"/>
        <v>na</v>
      </c>
      <c r="G98" s="574" t="str">
        <f>IF(OR(F98="na",E98="no"),"na",F98/Eqtn!$D$387)</f>
        <v>na</v>
      </c>
      <c r="H98" s="307" t="str">
        <f>'AR-Eq'!G98</f>
        <v>na</v>
      </c>
      <c r="I98" s="307" t="str">
        <f>'AR-Eq'!H98</f>
        <v>na</v>
      </c>
      <c r="J98" s="696" t="str">
        <f t="shared" si="26"/>
        <v>na</v>
      </c>
      <c r="K98" s="699" t="str">
        <f>IF(OR(J98="na",E98="no"),"na",J98/Eqtn!$D$387)</f>
        <v>na</v>
      </c>
      <c r="L98" s="1496" t="str">
        <f>'AR-Eq'!I98</f>
        <v>na</v>
      </c>
      <c r="M98" s="699" t="str">
        <f>'AR-Eq'!J98</f>
        <v>na</v>
      </c>
      <c r="N98" s="699" t="str">
        <f t="shared" si="27"/>
        <v>na</v>
      </c>
      <c r="O98" s="1529" t="str">
        <f>IF(OR(N98="na",$E98="no"),"na",N98/Eqtn!$D$387)</f>
        <v>na</v>
      </c>
      <c r="P98" s="1529" t="s">
        <v>232</v>
      </c>
      <c r="Q98" s="760" t="s">
        <v>232</v>
      </c>
      <c r="S98" s="1062"/>
    </row>
    <row r="99" spans="1:19" ht="13.9" customHeight="1" x14ac:dyDescent="0.25">
      <c r="A99" s="847">
        <f>Chem!A99</f>
        <v>97</v>
      </c>
      <c r="B99" s="937" t="str">
        <f>Chem!B99</f>
        <v>Dibutyl phthalate</v>
      </c>
      <c r="C99" s="384" t="str">
        <f>'AR-Eq'!E99</f>
        <v>na</v>
      </c>
      <c r="D99" s="343" t="str">
        <f>'AR-Eq'!F99</f>
        <v>na</v>
      </c>
      <c r="E99" s="1300" t="str">
        <f>Param!AF99</f>
        <v>no</v>
      </c>
      <c r="F99" s="575" t="str">
        <f t="shared" si="25"/>
        <v>na</v>
      </c>
      <c r="G99" s="574" t="str">
        <f>IF(OR(F99="na",E99="no"),"na",F99/Eqtn!$D$387)</f>
        <v>na</v>
      </c>
      <c r="H99" s="17" t="str">
        <f>'AR-Eq'!G99</f>
        <v>na</v>
      </c>
      <c r="I99" s="17" t="str">
        <f>'AR-Eq'!H99</f>
        <v>na</v>
      </c>
      <c r="J99" s="694" t="str">
        <f t="shared" si="26"/>
        <v>na</v>
      </c>
      <c r="K99" s="699" t="str">
        <f>IF(OR(J99="na",E99="no"),"na",J99/Eqtn!$D$387)</f>
        <v>na</v>
      </c>
      <c r="L99" s="1496" t="str">
        <f>'AR-Eq'!I99</f>
        <v>na</v>
      </c>
      <c r="M99" s="699" t="str">
        <f>'AR-Eq'!J99</f>
        <v>na</v>
      </c>
      <c r="N99" s="699" t="str">
        <f t="shared" si="27"/>
        <v>na</v>
      </c>
      <c r="O99" s="1529" t="str">
        <f>IF(OR(N99="na",$E99="no"),"na",N99/Eqtn!$D$387)</f>
        <v>na</v>
      </c>
      <c r="P99" s="1529" t="s">
        <v>232</v>
      </c>
      <c r="Q99" s="760" t="s">
        <v>232</v>
      </c>
      <c r="S99" s="1062"/>
    </row>
    <row r="100" spans="1:19" ht="13.9" customHeight="1" x14ac:dyDescent="0.25">
      <c r="A100" s="847">
        <f>Chem!A100</f>
        <v>98</v>
      </c>
      <c r="B100" s="937" t="str">
        <f>Chem!B100</f>
        <v>Dibutyl phenyl phosphate</v>
      </c>
      <c r="C100" s="384" t="str">
        <f>'AR-Eq'!E100</f>
        <v>na</v>
      </c>
      <c r="D100" s="343" t="str">
        <f>'AR-Eq'!F100</f>
        <v>na</v>
      </c>
      <c r="E100" s="1300" t="str">
        <f>Param!AF100</f>
        <v>no</v>
      </c>
      <c r="F100" s="576" t="str">
        <f t="shared" si="25"/>
        <v>na</v>
      </c>
      <c r="G100" s="574" t="str">
        <f>IF(OR(F100="na",E100="no"),"na",F100/Eqtn!$D$387)</f>
        <v>na</v>
      </c>
      <c r="H100" s="307" t="str">
        <f>'AR-Eq'!G100</f>
        <v>na</v>
      </c>
      <c r="I100" s="307" t="str">
        <f>'AR-Eq'!H100</f>
        <v>na</v>
      </c>
      <c r="J100" s="696" t="str">
        <f t="shared" si="26"/>
        <v>na</v>
      </c>
      <c r="K100" s="699" t="str">
        <f>IF(OR(J100="na",E100="no"),"na",J100/Eqtn!$D$387)</f>
        <v>na</v>
      </c>
      <c r="L100" s="1496" t="str">
        <f>'AR-Eq'!I100</f>
        <v>na</v>
      </c>
      <c r="M100" s="699" t="str">
        <f>'AR-Eq'!J100</f>
        <v>na</v>
      </c>
      <c r="N100" s="699" t="str">
        <f t="shared" si="27"/>
        <v>na</v>
      </c>
      <c r="O100" s="1529" t="str">
        <f>IF(OR(N100="na",$E100="no"),"na",N100/Eqtn!$D$387)</f>
        <v>na</v>
      </c>
      <c r="P100" s="1529" t="s">
        <v>232</v>
      </c>
      <c r="Q100" s="760" t="s">
        <v>232</v>
      </c>
      <c r="S100" s="1062"/>
    </row>
    <row r="101" spans="1:19" ht="13.9" customHeight="1" x14ac:dyDescent="0.25">
      <c r="A101" s="847">
        <f>Chem!A101</f>
        <v>99</v>
      </c>
      <c r="B101" s="937" t="str">
        <f>Chem!B101</f>
        <v>1,2-Dichlorobenzene</v>
      </c>
      <c r="C101" s="384">
        <f>'AR-Eq'!E101</f>
        <v>91.428571428571416</v>
      </c>
      <c r="D101" s="343" t="str">
        <f>'AR-Eq'!F101</f>
        <v>na</v>
      </c>
      <c r="E101" s="1300" t="str">
        <f>Param!AF101</f>
        <v>YES</v>
      </c>
      <c r="F101" s="573">
        <f t="shared" si="25"/>
        <v>91.428571428571416</v>
      </c>
      <c r="G101" s="574">
        <f>IF(OR(F101="na",E101="no"),"na",F101/Eqtn!$D$387)</f>
        <v>3047.6190476190473</v>
      </c>
      <c r="H101" s="306">
        <f>'AR-Eq'!G101</f>
        <v>199.99999999999997</v>
      </c>
      <c r="I101" s="306" t="str">
        <f>'AR-Eq'!H101</f>
        <v>na</v>
      </c>
      <c r="J101" s="693">
        <f t="shared" si="26"/>
        <v>199.99999999999997</v>
      </c>
      <c r="K101" s="699">
        <f>IF(OR(J101="na",E101="no"),"na",J101/Eqtn!$D$387)</f>
        <v>6666.6666666666661</v>
      </c>
      <c r="L101" s="1496">
        <f>'AR-Eq'!I101</f>
        <v>778.6666666666664</v>
      </c>
      <c r="M101" s="699" t="str">
        <f>'AR-Eq'!J101</f>
        <v>na</v>
      </c>
      <c r="N101" s="699">
        <f t="shared" si="27"/>
        <v>778.6666666666664</v>
      </c>
      <c r="O101" s="1529">
        <f>IF(OR(N101="na",$E101="no"),"na",N101/Eqtn!$D$387)</f>
        <v>25955.555555555547</v>
      </c>
      <c r="P101" s="1529" t="s">
        <v>232</v>
      </c>
      <c r="Q101" s="760" t="s">
        <v>232</v>
      </c>
      <c r="S101" s="1062"/>
    </row>
    <row r="102" spans="1:19" ht="13.9" customHeight="1" x14ac:dyDescent="0.25">
      <c r="A102" s="847">
        <f>Chem!A102</f>
        <v>100</v>
      </c>
      <c r="B102" s="937" t="str">
        <f>Chem!B102</f>
        <v>1,3-Dichlorobenzene</v>
      </c>
      <c r="C102" s="384" t="str">
        <f>'AR-Eq'!E102</f>
        <v>na</v>
      </c>
      <c r="D102" s="343" t="str">
        <f>'AR-Eq'!F102</f>
        <v>na</v>
      </c>
      <c r="E102" s="1300" t="str">
        <f>Param!AF102</f>
        <v>no</v>
      </c>
      <c r="F102" s="573" t="str">
        <f t="shared" si="25"/>
        <v>na</v>
      </c>
      <c r="G102" s="574" t="str">
        <f>IF(OR(F102="na",E102="no"),"na",F102/Eqtn!$D$387)</f>
        <v>na</v>
      </c>
      <c r="H102" s="306" t="str">
        <f>'AR-Eq'!G102</f>
        <v>na</v>
      </c>
      <c r="I102" s="306" t="str">
        <f>'AR-Eq'!H102</f>
        <v>na</v>
      </c>
      <c r="J102" s="693" t="str">
        <f t="shared" si="26"/>
        <v>na</v>
      </c>
      <c r="K102" s="699" t="str">
        <f>IF(OR(J102="na",E102="no"),"na",J102/Eqtn!$D$387)</f>
        <v>na</v>
      </c>
      <c r="L102" s="1496" t="str">
        <f>'AR-Eq'!I102</f>
        <v>na</v>
      </c>
      <c r="M102" s="699" t="str">
        <f>'AR-Eq'!J102</f>
        <v>na</v>
      </c>
      <c r="N102" s="699" t="str">
        <f t="shared" si="27"/>
        <v>na</v>
      </c>
      <c r="O102" s="1529" t="str">
        <f>IF(OR(N102="na",$E102="no"),"na",N102/Eqtn!$D$387)</f>
        <v>na</v>
      </c>
      <c r="P102" s="1529" t="s">
        <v>232</v>
      </c>
      <c r="Q102" s="760" t="s">
        <v>232</v>
      </c>
      <c r="S102" s="1062"/>
    </row>
    <row r="103" spans="1:19" ht="13.9" customHeight="1" x14ac:dyDescent="0.25">
      <c r="A103" s="847">
        <f>Chem!A103</f>
        <v>101</v>
      </c>
      <c r="B103" s="937" t="str">
        <f>Chem!B103</f>
        <v>1,4-Dichlorobenzene</v>
      </c>
      <c r="C103" s="384">
        <f>'AR-Eq'!E103</f>
        <v>365.71428571428567</v>
      </c>
      <c r="D103" s="343">
        <f>'AR-Eq'!F103</f>
        <v>0.22727272727272727</v>
      </c>
      <c r="E103" s="1300" t="str">
        <f>Param!AF103</f>
        <v>YES</v>
      </c>
      <c r="F103" s="575">
        <f t="shared" si="25"/>
        <v>0.22727272727272727</v>
      </c>
      <c r="G103" s="574">
        <f>IF(OR(F103="na",E103="no"),"na",F103/Eqtn!$D$387)</f>
        <v>7.5757575757575761</v>
      </c>
      <c r="H103" s="17">
        <f>'AR-Eq'!G103</f>
        <v>799.99999999999989</v>
      </c>
      <c r="I103" s="17">
        <f>'AR-Eq'!H103</f>
        <v>2.2727272727272729</v>
      </c>
      <c r="J103" s="694">
        <f t="shared" si="26"/>
        <v>2.2727272727272729</v>
      </c>
      <c r="K103" s="699">
        <f>IF(OR(J103="na",E103="no"),"na",J103/Eqtn!$D$387)</f>
        <v>75.757575757575765</v>
      </c>
      <c r="L103" s="1496">
        <f>'AR-Eq'!I103</f>
        <v>3114.6666666666656</v>
      </c>
      <c r="M103" s="699">
        <f>'AR-Eq'!J103</f>
        <v>1.0618181818181816</v>
      </c>
      <c r="N103" s="699">
        <f t="shared" si="27"/>
        <v>1.0618181818181816</v>
      </c>
      <c r="O103" s="1529">
        <f>IF(OR(N103="na",$E103="no"),"na",N103/Eqtn!$D$387)</f>
        <v>35.393939393939384</v>
      </c>
      <c r="P103" s="1529" t="s">
        <v>232</v>
      </c>
      <c r="Q103" s="760" t="s">
        <v>232</v>
      </c>
      <c r="S103" s="1062"/>
    </row>
    <row r="104" spans="1:19" ht="13.9" customHeight="1" x14ac:dyDescent="0.25">
      <c r="A104" s="847">
        <f>Chem!A104</f>
        <v>102</v>
      </c>
      <c r="B104" s="937" t="str">
        <f>Chem!B104</f>
        <v>3,3'-Dichlorobenzidine</v>
      </c>
      <c r="C104" s="384" t="str">
        <f>'AR-Eq'!E104</f>
        <v>na</v>
      </c>
      <c r="D104" s="343">
        <f>'AR-Eq'!F104</f>
        <v>7.3529411764705864E-3</v>
      </c>
      <c r="E104" s="1300" t="str">
        <f>Param!AF104</f>
        <v>no</v>
      </c>
      <c r="F104" s="573">
        <f t="shared" si="25"/>
        <v>7.3529411764705864E-3</v>
      </c>
      <c r="G104" s="574" t="str">
        <f>IF(OR(F104="na",E104="no"),"na",F104/Eqtn!$D$387)</f>
        <v>na</v>
      </c>
      <c r="H104" s="306" t="str">
        <f>'AR-Eq'!G104</f>
        <v>na</v>
      </c>
      <c r="I104" s="306">
        <f>'AR-Eq'!H104</f>
        <v>7.3529411764705885E-2</v>
      </c>
      <c r="J104" s="693">
        <f t="shared" si="26"/>
        <v>7.3529411764705885E-2</v>
      </c>
      <c r="K104" s="699" t="str">
        <f>IF(OR(J104="na",E104="no"),"na",J104/Eqtn!$D$387)</f>
        <v>na</v>
      </c>
      <c r="L104" s="1496" t="str">
        <f>'AR-Eq'!I104</f>
        <v>na</v>
      </c>
      <c r="M104" s="699">
        <f>'AR-Eq'!J104</f>
        <v>3.4352941176470572E-2</v>
      </c>
      <c r="N104" s="699">
        <f t="shared" si="27"/>
        <v>3.4352941176470572E-2</v>
      </c>
      <c r="O104" s="1529" t="str">
        <f>IF(OR(N104="na",$E104="no"),"na",N104/Eqtn!$D$387)</f>
        <v>na</v>
      </c>
      <c r="P104" s="1529" t="s">
        <v>232</v>
      </c>
      <c r="Q104" s="760" t="s">
        <v>232</v>
      </c>
      <c r="S104" s="1062"/>
    </row>
    <row r="105" spans="1:19" ht="13.9" customHeight="1" x14ac:dyDescent="0.25">
      <c r="A105" s="847">
        <f>Chem!A105</f>
        <v>103</v>
      </c>
      <c r="B105" s="937" t="str">
        <f>Chem!B105</f>
        <v>2,4-Dichlorophenol</v>
      </c>
      <c r="C105" s="384" t="str">
        <f>'AR-Eq'!E105</f>
        <v>na</v>
      </c>
      <c r="D105" s="343" t="str">
        <f>'AR-Eq'!F105</f>
        <v>na</v>
      </c>
      <c r="E105" s="1300" t="str">
        <f>Param!AF105</f>
        <v>no</v>
      </c>
      <c r="F105" s="573" t="str">
        <f t="shared" si="25"/>
        <v>na</v>
      </c>
      <c r="G105" s="574" t="str">
        <f>IF(OR(F105="na",E105="no"),"na",F105/Eqtn!$D$387)</f>
        <v>na</v>
      </c>
      <c r="H105" s="306" t="str">
        <f>'AR-Eq'!G105</f>
        <v>na</v>
      </c>
      <c r="I105" s="306" t="str">
        <f>'AR-Eq'!H105</f>
        <v>na</v>
      </c>
      <c r="J105" s="693" t="str">
        <f t="shared" si="26"/>
        <v>na</v>
      </c>
      <c r="K105" s="699" t="str">
        <f>IF(OR(J105="na",E105="no"),"na",J105/Eqtn!$D$387)</f>
        <v>na</v>
      </c>
      <c r="L105" s="1496" t="str">
        <f>'AR-Eq'!I105</f>
        <v>na</v>
      </c>
      <c r="M105" s="699" t="str">
        <f>'AR-Eq'!J105</f>
        <v>na</v>
      </c>
      <c r="N105" s="699" t="str">
        <f t="shared" si="27"/>
        <v>na</v>
      </c>
      <c r="O105" s="1529" t="str">
        <f>IF(OR(N105="na",$E105="no"),"na",N105/Eqtn!$D$387)</f>
        <v>na</v>
      </c>
      <c r="P105" s="1529" t="s">
        <v>232</v>
      </c>
      <c r="Q105" s="760" t="s">
        <v>232</v>
      </c>
      <c r="S105" s="1062"/>
    </row>
    <row r="106" spans="1:19" ht="13.9" customHeight="1" x14ac:dyDescent="0.25">
      <c r="A106" s="846">
        <f>Chem!A106</f>
        <v>104</v>
      </c>
      <c r="B106" s="937" t="str">
        <f>Chem!B106</f>
        <v>Di(2-ethylhexyl)adipate</v>
      </c>
      <c r="C106" s="384" t="str">
        <f>'AR-Eq'!E106</f>
        <v>na</v>
      </c>
      <c r="D106" s="343" t="str">
        <f>'AR-Eq'!F106</f>
        <v>na</v>
      </c>
      <c r="E106" s="1300" t="str">
        <f>Param!AF106</f>
        <v>no</v>
      </c>
      <c r="F106" s="573" t="str">
        <f t="shared" ref="F106" si="30">IF(C106="na",IF(D106="na","na",D106),MIN(C106,D106))</f>
        <v>na</v>
      </c>
      <c r="G106" s="574" t="str">
        <f>IF(OR(F106="na",E106="no"),"na",F106/Eqtn!$D$387)</f>
        <v>na</v>
      </c>
      <c r="H106" s="306" t="str">
        <f>'AR-Eq'!G106</f>
        <v>na</v>
      </c>
      <c r="I106" s="306" t="str">
        <f>'AR-Eq'!H106</f>
        <v>na</v>
      </c>
      <c r="J106" s="693" t="str">
        <f t="shared" ref="J106" si="31">IF(H106="na",IF(I106="na","na",I106),MIN(H106,I106))</f>
        <v>na</v>
      </c>
      <c r="K106" s="699" t="str">
        <f>IF(OR(J106="na",E106="no"),"na",J106/Eqtn!$D$387)</f>
        <v>na</v>
      </c>
      <c r="L106" s="1496" t="str">
        <f>'AR-Eq'!I106</f>
        <v>na</v>
      </c>
      <c r="M106" s="699" t="str">
        <f>'AR-Eq'!J106</f>
        <v>na</v>
      </c>
      <c r="N106" s="699" t="str">
        <f t="shared" si="27"/>
        <v>na</v>
      </c>
      <c r="O106" s="1529" t="str">
        <f>IF(OR(N106="na",$E106="no"),"na",N106/Eqtn!$D$387)</f>
        <v>na</v>
      </c>
      <c r="P106" s="1529" t="s">
        <v>232</v>
      </c>
      <c r="Q106" s="760" t="s">
        <v>232</v>
      </c>
      <c r="S106" s="1062"/>
    </row>
    <row r="107" spans="1:19" ht="13.9" customHeight="1" x14ac:dyDescent="0.25">
      <c r="A107" s="846">
        <f>Chem!A107</f>
        <v>105</v>
      </c>
      <c r="B107" s="937" t="str">
        <f>Chem!B107</f>
        <v>Diethyl phthalate</v>
      </c>
      <c r="C107" s="384" t="str">
        <f>'AR-Eq'!E107</f>
        <v>na</v>
      </c>
      <c r="D107" s="343" t="str">
        <f>'AR-Eq'!F107</f>
        <v>na</v>
      </c>
      <c r="E107" s="1300" t="str">
        <f>Param!AF107</f>
        <v>no</v>
      </c>
      <c r="F107" s="573" t="str">
        <f t="shared" si="25"/>
        <v>na</v>
      </c>
      <c r="G107" s="574" t="str">
        <f>IF(OR(F107="na",E107="no"),"na",F107/Eqtn!$D$387)</f>
        <v>na</v>
      </c>
      <c r="H107" s="306" t="str">
        <f>'AR-Eq'!G107</f>
        <v>na</v>
      </c>
      <c r="I107" s="306" t="str">
        <f>'AR-Eq'!H107</f>
        <v>na</v>
      </c>
      <c r="J107" s="693" t="str">
        <f t="shared" si="26"/>
        <v>na</v>
      </c>
      <c r="K107" s="699" t="str">
        <f>IF(OR(J107="na",E107="no"),"na",J107/Eqtn!$D$387)</f>
        <v>na</v>
      </c>
      <c r="L107" s="1496" t="str">
        <f>'AR-Eq'!I107</f>
        <v>na</v>
      </c>
      <c r="M107" s="699" t="str">
        <f>'AR-Eq'!J107</f>
        <v>na</v>
      </c>
      <c r="N107" s="699" t="str">
        <f t="shared" si="27"/>
        <v>na</v>
      </c>
      <c r="O107" s="1529" t="str">
        <f>IF(OR(N107="na",$E107="no"),"na",N107/Eqtn!$D$387)</f>
        <v>na</v>
      </c>
      <c r="P107" s="1529" t="s">
        <v>232</v>
      </c>
      <c r="Q107" s="760" t="s">
        <v>232</v>
      </c>
      <c r="S107" s="1062"/>
    </row>
    <row r="108" spans="1:19" ht="13.9" customHeight="1" x14ac:dyDescent="0.25">
      <c r="A108" s="847">
        <f>Chem!A108</f>
        <v>106</v>
      </c>
      <c r="B108" s="937" t="str">
        <f>Chem!B108</f>
        <v>Dimethyl phthalate</v>
      </c>
      <c r="C108" s="384" t="str">
        <f>'AR-Eq'!E108</f>
        <v>na</v>
      </c>
      <c r="D108" s="343" t="str">
        <f>'AR-Eq'!F108</f>
        <v>na</v>
      </c>
      <c r="E108" s="1300" t="str">
        <f>Param!AF108</f>
        <v>no</v>
      </c>
      <c r="F108" s="573" t="str">
        <f t="shared" si="25"/>
        <v>na</v>
      </c>
      <c r="G108" s="574" t="str">
        <f>IF(OR(F108="na",E108="no"),"na",F108/Eqtn!$D$387)</f>
        <v>na</v>
      </c>
      <c r="H108" s="306" t="str">
        <f>'AR-Eq'!G108</f>
        <v>na</v>
      </c>
      <c r="I108" s="306" t="str">
        <f>'AR-Eq'!H108</f>
        <v>na</v>
      </c>
      <c r="J108" s="693" t="str">
        <f t="shared" si="26"/>
        <v>na</v>
      </c>
      <c r="K108" s="699" t="str">
        <f>IF(OR(J108="na",E108="no"),"na",J108/Eqtn!$D$387)</f>
        <v>na</v>
      </c>
      <c r="L108" s="1496" t="str">
        <f>'AR-Eq'!I108</f>
        <v>na</v>
      </c>
      <c r="M108" s="699" t="str">
        <f>'AR-Eq'!J108</f>
        <v>na</v>
      </c>
      <c r="N108" s="699" t="str">
        <f t="shared" si="27"/>
        <v>na</v>
      </c>
      <c r="O108" s="1529" t="str">
        <f>IF(OR(N108="na",$E108="no"),"na",N108/Eqtn!$D$387)</f>
        <v>na</v>
      </c>
      <c r="P108" s="1529" t="s">
        <v>232</v>
      </c>
      <c r="Q108" s="760" t="s">
        <v>232</v>
      </c>
      <c r="S108" s="1062"/>
    </row>
    <row r="109" spans="1:19" ht="13.9" customHeight="1" x14ac:dyDescent="0.25">
      <c r="A109" s="847">
        <f>Chem!A109</f>
        <v>107</v>
      </c>
      <c r="B109" s="937" t="str">
        <f>Chem!B109</f>
        <v>2,4-Dimethylphenol</v>
      </c>
      <c r="C109" s="384" t="str">
        <f>'AR-Eq'!E109</f>
        <v>na</v>
      </c>
      <c r="D109" s="343" t="str">
        <f>'AR-Eq'!F109</f>
        <v>na</v>
      </c>
      <c r="E109" s="1300" t="str">
        <f>Param!AF109</f>
        <v>no</v>
      </c>
      <c r="F109" s="573" t="str">
        <f t="shared" si="25"/>
        <v>na</v>
      </c>
      <c r="G109" s="574" t="str">
        <f>IF(OR(F109="na",E109="no"),"na",F109/Eqtn!$D$387)</f>
        <v>na</v>
      </c>
      <c r="H109" s="306" t="str">
        <f>'AR-Eq'!G109</f>
        <v>na</v>
      </c>
      <c r="I109" s="306" t="str">
        <f>'AR-Eq'!H109</f>
        <v>na</v>
      </c>
      <c r="J109" s="693" t="str">
        <f t="shared" si="26"/>
        <v>na</v>
      </c>
      <c r="K109" s="699" t="str">
        <f>IF(OR(J109="na",E109="no"),"na",J109/Eqtn!$D$387)</f>
        <v>na</v>
      </c>
      <c r="L109" s="1496" t="str">
        <f>'AR-Eq'!I109</f>
        <v>na</v>
      </c>
      <c r="M109" s="699" t="str">
        <f>'AR-Eq'!J109</f>
        <v>na</v>
      </c>
      <c r="N109" s="699" t="str">
        <f t="shared" si="27"/>
        <v>na</v>
      </c>
      <c r="O109" s="1529" t="str">
        <f>IF(OR(N109="na",$E109="no"),"na",N109/Eqtn!$D$387)</f>
        <v>na</v>
      </c>
      <c r="P109" s="1529" t="s">
        <v>232</v>
      </c>
      <c r="Q109" s="760" t="s">
        <v>232</v>
      </c>
      <c r="S109" s="1062"/>
    </row>
    <row r="110" spans="1:19" ht="13.9" customHeight="1" x14ac:dyDescent="0.25">
      <c r="A110" s="847">
        <f>Chem!A110</f>
        <v>108</v>
      </c>
      <c r="B110" s="937" t="str">
        <f>Chem!B110</f>
        <v>1,2-Dinitrobenzene</v>
      </c>
      <c r="C110" s="384" t="str">
        <f>'AR-Eq'!E110</f>
        <v>na</v>
      </c>
      <c r="D110" s="343" t="str">
        <f>'AR-Eq'!F110</f>
        <v>na</v>
      </c>
      <c r="E110" s="1300" t="str">
        <f>Param!AF110</f>
        <v>no</v>
      </c>
      <c r="F110" s="573" t="str">
        <f t="shared" ref="F110:F112" si="32">IF(C110="na",IF(D110="na","na",D110),MIN(C110,D110))</f>
        <v>na</v>
      </c>
      <c r="G110" s="574" t="str">
        <f>IF(OR(F110="na",E110="no"),"na",F110/Eqtn!$D$387)</f>
        <v>na</v>
      </c>
      <c r="H110" s="306" t="str">
        <f>'AR-Eq'!G110</f>
        <v>na</v>
      </c>
      <c r="I110" s="306" t="str">
        <f>'AR-Eq'!H110</f>
        <v>na</v>
      </c>
      <c r="J110" s="693" t="str">
        <f t="shared" ref="J110:J112" si="33">IF(H110="na",IF(I110="na","na",I110),MIN(H110,I110))</f>
        <v>na</v>
      </c>
      <c r="K110" s="699" t="str">
        <f>IF(OR(J110="na",E110="no"),"na",J110/Eqtn!$D$387)</f>
        <v>na</v>
      </c>
      <c r="L110" s="1496" t="str">
        <f>'AR-Eq'!I110</f>
        <v>na</v>
      </c>
      <c r="M110" s="699" t="str">
        <f>'AR-Eq'!J110</f>
        <v>na</v>
      </c>
      <c r="N110" s="699" t="str">
        <f t="shared" si="27"/>
        <v>na</v>
      </c>
      <c r="O110" s="1529" t="str">
        <f>IF(OR(N110="na",$E110="no"),"na",N110/Eqtn!$D$387)</f>
        <v>na</v>
      </c>
      <c r="P110" s="1529" t="s">
        <v>232</v>
      </c>
      <c r="Q110" s="760" t="s">
        <v>232</v>
      </c>
      <c r="S110" s="1062"/>
    </row>
    <row r="111" spans="1:19" ht="13.9" customHeight="1" x14ac:dyDescent="0.25">
      <c r="A111" s="847">
        <f>Chem!A111</f>
        <v>109</v>
      </c>
      <c r="B111" s="937" t="str">
        <f>Chem!B111</f>
        <v>1,3-Dinitrobenzene</v>
      </c>
      <c r="C111" s="384" t="str">
        <f>'AR-Eq'!E111</f>
        <v>na</v>
      </c>
      <c r="D111" s="343" t="str">
        <f>'AR-Eq'!F111</f>
        <v>na</v>
      </c>
      <c r="E111" s="1300" t="str">
        <f>Param!AF111</f>
        <v>no</v>
      </c>
      <c r="F111" s="573" t="str">
        <f t="shared" si="32"/>
        <v>na</v>
      </c>
      <c r="G111" s="574" t="str">
        <f>IF(OR(F111="na",E111="no"),"na",F111/Eqtn!$D$387)</f>
        <v>na</v>
      </c>
      <c r="H111" s="306" t="str">
        <f>'AR-Eq'!G111</f>
        <v>na</v>
      </c>
      <c r="I111" s="306" t="str">
        <f>'AR-Eq'!H111</f>
        <v>na</v>
      </c>
      <c r="J111" s="693" t="str">
        <f t="shared" si="33"/>
        <v>na</v>
      </c>
      <c r="K111" s="699" t="str">
        <f>IF(OR(J111="na",E111="no"),"na",J111/Eqtn!$D$387)</f>
        <v>na</v>
      </c>
      <c r="L111" s="1496" t="str">
        <f>'AR-Eq'!I111</f>
        <v>na</v>
      </c>
      <c r="M111" s="699" t="str">
        <f>'AR-Eq'!J111</f>
        <v>na</v>
      </c>
      <c r="N111" s="699" t="str">
        <f t="shared" si="27"/>
        <v>na</v>
      </c>
      <c r="O111" s="1529" t="str">
        <f>IF(OR(N111="na",$E111="no"),"na",N111/Eqtn!$D$387)</f>
        <v>na</v>
      </c>
      <c r="P111" s="1529" t="s">
        <v>232</v>
      </c>
      <c r="Q111" s="760" t="s">
        <v>232</v>
      </c>
      <c r="S111" s="1062"/>
    </row>
    <row r="112" spans="1:19" ht="13.9" customHeight="1" x14ac:dyDescent="0.25">
      <c r="A112" s="847">
        <f>Chem!A112</f>
        <v>110</v>
      </c>
      <c r="B112" s="937" t="str">
        <f>Chem!B112</f>
        <v>1,4-Dinitrobenzene</v>
      </c>
      <c r="C112" s="384" t="str">
        <f>'AR-Eq'!E112</f>
        <v>na</v>
      </c>
      <c r="D112" s="343" t="str">
        <f>'AR-Eq'!F112</f>
        <v>na</v>
      </c>
      <c r="E112" s="1300" t="str">
        <f>Param!AF112</f>
        <v>no</v>
      </c>
      <c r="F112" s="573" t="str">
        <f t="shared" si="32"/>
        <v>na</v>
      </c>
      <c r="G112" s="574" t="str">
        <f>IF(OR(F112="na",E112="no"),"na",F112/Eqtn!$D$387)</f>
        <v>na</v>
      </c>
      <c r="H112" s="306" t="str">
        <f>'AR-Eq'!G112</f>
        <v>na</v>
      </c>
      <c r="I112" s="306" t="str">
        <f>'AR-Eq'!H112</f>
        <v>na</v>
      </c>
      <c r="J112" s="693" t="str">
        <f t="shared" si="33"/>
        <v>na</v>
      </c>
      <c r="K112" s="699" t="str">
        <f>IF(OR(J112="na",E112="no"),"na",J112/Eqtn!$D$387)</f>
        <v>na</v>
      </c>
      <c r="L112" s="1496" t="str">
        <f>'AR-Eq'!I112</f>
        <v>na</v>
      </c>
      <c r="M112" s="699" t="str">
        <f>'AR-Eq'!J112</f>
        <v>na</v>
      </c>
      <c r="N112" s="699" t="str">
        <f t="shared" si="27"/>
        <v>na</v>
      </c>
      <c r="O112" s="1529" t="str">
        <f>IF(OR(N112="na",$E112="no"),"na",N112/Eqtn!$D$387)</f>
        <v>na</v>
      </c>
      <c r="P112" s="1529" t="s">
        <v>232</v>
      </c>
      <c r="Q112" s="760" t="s">
        <v>232</v>
      </c>
      <c r="S112" s="1062"/>
    </row>
    <row r="113" spans="1:19" ht="13.9" customHeight="1" x14ac:dyDescent="0.25">
      <c r="A113" s="847">
        <f>Chem!A113</f>
        <v>111</v>
      </c>
      <c r="B113" s="937" t="str">
        <f>Chem!B113</f>
        <v>4,6-Dinitro-o-cresol (DNOC)</v>
      </c>
      <c r="C113" s="384" t="str">
        <f>'AR-Eq'!E113</f>
        <v>na</v>
      </c>
      <c r="D113" s="343" t="str">
        <f>'AR-Eq'!F113</f>
        <v>na</v>
      </c>
      <c r="E113" s="1300" t="str">
        <f>Param!AF113</f>
        <v>no</v>
      </c>
      <c r="F113" s="573" t="str">
        <f t="shared" si="25"/>
        <v>na</v>
      </c>
      <c r="G113" s="574" t="str">
        <f>IF(OR(F113="na",E113="no"),"na",F113/Eqtn!$D$387)</f>
        <v>na</v>
      </c>
      <c r="H113" s="306" t="str">
        <f>'AR-Eq'!G113</f>
        <v>na</v>
      </c>
      <c r="I113" s="306" t="str">
        <f>'AR-Eq'!H113</f>
        <v>na</v>
      </c>
      <c r="J113" s="693" t="str">
        <f t="shared" si="26"/>
        <v>na</v>
      </c>
      <c r="K113" s="699" t="str">
        <f>IF(OR(J113="na",E113="no"),"na",J113/Eqtn!$D$387)</f>
        <v>na</v>
      </c>
      <c r="L113" s="1496" t="str">
        <f>'AR-Eq'!I113</f>
        <v>na</v>
      </c>
      <c r="M113" s="699" t="str">
        <f>'AR-Eq'!J113</f>
        <v>na</v>
      </c>
      <c r="N113" s="699" t="str">
        <f t="shared" si="27"/>
        <v>na</v>
      </c>
      <c r="O113" s="1529" t="str">
        <f>IF(OR(N113="na",$E113="no"),"na",N113/Eqtn!$D$387)</f>
        <v>na</v>
      </c>
      <c r="P113" s="1529" t="s">
        <v>232</v>
      </c>
      <c r="Q113" s="760" t="s">
        <v>232</v>
      </c>
      <c r="S113" s="1062"/>
    </row>
    <row r="114" spans="1:19" ht="13.9" customHeight="1" x14ac:dyDescent="0.25">
      <c r="A114" s="847">
        <f>Chem!A114</f>
        <v>112</v>
      </c>
      <c r="B114" s="937" t="str">
        <f>Chem!B114</f>
        <v>2,4-Dinitrophenol</v>
      </c>
      <c r="C114" s="384" t="str">
        <f>'AR-Eq'!E114</f>
        <v>na</v>
      </c>
      <c r="D114" s="343" t="str">
        <f>'AR-Eq'!F114</f>
        <v>na</v>
      </c>
      <c r="E114" s="1300" t="str">
        <f>Param!AF114</f>
        <v>no</v>
      </c>
      <c r="F114" s="573" t="str">
        <f t="shared" si="25"/>
        <v>na</v>
      </c>
      <c r="G114" s="574" t="str">
        <f>IF(OR(F114="na",E114="no"),"na",F114/Eqtn!$D$387)</f>
        <v>na</v>
      </c>
      <c r="H114" s="306" t="str">
        <f>'AR-Eq'!G114</f>
        <v>na</v>
      </c>
      <c r="I114" s="306" t="str">
        <f>'AR-Eq'!H114</f>
        <v>na</v>
      </c>
      <c r="J114" s="693" t="str">
        <f t="shared" si="26"/>
        <v>na</v>
      </c>
      <c r="K114" s="699" t="str">
        <f>IF(OR(J114="na",E114="no"),"na",J114/Eqtn!$D$387)</f>
        <v>na</v>
      </c>
      <c r="L114" s="1496" t="str">
        <f>'AR-Eq'!I114</f>
        <v>na</v>
      </c>
      <c r="M114" s="699" t="str">
        <f>'AR-Eq'!J114</f>
        <v>na</v>
      </c>
      <c r="N114" s="699" t="str">
        <f t="shared" si="27"/>
        <v>na</v>
      </c>
      <c r="O114" s="1529" t="str">
        <f>IF(OR(N114="na",$E114="no"),"na",N114/Eqtn!$D$387)</f>
        <v>na</v>
      </c>
      <c r="P114" s="1529" t="s">
        <v>232</v>
      </c>
      <c r="Q114" s="760" t="s">
        <v>232</v>
      </c>
      <c r="S114" s="1062"/>
    </row>
    <row r="115" spans="1:19" ht="13.9" customHeight="1" x14ac:dyDescent="0.25">
      <c r="A115" s="847">
        <f>Chem!A115</f>
        <v>113</v>
      </c>
      <c r="B115" s="937" t="str">
        <f>Chem!B115</f>
        <v>2,4-Dinitrotoluene</v>
      </c>
      <c r="C115" s="384" t="str">
        <f>'AR-Eq'!E115</f>
        <v>na</v>
      </c>
      <c r="D115" s="343">
        <f>'AR-Eq'!F115</f>
        <v>2.8089887640449434E-2</v>
      </c>
      <c r="E115" s="1300" t="str">
        <f>Param!AF115</f>
        <v>no</v>
      </c>
      <c r="F115" s="573">
        <f t="shared" si="25"/>
        <v>2.8089887640449434E-2</v>
      </c>
      <c r="G115" s="574" t="str">
        <f>IF(OR(F115="na",E115="no"),"na",F115/Eqtn!$D$387)</f>
        <v>na</v>
      </c>
      <c r="H115" s="306" t="str">
        <f>'AR-Eq'!G115</f>
        <v>na</v>
      </c>
      <c r="I115" s="306">
        <f>'AR-Eq'!H115</f>
        <v>0.2808988764044944</v>
      </c>
      <c r="J115" s="693">
        <f t="shared" si="26"/>
        <v>0.2808988764044944</v>
      </c>
      <c r="K115" s="699" t="str">
        <f>IF(OR(J115="na",E115="no"),"na",J115/Eqtn!$D$387)</f>
        <v>na</v>
      </c>
      <c r="L115" s="1496" t="str">
        <f>'AR-Eq'!I115</f>
        <v>na</v>
      </c>
      <c r="M115" s="699">
        <f>'AR-Eq'!J115</f>
        <v>0.13123595505617974</v>
      </c>
      <c r="N115" s="699">
        <f t="shared" si="27"/>
        <v>0.13123595505617974</v>
      </c>
      <c r="O115" s="1529" t="str">
        <f>IF(OR(N115="na",$E115="no"),"na",N115/Eqtn!$D$387)</f>
        <v>na</v>
      </c>
      <c r="P115" s="1529" t="s">
        <v>232</v>
      </c>
      <c r="Q115" s="760" t="s">
        <v>232</v>
      </c>
      <c r="S115" s="1062"/>
    </row>
    <row r="116" spans="1:19" ht="13.9" customHeight="1" x14ac:dyDescent="0.25">
      <c r="A116" s="842">
        <f>Chem!A116</f>
        <v>114</v>
      </c>
      <c r="B116" s="937" t="str">
        <f>Chem!B116</f>
        <v>2,6-Dinitrotoluene</v>
      </c>
      <c r="C116" s="384" t="str">
        <f>'AR-Eq'!E116</f>
        <v>na</v>
      </c>
      <c r="D116" s="343" t="str">
        <f>'AR-Eq'!F116</f>
        <v>na</v>
      </c>
      <c r="E116" s="1300" t="str">
        <f>Param!AF116</f>
        <v>no</v>
      </c>
      <c r="F116" s="573" t="str">
        <f t="shared" ref="F116:F145" si="34">IF(C116="na",IF(D116="na","na",D116),MIN(C116,D116))</f>
        <v>na</v>
      </c>
      <c r="G116" s="574" t="str">
        <f>IF(OR(F116="na",E116="no"),"na",F116/Eqtn!$D$387)</f>
        <v>na</v>
      </c>
      <c r="H116" s="306" t="str">
        <f>'AR-Eq'!G116</f>
        <v>na</v>
      </c>
      <c r="I116" s="306" t="str">
        <f>'AR-Eq'!H116</f>
        <v>na</v>
      </c>
      <c r="J116" s="693" t="str">
        <f t="shared" ref="J116:J145" si="35">IF(H116="na",IF(I116="na","na",I116),MIN(H116,I116))</f>
        <v>na</v>
      </c>
      <c r="K116" s="699" t="str">
        <f>IF(OR(J116="na",E116="no"),"na",J116/Eqtn!$D$387)</f>
        <v>na</v>
      </c>
      <c r="L116" s="1496" t="str">
        <f>'AR-Eq'!I116</f>
        <v>na</v>
      </c>
      <c r="M116" s="699" t="str">
        <f>'AR-Eq'!J116</f>
        <v>na</v>
      </c>
      <c r="N116" s="699" t="str">
        <f t="shared" si="27"/>
        <v>na</v>
      </c>
      <c r="O116" s="1529" t="str">
        <f>IF(OR(N116="na",$E116="no"),"na",N116/Eqtn!$D$387)</f>
        <v>na</v>
      </c>
      <c r="P116" s="1529" t="s">
        <v>232</v>
      </c>
      <c r="Q116" s="760" t="s">
        <v>232</v>
      </c>
      <c r="S116" s="1062"/>
    </row>
    <row r="117" spans="1:19" ht="13.9" customHeight="1" x14ac:dyDescent="0.25">
      <c r="A117" s="847">
        <f>Chem!A117</f>
        <v>115</v>
      </c>
      <c r="B117" s="937" t="str">
        <f>Chem!B117</f>
        <v>Di-n-octyl phthalate</v>
      </c>
      <c r="C117" s="384" t="str">
        <f>'AR-Eq'!E117</f>
        <v>na</v>
      </c>
      <c r="D117" s="343" t="str">
        <f>'AR-Eq'!F117</f>
        <v>na</v>
      </c>
      <c r="E117" s="1300" t="str">
        <f>Param!AF117</f>
        <v>no</v>
      </c>
      <c r="F117" s="573" t="str">
        <f t="shared" si="34"/>
        <v>na</v>
      </c>
      <c r="G117" s="574" t="str">
        <f>IF(OR(F117="na",E117="no"),"na",F117/Eqtn!$D$387)</f>
        <v>na</v>
      </c>
      <c r="H117" s="306" t="str">
        <f>'AR-Eq'!G117</f>
        <v>na</v>
      </c>
      <c r="I117" s="306" t="str">
        <f>'AR-Eq'!H117</f>
        <v>na</v>
      </c>
      <c r="J117" s="693" t="str">
        <f t="shared" si="35"/>
        <v>na</v>
      </c>
      <c r="K117" s="699" t="str">
        <f>IF(OR(J117="na",E117="no"),"na",J117/Eqtn!$D$387)</f>
        <v>na</v>
      </c>
      <c r="L117" s="1496" t="str">
        <f>'AR-Eq'!I117</f>
        <v>na</v>
      </c>
      <c r="M117" s="699" t="str">
        <f>'AR-Eq'!J117</f>
        <v>na</v>
      </c>
      <c r="N117" s="699" t="str">
        <f t="shared" si="27"/>
        <v>na</v>
      </c>
      <c r="O117" s="1529" t="str">
        <f>IF(OR(N117="na",$E117="no"),"na",N117/Eqtn!$D$387)</f>
        <v>na</v>
      </c>
      <c r="P117" s="1529" t="s">
        <v>232</v>
      </c>
      <c r="Q117" s="760" t="s">
        <v>232</v>
      </c>
      <c r="S117" s="1062"/>
    </row>
    <row r="118" spans="1:19" ht="13.9" customHeight="1" x14ac:dyDescent="0.25">
      <c r="A118" s="848">
        <f>Chem!A118</f>
        <v>116</v>
      </c>
      <c r="B118" s="937" t="str">
        <f>Chem!B118</f>
        <v>1,4-Dioxane</v>
      </c>
      <c r="C118" s="395">
        <f>'AR-Eq'!E118</f>
        <v>13.714285714285715</v>
      </c>
      <c r="D118" s="337">
        <f>'AR-Eq'!F118</f>
        <v>0.49999999999999978</v>
      </c>
      <c r="E118" s="1302" t="str">
        <f>Param!AF118</f>
        <v>YES</v>
      </c>
      <c r="F118" s="575">
        <f t="shared" si="34"/>
        <v>0.49999999999999978</v>
      </c>
      <c r="G118" s="574">
        <f>IF(OR(F118="na",E118="no"),"na",F118/Eqtn!$D$387)</f>
        <v>16.666666666666661</v>
      </c>
      <c r="H118" s="17">
        <f>'AR-Eq'!G118</f>
        <v>30</v>
      </c>
      <c r="I118" s="17">
        <f>'AR-Eq'!H118</f>
        <v>4.9999999999999991</v>
      </c>
      <c r="J118" s="694">
        <f t="shared" si="35"/>
        <v>4.9999999999999991</v>
      </c>
      <c r="K118" s="699">
        <f>IF(OR(J118="na",E118="no"),"na",J118/Eqtn!$D$387)</f>
        <v>166.66666666666666</v>
      </c>
      <c r="L118" s="1496">
        <f>'AR-Eq'!I118</f>
        <v>116.79999999999998</v>
      </c>
      <c r="M118" s="699">
        <f>'AR-Eq'!J118</f>
        <v>2.3359999999999985</v>
      </c>
      <c r="N118" s="699">
        <f t="shared" si="27"/>
        <v>2.3359999999999985</v>
      </c>
      <c r="O118" s="1529">
        <f>IF(OR(N118="na",$E118="no"),"na",N118/Eqtn!$D$387)</f>
        <v>77.866666666666617</v>
      </c>
      <c r="P118" s="1529" t="s">
        <v>232</v>
      </c>
      <c r="Q118" s="760" t="s">
        <v>232</v>
      </c>
      <c r="S118" s="1062"/>
    </row>
    <row r="119" spans="1:19" ht="13.9" customHeight="1" x14ac:dyDescent="0.25">
      <c r="A119" s="848">
        <f>Chem!A119</f>
        <v>117</v>
      </c>
      <c r="B119" s="937" t="str">
        <f>Chem!B119</f>
        <v>1,2-Diphenylhydrazine</v>
      </c>
      <c r="C119" s="394" t="str">
        <f>'AR-Eq'!E119</f>
        <v>na</v>
      </c>
      <c r="D119" s="338">
        <f>'AR-Eq'!F119</f>
        <v>1.136363636363636E-2</v>
      </c>
      <c r="E119" s="1303" t="str">
        <f>Param!AF119</f>
        <v>no</v>
      </c>
      <c r="F119" s="573">
        <f t="shared" si="34"/>
        <v>1.136363636363636E-2</v>
      </c>
      <c r="G119" s="574" t="str">
        <f>IF(OR(F119="na",E119="no"),"na",F119/Eqtn!$D$387)</f>
        <v>na</v>
      </c>
      <c r="H119" s="306" t="str">
        <f>'AR-Eq'!G119</f>
        <v>na</v>
      </c>
      <c r="I119" s="306">
        <f>'AR-Eq'!H119</f>
        <v>0.11363636363636363</v>
      </c>
      <c r="J119" s="693">
        <f t="shared" si="35"/>
        <v>0.11363636363636363</v>
      </c>
      <c r="K119" s="699" t="str">
        <f>IF(OR(J119="na",E119="no"),"na",J119/Eqtn!$D$387)</f>
        <v>na</v>
      </c>
      <c r="L119" s="1496" t="str">
        <f>'AR-Eq'!I119</f>
        <v>na</v>
      </c>
      <c r="M119" s="699">
        <f>'AR-Eq'!J119</f>
        <v>5.3090909090909064E-2</v>
      </c>
      <c r="N119" s="699">
        <f t="shared" si="27"/>
        <v>5.3090909090909064E-2</v>
      </c>
      <c r="O119" s="1529" t="str">
        <f>IF(OR(N119="na",$E119="no"),"na",N119/Eqtn!$D$387)</f>
        <v>na</v>
      </c>
      <c r="P119" s="1529" t="s">
        <v>232</v>
      </c>
      <c r="Q119" s="760" t="s">
        <v>232</v>
      </c>
      <c r="S119" s="1062"/>
    </row>
    <row r="120" spans="1:19" ht="13.9" customHeight="1" x14ac:dyDescent="0.25">
      <c r="A120" s="847">
        <f>Chem!A120</f>
        <v>118</v>
      </c>
      <c r="B120" s="937" t="str">
        <f>Chem!B120</f>
        <v>Hexachlorobenzene</v>
      </c>
      <c r="C120" s="384" t="str">
        <f>'AR-Eq'!E120</f>
        <v>na</v>
      </c>
      <c r="D120" s="343">
        <f>'AR-Eq'!F120</f>
        <v>5.4347826086956512E-3</v>
      </c>
      <c r="E120" s="1300" t="str">
        <f>Param!AF120</f>
        <v>YES</v>
      </c>
      <c r="F120" s="573">
        <f t="shared" si="34"/>
        <v>5.4347826086956512E-3</v>
      </c>
      <c r="G120" s="574">
        <f>IF(OR(F120="na",E120="no"),"na",F120/Eqtn!$D$387)</f>
        <v>0.18115942028985504</v>
      </c>
      <c r="H120" s="306" t="str">
        <f>'AR-Eq'!G120</f>
        <v>na</v>
      </c>
      <c r="I120" s="306">
        <f>'AR-Eq'!H120</f>
        <v>5.434782608695652E-2</v>
      </c>
      <c r="J120" s="693">
        <f t="shared" si="35"/>
        <v>5.434782608695652E-2</v>
      </c>
      <c r="K120" s="699">
        <f>IF(OR(J120="na",E120="no"),"na",J120/Eqtn!$D$387)</f>
        <v>1.8115942028985508</v>
      </c>
      <c r="L120" s="1496" t="str">
        <f>'AR-Eq'!I120</f>
        <v>na</v>
      </c>
      <c r="M120" s="699">
        <f>'AR-Eq'!J120</f>
        <v>2.5391304347826077E-2</v>
      </c>
      <c r="N120" s="699">
        <f t="shared" si="27"/>
        <v>2.5391304347826077E-2</v>
      </c>
      <c r="O120" s="1529">
        <f>IF(OR(N120="na",$E120="no"),"na",N120/Eqtn!$D$387)</f>
        <v>0.84637681159420264</v>
      </c>
      <c r="P120" s="1529" t="s">
        <v>232</v>
      </c>
      <c r="Q120" s="760" t="s">
        <v>232</v>
      </c>
      <c r="S120" s="1062"/>
    </row>
    <row r="121" spans="1:19" ht="13.9" customHeight="1" x14ac:dyDescent="0.25">
      <c r="A121" s="847">
        <f>Chem!A121</f>
        <v>119</v>
      </c>
      <c r="B121" s="937" t="str">
        <f>Chem!B121</f>
        <v>Hexachlorobutadiene</v>
      </c>
      <c r="C121" s="384" t="str">
        <f>'AR-Eq'!E121</f>
        <v>na</v>
      </c>
      <c r="D121" s="343">
        <f>'AR-Eq'!F121</f>
        <v>0.11363636363636363</v>
      </c>
      <c r="E121" s="1300" t="str">
        <f>Param!AF121</f>
        <v>YES</v>
      </c>
      <c r="F121" s="573">
        <f t="shared" si="34"/>
        <v>0.11363636363636363</v>
      </c>
      <c r="G121" s="574">
        <f>IF(OR(F121="na",E121="no"),"na",F121/Eqtn!$D$387)</f>
        <v>3.7878787878787881</v>
      </c>
      <c r="H121" s="306" t="str">
        <f>'AR-Eq'!G121</f>
        <v>na</v>
      </c>
      <c r="I121" s="306">
        <f>'AR-Eq'!H121</f>
        <v>1.1363636363636365</v>
      </c>
      <c r="J121" s="693">
        <f t="shared" si="35"/>
        <v>1.1363636363636365</v>
      </c>
      <c r="K121" s="699">
        <f>IF(OR(J121="na",E121="no"),"na",J121/Eqtn!$D$387)</f>
        <v>37.878787878787882</v>
      </c>
      <c r="L121" s="1496" t="str">
        <f>'AR-Eq'!I121</f>
        <v>na</v>
      </c>
      <c r="M121" s="699">
        <f>'AR-Eq'!J121</f>
        <v>0.53090909090909078</v>
      </c>
      <c r="N121" s="699">
        <f t="shared" si="27"/>
        <v>0.53090909090909078</v>
      </c>
      <c r="O121" s="1529">
        <f>IF(OR(N121="na",$E121="no"),"na",N121/Eqtn!$D$387)</f>
        <v>17.696969696969692</v>
      </c>
      <c r="P121" s="1529" t="s">
        <v>232</v>
      </c>
      <c r="Q121" s="760" t="s">
        <v>232</v>
      </c>
      <c r="S121" s="1062"/>
    </row>
    <row r="122" spans="1:19" ht="13.9" customHeight="1" x14ac:dyDescent="0.25">
      <c r="A122" s="847">
        <f>Chem!A122</f>
        <v>120</v>
      </c>
      <c r="B122" s="937" t="str">
        <f>Chem!B122</f>
        <v>Hexachlorocyclopentadiene</v>
      </c>
      <c r="C122" s="384">
        <f>'AR-Eq'!E122</f>
        <v>9.1428571428571428E-2</v>
      </c>
      <c r="D122" s="343" t="str">
        <f>'AR-Eq'!F122</f>
        <v>na</v>
      </c>
      <c r="E122" s="1300" t="str">
        <f>Param!AF122</f>
        <v>YES</v>
      </c>
      <c r="F122" s="573">
        <f t="shared" si="34"/>
        <v>9.1428571428571428E-2</v>
      </c>
      <c r="G122" s="574">
        <f>IF(OR(F122="na",E122="no"),"na",F122/Eqtn!$D$387)</f>
        <v>3.0476190476190479</v>
      </c>
      <c r="H122" s="306">
        <f>'AR-Eq'!G122</f>
        <v>0.19999999999999998</v>
      </c>
      <c r="I122" s="306" t="str">
        <f>'AR-Eq'!H122</f>
        <v>na</v>
      </c>
      <c r="J122" s="693">
        <f t="shared" si="35"/>
        <v>0.19999999999999998</v>
      </c>
      <c r="K122" s="699">
        <f>IF(OR(J122="na",E122="no"),"na",J122/Eqtn!$D$387)</f>
        <v>6.6666666666666661</v>
      </c>
      <c r="L122" s="1496">
        <f>'AR-Eq'!I122</f>
        <v>0.77866666666666651</v>
      </c>
      <c r="M122" s="699" t="str">
        <f>'AR-Eq'!J122</f>
        <v>na</v>
      </c>
      <c r="N122" s="699">
        <f t="shared" si="27"/>
        <v>0.77866666666666651</v>
      </c>
      <c r="O122" s="1529">
        <f>IF(OR(N122="na",$E122="no"),"na",N122/Eqtn!$D$387)</f>
        <v>25.955555555555552</v>
      </c>
      <c r="P122" s="1529" t="s">
        <v>232</v>
      </c>
      <c r="Q122" s="760" t="s">
        <v>232</v>
      </c>
      <c r="S122" s="1062"/>
    </row>
    <row r="123" spans="1:19" ht="13.9" customHeight="1" x14ac:dyDescent="0.25">
      <c r="A123" s="847">
        <f>Chem!A123</f>
        <v>121</v>
      </c>
      <c r="B123" s="937" t="str">
        <f>Chem!B123</f>
        <v>Hexachloroethane</v>
      </c>
      <c r="C123" s="384">
        <f>'AR-Eq'!E123</f>
        <v>13.714285714285715</v>
      </c>
      <c r="D123" s="343">
        <f>'AR-Eq'!F123</f>
        <v>0.22727272727272727</v>
      </c>
      <c r="E123" s="1300" t="str">
        <f>Param!AF123</f>
        <v>YES</v>
      </c>
      <c r="F123" s="575">
        <f t="shared" si="34"/>
        <v>0.22727272727272727</v>
      </c>
      <c r="G123" s="574">
        <f>IF(OR(F123="na",E123="no"),"na",F123/Eqtn!$D$387)</f>
        <v>7.5757575757575761</v>
      </c>
      <c r="H123" s="17">
        <f>'AR-Eq'!G123</f>
        <v>30</v>
      </c>
      <c r="I123" s="17">
        <f>'AR-Eq'!H123</f>
        <v>2.2727272727272729</v>
      </c>
      <c r="J123" s="694">
        <f t="shared" si="35"/>
        <v>2.2727272727272729</v>
      </c>
      <c r="K123" s="699">
        <f>IF(OR(J123="na",E123="no"),"na",J123/Eqtn!$D$387)</f>
        <v>75.757575757575765</v>
      </c>
      <c r="L123" s="1496">
        <f>'AR-Eq'!I123</f>
        <v>116.79999999999998</v>
      </c>
      <c r="M123" s="699">
        <f>'AR-Eq'!J123</f>
        <v>1.0618181818181816</v>
      </c>
      <c r="N123" s="699">
        <f t="shared" si="27"/>
        <v>1.0618181818181816</v>
      </c>
      <c r="O123" s="1529">
        <f>IF(OR(N123="na",$E123="no"),"na",N123/Eqtn!$D$387)</f>
        <v>35.393939393939384</v>
      </c>
      <c r="P123" s="1529" t="s">
        <v>232</v>
      </c>
      <c r="Q123" s="760" t="s">
        <v>232</v>
      </c>
      <c r="S123" s="1062"/>
    </row>
    <row r="124" spans="1:19" ht="13.9" customHeight="1" x14ac:dyDescent="0.25">
      <c r="A124" s="847">
        <f>Chem!A124</f>
        <v>122</v>
      </c>
      <c r="B124" s="937" t="str">
        <f>Chem!B124</f>
        <v>Isophorone</v>
      </c>
      <c r="C124" s="384">
        <f>'AR-Eq'!E124</f>
        <v>914.28571428571422</v>
      </c>
      <c r="D124" s="343" t="str">
        <f>'AR-Eq'!F124</f>
        <v>na</v>
      </c>
      <c r="E124" s="1300" t="str">
        <f>Param!AF124</f>
        <v>no</v>
      </c>
      <c r="F124" s="573">
        <f t="shared" si="34"/>
        <v>914.28571428571422</v>
      </c>
      <c r="G124" s="574" t="str">
        <f>IF(OR(F124="na",E124="no"),"na",F124/Eqtn!$D$387)</f>
        <v>na</v>
      </c>
      <c r="H124" s="306">
        <f>'AR-Eq'!G124</f>
        <v>2000</v>
      </c>
      <c r="I124" s="306" t="str">
        <f>'AR-Eq'!H124</f>
        <v>na</v>
      </c>
      <c r="J124" s="693">
        <f t="shared" si="35"/>
        <v>2000</v>
      </c>
      <c r="K124" s="699" t="str">
        <f>IF(OR(J124="na",E124="no"),"na",J124/Eqtn!$D$387)</f>
        <v>na</v>
      </c>
      <c r="L124" s="1496">
        <f>'AR-Eq'!I124</f>
        <v>7786.6666666666652</v>
      </c>
      <c r="M124" s="699" t="str">
        <f>'AR-Eq'!J124</f>
        <v>na</v>
      </c>
      <c r="N124" s="699">
        <f t="shared" si="27"/>
        <v>7786.6666666666652</v>
      </c>
      <c r="O124" s="1529" t="str">
        <f>IF(OR(N124="na",$E124="no"),"na",N124/Eqtn!$D$387)</f>
        <v>na</v>
      </c>
      <c r="P124" s="1529" t="s">
        <v>232</v>
      </c>
      <c r="Q124" s="760" t="s">
        <v>232</v>
      </c>
      <c r="S124" s="1062"/>
    </row>
    <row r="125" spans="1:19" ht="13.9" customHeight="1" x14ac:dyDescent="0.25">
      <c r="A125" s="847">
        <f>Chem!A125</f>
        <v>123</v>
      </c>
      <c r="B125" s="937" t="str">
        <f>Chem!B125</f>
        <v>2-Methoxynaphthalene</v>
      </c>
      <c r="C125" s="384" t="str">
        <f>'AR-Eq'!E125</f>
        <v>na</v>
      </c>
      <c r="D125" s="343" t="str">
        <f>'AR-Eq'!F125</f>
        <v>na</v>
      </c>
      <c r="E125" s="1300" t="str">
        <f>Param!AF125</f>
        <v>no</v>
      </c>
      <c r="F125" s="573" t="str">
        <f t="shared" si="34"/>
        <v>na</v>
      </c>
      <c r="G125" s="574" t="str">
        <f>IF(OR(F125="na",E125="no"),"na",F125/Eqtn!$D$387)</f>
        <v>na</v>
      </c>
      <c r="H125" s="306" t="str">
        <f>'AR-Eq'!G125</f>
        <v>na</v>
      </c>
      <c r="I125" s="306" t="str">
        <f>'AR-Eq'!H125</f>
        <v>na</v>
      </c>
      <c r="J125" s="693" t="str">
        <f t="shared" si="35"/>
        <v>na</v>
      </c>
      <c r="K125" s="699" t="str">
        <f>IF(OR(J125="na",E125="no"),"na",J125/Eqtn!$D$387)</f>
        <v>na</v>
      </c>
      <c r="L125" s="1496" t="str">
        <f>'AR-Eq'!I125</f>
        <v>na</v>
      </c>
      <c r="M125" s="699" t="str">
        <f>'AR-Eq'!J125</f>
        <v>na</v>
      </c>
      <c r="N125" s="699" t="str">
        <f t="shared" si="27"/>
        <v>na</v>
      </c>
      <c r="O125" s="1529" t="str">
        <f>IF(OR(N125="na",$E125="no"),"na",N125/Eqtn!$D$387)</f>
        <v>na</v>
      </c>
      <c r="P125" s="1529" t="s">
        <v>232</v>
      </c>
      <c r="Q125" s="760" t="s">
        <v>232</v>
      </c>
      <c r="S125" s="1062"/>
    </row>
    <row r="126" spans="1:19" ht="13.9" customHeight="1" x14ac:dyDescent="0.25">
      <c r="A126" s="847">
        <f>Chem!A126</f>
        <v>124</v>
      </c>
      <c r="B126" s="937" t="str">
        <f>Chem!B126</f>
        <v>2-Methylphenol (o-cresol)</v>
      </c>
      <c r="C126" s="384">
        <f>'AR-Eq'!E126</f>
        <v>274.28571428571428</v>
      </c>
      <c r="D126" s="343" t="str">
        <f>'AR-Eq'!F126</f>
        <v>na</v>
      </c>
      <c r="E126" s="1300" t="str">
        <f>Param!AF126</f>
        <v>no</v>
      </c>
      <c r="F126" s="573">
        <f t="shared" si="34"/>
        <v>274.28571428571428</v>
      </c>
      <c r="G126" s="574" t="str">
        <f>IF(OR(F126="na",E126="no"),"na",F126/Eqtn!$D$387)</f>
        <v>na</v>
      </c>
      <c r="H126" s="306">
        <f>'AR-Eq'!G126</f>
        <v>600</v>
      </c>
      <c r="I126" s="306" t="str">
        <f>'AR-Eq'!H126</f>
        <v>na</v>
      </c>
      <c r="J126" s="693">
        <f t="shared" si="35"/>
        <v>600</v>
      </c>
      <c r="K126" s="699" t="str">
        <f>IF(OR(J126="na",E126="no"),"na",J126/Eqtn!$D$387)</f>
        <v>na</v>
      </c>
      <c r="L126" s="1496">
        <f>'AR-Eq'!I126</f>
        <v>2335.9999999999995</v>
      </c>
      <c r="M126" s="699" t="str">
        <f>'AR-Eq'!J126</f>
        <v>na</v>
      </c>
      <c r="N126" s="699">
        <f t="shared" si="27"/>
        <v>2335.9999999999995</v>
      </c>
      <c r="O126" s="1529" t="str">
        <f>IF(OR(N126="na",$E126="no"),"na",N126/Eqtn!$D$387)</f>
        <v>na</v>
      </c>
      <c r="P126" s="1529" t="s">
        <v>232</v>
      </c>
      <c r="Q126" s="760" t="s">
        <v>232</v>
      </c>
      <c r="S126" s="1062"/>
    </row>
    <row r="127" spans="1:19" ht="13.9" customHeight="1" x14ac:dyDescent="0.25">
      <c r="A127" s="847">
        <f>Chem!A127</f>
        <v>125</v>
      </c>
      <c r="B127" s="937" t="str">
        <f>Chem!B127</f>
        <v>3-Methylphenol (m-cresol)</v>
      </c>
      <c r="C127" s="384">
        <f>'AR-Eq'!E127</f>
        <v>274.28571428571428</v>
      </c>
      <c r="D127" s="343" t="str">
        <f>'AR-Eq'!F127</f>
        <v>na</v>
      </c>
      <c r="E127" s="1300" t="str">
        <f>Param!AF127</f>
        <v>no</v>
      </c>
      <c r="F127" s="573">
        <f t="shared" ref="F127" si="36">IF(C127="na",IF(D127="na","na",D127),MIN(C127,D127))</f>
        <v>274.28571428571428</v>
      </c>
      <c r="G127" s="574" t="str">
        <f>IF(OR(F127="na",E127="no"),"na",F127/Eqtn!$D$387)</f>
        <v>na</v>
      </c>
      <c r="H127" s="306">
        <f>'AR-Eq'!G127</f>
        <v>600</v>
      </c>
      <c r="I127" s="306" t="str">
        <f>'AR-Eq'!H127</f>
        <v>na</v>
      </c>
      <c r="J127" s="693">
        <f t="shared" ref="J127" si="37">IF(H127="na",IF(I127="na","na",I127),MIN(H127,I127))</f>
        <v>600</v>
      </c>
      <c r="K127" s="699" t="str">
        <f>IF(OR(J127="na",E127="no"),"na",J127/Eqtn!$D$387)</f>
        <v>na</v>
      </c>
      <c r="L127" s="1496">
        <f>'AR-Eq'!I127</f>
        <v>2335.9999999999995</v>
      </c>
      <c r="M127" s="699" t="str">
        <f>'AR-Eq'!J127</f>
        <v>na</v>
      </c>
      <c r="N127" s="699">
        <f t="shared" si="27"/>
        <v>2335.9999999999995</v>
      </c>
      <c r="O127" s="1529" t="str">
        <f>IF(OR(N127="na",$E127="no"),"na",N127/Eqtn!$D$387)</f>
        <v>na</v>
      </c>
      <c r="P127" s="1529" t="s">
        <v>232</v>
      </c>
      <c r="Q127" s="760" t="s">
        <v>232</v>
      </c>
      <c r="S127" s="1062"/>
    </row>
    <row r="128" spans="1:19" ht="13.9" customHeight="1" x14ac:dyDescent="0.25">
      <c r="A128" s="847">
        <f>Chem!A128</f>
        <v>126</v>
      </c>
      <c r="B128" s="937" t="str">
        <f>Chem!B128</f>
        <v>4-Methylphenol (p-cresol)</v>
      </c>
      <c r="C128" s="384">
        <f>'AR-Eq'!E128</f>
        <v>274.28571428571428</v>
      </c>
      <c r="D128" s="343" t="str">
        <f>'AR-Eq'!F128</f>
        <v>na</v>
      </c>
      <c r="E128" s="1300" t="str">
        <f>Param!AF128</f>
        <v>no</v>
      </c>
      <c r="F128" s="573">
        <f t="shared" si="34"/>
        <v>274.28571428571428</v>
      </c>
      <c r="G128" s="574" t="str">
        <f>IF(OR(F128="na",E128="no"),"na",F128/Eqtn!$D$387)</f>
        <v>na</v>
      </c>
      <c r="H128" s="306">
        <f>'AR-Eq'!G128</f>
        <v>600</v>
      </c>
      <c r="I128" s="306" t="str">
        <f>'AR-Eq'!H128</f>
        <v>na</v>
      </c>
      <c r="J128" s="693">
        <f t="shared" si="35"/>
        <v>600</v>
      </c>
      <c r="K128" s="699" t="str">
        <f>IF(OR(J128="na",E128="no"),"na",J128/Eqtn!$D$387)</f>
        <v>na</v>
      </c>
      <c r="L128" s="1496">
        <f>'AR-Eq'!I128</f>
        <v>2335.9999999999995</v>
      </c>
      <c r="M128" s="699" t="str">
        <f>'AR-Eq'!J128</f>
        <v>na</v>
      </c>
      <c r="N128" s="699">
        <f t="shared" si="27"/>
        <v>2335.9999999999995</v>
      </c>
      <c r="O128" s="1529" t="str">
        <f>IF(OR(N128="na",$E128="no"),"na",N128/Eqtn!$D$387)</f>
        <v>na</v>
      </c>
      <c r="P128" s="1529" t="s">
        <v>232</v>
      </c>
      <c r="Q128" s="760" t="s">
        <v>232</v>
      </c>
      <c r="S128" s="1062"/>
    </row>
    <row r="129" spans="1:19" ht="13.9" customHeight="1" x14ac:dyDescent="0.25">
      <c r="A129" s="847">
        <f>Chem!A129</f>
        <v>127</v>
      </c>
      <c r="B129" s="937" t="str">
        <f>Chem!B129</f>
        <v>2-Nitroaniline</v>
      </c>
      <c r="C129" s="384">
        <f>'AR-Eq'!E129</f>
        <v>2.2857142857142857E-2</v>
      </c>
      <c r="D129" s="343" t="str">
        <f>'AR-Eq'!F129</f>
        <v>na</v>
      </c>
      <c r="E129" s="1300" t="str">
        <f>Param!AF129</f>
        <v>no</v>
      </c>
      <c r="F129" s="573">
        <f t="shared" si="34"/>
        <v>2.2857142857142857E-2</v>
      </c>
      <c r="G129" s="574" t="str">
        <f>IF(OR(F129="na",E129="no"),"na",F129/Eqtn!$D$387)</f>
        <v>na</v>
      </c>
      <c r="H129" s="306">
        <f>'AR-Eq'!G129</f>
        <v>4.9999999999999996E-2</v>
      </c>
      <c r="I129" s="306" t="str">
        <f>'AR-Eq'!H129</f>
        <v>na</v>
      </c>
      <c r="J129" s="693">
        <f t="shared" si="35"/>
        <v>4.9999999999999996E-2</v>
      </c>
      <c r="K129" s="699" t="str">
        <f>IF(OR(J129="na",E129="no"),"na",J129/Eqtn!$D$387)</f>
        <v>na</v>
      </c>
      <c r="L129" s="1496">
        <f>'AR-Eq'!I129</f>
        <v>0.19466666666666663</v>
      </c>
      <c r="M129" s="699" t="str">
        <f>'AR-Eq'!J129</f>
        <v>na</v>
      </c>
      <c r="N129" s="699">
        <f t="shared" si="27"/>
        <v>0.19466666666666663</v>
      </c>
      <c r="O129" s="1529" t="str">
        <f>IF(OR(N129="na",$E129="no"),"na",N129/Eqtn!$D$387)</f>
        <v>na</v>
      </c>
      <c r="P129" s="1529" t="s">
        <v>232</v>
      </c>
      <c r="Q129" s="760" t="s">
        <v>232</v>
      </c>
      <c r="S129" s="1062"/>
    </row>
    <row r="130" spans="1:19" ht="13.9" customHeight="1" x14ac:dyDescent="0.25">
      <c r="A130" s="847">
        <f>Chem!A130</f>
        <v>128</v>
      </c>
      <c r="B130" s="937" t="str">
        <f>Chem!B130</f>
        <v>3-Nitroaniline</v>
      </c>
      <c r="C130" s="384" t="str">
        <f>'AR-Eq'!E130</f>
        <v>na</v>
      </c>
      <c r="D130" s="343" t="str">
        <f>'AR-Eq'!F130</f>
        <v>na</v>
      </c>
      <c r="E130" s="1300" t="str">
        <f>Param!AF130</f>
        <v>no</v>
      </c>
      <c r="F130" s="573" t="str">
        <f t="shared" si="34"/>
        <v>na</v>
      </c>
      <c r="G130" s="574" t="str">
        <f>IF(OR(F130="na",E130="no"),"na",F130/Eqtn!$D$387)</f>
        <v>na</v>
      </c>
      <c r="H130" s="306" t="str">
        <f>'AR-Eq'!G130</f>
        <v>na</v>
      </c>
      <c r="I130" s="306" t="str">
        <f>'AR-Eq'!H130</f>
        <v>na</v>
      </c>
      <c r="J130" s="693" t="str">
        <f t="shared" si="35"/>
        <v>na</v>
      </c>
      <c r="K130" s="699" t="str">
        <f>IF(OR(J130="na",E130="no"),"na",J130/Eqtn!$D$387)</f>
        <v>na</v>
      </c>
      <c r="L130" s="1496" t="str">
        <f>'AR-Eq'!I130</f>
        <v>na</v>
      </c>
      <c r="M130" s="699" t="str">
        <f>'AR-Eq'!J130</f>
        <v>na</v>
      </c>
      <c r="N130" s="699" t="str">
        <f t="shared" si="27"/>
        <v>na</v>
      </c>
      <c r="O130" s="1529" t="str">
        <f>IF(OR(N130="na",$E130="no"),"na",N130/Eqtn!$D$387)</f>
        <v>na</v>
      </c>
      <c r="P130" s="1529" t="s">
        <v>232</v>
      </c>
      <c r="Q130" s="760" t="s">
        <v>232</v>
      </c>
      <c r="S130" s="1062"/>
    </row>
    <row r="131" spans="1:19" ht="13.9" customHeight="1" x14ac:dyDescent="0.25">
      <c r="A131" s="847">
        <f>Chem!A131</f>
        <v>129</v>
      </c>
      <c r="B131" s="937" t="str">
        <f>Chem!B131</f>
        <v>4-Nitroaniline</v>
      </c>
      <c r="C131" s="384">
        <f>'AR-Eq'!E131</f>
        <v>2.7428571428571429</v>
      </c>
      <c r="D131" s="343" t="str">
        <f>'AR-Eq'!F131</f>
        <v>na</v>
      </c>
      <c r="E131" s="1300" t="str">
        <f>Param!AF131</f>
        <v>no</v>
      </c>
      <c r="F131" s="573">
        <f t="shared" si="34"/>
        <v>2.7428571428571429</v>
      </c>
      <c r="G131" s="574" t="str">
        <f>IF(OR(F131="na",E131="no"),"na",F131/Eqtn!$D$387)</f>
        <v>na</v>
      </c>
      <c r="H131" s="306">
        <f>'AR-Eq'!G131</f>
        <v>6</v>
      </c>
      <c r="I131" s="306" t="str">
        <f>'AR-Eq'!H131</f>
        <v>na</v>
      </c>
      <c r="J131" s="693">
        <f t="shared" si="35"/>
        <v>6</v>
      </c>
      <c r="K131" s="699" t="str">
        <f>IF(OR(J131="na",E131="no"),"na",J131/Eqtn!$D$387)</f>
        <v>na</v>
      </c>
      <c r="L131" s="1496">
        <f>'AR-Eq'!I131</f>
        <v>23.359999999999996</v>
      </c>
      <c r="M131" s="699" t="str">
        <f>'AR-Eq'!J131</f>
        <v>na</v>
      </c>
      <c r="N131" s="699">
        <f t="shared" si="27"/>
        <v>23.359999999999996</v>
      </c>
      <c r="O131" s="1529" t="str">
        <f>IF(OR(N131="na",$E131="no"),"na",N131/Eqtn!$D$387)</f>
        <v>na</v>
      </c>
      <c r="P131" s="1529" t="s">
        <v>232</v>
      </c>
      <c r="Q131" s="760" t="s">
        <v>232</v>
      </c>
      <c r="S131" s="1062"/>
    </row>
    <row r="132" spans="1:19" ht="13.9" customHeight="1" x14ac:dyDescent="0.25">
      <c r="A132" s="847">
        <f>Chem!A132</f>
        <v>130</v>
      </c>
      <c r="B132" s="937" t="str">
        <f>Chem!B132</f>
        <v>Nitrobenzene</v>
      </c>
      <c r="C132" s="384">
        <f>'AR-Eq'!E132</f>
        <v>4.1142857142857139</v>
      </c>
      <c r="D132" s="343">
        <f>'AR-Eq'!F132</f>
        <v>6.2499999999999972E-2</v>
      </c>
      <c r="E132" s="1300" t="str">
        <f>Param!AF132</f>
        <v>no</v>
      </c>
      <c r="F132" s="575">
        <f t="shared" si="34"/>
        <v>6.2499999999999972E-2</v>
      </c>
      <c r="G132" s="574" t="str">
        <f>IF(OR(F132="na",E132="no"),"na",F132/Eqtn!$D$387)</f>
        <v>na</v>
      </c>
      <c r="H132" s="17">
        <f>'AR-Eq'!G132</f>
        <v>9</v>
      </c>
      <c r="I132" s="17">
        <f>'AR-Eq'!H132</f>
        <v>0.62499999999999989</v>
      </c>
      <c r="J132" s="694">
        <f t="shared" si="35"/>
        <v>0.62499999999999989</v>
      </c>
      <c r="K132" s="699" t="str">
        <f>IF(OR(J132="na",E132="no"),"na",J132/Eqtn!$D$387)</f>
        <v>na</v>
      </c>
      <c r="L132" s="1496">
        <f>'AR-Eq'!I132</f>
        <v>35.039999999999992</v>
      </c>
      <c r="M132" s="699">
        <f>'AR-Eq'!J132</f>
        <v>0.29199999999999982</v>
      </c>
      <c r="N132" s="699">
        <f t="shared" si="27"/>
        <v>0.29199999999999982</v>
      </c>
      <c r="O132" s="1529" t="str">
        <f>IF(OR(N132="na",$E132="no"),"na",N132/Eqtn!$D$387)</f>
        <v>na</v>
      </c>
      <c r="P132" s="1529" t="s">
        <v>232</v>
      </c>
      <c r="Q132" s="760" t="s">
        <v>232</v>
      </c>
      <c r="S132" s="1062"/>
    </row>
    <row r="133" spans="1:19" ht="13.9" customHeight="1" x14ac:dyDescent="0.25">
      <c r="A133" s="847">
        <f>Chem!A133</f>
        <v>131</v>
      </c>
      <c r="B133" s="937" t="str">
        <f>Chem!B133</f>
        <v>2-Nitrophenol</v>
      </c>
      <c r="C133" s="384" t="str">
        <f>'AR-Eq'!E133</f>
        <v>na</v>
      </c>
      <c r="D133" s="343" t="str">
        <f>'AR-Eq'!F133</f>
        <v>na</v>
      </c>
      <c r="E133" s="1300" t="str">
        <f>Param!AF133</f>
        <v>no</v>
      </c>
      <c r="F133" s="573" t="str">
        <f t="shared" si="34"/>
        <v>na</v>
      </c>
      <c r="G133" s="574" t="str">
        <f>IF(OR(F133="na",E133="no"),"na",F133/Eqtn!$D$387)</f>
        <v>na</v>
      </c>
      <c r="H133" s="306" t="str">
        <f>'AR-Eq'!G133</f>
        <v>na</v>
      </c>
      <c r="I133" s="306" t="str">
        <f>'AR-Eq'!H133</f>
        <v>na</v>
      </c>
      <c r="J133" s="693" t="str">
        <f t="shared" si="35"/>
        <v>na</v>
      </c>
      <c r="K133" s="699" t="str">
        <f>IF(OR(J133="na",E133="no"),"na",J133/Eqtn!$D$387)</f>
        <v>na</v>
      </c>
      <c r="L133" s="1496" t="str">
        <f>'AR-Eq'!I133</f>
        <v>na</v>
      </c>
      <c r="M133" s="699" t="str">
        <f>'AR-Eq'!J133</f>
        <v>na</v>
      </c>
      <c r="N133" s="699" t="str">
        <f t="shared" si="27"/>
        <v>na</v>
      </c>
      <c r="O133" s="1529" t="str">
        <f>IF(OR(N133="na",$E133="no"),"na",N133/Eqtn!$D$387)</f>
        <v>na</v>
      </c>
      <c r="P133" s="1529" t="s">
        <v>232</v>
      </c>
      <c r="Q133" s="760" t="s">
        <v>232</v>
      </c>
      <c r="S133" s="1062"/>
    </row>
    <row r="134" spans="1:19" ht="13.9" customHeight="1" x14ac:dyDescent="0.25">
      <c r="A134" s="847">
        <f>Chem!A134</f>
        <v>132</v>
      </c>
      <c r="B134" s="937" t="str">
        <f>Chem!B134</f>
        <v>4-Nitrophenol</v>
      </c>
      <c r="C134" s="384" t="str">
        <f>'AR-Eq'!E134</f>
        <v>na</v>
      </c>
      <c r="D134" s="343" t="str">
        <f>'AR-Eq'!F134</f>
        <v>na</v>
      </c>
      <c r="E134" s="1300" t="str">
        <f>Param!AF134</f>
        <v>no</v>
      </c>
      <c r="F134" s="573" t="str">
        <f t="shared" si="34"/>
        <v>na</v>
      </c>
      <c r="G134" s="574" t="str">
        <f>IF(OR(F134="na",E134="no"),"na",F134/Eqtn!$D$387)</f>
        <v>na</v>
      </c>
      <c r="H134" s="306" t="str">
        <f>'AR-Eq'!G134</f>
        <v>na</v>
      </c>
      <c r="I134" s="306" t="str">
        <f>'AR-Eq'!H134</f>
        <v>na</v>
      </c>
      <c r="J134" s="693" t="str">
        <f t="shared" si="35"/>
        <v>na</v>
      </c>
      <c r="K134" s="699" t="str">
        <f>IF(OR(J134="na",E134="no"),"na",J134/Eqtn!$D$387)</f>
        <v>na</v>
      </c>
      <c r="L134" s="1496" t="str">
        <f>'AR-Eq'!I134</f>
        <v>na</v>
      </c>
      <c r="M134" s="699" t="str">
        <f>'AR-Eq'!J134</f>
        <v>na</v>
      </c>
      <c r="N134" s="699" t="str">
        <f t="shared" si="27"/>
        <v>na</v>
      </c>
      <c r="O134" s="1529" t="str">
        <f>IF(OR(N134="na",$E134="no"),"na",N134/Eqtn!$D$387)</f>
        <v>na</v>
      </c>
      <c r="P134" s="1529" t="s">
        <v>232</v>
      </c>
      <c r="Q134" s="760" t="s">
        <v>232</v>
      </c>
      <c r="S134" s="1062"/>
    </row>
    <row r="135" spans="1:19" ht="13.9" customHeight="1" x14ac:dyDescent="0.25">
      <c r="A135" s="847">
        <f>Chem!A135</f>
        <v>133</v>
      </c>
      <c r="B135" s="937" t="str">
        <f>Chem!B135</f>
        <v>n-Nitrosodimethylamine</v>
      </c>
      <c r="C135" s="384">
        <f>'AR-Eq'!E135</f>
        <v>1.8285714285714287E-2</v>
      </c>
      <c r="D135" s="343">
        <f>'AR-Eq'!F135</f>
        <v>4.6999999999999997E-5</v>
      </c>
      <c r="E135" s="1300" t="str">
        <f>Param!AF135</f>
        <v>no</v>
      </c>
      <c r="F135" s="575">
        <f t="shared" si="34"/>
        <v>4.6999999999999997E-5</v>
      </c>
      <c r="G135" s="574" t="str">
        <f>IF(OR(F135="na",E135="no"),"na",F135/Eqtn!$D$387)</f>
        <v>na</v>
      </c>
      <c r="H135" s="17">
        <f>'AR-Eq'!G135</f>
        <v>0.04</v>
      </c>
      <c r="I135" s="17">
        <f>'AR-Eq'!H135</f>
        <v>1.7857142857142859E-3</v>
      </c>
      <c r="J135" s="694">
        <f t="shared" si="35"/>
        <v>1.7857142857142859E-3</v>
      </c>
      <c r="K135" s="699" t="str">
        <f>IF(OR(J135="na",E135="no"),"na",J135/Eqtn!$D$387)</f>
        <v>na</v>
      </c>
      <c r="L135" s="1496">
        <f>'AR-Eq'!I135</f>
        <v>0.15573333333333331</v>
      </c>
      <c r="M135" s="699">
        <f>'AR-Eq'!J135</f>
        <v>8.3428571428571395E-4</v>
      </c>
      <c r="N135" s="699">
        <f t="shared" si="27"/>
        <v>8.3428571428571395E-4</v>
      </c>
      <c r="O135" s="1529" t="str">
        <f>IF(OR(N135="na",$E135="no"),"na",N135/Eqtn!$D$387)</f>
        <v>na</v>
      </c>
      <c r="P135" s="1529" t="s">
        <v>232</v>
      </c>
      <c r="Q135" s="760" t="s">
        <v>232</v>
      </c>
      <c r="S135" s="1062"/>
    </row>
    <row r="136" spans="1:19" ht="13.9" customHeight="1" x14ac:dyDescent="0.25">
      <c r="A136" s="847">
        <f>Chem!A136</f>
        <v>134</v>
      </c>
      <c r="B136" s="937" t="str">
        <f>Chem!B136</f>
        <v>n-Nitrosodiphenylamine</v>
      </c>
      <c r="C136" s="384" t="str">
        <f>'AR-Eq'!E136</f>
        <v>na</v>
      </c>
      <c r="D136" s="343">
        <f>'AR-Eq'!F136</f>
        <v>0.96153846153846134</v>
      </c>
      <c r="E136" s="1300" t="str">
        <f>Param!AF136</f>
        <v>no</v>
      </c>
      <c r="F136" s="573">
        <f t="shared" si="34"/>
        <v>0.96153846153846134</v>
      </c>
      <c r="G136" s="574" t="str">
        <f>IF(OR(F136="na",E136="no"),"na",F136/Eqtn!$D$387)</f>
        <v>na</v>
      </c>
      <c r="H136" s="306" t="str">
        <f>'AR-Eq'!G136</f>
        <v>na</v>
      </c>
      <c r="I136" s="306">
        <f>'AR-Eq'!H136</f>
        <v>9.615384615384615</v>
      </c>
      <c r="J136" s="693">
        <f t="shared" si="35"/>
        <v>9.615384615384615</v>
      </c>
      <c r="K136" s="699" t="str">
        <f>IF(OR(J136="na",E136="no"),"na",J136/Eqtn!$D$387)</f>
        <v>na</v>
      </c>
      <c r="L136" s="1496" t="str">
        <f>'AR-Eq'!I136</f>
        <v>na</v>
      </c>
      <c r="M136" s="699">
        <f>'AR-Eq'!J136</f>
        <v>4.4923076923076906</v>
      </c>
      <c r="N136" s="699">
        <f t="shared" si="27"/>
        <v>4.4923076923076906</v>
      </c>
      <c r="O136" s="1529" t="str">
        <f>IF(OR(N136="na",$E136="no"),"na",N136/Eqtn!$D$387)</f>
        <v>na</v>
      </c>
      <c r="P136" s="1529" t="s">
        <v>232</v>
      </c>
      <c r="Q136" s="760" t="s">
        <v>232</v>
      </c>
      <c r="S136" s="1062"/>
    </row>
    <row r="137" spans="1:19" ht="13.9" customHeight="1" x14ac:dyDescent="0.25">
      <c r="A137" s="847">
        <f>Chem!A137</f>
        <v>135</v>
      </c>
      <c r="B137" s="937" t="str">
        <f>Chem!B137</f>
        <v>n-Nitrosodi-n-propylamine</v>
      </c>
      <c r="C137" s="384" t="str">
        <f>'AR-Eq'!E137</f>
        <v>na</v>
      </c>
      <c r="D137" s="343">
        <f>'AR-Eq'!F137</f>
        <v>1.2499999999999998E-3</v>
      </c>
      <c r="E137" s="1300" t="str">
        <f>Param!AF137</f>
        <v>no</v>
      </c>
      <c r="F137" s="573">
        <f t="shared" si="34"/>
        <v>1.2499999999999998E-3</v>
      </c>
      <c r="G137" s="574" t="str">
        <f>IF(OR(F137="na",E137="no"),"na",F137/Eqtn!$D$387)</f>
        <v>na</v>
      </c>
      <c r="H137" s="306" t="str">
        <f>'AR-Eq'!G137</f>
        <v>na</v>
      </c>
      <c r="I137" s="306">
        <f>'AR-Eq'!H137</f>
        <v>1.2500000000000001E-2</v>
      </c>
      <c r="J137" s="693">
        <f t="shared" si="35"/>
        <v>1.2500000000000001E-2</v>
      </c>
      <c r="K137" s="699" t="str">
        <f>IF(OR(J137="na",E137="no"),"na",J137/Eqtn!$D$387)</f>
        <v>na</v>
      </c>
      <c r="L137" s="1496" t="str">
        <f>'AR-Eq'!I137</f>
        <v>na</v>
      </c>
      <c r="M137" s="699">
        <f>'AR-Eq'!J137</f>
        <v>5.839999999999998E-3</v>
      </c>
      <c r="N137" s="699">
        <f t="shared" si="27"/>
        <v>5.839999999999998E-3</v>
      </c>
      <c r="O137" s="1529" t="str">
        <f>IF(OR(N137="na",$E137="no"),"na",N137/Eqtn!$D$387)</f>
        <v>na</v>
      </c>
      <c r="P137" s="1529" t="s">
        <v>232</v>
      </c>
      <c r="Q137" s="760" t="s">
        <v>232</v>
      </c>
      <c r="S137" s="1062"/>
    </row>
    <row r="138" spans="1:19" ht="13.9" customHeight="1" x14ac:dyDescent="0.25">
      <c r="A138" s="847">
        <f>Chem!A138</f>
        <v>136</v>
      </c>
      <c r="B138" s="937" t="str">
        <f>Chem!B138</f>
        <v>Pentachlorophenol</v>
      </c>
      <c r="C138" s="384" t="str">
        <f>'AR-Eq'!E138</f>
        <v>na</v>
      </c>
      <c r="D138" s="343">
        <f>'AR-Eq'!F138</f>
        <v>0.49019607843137247</v>
      </c>
      <c r="E138" s="1300" t="str">
        <f>Param!AF138</f>
        <v>no</v>
      </c>
      <c r="F138" s="573">
        <f t="shared" si="34"/>
        <v>0.49019607843137247</v>
      </c>
      <c r="G138" s="574" t="str">
        <f>IF(OR(F138="na",E138="no"),"na",F138/Eqtn!$D$387)</f>
        <v>na</v>
      </c>
      <c r="H138" s="306" t="str">
        <f>'AR-Eq'!G138</f>
        <v>na</v>
      </c>
      <c r="I138" s="306">
        <f>'AR-Eq'!H138</f>
        <v>4.9019607843137258</v>
      </c>
      <c r="J138" s="693">
        <f t="shared" si="35"/>
        <v>4.9019607843137258</v>
      </c>
      <c r="K138" s="699" t="str">
        <f>IF(OR(J138="na",E138="no"),"na",J138/Eqtn!$D$387)</f>
        <v>na</v>
      </c>
      <c r="L138" s="1496" t="str">
        <f>'AR-Eq'!I138</f>
        <v>na</v>
      </c>
      <c r="M138" s="699">
        <f>'AR-Eq'!J138</f>
        <v>2.2901960784313715</v>
      </c>
      <c r="N138" s="699">
        <f t="shared" si="27"/>
        <v>2.2901960784313715</v>
      </c>
      <c r="O138" s="1529" t="str">
        <f>IF(OR(N138="na",$E138="no"),"na",N138/Eqtn!$D$387)</f>
        <v>na</v>
      </c>
      <c r="P138" s="1529" t="s">
        <v>232</v>
      </c>
      <c r="Q138" s="760" t="s">
        <v>232</v>
      </c>
      <c r="S138" s="1062"/>
    </row>
    <row r="139" spans="1:19" ht="13.9" customHeight="1" x14ac:dyDescent="0.25">
      <c r="A139" s="847">
        <f>Chem!A139</f>
        <v>137</v>
      </c>
      <c r="B139" s="937" t="str">
        <f>Chem!B139</f>
        <v>Phenol</v>
      </c>
      <c r="C139" s="384">
        <f>'AR-Eq'!E139</f>
        <v>91.428571428571416</v>
      </c>
      <c r="D139" s="343" t="str">
        <f>'AR-Eq'!F139</f>
        <v>na</v>
      </c>
      <c r="E139" s="1300" t="str">
        <f>Param!AF139</f>
        <v>no</v>
      </c>
      <c r="F139" s="573">
        <f t="shared" si="34"/>
        <v>91.428571428571416</v>
      </c>
      <c r="G139" s="574" t="str">
        <f>IF(OR(F139="na",E139="no"),"na",F139/Eqtn!$D$387)</f>
        <v>na</v>
      </c>
      <c r="H139" s="306">
        <f>'AR-Eq'!G139</f>
        <v>199.99999999999997</v>
      </c>
      <c r="I139" s="306" t="str">
        <f>'AR-Eq'!H139</f>
        <v>na</v>
      </c>
      <c r="J139" s="693">
        <f t="shared" si="35"/>
        <v>199.99999999999997</v>
      </c>
      <c r="K139" s="699" t="str">
        <f>IF(OR(J139="na",E139="no"),"na",J139/Eqtn!$D$387)</f>
        <v>na</v>
      </c>
      <c r="L139" s="1496">
        <f>'AR-Eq'!I139</f>
        <v>778.6666666666664</v>
      </c>
      <c r="M139" s="699" t="str">
        <f>'AR-Eq'!J139</f>
        <v>na</v>
      </c>
      <c r="N139" s="699">
        <f t="shared" si="27"/>
        <v>778.6666666666664</v>
      </c>
      <c r="O139" s="1529" t="str">
        <f>IF(OR(N139="na",$E139="no"),"na",N139/Eqtn!$D$387)</f>
        <v>na</v>
      </c>
      <c r="P139" s="1529" t="s">
        <v>232</v>
      </c>
      <c r="Q139" s="760" t="s">
        <v>232</v>
      </c>
      <c r="S139" s="1062"/>
    </row>
    <row r="140" spans="1:19" ht="13.9" customHeight="1" x14ac:dyDescent="0.25">
      <c r="A140" s="847">
        <f>Chem!A140</f>
        <v>138</v>
      </c>
      <c r="B140" s="937" t="str">
        <f>Chem!B140</f>
        <v>Pyridine</v>
      </c>
      <c r="C140" s="384" t="str">
        <f>'AR-Eq'!E140</f>
        <v>na</v>
      </c>
      <c r="D140" s="343" t="str">
        <f>'AR-Eq'!F140</f>
        <v>na</v>
      </c>
      <c r="E140" s="1300" t="str">
        <f>Param!AF140</f>
        <v>no</v>
      </c>
      <c r="F140" s="573" t="str">
        <f t="shared" si="34"/>
        <v>na</v>
      </c>
      <c r="G140" s="574" t="str">
        <f>IF(OR(F140="na",E140="no"),"na",F140/Eqtn!$D$387)</f>
        <v>na</v>
      </c>
      <c r="H140" s="306" t="str">
        <f>'AR-Eq'!G140</f>
        <v>na</v>
      </c>
      <c r="I140" s="306" t="str">
        <f>'AR-Eq'!H140</f>
        <v>na</v>
      </c>
      <c r="J140" s="693" t="str">
        <f t="shared" si="35"/>
        <v>na</v>
      </c>
      <c r="K140" s="699" t="str">
        <f>IF(OR(J140="na",E140="no"),"na",J140/Eqtn!$D$387)</f>
        <v>na</v>
      </c>
      <c r="L140" s="1496" t="str">
        <f>'AR-Eq'!I140</f>
        <v>na</v>
      </c>
      <c r="M140" s="699" t="str">
        <f>'AR-Eq'!J140</f>
        <v>na</v>
      </c>
      <c r="N140" s="699" t="str">
        <f t="shared" si="27"/>
        <v>na</v>
      </c>
      <c r="O140" s="1529" t="str">
        <f>IF(OR(N140="na",$E140="no"),"na",N140/Eqtn!$D$387)</f>
        <v>na</v>
      </c>
      <c r="P140" s="1529" t="s">
        <v>232</v>
      </c>
      <c r="Q140" s="760" t="s">
        <v>232</v>
      </c>
      <c r="S140" s="1062"/>
    </row>
    <row r="141" spans="1:19" ht="13.9" customHeight="1" x14ac:dyDescent="0.25">
      <c r="A141" s="847">
        <f>Chem!A141</f>
        <v>139</v>
      </c>
      <c r="B141" s="937" t="str">
        <f>Chem!B141</f>
        <v>2,3,4,5-Tetrachlorophenol</v>
      </c>
      <c r="C141" s="384" t="str">
        <f>'AR-Eq'!E141</f>
        <v>na</v>
      </c>
      <c r="D141" s="343" t="str">
        <f>'AR-Eq'!F141</f>
        <v>na</v>
      </c>
      <c r="E141" s="1300" t="str">
        <f>Param!AF141</f>
        <v>no</v>
      </c>
      <c r="F141" s="573" t="str">
        <f t="shared" ref="F141" si="38">IF(C141="na",IF(D141="na","na",D141),MIN(C141,D141))</f>
        <v>na</v>
      </c>
      <c r="G141" s="574" t="str">
        <f>IF(OR(F141="na",E141="no"),"na",F141/Eqtn!$D$387)</f>
        <v>na</v>
      </c>
      <c r="H141" s="306" t="str">
        <f>'AR-Eq'!G141</f>
        <v>na</v>
      </c>
      <c r="I141" s="306" t="str">
        <f>'AR-Eq'!H141</f>
        <v>na</v>
      </c>
      <c r="J141" s="693" t="str">
        <f t="shared" ref="J141" si="39">IF(H141="na",IF(I141="na","na",I141),MIN(H141,I141))</f>
        <v>na</v>
      </c>
      <c r="K141" s="699" t="str">
        <f>IF(OR(J141="na",E141="no"),"na",J141/Eqtn!$D$387)</f>
        <v>na</v>
      </c>
      <c r="L141" s="1496" t="str">
        <f>'AR-Eq'!I141</f>
        <v>na</v>
      </c>
      <c r="M141" s="699" t="str">
        <f>'AR-Eq'!J141</f>
        <v>na</v>
      </c>
      <c r="N141" s="699" t="str">
        <f t="shared" si="27"/>
        <v>na</v>
      </c>
      <c r="O141" s="1529" t="str">
        <f>IF(OR(N141="na",$E141="no"),"na",N141/Eqtn!$D$387)</f>
        <v>na</v>
      </c>
      <c r="P141" s="1529" t="s">
        <v>232</v>
      </c>
      <c r="Q141" s="760" t="s">
        <v>232</v>
      </c>
      <c r="S141" s="1062"/>
    </row>
    <row r="142" spans="1:19" ht="13.9" customHeight="1" x14ac:dyDescent="0.25">
      <c r="A142" s="847">
        <f>Chem!A142</f>
        <v>140</v>
      </c>
      <c r="B142" s="937" t="str">
        <f>Chem!B142</f>
        <v>2,3,4,6-Tetrachlorophenol</v>
      </c>
      <c r="C142" s="384" t="str">
        <f>'AR-Eq'!E142</f>
        <v>na</v>
      </c>
      <c r="D142" s="343" t="str">
        <f>'AR-Eq'!F142</f>
        <v>na</v>
      </c>
      <c r="E142" s="1300" t="str">
        <f>Param!AF142</f>
        <v>no</v>
      </c>
      <c r="F142" s="573" t="str">
        <f t="shared" ref="F142" si="40">IF(C142="na",IF(D142="na","na",D142),MIN(C142,D142))</f>
        <v>na</v>
      </c>
      <c r="G142" s="574" t="str">
        <f>IF(OR(F142="na",E142="no"),"na",F142/Eqtn!$D$387)</f>
        <v>na</v>
      </c>
      <c r="H142" s="306" t="str">
        <f>'AR-Eq'!G142</f>
        <v>na</v>
      </c>
      <c r="I142" s="306" t="str">
        <f>'AR-Eq'!H142</f>
        <v>na</v>
      </c>
      <c r="J142" s="693" t="str">
        <f t="shared" ref="J142" si="41">IF(H142="na",IF(I142="na","na",I142),MIN(H142,I142))</f>
        <v>na</v>
      </c>
      <c r="K142" s="699" t="str">
        <f>IF(OR(J142="na",E142="no"),"na",J142/Eqtn!$D$387)</f>
        <v>na</v>
      </c>
      <c r="L142" s="1496" t="str">
        <f>'AR-Eq'!I142</f>
        <v>na</v>
      </c>
      <c r="M142" s="699" t="str">
        <f>'AR-Eq'!J142</f>
        <v>na</v>
      </c>
      <c r="N142" s="699" t="str">
        <f t="shared" si="27"/>
        <v>na</v>
      </c>
      <c r="O142" s="1529" t="str">
        <f>IF(OR(N142="na",$E142="no"),"na",N142/Eqtn!$D$387)</f>
        <v>na</v>
      </c>
      <c r="P142" s="1529" t="s">
        <v>232</v>
      </c>
      <c r="Q142" s="760" t="s">
        <v>232</v>
      </c>
      <c r="S142" s="1062"/>
    </row>
    <row r="143" spans="1:19" ht="13.9" customHeight="1" x14ac:dyDescent="0.25">
      <c r="A143" s="847">
        <f>Chem!A143</f>
        <v>141</v>
      </c>
      <c r="B143" s="937" t="str">
        <f>Chem!B143</f>
        <v>1,2,4-Trichlorobenzene</v>
      </c>
      <c r="C143" s="384">
        <f>'AR-Eq'!E143</f>
        <v>0.91428571428571437</v>
      </c>
      <c r="D143" s="343" t="str">
        <f>'AR-Eq'!F143</f>
        <v>na</v>
      </c>
      <c r="E143" s="1300" t="str">
        <f>Param!AF143</f>
        <v>YES</v>
      </c>
      <c r="F143" s="573">
        <f t="shared" si="34"/>
        <v>0.91428571428571437</v>
      </c>
      <c r="G143" s="574">
        <f>IF(OR(F143="na",E143="no"),"na",F143/Eqtn!$D$387)</f>
        <v>30.476190476190482</v>
      </c>
      <c r="H143" s="306">
        <f>'AR-Eq'!G143</f>
        <v>2</v>
      </c>
      <c r="I143" s="306" t="str">
        <f>'AR-Eq'!H143</f>
        <v>na</v>
      </c>
      <c r="J143" s="693">
        <f t="shared" si="35"/>
        <v>2</v>
      </c>
      <c r="K143" s="699">
        <f>IF(OR(J143="na",E143="no"),"na",J143/Eqtn!$D$387)</f>
        <v>66.666666666666671</v>
      </c>
      <c r="L143" s="1496">
        <f>'AR-Eq'!I143</f>
        <v>7.7866666666666662</v>
      </c>
      <c r="M143" s="699" t="str">
        <f>'AR-Eq'!J143</f>
        <v>na</v>
      </c>
      <c r="N143" s="699">
        <f t="shared" ref="N143:N145" si="42">IF(L143="na",IF(M143="na","na",M143),MIN(L143,M143))</f>
        <v>7.7866666666666662</v>
      </c>
      <c r="O143" s="1529">
        <f>IF(OR(N143="na",$E143="no"),"na",N143/Eqtn!$D$387)</f>
        <v>259.55555555555554</v>
      </c>
      <c r="P143" s="1529" t="s">
        <v>232</v>
      </c>
      <c r="Q143" s="760" t="s">
        <v>232</v>
      </c>
      <c r="S143" s="1062"/>
    </row>
    <row r="144" spans="1:19" ht="13.9" customHeight="1" x14ac:dyDescent="0.25">
      <c r="A144" s="847">
        <f>Chem!A144</f>
        <v>142</v>
      </c>
      <c r="B144" s="937" t="str">
        <f>Chem!B144</f>
        <v>2,4,5-Trichlorophenol</v>
      </c>
      <c r="C144" s="384" t="str">
        <f>'AR-Eq'!E144</f>
        <v>na</v>
      </c>
      <c r="D144" s="343" t="str">
        <f>'AR-Eq'!F144</f>
        <v>na</v>
      </c>
      <c r="E144" s="1300" t="str">
        <f>Param!AF144</f>
        <v>no</v>
      </c>
      <c r="F144" s="573" t="str">
        <f t="shared" si="34"/>
        <v>na</v>
      </c>
      <c r="G144" s="574" t="str">
        <f>IF(OR(F144="na",E144="no"),"na",F144/Eqtn!$D$387)</f>
        <v>na</v>
      </c>
      <c r="H144" s="306" t="str">
        <f>'AR-Eq'!G144</f>
        <v>na</v>
      </c>
      <c r="I144" s="306" t="str">
        <f>'AR-Eq'!H144</f>
        <v>na</v>
      </c>
      <c r="J144" s="693" t="str">
        <f t="shared" si="35"/>
        <v>na</v>
      </c>
      <c r="K144" s="699" t="str">
        <f>IF(OR(J144="na",E144="no"),"na",J144/Eqtn!$D$387)</f>
        <v>na</v>
      </c>
      <c r="L144" s="1496" t="str">
        <f>'AR-Eq'!I144</f>
        <v>na</v>
      </c>
      <c r="M144" s="699" t="str">
        <f>'AR-Eq'!J144</f>
        <v>na</v>
      </c>
      <c r="N144" s="699" t="str">
        <f t="shared" si="42"/>
        <v>na</v>
      </c>
      <c r="O144" s="1529" t="str">
        <f>IF(OR(N144="na",$E144="no"),"na",N144/Eqtn!$D$387)</f>
        <v>na</v>
      </c>
      <c r="P144" s="1529" t="s">
        <v>232</v>
      </c>
      <c r="Q144" s="760" t="s">
        <v>232</v>
      </c>
      <c r="S144" s="1062"/>
    </row>
    <row r="145" spans="1:19" ht="13.9" customHeight="1" x14ac:dyDescent="0.25">
      <c r="A145" s="842">
        <f>Chem!A145</f>
        <v>143</v>
      </c>
      <c r="B145" s="937" t="str">
        <f>Chem!B145</f>
        <v>2,4,6-Trichlorophenol</v>
      </c>
      <c r="C145" s="384" t="str">
        <f>'AR-Eq'!E145</f>
        <v>na</v>
      </c>
      <c r="D145" s="343">
        <f>'AR-Eq'!F145</f>
        <v>0.80645161290322553</v>
      </c>
      <c r="E145" s="1300" t="str">
        <f>Param!AF145</f>
        <v>no</v>
      </c>
      <c r="F145" s="573">
        <f t="shared" si="34"/>
        <v>0.80645161290322553</v>
      </c>
      <c r="G145" s="574" t="str">
        <f>IF(OR(F145="na",E145="no"),"na",F145/Eqtn!$D$387)</f>
        <v>na</v>
      </c>
      <c r="H145" s="306" t="str">
        <f>'AR-Eq'!G145</f>
        <v>na</v>
      </c>
      <c r="I145" s="306">
        <f>'AR-Eq'!H145</f>
        <v>8.064516129032258</v>
      </c>
      <c r="J145" s="693">
        <f t="shared" si="35"/>
        <v>8.064516129032258</v>
      </c>
      <c r="K145" s="699" t="str">
        <f>IF(OR(J145="na",E145="no"),"na",J145/Eqtn!$D$387)</f>
        <v>na</v>
      </c>
      <c r="L145" s="1499" t="str">
        <f>'AR-Eq'!I145</f>
        <v>na</v>
      </c>
      <c r="M145" s="1500">
        <f>'AR-Eq'!J145</f>
        <v>3.767741935483869</v>
      </c>
      <c r="N145" s="1500">
        <f t="shared" si="42"/>
        <v>3.767741935483869</v>
      </c>
      <c r="O145" s="1530" t="str">
        <f>IF(OR(N145="na",$E145="no"),"na",N145/Eqtn!$D$387)</f>
        <v>na</v>
      </c>
      <c r="P145" s="1530" t="s">
        <v>232</v>
      </c>
      <c r="Q145" s="1501" t="s">
        <v>232</v>
      </c>
      <c r="S145" s="1062"/>
    </row>
    <row r="146" spans="1:19" ht="13.9" customHeight="1" x14ac:dyDescent="0.25">
      <c r="A146" s="1197">
        <f>Chem!A146</f>
        <v>144</v>
      </c>
      <c r="B146" s="939" t="str">
        <f>Chem!B146</f>
        <v>Volatile Organic Compounds</v>
      </c>
      <c r="C146" s="259"/>
      <c r="D146" s="259"/>
      <c r="E146" s="259"/>
      <c r="F146" s="259"/>
      <c r="G146" s="259"/>
      <c r="H146" s="259"/>
      <c r="I146" s="259"/>
      <c r="J146" s="259"/>
      <c r="K146" s="259"/>
      <c r="L146" s="259"/>
      <c r="M146" s="259"/>
      <c r="N146" s="259"/>
      <c r="O146" s="259"/>
      <c r="P146" s="259"/>
      <c r="Q146" s="1533"/>
      <c r="S146" s="1063"/>
    </row>
    <row r="147" spans="1:19" ht="13.9" customHeight="1" x14ac:dyDescent="0.25">
      <c r="A147" s="846">
        <f>Chem!A147</f>
        <v>145</v>
      </c>
      <c r="B147" s="937" t="str">
        <f>Chem!B147</f>
        <v>Acetone</v>
      </c>
      <c r="C147" s="384" t="str">
        <f>'AR-Eq'!E147</f>
        <v>na</v>
      </c>
      <c r="D147" s="343" t="str">
        <f>'AR-Eq'!F147</f>
        <v>na</v>
      </c>
      <c r="E147" s="1300" t="str">
        <f>Param!AF147</f>
        <v>no</v>
      </c>
      <c r="F147" s="573" t="str">
        <f t="shared" ref="F147:F179" si="43">IF(C147="na",IF(D147="na","na",D147),MIN(C147,D147))</f>
        <v>na</v>
      </c>
      <c r="G147" s="574" t="str">
        <f>IF(OR(F147="na",E147="no"),"na",F147/Eqtn!$D$387)</f>
        <v>na</v>
      </c>
      <c r="H147" s="306" t="str">
        <f>'AR-Eq'!G147</f>
        <v>na</v>
      </c>
      <c r="I147" s="306" t="str">
        <f>'AR-Eq'!H147</f>
        <v>na</v>
      </c>
      <c r="J147" s="693" t="str">
        <f t="shared" ref="J147:J179" si="44">IF(H147="na",IF(I147="na","na",I147),MIN(H147,I147))</f>
        <v>na</v>
      </c>
      <c r="K147" s="699" t="str">
        <f>IF(OR(J147="na",E147="no"),"na",J147/Eqtn!$D$387)</f>
        <v>na</v>
      </c>
      <c r="L147" s="1503" t="str">
        <f>'AR-Eq'!I147</f>
        <v>na</v>
      </c>
      <c r="M147" s="1504" t="str">
        <f>'AR-Eq'!J147</f>
        <v>na</v>
      </c>
      <c r="N147" s="1504" t="str">
        <f t="shared" ref="N147:N211" si="45">IF(L147="na",IF(M147="na","na",M147),MIN(L147,M147))</f>
        <v>na</v>
      </c>
      <c r="O147" s="1531" t="str">
        <f>IF(OR(N147="na",$E147="no"),"na",N147/Eqtn!$D$387)</f>
        <v>na</v>
      </c>
      <c r="P147" s="1531" t="s">
        <v>232</v>
      </c>
      <c r="Q147" s="1505" t="s">
        <v>232</v>
      </c>
      <c r="S147" s="1062"/>
    </row>
    <row r="148" spans="1:19" ht="13.9" customHeight="1" x14ac:dyDescent="0.25">
      <c r="A148" s="846">
        <f>Chem!A148</f>
        <v>146</v>
      </c>
      <c r="B148" s="937" t="str">
        <f>Chem!B148</f>
        <v>Acetaldehyde</v>
      </c>
      <c r="C148" s="384">
        <f>'AR-Eq'!E148</f>
        <v>4.1142857142857139</v>
      </c>
      <c r="D148" s="343">
        <f>'AR-Eq'!F148</f>
        <v>1.1363636363636362</v>
      </c>
      <c r="E148" s="1300" t="str">
        <f>Param!AF148</f>
        <v>YES</v>
      </c>
      <c r="F148" s="573">
        <f t="shared" ref="F148" si="46">IF(C148="na",IF(D148="na","na",D148),MIN(C148,D148))</f>
        <v>1.1363636363636362</v>
      </c>
      <c r="G148" s="574">
        <f>IF(OR(F148="na",E148="no"),"na",F148/Eqtn!$D$387)</f>
        <v>37.878787878787875</v>
      </c>
      <c r="H148" s="306">
        <f>'AR-Eq'!G148</f>
        <v>9</v>
      </c>
      <c r="I148" s="306">
        <f>'AR-Eq'!H148</f>
        <v>11.363636363636365</v>
      </c>
      <c r="J148" s="693">
        <f t="shared" ref="J148" si="47">IF(H148="na",IF(I148="na","na",I148),MIN(H148,I148))</f>
        <v>9</v>
      </c>
      <c r="K148" s="699">
        <f>IF(OR(J148="na",E148="no"),"na",J148/Eqtn!$D$387)</f>
        <v>300</v>
      </c>
      <c r="L148" s="1503">
        <f>'AR-Eq'!I148</f>
        <v>35.039999999999992</v>
      </c>
      <c r="M148" s="1504">
        <f>'AR-Eq'!J148</f>
        <v>5.3090909090909069</v>
      </c>
      <c r="N148" s="1504">
        <f t="shared" ref="N148" si="48">IF(L148="na",IF(M148="na","na",M148),MIN(L148,M148))</f>
        <v>5.3090909090909069</v>
      </c>
      <c r="O148" s="1531">
        <f>IF(OR(N148="na",$E148="no"),"na",N148/Eqtn!$D$387)</f>
        <v>176.96969696969691</v>
      </c>
      <c r="P148" s="1493" t="s">
        <v>232</v>
      </c>
      <c r="Q148" s="722" t="s">
        <v>232</v>
      </c>
      <c r="S148" s="1062"/>
    </row>
    <row r="149" spans="1:19" ht="13.9" customHeight="1" x14ac:dyDescent="0.25">
      <c r="A149" s="846">
        <f>Chem!A149</f>
        <v>147</v>
      </c>
      <c r="B149" s="937" t="str">
        <f>Chem!B149</f>
        <v>Acrolein</v>
      </c>
      <c r="C149" s="384">
        <f>'AR-Eq'!E149</f>
        <v>9.1428571428571435E-3</v>
      </c>
      <c r="D149" s="343" t="str">
        <f>'AR-Eq'!F149</f>
        <v>na</v>
      </c>
      <c r="E149" s="1300" t="str">
        <f>Param!AF149</f>
        <v>YES</v>
      </c>
      <c r="F149" s="573">
        <f t="shared" si="43"/>
        <v>9.1428571428571435E-3</v>
      </c>
      <c r="G149" s="574">
        <f>IF(OR(F149="na",E149="no"),"na",F149/Eqtn!$D$387)</f>
        <v>0.30476190476190479</v>
      </c>
      <c r="H149" s="306">
        <f>'AR-Eq'!G149</f>
        <v>0.02</v>
      </c>
      <c r="I149" s="306" t="str">
        <f>'AR-Eq'!H149</f>
        <v>na</v>
      </c>
      <c r="J149" s="693">
        <f t="shared" si="44"/>
        <v>0.02</v>
      </c>
      <c r="K149" s="699">
        <f>IF(OR(J149="na",E149="no"),"na",J149/Eqtn!$D$387)</f>
        <v>0.66666666666666674</v>
      </c>
      <c r="L149" s="1496">
        <f>'AR-Eq'!I149</f>
        <v>7.7866666666666653E-2</v>
      </c>
      <c r="M149" s="699" t="str">
        <f>'AR-Eq'!J149</f>
        <v>na</v>
      </c>
      <c r="N149" s="699">
        <f t="shared" si="45"/>
        <v>7.7866666666666653E-2</v>
      </c>
      <c r="O149" s="1529">
        <f>IF(OR(N149="na",$E149="no"),"na",N149/Eqtn!$D$387)</f>
        <v>2.5955555555555554</v>
      </c>
      <c r="P149" s="1529" t="s">
        <v>232</v>
      </c>
      <c r="Q149" s="760" t="s">
        <v>232</v>
      </c>
      <c r="S149" s="1062"/>
    </row>
    <row r="150" spans="1:19" ht="13.9" customHeight="1" x14ac:dyDescent="0.25">
      <c r="A150" s="846">
        <f>Chem!A150</f>
        <v>148</v>
      </c>
      <c r="B150" s="937" t="str">
        <f>Chem!B150</f>
        <v>Acrylonitrile</v>
      </c>
      <c r="C150" s="384">
        <f>'AR-Eq'!E150</f>
        <v>0.91428571428571437</v>
      </c>
      <c r="D150" s="343">
        <f>'AR-Eq'!F150</f>
        <v>3.6764705882352929E-2</v>
      </c>
      <c r="E150" s="1300" t="str">
        <f>Param!AF150</f>
        <v>YES</v>
      </c>
      <c r="F150" s="575">
        <f t="shared" si="43"/>
        <v>3.6764705882352929E-2</v>
      </c>
      <c r="G150" s="574">
        <f>IF(OR(F150="na",E150="no"),"na",F150/Eqtn!$D$387)</f>
        <v>1.225490196078431</v>
      </c>
      <c r="H150" s="17">
        <f>'AR-Eq'!G150</f>
        <v>2</v>
      </c>
      <c r="I150" s="17">
        <f>'AR-Eq'!H150</f>
        <v>0.36764705882352938</v>
      </c>
      <c r="J150" s="694">
        <f t="shared" si="44"/>
        <v>0.36764705882352938</v>
      </c>
      <c r="K150" s="699">
        <f>IF(OR(J150="na",E150="no"),"na",J150/Eqtn!$D$387)</f>
        <v>12.254901960784313</v>
      </c>
      <c r="L150" s="1496">
        <f>'AR-Eq'!I150</f>
        <v>7.7866666666666662</v>
      </c>
      <c r="M150" s="699">
        <f>'AR-Eq'!J150</f>
        <v>0.17176470588235285</v>
      </c>
      <c r="N150" s="699">
        <f t="shared" si="45"/>
        <v>0.17176470588235285</v>
      </c>
      <c r="O150" s="1529">
        <f>IF(OR(N150="na",$E150="no"),"na",N150/Eqtn!$D$387)</f>
        <v>5.7254901960784288</v>
      </c>
      <c r="P150" s="1529" t="s">
        <v>232</v>
      </c>
      <c r="Q150" s="760" t="s">
        <v>232</v>
      </c>
      <c r="S150" s="1062"/>
    </row>
    <row r="151" spans="1:19" ht="13.9" customHeight="1" x14ac:dyDescent="0.25">
      <c r="A151" s="846">
        <f>Chem!A151</f>
        <v>149</v>
      </c>
      <c r="B151" s="937" t="str">
        <f>Chem!B151</f>
        <v>Benzaldehyde</v>
      </c>
      <c r="C151" s="394" t="str">
        <f>'AR-Eq'!E151</f>
        <v>na</v>
      </c>
      <c r="D151" s="338" t="str">
        <f>'AR-Eq'!F151</f>
        <v>na</v>
      </c>
      <c r="E151" s="1303" t="str">
        <f>Param!AF151</f>
        <v>no</v>
      </c>
      <c r="F151" s="573" t="str">
        <f t="shared" si="43"/>
        <v>na</v>
      </c>
      <c r="G151" s="574" t="str">
        <f>IF(OR(F151="na",E151="no"),"na",F151/Eqtn!$D$387)</f>
        <v>na</v>
      </c>
      <c r="H151" s="306" t="str">
        <f>'AR-Eq'!G151</f>
        <v>na</v>
      </c>
      <c r="I151" s="306" t="str">
        <f>'AR-Eq'!H151</f>
        <v>na</v>
      </c>
      <c r="J151" s="693" t="str">
        <f t="shared" si="44"/>
        <v>na</v>
      </c>
      <c r="K151" s="699" t="str">
        <f>IF(OR(J151="na",E151="no"),"na",J151/Eqtn!$D$387)</f>
        <v>na</v>
      </c>
      <c r="L151" s="1496" t="str">
        <f>'AR-Eq'!I151</f>
        <v>na</v>
      </c>
      <c r="M151" s="699" t="str">
        <f>'AR-Eq'!J151</f>
        <v>na</v>
      </c>
      <c r="N151" s="699" t="str">
        <f t="shared" si="45"/>
        <v>na</v>
      </c>
      <c r="O151" s="1529" t="str">
        <f>IF(OR(N151="na",$E151="no"),"na",N151/Eqtn!$D$387)</f>
        <v>na</v>
      </c>
      <c r="P151" s="1529" t="s">
        <v>232</v>
      </c>
      <c r="Q151" s="760" t="s">
        <v>232</v>
      </c>
      <c r="S151" s="1062"/>
    </row>
    <row r="152" spans="1:19" ht="13.9" customHeight="1" x14ac:dyDescent="0.25">
      <c r="A152" s="846">
        <f>Chem!A152</f>
        <v>150</v>
      </c>
      <c r="B152" s="937" t="str">
        <f>Chem!B152</f>
        <v>Benzene</v>
      </c>
      <c r="C152" s="384">
        <f>'AR-Eq'!E152</f>
        <v>13.714285714285715</v>
      </c>
      <c r="D152" s="343">
        <f>'AR-Eq'!F152</f>
        <v>0.32051282051282048</v>
      </c>
      <c r="E152" s="1300" t="str">
        <f>Param!AF152</f>
        <v>YES</v>
      </c>
      <c r="F152" s="575">
        <f t="shared" si="43"/>
        <v>0.32051282051282048</v>
      </c>
      <c r="G152" s="574">
        <f>IF(OR(F152="na",E152="no"),"na",F152/Eqtn!$D$387)</f>
        <v>10.683760683760683</v>
      </c>
      <c r="H152" s="17">
        <f>'AR-Eq'!G152</f>
        <v>30</v>
      </c>
      <c r="I152" s="17">
        <f>'AR-Eq'!H152</f>
        <v>3.2051282051282053</v>
      </c>
      <c r="J152" s="694">
        <f t="shared" si="44"/>
        <v>3.2051282051282053</v>
      </c>
      <c r="K152" s="699">
        <f>IF(OR(J152="na",E152="no"),"na",J152/Eqtn!$D$387)</f>
        <v>106.83760683760684</v>
      </c>
      <c r="L152" s="1496">
        <f>'AR-Eq'!I152</f>
        <v>116.79999999999998</v>
      </c>
      <c r="M152" s="699">
        <f>'AR-Eq'!J152</f>
        <v>1.4974358974358968</v>
      </c>
      <c r="N152" s="699">
        <f t="shared" si="45"/>
        <v>1.4974358974358968</v>
      </c>
      <c r="O152" s="1529">
        <f>IF(OR(N152="na",$E152="no"),"na",N152/Eqtn!$D$387)</f>
        <v>49.914529914529894</v>
      </c>
      <c r="P152" s="1529" t="s">
        <v>232</v>
      </c>
      <c r="Q152" s="760" t="s">
        <v>232</v>
      </c>
      <c r="S152" s="1062"/>
    </row>
    <row r="153" spans="1:19" ht="13.9" customHeight="1" x14ac:dyDescent="0.25">
      <c r="A153" s="846">
        <f>Chem!A153</f>
        <v>151</v>
      </c>
      <c r="B153" s="937" t="str">
        <f>Chem!B153</f>
        <v>Bromobenzene</v>
      </c>
      <c r="C153" s="392">
        <f>'AR-Eq'!E153</f>
        <v>27.428571428571431</v>
      </c>
      <c r="D153" s="532" t="str">
        <f>'AR-Eq'!F153</f>
        <v>na</v>
      </c>
      <c r="E153" s="1299" t="str">
        <f>Param!AF153</f>
        <v>YES</v>
      </c>
      <c r="F153" s="573">
        <f t="shared" si="43"/>
        <v>27.428571428571431</v>
      </c>
      <c r="G153" s="574">
        <f>IF(OR(F153="na",E153="no"),"na",F153/Eqtn!$D$387)</f>
        <v>914.28571428571433</v>
      </c>
      <c r="H153" s="306">
        <f>'AR-Eq'!G153</f>
        <v>60</v>
      </c>
      <c r="I153" s="306" t="str">
        <f>'AR-Eq'!H153</f>
        <v>na</v>
      </c>
      <c r="J153" s="693">
        <f t="shared" si="44"/>
        <v>60</v>
      </c>
      <c r="K153" s="699">
        <f>IF(OR(J153="na",E153="no"),"na",J153/Eqtn!$D$387)</f>
        <v>2000</v>
      </c>
      <c r="L153" s="1496">
        <f>'AR-Eq'!I153</f>
        <v>233.59999999999997</v>
      </c>
      <c r="M153" s="699" t="str">
        <f>'AR-Eq'!J153</f>
        <v>na</v>
      </c>
      <c r="N153" s="699">
        <f t="shared" si="45"/>
        <v>233.59999999999997</v>
      </c>
      <c r="O153" s="1529">
        <f>IF(OR(N153="na",$E153="no"),"na",N153/Eqtn!$D$387)</f>
        <v>7786.6666666666661</v>
      </c>
      <c r="P153" s="1529" t="s">
        <v>232</v>
      </c>
      <c r="Q153" s="760" t="s">
        <v>232</v>
      </c>
      <c r="S153" s="1062"/>
    </row>
    <row r="154" spans="1:19" ht="13.9" customHeight="1" x14ac:dyDescent="0.25">
      <c r="A154" s="846">
        <f>Chem!A154</f>
        <v>152</v>
      </c>
      <c r="B154" s="937" t="str">
        <f>Chem!B154</f>
        <v>Bromochloromethane</v>
      </c>
      <c r="C154" s="384">
        <f>'AR-Eq'!E154</f>
        <v>18.285714285714285</v>
      </c>
      <c r="D154" s="343" t="str">
        <f>'AR-Eq'!F154</f>
        <v>na</v>
      </c>
      <c r="E154" s="1300" t="str">
        <f>Param!AF154</f>
        <v>no</v>
      </c>
      <c r="F154" s="573">
        <f t="shared" si="43"/>
        <v>18.285714285714285</v>
      </c>
      <c r="G154" s="574" t="str">
        <f>IF(OR(F154="na",E154="no"),"na",F154/Eqtn!$D$387)</f>
        <v>na</v>
      </c>
      <c r="H154" s="306">
        <f>'AR-Eq'!G154</f>
        <v>40</v>
      </c>
      <c r="I154" s="306" t="str">
        <f>'AR-Eq'!H154</f>
        <v>na</v>
      </c>
      <c r="J154" s="693">
        <f t="shared" si="44"/>
        <v>40</v>
      </c>
      <c r="K154" s="699" t="str">
        <f>IF(OR(J154="na",E154="no"),"na",J154/Eqtn!$D$387)</f>
        <v>na</v>
      </c>
      <c r="L154" s="1496">
        <f>'AR-Eq'!I154</f>
        <v>155.73333333333329</v>
      </c>
      <c r="M154" s="699" t="str">
        <f>'AR-Eq'!J154</f>
        <v>na</v>
      </c>
      <c r="N154" s="699">
        <f t="shared" si="45"/>
        <v>155.73333333333329</v>
      </c>
      <c r="O154" s="1529" t="str">
        <f>IF(OR(N154="na",$E154="no"),"na",N154/Eqtn!$D$387)</f>
        <v>na</v>
      </c>
      <c r="P154" s="1529" t="s">
        <v>232</v>
      </c>
      <c r="Q154" s="760" t="s">
        <v>232</v>
      </c>
      <c r="S154" s="1062"/>
    </row>
    <row r="155" spans="1:19" ht="13.9" customHeight="1" x14ac:dyDescent="0.25">
      <c r="A155" s="846">
        <f>Chem!A155</f>
        <v>153</v>
      </c>
      <c r="B155" s="937" t="str">
        <f>Chem!B155</f>
        <v>Bromoethane</v>
      </c>
      <c r="C155" s="387" t="str">
        <f>'AR-Eq'!E155</f>
        <v>na</v>
      </c>
      <c r="D155" s="531" t="str">
        <f>'AR-Eq'!F155</f>
        <v>na</v>
      </c>
      <c r="E155" s="1301" t="str">
        <f>Param!AF155</f>
        <v>no</v>
      </c>
      <c r="F155" s="573" t="str">
        <f t="shared" si="43"/>
        <v>na</v>
      </c>
      <c r="G155" s="574" t="str">
        <f>IF(OR(F155="na",E155="no"),"na",F155/Eqtn!$D$387)</f>
        <v>na</v>
      </c>
      <c r="H155" s="306" t="str">
        <f>'AR-Eq'!G155</f>
        <v>na</v>
      </c>
      <c r="I155" s="306" t="str">
        <f>'AR-Eq'!H155</f>
        <v>na</v>
      </c>
      <c r="J155" s="693" t="str">
        <f t="shared" si="44"/>
        <v>na</v>
      </c>
      <c r="K155" s="699" t="str">
        <f>IF(OR(J155="na",E155="no"),"na",J155/Eqtn!$D$387)</f>
        <v>na</v>
      </c>
      <c r="L155" s="1496" t="str">
        <f>'AR-Eq'!I155</f>
        <v>na</v>
      </c>
      <c r="M155" s="699" t="str">
        <f>'AR-Eq'!J155</f>
        <v>na</v>
      </c>
      <c r="N155" s="699" t="str">
        <f t="shared" si="45"/>
        <v>na</v>
      </c>
      <c r="O155" s="1529" t="str">
        <f>IF(OR(N155="na",$E155="no"),"na",N155/Eqtn!$D$387)</f>
        <v>na</v>
      </c>
      <c r="P155" s="1529" t="s">
        <v>232</v>
      </c>
      <c r="Q155" s="760" t="s">
        <v>232</v>
      </c>
      <c r="S155" s="1062"/>
    </row>
    <row r="156" spans="1:19" ht="13.9" customHeight="1" x14ac:dyDescent="0.25">
      <c r="A156" s="846">
        <f>Chem!A156</f>
        <v>154</v>
      </c>
      <c r="B156" s="937" t="str">
        <f>Chem!B156</f>
        <v>Bromoform</v>
      </c>
      <c r="C156" s="384" t="str">
        <f>'AR-Eq'!E156</f>
        <v>na</v>
      </c>
      <c r="D156" s="343">
        <f>'AR-Eq'!F156</f>
        <v>2.2727272727272725</v>
      </c>
      <c r="E156" s="1300" t="str">
        <f>Param!AF156</f>
        <v>YES</v>
      </c>
      <c r="F156" s="573">
        <f t="shared" si="43"/>
        <v>2.2727272727272725</v>
      </c>
      <c r="G156" s="574">
        <f>IF(OR(F156="na",E156="no"),"na",F156/Eqtn!$D$387)</f>
        <v>75.757575757575751</v>
      </c>
      <c r="H156" s="306" t="str">
        <f>'AR-Eq'!G156</f>
        <v>na</v>
      </c>
      <c r="I156" s="306">
        <f>'AR-Eq'!H156</f>
        <v>22.72727272727273</v>
      </c>
      <c r="J156" s="693">
        <f t="shared" si="44"/>
        <v>22.72727272727273</v>
      </c>
      <c r="K156" s="699">
        <f>IF(OR(J156="na",E156="no"),"na",J156/Eqtn!$D$387)</f>
        <v>757.57575757575773</v>
      </c>
      <c r="L156" s="1496" t="str">
        <f>'AR-Eq'!I156</f>
        <v>na</v>
      </c>
      <c r="M156" s="699">
        <f>'AR-Eq'!J156</f>
        <v>10.618181818181814</v>
      </c>
      <c r="N156" s="699">
        <f t="shared" si="45"/>
        <v>10.618181818181814</v>
      </c>
      <c r="O156" s="1529">
        <f>IF(OR(N156="na",$E156="no"),"na",N156/Eqtn!$D$387)</f>
        <v>353.93939393939382</v>
      </c>
      <c r="P156" s="1529" t="s">
        <v>232</v>
      </c>
      <c r="Q156" s="760" t="s">
        <v>232</v>
      </c>
      <c r="S156" s="1062"/>
    </row>
    <row r="157" spans="1:19" ht="13.9" customHeight="1" x14ac:dyDescent="0.25">
      <c r="A157" s="846">
        <f>Chem!A157</f>
        <v>155</v>
      </c>
      <c r="B157" s="937" t="str">
        <f>Chem!B157</f>
        <v>Bromomethane</v>
      </c>
      <c r="C157" s="384">
        <f>'AR-Eq'!E157</f>
        <v>2.2857142857142856</v>
      </c>
      <c r="D157" s="343" t="str">
        <f>'AR-Eq'!F157</f>
        <v>na</v>
      </c>
      <c r="E157" s="1300" t="str">
        <f>Param!AF157</f>
        <v>YES</v>
      </c>
      <c r="F157" s="573">
        <f t="shared" si="43"/>
        <v>2.2857142857142856</v>
      </c>
      <c r="G157" s="574">
        <f>IF(OR(F157="na",E157="no"),"na",F157/Eqtn!$D$387)</f>
        <v>76.19047619047619</v>
      </c>
      <c r="H157" s="306">
        <f>'AR-Eq'!G157</f>
        <v>5</v>
      </c>
      <c r="I157" s="306" t="str">
        <f>'AR-Eq'!H157</f>
        <v>na</v>
      </c>
      <c r="J157" s="693">
        <f t="shared" si="44"/>
        <v>5</v>
      </c>
      <c r="K157" s="699">
        <f>IF(OR(J157="na",E157="no"),"na",J157/Eqtn!$D$387)</f>
        <v>166.66666666666669</v>
      </c>
      <c r="L157" s="1496">
        <f>'AR-Eq'!I157</f>
        <v>19.466666666666661</v>
      </c>
      <c r="M157" s="699" t="str">
        <f>'AR-Eq'!J157</f>
        <v>na</v>
      </c>
      <c r="N157" s="699">
        <f t="shared" si="45"/>
        <v>19.466666666666661</v>
      </c>
      <c r="O157" s="1529">
        <f>IF(OR(N157="na",$E157="no"),"na",N157/Eqtn!$D$387)</f>
        <v>648.88888888888869</v>
      </c>
      <c r="P157" s="1529" t="s">
        <v>232</v>
      </c>
      <c r="Q157" s="760" t="s">
        <v>232</v>
      </c>
      <c r="S157" s="1062"/>
    </row>
    <row r="158" spans="1:19" ht="13.9" customHeight="1" x14ac:dyDescent="0.25">
      <c r="A158" s="846">
        <f>Chem!A158</f>
        <v>156</v>
      </c>
      <c r="B158" s="937" t="str">
        <f>Chem!B158</f>
        <v>2-Butoxyethanol (EGBE)</v>
      </c>
      <c r="C158" s="384">
        <f>'AR-Eq'!E158</f>
        <v>731.42857142857133</v>
      </c>
      <c r="D158" s="343" t="str">
        <f>'AR-Eq'!F158</f>
        <v>na</v>
      </c>
      <c r="E158" s="1300" t="str">
        <f>Param!AF158</f>
        <v>no</v>
      </c>
      <c r="F158" s="573">
        <f t="shared" si="43"/>
        <v>731.42857142857133</v>
      </c>
      <c r="G158" s="574" t="str">
        <f>IF(OR(F158="na",E158="no"),"na",F158/Eqtn!$D$387)</f>
        <v>na</v>
      </c>
      <c r="H158" s="306">
        <f>'AR-Eq'!G158</f>
        <v>1599.9999999999998</v>
      </c>
      <c r="I158" s="306" t="str">
        <f>'AR-Eq'!H158</f>
        <v>na</v>
      </c>
      <c r="J158" s="693">
        <f t="shared" si="44"/>
        <v>1599.9999999999998</v>
      </c>
      <c r="K158" s="699" t="str">
        <f>IF(OR(J158="na",E158="no"),"na",J158/Eqtn!$D$387)</f>
        <v>na</v>
      </c>
      <c r="L158" s="1496">
        <f>'AR-Eq'!I158</f>
        <v>6229.3333333333312</v>
      </c>
      <c r="M158" s="699" t="str">
        <f>'AR-Eq'!J158</f>
        <v>na</v>
      </c>
      <c r="N158" s="699">
        <f t="shared" si="45"/>
        <v>6229.3333333333312</v>
      </c>
      <c r="O158" s="1529" t="str">
        <f>IF(OR(N158="na",$E158="no"),"na",N158/Eqtn!$D$387)</f>
        <v>na</v>
      </c>
      <c r="P158" s="1529" t="s">
        <v>232</v>
      </c>
      <c r="Q158" s="760" t="s">
        <v>232</v>
      </c>
      <c r="S158" s="1062"/>
    </row>
    <row r="159" spans="1:19" ht="13.9" customHeight="1" x14ac:dyDescent="0.25">
      <c r="A159" s="846">
        <f>Chem!A159</f>
        <v>157</v>
      </c>
      <c r="B159" s="937" t="str">
        <f>Chem!B159</f>
        <v>n-Butylbenzene</v>
      </c>
      <c r="C159" s="384" t="str">
        <f>'AR-Eq'!E159</f>
        <v>na</v>
      </c>
      <c r="D159" s="343" t="str">
        <f>'AR-Eq'!F159</f>
        <v>na</v>
      </c>
      <c r="E159" s="1300" t="str">
        <f>Param!AF159</f>
        <v>no</v>
      </c>
      <c r="F159" s="573" t="str">
        <f t="shared" si="43"/>
        <v>na</v>
      </c>
      <c r="G159" s="574" t="str">
        <f>IF(OR(F159="na",E159="no"),"na",F159/Eqtn!$D$387)</f>
        <v>na</v>
      </c>
      <c r="H159" s="306" t="str">
        <f>'AR-Eq'!G159</f>
        <v>na</v>
      </c>
      <c r="I159" s="306" t="str">
        <f>'AR-Eq'!H159</f>
        <v>na</v>
      </c>
      <c r="J159" s="693" t="str">
        <f t="shared" si="44"/>
        <v>na</v>
      </c>
      <c r="K159" s="699" t="str">
        <f>IF(OR(J159="na",E159="no"),"na",J159/Eqtn!$D$387)</f>
        <v>na</v>
      </c>
      <c r="L159" s="1496" t="str">
        <f>'AR-Eq'!I159</f>
        <v>na</v>
      </c>
      <c r="M159" s="699" t="str">
        <f>'AR-Eq'!J159</f>
        <v>na</v>
      </c>
      <c r="N159" s="699" t="str">
        <f t="shared" si="45"/>
        <v>na</v>
      </c>
      <c r="O159" s="1529" t="str">
        <f>IF(OR(N159="na",$E159="no"),"na",N159/Eqtn!$D$387)</f>
        <v>na</v>
      </c>
      <c r="P159" s="1529" t="s">
        <v>232</v>
      </c>
      <c r="Q159" s="760" t="s">
        <v>232</v>
      </c>
      <c r="S159" s="1062"/>
    </row>
    <row r="160" spans="1:19" ht="13.9" customHeight="1" x14ac:dyDescent="0.25">
      <c r="A160" s="846">
        <f>Chem!A160</f>
        <v>158</v>
      </c>
      <c r="B160" s="937" t="str">
        <f>Chem!B160</f>
        <v>sec-Butylbenzene</v>
      </c>
      <c r="C160" s="384" t="str">
        <f>'AR-Eq'!E160</f>
        <v>na</v>
      </c>
      <c r="D160" s="343" t="str">
        <f>'AR-Eq'!F160</f>
        <v>na</v>
      </c>
      <c r="E160" s="1300" t="str">
        <f>Param!AF160</f>
        <v>no</v>
      </c>
      <c r="F160" s="573" t="str">
        <f t="shared" si="43"/>
        <v>na</v>
      </c>
      <c r="G160" s="574" t="str">
        <f>IF(OR(F160="na",E160="no"),"na",F160/Eqtn!$D$387)</f>
        <v>na</v>
      </c>
      <c r="H160" s="306" t="str">
        <f>'AR-Eq'!G160</f>
        <v>na</v>
      </c>
      <c r="I160" s="306" t="str">
        <f>'AR-Eq'!H160</f>
        <v>na</v>
      </c>
      <c r="J160" s="693" t="str">
        <f t="shared" si="44"/>
        <v>na</v>
      </c>
      <c r="K160" s="699" t="str">
        <f>IF(OR(J160="na",E160="no"),"na",J160/Eqtn!$D$387)</f>
        <v>na</v>
      </c>
      <c r="L160" s="1496" t="str">
        <f>'AR-Eq'!I160</f>
        <v>na</v>
      </c>
      <c r="M160" s="699" t="str">
        <f>'AR-Eq'!J160</f>
        <v>na</v>
      </c>
      <c r="N160" s="699" t="str">
        <f t="shared" si="45"/>
        <v>na</v>
      </c>
      <c r="O160" s="1529" t="str">
        <f>IF(OR(N160="na",$E160="no"),"na",N160/Eqtn!$D$387)</f>
        <v>na</v>
      </c>
      <c r="P160" s="1529" t="s">
        <v>232</v>
      </c>
      <c r="Q160" s="760" t="s">
        <v>232</v>
      </c>
      <c r="S160" s="1062"/>
    </row>
    <row r="161" spans="1:19" ht="13.9" customHeight="1" x14ac:dyDescent="0.25">
      <c r="A161" s="846">
        <f>Chem!A161</f>
        <v>159</v>
      </c>
      <c r="B161" s="937" t="str">
        <f>Chem!B161</f>
        <v>tert-Butylbenzene</v>
      </c>
      <c r="C161" s="384" t="str">
        <f>'AR-Eq'!E161</f>
        <v>na</v>
      </c>
      <c r="D161" s="343" t="str">
        <f>'AR-Eq'!F161</f>
        <v>na</v>
      </c>
      <c r="E161" s="1300" t="str">
        <f>Param!AF161</f>
        <v>no</v>
      </c>
      <c r="F161" s="573" t="str">
        <f t="shared" si="43"/>
        <v>na</v>
      </c>
      <c r="G161" s="574" t="str">
        <f>IF(OR(F161="na",E161="no"),"na",F161/Eqtn!$D$387)</f>
        <v>na</v>
      </c>
      <c r="H161" s="306" t="str">
        <f>'AR-Eq'!G161</f>
        <v>na</v>
      </c>
      <c r="I161" s="306" t="str">
        <f>'AR-Eq'!H161</f>
        <v>na</v>
      </c>
      <c r="J161" s="693" t="str">
        <f t="shared" si="44"/>
        <v>na</v>
      </c>
      <c r="K161" s="699" t="str">
        <f>IF(OR(J161="na",E161="no"),"na",J161/Eqtn!$D$387)</f>
        <v>na</v>
      </c>
      <c r="L161" s="1496" t="str">
        <f>'AR-Eq'!I161</f>
        <v>na</v>
      </c>
      <c r="M161" s="699" t="str">
        <f>'AR-Eq'!J161</f>
        <v>na</v>
      </c>
      <c r="N161" s="699" t="str">
        <f t="shared" si="45"/>
        <v>na</v>
      </c>
      <c r="O161" s="1529" t="str">
        <f>IF(OR(N161="na",$E161="no"),"na",N161/Eqtn!$D$387)</f>
        <v>na</v>
      </c>
      <c r="P161" s="1529" t="s">
        <v>232</v>
      </c>
      <c r="Q161" s="760" t="s">
        <v>232</v>
      </c>
      <c r="S161" s="1062"/>
    </row>
    <row r="162" spans="1:19" ht="13.9" customHeight="1" x14ac:dyDescent="0.25">
      <c r="A162" s="846">
        <f>Chem!A162</f>
        <v>160</v>
      </c>
      <c r="B162" s="937" t="str">
        <f>Chem!B162</f>
        <v>Carbon disulfide</v>
      </c>
      <c r="C162" s="384">
        <f>'AR-Eq'!E162</f>
        <v>320.00000000000006</v>
      </c>
      <c r="D162" s="343" t="str">
        <f>'AR-Eq'!F162</f>
        <v>na</v>
      </c>
      <c r="E162" s="1300" t="str">
        <f>Param!AF162</f>
        <v>YES</v>
      </c>
      <c r="F162" s="573">
        <f t="shared" si="43"/>
        <v>320.00000000000006</v>
      </c>
      <c r="G162" s="574">
        <f>IF(OR(F162="na",E162="no"),"na",F162/Eqtn!$D$387)</f>
        <v>10666.66666666667</v>
      </c>
      <c r="H162" s="306">
        <f>'AR-Eq'!G162</f>
        <v>700.00000000000011</v>
      </c>
      <c r="I162" s="306" t="str">
        <f>'AR-Eq'!H162</f>
        <v>na</v>
      </c>
      <c r="J162" s="693">
        <f t="shared" si="44"/>
        <v>700.00000000000011</v>
      </c>
      <c r="K162" s="699">
        <f>IF(OR(J162="na",E162="no"),"na",J162/Eqtn!$D$387)</f>
        <v>23333.333333333339</v>
      </c>
      <c r="L162" s="1496">
        <f>'AR-Eq'!I162</f>
        <v>2725.3333333333335</v>
      </c>
      <c r="M162" s="699" t="str">
        <f>'AR-Eq'!J162</f>
        <v>na</v>
      </c>
      <c r="N162" s="699">
        <f t="shared" si="45"/>
        <v>2725.3333333333335</v>
      </c>
      <c r="O162" s="1529">
        <f>IF(OR(N162="na",$E162="no"),"na",N162/Eqtn!$D$387)</f>
        <v>90844.444444444453</v>
      </c>
      <c r="P162" s="1529" t="s">
        <v>232</v>
      </c>
      <c r="Q162" s="760" t="s">
        <v>232</v>
      </c>
      <c r="S162" s="1062"/>
    </row>
    <row r="163" spans="1:19" ht="13.9" customHeight="1" x14ac:dyDescent="0.25">
      <c r="A163" s="846">
        <f>Chem!A163</f>
        <v>161</v>
      </c>
      <c r="B163" s="937" t="str">
        <f>Chem!B163</f>
        <v>Carbon tetrachloride</v>
      </c>
      <c r="C163" s="384">
        <f>'AR-Eq'!E163</f>
        <v>45.714285714285708</v>
      </c>
      <c r="D163" s="343">
        <f>'AR-Eq'!F163</f>
        <v>0.41666666666666652</v>
      </c>
      <c r="E163" s="1300" t="str">
        <f>Param!AF163</f>
        <v>YES</v>
      </c>
      <c r="F163" s="575">
        <f t="shared" si="43"/>
        <v>0.41666666666666652</v>
      </c>
      <c r="G163" s="574">
        <f>IF(OR(F163="na",E163="no"),"na",F163/Eqtn!$D$387)</f>
        <v>13.888888888888884</v>
      </c>
      <c r="H163" s="17">
        <f>'AR-Eq'!G163</f>
        <v>99.999999999999986</v>
      </c>
      <c r="I163" s="17">
        <f>'AR-Eq'!H163</f>
        <v>4.1666666666666661</v>
      </c>
      <c r="J163" s="694">
        <f t="shared" si="44"/>
        <v>4.1666666666666661</v>
      </c>
      <c r="K163" s="699">
        <f>IF(OR(J163="na",E163="no"),"na",J163/Eqtn!$D$387)</f>
        <v>138.88888888888889</v>
      </c>
      <c r="L163" s="1496">
        <f>'AR-Eq'!I163</f>
        <v>389.3333333333332</v>
      </c>
      <c r="M163" s="699">
        <f>'AR-Eq'!J163</f>
        <v>1.9466666666666657</v>
      </c>
      <c r="N163" s="699">
        <f t="shared" si="45"/>
        <v>1.9466666666666657</v>
      </c>
      <c r="O163" s="1529">
        <f>IF(OR(N163="na",$E163="no"),"na",N163/Eqtn!$D$387)</f>
        <v>64.888888888888857</v>
      </c>
      <c r="P163" s="1529" t="s">
        <v>232</v>
      </c>
      <c r="Q163" s="760" t="s">
        <v>232</v>
      </c>
      <c r="S163" s="1062"/>
    </row>
    <row r="164" spans="1:19" ht="13.9" customHeight="1" x14ac:dyDescent="0.25">
      <c r="A164" s="846">
        <f>Chem!A164</f>
        <v>162</v>
      </c>
      <c r="B164" s="937" t="str">
        <f>Chem!B164</f>
        <v>Chlorobenzene</v>
      </c>
      <c r="C164" s="384">
        <f>'AR-Eq'!E164</f>
        <v>22.857142857142854</v>
      </c>
      <c r="D164" s="343" t="str">
        <f>'AR-Eq'!F164</f>
        <v>na</v>
      </c>
      <c r="E164" s="1300" t="str">
        <f>Param!AF164</f>
        <v>YES</v>
      </c>
      <c r="F164" s="573">
        <f t="shared" si="43"/>
        <v>22.857142857142854</v>
      </c>
      <c r="G164" s="574">
        <f>IF(OR(F164="na",E164="no"),"na",F164/Eqtn!$D$387)</f>
        <v>761.90476190476181</v>
      </c>
      <c r="H164" s="306">
        <f>'AR-Eq'!G164</f>
        <v>49.999999999999993</v>
      </c>
      <c r="I164" s="306" t="str">
        <f>'AR-Eq'!H164</f>
        <v>na</v>
      </c>
      <c r="J164" s="693">
        <f t="shared" si="44"/>
        <v>49.999999999999993</v>
      </c>
      <c r="K164" s="699">
        <f>IF(OR(J164="na",E164="no"),"na",J164/Eqtn!$D$387)</f>
        <v>1666.6666666666665</v>
      </c>
      <c r="L164" s="1496">
        <f>'AR-Eq'!I164</f>
        <v>194.6666666666666</v>
      </c>
      <c r="M164" s="699" t="str">
        <f>'AR-Eq'!J164</f>
        <v>na</v>
      </c>
      <c r="N164" s="699">
        <f t="shared" si="45"/>
        <v>194.6666666666666</v>
      </c>
      <c r="O164" s="1529">
        <f>IF(OR(N164="na",$E164="no"),"na",N164/Eqtn!$D$387)</f>
        <v>6488.8888888888869</v>
      </c>
      <c r="P164" s="1529" t="s">
        <v>232</v>
      </c>
      <c r="Q164" s="760" t="s">
        <v>232</v>
      </c>
      <c r="S164" s="1062"/>
    </row>
    <row r="165" spans="1:19" ht="13.9" customHeight="1" x14ac:dyDescent="0.25">
      <c r="A165" s="846">
        <f>Chem!A165</f>
        <v>163</v>
      </c>
      <c r="B165" s="937" t="str">
        <f>Chem!B165</f>
        <v>Chloroethane</v>
      </c>
      <c r="C165" s="384">
        <f>'AR-Eq'!E165</f>
        <v>4571.4285714285716</v>
      </c>
      <c r="D165" s="343" t="str">
        <f>'AR-Eq'!F165</f>
        <v>na</v>
      </c>
      <c r="E165" s="1300" t="str">
        <f>Param!AF165</f>
        <v>YES</v>
      </c>
      <c r="F165" s="573">
        <f t="shared" si="43"/>
        <v>4571.4285714285716</v>
      </c>
      <c r="G165" s="574">
        <f>IF(OR(F165="na",E165="no"),"na",F165/Eqtn!$D$387)</f>
        <v>152380.9523809524</v>
      </c>
      <c r="H165" s="306">
        <f>'AR-Eq'!G165</f>
        <v>10000</v>
      </c>
      <c r="I165" s="306" t="str">
        <f>'AR-Eq'!H165</f>
        <v>na</v>
      </c>
      <c r="J165" s="693">
        <f t="shared" si="44"/>
        <v>10000</v>
      </c>
      <c r="K165" s="699">
        <f>IF(OR(J165="na",E165="no"),"na",J165/Eqtn!$D$387)</f>
        <v>333333.33333333337</v>
      </c>
      <c r="L165" s="1496">
        <f>'AR-Eq'!I165</f>
        <v>38933.333333333328</v>
      </c>
      <c r="M165" s="699" t="str">
        <f>'AR-Eq'!J165</f>
        <v>na</v>
      </c>
      <c r="N165" s="699">
        <f t="shared" si="45"/>
        <v>38933.333333333328</v>
      </c>
      <c r="O165" s="1529">
        <f>IF(OR(N165="na",$E165="no"),"na",N165/Eqtn!$D$387)</f>
        <v>1297777.7777777778</v>
      </c>
      <c r="P165" s="1529" t="s">
        <v>232</v>
      </c>
      <c r="Q165" s="760" t="s">
        <v>232</v>
      </c>
      <c r="S165" s="1062"/>
    </row>
    <row r="166" spans="1:19" ht="13.9" customHeight="1" x14ac:dyDescent="0.25">
      <c r="A166" s="846">
        <f>Chem!A166</f>
        <v>164</v>
      </c>
      <c r="B166" s="937" t="str">
        <f>Chem!B166</f>
        <v>2-Chloroethyl vinyl ether</v>
      </c>
      <c r="C166" s="384" t="str">
        <f>'AR-Eq'!E166</f>
        <v>na</v>
      </c>
      <c r="D166" s="343" t="str">
        <f>'AR-Eq'!F166</f>
        <v>na</v>
      </c>
      <c r="E166" s="1300" t="str">
        <f>Param!AF166</f>
        <v>no</v>
      </c>
      <c r="F166" s="573" t="str">
        <f t="shared" si="43"/>
        <v>na</v>
      </c>
      <c r="G166" s="574" t="str">
        <f>IF(OR(F166="na",E166="no"),"na",F166/Eqtn!$D$387)</f>
        <v>na</v>
      </c>
      <c r="H166" s="306" t="str">
        <f>'AR-Eq'!G166</f>
        <v>na</v>
      </c>
      <c r="I166" s="306" t="str">
        <f>'AR-Eq'!H166</f>
        <v>na</v>
      </c>
      <c r="J166" s="693" t="str">
        <f t="shared" si="44"/>
        <v>na</v>
      </c>
      <c r="K166" s="699" t="str">
        <f>IF(OR(J166="na",E166="no"),"na",J166/Eqtn!$D$387)</f>
        <v>na</v>
      </c>
      <c r="L166" s="1496" t="str">
        <f>'AR-Eq'!I166</f>
        <v>na</v>
      </c>
      <c r="M166" s="699" t="str">
        <f>'AR-Eq'!J166</f>
        <v>na</v>
      </c>
      <c r="N166" s="699" t="str">
        <f t="shared" si="45"/>
        <v>na</v>
      </c>
      <c r="O166" s="1529" t="str">
        <f>IF(OR(N166="na",$E166="no"),"na",N166/Eqtn!$D$387)</f>
        <v>na</v>
      </c>
      <c r="P166" s="1529" t="s">
        <v>232</v>
      </c>
      <c r="Q166" s="760" t="s">
        <v>232</v>
      </c>
      <c r="S166" s="1062"/>
    </row>
    <row r="167" spans="1:19" ht="13.9" customHeight="1" x14ac:dyDescent="0.25">
      <c r="A167" s="846">
        <f>Chem!A167</f>
        <v>165</v>
      </c>
      <c r="B167" s="937" t="str">
        <f>Chem!B167</f>
        <v>Chloroform</v>
      </c>
      <c r="C167" s="384">
        <f>'AR-Eq'!E167</f>
        <v>0.91428571428571437</v>
      </c>
      <c r="D167" s="343">
        <f>'AR-Eq'!F167</f>
        <v>0.10869565217391301</v>
      </c>
      <c r="E167" s="1300" t="str">
        <f>Param!AF167</f>
        <v>YES</v>
      </c>
      <c r="F167" s="575">
        <f t="shared" si="43"/>
        <v>0.10869565217391301</v>
      </c>
      <c r="G167" s="574">
        <f>IF(OR(F167="na",E167="no"),"na",F167/Eqtn!$D$387)</f>
        <v>3.6231884057971007</v>
      </c>
      <c r="H167" s="17">
        <f>'AR-Eq'!G167</f>
        <v>2</v>
      </c>
      <c r="I167" s="17">
        <f>'AR-Eq'!H167</f>
        <v>1.0869565217391304</v>
      </c>
      <c r="J167" s="694">
        <f t="shared" si="44"/>
        <v>1.0869565217391304</v>
      </c>
      <c r="K167" s="699">
        <f>IF(OR(J167="na",E167="no"),"na",J167/Eqtn!$D$387)</f>
        <v>36.231884057971016</v>
      </c>
      <c r="L167" s="1496">
        <f>'AR-Eq'!I167</f>
        <v>7.7866666666666662</v>
      </c>
      <c r="M167" s="699">
        <f>'AR-Eq'!J167</f>
        <v>0.50782608695652143</v>
      </c>
      <c r="N167" s="699">
        <f t="shared" si="45"/>
        <v>0.50782608695652143</v>
      </c>
      <c r="O167" s="1529">
        <f>IF(OR(N167="na",$E167="no"),"na",N167/Eqtn!$D$387)</f>
        <v>16.927536231884048</v>
      </c>
      <c r="P167" s="1529" t="s">
        <v>232</v>
      </c>
      <c r="Q167" s="760" t="s">
        <v>232</v>
      </c>
      <c r="S167" s="1062"/>
    </row>
    <row r="168" spans="1:19" ht="13.9" customHeight="1" x14ac:dyDescent="0.25">
      <c r="A168" s="846">
        <f>Chem!A168</f>
        <v>166</v>
      </c>
      <c r="B168" s="937" t="str">
        <f>Chem!B168</f>
        <v>Chloromethane</v>
      </c>
      <c r="C168" s="384">
        <f>'AR-Eq'!E168</f>
        <v>41.142857142857132</v>
      </c>
      <c r="D168" s="343" t="str">
        <f>'AR-Eq'!F168</f>
        <v>na</v>
      </c>
      <c r="E168" s="1300" t="str">
        <f>Param!AF168</f>
        <v>YES</v>
      </c>
      <c r="F168" s="573">
        <f t="shared" si="43"/>
        <v>41.142857142857132</v>
      </c>
      <c r="G168" s="574">
        <f>IF(OR(F168="na",E168="no"),"na",F168/Eqtn!$D$387)</f>
        <v>1371.4285714285711</v>
      </c>
      <c r="H168" s="306">
        <f>'AR-Eq'!G168</f>
        <v>89.999999999999972</v>
      </c>
      <c r="I168" s="306" t="str">
        <f>'AR-Eq'!H168</f>
        <v>na</v>
      </c>
      <c r="J168" s="693">
        <f t="shared" si="44"/>
        <v>89.999999999999972</v>
      </c>
      <c r="K168" s="699">
        <f>IF(OR(J168="na",E168="no"),"na",J168/Eqtn!$D$387)</f>
        <v>2999.9999999999991</v>
      </c>
      <c r="L168" s="1496">
        <f>'AR-Eq'!I168</f>
        <v>350.39999999999986</v>
      </c>
      <c r="M168" s="699" t="str">
        <f>'AR-Eq'!J168</f>
        <v>na</v>
      </c>
      <c r="N168" s="699">
        <f t="shared" si="45"/>
        <v>350.39999999999986</v>
      </c>
      <c r="O168" s="1529">
        <f>IF(OR(N168="na",$E168="no"),"na",N168/Eqtn!$D$387)</f>
        <v>11679.999999999996</v>
      </c>
      <c r="P168" s="1529" t="s">
        <v>232</v>
      </c>
      <c r="Q168" s="760" t="s">
        <v>232</v>
      </c>
      <c r="S168" s="1062"/>
    </row>
    <row r="169" spans="1:19" ht="13.9" customHeight="1" x14ac:dyDescent="0.25">
      <c r="A169" s="846">
        <f>Chem!A169</f>
        <v>167</v>
      </c>
      <c r="B169" s="937" t="str">
        <f>Chem!B169</f>
        <v>3-Chloro-1-propene (allyl chloride)</v>
      </c>
      <c r="C169" s="384">
        <f>'AR-Eq'!E169</f>
        <v>0.45714285714285718</v>
      </c>
      <c r="D169" s="343">
        <f>'AR-Eq'!F169</f>
        <v>0.41666666666666652</v>
      </c>
      <c r="E169" s="1300" t="str">
        <f>Param!AF169</f>
        <v>YES</v>
      </c>
      <c r="F169" s="576">
        <f t="shared" si="43"/>
        <v>0.41666666666666652</v>
      </c>
      <c r="G169" s="574">
        <f>IF(OR(F169="na",E169="no"),"na",F169/Eqtn!$D$387)</f>
        <v>13.888888888888884</v>
      </c>
      <c r="H169" s="307">
        <f>'AR-Eq'!G169</f>
        <v>1</v>
      </c>
      <c r="I169" s="307">
        <f>'AR-Eq'!H169</f>
        <v>4.1666666666666661</v>
      </c>
      <c r="J169" s="696">
        <f t="shared" si="44"/>
        <v>1</v>
      </c>
      <c r="K169" s="699">
        <f>IF(OR(J169="na",E169="no"),"na",J169/Eqtn!$D$387)</f>
        <v>33.333333333333336</v>
      </c>
      <c r="L169" s="1496">
        <f>'AR-Eq'!I169</f>
        <v>3.8933333333333331</v>
      </c>
      <c r="M169" s="699">
        <f>'AR-Eq'!J169</f>
        <v>1.9466666666666657</v>
      </c>
      <c r="N169" s="699">
        <f t="shared" si="45"/>
        <v>1.9466666666666657</v>
      </c>
      <c r="O169" s="1529">
        <f>IF(OR(N169="na",$E169="no"),"na",N169/Eqtn!$D$387)</f>
        <v>64.888888888888857</v>
      </c>
      <c r="P169" s="1529" t="s">
        <v>232</v>
      </c>
      <c r="Q169" s="760" t="s">
        <v>232</v>
      </c>
      <c r="S169" s="1062"/>
    </row>
    <row r="170" spans="1:19" ht="13.9" customHeight="1" x14ac:dyDescent="0.25">
      <c r="A170" s="846">
        <f>Chem!A170</f>
        <v>168</v>
      </c>
      <c r="B170" s="937" t="str">
        <f>Chem!B170</f>
        <v>2-Chlorotoluene</v>
      </c>
      <c r="C170" s="384" t="str">
        <f>'AR-Eq'!E170</f>
        <v>na</v>
      </c>
      <c r="D170" s="343" t="str">
        <f>'AR-Eq'!F170</f>
        <v>na</v>
      </c>
      <c r="E170" s="1300" t="str">
        <f>Param!AF170</f>
        <v>no</v>
      </c>
      <c r="F170" s="573" t="str">
        <f t="shared" si="43"/>
        <v>na</v>
      </c>
      <c r="G170" s="574" t="str">
        <f>IF(OR(F170="na",E170="no"),"na",F170/Eqtn!$D$387)</f>
        <v>na</v>
      </c>
      <c r="H170" s="306" t="str">
        <f>'AR-Eq'!G170</f>
        <v>na</v>
      </c>
      <c r="I170" s="306" t="str">
        <f>'AR-Eq'!H170</f>
        <v>na</v>
      </c>
      <c r="J170" s="693" t="str">
        <f t="shared" si="44"/>
        <v>na</v>
      </c>
      <c r="K170" s="699" t="str">
        <f>IF(OR(J170="na",E170="no"),"na",J170/Eqtn!$D$387)</f>
        <v>na</v>
      </c>
      <c r="L170" s="1496" t="str">
        <f>'AR-Eq'!I170</f>
        <v>na</v>
      </c>
      <c r="M170" s="699" t="str">
        <f>'AR-Eq'!J170</f>
        <v>na</v>
      </c>
      <c r="N170" s="699" t="str">
        <f t="shared" si="45"/>
        <v>na</v>
      </c>
      <c r="O170" s="1529" t="str">
        <f>IF(OR(N170="na",$E170="no"),"na",N170/Eqtn!$D$387)</f>
        <v>na</v>
      </c>
      <c r="P170" s="1529" t="s">
        <v>232</v>
      </c>
      <c r="Q170" s="760" t="s">
        <v>232</v>
      </c>
      <c r="S170" s="1062"/>
    </row>
    <row r="171" spans="1:19" ht="13.9" customHeight="1" x14ac:dyDescent="0.25">
      <c r="A171" s="846">
        <f>Chem!A171</f>
        <v>169</v>
      </c>
      <c r="B171" s="937" t="str">
        <f>Chem!B171</f>
        <v>4-Chlorotoluene</v>
      </c>
      <c r="C171" s="384" t="str">
        <f>'AR-Eq'!E171</f>
        <v>na</v>
      </c>
      <c r="D171" s="343" t="str">
        <f>'AR-Eq'!F171</f>
        <v>na</v>
      </c>
      <c r="E171" s="1300" t="str">
        <f>Param!AF171</f>
        <v>no</v>
      </c>
      <c r="F171" s="573" t="str">
        <f t="shared" si="43"/>
        <v>na</v>
      </c>
      <c r="G171" s="574" t="str">
        <f>IF(OR(F171="na",E171="no"),"na",F171/Eqtn!$D$387)</f>
        <v>na</v>
      </c>
      <c r="H171" s="306" t="str">
        <f>'AR-Eq'!G171</f>
        <v>na</v>
      </c>
      <c r="I171" s="306" t="str">
        <f>'AR-Eq'!H171</f>
        <v>na</v>
      </c>
      <c r="J171" s="693" t="str">
        <f t="shared" si="44"/>
        <v>na</v>
      </c>
      <c r="K171" s="699" t="str">
        <f>IF(OR(J171="na",E171="no"),"na",J171/Eqtn!$D$387)</f>
        <v>na</v>
      </c>
      <c r="L171" s="1496" t="str">
        <f>'AR-Eq'!I171</f>
        <v>na</v>
      </c>
      <c r="M171" s="699" t="str">
        <f>'AR-Eq'!J171</f>
        <v>na</v>
      </c>
      <c r="N171" s="699" t="str">
        <f t="shared" si="45"/>
        <v>na</v>
      </c>
      <c r="O171" s="1529" t="str">
        <f>IF(OR(N171="na",$E171="no"),"na",N171/Eqtn!$D$387)</f>
        <v>na</v>
      </c>
      <c r="P171" s="1529" t="s">
        <v>232</v>
      </c>
      <c r="Q171" s="760" t="s">
        <v>232</v>
      </c>
      <c r="S171" s="1062"/>
    </row>
    <row r="172" spans="1:19" ht="13.9" customHeight="1" x14ac:dyDescent="0.25">
      <c r="A172" s="846">
        <f>Chem!A172</f>
        <v>170</v>
      </c>
      <c r="B172" s="937" t="str">
        <f>Chem!B172</f>
        <v>Dibromochloromethane</v>
      </c>
      <c r="C172" s="384" t="str">
        <f>'AR-Eq'!E172</f>
        <v>na</v>
      </c>
      <c r="D172" s="343" t="str">
        <f>'AR-Eq'!F172</f>
        <v>na</v>
      </c>
      <c r="E172" s="1300" t="str">
        <f>Param!AF172</f>
        <v>no</v>
      </c>
      <c r="F172" s="573" t="str">
        <f t="shared" si="43"/>
        <v>na</v>
      </c>
      <c r="G172" s="574" t="str">
        <f>IF(OR(F172="na",E172="no"),"na",F172/Eqtn!$D$387)</f>
        <v>na</v>
      </c>
      <c r="H172" s="306" t="str">
        <f>'AR-Eq'!G172</f>
        <v>na</v>
      </c>
      <c r="I172" s="306" t="str">
        <f>'AR-Eq'!H172</f>
        <v>na</v>
      </c>
      <c r="J172" s="693" t="str">
        <f t="shared" si="44"/>
        <v>na</v>
      </c>
      <c r="K172" s="699" t="str">
        <f>IF(OR(J172="na",E172="no"),"na",J172/Eqtn!$D$387)</f>
        <v>na</v>
      </c>
      <c r="L172" s="1496" t="str">
        <f>'AR-Eq'!I172</f>
        <v>na</v>
      </c>
      <c r="M172" s="699" t="str">
        <f>'AR-Eq'!J172</f>
        <v>na</v>
      </c>
      <c r="N172" s="699" t="str">
        <f t="shared" si="45"/>
        <v>na</v>
      </c>
      <c r="O172" s="1529" t="str">
        <f>IF(OR(N172="na",$E172="no"),"na",N172/Eqtn!$D$387)</f>
        <v>na</v>
      </c>
      <c r="P172" s="1529" t="s">
        <v>232</v>
      </c>
      <c r="Q172" s="760" t="s">
        <v>232</v>
      </c>
      <c r="S172" s="1062"/>
    </row>
    <row r="173" spans="1:19" ht="13.9" customHeight="1" x14ac:dyDescent="0.25">
      <c r="A173" s="846">
        <f>Chem!A173</f>
        <v>171</v>
      </c>
      <c r="B173" s="937" t="str">
        <f>Chem!B173</f>
        <v>1,2-Dibromo-3-chloropropane</v>
      </c>
      <c r="C173" s="384">
        <f>'AR-Eq'!E173</f>
        <v>9.1428571428571428E-2</v>
      </c>
      <c r="D173" s="343">
        <f>'AR-Eq'!F173</f>
        <v>1.1E-4</v>
      </c>
      <c r="E173" s="1300" t="str">
        <f>Param!AF173</f>
        <v>YES</v>
      </c>
      <c r="F173" s="575">
        <f t="shared" si="43"/>
        <v>1.1E-4</v>
      </c>
      <c r="G173" s="574">
        <f>IF(OR(F173="na",E173="no"),"na",F173/Eqtn!$D$387)</f>
        <v>3.666666666666667E-3</v>
      </c>
      <c r="H173" s="17">
        <f>'AR-Eq'!G173</f>
        <v>0.19999999999999998</v>
      </c>
      <c r="I173" s="17">
        <f>'AR-Eq'!H173</f>
        <v>4.1666666666666675E-3</v>
      </c>
      <c r="J173" s="694">
        <f t="shared" si="44"/>
        <v>4.1666666666666675E-3</v>
      </c>
      <c r="K173" s="699">
        <f>IF(OR(J173="na",E173="no"),"na",J173/Eqtn!$D$387)</f>
        <v>0.13888888888888892</v>
      </c>
      <c r="L173" s="1496">
        <f>'AR-Eq'!I173</f>
        <v>0.77866666666666651</v>
      </c>
      <c r="M173" s="699">
        <f>'AR-Eq'!J173</f>
        <v>1.946666666666666E-3</v>
      </c>
      <c r="N173" s="699">
        <f t="shared" si="45"/>
        <v>1.946666666666666E-3</v>
      </c>
      <c r="O173" s="1529">
        <f>IF(OR(N173="na",$E173="no"),"na",N173/Eqtn!$D$387)</f>
        <v>6.4888888888888871E-2</v>
      </c>
      <c r="P173" s="1529" t="s">
        <v>232</v>
      </c>
      <c r="Q173" s="760" t="s">
        <v>232</v>
      </c>
      <c r="S173" s="1062"/>
    </row>
    <row r="174" spans="1:19" ht="13.9" customHeight="1" x14ac:dyDescent="0.25">
      <c r="A174" s="846">
        <f>Chem!A174</f>
        <v>172</v>
      </c>
      <c r="B174" s="937" t="str">
        <f>Chem!B174</f>
        <v>Dibromomethane</v>
      </c>
      <c r="C174" s="384">
        <f>'AR-Eq'!E174</f>
        <v>1.8285714285714287</v>
      </c>
      <c r="D174" s="343" t="str">
        <f>'AR-Eq'!F174</f>
        <v>na</v>
      </c>
      <c r="E174" s="1300" t="str">
        <f>Param!AF174</f>
        <v>YES</v>
      </c>
      <c r="F174" s="573">
        <f t="shared" si="43"/>
        <v>1.8285714285714287</v>
      </c>
      <c r="G174" s="574">
        <f>IF(OR(F174="na",E174="no"),"na",F174/Eqtn!$D$387)</f>
        <v>60.952380952380963</v>
      </c>
      <c r="H174" s="306">
        <f>'AR-Eq'!G174</f>
        <v>4</v>
      </c>
      <c r="I174" s="306" t="str">
        <f>'AR-Eq'!H174</f>
        <v>na</v>
      </c>
      <c r="J174" s="693">
        <f t="shared" si="44"/>
        <v>4</v>
      </c>
      <c r="K174" s="699">
        <f>IF(OR(J174="na",E174="no"),"na",J174/Eqtn!$D$387)</f>
        <v>133.33333333333334</v>
      </c>
      <c r="L174" s="1496">
        <f>'AR-Eq'!I174</f>
        <v>15.573333333333332</v>
      </c>
      <c r="M174" s="699" t="str">
        <f>'AR-Eq'!J174</f>
        <v>na</v>
      </c>
      <c r="N174" s="699">
        <f t="shared" si="45"/>
        <v>15.573333333333332</v>
      </c>
      <c r="O174" s="1529">
        <f>IF(OR(N174="na",$E174="no"),"na",N174/Eqtn!$D$387)</f>
        <v>519.11111111111109</v>
      </c>
      <c r="P174" s="1529" t="s">
        <v>232</v>
      </c>
      <c r="Q174" s="760" t="s">
        <v>232</v>
      </c>
      <c r="S174" s="1062"/>
    </row>
    <row r="175" spans="1:19" ht="13.9" customHeight="1" x14ac:dyDescent="0.25">
      <c r="A175" s="846">
        <f>Chem!A175</f>
        <v>173</v>
      </c>
      <c r="B175" s="937" t="str">
        <f>Chem!B175</f>
        <v>Dichlorobromomethane</v>
      </c>
      <c r="C175" s="384" t="str">
        <f>'AR-Eq'!E175</f>
        <v>na</v>
      </c>
      <c r="D175" s="343">
        <f>'AR-Eq'!F175</f>
        <v>6.7567567567567557E-2</v>
      </c>
      <c r="E175" s="1300" t="str">
        <f>Param!AF175</f>
        <v>YES</v>
      </c>
      <c r="F175" s="573">
        <f t="shared" si="43"/>
        <v>6.7567567567567557E-2</v>
      </c>
      <c r="G175" s="574">
        <f>IF(OR(F175="na",E175="no"),"na",F175/Eqtn!$D$387)</f>
        <v>2.2522522522522519</v>
      </c>
      <c r="H175" s="306" t="str">
        <f>'AR-Eq'!G175</f>
        <v>na</v>
      </c>
      <c r="I175" s="306">
        <f>'AR-Eq'!H175</f>
        <v>0.67567567567567577</v>
      </c>
      <c r="J175" s="693">
        <f t="shared" si="44"/>
        <v>0.67567567567567577</v>
      </c>
      <c r="K175" s="699">
        <f>IF(OR(J175="na",E175="no"),"na",J175/Eqtn!$D$387)</f>
        <v>22.522522522522525</v>
      </c>
      <c r="L175" s="1496" t="str">
        <f>'AR-Eq'!I175</f>
        <v>na</v>
      </c>
      <c r="M175" s="699">
        <f>'AR-Eq'!J175</f>
        <v>0.31567567567567556</v>
      </c>
      <c r="N175" s="699">
        <f t="shared" si="45"/>
        <v>0.31567567567567556</v>
      </c>
      <c r="O175" s="1529">
        <f>IF(OR(N175="na",$E175="no"),"na",N175/Eqtn!$D$387)</f>
        <v>10.52252252252252</v>
      </c>
      <c r="P175" s="1529" t="s">
        <v>232</v>
      </c>
      <c r="Q175" s="760" t="s">
        <v>232</v>
      </c>
      <c r="S175" s="1062"/>
    </row>
    <row r="176" spans="1:19" ht="13.9" customHeight="1" x14ac:dyDescent="0.25">
      <c r="A176" s="846">
        <f>Chem!A176</f>
        <v>174</v>
      </c>
      <c r="B176" s="937" t="str">
        <f>Chem!B176</f>
        <v>trans-1,4-Dichloro-2-butene</v>
      </c>
      <c r="C176" s="384" t="str">
        <f>'AR-Eq'!E176</f>
        <v>na</v>
      </c>
      <c r="D176" s="343">
        <f>'AR-Eq'!F176</f>
        <v>5.9523809523809518E-4</v>
      </c>
      <c r="E176" s="1300" t="str">
        <f>Param!AF176</f>
        <v>no</v>
      </c>
      <c r="F176" s="573">
        <f t="shared" si="43"/>
        <v>5.9523809523809518E-4</v>
      </c>
      <c r="G176" s="574" t="str">
        <f>IF(OR(F176="na",E176="no"),"na",F176/Eqtn!$D$387)</f>
        <v>na</v>
      </c>
      <c r="H176" s="306" t="str">
        <f>'AR-Eq'!G176</f>
        <v>na</v>
      </c>
      <c r="I176" s="306">
        <f>'AR-Eq'!H176</f>
        <v>5.9523809523809529E-3</v>
      </c>
      <c r="J176" s="693">
        <f t="shared" si="44"/>
        <v>5.9523809523809529E-3</v>
      </c>
      <c r="K176" s="699" t="str">
        <f>IF(OR(J176="na",E176="no"),"na",J176/Eqtn!$D$387)</f>
        <v>na</v>
      </c>
      <c r="L176" s="1496" t="str">
        <f>'AR-Eq'!I176</f>
        <v>na</v>
      </c>
      <c r="M176" s="699">
        <f>'AR-Eq'!J176</f>
        <v>2.78095238095238E-3</v>
      </c>
      <c r="N176" s="699">
        <f t="shared" si="45"/>
        <v>2.78095238095238E-3</v>
      </c>
      <c r="O176" s="1529" t="str">
        <f>IF(OR(N176="na",$E176="no"),"na",N176/Eqtn!$D$387)</f>
        <v>na</v>
      </c>
      <c r="P176" s="1529" t="s">
        <v>232</v>
      </c>
      <c r="Q176" s="760" t="s">
        <v>232</v>
      </c>
      <c r="S176" s="1062"/>
    </row>
    <row r="177" spans="1:19" ht="13.9" customHeight="1" x14ac:dyDescent="0.25">
      <c r="A177" s="846">
        <f>Chem!A177</f>
        <v>175</v>
      </c>
      <c r="B177" s="937" t="str">
        <f>Chem!B177</f>
        <v>Dichlorodifluoromethane</v>
      </c>
      <c r="C177" s="394">
        <f>'AR-Eq'!E177</f>
        <v>45.714285714285708</v>
      </c>
      <c r="D177" s="338" t="str">
        <f>'AR-Eq'!F177</f>
        <v>na</v>
      </c>
      <c r="E177" s="1303" t="str">
        <f>Param!AF177</f>
        <v>YES</v>
      </c>
      <c r="F177" s="573">
        <f t="shared" si="43"/>
        <v>45.714285714285708</v>
      </c>
      <c r="G177" s="574">
        <f>IF(OR(F177="na",E177="no"),"na",F177/Eqtn!$D$387)</f>
        <v>1523.8095238095236</v>
      </c>
      <c r="H177" s="306">
        <f>'AR-Eq'!G177</f>
        <v>99.999999999999986</v>
      </c>
      <c r="I177" s="306" t="str">
        <f>'AR-Eq'!H177</f>
        <v>na</v>
      </c>
      <c r="J177" s="693">
        <f t="shared" si="44"/>
        <v>99.999999999999986</v>
      </c>
      <c r="K177" s="699">
        <f>IF(OR(J177="na",E177="no"),"na",J177/Eqtn!$D$387)</f>
        <v>3333.333333333333</v>
      </c>
      <c r="L177" s="1496">
        <f>'AR-Eq'!I177</f>
        <v>389.3333333333332</v>
      </c>
      <c r="M177" s="699" t="str">
        <f>'AR-Eq'!J177</f>
        <v>na</v>
      </c>
      <c r="N177" s="699">
        <f t="shared" si="45"/>
        <v>389.3333333333332</v>
      </c>
      <c r="O177" s="1529">
        <f>IF(OR(N177="na",$E177="no"),"na",N177/Eqtn!$D$387)</f>
        <v>12977.777777777774</v>
      </c>
      <c r="P177" s="1529" t="s">
        <v>232</v>
      </c>
      <c r="Q177" s="760" t="s">
        <v>232</v>
      </c>
      <c r="S177" s="1062"/>
    </row>
    <row r="178" spans="1:19" ht="13.9" customHeight="1" x14ac:dyDescent="0.25">
      <c r="A178" s="846">
        <f>Chem!A178</f>
        <v>176</v>
      </c>
      <c r="B178" s="937" t="str">
        <f>Chem!B178</f>
        <v>1,1-Dichloroethane</v>
      </c>
      <c r="C178" s="384" t="str">
        <f>'AR-Eq'!E178</f>
        <v>na</v>
      </c>
      <c r="D178" s="343">
        <f>'AR-Eq'!F178</f>
        <v>1.5624999999999996</v>
      </c>
      <c r="E178" s="1300" t="str">
        <f>Param!AF178</f>
        <v>YES</v>
      </c>
      <c r="F178" s="573">
        <f t="shared" si="43"/>
        <v>1.5624999999999996</v>
      </c>
      <c r="G178" s="574">
        <f>IF(OR(F178="na",E178="no"),"na",F178/Eqtn!$D$387)</f>
        <v>52.083333333333321</v>
      </c>
      <c r="H178" s="306" t="str">
        <f>'AR-Eq'!G178</f>
        <v>na</v>
      </c>
      <c r="I178" s="306">
        <f>'AR-Eq'!H178</f>
        <v>15.625</v>
      </c>
      <c r="J178" s="693">
        <f t="shared" si="44"/>
        <v>15.625</v>
      </c>
      <c r="K178" s="699">
        <f>IF(OR(J178="na",E178="no"),"na",J178/Eqtn!$D$387)</f>
        <v>520.83333333333337</v>
      </c>
      <c r="L178" s="1496" t="str">
        <f>'AR-Eq'!I178</f>
        <v>na</v>
      </c>
      <c r="M178" s="699">
        <f>'AR-Eq'!J178</f>
        <v>7.2999999999999963</v>
      </c>
      <c r="N178" s="699">
        <f t="shared" si="45"/>
        <v>7.2999999999999963</v>
      </c>
      <c r="O178" s="1529">
        <f>IF(OR(N178="na",$E178="no"),"na",N178/Eqtn!$D$387)</f>
        <v>243.33333333333323</v>
      </c>
      <c r="P178" s="1529" t="s">
        <v>232</v>
      </c>
      <c r="Q178" s="760" t="s">
        <v>232</v>
      </c>
      <c r="S178" s="1062"/>
    </row>
    <row r="179" spans="1:19" ht="13.9" customHeight="1" x14ac:dyDescent="0.25">
      <c r="A179" s="846">
        <f>Chem!A179</f>
        <v>177</v>
      </c>
      <c r="B179" s="937" t="str">
        <f>Chem!B179</f>
        <v>1,2-Dichloroethane (EDC)</v>
      </c>
      <c r="C179" s="384">
        <f>'AR-Eq'!E179</f>
        <v>3.2</v>
      </c>
      <c r="D179" s="343">
        <f>'AR-Eq'!F179</f>
        <v>9.6153846153846131E-2</v>
      </c>
      <c r="E179" s="1300" t="str">
        <f>Param!AF179</f>
        <v>YES</v>
      </c>
      <c r="F179" s="575">
        <f t="shared" si="43"/>
        <v>9.6153846153846131E-2</v>
      </c>
      <c r="G179" s="574">
        <f>IF(OR(F179="na",E179="no"),"na",F179/Eqtn!$D$387)</f>
        <v>3.2051282051282044</v>
      </c>
      <c r="H179" s="17">
        <f>'AR-Eq'!G179</f>
        <v>7</v>
      </c>
      <c r="I179" s="17">
        <f>'AR-Eq'!H179</f>
        <v>0.96153846153846156</v>
      </c>
      <c r="J179" s="694">
        <f t="shared" si="44"/>
        <v>0.96153846153846156</v>
      </c>
      <c r="K179" s="699">
        <f>IF(OR(J179="na",E179="no"),"na",J179/Eqtn!$D$387)</f>
        <v>32.051282051282051</v>
      </c>
      <c r="L179" s="1496">
        <f>'AR-Eq'!I179</f>
        <v>27.25333333333333</v>
      </c>
      <c r="M179" s="699">
        <f>'AR-Eq'!J179</f>
        <v>0.44923076923076904</v>
      </c>
      <c r="N179" s="699">
        <f t="shared" si="45"/>
        <v>0.44923076923076904</v>
      </c>
      <c r="O179" s="1529">
        <f>IF(OR(N179="na",$E179="no"),"na",N179/Eqtn!$D$387)</f>
        <v>14.974358974358969</v>
      </c>
      <c r="P179" s="1529" t="s">
        <v>232</v>
      </c>
      <c r="Q179" s="760" t="s">
        <v>232</v>
      </c>
      <c r="S179" s="1062"/>
    </row>
    <row r="180" spans="1:19" ht="13.9" customHeight="1" x14ac:dyDescent="0.25">
      <c r="A180" s="846">
        <f>Chem!A180</f>
        <v>178</v>
      </c>
      <c r="B180" s="937" t="str">
        <f>Chem!B180</f>
        <v>1,1-Dichloroethylene</v>
      </c>
      <c r="C180" s="384">
        <f>'AR-Eq'!E180</f>
        <v>91.428571428571416</v>
      </c>
      <c r="D180" s="343" t="str">
        <f>'AR-Eq'!F180</f>
        <v>na</v>
      </c>
      <c r="E180" s="1300" t="str">
        <f>Param!AF180</f>
        <v>YES</v>
      </c>
      <c r="F180" s="573">
        <f t="shared" ref="F180:F215" si="49">IF(C180="na",IF(D180="na","na",D180),MIN(C180,D180))</f>
        <v>91.428571428571416</v>
      </c>
      <c r="G180" s="574">
        <f>IF(OR(F180="na",E180="no"),"na",F180/Eqtn!$D$387)</f>
        <v>3047.6190476190473</v>
      </c>
      <c r="H180" s="306">
        <f>'AR-Eq'!G180</f>
        <v>199.99999999999997</v>
      </c>
      <c r="I180" s="306" t="str">
        <f>'AR-Eq'!H180</f>
        <v>na</v>
      </c>
      <c r="J180" s="693">
        <f t="shared" ref="J180:J215" si="50">IF(H180="na",IF(I180="na","na",I180),MIN(H180,I180))</f>
        <v>199.99999999999997</v>
      </c>
      <c r="K180" s="699">
        <f>IF(OR(J180="na",E180="no"),"na",J180/Eqtn!$D$387)</f>
        <v>6666.6666666666661</v>
      </c>
      <c r="L180" s="1496">
        <f>'AR-Eq'!I180</f>
        <v>778.6666666666664</v>
      </c>
      <c r="M180" s="699" t="str">
        <f>'AR-Eq'!J180</f>
        <v>na</v>
      </c>
      <c r="N180" s="699">
        <f t="shared" si="45"/>
        <v>778.6666666666664</v>
      </c>
      <c r="O180" s="1529">
        <f>IF(OR(N180="na",$E180="no"),"na",N180/Eqtn!$D$387)</f>
        <v>25955.555555555547</v>
      </c>
      <c r="P180" s="1529" t="s">
        <v>232</v>
      </c>
      <c r="Q180" s="760" t="s">
        <v>232</v>
      </c>
      <c r="S180" s="1062"/>
    </row>
    <row r="181" spans="1:19" ht="13.9" customHeight="1" x14ac:dyDescent="0.25">
      <c r="A181" s="846">
        <f>Chem!A181</f>
        <v>179</v>
      </c>
      <c r="B181" s="937" t="str">
        <f>Chem!B181</f>
        <v>cis-1,2-Dichloroethylene</v>
      </c>
      <c r="C181" s="384">
        <f>'AR-Eq'!E181</f>
        <v>18.285714285714285</v>
      </c>
      <c r="D181" s="343" t="str">
        <f>'AR-Eq'!F181</f>
        <v>na</v>
      </c>
      <c r="E181" s="1300" t="str">
        <f>Param!AF181</f>
        <v>YES</v>
      </c>
      <c r="F181" s="573">
        <f t="shared" si="49"/>
        <v>18.285714285714285</v>
      </c>
      <c r="G181" s="574">
        <f>IF(OR(F181="na",E181="no"),"na",F181/Eqtn!$D$387)</f>
        <v>609.52380952380952</v>
      </c>
      <c r="H181" s="306">
        <f>'AR-Eq'!G181</f>
        <v>40</v>
      </c>
      <c r="I181" s="306" t="str">
        <f>'AR-Eq'!H181</f>
        <v>na</v>
      </c>
      <c r="J181" s="693">
        <f t="shared" si="50"/>
        <v>40</v>
      </c>
      <c r="K181" s="699">
        <f>IF(OR(J181="na",E181="no"),"na",J181/Eqtn!$D$387)</f>
        <v>1333.3333333333335</v>
      </c>
      <c r="L181" s="1496">
        <f>'AR-Eq'!I181</f>
        <v>155.73333333333329</v>
      </c>
      <c r="M181" s="699" t="str">
        <f>'AR-Eq'!J181</f>
        <v>na</v>
      </c>
      <c r="N181" s="699">
        <f t="shared" si="45"/>
        <v>155.73333333333329</v>
      </c>
      <c r="O181" s="1529">
        <f>IF(OR(N181="na",$E181="no"),"na",N181/Eqtn!$D$387)</f>
        <v>5191.1111111111095</v>
      </c>
      <c r="P181" s="1529" t="s">
        <v>232</v>
      </c>
      <c r="Q181" s="760" t="s">
        <v>232</v>
      </c>
      <c r="S181" s="1062"/>
    </row>
    <row r="182" spans="1:19" ht="13.9" customHeight="1" x14ac:dyDescent="0.25">
      <c r="A182" s="846">
        <f>Chem!A182</f>
        <v>180</v>
      </c>
      <c r="B182" s="937" t="str">
        <f>Chem!B182</f>
        <v>trans-1,2-Dichloroethylene</v>
      </c>
      <c r="C182" s="384">
        <f>'AR-Eq'!E182</f>
        <v>18.285714285714285</v>
      </c>
      <c r="D182" s="343" t="str">
        <f>'AR-Eq'!F182</f>
        <v>na</v>
      </c>
      <c r="E182" s="1300" t="str">
        <f>Param!AF182</f>
        <v>YES</v>
      </c>
      <c r="F182" s="573">
        <f t="shared" si="49"/>
        <v>18.285714285714285</v>
      </c>
      <c r="G182" s="574">
        <f>IF(OR(F182="na",E182="no"),"na",F182/Eqtn!$D$387)</f>
        <v>609.52380952380952</v>
      </c>
      <c r="H182" s="306">
        <f>'AR-Eq'!G182</f>
        <v>40</v>
      </c>
      <c r="I182" s="306" t="str">
        <f>'AR-Eq'!H182</f>
        <v>na</v>
      </c>
      <c r="J182" s="693">
        <f t="shared" si="50"/>
        <v>40</v>
      </c>
      <c r="K182" s="699">
        <f>IF(OR(J182="na",E182="no"),"na",J182/Eqtn!$D$387)</f>
        <v>1333.3333333333335</v>
      </c>
      <c r="L182" s="1496">
        <f>'AR-Eq'!I182</f>
        <v>155.73333333333329</v>
      </c>
      <c r="M182" s="699" t="str">
        <f>'AR-Eq'!J182</f>
        <v>na</v>
      </c>
      <c r="N182" s="699">
        <f t="shared" si="45"/>
        <v>155.73333333333329</v>
      </c>
      <c r="O182" s="1529">
        <f>IF(OR(N182="na",$E182="no"),"na",N182/Eqtn!$D$387)</f>
        <v>5191.1111111111095</v>
      </c>
      <c r="P182" s="1529" t="s">
        <v>232</v>
      </c>
      <c r="Q182" s="760" t="s">
        <v>232</v>
      </c>
      <c r="S182" s="1062"/>
    </row>
    <row r="183" spans="1:19" ht="13.9" customHeight="1" x14ac:dyDescent="0.25">
      <c r="A183" s="846">
        <f>Chem!A183</f>
        <v>181</v>
      </c>
      <c r="B183" s="937" t="str">
        <f>Chem!B183</f>
        <v>1,2-Dichloroethylene (mixed isomers)</v>
      </c>
      <c r="C183" s="384" t="str">
        <f>'AR-Eq'!E183</f>
        <v>na</v>
      </c>
      <c r="D183" s="343" t="str">
        <f>'AR-Eq'!F183</f>
        <v>na</v>
      </c>
      <c r="E183" s="1300" t="str">
        <f>Param!AF183</f>
        <v>YES</v>
      </c>
      <c r="F183" s="573" t="str">
        <f t="shared" si="49"/>
        <v>na</v>
      </c>
      <c r="G183" s="574" t="str">
        <f>IF(OR(F183="na",E183="no"),"na",F183/Eqtn!$D$387)</f>
        <v>na</v>
      </c>
      <c r="H183" s="306" t="str">
        <f>'AR-Eq'!G183</f>
        <v>na</v>
      </c>
      <c r="I183" s="306" t="str">
        <f>'AR-Eq'!H183</f>
        <v>na</v>
      </c>
      <c r="J183" s="693" t="str">
        <f t="shared" si="50"/>
        <v>na</v>
      </c>
      <c r="K183" s="699" t="str">
        <f>IF(OR(J183="na",E183="no"),"na",J183/Eqtn!$D$387)</f>
        <v>na</v>
      </c>
      <c r="L183" s="1496" t="str">
        <f>'AR-Eq'!I183</f>
        <v>na</v>
      </c>
      <c r="M183" s="699" t="str">
        <f>'AR-Eq'!J183</f>
        <v>na</v>
      </c>
      <c r="N183" s="699" t="str">
        <f t="shared" si="45"/>
        <v>na</v>
      </c>
      <c r="O183" s="1529" t="str">
        <f>IF(OR(N183="na",$E183="no"),"na",N183/Eqtn!$D$387)</f>
        <v>na</v>
      </c>
      <c r="P183" s="1529" t="s">
        <v>232</v>
      </c>
      <c r="Q183" s="760" t="s">
        <v>232</v>
      </c>
      <c r="S183" s="1062"/>
    </row>
    <row r="184" spans="1:19" ht="13.9" customHeight="1" x14ac:dyDescent="0.25">
      <c r="A184" s="846">
        <f>Chem!A184</f>
        <v>182</v>
      </c>
      <c r="B184" s="937" t="str">
        <f>Chem!B184</f>
        <v>1,2-Dichloropropane</v>
      </c>
      <c r="C184" s="384">
        <f>'AR-Eq'!E184</f>
        <v>1.8285714285714287</v>
      </c>
      <c r="D184" s="343">
        <f>'AR-Eq'!F184</f>
        <v>0.67567567567567566</v>
      </c>
      <c r="E184" s="1300" t="str">
        <f>Param!AF184</f>
        <v>YES</v>
      </c>
      <c r="F184" s="573">
        <f t="shared" si="49"/>
        <v>0.67567567567567566</v>
      </c>
      <c r="G184" s="574">
        <f>IF(OR(F184="na",E184="no"),"na",F184/Eqtn!$D$387)</f>
        <v>22.522522522522522</v>
      </c>
      <c r="H184" s="306">
        <f>'AR-Eq'!G184</f>
        <v>4</v>
      </c>
      <c r="I184" s="306">
        <f>'AR-Eq'!H184</f>
        <v>6.7567567567567579</v>
      </c>
      <c r="J184" s="693">
        <f t="shared" si="50"/>
        <v>4</v>
      </c>
      <c r="K184" s="699">
        <f>IF(OR(J184="na",E184="no"),"na",J184/Eqtn!$D$387)</f>
        <v>133.33333333333334</v>
      </c>
      <c r="L184" s="1496">
        <f>'AR-Eq'!I184</f>
        <v>15.573333333333332</v>
      </c>
      <c r="M184" s="699">
        <f>'AR-Eq'!J184</f>
        <v>3.1567567567567556</v>
      </c>
      <c r="N184" s="699">
        <f t="shared" si="45"/>
        <v>3.1567567567567556</v>
      </c>
      <c r="O184" s="1529">
        <f>IF(OR(N184="na",$E184="no"),"na",N184/Eqtn!$D$387)</f>
        <v>105.22522522522519</v>
      </c>
      <c r="P184" s="1529" t="s">
        <v>232</v>
      </c>
      <c r="Q184" s="760" t="s">
        <v>232</v>
      </c>
      <c r="S184" s="1062"/>
    </row>
    <row r="185" spans="1:19" ht="13.9" customHeight="1" x14ac:dyDescent="0.25">
      <c r="A185" s="846">
        <f>Chem!A185</f>
        <v>183</v>
      </c>
      <c r="B185" s="937" t="str">
        <f>Chem!B185</f>
        <v>1,3-Dichloropropane</v>
      </c>
      <c r="C185" s="384" t="str">
        <f>'AR-Eq'!E185</f>
        <v>na</v>
      </c>
      <c r="D185" s="343" t="str">
        <f>'AR-Eq'!F185</f>
        <v>na</v>
      </c>
      <c r="E185" s="1300" t="str">
        <f>Param!AF185</f>
        <v>no</v>
      </c>
      <c r="F185" s="573" t="str">
        <f t="shared" si="49"/>
        <v>na</v>
      </c>
      <c r="G185" s="574" t="str">
        <f>IF(OR(F185="na",E185="no"),"na",F185/Eqtn!$D$387)</f>
        <v>na</v>
      </c>
      <c r="H185" s="306" t="str">
        <f>'AR-Eq'!G185</f>
        <v>na</v>
      </c>
      <c r="I185" s="306" t="str">
        <f>'AR-Eq'!H185</f>
        <v>na</v>
      </c>
      <c r="J185" s="693" t="str">
        <f t="shared" si="50"/>
        <v>na</v>
      </c>
      <c r="K185" s="699" t="str">
        <f>IF(OR(J185="na",E185="no"),"na",J185/Eqtn!$D$387)</f>
        <v>na</v>
      </c>
      <c r="L185" s="1496" t="str">
        <f>'AR-Eq'!I185</f>
        <v>na</v>
      </c>
      <c r="M185" s="699" t="str">
        <f>'AR-Eq'!J185</f>
        <v>na</v>
      </c>
      <c r="N185" s="699" t="str">
        <f t="shared" si="45"/>
        <v>na</v>
      </c>
      <c r="O185" s="1529" t="str">
        <f>IF(OR(N185="na",$E185="no"),"na",N185/Eqtn!$D$387)</f>
        <v>na</v>
      </c>
      <c r="P185" s="1529" t="s">
        <v>232</v>
      </c>
      <c r="Q185" s="760" t="s">
        <v>232</v>
      </c>
      <c r="S185" s="1062"/>
    </row>
    <row r="186" spans="1:19" ht="13.9" customHeight="1" x14ac:dyDescent="0.25">
      <c r="A186" s="846">
        <f>Chem!A186</f>
        <v>184</v>
      </c>
      <c r="B186" s="937" t="str">
        <f>Chem!B186</f>
        <v>2,2-Dichloropropane</v>
      </c>
      <c r="C186" s="384" t="str">
        <f>'AR-Eq'!E186</f>
        <v>na</v>
      </c>
      <c r="D186" s="343" t="str">
        <f>'AR-Eq'!F186</f>
        <v>na</v>
      </c>
      <c r="E186" s="1300" t="str">
        <f>Param!AF186</f>
        <v>no</v>
      </c>
      <c r="F186" s="573" t="str">
        <f t="shared" si="49"/>
        <v>na</v>
      </c>
      <c r="G186" s="574" t="str">
        <f>IF(OR(F186="na",E186="no"),"na",F186/Eqtn!$D$387)</f>
        <v>na</v>
      </c>
      <c r="H186" s="306" t="str">
        <f>'AR-Eq'!G186</f>
        <v>na</v>
      </c>
      <c r="I186" s="306" t="str">
        <f>'AR-Eq'!H186</f>
        <v>na</v>
      </c>
      <c r="J186" s="693" t="str">
        <f t="shared" si="50"/>
        <v>na</v>
      </c>
      <c r="K186" s="699" t="str">
        <f>IF(OR(J186="na",E186="no"),"na",J186/Eqtn!$D$387)</f>
        <v>na</v>
      </c>
      <c r="L186" s="1496" t="str">
        <f>'AR-Eq'!I186</f>
        <v>na</v>
      </c>
      <c r="M186" s="699" t="str">
        <f>'AR-Eq'!J186</f>
        <v>na</v>
      </c>
      <c r="N186" s="699" t="str">
        <f t="shared" si="45"/>
        <v>na</v>
      </c>
      <c r="O186" s="1529" t="str">
        <f>IF(OR(N186="na",$E186="no"),"na",N186/Eqtn!$D$387)</f>
        <v>na</v>
      </c>
      <c r="P186" s="1529" t="s">
        <v>232</v>
      </c>
      <c r="Q186" s="760" t="s">
        <v>232</v>
      </c>
      <c r="S186" s="1062"/>
    </row>
    <row r="187" spans="1:19" ht="13.9" customHeight="1" x14ac:dyDescent="0.25">
      <c r="A187" s="846">
        <f>Chem!A187</f>
        <v>185</v>
      </c>
      <c r="B187" s="937" t="str">
        <f>Chem!B187</f>
        <v>1,1-Dichloropropene</v>
      </c>
      <c r="C187" s="384" t="str">
        <f>'AR-Eq'!E187</f>
        <v>na</v>
      </c>
      <c r="D187" s="343" t="str">
        <f>'AR-Eq'!F187</f>
        <v>na</v>
      </c>
      <c r="E187" s="1300" t="str">
        <f>Param!AF187</f>
        <v>no</v>
      </c>
      <c r="F187" s="573" t="str">
        <f t="shared" si="49"/>
        <v>na</v>
      </c>
      <c r="G187" s="574" t="str">
        <f>IF(OR(F187="na",E187="no"),"na",F187/Eqtn!$D$387)</f>
        <v>na</v>
      </c>
      <c r="H187" s="306" t="str">
        <f>'AR-Eq'!G187</f>
        <v>na</v>
      </c>
      <c r="I187" s="306" t="str">
        <f>'AR-Eq'!H187</f>
        <v>na</v>
      </c>
      <c r="J187" s="693" t="str">
        <f t="shared" si="50"/>
        <v>na</v>
      </c>
      <c r="K187" s="699" t="str">
        <f>IF(OR(J187="na",E187="no"),"na",J187/Eqtn!$D$387)</f>
        <v>na</v>
      </c>
      <c r="L187" s="1496" t="str">
        <f>'AR-Eq'!I187</f>
        <v>na</v>
      </c>
      <c r="M187" s="699" t="str">
        <f>'AR-Eq'!J187</f>
        <v>na</v>
      </c>
      <c r="N187" s="699" t="str">
        <f t="shared" si="45"/>
        <v>na</v>
      </c>
      <c r="O187" s="1529" t="str">
        <f>IF(OR(N187="na",$E187="no"),"na",N187/Eqtn!$D$387)</f>
        <v>na</v>
      </c>
      <c r="P187" s="1529" t="s">
        <v>232</v>
      </c>
      <c r="Q187" s="760" t="s">
        <v>232</v>
      </c>
      <c r="S187" s="1062"/>
    </row>
    <row r="188" spans="1:19" ht="13.9" customHeight="1" x14ac:dyDescent="0.25">
      <c r="A188" s="846">
        <f>Chem!A188</f>
        <v>186</v>
      </c>
      <c r="B188" s="937" t="str">
        <f>Chem!B188</f>
        <v>cis-1,3-Dichloropropene</v>
      </c>
      <c r="C188" s="384">
        <f>'AR-Eq'!E188</f>
        <v>9.1428571428571423</v>
      </c>
      <c r="D188" s="343">
        <f>'AR-Eq'!F188</f>
        <v>0.625</v>
      </c>
      <c r="E188" s="1300" t="str">
        <f>Param!AF188</f>
        <v>YES</v>
      </c>
      <c r="F188" s="573">
        <f t="shared" si="49"/>
        <v>0.625</v>
      </c>
      <c r="G188" s="574">
        <f>IF(OR(F188="na",E188="no"),"na",F188/Eqtn!$D$387)</f>
        <v>20.833333333333336</v>
      </c>
      <c r="H188" s="306">
        <f>'AR-Eq'!G188</f>
        <v>20</v>
      </c>
      <c r="I188" s="306">
        <f>'AR-Eq'!H188</f>
        <v>6.2500000000000009</v>
      </c>
      <c r="J188" s="693">
        <f t="shared" si="50"/>
        <v>6.2500000000000009</v>
      </c>
      <c r="K188" s="699">
        <f>IF(OR(J188="na",E188="no"),"na",J188/Eqtn!$D$387)</f>
        <v>208.33333333333337</v>
      </c>
      <c r="L188" s="1496">
        <f>'AR-Eq'!I188</f>
        <v>77.866666666666646</v>
      </c>
      <c r="M188" s="699">
        <f>'AR-Eq'!J188</f>
        <v>2.9199999999999995</v>
      </c>
      <c r="N188" s="699">
        <f t="shared" si="45"/>
        <v>2.9199999999999995</v>
      </c>
      <c r="O188" s="1529">
        <f>IF(OR(N188="na",$E188="no"),"na",N188/Eqtn!$D$387)</f>
        <v>97.333333333333314</v>
      </c>
      <c r="P188" s="1529" t="s">
        <v>232</v>
      </c>
      <c r="Q188" s="760" t="s">
        <v>232</v>
      </c>
      <c r="S188" s="1062"/>
    </row>
    <row r="189" spans="1:19" ht="13.9" customHeight="1" x14ac:dyDescent="0.25">
      <c r="A189" s="846">
        <f>Chem!A189</f>
        <v>187</v>
      </c>
      <c r="B189" s="937" t="str">
        <f>Chem!B189</f>
        <v>trans-1,3-Dichloropropene</v>
      </c>
      <c r="C189" s="384">
        <f>'AR-Eq'!E189</f>
        <v>9.1428571428571423</v>
      </c>
      <c r="D189" s="343">
        <f>'AR-Eq'!F189</f>
        <v>0.625</v>
      </c>
      <c r="E189" s="1300" t="str">
        <f>Param!AF189</f>
        <v>YES</v>
      </c>
      <c r="F189" s="573">
        <f t="shared" si="49"/>
        <v>0.625</v>
      </c>
      <c r="G189" s="574">
        <f>IF(OR(F189="na",E189="no"),"na",F189/Eqtn!$D$387)</f>
        <v>20.833333333333336</v>
      </c>
      <c r="H189" s="306">
        <f>'AR-Eq'!G189</f>
        <v>20</v>
      </c>
      <c r="I189" s="306">
        <f>'AR-Eq'!H189</f>
        <v>6.2500000000000009</v>
      </c>
      <c r="J189" s="693">
        <f t="shared" si="50"/>
        <v>6.2500000000000009</v>
      </c>
      <c r="K189" s="699">
        <f>IF(OR(J189="na",E189="no"),"na",J189/Eqtn!$D$387)</f>
        <v>208.33333333333337</v>
      </c>
      <c r="L189" s="1496">
        <f>'AR-Eq'!I189</f>
        <v>77.866666666666646</v>
      </c>
      <c r="M189" s="699">
        <f>'AR-Eq'!J189</f>
        <v>2.9199999999999995</v>
      </c>
      <c r="N189" s="699">
        <f t="shared" si="45"/>
        <v>2.9199999999999995</v>
      </c>
      <c r="O189" s="1529">
        <f>IF(OR(N189="na",$E189="no"),"na",N189/Eqtn!$D$387)</f>
        <v>97.333333333333314</v>
      </c>
      <c r="P189" s="1529" t="s">
        <v>232</v>
      </c>
      <c r="Q189" s="760" t="s">
        <v>232</v>
      </c>
      <c r="S189" s="1062"/>
    </row>
    <row r="190" spans="1:19" ht="13.9" customHeight="1" x14ac:dyDescent="0.25">
      <c r="A190" s="846">
        <f>Chem!A190</f>
        <v>188</v>
      </c>
      <c r="B190" s="937" t="str">
        <f>Chem!B190</f>
        <v>Diisopropyl ether</v>
      </c>
      <c r="C190" s="384">
        <f>'AR-Eq'!E190</f>
        <v>320</v>
      </c>
      <c r="D190" s="343" t="str">
        <f>'AR-Eq'!F190</f>
        <v>na</v>
      </c>
      <c r="E190" s="1300" t="str">
        <f>Param!AF190</f>
        <v>no</v>
      </c>
      <c r="F190" s="573">
        <f t="shared" ref="F190" si="51">IF(C190="na",IF(D190="na","na",D190),MIN(C190,D190))</f>
        <v>320</v>
      </c>
      <c r="G190" s="574" t="str">
        <f>IF(OR(F190="na",E190="no"),"na",F190/Eqtn!$D$387)</f>
        <v>na</v>
      </c>
      <c r="H190" s="306">
        <f>'AR-Eq'!G190</f>
        <v>700</v>
      </c>
      <c r="I190" s="306" t="str">
        <f>'AR-Eq'!H190</f>
        <v>na</v>
      </c>
      <c r="J190" s="693">
        <f t="shared" ref="J190" si="52">IF(H190="na",IF(I190="na","na",I190),MIN(H190,I190))</f>
        <v>700</v>
      </c>
      <c r="K190" s="699" t="str">
        <f>IF(OR(J190="na",E190="no"),"na",J190/Eqtn!$D$387)</f>
        <v>na</v>
      </c>
      <c r="L190" s="1496">
        <f>'AR-Eq'!I190</f>
        <v>2725.333333333333</v>
      </c>
      <c r="M190" s="699" t="str">
        <f>'AR-Eq'!J190</f>
        <v>na</v>
      </c>
      <c r="N190" s="699">
        <f t="shared" si="45"/>
        <v>2725.333333333333</v>
      </c>
      <c r="O190" s="1529" t="str">
        <f>IF(OR(N190="na",$E190="no"),"na",N190/Eqtn!$D$387)</f>
        <v>na</v>
      </c>
      <c r="P190" s="1529" t="s">
        <v>232</v>
      </c>
      <c r="Q190" s="760" t="s">
        <v>232</v>
      </c>
      <c r="S190" s="1062"/>
    </row>
    <row r="191" spans="1:19" ht="13.9" customHeight="1" x14ac:dyDescent="0.25">
      <c r="A191" s="846">
        <f>Chem!A191</f>
        <v>189</v>
      </c>
      <c r="B191" s="937" t="str">
        <f>Chem!B191</f>
        <v>Ethane</v>
      </c>
      <c r="C191" s="394" t="str">
        <f>'AR-Eq'!E191</f>
        <v>na</v>
      </c>
      <c r="D191" s="338" t="str">
        <f>'AR-Eq'!F191</f>
        <v>na</v>
      </c>
      <c r="E191" s="1303" t="str">
        <f>Param!AF191</f>
        <v>no</v>
      </c>
      <c r="F191" s="573" t="str">
        <f t="shared" si="49"/>
        <v>na</v>
      </c>
      <c r="G191" s="574" t="str">
        <f>IF(OR(F191="na",E191="no"),"na",F191/Eqtn!$D$387)</f>
        <v>na</v>
      </c>
      <c r="H191" s="306" t="str">
        <f>'AR-Eq'!G191</f>
        <v>na</v>
      </c>
      <c r="I191" s="306" t="str">
        <f>'AR-Eq'!H191</f>
        <v>na</v>
      </c>
      <c r="J191" s="693" t="str">
        <f t="shared" si="50"/>
        <v>na</v>
      </c>
      <c r="K191" s="699" t="str">
        <f>IF(OR(J191="na",E191="no"),"na",J191/Eqtn!$D$387)</f>
        <v>na</v>
      </c>
      <c r="L191" s="1496" t="str">
        <f>'AR-Eq'!I191</f>
        <v>na</v>
      </c>
      <c r="M191" s="699" t="str">
        <f>'AR-Eq'!J191</f>
        <v>na</v>
      </c>
      <c r="N191" s="699" t="str">
        <f t="shared" si="45"/>
        <v>na</v>
      </c>
      <c r="O191" s="1529" t="str">
        <f>IF(OR(N191="na",$E191="no"),"na",N191/Eqtn!$D$387)</f>
        <v>na</v>
      </c>
      <c r="P191" s="1529" t="s">
        <v>232</v>
      </c>
      <c r="Q191" s="760" t="s">
        <v>232</v>
      </c>
      <c r="S191" s="1062"/>
    </row>
    <row r="192" spans="1:19" ht="13.9" customHeight="1" x14ac:dyDescent="0.25">
      <c r="A192" s="846">
        <f>Chem!A192</f>
        <v>190</v>
      </c>
      <c r="B192" s="937" t="str">
        <f>Chem!B192</f>
        <v>Ethylbenzene</v>
      </c>
      <c r="C192" s="384">
        <f>'AR-Eq'!E192</f>
        <v>457.14285714285711</v>
      </c>
      <c r="D192" s="343" t="str">
        <f>'AR-Eq'!F192</f>
        <v>na</v>
      </c>
      <c r="E192" s="1300" t="str">
        <f>Param!AF192</f>
        <v>YES</v>
      </c>
      <c r="F192" s="573">
        <f t="shared" si="49"/>
        <v>457.14285714285711</v>
      </c>
      <c r="G192" s="574">
        <f>IF(OR(F192="na",E192="no"),"na",F192/Eqtn!$D$387)</f>
        <v>15238.095238095237</v>
      </c>
      <c r="H192" s="306">
        <f>'AR-Eq'!G192</f>
        <v>1000</v>
      </c>
      <c r="I192" s="306" t="str">
        <f>'AR-Eq'!H192</f>
        <v>na</v>
      </c>
      <c r="J192" s="693">
        <f t="shared" si="50"/>
        <v>1000</v>
      </c>
      <c r="K192" s="699">
        <f>IF(OR(J192="na",E192="no"),"na",J192/Eqtn!$D$387)</f>
        <v>33333.333333333336</v>
      </c>
      <c r="L192" s="1496">
        <f>'AR-Eq'!I192</f>
        <v>3893.3333333333326</v>
      </c>
      <c r="M192" s="699" t="str">
        <f>'AR-Eq'!J192</f>
        <v>na</v>
      </c>
      <c r="N192" s="699">
        <f t="shared" si="45"/>
        <v>3893.3333333333326</v>
      </c>
      <c r="O192" s="1529">
        <f>IF(OR(N192="na",$E192="no"),"na",N192/Eqtn!$D$387)</f>
        <v>129777.77777777775</v>
      </c>
      <c r="P192" s="1529" t="s">
        <v>232</v>
      </c>
      <c r="Q192" s="760" t="s">
        <v>232</v>
      </c>
      <c r="S192" s="1062"/>
    </row>
    <row r="193" spans="1:19" ht="13.9" customHeight="1" x14ac:dyDescent="0.25">
      <c r="A193" s="846">
        <f>Chem!A193</f>
        <v>191</v>
      </c>
      <c r="B193" s="937" t="str">
        <f>Chem!B193</f>
        <v>Ethylene oxide</v>
      </c>
      <c r="C193" s="394">
        <f>'AR-Eq'!E193</f>
        <v>13.714285714285715</v>
      </c>
      <c r="D193" s="338">
        <f>'AR-Eq'!F193</f>
        <v>2.2000000000000001E-4</v>
      </c>
      <c r="E193" s="1303" t="str">
        <f>Param!AF193</f>
        <v>YES</v>
      </c>
      <c r="F193" s="573">
        <f t="shared" si="49"/>
        <v>2.2000000000000001E-4</v>
      </c>
      <c r="G193" s="574">
        <f>IF(OR(F193="na",E193="no"),"na",F193/Eqtn!$D$387)</f>
        <v>7.3333333333333341E-3</v>
      </c>
      <c r="H193" s="306">
        <f>'AR-Eq'!G193</f>
        <v>30</v>
      </c>
      <c r="I193" s="306">
        <f>'AR-Eq'!H193</f>
        <v>8.333333333333335E-3</v>
      </c>
      <c r="J193" s="693">
        <f t="shared" si="50"/>
        <v>8.333333333333335E-3</v>
      </c>
      <c r="K193" s="699">
        <f>IF(OR(J193="na",E193="no"),"na",J193/Eqtn!$D$387)</f>
        <v>0.27777777777777785</v>
      </c>
      <c r="L193" s="1496">
        <f>'AR-Eq'!I193</f>
        <v>116.79999999999998</v>
      </c>
      <c r="M193" s="699">
        <f>'AR-Eq'!J193</f>
        <v>3.893333333333332E-3</v>
      </c>
      <c r="N193" s="699">
        <f t="shared" si="45"/>
        <v>3.893333333333332E-3</v>
      </c>
      <c r="O193" s="1529">
        <f>IF(OR(N193="na",$E193="no"),"na",N193/Eqtn!$D$387)</f>
        <v>0.12977777777777774</v>
      </c>
      <c r="P193" s="1529" t="s">
        <v>232</v>
      </c>
      <c r="Q193" s="760" t="s">
        <v>232</v>
      </c>
      <c r="S193" s="1062"/>
    </row>
    <row r="194" spans="1:19" ht="13.9" customHeight="1" x14ac:dyDescent="0.25">
      <c r="A194" s="846">
        <f>Chem!A194</f>
        <v>192</v>
      </c>
      <c r="B194" s="937" t="str">
        <f>Chem!B194</f>
        <v>Ethyl ether</v>
      </c>
      <c r="C194" s="394" t="str">
        <f>'AR-Eq'!E194</f>
        <v>na</v>
      </c>
      <c r="D194" s="338" t="str">
        <f>'AR-Eq'!F194</f>
        <v>na</v>
      </c>
      <c r="E194" s="1303" t="str">
        <f>Param!AF194</f>
        <v>no</v>
      </c>
      <c r="F194" s="573" t="str">
        <f t="shared" si="49"/>
        <v>na</v>
      </c>
      <c r="G194" s="574" t="str">
        <f>IF(OR(F194="na",E194="no"),"na",F194/Eqtn!$D$387)</f>
        <v>na</v>
      </c>
      <c r="H194" s="306" t="str">
        <f>'AR-Eq'!G194</f>
        <v>na</v>
      </c>
      <c r="I194" s="306" t="str">
        <f>'AR-Eq'!H194</f>
        <v>na</v>
      </c>
      <c r="J194" s="693" t="str">
        <f t="shared" si="50"/>
        <v>na</v>
      </c>
      <c r="K194" s="699" t="str">
        <f>IF(OR(J194="na",E194="no"),"na",J194/Eqtn!$D$387)</f>
        <v>na</v>
      </c>
      <c r="L194" s="1496" t="str">
        <f>'AR-Eq'!I194</f>
        <v>na</v>
      </c>
      <c r="M194" s="699" t="str">
        <f>'AR-Eq'!J194</f>
        <v>na</v>
      </c>
      <c r="N194" s="699" t="str">
        <f t="shared" si="45"/>
        <v>na</v>
      </c>
      <c r="O194" s="1529" t="str">
        <f>IF(OR(N194="na",$E194="no"),"na",N194/Eqtn!$D$387)</f>
        <v>na</v>
      </c>
      <c r="P194" s="1529" t="s">
        <v>232</v>
      </c>
      <c r="Q194" s="760" t="s">
        <v>232</v>
      </c>
      <c r="S194" s="1062"/>
    </row>
    <row r="195" spans="1:19" ht="13.9" customHeight="1" x14ac:dyDescent="0.25">
      <c r="A195" s="846">
        <f>Chem!A195</f>
        <v>193</v>
      </c>
      <c r="B195" s="937" t="str">
        <f>Chem!B195</f>
        <v>Ethylene dibromide (EDB)</v>
      </c>
      <c r="C195" s="384">
        <f>'AR-Eq'!E195</f>
        <v>4.1142857142857139</v>
      </c>
      <c r="D195" s="343">
        <f>'AR-Eq'!F195</f>
        <v>4.1666666666666666E-3</v>
      </c>
      <c r="E195" s="1300" t="str">
        <f>Param!AF195</f>
        <v>YES</v>
      </c>
      <c r="F195" s="575">
        <f t="shared" si="49"/>
        <v>4.1666666666666666E-3</v>
      </c>
      <c r="G195" s="574">
        <f>IF(OR(F195="na",E195="no"),"na",F195/Eqtn!$D$387)</f>
        <v>0.1388888888888889</v>
      </c>
      <c r="H195" s="17">
        <f>'AR-Eq'!G195</f>
        <v>9</v>
      </c>
      <c r="I195" s="17">
        <f>'AR-Eq'!H195</f>
        <v>4.1666666666666678E-2</v>
      </c>
      <c r="J195" s="694">
        <f t="shared" si="50"/>
        <v>4.1666666666666678E-2</v>
      </c>
      <c r="K195" s="699">
        <f>IF(OR(J195="na",E195="no"),"na",J195/Eqtn!$D$387)</f>
        <v>1.3888888888888893</v>
      </c>
      <c r="L195" s="1496">
        <f>'AR-Eq'!I195</f>
        <v>35.039999999999992</v>
      </c>
      <c r="M195" s="699">
        <f>'AR-Eq'!J195</f>
        <v>1.9466666666666663E-2</v>
      </c>
      <c r="N195" s="699">
        <f t="shared" si="45"/>
        <v>1.9466666666666663E-2</v>
      </c>
      <c r="O195" s="1529">
        <f>IF(OR(N195="na",$E195="no"),"na",N195/Eqtn!$D$387)</f>
        <v>0.64888888888888885</v>
      </c>
      <c r="P195" s="1529" t="s">
        <v>232</v>
      </c>
      <c r="Q195" s="760" t="s">
        <v>232</v>
      </c>
      <c r="S195" s="1062"/>
    </row>
    <row r="196" spans="1:19" ht="13.9" customHeight="1" x14ac:dyDescent="0.25">
      <c r="A196" s="846">
        <f>Chem!A196</f>
        <v>194</v>
      </c>
      <c r="B196" s="937" t="str">
        <f>Chem!B196</f>
        <v>Formaldehyde</v>
      </c>
      <c r="C196" s="384">
        <f>'AR-Eq'!E196</f>
        <v>3.2</v>
      </c>
      <c r="D196" s="343">
        <f>'AR-Eq'!F196</f>
        <v>8.8999999999999996E-2</v>
      </c>
      <c r="E196" s="1300" t="str">
        <f>Param!AF196</f>
        <v>no</v>
      </c>
      <c r="F196" s="575">
        <f t="shared" ref="F196" si="53">IF(C196="na",IF(D196="na","na",D196),MIN(C196,D196))</f>
        <v>8.8999999999999996E-2</v>
      </c>
      <c r="G196" s="574" t="str">
        <f>IF(OR(F196="na",E196="no"),"na",F196/Eqtn!$D$387)</f>
        <v>na</v>
      </c>
      <c r="H196" s="17">
        <f>'AR-Eq'!G196</f>
        <v>7</v>
      </c>
      <c r="I196" s="17">
        <f>'AR-Eq'!H196</f>
        <v>3.378378378378379</v>
      </c>
      <c r="J196" s="694">
        <f t="shared" ref="J196" si="54">IF(H196="na",IF(I196="na","na",I196),MIN(H196,I196))</f>
        <v>3.378378378378379</v>
      </c>
      <c r="K196" s="699" t="str">
        <f>IF(OR(J196="na",E196="no"),"na",J196/Eqtn!$D$387)</f>
        <v>na</v>
      </c>
      <c r="L196" s="1496">
        <f>'AR-Eq'!I196</f>
        <v>27.25333333333333</v>
      </c>
      <c r="M196" s="699">
        <f>'AR-Eq'!J196</f>
        <v>1.5783783783783778</v>
      </c>
      <c r="N196" s="699">
        <f t="shared" si="45"/>
        <v>1.5783783783783778</v>
      </c>
      <c r="O196" s="1529" t="str">
        <f>IF(OR(N196="na",$E196="no"),"na",N196/Eqtn!$D$387)</f>
        <v>na</v>
      </c>
      <c r="P196" s="1529" t="s">
        <v>232</v>
      </c>
      <c r="Q196" s="760" t="s">
        <v>232</v>
      </c>
      <c r="S196" s="1062"/>
    </row>
    <row r="197" spans="1:19" ht="13.9" customHeight="1" x14ac:dyDescent="0.25">
      <c r="A197" s="846">
        <f>Chem!A197</f>
        <v>195</v>
      </c>
      <c r="B197" s="937" t="str">
        <f>Chem!B197</f>
        <v>n-Hexane</v>
      </c>
      <c r="C197" s="384">
        <f>'AR-Eq'!E197</f>
        <v>320.00000000000006</v>
      </c>
      <c r="D197" s="343" t="str">
        <f>'AR-Eq'!F197</f>
        <v>na</v>
      </c>
      <c r="E197" s="1300" t="str">
        <f>Param!AF197</f>
        <v>YES</v>
      </c>
      <c r="F197" s="575">
        <f t="shared" ref="F197" si="55">IF(C197="na",IF(D197="na","na",D197),MIN(C197,D197))</f>
        <v>320.00000000000006</v>
      </c>
      <c r="G197" s="574">
        <f>IF(OR(F197="na",E197="no"),"na",F197/Eqtn!$D$387)</f>
        <v>10666.66666666667</v>
      </c>
      <c r="H197" s="17">
        <f>'AR-Eq'!G197</f>
        <v>700.00000000000011</v>
      </c>
      <c r="I197" s="17" t="str">
        <f>'AR-Eq'!H197</f>
        <v>na</v>
      </c>
      <c r="J197" s="694">
        <f t="shared" ref="J197" si="56">IF(H197="na",IF(I197="na","na",I197),MIN(H197,I197))</f>
        <v>700.00000000000011</v>
      </c>
      <c r="K197" s="699">
        <f>IF(OR(J197="na",E197="no"),"na",J197/Eqtn!$D$387)</f>
        <v>23333.333333333339</v>
      </c>
      <c r="L197" s="1496">
        <f>'AR-Eq'!I197</f>
        <v>2725.3333333333335</v>
      </c>
      <c r="M197" s="699" t="str">
        <f>'AR-Eq'!J197</f>
        <v>na</v>
      </c>
      <c r="N197" s="699">
        <f t="shared" si="45"/>
        <v>2725.3333333333335</v>
      </c>
      <c r="O197" s="1529">
        <f>IF(OR(N197="na",$E197="no"),"na",N197/Eqtn!$D$387)</f>
        <v>90844.444444444453</v>
      </c>
      <c r="P197" s="1529" t="s">
        <v>232</v>
      </c>
      <c r="Q197" s="760" t="s">
        <v>232</v>
      </c>
      <c r="S197" s="1062"/>
    </row>
    <row r="198" spans="1:19" ht="13.9" customHeight="1" x14ac:dyDescent="0.25">
      <c r="A198" s="846">
        <f>Chem!A198</f>
        <v>196</v>
      </c>
      <c r="B198" s="937" t="str">
        <f>Chem!B198</f>
        <v>2-Hexanone</v>
      </c>
      <c r="C198" s="384">
        <f>'AR-Eq'!E198</f>
        <v>13.714285714285715</v>
      </c>
      <c r="D198" s="343" t="str">
        <f>'AR-Eq'!F198</f>
        <v>na</v>
      </c>
      <c r="E198" s="1300" t="str">
        <f>Param!AF198</f>
        <v>YES</v>
      </c>
      <c r="F198" s="573">
        <f t="shared" si="49"/>
        <v>13.714285714285715</v>
      </c>
      <c r="G198" s="574">
        <f>IF(OR(F198="na",E198="no"),"na",F198/Eqtn!$D$387)</f>
        <v>457.14285714285717</v>
      </c>
      <c r="H198" s="306">
        <f>'AR-Eq'!G198</f>
        <v>30</v>
      </c>
      <c r="I198" s="306" t="str">
        <f>'AR-Eq'!H198</f>
        <v>na</v>
      </c>
      <c r="J198" s="693">
        <f t="shared" si="50"/>
        <v>30</v>
      </c>
      <c r="K198" s="699">
        <f>IF(OR(J198="na",E198="no"),"na",J198/Eqtn!$D$387)</f>
        <v>1000</v>
      </c>
      <c r="L198" s="1496">
        <f>'AR-Eq'!I198</f>
        <v>116.79999999999998</v>
      </c>
      <c r="M198" s="699" t="str">
        <f>'AR-Eq'!J198</f>
        <v>na</v>
      </c>
      <c r="N198" s="699">
        <f t="shared" si="45"/>
        <v>116.79999999999998</v>
      </c>
      <c r="O198" s="1529">
        <f>IF(OR(N198="na",$E198="no"),"na",N198/Eqtn!$D$387)</f>
        <v>3893.333333333333</v>
      </c>
      <c r="P198" s="1529" t="s">
        <v>232</v>
      </c>
      <c r="Q198" s="760" t="s">
        <v>232</v>
      </c>
      <c r="S198" s="1062"/>
    </row>
    <row r="199" spans="1:19" ht="13.9" customHeight="1" x14ac:dyDescent="0.25">
      <c r="A199" s="846">
        <f>Chem!A199</f>
        <v>197</v>
      </c>
      <c r="B199" s="937" t="str">
        <f>Chem!B199</f>
        <v>Isopropylbenzene (cumene)</v>
      </c>
      <c r="C199" s="384">
        <f>'AR-Eq'!E199</f>
        <v>182.85714285714283</v>
      </c>
      <c r="D199" s="343" t="str">
        <f>'AR-Eq'!F199</f>
        <v>na</v>
      </c>
      <c r="E199" s="1300" t="str">
        <f>Param!AF199</f>
        <v>YES</v>
      </c>
      <c r="F199" s="573">
        <f t="shared" si="49"/>
        <v>182.85714285714283</v>
      </c>
      <c r="G199" s="574">
        <f>IF(OR(F199="na",E199="no"),"na",F199/Eqtn!$D$387)</f>
        <v>6095.2380952380945</v>
      </c>
      <c r="H199" s="306">
        <f>'AR-Eq'!G199</f>
        <v>399.99999999999994</v>
      </c>
      <c r="I199" s="306" t="str">
        <f>'AR-Eq'!H199</f>
        <v>na</v>
      </c>
      <c r="J199" s="693">
        <f t="shared" si="50"/>
        <v>399.99999999999994</v>
      </c>
      <c r="K199" s="699">
        <f>IF(OR(J199="na",E199="no"),"na",J199/Eqtn!$D$387)</f>
        <v>13333.333333333332</v>
      </c>
      <c r="L199" s="1496">
        <f>'AR-Eq'!I199</f>
        <v>1557.3333333333328</v>
      </c>
      <c r="M199" s="699" t="str">
        <f>'AR-Eq'!J199</f>
        <v>na</v>
      </c>
      <c r="N199" s="699">
        <f t="shared" si="45"/>
        <v>1557.3333333333328</v>
      </c>
      <c r="O199" s="1529">
        <f>IF(OR(N199="na",$E199="no"),"na",N199/Eqtn!$D$387)</f>
        <v>51911.111111111095</v>
      </c>
      <c r="P199" s="1529" t="s">
        <v>232</v>
      </c>
      <c r="Q199" s="760" t="s">
        <v>232</v>
      </c>
      <c r="S199" s="1062"/>
    </row>
    <row r="200" spans="1:19" ht="13.9" customHeight="1" x14ac:dyDescent="0.25">
      <c r="A200" s="846">
        <f>Chem!A200</f>
        <v>198</v>
      </c>
      <c r="B200" s="937" t="str">
        <f>Chem!B200</f>
        <v>4-Isopropyltoluene (p-isopropyltoluene)</v>
      </c>
      <c r="C200" s="384">
        <f>'AR-Eq'!E200</f>
        <v>18.285714285714285</v>
      </c>
      <c r="D200" s="343" t="str">
        <f>'AR-Eq'!F200</f>
        <v>na</v>
      </c>
      <c r="E200" s="1300" t="str">
        <f>Param!AF200</f>
        <v>YES</v>
      </c>
      <c r="F200" s="573">
        <f t="shared" si="49"/>
        <v>18.285714285714285</v>
      </c>
      <c r="G200" s="574">
        <f>IF(OR(F200="na",E200="no"),"na",F200/Eqtn!$D$387)</f>
        <v>609.52380952380952</v>
      </c>
      <c r="H200" s="306">
        <f>'AR-Eq'!G200</f>
        <v>40</v>
      </c>
      <c r="I200" s="306" t="str">
        <f>'AR-Eq'!H200</f>
        <v>na</v>
      </c>
      <c r="J200" s="693">
        <f t="shared" si="50"/>
        <v>40</v>
      </c>
      <c r="K200" s="699">
        <f>IF(OR(J200="na",E200="no"),"na",J200/Eqtn!$D$387)</f>
        <v>1333.3333333333335</v>
      </c>
      <c r="L200" s="1496">
        <f>'AR-Eq'!I200</f>
        <v>155.73333333333329</v>
      </c>
      <c r="M200" s="699" t="str">
        <f>'AR-Eq'!J200</f>
        <v>na</v>
      </c>
      <c r="N200" s="699">
        <f t="shared" si="45"/>
        <v>155.73333333333329</v>
      </c>
      <c r="O200" s="1529">
        <f>IF(OR(N200="na",$E200="no"),"na",N200/Eqtn!$D$387)</f>
        <v>5191.1111111111095</v>
      </c>
      <c r="P200" s="1529" t="s">
        <v>232</v>
      </c>
      <c r="Q200" s="760" t="s">
        <v>232</v>
      </c>
      <c r="S200" s="1062"/>
    </row>
    <row r="201" spans="1:19" ht="13.9" customHeight="1" x14ac:dyDescent="0.25">
      <c r="A201" s="846">
        <f>Chem!A201</f>
        <v>199</v>
      </c>
      <c r="B201" s="937" t="str">
        <f>Chem!B201</f>
        <v>Methane</v>
      </c>
      <c r="C201" s="394">
        <v>65603</v>
      </c>
      <c r="D201" s="338" t="str">
        <f>'AR-Eq'!F201</f>
        <v>na</v>
      </c>
      <c r="E201" s="1303" t="str">
        <f>Param!AF201</f>
        <v>no</v>
      </c>
      <c r="F201" s="573">
        <f t="shared" si="49"/>
        <v>65603</v>
      </c>
      <c r="G201" s="574" t="str">
        <f>IF(OR(F201="na",E201="no"),"na",F201/Eqtn!$D$387)</f>
        <v>na</v>
      </c>
      <c r="H201" s="306">
        <v>65603</v>
      </c>
      <c r="I201" s="306" t="str">
        <f>'AR-Eq'!H201</f>
        <v>na</v>
      </c>
      <c r="J201" s="693">
        <f t="shared" si="50"/>
        <v>65603</v>
      </c>
      <c r="K201" s="699" t="str">
        <f>IF(OR(J201="na",E201="no"),"na",J201/Eqtn!$D$387)</f>
        <v>na</v>
      </c>
      <c r="L201" s="1496" t="str">
        <f>'AR-Eq'!I201</f>
        <v>na</v>
      </c>
      <c r="M201" s="699" t="str">
        <f>'AR-Eq'!J201</f>
        <v>na</v>
      </c>
      <c r="N201" s="699" t="str">
        <f t="shared" si="45"/>
        <v>na</v>
      </c>
      <c r="O201" s="1529" t="str">
        <f>IF(OR(N201="na",$E201="no"),"na",N201/Eqtn!$D$387)</f>
        <v>na</v>
      </c>
      <c r="P201" s="1529" t="s">
        <v>232</v>
      </c>
      <c r="Q201" s="760" t="s">
        <v>232</v>
      </c>
      <c r="S201" s="1062"/>
    </row>
    <row r="202" spans="1:19" ht="13.9" customHeight="1" x14ac:dyDescent="0.25">
      <c r="A202" s="846">
        <f>Chem!A202</f>
        <v>200</v>
      </c>
      <c r="B202" s="937" t="str">
        <f>Chem!B202</f>
        <v>Methyl ethyl ketone (2-butanone)</v>
      </c>
      <c r="C202" s="384">
        <f>'AR-Eq'!E202</f>
        <v>2285.7142857142858</v>
      </c>
      <c r="D202" s="343" t="str">
        <f>'AR-Eq'!F202</f>
        <v>na</v>
      </c>
      <c r="E202" s="1300" t="str">
        <f>Param!AF202</f>
        <v>YES</v>
      </c>
      <c r="F202" s="573">
        <f t="shared" si="49"/>
        <v>2285.7142857142858</v>
      </c>
      <c r="G202" s="574">
        <f>IF(OR(F202="na",E202="no"),"na",F202/Eqtn!$D$387)</f>
        <v>76190.476190476198</v>
      </c>
      <c r="H202" s="306">
        <f>'AR-Eq'!G202</f>
        <v>5000</v>
      </c>
      <c r="I202" s="306" t="str">
        <f>'AR-Eq'!H202</f>
        <v>na</v>
      </c>
      <c r="J202" s="693">
        <f t="shared" si="50"/>
        <v>5000</v>
      </c>
      <c r="K202" s="699">
        <f>IF(OR(J202="na",E202="no"),"na",J202/Eqtn!$D$387)</f>
        <v>166666.66666666669</v>
      </c>
      <c r="L202" s="1496">
        <f>'AR-Eq'!I202</f>
        <v>19466.666666666664</v>
      </c>
      <c r="M202" s="699" t="str">
        <f>'AR-Eq'!J202</f>
        <v>na</v>
      </c>
      <c r="N202" s="699">
        <f t="shared" si="45"/>
        <v>19466.666666666664</v>
      </c>
      <c r="O202" s="1529">
        <f>IF(OR(N202="na",$E202="no"),"na",N202/Eqtn!$D$387)</f>
        <v>648888.88888888888</v>
      </c>
      <c r="P202" s="1529" t="s">
        <v>232</v>
      </c>
      <c r="Q202" s="760" t="s">
        <v>232</v>
      </c>
      <c r="S202" s="1062"/>
    </row>
    <row r="203" spans="1:19" ht="13.9" customHeight="1" x14ac:dyDescent="0.25">
      <c r="A203" s="846">
        <f>Chem!A203</f>
        <v>201</v>
      </c>
      <c r="B203" s="937" t="str">
        <f>Chem!B203</f>
        <v>Methyl iodide</v>
      </c>
      <c r="C203" s="384" t="str">
        <f>'AR-Eq'!E203</f>
        <v>na</v>
      </c>
      <c r="D203" s="343" t="str">
        <f>'AR-Eq'!F203</f>
        <v>na</v>
      </c>
      <c r="E203" s="1300" t="str">
        <f>Param!AF203</f>
        <v>no</v>
      </c>
      <c r="F203" s="573" t="str">
        <f t="shared" si="49"/>
        <v>na</v>
      </c>
      <c r="G203" s="574" t="str">
        <f>IF(OR(F203="na",E203="no"),"na",F203/Eqtn!$D$387)</f>
        <v>na</v>
      </c>
      <c r="H203" s="306" t="str">
        <f>'AR-Eq'!G203</f>
        <v>na</v>
      </c>
      <c r="I203" s="306" t="str">
        <f>'AR-Eq'!H203</f>
        <v>na</v>
      </c>
      <c r="J203" s="693" t="str">
        <f t="shared" si="50"/>
        <v>na</v>
      </c>
      <c r="K203" s="699" t="str">
        <f>IF(OR(J203="na",E203="no"),"na",J203/Eqtn!$D$387)</f>
        <v>na</v>
      </c>
      <c r="L203" s="1496" t="str">
        <f>'AR-Eq'!I203</f>
        <v>na</v>
      </c>
      <c r="M203" s="699" t="str">
        <f>'AR-Eq'!J203</f>
        <v>na</v>
      </c>
      <c r="N203" s="699" t="str">
        <f t="shared" si="45"/>
        <v>na</v>
      </c>
      <c r="O203" s="1529" t="str">
        <f>IF(OR(N203="na",$E203="no"),"na",N203/Eqtn!$D$387)</f>
        <v>na</v>
      </c>
      <c r="P203" s="1529" t="s">
        <v>232</v>
      </c>
      <c r="Q203" s="760" t="s">
        <v>232</v>
      </c>
      <c r="S203" s="1062"/>
    </row>
    <row r="204" spans="1:19" ht="13.9" customHeight="1" x14ac:dyDescent="0.25">
      <c r="A204" s="846">
        <f>Chem!A204</f>
        <v>202</v>
      </c>
      <c r="B204" s="937" t="str">
        <f>Chem!B204</f>
        <v>Methyl isobutyl ketone</v>
      </c>
      <c r="C204" s="384">
        <f>'AR-Eq'!E204</f>
        <v>1371.4285714285713</v>
      </c>
      <c r="D204" s="343" t="str">
        <f>'AR-Eq'!F204</f>
        <v>na</v>
      </c>
      <c r="E204" s="1300" t="str">
        <f>Param!AF204</f>
        <v>YES</v>
      </c>
      <c r="F204" s="573">
        <f t="shared" si="49"/>
        <v>1371.4285714285713</v>
      </c>
      <c r="G204" s="574">
        <f>IF(OR(F204="na",E204="no"),"na",F204/Eqtn!$D$387)</f>
        <v>45714.28571428571</v>
      </c>
      <c r="H204" s="306">
        <f>'AR-Eq'!G204</f>
        <v>3000</v>
      </c>
      <c r="I204" s="306" t="str">
        <f>'AR-Eq'!H204</f>
        <v>na</v>
      </c>
      <c r="J204" s="693">
        <f t="shared" si="50"/>
        <v>3000</v>
      </c>
      <c r="K204" s="699">
        <f>IF(OR(J204="na",E204="no"),"na",J204/Eqtn!$D$387)</f>
        <v>100000</v>
      </c>
      <c r="L204" s="1496">
        <f>'AR-Eq'!I204</f>
        <v>11679.999999999998</v>
      </c>
      <c r="M204" s="699" t="str">
        <f>'AR-Eq'!J204</f>
        <v>na</v>
      </c>
      <c r="N204" s="699">
        <f t="shared" si="45"/>
        <v>11679.999999999998</v>
      </c>
      <c r="O204" s="1529">
        <f>IF(OR(N204="na",$E204="no"),"na",N204/Eqtn!$D$387)</f>
        <v>389333.33333333331</v>
      </c>
      <c r="P204" s="1529" t="s">
        <v>232</v>
      </c>
      <c r="Q204" s="760" t="s">
        <v>232</v>
      </c>
      <c r="S204" s="1062"/>
    </row>
    <row r="205" spans="1:19" ht="13.9" customHeight="1" x14ac:dyDescent="0.25">
      <c r="A205" s="846">
        <f>Chem!A205</f>
        <v>203</v>
      </c>
      <c r="B205" s="937" t="str">
        <f>Chem!B205</f>
        <v>Methyl tert-butyl ether (MTBE)</v>
      </c>
      <c r="C205" s="384">
        <f>'AR-Eq'!E205</f>
        <v>1371.4285714285713</v>
      </c>
      <c r="D205" s="343">
        <f>'AR-Eq'!F205</f>
        <v>9.615384615384615</v>
      </c>
      <c r="E205" s="1300" t="str">
        <f>Param!AF205</f>
        <v>YES</v>
      </c>
      <c r="F205" s="576">
        <f t="shared" si="49"/>
        <v>9.615384615384615</v>
      </c>
      <c r="G205" s="574">
        <f>IF(OR(F205="na",E205="no"),"na",F205/Eqtn!$D$387)</f>
        <v>320.5128205128205</v>
      </c>
      <c r="H205" s="307">
        <f>'AR-Eq'!G205</f>
        <v>3000</v>
      </c>
      <c r="I205" s="307">
        <f>'AR-Eq'!H205</f>
        <v>96.153846153846175</v>
      </c>
      <c r="J205" s="696">
        <f t="shared" si="50"/>
        <v>96.153846153846175</v>
      </c>
      <c r="K205" s="699">
        <f>IF(OR(J205="na",E205="no"),"na",J205/Eqtn!$D$387)</f>
        <v>3205.128205128206</v>
      </c>
      <c r="L205" s="1496">
        <f>'AR-Eq'!I205</f>
        <v>11679.999999999998</v>
      </c>
      <c r="M205" s="699">
        <f>'AR-Eq'!J205</f>
        <v>44.923076923076913</v>
      </c>
      <c r="N205" s="699">
        <f t="shared" si="45"/>
        <v>44.923076923076913</v>
      </c>
      <c r="O205" s="1529">
        <f>IF(OR(N205="na",$E205="no"),"na",N205/Eqtn!$D$387)</f>
        <v>1497.4358974358972</v>
      </c>
      <c r="P205" s="1529" t="s">
        <v>232</v>
      </c>
      <c r="Q205" s="760" t="s">
        <v>232</v>
      </c>
      <c r="S205" s="1062"/>
    </row>
    <row r="206" spans="1:19" ht="13.9" customHeight="1" x14ac:dyDescent="0.25">
      <c r="A206" s="846">
        <f>Chem!A206</f>
        <v>204</v>
      </c>
      <c r="B206" s="937" t="str">
        <f>Chem!B206</f>
        <v>Methylene chloride</v>
      </c>
      <c r="C206" s="384">
        <f>'AR-Eq'!E206</f>
        <v>274.28571428571428</v>
      </c>
      <c r="D206" s="343">
        <f>'AR-Eq'!F206</f>
        <v>66</v>
      </c>
      <c r="E206" s="1300" t="str">
        <f>Param!AF206</f>
        <v>YES</v>
      </c>
      <c r="F206" s="575">
        <f t="shared" si="49"/>
        <v>66</v>
      </c>
      <c r="G206" s="574">
        <f>IF(OR(F206="na",E206="no"),"na",F206/Eqtn!$D$387)</f>
        <v>2200</v>
      </c>
      <c r="H206" s="17">
        <f>'AR-Eq'!G206</f>
        <v>600</v>
      </c>
      <c r="I206" s="17">
        <f>'AR-Eq'!H206</f>
        <v>2499.9999999999995</v>
      </c>
      <c r="J206" s="694">
        <f t="shared" si="50"/>
        <v>600</v>
      </c>
      <c r="K206" s="699">
        <f>IF(OR(J206="na",E206="no"),"na",J206/Eqtn!$D$387)</f>
        <v>20000</v>
      </c>
      <c r="L206" s="1496">
        <f>'AR-Eq'!I206</f>
        <v>2335.9999999999995</v>
      </c>
      <c r="M206" s="699">
        <f>'AR-Eq'!J206</f>
        <v>1167.9999999999993</v>
      </c>
      <c r="N206" s="699">
        <f t="shared" si="45"/>
        <v>1167.9999999999993</v>
      </c>
      <c r="O206" s="1529">
        <f>IF(OR(N206="na",$E206="no"),"na",N206/Eqtn!$D$387)</f>
        <v>38933.333333333314</v>
      </c>
      <c r="P206" s="1529" t="s">
        <v>232</v>
      </c>
      <c r="Q206" s="760" t="s">
        <v>232</v>
      </c>
      <c r="S206" s="1062"/>
    </row>
    <row r="207" spans="1:19" ht="13.9" customHeight="1" x14ac:dyDescent="0.25">
      <c r="A207" s="846">
        <f>Chem!A207</f>
        <v>205</v>
      </c>
      <c r="B207" s="937" t="str">
        <f>Chem!B207</f>
        <v>2-Pentanone</v>
      </c>
      <c r="C207" s="384" t="str">
        <f>'AR-Eq'!E207</f>
        <v>na</v>
      </c>
      <c r="D207" s="343" t="str">
        <f>'AR-Eq'!F207</f>
        <v>na</v>
      </c>
      <c r="E207" s="1300" t="str">
        <f>Param!AF207</f>
        <v>no</v>
      </c>
      <c r="F207" s="573" t="str">
        <f t="shared" si="49"/>
        <v>na</v>
      </c>
      <c r="G207" s="574" t="str">
        <f>IF(OR(F207="na",E207="no"),"na",F207/Eqtn!$D$387)</f>
        <v>na</v>
      </c>
      <c r="H207" s="306" t="str">
        <f>'AR-Eq'!G207</f>
        <v>na</v>
      </c>
      <c r="I207" s="306" t="str">
        <f>'AR-Eq'!H207</f>
        <v>na</v>
      </c>
      <c r="J207" s="693" t="str">
        <f t="shared" si="50"/>
        <v>na</v>
      </c>
      <c r="K207" s="699" t="str">
        <f>IF(OR(J207="na",E207="no"),"na",J207/Eqtn!$D$387)</f>
        <v>na</v>
      </c>
      <c r="L207" s="1496" t="str">
        <f>'AR-Eq'!I207</f>
        <v>na</v>
      </c>
      <c r="M207" s="699" t="str">
        <f>'AR-Eq'!J207</f>
        <v>na</v>
      </c>
      <c r="N207" s="699" t="str">
        <f t="shared" si="45"/>
        <v>na</v>
      </c>
      <c r="O207" s="1529" t="str">
        <f>IF(OR(N207="na",$E207="no"),"na",N207/Eqtn!$D$387)</f>
        <v>na</v>
      </c>
      <c r="P207" s="1529" t="s">
        <v>232</v>
      </c>
      <c r="Q207" s="760" t="s">
        <v>232</v>
      </c>
      <c r="S207" s="1062"/>
    </row>
    <row r="208" spans="1:19" ht="13.9" customHeight="1" x14ac:dyDescent="0.25">
      <c r="A208" s="846">
        <f>Chem!A208</f>
        <v>206</v>
      </c>
      <c r="B208" s="937" t="str">
        <f>Chem!B208</f>
        <v>n-Propylbenzene</v>
      </c>
      <c r="C208" s="384">
        <f>'AR-Eq'!E208</f>
        <v>457.14285714285711</v>
      </c>
      <c r="D208" s="343" t="str">
        <f>'AR-Eq'!F208</f>
        <v>na</v>
      </c>
      <c r="E208" s="1300" t="str">
        <f>Param!AF208</f>
        <v>YES</v>
      </c>
      <c r="F208" s="573">
        <f t="shared" si="49"/>
        <v>457.14285714285711</v>
      </c>
      <c r="G208" s="574">
        <f>IF(OR(F208="na",E208="no"),"na",F208/Eqtn!$D$387)</f>
        <v>15238.095238095237</v>
      </c>
      <c r="H208" s="306">
        <f>'AR-Eq'!G208</f>
        <v>1000</v>
      </c>
      <c r="I208" s="306" t="str">
        <f>'AR-Eq'!H208</f>
        <v>na</v>
      </c>
      <c r="J208" s="693">
        <f t="shared" si="50"/>
        <v>1000</v>
      </c>
      <c r="K208" s="699">
        <f>IF(OR(J208="na",E208="no"),"na",J208/Eqtn!$D$387)</f>
        <v>33333.333333333336</v>
      </c>
      <c r="L208" s="1496">
        <f>'AR-Eq'!I208</f>
        <v>3893.3333333333326</v>
      </c>
      <c r="M208" s="699" t="str">
        <f>'AR-Eq'!J208</f>
        <v>na</v>
      </c>
      <c r="N208" s="699">
        <f t="shared" si="45"/>
        <v>3893.3333333333326</v>
      </c>
      <c r="O208" s="1529">
        <f>IF(OR(N208="na",$E208="no"),"na",N208/Eqtn!$D$387)</f>
        <v>129777.77777777775</v>
      </c>
      <c r="P208" s="1529" t="s">
        <v>232</v>
      </c>
      <c r="Q208" s="760" t="s">
        <v>232</v>
      </c>
      <c r="S208" s="1062"/>
    </row>
    <row r="209" spans="1:19" ht="13.9" customHeight="1" x14ac:dyDescent="0.25">
      <c r="A209" s="846">
        <f>Chem!A209</f>
        <v>207</v>
      </c>
      <c r="B209" s="937" t="str">
        <f>Chem!B209</f>
        <v>Styrene</v>
      </c>
      <c r="C209" s="384">
        <f>'AR-Eq'!E209</f>
        <v>457.14285714285711</v>
      </c>
      <c r="D209" s="343" t="str">
        <f>'AR-Eq'!F209</f>
        <v>na</v>
      </c>
      <c r="E209" s="1300" t="str">
        <f>Param!AF209</f>
        <v>YES</v>
      </c>
      <c r="F209" s="573">
        <f t="shared" si="49"/>
        <v>457.14285714285711</v>
      </c>
      <c r="G209" s="574">
        <f>IF(OR(F209="na",E209="no"),"na",F209/Eqtn!$D$387)</f>
        <v>15238.095238095237</v>
      </c>
      <c r="H209" s="306">
        <f>'AR-Eq'!G209</f>
        <v>1000</v>
      </c>
      <c r="I209" s="306" t="str">
        <f>'AR-Eq'!H209</f>
        <v>na</v>
      </c>
      <c r="J209" s="693">
        <f t="shared" si="50"/>
        <v>1000</v>
      </c>
      <c r="K209" s="699">
        <f>IF(OR(J209="na",E209="no"),"na",J209/Eqtn!$D$387)</f>
        <v>33333.333333333336</v>
      </c>
      <c r="L209" s="1496">
        <f>'AR-Eq'!I209</f>
        <v>3893.3333333333326</v>
      </c>
      <c r="M209" s="699" t="str">
        <f>'AR-Eq'!J209</f>
        <v>na</v>
      </c>
      <c r="N209" s="699">
        <f t="shared" si="45"/>
        <v>3893.3333333333326</v>
      </c>
      <c r="O209" s="1529">
        <f>IF(OR(N209="na",$E209="no"),"na",N209/Eqtn!$D$387)</f>
        <v>129777.77777777775</v>
      </c>
      <c r="P209" s="1529" t="s">
        <v>232</v>
      </c>
      <c r="Q209" s="760" t="s">
        <v>232</v>
      </c>
      <c r="S209" s="1062"/>
    </row>
    <row r="210" spans="1:19" ht="13.9" customHeight="1" x14ac:dyDescent="0.25">
      <c r="A210" s="846">
        <f>Chem!A210</f>
        <v>208</v>
      </c>
      <c r="B210" s="937" t="str">
        <f>Chem!B210</f>
        <v>1,1,1,2-Tetrachloroethane</v>
      </c>
      <c r="C210" s="384" t="str">
        <f>'AR-Eq'!E210</f>
        <v>na</v>
      </c>
      <c r="D210" s="343">
        <f>'AR-Eq'!F210</f>
        <v>0.33783783783783783</v>
      </c>
      <c r="E210" s="1300" t="str">
        <f>Param!AF210</f>
        <v>YES</v>
      </c>
      <c r="F210" s="573">
        <f t="shared" si="49"/>
        <v>0.33783783783783783</v>
      </c>
      <c r="G210" s="574">
        <f>IF(OR(F210="na",E210="no"),"na",F210/Eqtn!$D$387)</f>
        <v>11.261261261261261</v>
      </c>
      <c r="H210" s="306" t="str">
        <f>'AR-Eq'!G210</f>
        <v>na</v>
      </c>
      <c r="I210" s="306">
        <f>'AR-Eq'!H210</f>
        <v>3.378378378378379</v>
      </c>
      <c r="J210" s="693">
        <f t="shared" si="50"/>
        <v>3.378378378378379</v>
      </c>
      <c r="K210" s="699">
        <f>IF(OR(J210="na",E210="no"),"na",J210/Eqtn!$D$387)</f>
        <v>112.61261261261264</v>
      </c>
      <c r="L210" s="1496" t="str">
        <f>'AR-Eq'!I210</f>
        <v>na</v>
      </c>
      <c r="M210" s="699">
        <f>'AR-Eq'!J210</f>
        <v>1.5783783783783778</v>
      </c>
      <c r="N210" s="699">
        <f t="shared" si="45"/>
        <v>1.5783783783783778</v>
      </c>
      <c r="O210" s="1529">
        <f>IF(OR(N210="na",$E210="no"),"na",N210/Eqtn!$D$387)</f>
        <v>52.612612612612594</v>
      </c>
      <c r="P210" s="1529" t="s">
        <v>232</v>
      </c>
      <c r="Q210" s="760" t="s">
        <v>232</v>
      </c>
      <c r="S210" s="1062"/>
    </row>
    <row r="211" spans="1:19" ht="13.9" customHeight="1" x14ac:dyDescent="0.25">
      <c r="A211" s="846">
        <f>Chem!A211</f>
        <v>209</v>
      </c>
      <c r="B211" s="937" t="str">
        <f>Chem!B211</f>
        <v>1,1,2,2-Tetrachloroethane</v>
      </c>
      <c r="C211" s="384" t="str">
        <f>'AR-Eq'!E211</f>
        <v>na</v>
      </c>
      <c r="D211" s="343">
        <f>'AR-Eq'!F211</f>
        <v>4.3103448275862065E-2</v>
      </c>
      <c r="E211" s="1300" t="str">
        <f>Param!AF211</f>
        <v>YES</v>
      </c>
      <c r="F211" s="573">
        <f t="shared" si="49"/>
        <v>4.3103448275862065E-2</v>
      </c>
      <c r="G211" s="574">
        <f>IF(OR(F211="na",E211="no"),"na",F211/Eqtn!$D$387)</f>
        <v>1.4367816091954022</v>
      </c>
      <c r="H211" s="306" t="str">
        <f>'AR-Eq'!G211</f>
        <v>na</v>
      </c>
      <c r="I211" s="306">
        <f>'AR-Eq'!H211</f>
        <v>0.43103448275862072</v>
      </c>
      <c r="J211" s="693">
        <f t="shared" si="50"/>
        <v>0.43103448275862072</v>
      </c>
      <c r="K211" s="699">
        <f>IF(OR(J211="na",E211="no"),"na",J211/Eqtn!$D$387)</f>
        <v>14.367816091954024</v>
      </c>
      <c r="L211" s="1496" t="str">
        <f>'AR-Eq'!I211</f>
        <v>na</v>
      </c>
      <c r="M211" s="699">
        <f>'AR-Eq'!J211</f>
        <v>0.20137931034482751</v>
      </c>
      <c r="N211" s="699">
        <f t="shared" si="45"/>
        <v>0.20137931034482751</v>
      </c>
      <c r="O211" s="1529">
        <f>IF(OR(N211="na",$E211="no"),"na",N211/Eqtn!$D$387)</f>
        <v>6.7126436781609167</v>
      </c>
      <c r="P211" s="1529" t="s">
        <v>232</v>
      </c>
      <c r="Q211" s="760" t="s">
        <v>232</v>
      </c>
      <c r="S211" s="1062"/>
    </row>
    <row r="212" spans="1:19" ht="13.9" customHeight="1" x14ac:dyDescent="0.25">
      <c r="A212" s="846">
        <f>Chem!A212</f>
        <v>210</v>
      </c>
      <c r="B212" s="937" t="str">
        <f>Chem!B212</f>
        <v>Tetrachloroethylene (PCE)</v>
      </c>
      <c r="C212" s="384">
        <f>'AR-Eq'!E212</f>
        <v>18.285714285714285</v>
      </c>
      <c r="D212" s="343">
        <f>'AR-Eq'!F212</f>
        <v>9.615384615384615</v>
      </c>
      <c r="E212" s="1300" t="str">
        <f>Param!AF212</f>
        <v>YES</v>
      </c>
      <c r="F212" s="575">
        <f t="shared" si="49"/>
        <v>9.615384615384615</v>
      </c>
      <c r="G212" s="574">
        <f>IF(OR(F212="na",E212="no"),"na",F212/Eqtn!$D$387)</f>
        <v>320.5128205128205</v>
      </c>
      <c r="H212" s="17">
        <f>'AR-Eq'!G212</f>
        <v>40</v>
      </c>
      <c r="I212" s="17">
        <f>'AR-Eq'!H212</f>
        <v>96.153846153846175</v>
      </c>
      <c r="J212" s="694">
        <f t="shared" si="50"/>
        <v>40</v>
      </c>
      <c r="K212" s="699">
        <f>IF(OR(J212="na",E212="no"),"na",J212/Eqtn!$D$387)</f>
        <v>1333.3333333333335</v>
      </c>
      <c r="L212" s="1496">
        <f>'AR-Eq'!I212</f>
        <v>155.73333333333329</v>
      </c>
      <c r="M212" s="699">
        <f>'AR-Eq'!J212</f>
        <v>44.923076923076913</v>
      </c>
      <c r="N212" s="699">
        <f t="shared" ref="N212:N228" si="57">IF(L212="na",IF(M212="na","na",M212),MIN(L212,M212))</f>
        <v>44.923076923076913</v>
      </c>
      <c r="O212" s="1529">
        <f>IF(OR(N212="na",$E212="no"),"na",N212/Eqtn!$D$387)</f>
        <v>1497.4358974358972</v>
      </c>
      <c r="P212" s="1529" t="s">
        <v>232</v>
      </c>
      <c r="Q212" s="760" t="s">
        <v>232</v>
      </c>
      <c r="S212" s="1062"/>
    </row>
    <row r="213" spans="1:19" ht="13.9" customHeight="1" x14ac:dyDescent="0.25">
      <c r="A213" s="846">
        <f>Chem!A213</f>
        <v>211</v>
      </c>
      <c r="B213" s="937" t="str">
        <f>Chem!B213</f>
        <v>Tetrahydrofuran</v>
      </c>
      <c r="C213" s="384">
        <f>'AR-Eq'!E213</f>
        <v>914.28571428571422</v>
      </c>
      <c r="D213" s="343" t="str">
        <f>'AR-Eq'!F213</f>
        <v>na</v>
      </c>
      <c r="E213" s="1300" t="str">
        <f>Param!AF213</f>
        <v>YES</v>
      </c>
      <c r="F213" s="575">
        <f t="shared" ref="F213" si="58">IF(C213="na",IF(D213="na","na",D213),MIN(C213,D213))</f>
        <v>914.28571428571422</v>
      </c>
      <c r="G213" s="574">
        <f>IF(OR(F213="na",E213="no"),"na",F213/Eqtn!$D$387)</f>
        <v>30476.190476190473</v>
      </c>
      <c r="H213" s="17">
        <f>'AR-Eq'!G213</f>
        <v>2000</v>
      </c>
      <c r="I213" s="17" t="str">
        <f>'AR-Eq'!H213</f>
        <v>na</v>
      </c>
      <c r="J213" s="694">
        <f t="shared" ref="J213" si="59">IF(H213="na",IF(I213="na","na",I213),MIN(H213,I213))</f>
        <v>2000</v>
      </c>
      <c r="K213" s="699">
        <f>IF(OR(J213="na",E213="no"),"na",J213/Eqtn!$D$387)</f>
        <v>66666.666666666672</v>
      </c>
      <c r="L213" s="1496">
        <f>'AR-Eq'!I213</f>
        <v>7786.6666666666652</v>
      </c>
      <c r="M213" s="699" t="str">
        <f>'AR-Eq'!J213</f>
        <v>na</v>
      </c>
      <c r="N213" s="699">
        <f t="shared" si="57"/>
        <v>7786.6666666666652</v>
      </c>
      <c r="O213" s="1529">
        <f>IF(OR(N213="na",$E213="no"),"na",N213/Eqtn!$D$387)</f>
        <v>259555.5555555555</v>
      </c>
      <c r="P213" s="1529" t="s">
        <v>232</v>
      </c>
      <c r="Q213" s="760" t="s">
        <v>232</v>
      </c>
      <c r="S213" s="1062"/>
    </row>
    <row r="214" spans="1:19" ht="13.9" customHeight="1" x14ac:dyDescent="0.25">
      <c r="A214" s="846">
        <f>Chem!A214</f>
        <v>212</v>
      </c>
      <c r="B214" s="937" t="str">
        <f>Chem!B214</f>
        <v>Toluene</v>
      </c>
      <c r="C214" s="384">
        <f>'AR-Eq'!E214</f>
        <v>2285.7142857142858</v>
      </c>
      <c r="D214" s="343" t="str">
        <f>'AR-Eq'!F214</f>
        <v>na</v>
      </c>
      <c r="E214" s="1300" t="str">
        <f>Param!AF214</f>
        <v>YES</v>
      </c>
      <c r="F214" s="573">
        <f t="shared" si="49"/>
        <v>2285.7142857142858</v>
      </c>
      <c r="G214" s="574">
        <f>IF(OR(F214="na",E214="no"),"na",F214/Eqtn!$D$387)</f>
        <v>76190.476190476198</v>
      </c>
      <c r="H214" s="306">
        <f>'AR-Eq'!G214</f>
        <v>5000</v>
      </c>
      <c r="I214" s="306" t="str">
        <f>'AR-Eq'!H214</f>
        <v>na</v>
      </c>
      <c r="J214" s="693">
        <f t="shared" si="50"/>
        <v>5000</v>
      </c>
      <c r="K214" s="699">
        <f>IF(OR(J214="na",E214="no"),"na",J214/Eqtn!$D$387)</f>
        <v>166666.66666666669</v>
      </c>
      <c r="L214" s="1496">
        <f>'AR-Eq'!I214</f>
        <v>19466.666666666664</v>
      </c>
      <c r="M214" s="699" t="str">
        <f>'AR-Eq'!J214</f>
        <v>na</v>
      </c>
      <c r="N214" s="699">
        <f t="shared" si="57"/>
        <v>19466.666666666664</v>
      </c>
      <c r="O214" s="1529">
        <f>IF(OR(N214="na",$E214="no"),"na",N214/Eqtn!$D$387)</f>
        <v>648888.88888888888</v>
      </c>
      <c r="P214" s="1529" t="s">
        <v>232</v>
      </c>
      <c r="Q214" s="760" t="s">
        <v>232</v>
      </c>
      <c r="S214" s="1062"/>
    </row>
    <row r="215" spans="1:19" ht="13.9" customHeight="1" x14ac:dyDescent="0.25">
      <c r="A215" s="846">
        <f>Chem!A215</f>
        <v>213</v>
      </c>
      <c r="B215" s="937" t="str">
        <f>Chem!B215</f>
        <v>1,2,3-Trichlorobenzene</v>
      </c>
      <c r="C215" s="384" t="str">
        <f>'AR-Eq'!E215</f>
        <v>na</v>
      </c>
      <c r="D215" s="343" t="str">
        <f>'AR-Eq'!F215</f>
        <v>na</v>
      </c>
      <c r="E215" s="1300" t="str">
        <f>Param!AF215</f>
        <v>no</v>
      </c>
      <c r="F215" s="573" t="str">
        <f t="shared" si="49"/>
        <v>na</v>
      </c>
      <c r="G215" s="574" t="str">
        <f>IF(OR(F215="na",E215="no"),"na",F215/Eqtn!$D$387)</f>
        <v>na</v>
      </c>
      <c r="H215" s="306" t="str">
        <f>'AR-Eq'!G215</f>
        <v>na</v>
      </c>
      <c r="I215" s="306" t="str">
        <f>'AR-Eq'!H215</f>
        <v>na</v>
      </c>
      <c r="J215" s="693" t="str">
        <f t="shared" si="50"/>
        <v>na</v>
      </c>
      <c r="K215" s="699" t="str">
        <f>IF(OR(J215="na",E215="no"),"na",J215/Eqtn!$D$387)</f>
        <v>na</v>
      </c>
      <c r="L215" s="1496" t="str">
        <f>'AR-Eq'!I215</f>
        <v>na</v>
      </c>
      <c r="M215" s="699" t="str">
        <f>'AR-Eq'!J215</f>
        <v>na</v>
      </c>
      <c r="N215" s="699" t="str">
        <f t="shared" si="57"/>
        <v>na</v>
      </c>
      <c r="O215" s="1529" t="str">
        <f>IF(OR(N215="na",$E215="no"),"na",N215/Eqtn!$D$387)</f>
        <v>na</v>
      </c>
      <c r="P215" s="1529" t="s">
        <v>232</v>
      </c>
      <c r="Q215" s="760" t="s">
        <v>232</v>
      </c>
      <c r="S215" s="1062"/>
    </row>
    <row r="216" spans="1:19" ht="13.9" customHeight="1" x14ac:dyDescent="0.25">
      <c r="A216" s="846">
        <f>Chem!A216</f>
        <v>214</v>
      </c>
      <c r="B216" s="937" t="str">
        <f>Chem!B216</f>
        <v>1,1,1-Trichloroethane</v>
      </c>
      <c r="C216" s="384">
        <f>'AR-Eq'!E216</f>
        <v>2285.7142857142858</v>
      </c>
      <c r="D216" s="343" t="str">
        <f>'AR-Eq'!F216</f>
        <v>na</v>
      </c>
      <c r="E216" s="1300" t="str">
        <f>Param!AF216</f>
        <v>YES</v>
      </c>
      <c r="F216" s="573">
        <f t="shared" ref="F216:F228" si="60">IF(C216="na",IF(D216="na","na",D216),MIN(C216,D216))</f>
        <v>2285.7142857142858</v>
      </c>
      <c r="G216" s="574">
        <f>IF(OR(F216="na",E216="no"),"na",F216/Eqtn!$D$387)</f>
        <v>76190.476190476198</v>
      </c>
      <c r="H216" s="306">
        <f>'AR-Eq'!G216</f>
        <v>5000</v>
      </c>
      <c r="I216" s="306" t="str">
        <f>'AR-Eq'!H216</f>
        <v>na</v>
      </c>
      <c r="J216" s="693">
        <f t="shared" ref="J216:J228" si="61">IF(H216="na",IF(I216="na","na",I216),MIN(H216,I216))</f>
        <v>5000</v>
      </c>
      <c r="K216" s="699">
        <f>IF(OR(J216="na",E216="no"),"na",J216/Eqtn!$D$387)</f>
        <v>166666.66666666669</v>
      </c>
      <c r="L216" s="1496">
        <f>'AR-Eq'!I216</f>
        <v>19466.666666666664</v>
      </c>
      <c r="M216" s="699" t="str">
        <f>'AR-Eq'!J216</f>
        <v>na</v>
      </c>
      <c r="N216" s="699">
        <f t="shared" si="57"/>
        <v>19466.666666666664</v>
      </c>
      <c r="O216" s="1529">
        <f>IF(OR(N216="na",$E216="no"),"na",N216/Eqtn!$D$387)</f>
        <v>648888.88888888888</v>
      </c>
      <c r="P216" s="1529" t="s">
        <v>232</v>
      </c>
      <c r="Q216" s="760" t="s">
        <v>232</v>
      </c>
      <c r="S216" s="1062"/>
    </row>
    <row r="217" spans="1:19" ht="13.9" customHeight="1" x14ac:dyDescent="0.25">
      <c r="A217" s="846">
        <f>Chem!A217</f>
        <v>215</v>
      </c>
      <c r="B217" s="937" t="str">
        <f>Chem!B217</f>
        <v>1,1,2-Trichloroethane</v>
      </c>
      <c r="C217" s="384">
        <f>'AR-Eq'!E217</f>
        <v>9.1428571428571428E-2</v>
      </c>
      <c r="D217" s="343">
        <f>'AR-Eq'!F217</f>
        <v>0.15625</v>
      </c>
      <c r="E217" s="1300" t="str">
        <f>Param!AF217</f>
        <v>YES</v>
      </c>
      <c r="F217" s="575">
        <f t="shared" si="60"/>
        <v>9.1428571428571428E-2</v>
      </c>
      <c r="G217" s="574">
        <f>IF(OR(F217="na",E217="no"),"na",F217/Eqtn!$D$387)</f>
        <v>3.0476190476190479</v>
      </c>
      <c r="H217" s="17">
        <f>'AR-Eq'!G217</f>
        <v>0.19999999999999998</v>
      </c>
      <c r="I217" s="17">
        <f>'AR-Eq'!H217</f>
        <v>1.5625000000000002</v>
      </c>
      <c r="J217" s="694">
        <f t="shared" si="61"/>
        <v>0.19999999999999998</v>
      </c>
      <c r="K217" s="699">
        <f>IF(OR(J217="na",E217="no"),"na",J217/Eqtn!$D$387)</f>
        <v>6.6666666666666661</v>
      </c>
      <c r="L217" s="1496">
        <f>'AR-Eq'!I217</f>
        <v>0.77866666666666651</v>
      </c>
      <c r="M217" s="699">
        <f>'AR-Eq'!J217</f>
        <v>0.72999999999999987</v>
      </c>
      <c r="N217" s="699">
        <f t="shared" si="57"/>
        <v>0.72999999999999987</v>
      </c>
      <c r="O217" s="1529">
        <f>IF(OR(N217="na",$E217="no"),"na",N217/Eqtn!$D$387)</f>
        <v>24.333333333333329</v>
      </c>
      <c r="P217" s="1529" t="s">
        <v>232</v>
      </c>
      <c r="Q217" s="760" t="s">
        <v>232</v>
      </c>
      <c r="S217" s="1062"/>
    </row>
    <row r="218" spans="1:19" ht="13.9" customHeight="1" x14ac:dyDescent="0.25">
      <c r="A218" s="846">
        <f>Chem!A218</f>
        <v>216</v>
      </c>
      <c r="B218" s="937" t="str">
        <f>Chem!B218</f>
        <v>Trichloroethylene (TCE)</v>
      </c>
      <c r="C218" s="384">
        <f>'AR-Eq'!E218</f>
        <v>0.9</v>
      </c>
      <c r="D218" s="343">
        <f>'AR-Eq'!F218</f>
        <v>0.33</v>
      </c>
      <c r="E218" s="1300" t="str">
        <f>Param!AF218</f>
        <v>YES</v>
      </c>
      <c r="F218" s="575">
        <f t="shared" si="60"/>
        <v>0.33</v>
      </c>
      <c r="G218" s="574">
        <f>IF(OR(F218="na",E218="no"),"na",F218/Eqtn!$D$387)</f>
        <v>11.000000000000002</v>
      </c>
      <c r="H218" s="17">
        <f>'AR-Eq'!G218</f>
        <v>2</v>
      </c>
      <c r="I218" s="17">
        <f>'AR-Eq'!H218</f>
        <v>6.0975609756097571</v>
      </c>
      <c r="J218" s="694">
        <f t="shared" si="61"/>
        <v>2</v>
      </c>
      <c r="K218" s="699">
        <f>IF(OR(J218="na",E218="no"),"na",J218/Eqtn!$D$387)</f>
        <v>66.666666666666671</v>
      </c>
      <c r="L218" s="1496">
        <f>'AR-Eq'!I218</f>
        <v>7.7866666666666662</v>
      </c>
      <c r="M218" s="699">
        <f>'AR-Eq'!J218</f>
        <v>2.8487804878048775</v>
      </c>
      <c r="N218" s="699">
        <f t="shared" si="57"/>
        <v>2.8487804878048775</v>
      </c>
      <c r="O218" s="1529">
        <f>IF(OR(N218="na",$E218="no"),"na",N218/Eqtn!$D$387)</f>
        <v>94.959349593495915</v>
      </c>
      <c r="P218" s="1597">
        <v>7.5</v>
      </c>
      <c r="Q218" s="1598">
        <v>250</v>
      </c>
      <c r="S218" s="1062"/>
    </row>
    <row r="219" spans="1:19" ht="13.9" customHeight="1" x14ac:dyDescent="0.25">
      <c r="A219" s="846">
        <f>Chem!A219</f>
        <v>217</v>
      </c>
      <c r="B219" s="937" t="str">
        <f>Chem!B219</f>
        <v>Trichlorofluoroethane</v>
      </c>
      <c r="C219" s="384" t="str">
        <f>'AR-Eq'!E219</f>
        <v>na</v>
      </c>
      <c r="D219" s="343" t="str">
        <f>'AR-Eq'!F219</f>
        <v>na</v>
      </c>
      <c r="E219" s="1300" t="str">
        <f>Param!AF219</f>
        <v>no</v>
      </c>
      <c r="F219" s="573" t="str">
        <f t="shared" si="60"/>
        <v>na</v>
      </c>
      <c r="G219" s="574" t="str">
        <f>IF(OR(F219="na",E219="no"),"na",F219/Eqtn!$D$387)</f>
        <v>na</v>
      </c>
      <c r="H219" s="306" t="str">
        <f>'AR-Eq'!G219</f>
        <v>na</v>
      </c>
      <c r="I219" s="306" t="str">
        <f>'AR-Eq'!H219</f>
        <v>na</v>
      </c>
      <c r="J219" s="693" t="str">
        <f t="shared" si="61"/>
        <v>na</v>
      </c>
      <c r="K219" s="699" t="str">
        <f>IF(OR(J219="na",E219="no"),"na",J219/Eqtn!$D$387)</f>
        <v>na</v>
      </c>
      <c r="L219" s="1496" t="str">
        <f>'AR-Eq'!I219</f>
        <v>na</v>
      </c>
      <c r="M219" s="699" t="str">
        <f>'AR-Eq'!J219</f>
        <v>na</v>
      </c>
      <c r="N219" s="699" t="str">
        <f t="shared" si="57"/>
        <v>na</v>
      </c>
      <c r="O219" s="1529" t="str">
        <f>IF(OR(N219="na",$E219="no"),"na",N219/Eqtn!$D$387)</f>
        <v>na</v>
      </c>
      <c r="P219" s="1529" t="s">
        <v>232</v>
      </c>
      <c r="Q219" s="760" t="s">
        <v>232</v>
      </c>
      <c r="S219" s="1062"/>
    </row>
    <row r="220" spans="1:19" ht="13.9" customHeight="1" x14ac:dyDescent="0.25">
      <c r="A220" s="846">
        <f>Chem!A220</f>
        <v>218</v>
      </c>
      <c r="B220" s="937" t="str">
        <f>Chem!B220</f>
        <v>Trichlorofluoromethane</v>
      </c>
      <c r="C220" s="384">
        <f>'AR-Eq'!E220</f>
        <v>320.00000000000006</v>
      </c>
      <c r="D220" s="343" t="str">
        <f>'AR-Eq'!F220</f>
        <v>na</v>
      </c>
      <c r="E220" s="1300" t="str">
        <f>Param!AF220</f>
        <v>YES</v>
      </c>
      <c r="F220" s="575">
        <f t="shared" si="60"/>
        <v>320.00000000000006</v>
      </c>
      <c r="G220" s="574">
        <f>IF(OR(F220="na",E220="no"),"na",F220/Eqtn!$D$387)</f>
        <v>10666.66666666667</v>
      </c>
      <c r="H220" s="17">
        <f>'AR-Eq'!G220</f>
        <v>700.00000000000011</v>
      </c>
      <c r="I220" s="17" t="str">
        <f>'AR-Eq'!H220</f>
        <v>na</v>
      </c>
      <c r="J220" s="694">
        <f t="shared" si="61"/>
        <v>700.00000000000011</v>
      </c>
      <c r="K220" s="699">
        <f>IF(OR(J220="na",E220="no"),"na",J220/Eqtn!$D$387)</f>
        <v>23333.333333333339</v>
      </c>
      <c r="L220" s="1496">
        <f>'AR-Eq'!I220</f>
        <v>2725.3333333333335</v>
      </c>
      <c r="M220" s="699" t="str">
        <f>'AR-Eq'!J220</f>
        <v>na</v>
      </c>
      <c r="N220" s="699">
        <f t="shared" si="57"/>
        <v>2725.3333333333335</v>
      </c>
      <c r="O220" s="1529">
        <f>IF(OR(N220="na",$E220="no"),"na",N220/Eqtn!$D$387)</f>
        <v>90844.444444444453</v>
      </c>
      <c r="P220" s="1529" t="s">
        <v>232</v>
      </c>
      <c r="Q220" s="760" t="s">
        <v>232</v>
      </c>
      <c r="S220" s="1062"/>
    </row>
    <row r="221" spans="1:19" ht="13.9" customHeight="1" x14ac:dyDescent="0.25">
      <c r="A221" s="846">
        <f>Chem!A221</f>
        <v>219</v>
      </c>
      <c r="B221" s="937" t="str">
        <f>Chem!B221</f>
        <v>1,2,3-Trichloropropane</v>
      </c>
      <c r="C221" s="384">
        <f>'AR-Eq'!E221</f>
        <v>0.13714285714285709</v>
      </c>
      <c r="D221" s="343" t="str">
        <f>'AR-Eq'!F221</f>
        <v>na</v>
      </c>
      <c r="E221" s="1300" t="str">
        <f>Param!AF221</f>
        <v>YES</v>
      </c>
      <c r="F221" s="575">
        <f t="shared" si="60"/>
        <v>0.13714285714285709</v>
      </c>
      <c r="G221" s="574">
        <f>IF(OR(F221="na",E221="no"),"na",F221/Eqtn!$D$387)</f>
        <v>4.5714285714285703</v>
      </c>
      <c r="H221" s="17">
        <f>'AR-Eq'!G221</f>
        <v>0.29999999999999988</v>
      </c>
      <c r="I221" s="17" t="str">
        <f>'AR-Eq'!H221</f>
        <v>na</v>
      </c>
      <c r="J221" s="694">
        <f t="shared" si="61"/>
        <v>0.29999999999999988</v>
      </c>
      <c r="K221" s="699">
        <f>IF(OR(J221="na",E221="no"),"na",J221/Eqtn!$D$387)</f>
        <v>9.9999999999999964</v>
      </c>
      <c r="L221" s="1496">
        <f>'AR-Eq'!I221</f>
        <v>1.1679999999999995</v>
      </c>
      <c r="M221" s="699" t="str">
        <f>'AR-Eq'!J221</f>
        <v>na</v>
      </c>
      <c r="N221" s="699">
        <f t="shared" si="57"/>
        <v>1.1679999999999995</v>
      </c>
      <c r="O221" s="1529">
        <f>IF(OR(N221="na",$E221="no"),"na",N221/Eqtn!$D$387)</f>
        <v>38.933333333333316</v>
      </c>
      <c r="P221" s="1529" t="s">
        <v>232</v>
      </c>
      <c r="Q221" s="760" t="s">
        <v>232</v>
      </c>
      <c r="S221" s="1062"/>
    </row>
    <row r="222" spans="1:19" ht="13.9" customHeight="1" x14ac:dyDescent="0.25">
      <c r="A222" s="846">
        <f>Chem!A222</f>
        <v>220</v>
      </c>
      <c r="B222" s="937" t="str">
        <f>Chem!B222</f>
        <v>Trichlorotrifluoroethane</v>
      </c>
      <c r="C222" s="384">
        <f>'AR-Eq'!E222</f>
        <v>2285.7142857142858</v>
      </c>
      <c r="D222" s="343" t="str">
        <f>'AR-Eq'!F222</f>
        <v>na</v>
      </c>
      <c r="E222" s="1300" t="str">
        <f>Param!AF222</f>
        <v>YES</v>
      </c>
      <c r="F222" s="575">
        <f t="shared" si="60"/>
        <v>2285.7142857142858</v>
      </c>
      <c r="G222" s="574">
        <f>IF(OR(F222="na",E222="no"),"na",F222/Eqtn!$D$387)</f>
        <v>76190.476190476198</v>
      </c>
      <c r="H222" s="17">
        <f>'AR-Eq'!G222</f>
        <v>5000</v>
      </c>
      <c r="I222" s="17" t="str">
        <f>'AR-Eq'!H222</f>
        <v>na</v>
      </c>
      <c r="J222" s="694">
        <f t="shared" si="61"/>
        <v>5000</v>
      </c>
      <c r="K222" s="699">
        <f>IF(OR(J222="na",E222="no"),"na",J222/Eqtn!$D$387)</f>
        <v>166666.66666666669</v>
      </c>
      <c r="L222" s="1496">
        <f>'AR-Eq'!I222</f>
        <v>19466.666666666664</v>
      </c>
      <c r="M222" s="699" t="str">
        <f>'AR-Eq'!J222</f>
        <v>na</v>
      </c>
      <c r="N222" s="699">
        <f t="shared" si="57"/>
        <v>19466.666666666664</v>
      </c>
      <c r="O222" s="1529">
        <f>IF(OR(N222="na",$E222="no"),"na",N222/Eqtn!$D$387)</f>
        <v>648888.88888888888</v>
      </c>
      <c r="P222" s="1529" t="s">
        <v>232</v>
      </c>
      <c r="Q222" s="760" t="s">
        <v>232</v>
      </c>
      <c r="S222" s="1062"/>
    </row>
    <row r="223" spans="1:19" ht="13.9" customHeight="1" x14ac:dyDescent="0.25">
      <c r="A223" s="846">
        <f>Chem!A223</f>
        <v>221</v>
      </c>
      <c r="B223" s="937" t="str">
        <f>Chem!B223</f>
        <v>1,2,3-Trimethylbenzene</v>
      </c>
      <c r="C223" s="394">
        <f>'AR-Eq'!E223</f>
        <v>27.428571428571431</v>
      </c>
      <c r="D223" s="338" t="str">
        <f>'AR-Eq'!F223</f>
        <v>na</v>
      </c>
      <c r="E223" s="1303" t="str">
        <f>Param!AF223</f>
        <v>YES</v>
      </c>
      <c r="F223" s="573">
        <f t="shared" si="60"/>
        <v>27.428571428571431</v>
      </c>
      <c r="G223" s="574">
        <f>IF(OR(F223="na",E223="no"),"na",F223/Eqtn!$D$387)</f>
        <v>914.28571428571433</v>
      </c>
      <c r="H223" s="306">
        <f>'AR-Eq'!G223</f>
        <v>60</v>
      </c>
      <c r="I223" s="306" t="str">
        <f>'AR-Eq'!H223</f>
        <v>na</v>
      </c>
      <c r="J223" s="693">
        <f t="shared" si="61"/>
        <v>60</v>
      </c>
      <c r="K223" s="699">
        <f>IF(OR(J223="na",E223="no"),"na",J223/Eqtn!$D$387)</f>
        <v>2000</v>
      </c>
      <c r="L223" s="1496">
        <f>'AR-Eq'!I223</f>
        <v>233.59999999999997</v>
      </c>
      <c r="M223" s="699" t="str">
        <f>'AR-Eq'!J223</f>
        <v>na</v>
      </c>
      <c r="N223" s="699">
        <f t="shared" si="57"/>
        <v>233.59999999999997</v>
      </c>
      <c r="O223" s="1529">
        <f>IF(OR(N223="na",$E223="no"),"na",N223/Eqtn!$D$387)</f>
        <v>7786.6666666666661</v>
      </c>
      <c r="P223" s="1529" t="s">
        <v>232</v>
      </c>
      <c r="Q223" s="760" t="s">
        <v>232</v>
      </c>
      <c r="S223" s="1062"/>
    </row>
    <row r="224" spans="1:19" ht="13.9" customHeight="1" x14ac:dyDescent="0.25">
      <c r="A224" s="846">
        <f>Chem!A224</f>
        <v>222</v>
      </c>
      <c r="B224" s="937" t="str">
        <f>Chem!B224</f>
        <v>1,2,4-Trimethylbenzene</v>
      </c>
      <c r="C224" s="384">
        <f>'AR-Eq'!E224</f>
        <v>27.428571428571431</v>
      </c>
      <c r="D224" s="343" t="str">
        <f>'AR-Eq'!F224</f>
        <v>na</v>
      </c>
      <c r="E224" s="1300" t="str">
        <f>Param!AF224</f>
        <v>YES</v>
      </c>
      <c r="F224" s="576">
        <f t="shared" si="60"/>
        <v>27.428571428571431</v>
      </c>
      <c r="G224" s="574">
        <f>IF(OR(F224="na",E224="no"),"na",F224/Eqtn!$D$387)</f>
        <v>914.28571428571433</v>
      </c>
      <c r="H224" s="307">
        <f>'AR-Eq'!G224</f>
        <v>60</v>
      </c>
      <c r="I224" s="307" t="str">
        <f>'AR-Eq'!H224</f>
        <v>na</v>
      </c>
      <c r="J224" s="696">
        <f t="shared" si="61"/>
        <v>60</v>
      </c>
      <c r="K224" s="699">
        <f>IF(OR(J224="na",E224="no"),"na",J224/Eqtn!$D$387)</f>
        <v>2000</v>
      </c>
      <c r="L224" s="1496">
        <f>'AR-Eq'!I224</f>
        <v>233.59999999999997</v>
      </c>
      <c r="M224" s="699" t="str">
        <f>'AR-Eq'!J224</f>
        <v>na</v>
      </c>
      <c r="N224" s="699">
        <f t="shared" si="57"/>
        <v>233.59999999999997</v>
      </c>
      <c r="O224" s="1529">
        <f>IF(OR(N224="na",$E224="no"),"na",N224/Eqtn!$D$387)</f>
        <v>7786.6666666666661</v>
      </c>
      <c r="P224" s="1529" t="s">
        <v>232</v>
      </c>
      <c r="Q224" s="760" t="s">
        <v>232</v>
      </c>
      <c r="S224" s="1062"/>
    </row>
    <row r="225" spans="1:19" ht="13.9" customHeight="1" x14ac:dyDescent="0.25">
      <c r="A225" s="846">
        <f>Chem!A225</f>
        <v>223</v>
      </c>
      <c r="B225" s="937" t="str">
        <f>Chem!B225</f>
        <v>1,3,5-Trimethylbenzene</v>
      </c>
      <c r="C225" s="384">
        <f>'AR-Eq'!E225</f>
        <v>27.428571428571431</v>
      </c>
      <c r="D225" s="343" t="str">
        <f>'AR-Eq'!F225</f>
        <v>na</v>
      </c>
      <c r="E225" s="1300" t="str">
        <f>Param!AF225</f>
        <v>YES</v>
      </c>
      <c r="F225" s="573">
        <f t="shared" si="60"/>
        <v>27.428571428571431</v>
      </c>
      <c r="G225" s="574">
        <f>IF(OR(F225="na",E225="no"),"na",F225/Eqtn!$D$387)</f>
        <v>914.28571428571433</v>
      </c>
      <c r="H225" s="306">
        <f>'AR-Eq'!G225</f>
        <v>60</v>
      </c>
      <c r="I225" s="306" t="str">
        <f>'AR-Eq'!H225</f>
        <v>na</v>
      </c>
      <c r="J225" s="693">
        <f t="shared" si="61"/>
        <v>60</v>
      </c>
      <c r="K225" s="699">
        <f>IF(OR(J225="na",E225="no"),"na",J225/Eqtn!$D$387)</f>
        <v>2000</v>
      </c>
      <c r="L225" s="1496">
        <f>'AR-Eq'!I225</f>
        <v>233.59999999999997</v>
      </c>
      <c r="M225" s="699" t="str">
        <f>'AR-Eq'!J225</f>
        <v>na</v>
      </c>
      <c r="N225" s="699">
        <f t="shared" si="57"/>
        <v>233.59999999999997</v>
      </c>
      <c r="O225" s="1529">
        <f>IF(OR(N225="na",$E225="no"),"na",N225/Eqtn!$D$387)</f>
        <v>7786.6666666666661</v>
      </c>
      <c r="P225" s="1529" t="s">
        <v>232</v>
      </c>
      <c r="Q225" s="760" t="s">
        <v>232</v>
      </c>
      <c r="S225" s="1062"/>
    </row>
    <row r="226" spans="1:19" ht="13.9" customHeight="1" x14ac:dyDescent="0.25">
      <c r="A226" s="846">
        <f>Chem!A226</f>
        <v>224</v>
      </c>
      <c r="B226" s="937" t="str">
        <f>Chem!B226</f>
        <v>Vinyl acetate</v>
      </c>
      <c r="C226" s="384">
        <f>'AR-Eq'!E226</f>
        <v>91.428571428571416</v>
      </c>
      <c r="D226" s="343" t="str">
        <f>'AR-Eq'!F226</f>
        <v>na</v>
      </c>
      <c r="E226" s="1300" t="str">
        <f>Param!AF226</f>
        <v>YES</v>
      </c>
      <c r="F226" s="573">
        <f t="shared" si="60"/>
        <v>91.428571428571416</v>
      </c>
      <c r="G226" s="574">
        <f>IF(OR(F226="na",E226="no"),"na",F226/Eqtn!$D$387)</f>
        <v>3047.6190476190473</v>
      </c>
      <c r="H226" s="306">
        <f>'AR-Eq'!G226</f>
        <v>199.99999999999997</v>
      </c>
      <c r="I226" s="306" t="str">
        <f>'AR-Eq'!H226</f>
        <v>na</v>
      </c>
      <c r="J226" s="693">
        <f t="shared" si="61"/>
        <v>199.99999999999997</v>
      </c>
      <c r="K226" s="699">
        <f>IF(OR(J226="na",E226="no"),"na",J226/Eqtn!$D$387)</f>
        <v>6666.6666666666661</v>
      </c>
      <c r="L226" s="1496">
        <f>'AR-Eq'!I226</f>
        <v>778.6666666666664</v>
      </c>
      <c r="M226" s="699" t="str">
        <f>'AR-Eq'!J226</f>
        <v>na</v>
      </c>
      <c r="N226" s="699">
        <f t="shared" si="57"/>
        <v>778.6666666666664</v>
      </c>
      <c r="O226" s="1529">
        <f>IF(OR(N226="na",$E226="no"),"na",N226/Eqtn!$D$387)</f>
        <v>25955.555555555547</v>
      </c>
      <c r="P226" s="1529" t="s">
        <v>232</v>
      </c>
      <c r="Q226" s="760" t="s">
        <v>232</v>
      </c>
      <c r="S226" s="1062"/>
    </row>
    <row r="227" spans="1:19" ht="13.9" customHeight="1" x14ac:dyDescent="0.25">
      <c r="A227" s="846">
        <f>Chem!A227</f>
        <v>225</v>
      </c>
      <c r="B227" s="937" t="str">
        <f>Chem!B227</f>
        <v>Vinyl chloride</v>
      </c>
      <c r="C227" s="384">
        <f>'AR-Eq'!E227</f>
        <v>45.714285714285708</v>
      </c>
      <c r="D227" s="343">
        <f>'AR-Eq'!F227</f>
        <v>0.28409090909090906</v>
      </c>
      <c r="E227" s="1300" t="str">
        <f>Param!AF227</f>
        <v>YES</v>
      </c>
      <c r="F227" s="573">
        <f t="shared" si="60"/>
        <v>0.28409090909090906</v>
      </c>
      <c r="G227" s="574">
        <f>IF(OR(F227="na",E227="no"),"na",F227/Eqtn!$D$387)</f>
        <v>9.4696969696969688</v>
      </c>
      <c r="H227" s="306">
        <f>'AR-Eq'!G227</f>
        <v>99.999999999999986</v>
      </c>
      <c r="I227" s="306">
        <f>'AR-Eq'!H227</f>
        <v>2.8409090909090913</v>
      </c>
      <c r="J227" s="693">
        <f t="shared" si="61"/>
        <v>2.8409090909090913</v>
      </c>
      <c r="K227" s="699">
        <f>IF(OR(J227="na",E227="no"),"na",J227/Eqtn!$D$387)</f>
        <v>94.696969696969717</v>
      </c>
      <c r="L227" s="1496">
        <f>'AR-Eq'!I227</f>
        <v>389.3333333333332</v>
      </c>
      <c r="M227" s="699">
        <f>'AR-Eq'!J227</f>
        <v>1.3272727272727267</v>
      </c>
      <c r="N227" s="699">
        <f t="shared" si="57"/>
        <v>1.3272727272727267</v>
      </c>
      <c r="O227" s="1529">
        <f>IF(OR(N227="na",$E227="no"),"na",N227/Eqtn!$D$387)</f>
        <v>44.242424242424228</v>
      </c>
      <c r="P227" s="1529" t="s">
        <v>232</v>
      </c>
      <c r="Q227" s="760" t="s">
        <v>232</v>
      </c>
      <c r="S227" s="1062"/>
    </row>
    <row r="228" spans="1:19" ht="13.9" customHeight="1" x14ac:dyDescent="0.25">
      <c r="A228" s="1661">
        <f>Chem!A228</f>
        <v>226</v>
      </c>
      <c r="B228" s="937" t="str">
        <f>Chem!B228</f>
        <v>Total xylenes</v>
      </c>
      <c r="C228" s="392">
        <f>'AR-Eq'!E228</f>
        <v>45.714285714285708</v>
      </c>
      <c r="D228" s="532" t="str">
        <f>'AR-Eq'!F228</f>
        <v>na</v>
      </c>
      <c r="E228" s="1299" t="str">
        <f>Param!AF228</f>
        <v>YES</v>
      </c>
      <c r="F228" s="573">
        <f t="shared" si="60"/>
        <v>45.714285714285708</v>
      </c>
      <c r="G228" s="574">
        <f>IF(OR(F228="na",E228="no"),"na",F228/Eqtn!$D$387)</f>
        <v>1523.8095238095236</v>
      </c>
      <c r="H228" s="306">
        <f>'AR-Eq'!G228</f>
        <v>99.999999999999986</v>
      </c>
      <c r="I228" s="306" t="str">
        <f>'AR-Eq'!H228</f>
        <v>na</v>
      </c>
      <c r="J228" s="693">
        <f t="shared" si="61"/>
        <v>99.999999999999986</v>
      </c>
      <c r="K228" s="699">
        <f>IF(OR(J228="na",E228="no"),"na",J228/Eqtn!$D$387)</f>
        <v>3333.333333333333</v>
      </c>
      <c r="L228" s="1499">
        <f>'AR-Eq'!I228</f>
        <v>389.3333333333332</v>
      </c>
      <c r="M228" s="1500" t="str">
        <f>'AR-Eq'!J228</f>
        <v>na</v>
      </c>
      <c r="N228" s="1500">
        <f t="shared" si="57"/>
        <v>389.3333333333332</v>
      </c>
      <c r="O228" s="1530">
        <f>IF(OR(N228="na",$E228="no"),"na",N228/Eqtn!$D$387)</f>
        <v>12977.777777777774</v>
      </c>
      <c r="P228" s="1530" t="s">
        <v>232</v>
      </c>
      <c r="Q228" s="1501" t="s">
        <v>232</v>
      </c>
      <c r="S228" s="1062"/>
    </row>
    <row r="229" spans="1:19" ht="13.9" customHeight="1" thickBot="1" x14ac:dyDescent="0.3">
      <c r="A229" s="1197">
        <f>Chem!A229</f>
        <v>227</v>
      </c>
      <c r="B229" s="939" t="str">
        <f>Chem!B229</f>
        <v>PFAS</v>
      </c>
      <c r="C229" s="259"/>
      <c r="D229" s="259"/>
      <c r="E229" s="259"/>
      <c r="F229" s="259"/>
      <c r="G229" s="259"/>
      <c r="H229" s="259"/>
      <c r="I229" s="259"/>
      <c r="J229" s="259"/>
      <c r="K229" s="259"/>
      <c r="L229" s="259"/>
      <c r="M229" s="259"/>
      <c r="N229" s="259"/>
      <c r="O229" s="259"/>
      <c r="P229" s="259"/>
      <c r="Q229" s="1533"/>
      <c r="S229" s="2272"/>
    </row>
    <row r="230" spans="1:19" s="260" customFormat="1" ht="13.9" customHeight="1" thickTop="1" x14ac:dyDescent="0.25">
      <c r="A230" s="2247">
        <f>Chem!A230</f>
        <v>228</v>
      </c>
      <c r="B230" s="2389" t="str">
        <f>Chem!B230</f>
        <v>6:2 Fluorotelomer sulfonic acid (6:2 FTS)</v>
      </c>
      <c r="C230" s="1100" t="str">
        <f>'AR-Eq'!E230</f>
        <v>na</v>
      </c>
      <c r="D230" s="1100" t="str">
        <f>'AR-Eq'!F230</f>
        <v>na</v>
      </c>
      <c r="E230" s="2390" t="str">
        <f>Param!AF230</f>
        <v>no</v>
      </c>
      <c r="F230" s="2071" t="str">
        <f t="shared" ref="F230" si="62">IF(C230="na",IF(D230="na","na",D230),MIN(C230,D230))</f>
        <v>na</v>
      </c>
      <c r="G230" s="2071" t="str">
        <f>IF(OR(F230="na",E230="no"),"na",F230/Eqtn!$D$387)</f>
        <v>na</v>
      </c>
      <c r="H230" s="2070" t="str">
        <f>'AR-Eq'!G230</f>
        <v>na</v>
      </c>
      <c r="I230" s="2070" t="str">
        <f>'AR-Eq'!H230</f>
        <v>na</v>
      </c>
      <c r="J230" s="2070" t="str">
        <f t="shared" ref="J230" si="63">IF(H230="na",IF(I230="na","na",I230),MIN(H230,I230))</f>
        <v>na</v>
      </c>
      <c r="K230" s="2070" t="str">
        <f>IF(OR(J230="na",E230="no"),"na",J230/Eqtn!$D$387)</f>
        <v>na</v>
      </c>
      <c r="L230" s="2070" t="str">
        <f>'AR-Eq'!I230</f>
        <v>na</v>
      </c>
      <c r="M230" s="2070" t="str">
        <f>'AR-Eq'!J230</f>
        <v>na</v>
      </c>
      <c r="N230" s="2070" t="str">
        <f t="shared" ref="N230" si="64">IF(L230="na",IF(M230="na","na",M230),MIN(L230,M230))</f>
        <v>na</v>
      </c>
      <c r="O230" s="2070" t="str">
        <f>IF(OR(N230="na",$E230="no"),"na",N230/Eqtn!$D$387)</f>
        <v>na</v>
      </c>
      <c r="P230" s="2070" t="s">
        <v>232</v>
      </c>
      <c r="Q230" s="1902" t="s">
        <v>232</v>
      </c>
      <c r="S230" s="1987"/>
    </row>
    <row r="231" spans="1:19" ht="13.9" customHeight="1" x14ac:dyDescent="0.25">
      <c r="A231" s="846">
        <f>Chem!A231</f>
        <v>229</v>
      </c>
      <c r="B231" s="936" t="str">
        <f>Chem!B231</f>
        <v>GenX (HFPO-DA)</v>
      </c>
      <c r="C231" s="531" t="str">
        <f>'AR-Eq'!E231</f>
        <v>na</v>
      </c>
      <c r="D231" s="531" t="str">
        <f>'AR-Eq'!F231</f>
        <v>na</v>
      </c>
      <c r="E231" s="1301" t="str">
        <f>Param!AF231</f>
        <v>no</v>
      </c>
      <c r="F231" s="1620" t="str">
        <f t="shared" ref="F231:F239" si="65">IF(C231="na",IF(D231="na","na",D231),MIN(C231,D231))</f>
        <v>na</v>
      </c>
      <c r="G231" s="1621" t="str">
        <f>IF(OR(F231="na",E231="no"),"na",F231/Eqtn!$D$387)</f>
        <v>na</v>
      </c>
      <c r="H231" s="1622" t="str">
        <f>'AR-Eq'!G231</f>
        <v>na</v>
      </c>
      <c r="I231" s="1622" t="str">
        <f>'AR-Eq'!H231</f>
        <v>na</v>
      </c>
      <c r="J231" s="1622" t="str">
        <f t="shared" ref="J231:J239" si="66">IF(H231="na",IF(I231="na","na",I231),MIN(H231,I231))</f>
        <v>na</v>
      </c>
      <c r="K231" s="1504" t="str">
        <f>IF(OR(J231="na",E231="no"),"na",J231/Eqtn!$D$387)</f>
        <v>na</v>
      </c>
      <c r="L231" s="1504" t="str">
        <f>'AR-Eq'!I231</f>
        <v>na</v>
      </c>
      <c r="M231" s="1504" t="str">
        <f>'AR-Eq'!J231</f>
        <v>na</v>
      </c>
      <c r="N231" s="1504" t="str">
        <f t="shared" ref="N231:N239" si="67">IF(L231="na",IF(M231="na","na",M231),MIN(L231,M231))</f>
        <v>na</v>
      </c>
      <c r="O231" s="1504" t="str">
        <f>IF(OR(N231="na",$E231="no"),"na",N231/Eqtn!$D$387)</f>
        <v>na</v>
      </c>
      <c r="P231" s="1504" t="s">
        <v>232</v>
      </c>
      <c r="Q231" s="1505" t="s">
        <v>232</v>
      </c>
      <c r="S231" s="1062"/>
    </row>
    <row r="232" spans="1:19" ht="13.9" customHeight="1" x14ac:dyDescent="0.25">
      <c r="A232" s="846">
        <f>Chem!A232</f>
        <v>230</v>
      </c>
      <c r="B232" s="936" t="str">
        <f>Chem!B232</f>
        <v>Perfluorobutanoic acid (PFBA)</v>
      </c>
      <c r="C232" s="531" t="str">
        <f>'AR-Eq'!E232</f>
        <v>na</v>
      </c>
      <c r="D232" s="531" t="str">
        <f>'AR-Eq'!F232</f>
        <v>na</v>
      </c>
      <c r="E232" s="1301" t="str">
        <f>Param!AF232</f>
        <v>no</v>
      </c>
      <c r="F232" s="1620" t="str">
        <f t="shared" ref="F232" si="68">IF(C232="na",IF(D232="na","na",D232),MIN(C232,D232))</f>
        <v>na</v>
      </c>
      <c r="G232" s="1621" t="str">
        <f>IF(OR(F232="na",E232="no"),"na",F232/Eqtn!$D$387)</f>
        <v>na</v>
      </c>
      <c r="H232" s="1622" t="str">
        <f>'AR-Eq'!G232</f>
        <v>na</v>
      </c>
      <c r="I232" s="1622" t="str">
        <f>'AR-Eq'!H232</f>
        <v>na</v>
      </c>
      <c r="J232" s="1622" t="str">
        <f t="shared" ref="J232" si="69">IF(H232="na",IF(I232="na","na",I232),MIN(H232,I232))</f>
        <v>na</v>
      </c>
      <c r="K232" s="1504" t="str">
        <f>IF(OR(J232="na",E232="no"),"na",J232/Eqtn!$D$387)</f>
        <v>na</v>
      </c>
      <c r="L232" s="1504" t="str">
        <f>'AR-Eq'!I232</f>
        <v>na</v>
      </c>
      <c r="M232" s="1504" t="str">
        <f>'AR-Eq'!J232</f>
        <v>na</v>
      </c>
      <c r="N232" s="1504" t="str">
        <f t="shared" ref="N232" si="70">IF(L232="na",IF(M232="na","na",M232),MIN(L232,M232))</f>
        <v>na</v>
      </c>
      <c r="O232" s="1504" t="str">
        <f>IF(OR(N232="na",$E232="no"),"na",N232/Eqtn!$D$387)</f>
        <v>na</v>
      </c>
      <c r="P232" s="1504" t="s">
        <v>232</v>
      </c>
      <c r="Q232" s="1505" t="s">
        <v>232</v>
      </c>
      <c r="S232" s="1062"/>
    </row>
    <row r="233" spans="1:19" ht="13.9" customHeight="1" x14ac:dyDescent="0.25">
      <c r="A233" s="846">
        <f>Chem!A233</f>
        <v>231</v>
      </c>
      <c r="B233" s="937" t="str">
        <f>Chem!B233</f>
        <v>Perfluorobutanesulfonic acid (PFBS)</v>
      </c>
      <c r="C233" s="343" t="str">
        <f>'AR-Eq'!E233</f>
        <v>na</v>
      </c>
      <c r="D233" s="343" t="str">
        <f>'AR-Eq'!F233</f>
        <v>na</v>
      </c>
      <c r="E233" s="1300" t="str">
        <f>Param!AF233</f>
        <v>no</v>
      </c>
      <c r="F233" s="573" t="str">
        <f t="shared" si="65"/>
        <v>na</v>
      </c>
      <c r="G233" s="574" t="str">
        <f>IF(OR(F233="na",E233="no"),"na",F233/Eqtn!$D$387)</f>
        <v>na</v>
      </c>
      <c r="H233" s="306" t="str">
        <f>'AR-Eq'!G233</f>
        <v>na</v>
      </c>
      <c r="I233" s="306" t="str">
        <f>'AR-Eq'!H233</f>
        <v>na</v>
      </c>
      <c r="J233" s="306" t="str">
        <f t="shared" si="66"/>
        <v>na</v>
      </c>
      <c r="K233" s="699" t="str">
        <f>IF(OR(J233="na",E233="no"),"na",J233/Eqtn!$D$387)</f>
        <v>na</v>
      </c>
      <c r="L233" s="699" t="str">
        <f>'AR-Eq'!I233</f>
        <v>na</v>
      </c>
      <c r="M233" s="699" t="str">
        <f>'AR-Eq'!J233</f>
        <v>na</v>
      </c>
      <c r="N233" s="699" t="str">
        <f t="shared" si="67"/>
        <v>na</v>
      </c>
      <c r="O233" s="699" t="str">
        <f>IF(OR(N233="na",$E233="no"),"na",N233/Eqtn!$D$387)</f>
        <v>na</v>
      </c>
      <c r="P233" s="699" t="s">
        <v>232</v>
      </c>
      <c r="Q233" s="760" t="s">
        <v>232</v>
      </c>
      <c r="S233" s="1062"/>
    </row>
    <row r="234" spans="1:19" ht="13.9" customHeight="1" x14ac:dyDescent="0.25">
      <c r="A234" s="846">
        <f>Chem!A234</f>
        <v>232</v>
      </c>
      <c r="B234" s="937" t="str">
        <f>Chem!B234</f>
        <v>Perfluorodecanoic acid (PFDA)</v>
      </c>
      <c r="C234" s="343" t="str">
        <f>'AR-Eq'!E234</f>
        <v>na</v>
      </c>
      <c r="D234" s="343" t="str">
        <f>'AR-Eq'!F234</f>
        <v>na</v>
      </c>
      <c r="E234" s="1300" t="str">
        <f>Param!AF234</f>
        <v>no</v>
      </c>
      <c r="F234" s="573" t="str">
        <f t="shared" ref="F234" si="71">IF(C234="na",IF(D234="na","na",D234),MIN(C234,D234))</f>
        <v>na</v>
      </c>
      <c r="G234" s="574" t="str">
        <f>IF(OR(F234="na",E234="no"),"na",F234/Eqtn!$D$387)</f>
        <v>na</v>
      </c>
      <c r="H234" s="306" t="str">
        <f>'AR-Eq'!G234</f>
        <v>na</v>
      </c>
      <c r="I234" s="306" t="str">
        <f>'AR-Eq'!H234</f>
        <v>na</v>
      </c>
      <c r="J234" s="306" t="str">
        <f t="shared" ref="J234" si="72">IF(H234="na",IF(I234="na","na",I234),MIN(H234,I234))</f>
        <v>na</v>
      </c>
      <c r="K234" s="699" t="str">
        <f>IF(OR(J234="na",E234="no"),"na",J234/Eqtn!$D$387)</f>
        <v>na</v>
      </c>
      <c r="L234" s="699" t="str">
        <f>'AR-Eq'!I234</f>
        <v>na</v>
      </c>
      <c r="M234" s="699" t="str">
        <f>'AR-Eq'!J234</f>
        <v>na</v>
      </c>
      <c r="N234" s="699" t="str">
        <f t="shared" ref="N234" si="73">IF(L234="na",IF(M234="na","na",M234),MIN(L234,M234))</f>
        <v>na</v>
      </c>
      <c r="O234" s="699" t="str">
        <f>IF(OR(N234="na",$E234="no"),"na",N234/Eqtn!$D$387)</f>
        <v>na</v>
      </c>
      <c r="P234" s="699" t="s">
        <v>232</v>
      </c>
      <c r="Q234" s="760" t="s">
        <v>232</v>
      </c>
      <c r="S234" s="1062"/>
    </row>
    <row r="235" spans="1:19" ht="13.9" customHeight="1" x14ac:dyDescent="0.25">
      <c r="A235" s="846">
        <f>Chem!A235</f>
        <v>233</v>
      </c>
      <c r="B235" s="937" t="str">
        <f>Chem!B235</f>
        <v>Perfluorohexanoic acid (PFHxA)</v>
      </c>
      <c r="C235" s="343" t="str">
        <f>'AR-Eq'!E235</f>
        <v>na</v>
      </c>
      <c r="D235" s="343" t="str">
        <f>'AR-Eq'!F235</f>
        <v>na</v>
      </c>
      <c r="E235" s="1300" t="str">
        <f>Param!AF235</f>
        <v>no</v>
      </c>
      <c r="F235" s="573" t="str">
        <f t="shared" ref="F235" si="74">IF(C235="na",IF(D235="na","na",D235),MIN(C235,D235))</f>
        <v>na</v>
      </c>
      <c r="G235" s="574" t="str">
        <f>IF(OR(F235="na",E235="no"),"na",F235/Eqtn!$D$387)</f>
        <v>na</v>
      </c>
      <c r="H235" s="306" t="str">
        <f>'AR-Eq'!G235</f>
        <v>na</v>
      </c>
      <c r="I235" s="306" t="str">
        <f>'AR-Eq'!H235</f>
        <v>na</v>
      </c>
      <c r="J235" s="306" t="str">
        <f t="shared" ref="J235" si="75">IF(H235="na",IF(I235="na","na",I235),MIN(H235,I235))</f>
        <v>na</v>
      </c>
      <c r="K235" s="699" t="str">
        <f>IF(OR(J235="na",E235="no"),"na",J235/Eqtn!$D$387)</f>
        <v>na</v>
      </c>
      <c r="L235" s="699" t="str">
        <f>'AR-Eq'!I235</f>
        <v>na</v>
      </c>
      <c r="M235" s="699" t="str">
        <f>'AR-Eq'!J235</f>
        <v>na</v>
      </c>
      <c r="N235" s="699" t="str">
        <f t="shared" ref="N235" si="76">IF(L235="na",IF(M235="na","na",M235),MIN(L235,M235))</f>
        <v>na</v>
      </c>
      <c r="O235" s="699" t="str">
        <f>IF(OR(N235="na",$E235="no"),"na",N235/Eqtn!$D$387)</f>
        <v>na</v>
      </c>
      <c r="P235" s="348" t="s">
        <v>232</v>
      </c>
      <c r="Q235" s="367" t="s">
        <v>232</v>
      </c>
      <c r="S235" s="1062"/>
    </row>
    <row r="236" spans="1:19" ht="13.9" customHeight="1" x14ac:dyDescent="0.25">
      <c r="A236" s="846">
        <f>Chem!A236</f>
        <v>234</v>
      </c>
      <c r="B236" s="937" t="str">
        <f>Chem!B236</f>
        <v>Perfluorohexanesulfonic acid (PFHxS)</v>
      </c>
      <c r="C236" s="343" t="str">
        <f>'AR-Eq'!E236</f>
        <v>na</v>
      </c>
      <c r="D236" s="343" t="str">
        <f>'AR-Eq'!F236</f>
        <v>na</v>
      </c>
      <c r="E236" s="1300" t="str">
        <f>Param!AF236</f>
        <v>no</v>
      </c>
      <c r="F236" s="573" t="str">
        <f t="shared" si="65"/>
        <v>na</v>
      </c>
      <c r="G236" s="574" t="str">
        <f>IF(OR(F236="na",E236="no"),"na",F236/Eqtn!$D$387)</f>
        <v>na</v>
      </c>
      <c r="H236" s="306" t="str">
        <f>'AR-Eq'!G236</f>
        <v>na</v>
      </c>
      <c r="I236" s="306" t="str">
        <f>'AR-Eq'!H236</f>
        <v>na</v>
      </c>
      <c r="J236" s="306" t="str">
        <f t="shared" si="66"/>
        <v>na</v>
      </c>
      <c r="K236" s="699" t="str">
        <f>IF(OR(J236="na",E236="no"),"na",J236/Eqtn!$D$387)</f>
        <v>na</v>
      </c>
      <c r="L236" s="699" t="str">
        <f>'AR-Eq'!I236</f>
        <v>na</v>
      </c>
      <c r="M236" s="699" t="str">
        <f>'AR-Eq'!J236</f>
        <v>na</v>
      </c>
      <c r="N236" s="699" t="str">
        <f t="shared" si="67"/>
        <v>na</v>
      </c>
      <c r="O236" s="699" t="str">
        <f>IF(OR(N236="na",$E236="no"),"na",N236/Eqtn!$D$387)</f>
        <v>na</v>
      </c>
      <c r="P236" s="699" t="s">
        <v>232</v>
      </c>
      <c r="Q236" s="760" t="s">
        <v>232</v>
      </c>
      <c r="S236" s="1062"/>
    </row>
    <row r="237" spans="1:19" ht="13.9" customHeight="1" x14ac:dyDescent="0.25">
      <c r="A237" s="846">
        <f>Chem!A237</f>
        <v>235</v>
      </c>
      <c r="B237" s="937" t="str">
        <f>Chem!B237</f>
        <v>Perfluorononanoic acid (PFNA)</v>
      </c>
      <c r="C237" s="343" t="str">
        <f>'AR-Eq'!E237</f>
        <v>na</v>
      </c>
      <c r="D237" s="343" t="str">
        <f>'AR-Eq'!F237</f>
        <v>na</v>
      </c>
      <c r="E237" s="1300" t="str">
        <f>Param!AF237</f>
        <v>no</v>
      </c>
      <c r="F237" s="573" t="str">
        <f t="shared" si="65"/>
        <v>na</v>
      </c>
      <c r="G237" s="574" t="str">
        <f>IF(OR(F237="na",E237="no"),"na",F237/Eqtn!$D$387)</f>
        <v>na</v>
      </c>
      <c r="H237" s="306" t="str">
        <f>'AR-Eq'!G237</f>
        <v>na</v>
      </c>
      <c r="I237" s="306" t="str">
        <f>'AR-Eq'!H237</f>
        <v>na</v>
      </c>
      <c r="J237" s="306" t="str">
        <f t="shared" si="66"/>
        <v>na</v>
      </c>
      <c r="K237" s="699" t="str">
        <f>IF(OR(J237="na",E237="no"),"na",J237/Eqtn!$D$387)</f>
        <v>na</v>
      </c>
      <c r="L237" s="699" t="str">
        <f>'AR-Eq'!I237</f>
        <v>na</v>
      </c>
      <c r="M237" s="699" t="str">
        <f>'AR-Eq'!J237</f>
        <v>na</v>
      </c>
      <c r="N237" s="699" t="str">
        <f t="shared" si="67"/>
        <v>na</v>
      </c>
      <c r="O237" s="699" t="str">
        <f>IF(OR(N237="na",$E237="no"),"na",N237/Eqtn!$D$387)</f>
        <v>na</v>
      </c>
      <c r="P237" s="699" t="s">
        <v>232</v>
      </c>
      <c r="Q237" s="760" t="s">
        <v>232</v>
      </c>
      <c r="S237" s="1062"/>
    </row>
    <row r="238" spans="1:19" ht="13.9" customHeight="1" x14ac:dyDescent="0.25">
      <c r="A238" s="846">
        <f>Chem!A238</f>
        <v>236</v>
      </c>
      <c r="B238" s="937" t="str">
        <f>Chem!B238</f>
        <v>Perfluorooctanesulfonic acid (PFOS)</v>
      </c>
      <c r="C238" s="343" t="str">
        <f>'AR-Eq'!E238</f>
        <v>na</v>
      </c>
      <c r="D238" s="343" t="str">
        <f>'AR-Eq'!F238</f>
        <v>na</v>
      </c>
      <c r="E238" s="1300" t="str">
        <f>Param!AF238</f>
        <v>no</v>
      </c>
      <c r="F238" s="573" t="str">
        <f t="shared" si="65"/>
        <v>na</v>
      </c>
      <c r="G238" s="574" t="str">
        <f>IF(OR(F238="na",E238="no"),"na",F238/Eqtn!$D$387)</f>
        <v>na</v>
      </c>
      <c r="H238" s="306" t="str">
        <f>'AR-Eq'!G238</f>
        <v>na</v>
      </c>
      <c r="I238" s="306" t="str">
        <f>'AR-Eq'!H238</f>
        <v>na</v>
      </c>
      <c r="J238" s="306" t="str">
        <f t="shared" si="66"/>
        <v>na</v>
      </c>
      <c r="K238" s="699" t="str">
        <f>IF(OR(J238="na",E238="no"),"na",J238/Eqtn!$D$387)</f>
        <v>na</v>
      </c>
      <c r="L238" s="699" t="str">
        <f>'AR-Eq'!I238</f>
        <v>na</v>
      </c>
      <c r="M238" s="699" t="str">
        <f>'AR-Eq'!J238</f>
        <v>na</v>
      </c>
      <c r="N238" s="699" t="str">
        <f t="shared" si="67"/>
        <v>na</v>
      </c>
      <c r="O238" s="699" t="str">
        <f>IF(OR(N238="na",$E238="no"),"na",N238/Eqtn!$D$387)</f>
        <v>na</v>
      </c>
      <c r="P238" s="699" t="s">
        <v>232</v>
      </c>
      <c r="Q238" s="760" t="s">
        <v>232</v>
      </c>
      <c r="S238" s="1062"/>
    </row>
    <row r="239" spans="1:19" ht="13.9" customHeight="1" x14ac:dyDescent="0.25">
      <c r="A239" s="1661">
        <f>Chem!A239</f>
        <v>237</v>
      </c>
      <c r="B239" s="1158" t="str">
        <f>Chem!B239</f>
        <v>Perfluorooctanoic acid (PFOA)</v>
      </c>
      <c r="C239" s="533" t="str">
        <f>'AR-Eq'!E239</f>
        <v>na</v>
      </c>
      <c r="D239" s="533" t="str">
        <f>'AR-Eq'!F239</f>
        <v>na</v>
      </c>
      <c r="E239" s="1306" t="str">
        <f>Param!AF239</f>
        <v>no</v>
      </c>
      <c r="F239" s="1550" t="str">
        <f t="shared" si="65"/>
        <v>na</v>
      </c>
      <c r="G239" s="1160" t="str">
        <f>IF(OR(F239="na",E239="no"),"na",F239/Eqtn!$D$387)</f>
        <v>na</v>
      </c>
      <c r="H239" s="1347" t="str">
        <f>'AR-Eq'!G239</f>
        <v>na</v>
      </c>
      <c r="I239" s="1347" t="str">
        <f>'AR-Eq'!H239</f>
        <v>na</v>
      </c>
      <c r="J239" s="1347" t="str">
        <f t="shared" si="66"/>
        <v>na</v>
      </c>
      <c r="K239" s="1163" t="str">
        <f>IF(OR(J239="na",E239="no"),"na",J239/Eqtn!$D$387)</f>
        <v>na</v>
      </c>
      <c r="L239" s="1163" t="str">
        <f>'AR-Eq'!I239</f>
        <v>na</v>
      </c>
      <c r="M239" s="1163" t="str">
        <f>'AR-Eq'!J239</f>
        <v>na</v>
      </c>
      <c r="N239" s="1163" t="str">
        <f t="shared" si="67"/>
        <v>na</v>
      </c>
      <c r="O239" s="1163" t="str">
        <f>IF(OR(N239="na",$E239="no"),"na",N239/Eqtn!$D$387)</f>
        <v>na</v>
      </c>
      <c r="P239" s="1163" t="s">
        <v>232</v>
      </c>
      <c r="Q239" s="1551" t="s">
        <v>232</v>
      </c>
      <c r="S239" s="1062"/>
    </row>
    <row r="240" spans="1:19" ht="13.9" customHeight="1" x14ac:dyDescent="0.25">
      <c r="A240" s="1197">
        <f>Chem!A240</f>
        <v>238</v>
      </c>
      <c r="B240" s="939" t="str">
        <f>Chem!B240</f>
        <v>Petroleum Hydrocarbons</v>
      </c>
      <c r="C240" s="259"/>
      <c r="D240" s="259"/>
      <c r="E240" s="259"/>
      <c r="F240" s="259"/>
      <c r="G240" s="259"/>
      <c r="H240" s="259"/>
      <c r="I240" s="259"/>
      <c r="J240" s="259"/>
      <c r="K240" s="259"/>
      <c r="L240" s="259"/>
      <c r="M240" s="259"/>
      <c r="N240" s="259"/>
      <c r="O240" s="259"/>
      <c r="P240" s="259"/>
      <c r="Q240" s="1533"/>
      <c r="S240" s="1063"/>
    </row>
    <row r="241" spans="1:19" ht="13.9" customHeight="1" x14ac:dyDescent="0.25">
      <c r="A241" s="846">
        <f>Chem!A241</f>
        <v>239</v>
      </c>
      <c r="B241" s="937" t="str">
        <f>Chem!B241</f>
        <v>Gasoline range hydrocarbons, fresh</v>
      </c>
      <c r="C241" s="398">
        <f>'AR-Eq'!E241</f>
        <v>46</v>
      </c>
      <c r="D241" s="397" t="str">
        <f>'AR-Eq'!F241</f>
        <v>na</v>
      </c>
      <c r="E241" s="1304" t="str">
        <f>Param!AF241</f>
        <v>YES</v>
      </c>
      <c r="F241" s="573">
        <f t="shared" ref="F241:F246" si="77">IF(C241="na",IF(D241="na","na",D241),MIN(C241,D241))</f>
        <v>46</v>
      </c>
      <c r="G241" s="574">
        <v>1500</v>
      </c>
      <c r="H241" s="306">
        <v>46</v>
      </c>
      <c r="I241" s="306" t="str">
        <f>'AR-Eq'!H241</f>
        <v>na</v>
      </c>
      <c r="J241" s="693">
        <f t="shared" ref="J241:J246" si="78">IF(H241="na",IF(I241="na","na",I241),MIN(H241,I241))</f>
        <v>46</v>
      </c>
      <c r="K241" s="699">
        <v>1500</v>
      </c>
      <c r="L241" s="1503">
        <f>'AR-Eq'!I241</f>
        <v>390</v>
      </c>
      <c r="M241" s="1504" t="str">
        <f>'AR-Eq'!J241</f>
        <v>na</v>
      </c>
      <c r="N241" s="1504">
        <f t="shared" ref="N241:N246" si="79">IF(L241="na",IF(M241="na","na",M241),MIN(L241,M241))</f>
        <v>390</v>
      </c>
      <c r="O241" s="1531">
        <v>13000</v>
      </c>
      <c r="P241" s="1531" t="s">
        <v>232</v>
      </c>
      <c r="Q241" s="1505" t="s">
        <v>232</v>
      </c>
      <c r="S241" s="1062"/>
    </row>
    <row r="242" spans="1:19" ht="13.9" customHeight="1" x14ac:dyDescent="0.25">
      <c r="A242" s="846">
        <f>Chem!A242</f>
        <v>240</v>
      </c>
      <c r="B242" s="937" t="str">
        <f>Chem!B242</f>
        <v>Gasoline range hydrocarbons, weathered</v>
      </c>
      <c r="C242" s="398">
        <f>'AR-Eq'!E242</f>
        <v>46</v>
      </c>
      <c r="D242" s="397" t="str">
        <f>'AR-Eq'!F242</f>
        <v>na</v>
      </c>
      <c r="E242" s="1304" t="str">
        <f>Param!AF242</f>
        <v>YES</v>
      </c>
      <c r="F242" s="573">
        <f t="shared" si="77"/>
        <v>46</v>
      </c>
      <c r="G242" s="574">
        <v>1500</v>
      </c>
      <c r="H242" s="306">
        <v>46</v>
      </c>
      <c r="I242" s="306" t="str">
        <f>'AR-Eq'!H242</f>
        <v>na</v>
      </c>
      <c r="J242" s="693">
        <f t="shared" si="78"/>
        <v>46</v>
      </c>
      <c r="K242" s="699">
        <v>1500</v>
      </c>
      <c r="L242" s="1496">
        <f>'AR-Eq'!I242</f>
        <v>390</v>
      </c>
      <c r="M242" s="699" t="str">
        <f>'AR-Eq'!J242</f>
        <v>na</v>
      </c>
      <c r="N242" s="699">
        <f t="shared" si="79"/>
        <v>390</v>
      </c>
      <c r="O242" s="1531">
        <v>13000</v>
      </c>
      <c r="P242" s="1529" t="s">
        <v>232</v>
      </c>
      <c r="Q242" s="760" t="s">
        <v>232</v>
      </c>
      <c r="S242" s="1062"/>
    </row>
    <row r="243" spans="1:19" ht="13.9" customHeight="1" x14ac:dyDescent="0.25">
      <c r="A243" s="846">
        <f>Chem!A243</f>
        <v>241</v>
      </c>
      <c r="B243" s="937" t="str">
        <f>Chem!B243</f>
        <v>Diesel range hydrocarbons, fresh</v>
      </c>
      <c r="C243" s="398">
        <f>'AR-Eq'!E243</f>
        <v>46</v>
      </c>
      <c r="D243" s="397" t="str">
        <f>'AR-Eq'!F243</f>
        <v>na</v>
      </c>
      <c r="E243" s="1304" t="str">
        <f>Param!AF243</f>
        <v>no</v>
      </c>
      <c r="F243" s="573">
        <f t="shared" si="77"/>
        <v>46</v>
      </c>
      <c r="G243" s="574">
        <v>1500</v>
      </c>
      <c r="H243" s="306">
        <v>46</v>
      </c>
      <c r="I243" s="306" t="str">
        <f>'AR-Eq'!H243</f>
        <v>na</v>
      </c>
      <c r="J243" s="693">
        <f t="shared" si="78"/>
        <v>46</v>
      </c>
      <c r="K243" s="699">
        <v>1500</v>
      </c>
      <c r="L243" s="1496">
        <f>'AR-Eq'!I243</f>
        <v>390</v>
      </c>
      <c r="M243" s="699" t="str">
        <f>'AR-Eq'!J243</f>
        <v>na</v>
      </c>
      <c r="N243" s="699">
        <f t="shared" si="79"/>
        <v>390</v>
      </c>
      <c r="O243" s="1531">
        <v>13000</v>
      </c>
      <c r="P243" s="1529" t="s">
        <v>232</v>
      </c>
      <c r="Q243" s="760" t="s">
        <v>232</v>
      </c>
      <c r="S243" s="1062"/>
    </row>
    <row r="244" spans="1:19" ht="13.9" customHeight="1" x14ac:dyDescent="0.25">
      <c r="A244" s="846">
        <f>Chem!A244</f>
        <v>242</v>
      </c>
      <c r="B244" s="937" t="str">
        <f>Chem!B244</f>
        <v>Diesel range hydrocarbons, weathered</v>
      </c>
      <c r="C244" s="398">
        <f>'AR-Eq'!E244</f>
        <v>46</v>
      </c>
      <c r="D244" s="397" t="str">
        <f>'AR-Eq'!F244</f>
        <v>na</v>
      </c>
      <c r="E244" s="1304" t="str">
        <f>Param!AF244</f>
        <v>no</v>
      </c>
      <c r="F244" s="573">
        <f t="shared" si="77"/>
        <v>46</v>
      </c>
      <c r="G244" s="574">
        <v>1500</v>
      </c>
      <c r="H244" s="306">
        <v>46</v>
      </c>
      <c r="I244" s="306" t="str">
        <f>'AR-Eq'!H244</f>
        <v>na</v>
      </c>
      <c r="J244" s="693">
        <f t="shared" si="78"/>
        <v>46</v>
      </c>
      <c r="K244" s="699">
        <v>1500</v>
      </c>
      <c r="L244" s="1496">
        <f>'AR-Eq'!I244</f>
        <v>390</v>
      </c>
      <c r="M244" s="699" t="str">
        <f>'AR-Eq'!J244</f>
        <v>na</v>
      </c>
      <c r="N244" s="699">
        <f t="shared" si="79"/>
        <v>390</v>
      </c>
      <c r="O244" s="1531">
        <v>13000</v>
      </c>
      <c r="P244" s="1529" t="s">
        <v>232</v>
      </c>
      <c r="Q244" s="760" t="s">
        <v>232</v>
      </c>
      <c r="S244" s="1062"/>
    </row>
    <row r="245" spans="1:19" ht="13.9" customHeight="1" x14ac:dyDescent="0.25">
      <c r="A245" s="846">
        <f>Chem!A245</f>
        <v>243</v>
      </c>
      <c r="B245" s="938" t="str">
        <f>Chem!B245</f>
        <v>Oil range hydrocarbons</v>
      </c>
      <c r="C245" s="548" t="str">
        <f>'AR-Eq'!E245</f>
        <v>na</v>
      </c>
      <c r="D245" s="547" t="str">
        <f>'AR-Eq'!F245</f>
        <v>na</v>
      </c>
      <c r="E245" s="1305" t="str">
        <f>Param!AF245</f>
        <v>no</v>
      </c>
      <c r="F245" s="573" t="str">
        <f t="shared" si="77"/>
        <v>na</v>
      </c>
      <c r="G245" s="574" t="str">
        <f>IF(OR(F245="na",E245="no"),"na",F245/Eqtn!$D$387)</f>
        <v>na</v>
      </c>
      <c r="H245" s="306" t="str">
        <f>'AR-Eq'!G245</f>
        <v>na</v>
      </c>
      <c r="I245" s="306" t="str">
        <f>'AR-Eq'!H245</f>
        <v>na</v>
      </c>
      <c r="J245" s="693" t="str">
        <f t="shared" si="78"/>
        <v>na</v>
      </c>
      <c r="K245" s="699" t="str">
        <f>IF(OR(J245="na",E245="no"),"na",J245/Eqtn!$D$387)</f>
        <v>na</v>
      </c>
      <c r="L245" s="1496" t="str">
        <f>'AR-Eq'!I245</f>
        <v>na</v>
      </c>
      <c r="M245" s="699" t="str">
        <f>'AR-Eq'!J245</f>
        <v>na</v>
      </c>
      <c r="N245" s="699" t="str">
        <f t="shared" si="79"/>
        <v>na</v>
      </c>
      <c r="O245" s="1529" t="str">
        <f>IF(OR(N245="na",$E245="no"),"na",N245/Eqtn!$D$387)</f>
        <v>na</v>
      </c>
      <c r="P245" s="1529" t="s">
        <v>232</v>
      </c>
      <c r="Q245" s="760" t="s">
        <v>232</v>
      </c>
      <c r="S245" s="1062"/>
    </row>
    <row r="246" spans="1:19" ht="13.9" customHeight="1" x14ac:dyDescent="0.25">
      <c r="A246" s="1661">
        <f>Chem!A246</f>
        <v>244</v>
      </c>
      <c r="B246" s="938" t="str">
        <f>Chem!B246</f>
        <v>Total diesel &amp; oil range hydrocarbons</v>
      </c>
      <c r="C246" s="548" t="str">
        <f>'AR-Eq'!E246</f>
        <v>na</v>
      </c>
      <c r="D246" s="547" t="str">
        <f>'AR-Eq'!F246</f>
        <v>na</v>
      </c>
      <c r="E246" s="1305" t="str">
        <f>Param!AF246</f>
        <v>no</v>
      </c>
      <c r="F246" s="573" t="str">
        <f t="shared" si="77"/>
        <v>na</v>
      </c>
      <c r="G246" s="574" t="str">
        <f>IF(OR(F246="na",E246="no"),"na",F246/Eqtn!$D$387)</f>
        <v>na</v>
      </c>
      <c r="H246" s="306" t="str">
        <f>'AR-Eq'!G246</f>
        <v>na</v>
      </c>
      <c r="I246" s="306" t="str">
        <f>'AR-Eq'!H246</f>
        <v>na</v>
      </c>
      <c r="J246" s="693" t="str">
        <f t="shared" si="78"/>
        <v>na</v>
      </c>
      <c r="K246" s="699" t="str">
        <f>IF(OR(J246="na",E246="no"),"na",J246/Eqtn!$D$387)</f>
        <v>na</v>
      </c>
      <c r="L246" s="1499" t="str">
        <f>'AR-Eq'!I246</f>
        <v>na</v>
      </c>
      <c r="M246" s="1500" t="str">
        <f>'AR-Eq'!J246</f>
        <v>na</v>
      </c>
      <c r="N246" s="1500" t="str">
        <f t="shared" si="79"/>
        <v>na</v>
      </c>
      <c r="O246" s="1530" t="str">
        <f>IF(OR(N246="na",$E246="no"),"na",N246/Eqtn!$D$387)</f>
        <v>na</v>
      </c>
      <c r="P246" s="1530" t="s">
        <v>232</v>
      </c>
      <c r="Q246" s="1501" t="s">
        <v>232</v>
      </c>
      <c r="S246" s="1062"/>
    </row>
    <row r="247" spans="1:19" ht="13.9" customHeight="1" x14ac:dyDescent="0.25">
      <c r="A247" s="1197">
        <f>Chem!A247</f>
        <v>245</v>
      </c>
      <c r="B247" s="939" t="str">
        <f>Chem!B247</f>
        <v>Pesticides</v>
      </c>
      <c r="C247" s="259"/>
      <c r="D247" s="259"/>
      <c r="E247" s="259"/>
      <c r="F247" s="259"/>
      <c r="G247" s="259"/>
      <c r="H247" s="259"/>
      <c r="I247" s="259"/>
      <c r="J247" s="259"/>
      <c r="K247" s="259"/>
      <c r="L247" s="259"/>
      <c r="M247" s="259"/>
      <c r="N247" s="259"/>
      <c r="O247" s="259"/>
      <c r="P247" s="259"/>
      <c r="Q247" s="1533"/>
      <c r="S247" s="1063"/>
    </row>
    <row r="248" spans="1:19" ht="13.9" customHeight="1" x14ac:dyDescent="0.25">
      <c r="A248" s="846">
        <f>Chem!A248</f>
        <v>246</v>
      </c>
      <c r="B248" s="936" t="str">
        <f>Chem!B248</f>
        <v>Aldrin</v>
      </c>
      <c r="C248" s="384" t="str">
        <f>'AR-Eq'!E248</f>
        <v>na</v>
      </c>
      <c r="D248" s="343">
        <f>'AR-Eq'!F248</f>
        <v>5.10204081632653E-4</v>
      </c>
      <c r="E248" s="1300" t="str">
        <f>Param!AF248</f>
        <v>no</v>
      </c>
      <c r="F248" s="573">
        <f t="shared" ref="F248:F291" si="80">IF(C248="na",IF(D248="na","na",D248),MIN(C248,D248))</f>
        <v>5.10204081632653E-4</v>
      </c>
      <c r="G248" s="574" t="str">
        <f>IF(OR(F248="na",E248="no"),"na",F248/Eqtn!$D$387)</f>
        <v>na</v>
      </c>
      <c r="H248" s="306" t="str">
        <f>'AR-Eq'!G248</f>
        <v>na</v>
      </c>
      <c r="I248" s="306">
        <f>'AR-Eq'!H248</f>
        <v>5.1020408163265319E-3</v>
      </c>
      <c r="J248" s="693">
        <f t="shared" ref="J248:J291" si="81">IF(H248="na",IF(I248="na","na",I248),MIN(H248,I248))</f>
        <v>5.1020408163265319E-3</v>
      </c>
      <c r="K248" s="699" t="str">
        <f>IF(OR(J248="na",E248="no"),"na",J248/Eqtn!$D$387)</f>
        <v>na</v>
      </c>
      <c r="L248" s="1503" t="str">
        <f>'AR-Eq'!I248</f>
        <v>na</v>
      </c>
      <c r="M248" s="1504">
        <f>'AR-Eq'!J248</f>
        <v>2.3836734693877546E-3</v>
      </c>
      <c r="N248" s="1504">
        <f t="shared" ref="N248:N280" si="82">IF(L248="na",IF(M248="na","na",M248),MIN(L248,M248))</f>
        <v>2.3836734693877546E-3</v>
      </c>
      <c r="O248" s="1531" t="str">
        <f>IF(OR(N248="na",$E248="no"),"na",N248/Eqtn!$D$387)</f>
        <v>na</v>
      </c>
      <c r="P248" s="1531" t="s">
        <v>232</v>
      </c>
      <c r="Q248" s="1505" t="s">
        <v>232</v>
      </c>
      <c r="S248" s="1062"/>
    </row>
    <row r="249" spans="1:19" ht="13.9" customHeight="1" x14ac:dyDescent="0.25">
      <c r="A249" s="846">
        <f>Chem!A249</f>
        <v>247</v>
      </c>
      <c r="B249" s="937" t="str">
        <f>Chem!B249</f>
        <v>alpha-BHC (alpha-HCH)</v>
      </c>
      <c r="C249" s="384" t="str">
        <f>'AR-Eq'!E249</f>
        <v>na</v>
      </c>
      <c r="D249" s="343">
        <f>'AR-Eq'!F249</f>
        <v>1.3888888888888887E-3</v>
      </c>
      <c r="E249" s="1300" t="str">
        <f>Param!AF249</f>
        <v>no</v>
      </c>
      <c r="F249" s="573">
        <f t="shared" si="80"/>
        <v>1.3888888888888887E-3</v>
      </c>
      <c r="G249" s="574" t="str">
        <f>IF(OR(F249="na",E249="no"),"na",F249/Eqtn!$D$387)</f>
        <v>na</v>
      </c>
      <c r="H249" s="306" t="str">
        <f>'AR-Eq'!G249</f>
        <v>na</v>
      </c>
      <c r="I249" s="306">
        <f>'AR-Eq'!H249</f>
        <v>1.388888888888889E-2</v>
      </c>
      <c r="J249" s="693">
        <f t="shared" si="81"/>
        <v>1.388888888888889E-2</v>
      </c>
      <c r="K249" s="699" t="str">
        <f>IF(OR(J249="na",E249="no"),"na",J249/Eqtn!$D$387)</f>
        <v>na</v>
      </c>
      <c r="L249" s="1496" t="str">
        <f>'AR-Eq'!I249</f>
        <v>na</v>
      </c>
      <c r="M249" s="699">
        <f>'AR-Eq'!J249</f>
        <v>6.4888888888888869E-3</v>
      </c>
      <c r="N249" s="699">
        <f t="shared" si="82"/>
        <v>6.4888888888888869E-3</v>
      </c>
      <c r="O249" s="1529" t="str">
        <f>IF(OR(N249="na",$E249="no"),"na",N249/Eqtn!$D$387)</f>
        <v>na</v>
      </c>
      <c r="P249" s="1529" t="s">
        <v>232</v>
      </c>
      <c r="Q249" s="760" t="s">
        <v>232</v>
      </c>
      <c r="S249" s="1062"/>
    </row>
    <row r="250" spans="1:19" ht="13.9" customHeight="1" x14ac:dyDescent="0.25">
      <c r="A250" s="846">
        <f>Chem!A250</f>
        <v>248</v>
      </c>
      <c r="B250" s="937" t="str">
        <f>Chem!B250</f>
        <v>beta-BHC (beta-HCH)</v>
      </c>
      <c r="C250" s="384" t="str">
        <f>'AR-Eq'!E250</f>
        <v>na</v>
      </c>
      <c r="D250" s="343">
        <f>'AR-Eq'!F250</f>
        <v>4.7169811320754715E-3</v>
      </c>
      <c r="E250" s="1300" t="str">
        <f>Param!AF250</f>
        <v>no</v>
      </c>
      <c r="F250" s="573">
        <f t="shared" si="80"/>
        <v>4.7169811320754715E-3</v>
      </c>
      <c r="G250" s="574" t="str">
        <f>IF(OR(F250="na",E250="no"),"na",F250/Eqtn!$D$387)</f>
        <v>na</v>
      </c>
      <c r="H250" s="306" t="str">
        <f>'AR-Eq'!G250</f>
        <v>na</v>
      </c>
      <c r="I250" s="306">
        <f>'AR-Eq'!H250</f>
        <v>4.716981132075472E-2</v>
      </c>
      <c r="J250" s="693">
        <f t="shared" si="81"/>
        <v>4.716981132075472E-2</v>
      </c>
      <c r="K250" s="699" t="str">
        <f>IF(OR(J250="na",E250="no"),"na",J250/Eqtn!$D$387)</f>
        <v>na</v>
      </c>
      <c r="L250" s="1496" t="str">
        <f>'AR-Eq'!I250</f>
        <v>na</v>
      </c>
      <c r="M250" s="699">
        <f>'AR-Eq'!J250</f>
        <v>2.2037735849056595E-2</v>
      </c>
      <c r="N250" s="699">
        <f t="shared" si="82"/>
        <v>2.2037735849056595E-2</v>
      </c>
      <c r="O250" s="1529" t="str">
        <f>IF(OR(N250="na",$E250="no"),"na",N250/Eqtn!$D$387)</f>
        <v>na</v>
      </c>
      <c r="P250" s="1529" t="s">
        <v>232</v>
      </c>
      <c r="Q250" s="760" t="s">
        <v>232</v>
      </c>
      <c r="S250" s="1062"/>
    </row>
    <row r="251" spans="1:19" ht="13.9" customHeight="1" x14ac:dyDescent="0.25">
      <c r="A251" s="846">
        <f>Chem!A251</f>
        <v>249</v>
      </c>
      <c r="B251" s="937" t="str">
        <f>Chem!B251</f>
        <v>delta-BHC (delta-HCH)</v>
      </c>
      <c r="C251" s="384" t="str">
        <f>'AR-Eq'!E251</f>
        <v>na</v>
      </c>
      <c r="D251" s="343" t="str">
        <f>'AR-Eq'!F251</f>
        <v>na</v>
      </c>
      <c r="E251" s="1300" t="str">
        <f>Param!AF251</f>
        <v>no</v>
      </c>
      <c r="F251" s="573" t="str">
        <f t="shared" si="80"/>
        <v>na</v>
      </c>
      <c r="G251" s="574" t="str">
        <f>IF(OR(F251="na",E251="no"),"na",F251/Eqtn!$D$387)</f>
        <v>na</v>
      </c>
      <c r="H251" s="306" t="str">
        <f>'AR-Eq'!G251</f>
        <v>na</v>
      </c>
      <c r="I251" s="306" t="str">
        <f>'AR-Eq'!H251</f>
        <v>na</v>
      </c>
      <c r="J251" s="693" t="str">
        <f t="shared" si="81"/>
        <v>na</v>
      </c>
      <c r="K251" s="699" t="str">
        <f>IF(OR(J251="na",E251="no"),"na",J251/Eqtn!$D$387)</f>
        <v>na</v>
      </c>
      <c r="L251" s="1496" t="str">
        <f>'AR-Eq'!I251</f>
        <v>na</v>
      </c>
      <c r="M251" s="699" t="str">
        <f>'AR-Eq'!J251</f>
        <v>na</v>
      </c>
      <c r="N251" s="699" t="str">
        <f t="shared" si="82"/>
        <v>na</v>
      </c>
      <c r="O251" s="1529" t="str">
        <f>IF(OR(N251="na",$E251="no"),"na",N251/Eqtn!$D$387)</f>
        <v>na</v>
      </c>
      <c r="P251" s="1529" t="s">
        <v>232</v>
      </c>
      <c r="Q251" s="760" t="s">
        <v>232</v>
      </c>
      <c r="S251" s="1062"/>
    </row>
    <row r="252" spans="1:19" ht="13.9" customHeight="1" x14ac:dyDescent="0.25">
      <c r="A252" s="846">
        <f>Chem!A252</f>
        <v>250</v>
      </c>
      <c r="B252" s="937" t="str">
        <f>Chem!B252</f>
        <v>Carbaryl</v>
      </c>
      <c r="C252" s="384" t="str">
        <f>'AR-Eq'!E252</f>
        <v>na</v>
      </c>
      <c r="D252" s="343" t="str">
        <f>'AR-Eq'!F252</f>
        <v>na</v>
      </c>
      <c r="E252" s="1300" t="str">
        <f>Param!AF252</f>
        <v>no</v>
      </c>
      <c r="F252" s="573" t="str">
        <f t="shared" ref="F252" si="83">IF(C252="na",IF(D252="na","na",D252),MIN(C252,D252))</f>
        <v>na</v>
      </c>
      <c r="G252" s="574" t="str">
        <f>IF(OR(F252="na",E252="no"),"na",F252/Eqtn!$D$387)</f>
        <v>na</v>
      </c>
      <c r="H252" s="306" t="str">
        <f>'AR-Eq'!G252</f>
        <v>na</v>
      </c>
      <c r="I252" s="306" t="str">
        <f>'AR-Eq'!H252</f>
        <v>na</v>
      </c>
      <c r="J252" s="693" t="str">
        <f t="shared" ref="J252" si="84">IF(H252="na",IF(I252="na","na",I252),MIN(H252,I252))</f>
        <v>na</v>
      </c>
      <c r="K252" s="699" t="str">
        <f>IF(OR(J252="na",E252="no"),"na",J252/Eqtn!$D$387)</f>
        <v>na</v>
      </c>
      <c r="L252" s="1496" t="str">
        <f>'AR-Eq'!I252</f>
        <v>na</v>
      </c>
      <c r="M252" s="699" t="str">
        <f>'AR-Eq'!J252</f>
        <v>na</v>
      </c>
      <c r="N252" s="699" t="str">
        <f t="shared" ref="N252" si="85">IF(L252="na",IF(M252="na","na",M252),MIN(L252,M252))</f>
        <v>na</v>
      </c>
      <c r="O252" s="1529" t="str">
        <f>IF(OR(N252="na",$E252="no"),"na",N252/Eqtn!$D$387)</f>
        <v>na</v>
      </c>
      <c r="P252" s="695" t="s">
        <v>232</v>
      </c>
      <c r="Q252" s="367" t="s">
        <v>232</v>
      </c>
      <c r="S252" s="1062"/>
    </row>
    <row r="253" spans="1:19" ht="13.9" customHeight="1" x14ac:dyDescent="0.25">
      <c r="A253" s="846">
        <f>Chem!A253</f>
        <v>251</v>
      </c>
      <c r="B253" s="937" t="str">
        <f>Chem!B253</f>
        <v>cis-Chlordane (alpha)</v>
      </c>
      <c r="C253" s="384" t="str">
        <f>'AR-Eq'!E253</f>
        <v>na</v>
      </c>
      <c r="D253" s="343" t="str">
        <f>'AR-Eq'!F253</f>
        <v>na</v>
      </c>
      <c r="E253" s="1300" t="str">
        <f>Param!AF253</f>
        <v>no</v>
      </c>
      <c r="F253" s="573" t="str">
        <f t="shared" si="80"/>
        <v>na</v>
      </c>
      <c r="G253" s="574" t="str">
        <f>IF(OR(F253="na",E253="no"),"na",F253/Eqtn!$D$387)</f>
        <v>na</v>
      </c>
      <c r="H253" s="306" t="str">
        <f>'AR-Eq'!G253</f>
        <v>na</v>
      </c>
      <c r="I253" s="306" t="str">
        <f>'AR-Eq'!H253</f>
        <v>na</v>
      </c>
      <c r="J253" s="693" t="str">
        <f t="shared" si="81"/>
        <v>na</v>
      </c>
      <c r="K253" s="699" t="str">
        <f>IF(OR(J253="na",E253="no"),"na",J253/Eqtn!$D$387)</f>
        <v>na</v>
      </c>
      <c r="L253" s="1496" t="str">
        <f>'AR-Eq'!I253</f>
        <v>na</v>
      </c>
      <c r="M253" s="699" t="str">
        <f>'AR-Eq'!J253</f>
        <v>na</v>
      </c>
      <c r="N253" s="699" t="str">
        <f t="shared" si="82"/>
        <v>na</v>
      </c>
      <c r="O253" s="1529" t="str">
        <f>IF(OR(N253="na",$E253="no"),"na",N253/Eqtn!$D$387)</f>
        <v>na</v>
      </c>
      <c r="P253" s="1529" t="s">
        <v>232</v>
      </c>
      <c r="Q253" s="760" t="s">
        <v>232</v>
      </c>
      <c r="S253" s="1062"/>
    </row>
    <row r="254" spans="1:19" ht="13.9" customHeight="1" x14ac:dyDescent="0.25">
      <c r="A254" s="846">
        <f>Chem!A254</f>
        <v>252</v>
      </c>
      <c r="B254" s="937" t="str">
        <f>Chem!B254</f>
        <v>trans-Chlordane (gamma)</v>
      </c>
      <c r="C254" s="384" t="str">
        <f>'AR-Eq'!E254</f>
        <v>na</v>
      </c>
      <c r="D254" s="343" t="str">
        <f>'AR-Eq'!F254</f>
        <v>na</v>
      </c>
      <c r="E254" s="1300" t="str">
        <f>Param!AF254</f>
        <v>no</v>
      </c>
      <c r="F254" s="573" t="str">
        <f t="shared" si="80"/>
        <v>na</v>
      </c>
      <c r="G254" s="574" t="str">
        <f>IF(OR(F254="na",E254="no"),"na",F254/Eqtn!$D$387)</f>
        <v>na</v>
      </c>
      <c r="H254" s="306" t="str">
        <f>'AR-Eq'!G254</f>
        <v>na</v>
      </c>
      <c r="I254" s="306" t="str">
        <f>'AR-Eq'!H254</f>
        <v>na</v>
      </c>
      <c r="J254" s="693" t="str">
        <f t="shared" si="81"/>
        <v>na</v>
      </c>
      <c r="K254" s="699" t="str">
        <f>IF(OR(J254="na",E254="no"),"na",J254/Eqtn!$D$387)</f>
        <v>na</v>
      </c>
      <c r="L254" s="1496" t="str">
        <f>'AR-Eq'!I254</f>
        <v>na</v>
      </c>
      <c r="M254" s="699" t="str">
        <f>'AR-Eq'!J254</f>
        <v>na</v>
      </c>
      <c r="N254" s="699" t="str">
        <f t="shared" si="82"/>
        <v>na</v>
      </c>
      <c r="O254" s="1529" t="str">
        <f>IF(OR(N254="na",$E254="no"),"na",N254/Eqtn!$D$387)</f>
        <v>na</v>
      </c>
      <c r="P254" s="1529" t="s">
        <v>232</v>
      </c>
      <c r="Q254" s="760" t="s">
        <v>232</v>
      </c>
      <c r="S254" s="1062"/>
    </row>
    <row r="255" spans="1:19" ht="13.9" customHeight="1" x14ac:dyDescent="0.25">
      <c r="A255" s="846">
        <f>Chem!A255</f>
        <v>253</v>
      </c>
      <c r="B255" s="937" t="str">
        <f>Chem!B255</f>
        <v>Chlordane</v>
      </c>
      <c r="C255" s="384">
        <f>'AR-Eq'!E255</f>
        <v>0.32</v>
      </c>
      <c r="D255" s="343">
        <f>'AR-Eq'!F255</f>
        <v>2.4999999999999994E-2</v>
      </c>
      <c r="E255" s="1300" t="str">
        <f>Param!AF255</f>
        <v>no</v>
      </c>
      <c r="F255" s="575">
        <f t="shared" si="80"/>
        <v>2.4999999999999994E-2</v>
      </c>
      <c r="G255" s="574" t="str">
        <f>IF(OR(F255="na",E255="no"),"na",F255/Eqtn!$D$387)</f>
        <v>na</v>
      </c>
      <c r="H255" s="17">
        <f>'AR-Eq'!G255</f>
        <v>0.70000000000000007</v>
      </c>
      <c r="I255" s="17">
        <f>'AR-Eq'!H255</f>
        <v>0.25</v>
      </c>
      <c r="J255" s="694">
        <f t="shared" si="81"/>
        <v>0.25</v>
      </c>
      <c r="K255" s="699" t="str">
        <f>IF(OR(J255="na",E255="no"),"na",J255/Eqtn!$D$387)</f>
        <v>na</v>
      </c>
      <c r="L255" s="1496">
        <f>'AR-Eq'!I255</f>
        <v>2.7253333333333329</v>
      </c>
      <c r="M255" s="699">
        <f>'AR-Eq'!J255</f>
        <v>0.11679999999999995</v>
      </c>
      <c r="N255" s="699">
        <f t="shared" si="82"/>
        <v>0.11679999999999995</v>
      </c>
      <c r="O255" s="1529" t="str">
        <f>IF(OR(N255="na",$E255="no"),"na",N255/Eqtn!$D$387)</f>
        <v>na</v>
      </c>
      <c r="P255" s="1529" t="s">
        <v>232</v>
      </c>
      <c r="Q255" s="760" t="s">
        <v>232</v>
      </c>
      <c r="S255" s="1062"/>
    </row>
    <row r="256" spans="1:19" ht="13.9" customHeight="1" x14ac:dyDescent="0.25">
      <c r="A256" s="846">
        <f>Chem!A256</f>
        <v>254</v>
      </c>
      <c r="B256" s="937" t="str">
        <f>Chem!B256</f>
        <v>Chlorpyrifos</v>
      </c>
      <c r="C256" s="384" t="str">
        <f>'AR-Eq'!E256</f>
        <v>na</v>
      </c>
      <c r="D256" s="343" t="str">
        <f>'AR-Eq'!F256</f>
        <v>na</v>
      </c>
      <c r="E256" s="1300" t="str">
        <f>Param!AF256</f>
        <v>no</v>
      </c>
      <c r="F256" s="573" t="str">
        <f t="shared" si="80"/>
        <v>na</v>
      </c>
      <c r="G256" s="574" t="str">
        <f>IF(OR(F256="na",E256="no"),"na",F256/Eqtn!$D$387)</f>
        <v>na</v>
      </c>
      <c r="H256" s="306" t="str">
        <f>'AR-Eq'!G256</f>
        <v>na</v>
      </c>
      <c r="I256" s="306" t="str">
        <f>'AR-Eq'!H256</f>
        <v>na</v>
      </c>
      <c r="J256" s="693" t="str">
        <f t="shared" si="81"/>
        <v>na</v>
      </c>
      <c r="K256" s="699" t="str">
        <f>IF(OR(J256="na",E256="no"),"na",J256/Eqtn!$D$387)</f>
        <v>na</v>
      </c>
      <c r="L256" s="1496" t="str">
        <f>'AR-Eq'!I256</f>
        <v>na</v>
      </c>
      <c r="M256" s="699" t="str">
        <f>'AR-Eq'!J256</f>
        <v>na</v>
      </c>
      <c r="N256" s="699" t="str">
        <f t="shared" si="82"/>
        <v>na</v>
      </c>
      <c r="O256" s="1529" t="str">
        <f>IF(OR(N256="na",$E256="no"),"na",N256/Eqtn!$D$387)</f>
        <v>na</v>
      </c>
      <c r="P256" s="1529" t="s">
        <v>232</v>
      </c>
      <c r="Q256" s="760" t="s">
        <v>232</v>
      </c>
      <c r="S256" s="1062"/>
    </row>
    <row r="257" spans="1:19" ht="13.9" customHeight="1" x14ac:dyDescent="0.25">
      <c r="A257" s="846">
        <f>Chem!A257</f>
        <v>255</v>
      </c>
      <c r="B257" s="937" t="str">
        <f>Chem!B257</f>
        <v>4,4'-DDD</v>
      </c>
      <c r="C257" s="384" t="str">
        <f>'AR-Eq'!E257</f>
        <v>na</v>
      </c>
      <c r="D257" s="343">
        <f>'AR-Eq'!F257</f>
        <v>3.6231884057971009E-2</v>
      </c>
      <c r="E257" s="1300" t="str">
        <f>Param!AF257</f>
        <v>no</v>
      </c>
      <c r="F257" s="573">
        <f t="shared" si="80"/>
        <v>3.6231884057971009E-2</v>
      </c>
      <c r="G257" s="574" t="str">
        <f>IF(OR(F257="na",E257="no"),"na",F257/Eqtn!$D$387)</f>
        <v>na</v>
      </c>
      <c r="H257" s="306" t="str">
        <f>'AR-Eq'!G257</f>
        <v>na</v>
      </c>
      <c r="I257" s="306">
        <f>'AR-Eq'!H257</f>
        <v>0.3623188405797102</v>
      </c>
      <c r="J257" s="693">
        <f t="shared" si="81"/>
        <v>0.3623188405797102</v>
      </c>
      <c r="K257" s="699" t="str">
        <f>IF(OR(J257="na",E257="no"),"na",J257/Eqtn!$D$387)</f>
        <v>na</v>
      </c>
      <c r="L257" s="1496" t="str">
        <f>'AR-Eq'!I257</f>
        <v>na</v>
      </c>
      <c r="M257" s="699">
        <f>'AR-Eq'!J257</f>
        <v>0.16927536231884052</v>
      </c>
      <c r="N257" s="699">
        <f t="shared" si="82"/>
        <v>0.16927536231884052</v>
      </c>
      <c r="O257" s="1529" t="str">
        <f>IF(OR(N257="na",$E257="no"),"na",N257/Eqtn!$D$387)</f>
        <v>na</v>
      </c>
      <c r="P257" s="1529" t="s">
        <v>232</v>
      </c>
      <c r="Q257" s="760" t="s">
        <v>232</v>
      </c>
      <c r="S257" s="1062"/>
    </row>
    <row r="258" spans="1:19" ht="13.9" customHeight="1" x14ac:dyDescent="0.25">
      <c r="A258" s="846">
        <f>Chem!A258</f>
        <v>256</v>
      </c>
      <c r="B258" s="937" t="str">
        <f>Chem!B258</f>
        <v>4,4'-DDE</v>
      </c>
      <c r="C258" s="384" t="str">
        <f>'AR-Eq'!E258</f>
        <v>na</v>
      </c>
      <c r="D258" s="343">
        <f>'AR-Eq'!F258</f>
        <v>2.5773195876288655E-2</v>
      </c>
      <c r="E258" s="1300" t="str">
        <f>Param!AF258</f>
        <v>no</v>
      </c>
      <c r="F258" s="573">
        <f t="shared" si="80"/>
        <v>2.5773195876288655E-2</v>
      </c>
      <c r="G258" s="574" t="str">
        <f>IF(OR(F258="na",E258="no"),"na",F258/Eqtn!$D$387)</f>
        <v>na</v>
      </c>
      <c r="H258" s="306" t="str">
        <f>'AR-Eq'!G258</f>
        <v>na</v>
      </c>
      <c r="I258" s="306">
        <f>'AR-Eq'!H258</f>
        <v>0.25773195876288663</v>
      </c>
      <c r="J258" s="693">
        <f t="shared" si="81"/>
        <v>0.25773195876288663</v>
      </c>
      <c r="K258" s="699" t="str">
        <f>IF(OR(J258="na",E258="no"),"na",J258/Eqtn!$D$387)</f>
        <v>na</v>
      </c>
      <c r="L258" s="1496" t="str">
        <f>'AR-Eq'!I258</f>
        <v>na</v>
      </c>
      <c r="M258" s="699">
        <f>'AR-Eq'!J258</f>
        <v>0.12041237113402056</v>
      </c>
      <c r="N258" s="699">
        <f t="shared" si="82"/>
        <v>0.12041237113402056</v>
      </c>
      <c r="O258" s="1529" t="str">
        <f>IF(OR(N258="na",$E258="no"),"na",N258/Eqtn!$D$387)</f>
        <v>na</v>
      </c>
      <c r="P258" s="1529" t="s">
        <v>232</v>
      </c>
      <c r="Q258" s="760" t="s">
        <v>232</v>
      </c>
      <c r="S258" s="1062"/>
    </row>
    <row r="259" spans="1:19" ht="13.9" customHeight="1" x14ac:dyDescent="0.25">
      <c r="A259" s="846">
        <f>Chem!A259</f>
        <v>257</v>
      </c>
      <c r="B259" s="937" t="str">
        <f>Chem!B259</f>
        <v>4,4'-DDT</v>
      </c>
      <c r="C259" s="384" t="str">
        <f>'AR-Eq'!E259</f>
        <v>na</v>
      </c>
      <c r="D259" s="343">
        <f>'AR-Eq'!F259</f>
        <v>2.5773195876288655E-2</v>
      </c>
      <c r="E259" s="1300" t="str">
        <f>Param!AF259</f>
        <v>no</v>
      </c>
      <c r="F259" s="573">
        <f t="shared" si="80"/>
        <v>2.5773195876288655E-2</v>
      </c>
      <c r="G259" s="574" t="str">
        <f>IF(OR(F259="na",E259="no"),"na",F259/Eqtn!$D$387)</f>
        <v>na</v>
      </c>
      <c r="H259" s="306" t="str">
        <f>'AR-Eq'!G259</f>
        <v>na</v>
      </c>
      <c r="I259" s="306">
        <f>'AR-Eq'!H259</f>
        <v>0.25773195876288663</v>
      </c>
      <c r="J259" s="693">
        <f t="shared" si="81"/>
        <v>0.25773195876288663</v>
      </c>
      <c r="K259" s="699" t="str">
        <f>IF(OR(J259="na",E259="no"),"na",J259/Eqtn!$D$387)</f>
        <v>na</v>
      </c>
      <c r="L259" s="1496" t="str">
        <f>'AR-Eq'!I259</f>
        <v>na</v>
      </c>
      <c r="M259" s="699">
        <f>'AR-Eq'!J259</f>
        <v>0.12041237113402056</v>
      </c>
      <c r="N259" s="699">
        <f t="shared" si="82"/>
        <v>0.12041237113402056</v>
      </c>
      <c r="O259" s="1529" t="str">
        <f>IF(OR(N259="na",$E259="no"),"na",N259/Eqtn!$D$387)</f>
        <v>na</v>
      </c>
      <c r="P259" s="1529" t="s">
        <v>232</v>
      </c>
      <c r="Q259" s="760" t="s">
        <v>232</v>
      </c>
      <c r="S259" s="1062"/>
    </row>
    <row r="260" spans="1:19" ht="13.9" customHeight="1" x14ac:dyDescent="0.25">
      <c r="A260" s="846">
        <f>Chem!A260</f>
        <v>258</v>
      </c>
      <c r="B260" s="937" t="str">
        <f>Chem!B260</f>
        <v xml:space="preserve">Total DDD </v>
      </c>
      <c r="C260" s="384" t="str">
        <f>'AR-Eq'!E260</f>
        <v>na</v>
      </c>
      <c r="D260" s="343">
        <f>'AR-Eq'!F260</f>
        <v>3.6231884057971009E-2</v>
      </c>
      <c r="E260" s="1300" t="str">
        <f>Param!AF260</f>
        <v>no</v>
      </c>
      <c r="F260" s="573">
        <f t="shared" si="80"/>
        <v>3.6231884057971009E-2</v>
      </c>
      <c r="G260" s="574" t="str">
        <f>IF(OR(F260="na",E260="no"),"na",F260/Eqtn!$D$387)</f>
        <v>na</v>
      </c>
      <c r="H260" s="306" t="str">
        <f>'AR-Eq'!G260</f>
        <v>na</v>
      </c>
      <c r="I260" s="306">
        <f>'AR-Eq'!H260</f>
        <v>0.3623188405797102</v>
      </c>
      <c r="J260" s="693">
        <f t="shared" si="81"/>
        <v>0.3623188405797102</v>
      </c>
      <c r="K260" s="699" t="str">
        <f>IF(OR(J260="na",E260="no"),"na",J260/Eqtn!$D$387)</f>
        <v>na</v>
      </c>
      <c r="L260" s="1496" t="str">
        <f>'AR-Eq'!I260</f>
        <v>na</v>
      </c>
      <c r="M260" s="699">
        <f>'AR-Eq'!J260</f>
        <v>0.16927536231884052</v>
      </c>
      <c r="N260" s="699">
        <f t="shared" si="82"/>
        <v>0.16927536231884052</v>
      </c>
      <c r="O260" s="1529" t="str">
        <f>IF(OR(N260="na",$E260="no"),"na",N260/Eqtn!$D$387)</f>
        <v>na</v>
      </c>
      <c r="P260" s="1529" t="s">
        <v>232</v>
      </c>
      <c r="Q260" s="760" t="s">
        <v>232</v>
      </c>
      <c r="S260" s="1062"/>
    </row>
    <row r="261" spans="1:19" ht="13.9" customHeight="1" x14ac:dyDescent="0.25">
      <c r="A261" s="846">
        <f>Chem!A261</f>
        <v>259</v>
      </c>
      <c r="B261" s="937" t="str">
        <f>Chem!B261</f>
        <v>Total DDE</v>
      </c>
      <c r="C261" s="384" t="str">
        <f>'AR-Eq'!E261</f>
        <v>na</v>
      </c>
      <c r="D261" s="343">
        <f>'AR-Eq'!F261</f>
        <v>2.5773195876288655E-2</v>
      </c>
      <c r="E261" s="1300" t="str">
        <f>Param!AF261</f>
        <v>no</v>
      </c>
      <c r="F261" s="576">
        <f t="shared" si="80"/>
        <v>2.5773195876288655E-2</v>
      </c>
      <c r="G261" s="574" t="str">
        <f>IF(OR(F261="na",E261="no"),"na",F261/Eqtn!$D$387)</f>
        <v>na</v>
      </c>
      <c r="H261" s="307" t="str">
        <f>'AR-Eq'!G261</f>
        <v>na</v>
      </c>
      <c r="I261" s="307">
        <f>'AR-Eq'!H261</f>
        <v>0.25773195876288663</v>
      </c>
      <c r="J261" s="696">
        <f t="shared" si="81"/>
        <v>0.25773195876288663</v>
      </c>
      <c r="K261" s="699" t="str">
        <f>IF(OR(J261="na",E261="no"),"na",J261/Eqtn!$D$387)</f>
        <v>na</v>
      </c>
      <c r="L261" s="1496" t="str">
        <f>'AR-Eq'!I261</f>
        <v>na</v>
      </c>
      <c r="M261" s="699">
        <f>'AR-Eq'!J261</f>
        <v>0.12041237113402056</v>
      </c>
      <c r="N261" s="699">
        <f t="shared" si="82"/>
        <v>0.12041237113402056</v>
      </c>
      <c r="O261" s="1529" t="str">
        <f>IF(OR(N261="na",$E261="no"),"na",N261/Eqtn!$D$387)</f>
        <v>na</v>
      </c>
      <c r="P261" s="1529" t="s">
        <v>232</v>
      </c>
      <c r="Q261" s="760" t="s">
        <v>232</v>
      </c>
      <c r="S261" s="1062"/>
    </row>
    <row r="262" spans="1:19" ht="13.9" customHeight="1" x14ac:dyDescent="0.25">
      <c r="A262" s="846">
        <f>Chem!A262</f>
        <v>260</v>
      </c>
      <c r="B262" s="937" t="str">
        <f>Chem!B262</f>
        <v>Total DDT</v>
      </c>
      <c r="C262" s="384" t="str">
        <f>'AR-Eq'!E262</f>
        <v>na</v>
      </c>
      <c r="D262" s="343">
        <f>'AR-Eq'!F262</f>
        <v>2.5773195876288655E-2</v>
      </c>
      <c r="E262" s="1300" t="str">
        <f>Param!AF262</f>
        <v>no</v>
      </c>
      <c r="F262" s="575">
        <f t="shared" si="80"/>
        <v>2.5773195876288655E-2</v>
      </c>
      <c r="G262" s="574" t="str">
        <f>IF(OR(F262="na",E262="no"),"na",F262/Eqtn!$D$387)</f>
        <v>na</v>
      </c>
      <c r="H262" s="17" t="str">
        <f>'AR-Eq'!G262</f>
        <v>na</v>
      </c>
      <c r="I262" s="17">
        <f>'AR-Eq'!H262</f>
        <v>0.25773195876288663</v>
      </c>
      <c r="J262" s="694">
        <f t="shared" si="81"/>
        <v>0.25773195876288663</v>
      </c>
      <c r="K262" s="699" t="str">
        <f>IF(OR(J262="na",E262="no"),"na",J262/Eqtn!$D$387)</f>
        <v>na</v>
      </c>
      <c r="L262" s="1496" t="str">
        <f>'AR-Eq'!I262</f>
        <v>na</v>
      </c>
      <c r="M262" s="699">
        <f>'AR-Eq'!J262</f>
        <v>0.12041237113402056</v>
      </c>
      <c r="N262" s="699">
        <f t="shared" si="82"/>
        <v>0.12041237113402056</v>
      </c>
      <c r="O262" s="1529" t="str">
        <f>IF(OR(N262="na",$E262="no"),"na",N262/Eqtn!$D$387)</f>
        <v>na</v>
      </c>
      <c r="P262" s="1529" t="s">
        <v>232</v>
      </c>
      <c r="Q262" s="760" t="s">
        <v>232</v>
      </c>
      <c r="S262" s="1062"/>
    </row>
    <row r="263" spans="1:19" ht="13.9" customHeight="1" x14ac:dyDescent="0.25">
      <c r="A263" s="846">
        <f>Chem!A263</f>
        <v>261</v>
      </c>
      <c r="B263" s="937" t="str">
        <f>Chem!B263</f>
        <v>Diazinon</v>
      </c>
      <c r="C263" s="384" t="str">
        <f>'AR-Eq'!E263</f>
        <v>na</v>
      </c>
      <c r="D263" s="343" t="str">
        <f>'AR-Eq'!F263</f>
        <v>na</v>
      </c>
      <c r="E263" s="1300" t="str">
        <f>Param!AF263</f>
        <v>no</v>
      </c>
      <c r="F263" s="575" t="str">
        <f t="shared" si="80"/>
        <v>na</v>
      </c>
      <c r="G263" s="574" t="str">
        <f>IF(OR(F263="na",E263="no"),"na",F263/Eqtn!$D$387)</f>
        <v>na</v>
      </c>
      <c r="H263" s="17" t="str">
        <f>'AR-Eq'!G263</f>
        <v>na</v>
      </c>
      <c r="I263" s="17" t="str">
        <f>'AR-Eq'!H263</f>
        <v>na</v>
      </c>
      <c r="J263" s="694" t="str">
        <f t="shared" si="81"/>
        <v>na</v>
      </c>
      <c r="K263" s="699" t="str">
        <f>IF(OR(J263="na",E263="no"),"na",J263/Eqtn!$D$387)</f>
        <v>na</v>
      </c>
      <c r="L263" s="1496" t="str">
        <f>'AR-Eq'!I263</f>
        <v>na</v>
      </c>
      <c r="M263" s="699" t="str">
        <f>'AR-Eq'!J263</f>
        <v>na</v>
      </c>
      <c r="N263" s="699" t="str">
        <f t="shared" si="82"/>
        <v>na</v>
      </c>
      <c r="O263" s="1529" t="str">
        <f>IF(OR(N263="na",$E263="no"),"na",N263/Eqtn!$D$387)</f>
        <v>na</v>
      </c>
      <c r="P263" s="1529" t="s">
        <v>232</v>
      </c>
      <c r="Q263" s="760" t="s">
        <v>232</v>
      </c>
      <c r="S263" s="1062"/>
    </row>
    <row r="264" spans="1:19" ht="13.9" customHeight="1" x14ac:dyDescent="0.25">
      <c r="A264" s="846">
        <f>Chem!A264</f>
        <v>262</v>
      </c>
      <c r="B264" s="937" t="str">
        <f>Chem!B264</f>
        <v>Dieldrin</v>
      </c>
      <c r="C264" s="384" t="str">
        <f>'AR-Eq'!E264</f>
        <v>na</v>
      </c>
      <c r="D264" s="343">
        <f>'AR-Eq'!F264</f>
        <v>5.4347826086956512E-4</v>
      </c>
      <c r="E264" s="1300" t="str">
        <f>Param!AF264</f>
        <v>no</v>
      </c>
      <c r="F264" s="575">
        <f t="shared" si="80"/>
        <v>5.4347826086956512E-4</v>
      </c>
      <c r="G264" s="574" t="str">
        <f>IF(OR(F264="na",E264="no"),"na",F264/Eqtn!$D$387)</f>
        <v>na</v>
      </c>
      <c r="H264" s="17" t="str">
        <f>'AR-Eq'!G264</f>
        <v>na</v>
      </c>
      <c r="I264" s="17">
        <f>'AR-Eq'!H264</f>
        <v>5.434782608695652E-3</v>
      </c>
      <c r="J264" s="694">
        <f t="shared" si="81"/>
        <v>5.434782608695652E-3</v>
      </c>
      <c r="K264" s="699" t="str">
        <f>IF(OR(J264="na",E264="no"),"na",J264/Eqtn!$D$387)</f>
        <v>na</v>
      </c>
      <c r="L264" s="1496" t="str">
        <f>'AR-Eq'!I264</f>
        <v>na</v>
      </c>
      <c r="M264" s="699">
        <f>'AR-Eq'!J264</f>
        <v>2.5391304347826076E-3</v>
      </c>
      <c r="N264" s="699">
        <f t="shared" si="82"/>
        <v>2.5391304347826076E-3</v>
      </c>
      <c r="O264" s="1529" t="str">
        <f>IF(OR(N264="na",$E264="no"),"na",N264/Eqtn!$D$387)</f>
        <v>na</v>
      </c>
      <c r="P264" s="1529" t="s">
        <v>232</v>
      </c>
      <c r="Q264" s="760" t="s">
        <v>232</v>
      </c>
      <c r="S264" s="1062"/>
    </row>
    <row r="265" spans="1:19" ht="13.9" customHeight="1" x14ac:dyDescent="0.25">
      <c r="A265" s="846">
        <f>Chem!A265</f>
        <v>263</v>
      </c>
      <c r="B265" s="937" t="str">
        <f>Chem!B265</f>
        <v>alpha-Endosulfan</v>
      </c>
      <c r="C265" s="384" t="str">
        <f>'AR-Eq'!E265</f>
        <v>na</v>
      </c>
      <c r="D265" s="343" t="str">
        <f>'AR-Eq'!F265</f>
        <v>na</v>
      </c>
      <c r="E265" s="1300" t="str">
        <f>Param!AF265</f>
        <v>no</v>
      </c>
      <c r="F265" s="575" t="str">
        <f t="shared" ref="F265:F269" si="86">IF(C265="na",IF(D265="na","na",D265),MIN(C265,D265))</f>
        <v>na</v>
      </c>
      <c r="G265" s="574" t="str">
        <f>IF(OR(F265="na",E265="no"),"na",F265/Eqtn!$D$387)</f>
        <v>na</v>
      </c>
      <c r="H265" s="17" t="str">
        <f>'AR-Eq'!G265</f>
        <v>na</v>
      </c>
      <c r="I265" s="17" t="str">
        <f>'AR-Eq'!H265</f>
        <v>na</v>
      </c>
      <c r="J265" s="694" t="str">
        <f t="shared" ref="J265:J269" si="87">IF(H265="na",IF(I265="na","na",I265),MIN(H265,I265))</f>
        <v>na</v>
      </c>
      <c r="K265" s="699" t="str">
        <f>IF(OR(J265="na",E265="no"),"na",J265/Eqtn!$D$387)</f>
        <v>na</v>
      </c>
      <c r="L265" s="1496" t="str">
        <f>'AR-Eq'!I265</f>
        <v>na</v>
      </c>
      <c r="M265" s="699" t="str">
        <f>'AR-Eq'!J265</f>
        <v>na</v>
      </c>
      <c r="N265" s="699" t="str">
        <f t="shared" ref="N265:N269" si="88">IF(L265="na",IF(M265="na","na",M265),MIN(L265,M265))</f>
        <v>na</v>
      </c>
      <c r="O265" s="1529" t="str">
        <f>IF(OR(N265="na",$E265="no"),"na",N265/Eqtn!$D$387)</f>
        <v>na</v>
      </c>
      <c r="P265" s="1529" t="s">
        <v>232</v>
      </c>
      <c r="Q265" s="760" t="s">
        <v>232</v>
      </c>
      <c r="S265" s="1062"/>
    </row>
    <row r="266" spans="1:19" ht="13.9" customHeight="1" x14ac:dyDescent="0.25">
      <c r="A266" s="846">
        <f>Chem!A266</f>
        <v>264</v>
      </c>
      <c r="B266" s="937" t="str">
        <f>Chem!B266</f>
        <v>beta-Endosulfan</v>
      </c>
      <c r="C266" s="384" t="str">
        <f>'AR-Eq'!E266</f>
        <v>na</v>
      </c>
      <c r="D266" s="343" t="str">
        <f>'AR-Eq'!F266</f>
        <v>na</v>
      </c>
      <c r="E266" s="1300" t="str">
        <f>Param!AF266</f>
        <v>no</v>
      </c>
      <c r="F266" s="575" t="str">
        <f t="shared" si="86"/>
        <v>na</v>
      </c>
      <c r="G266" s="574" t="str">
        <f>IF(OR(F266="na",E266="no"),"na",F266/Eqtn!$D$387)</f>
        <v>na</v>
      </c>
      <c r="H266" s="17" t="str">
        <f>'AR-Eq'!G266</f>
        <v>na</v>
      </c>
      <c r="I266" s="17" t="str">
        <f>'AR-Eq'!H266</f>
        <v>na</v>
      </c>
      <c r="J266" s="694" t="str">
        <f t="shared" si="87"/>
        <v>na</v>
      </c>
      <c r="K266" s="699" t="str">
        <f>IF(OR(J266="na",E266="no"),"na",J266/Eqtn!$D$387)</f>
        <v>na</v>
      </c>
      <c r="L266" s="1496" t="str">
        <f>'AR-Eq'!I266</f>
        <v>na</v>
      </c>
      <c r="M266" s="699" t="str">
        <f>'AR-Eq'!J266</f>
        <v>na</v>
      </c>
      <c r="N266" s="699" t="str">
        <f t="shared" si="88"/>
        <v>na</v>
      </c>
      <c r="O266" s="1529" t="str">
        <f>IF(OR(N266="na",$E266="no"),"na",N266/Eqtn!$D$387)</f>
        <v>na</v>
      </c>
      <c r="P266" s="1529" t="s">
        <v>232</v>
      </c>
      <c r="Q266" s="760" t="s">
        <v>232</v>
      </c>
      <c r="S266" s="1062"/>
    </row>
    <row r="267" spans="1:19" ht="13.9" customHeight="1" x14ac:dyDescent="0.25">
      <c r="A267" s="846">
        <f>Chem!A267</f>
        <v>265</v>
      </c>
      <c r="B267" s="937" t="str">
        <f>Chem!B267</f>
        <v>Sum of alpha and beta endosuflan</v>
      </c>
      <c r="C267" s="384" t="str">
        <f>'AR-Eq'!E267</f>
        <v>na</v>
      </c>
      <c r="D267" s="343" t="str">
        <f>'AR-Eq'!F267</f>
        <v>na</v>
      </c>
      <c r="E267" s="1300" t="str">
        <f>Param!AF267</f>
        <v>no</v>
      </c>
      <c r="F267" s="575" t="str">
        <f t="shared" si="86"/>
        <v>na</v>
      </c>
      <c r="G267" s="574" t="str">
        <f>IF(OR(F267="na",E267="no"),"na",F267/Eqtn!$D$387)</f>
        <v>na</v>
      </c>
      <c r="H267" s="17" t="str">
        <f>'AR-Eq'!G267</f>
        <v>na</v>
      </c>
      <c r="I267" s="17" t="str">
        <f>'AR-Eq'!H267</f>
        <v>na</v>
      </c>
      <c r="J267" s="694" t="str">
        <f t="shared" si="87"/>
        <v>na</v>
      </c>
      <c r="K267" s="699" t="str">
        <f>IF(OR(J267="na",E267="no"),"na",J267/Eqtn!$D$387)</f>
        <v>na</v>
      </c>
      <c r="L267" s="1496" t="str">
        <f>'AR-Eq'!I267</f>
        <v>na</v>
      </c>
      <c r="M267" s="699" t="str">
        <f>'AR-Eq'!J267</f>
        <v>na</v>
      </c>
      <c r="N267" s="699" t="str">
        <f t="shared" si="88"/>
        <v>na</v>
      </c>
      <c r="O267" s="1529" t="str">
        <f>IF(OR(N267="na",$E267="no"),"na",N267/Eqtn!$D$387)</f>
        <v>na</v>
      </c>
      <c r="P267" s="1529" t="s">
        <v>232</v>
      </c>
      <c r="Q267" s="760" t="s">
        <v>232</v>
      </c>
      <c r="S267" s="1062"/>
    </row>
    <row r="268" spans="1:19" ht="13.9" customHeight="1" x14ac:dyDescent="0.25">
      <c r="A268" s="846">
        <f>Chem!A268</f>
        <v>266</v>
      </c>
      <c r="B268" s="937" t="str">
        <f>Chem!B268</f>
        <v>Endosulfan sulfate</v>
      </c>
      <c r="C268" s="384" t="str">
        <f>'AR-Eq'!E268</f>
        <v>na</v>
      </c>
      <c r="D268" s="343" t="str">
        <f>'AR-Eq'!F268</f>
        <v>na</v>
      </c>
      <c r="E268" s="1300" t="str">
        <f>Param!AF268</f>
        <v>no</v>
      </c>
      <c r="F268" s="575" t="str">
        <f t="shared" si="86"/>
        <v>na</v>
      </c>
      <c r="G268" s="574" t="str">
        <f>IF(OR(F268="na",E268="no"),"na",F268/Eqtn!$D$387)</f>
        <v>na</v>
      </c>
      <c r="H268" s="17" t="str">
        <f>'AR-Eq'!G268</f>
        <v>na</v>
      </c>
      <c r="I268" s="17" t="str">
        <f>'AR-Eq'!H268</f>
        <v>na</v>
      </c>
      <c r="J268" s="694" t="str">
        <f t="shared" si="87"/>
        <v>na</v>
      </c>
      <c r="K268" s="699" t="str">
        <f>IF(OR(J268="na",E268="no"),"na",J268/Eqtn!$D$387)</f>
        <v>na</v>
      </c>
      <c r="L268" s="1496" t="str">
        <f>'AR-Eq'!I268</f>
        <v>na</v>
      </c>
      <c r="M268" s="699" t="str">
        <f>'AR-Eq'!J268</f>
        <v>na</v>
      </c>
      <c r="N268" s="699" t="str">
        <f t="shared" si="88"/>
        <v>na</v>
      </c>
      <c r="O268" s="1529" t="str">
        <f>IF(OR(N268="na",$E268="no"),"na",N268/Eqtn!$D$387)</f>
        <v>na</v>
      </c>
      <c r="P268" s="1529" t="s">
        <v>232</v>
      </c>
      <c r="Q268" s="760" t="s">
        <v>232</v>
      </c>
      <c r="S268" s="1062"/>
    </row>
    <row r="269" spans="1:19" ht="13.9" customHeight="1" x14ac:dyDescent="0.25">
      <c r="A269" s="846">
        <f>Chem!A269</f>
        <v>267</v>
      </c>
      <c r="B269" s="937" t="str">
        <f>Chem!B269</f>
        <v>Sum of alpha, beta, and endosulfan sulfate</v>
      </c>
      <c r="C269" s="384" t="str">
        <f>'AR-Eq'!E269</f>
        <v>na</v>
      </c>
      <c r="D269" s="343" t="str">
        <f>'AR-Eq'!F269</f>
        <v>na</v>
      </c>
      <c r="E269" s="1300" t="str">
        <f>Param!AF269</f>
        <v>no</v>
      </c>
      <c r="F269" s="575" t="str">
        <f t="shared" si="86"/>
        <v>na</v>
      </c>
      <c r="G269" s="574" t="str">
        <f>IF(OR(F269="na",E269="no"),"na",F269/Eqtn!$D$387)</f>
        <v>na</v>
      </c>
      <c r="H269" s="17" t="str">
        <f>'AR-Eq'!G269</f>
        <v>na</v>
      </c>
      <c r="I269" s="17" t="str">
        <f>'AR-Eq'!H269</f>
        <v>na</v>
      </c>
      <c r="J269" s="694" t="str">
        <f t="shared" si="87"/>
        <v>na</v>
      </c>
      <c r="K269" s="699" t="str">
        <f>IF(OR(J269="na",E269="no"),"na",J269/Eqtn!$D$387)</f>
        <v>na</v>
      </c>
      <c r="L269" s="1496" t="str">
        <f>'AR-Eq'!I269</f>
        <v>na</v>
      </c>
      <c r="M269" s="699" t="str">
        <f>'AR-Eq'!J269</f>
        <v>na</v>
      </c>
      <c r="N269" s="699" t="str">
        <f t="shared" si="88"/>
        <v>na</v>
      </c>
      <c r="O269" s="1529" t="str">
        <f>IF(OR(N269="na",$E269="no"),"na",N269/Eqtn!$D$387)</f>
        <v>na</v>
      </c>
      <c r="P269" s="1529" t="s">
        <v>232</v>
      </c>
      <c r="Q269" s="760" t="s">
        <v>232</v>
      </c>
      <c r="S269" s="1062"/>
    </row>
    <row r="270" spans="1:19" ht="13.9" customHeight="1" x14ac:dyDescent="0.25">
      <c r="A270" s="846">
        <f>Chem!A270</f>
        <v>268</v>
      </c>
      <c r="B270" s="937" t="str">
        <f>Chem!B270</f>
        <v>Endrin</v>
      </c>
      <c r="C270" s="384" t="str">
        <f>'AR-Eq'!E270</f>
        <v>na</v>
      </c>
      <c r="D270" s="343" t="str">
        <f>'AR-Eq'!F270</f>
        <v>na</v>
      </c>
      <c r="E270" s="1300" t="str">
        <f>Param!AF270</f>
        <v>no</v>
      </c>
      <c r="F270" s="575" t="str">
        <f t="shared" si="80"/>
        <v>na</v>
      </c>
      <c r="G270" s="574" t="str">
        <f>IF(OR(F270="na",E270="no"),"na",F270/Eqtn!$D$387)</f>
        <v>na</v>
      </c>
      <c r="H270" s="17" t="str">
        <f>'AR-Eq'!G270</f>
        <v>na</v>
      </c>
      <c r="I270" s="17" t="str">
        <f>'AR-Eq'!H270</f>
        <v>na</v>
      </c>
      <c r="J270" s="694" t="str">
        <f t="shared" si="81"/>
        <v>na</v>
      </c>
      <c r="K270" s="699" t="str">
        <f>IF(OR(J270="na",E270="no"),"na",J270/Eqtn!$D$387)</f>
        <v>na</v>
      </c>
      <c r="L270" s="1496" t="str">
        <f>'AR-Eq'!I270</f>
        <v>na</v>
      </c>
      <c r="M270" s="699" t="str">
        <f>'AR-Eq'!J270</f>
        <v>na</v>
      </c>
      <c r="N270" s="699" t="str">
        <f t="shared" si="82"/>
        <v>na</v>
      </c>
      <c r="O270" s="1529" t="str">
        <f>IF(OR(N270="na",$E270="no"),"na",N270/Eqtn!$D$387)</f>
        <v>na</v>
      </c>
      <c r="P270" s="1529" t="s">
        <v>232</v>
      </c>
      <c r="Q270" s="760" t="s">
        <v>232</v>
      </c>
      <c r="S270" s="1062"/>
    </row>
    <row r="271" spans="1:19" ht="13.9" customHeight="1" x14ac:dyDescent="0.25">
      <c r="A271" s="846">
        <f>Chem!A271</f>
        <v>269</v>
      </c>
      <c r="B271" s="937" t="str">
        <f>Chem!B271</f>
        <v>Endrin aldehyde</v>
      </c>
      <c r="C271" s="384" t="str">
        <f>'AR-Eq'!E271</f>
        <v>na</v>
      </c>
      <c r="D271" s="343" t="str">
        <f>'AR-Eq'!F271</f>
        <v>na</v>
      </c>
      <c r="E271" s="1300" t="str">
        <f>Param!AF271</f>
        <v>no</v>
      </c>
      <c r="F271" s="576" t="str">
        <f t="shared" si="80"/>
        <v>na</v>
      </c>
      <c r="G271" s="574" t="str">
        <f>IF(OR(F271="na",E271="no"),"na",F271/Eqtn!$D$387)</f>
        <v>na</v>
      </c>
      <c r="H271" s="307" t="str">
        <f>'AR-Eq'!G271</f>
        <v>na</v>
      </c>
      <c r="I271" s="307" t="str">
        <f>'AR-Eq'!H271</f>
        <v>na</v>
      </c>
      <c r="J271" s="696" t="str">
        <f t="shared" si="81"/>
        <v>na</v>
      </c>
      <c r="K271" s="699" t="str">
        <f>IF(OR(J271="na",E271="no"),"na",J271/Eqtn!$D$387)</f>
        <v>na</v>
      </c>
      <c r="L271" s="1496" t="str">
        <f>'AR-Eq'!I271</f>
        <v>na</v>
      </c>
      <c r="M271" s="699" t="str">
        <f>'AR-Eq'!J271</f>
        <v>na</v>
      </c>
      <c r="N271" s="699" t="str">
        <f t="shared" si="82"/>
        <v>na</v>
      </c>
      <c r="O271" s="1529" t="str">
        <f>IF(OR(N271="na",$E271="no"),"na",N271/Eqtn!$D$387)</f>
        <v>na</v>
      </c>
      <c r="P271" s="1529" t="s">
        <v>232</v>
      </c>
      <c r="Q271" s="760" t="s">
        <v>232</v>
      </c>
      <c r="S271" s="1062"/>
    </row>
    <row r="272" spans="1:19" ht="13.9" customHeight="1" x14ac:dyDescent="0.25">
      <c r="A272" s="846">
        <f>Chem!A272</f>
        <v>270</v>
      </c>
      <c r="B272" s="937" t="str">
        <f>Chem!B272</f>
        <v>Endrin ketone</v>
      </c>
      <c r="C272" s="384" t="str">
        <f>'AR-Eq'!E272</f>
        <v>na</v>
      </c>
      <c r="D272" s="343" t="str">
        <f>'AR-Eq'!F272</f>
        <v>na</v>
      </c>
      <c r="E272" s="1300" t="str">
        <f>Param!AF272</f>
        <v>no</v>
      </c>
      <c r="F272" s="576" t="str">
        <f t="shared" si="80"/>
        <v>na</v>
      </c>
      <c r="G272" s="574" t="str">
        <f>IF(OR(F272="na",E272="no"),"na",F272/Eqtn!$D$387)</f>
        <v>na</v>
      </c>
      <c r="H272" s="307" t="str">
        <f>'AR-Eq'!G272</f>
        <v>na</v>
      </c>
      <c r="I272" s="307" t="str">
        <f>'AR-Eq'!H272</f>
        <v>na</v>
      </c>
      <c r="J272" s="696" t="str">
        <f t="shared" si="81"/>
        <v>na</v>
      </c>
      <c r="K272" s="699" t="str">
        <f>IF(OR(J272="na",E272="no"),"na",J272/Eqtn!$D$387)</f>
        <v>na</v>
      </c>
      <c r="L272" s="1496" t="str">
        <f>'AR-Eq'!I272</f>
        <v>na</v>
      </c>
      <c r="M272" s="699" t="str">
        <f>'AR-Eq'!J272</f>
        <v>na</v>
      </c>
      <c r="N272" s="699" t="str">
        <f t="shared" si="82"/>
        <v>na</v>
      </c>
      <c r="O272" s="1529" t="str">
        <f>IF(OR(N272="na",$E272="no"),"na",N272/Eqtn!$D$387)</f>
        <v>na</v>
      </c>
      <c r="P272" s="1529" t="s">
        <v>232</v>
      </c>
      <c r="Q272" s="760" t="s">
        <v>232</v>
      </c>
      <c r="S272" s="1062"/>
    </row>
    <row r="273" spans="1:19" ht="13.9" customHeight="1" x14ac:dyDescent="0.25">
      <c r="A273" s="846">
        <f>Chem!A273</f>
        <v>271</v>
      </c>
      <c r="B273" s="937" t="str">
        <f>Chem!B273</f>
        <v>Heptachlor</v>
      </c>
      <c r="C273" s="384" t="str">
        <f>'AR-Eq'!E273</f>
        <v>na</v>
      </c>
      <c r="D273" s="343">
        <f>'AR-Eq'!F273</f>
        <v>1.923076923076923E-3</v>
      </c>
      <c r="E273" s="1300" t="str">
        <f>Param!AF273</f>
        <v>YES</v>
      </c>
      <c r="F273" s="575">
        <f t="shared" si="80"/>
        <v>1.923076923076923E-3</v>
      </c>
      <c r="G273" s="574">
        <f>IF(OR(F273="na",E273="no"),"na",F273/Eqtn!$D$387)</f>
        <v>6.4102564102564097E-2</v>
      </c>
      <c r="H273" s="17" t="str">
        <f>'AR-Eq'!G273</f>
        <v>na</v>
      </c>
      <c r="I273" s="17">
        <f>'AR-Eq'!H273</f>
        <v>1.9230769230769232E-2</v>
      </c>
      <c r="J273" s="694">
        <f t="shared" si="81"/>
        <v>1.9230769230769232E-2</v>
      </c>
      <c r="K273" s="699">
        <f>IF(OR(J273="na",E273="no"),"na",J273/Eqtn!$D$387)</f>
        <v>0.64102564102564108</v>
      </c>
      <c r="L273" s="1496" t="str">
        <f>'AR-Eq'!I273</f>
        <v>na</v>
      </c>
      <c r="M273" s="699">
        <f>'AR-Eq'!J273</f>
        <v>8.9846153846153826E-3</v>
      </c>
      <c r="N273" s="699">
        <f t="shared" si="82"/>
        <v>8.9846153846153826E-3</v>
      </c>
      <c r="O273" s="1529">
        <f>IF(OR(N273="na",$E273="no"),"na",N273/Eqtn!$D$387)</f>
        <v>0.29948717948717946</v>
      </c>
      <c r="P273" s="1529" t="s">
        <v>232</v>
      </c>
      <c r="Q273" s="760" t="s">
        <v>232</v>
      </c>
      <c r="S273" s="1062"/>
    </row>
    <row r="274" spans="1:19" ht="13.9" customHeight="1" x14ac:dyDescent="0.25">
      <c r="A274" s="846">
        <f>Chem!A274</f>
        <v>272</v>
      </c>
      <c r="B274" s="937" t="str">
        <f>Chem!B274</f>
        <v>Heptachlor epoxide</v>
      </c>
      <c r="C274" s="384" t="str">
        <f>'AR-Eq'!E274</f>
        <v>na</v>
      </c>
      <c r="D274" s="343">
        <f>'AR-Eq'!F274</f>
        <v>9.6153846153846148E-4</v>
      </c>
      <c r="E274" s="1300" t="str">
        <f>Param!AF274</f>
        <v>no</v>
      </c>
      <c r="F274" s="575">
        <f t="shared" si="80"/>
        <v>9.6153846153846148E-4</v>
      </c>
      <c r="G274" s="574" t="str">
        <f>IF(OR(F274="na",E274="no"),"na",F274/Eqtn!$D$387)</f>
        <v>na</v>
      </c>
      <c r="H274" s="17" t="str">
        <f>'AR-Eq'!G274</f>
        <v>na</v>
      </c>
      <c r="I274" s="17">
        <f>'AR-Eq'!H274</f>
        <v>9.6153846153846159E-3</v>
      </c>
      <c r="J274" s="694">
        <f t="shared" si="81"/>
        <v>9.6153846153846159E-3</v>
      </c>
      <c r="K274" s="699" t="str">
        <f>IF(OR(J274="na",E274="no"),"na",J274/Eqtn!$D$387)</f>
        <v>na</v>
      </c>
      <c r="L274" s="1496" t="str">
        <f>'AR-Eq'!I274</f>
        <v>na</v>
      </c>
      <c r="M274" s="699">
        <f>'AR-Eq'!J274</f>
        <v>4.4923076923076913E-3</v>
      </c>
      <c r="N274" s="699">
        <f t="shared" si="82"/>
        <v>4.4923076923076913E-3</v>
      </c>
      <c r="O274" s="1529" t="str">
        <f>IF(OR(N274="na",$E274="no"),"na",N274/Eqtn!$D$387)</f>
        <v>na</v>
      </c>
      <c r="P274" s="1529" t="s">
        <v>232</v>
      </c>
      <c r="Q274" s="760" t="s">
        <v>232</v>
      </c>
      <c r="S274" s="1062"/>
    </row>
    <row r="275" spans="1:19" ht="13.9" customHeight="1" x14ac:dyDescent="0.25">
      <c r="A275" s="846">
        <f>Chem!A275</f>
        <v>273</v>
      </c>
      <c r="B275" s="937" t="str">
        <f>Chem!B275</f>
        <v>Lindane (gamma-BHC)</v>
      </c>
      <c r="C275" s="384" t="str">
        <f>'AR-Eq'!E275</f>
        <v>na</v>
      </c>
      <c r="D275" s="343">
        <f>'AR-Eq'!F275</f>
        <v>8.0645161290322578E-3</v>
      </c>
      <c r="E275" s="1300" t="str">
        <f>Param!AF275</f>
        <v>no</v>
      </c>
      <c r="F275" s="575">
        <f t="shared" ref="F275" si="89">IF(C275="na",IF(D275="na","na",D275),MIN(C275,D275))</f>
        <v>8.0645161290322578E-3</v>
      </c>
      <c r="G275" s="574" t="str">
        <f>IF(OR(F275="na",E275="no"),"na",F275/Eqtn!$D$387)</f>
        <v>na</v>
      </c>
      <c r="H275" s="17" t="str">
        <f>'AR-Eq'!G275</f>
        <v>na</v>
      </c>
      <c r="I275" s="17">
        <f>'AR-Eq'!H275</f>
        <v>8.0645161290322592E-2</v>
      </c>
      <c r="J275" s="694">
        <f t="shared" ref="J275" si="90">IF(H275="na",IF(I275="na","na",I275),MIN(H275,I275))</f>
        <v>8.0645161290322592E-2</v>
      </c>
      <c r="K275" s="699" t="str">
        <f>IF(OR(J275="na",E275="no"),"na",J275/Eqtn!$D$387)</f>
        <v>na</v>
      </c>
      <c r="L275" s="1496" t="str">
        <f>'AR-Eq'!I275</f>
        <v>na</v>
      </c>
      <c r="M275" s="699">
        <f>'AR-Eq'!J275</f>
        <v>3.7677419354838697E-2</v>
      </c>
      <c r="N275" s="699">
        <f t="shared" ref="N275" si="91">IF(L275="na",IF(M275="na","na",M275),MIN(L275,M275))</f>
        <v>3.7677419354838697E-2</v>
      </c>
      <c r="O275" s="1529" t="str">
        <f>IF(OR(N275="na",$E275="no"),"na",N275/Eqtn!$D$387)</f>
        <v>na</v>
      </c>
      <c r="P275" s="1529" t="s">
        <v>232</v>
      </c>
      <c r="Q275" s="760" t="s">
        <v>232</v>
      </c>
      <c r="S275" s="1062"/>
    </row>
    <row r="276" spans="1:19" ht="13.9" customHeight="1" x14ac:dyDescent="0.25">
      <c r="A276" s="846">
        <f>Chem!A276</f>
        <v>274</v>
      </c>
      <c r="B276" s="937" t="str">
        <f>Chem!B276</f>
        <v>Malathion</v>
      </c>
      <c r="C276" s="384" t="str">
        <f>'AR-Eq'!E276</f>
        <v>na</v>
      </c>
      <c r="D276" s="343" t="str">
        <f>'AR-Eq'!F276</f>
        <v>na</v>
      </c>
      <c r="E276" s="1300" t="str">
        <f>Param!AF276</f>
        <v>no</v>
      </c>
      <c r="F276" s="575" t="str">
        <f t="shared" si="80"/>
        <v>na</v>
      </c>
      <c r="G276" s="574" t="str">
        <f>IF(OR(F276="na",E276="no"),"na",F276/Eqtn!$D$387)</f>
        <v>na</v>
      </c>
      <c r="H276" s="17" t="str">
        <f>'AR-Eq'!G276</f>
        <v>na</v>
      </c>
      <c r="I276" s="17" t="str">
        <f>'AR-Eq'!H276</f>
        <v>na</v>
      </c>
      <c r="J276" s="694" t="str">
        <f t="shared" si="81"/>
        <v>na</v>
      </c>
      <c r="K276" s="699" t="str">
        <f>IF(OR(J276="na",E276="no"),"na",J276/Eqtn!$D$387)</f>
        <v>na</v>
      </c>
      <c r="L276" s="1496" t="str">
        <f>'AR-Eq'!I276</f>
        <v>na</v>
      </c>
      <c r="M276" s="699" t="str">
        <f>'AR-Eq'!J276</f>
        <v>na</v>
      </c>
      <c r="N276" s="699" t="str">
        <f t="shared" si="82"/>
        <v>na</v>
      </c>
      <c r="O276" s="1529" t="str">
        <f>IF(OR(N276="na",$E276="no"),"na",N276/Eqtn!$D$387)</f>
        <v>na</v>
      </c>
      <c r="P276" s="1529" t="s">
        <v>232</v>
      </c>
      <c r="Q276" s="760" t="s">
        <v>232</v>
      </c>
      <c r="S276" s="1062"/>
    </row>
    <row r="277" spans="1:19" ht="13.9" customHeight="1" x14ac:dyDescent="0.25">
      <c r="A277" s="846">
        <f>Chem!A277</f>
        <v>275</v>
      </c>
      <c r="B277" s="937" t="str">
        <f>Chem!B277</f>
        <v>Methoxychlor</v>
      </c>
      <c r="C277" s="392" t="str">
        <f>'AR-Eq'!E277</f>
        <v>na</v>
      </c>
      <c r="D277" s="532" t="str">
        <f>'AR-Eq'!F277</f>
        <v>na</v>
      </c>
      <c r="E277" s="1299" t="str">
        <f>Param!AF277</f>
        <v>no</v>
      </c>
      <c r="F277" s="575" t="str">
        <f t="shared" si="80"/>
        <v>na</v>
      </c>
      <c r="G277" s="574" t="str">
        <f>IF(OR(F277="na",E277="no"),"na",F277/Eqtn!$D$387)</f>
        <v>na</v>
      </c>
      <c r="H277" s="17" t="str">
        <f>'AR-Eq'!G277</f>
        <v>na</v>
      </c>
      <c r="I277" s="17" t="str">
        <f>'AR-Eq'!H277</f>
        <v>na</v>
      </c>
      <c r="J277" s="694" t="str">
        <f t="shared" si="81"/>
        <v>na</v>
      </c>
      <c r="K277" s="699" t="str">
        <f>IF(OR(J277="na",E277="no"),"na",J277/Eqtn!$D$387)</f>
        <v>na</v>
      </c>
      <c r="L277" s="1496" t="str">
        <f>'AR-Eq'!I277</f>
        <v>na</v>
      </c>
      <c r="M277" s="699" t="str">
        <f>'AR-Eq'!J277</f>
        <v>na</v>
      </c>
      <c r="N277" s="699" t="str">
        <f t="shared" si="82"/>
        <v>na</v>
      </c>
      <c r="O277" s="1529" t="str">
        <f>IF(OR(N277="na",$E277="no"),"na",N277/Eqtn!$D$387)</f>
        <v>na</v>
      </c>
      <c r="P277" s="1529" t="s">
        <v>232</v>
      </c>
      <c r="Q277" s="760" t="s">
        <v>232</v>
      </c>
      <c r="S277" s="1062"/>
    </row>
    <row r="278" spans="1:19" ht="13.9" customHeight="1" x14ac:dyDescent="0.25">
      <c r="A278" s="846">
        <f>Chem!A278</f>
        <v>276</v>
      </c>
      <c r="B278" s="937" t="str">
        <f>Chem!B278</f>
        <v>Mirex</v>
      </c>
      <c r="C278" s="392" t="str">
        <f>'AR-Eq'!E278</f>
        <v>na</v>
      </c>
      <c r="D278" s="532">
        <f>'AR-Eq'!F278</f>
        <v>4.9019607843137243E-4</v>
      </c>
      <c r="E278" s="1299" t="str">
        <f>Param!AF278</f>
        <v>YES</v>
      </c>
      <c r="F278" s="575">
        <f t="shared" si="80"/>
        <v>4.9019607843137243E-4</v>
      </c>
      <c r="G278" s="574">
        <f>IF(OR(F278="na",E278="no"),"na",F278/Eqtn!$D$387)</f>
        <v>1.6339869281045749E-2</v>
      </c>
      <c r="H278" s="17" t="str">
        <f>'AR-Eq'!G278</f>
        <v>na</v>
      </c>
      <c r="I278" s="17">
        <f>'AR-Eq'!H278</f>
        <v>4.9019607843137254E-3</v>
      </c>
      <c r="J278" s="694">
        <f t="shared" si="81"/>
        <v>4.9019607843137254E-3</v>
      </c>
      <c r="K278" s="699">
        <f>IF(OR(J278="na",E278="no"),"na",J278/Eqtn!$D$387)</f>
        <v>0.16339869281045752</v>
      </c>
      <c r="L278" s="1496" t="str">
        <f>'AR-Eq'!I278</f>
        <v>na</v>
      </c>
      <c r="M278" s="699">
        <f>'AR-Eq'!J278</f>
        <v>2.2901960784313716E-3</v>
      </c>
      <c r="N278" s="699">
        <f t="shared" si="82"/>
        <v>2.2901960784313716E-3</v>
      </c>
      <c r="O278" s="1529">
        <f>IF(OR(N278="na",$E278="no"),"na",N278/Eqtn!$D$387)</f>
        <v>7.6339869281045719E-2</v>
      </c>
      <c r="P278" s="1529" t="s">
        <v>232</v>
      </c>
      <c r="Q278" s="760" t="s">
        <v>232</v>
      </c>
      <c r="S278" s="1062"/>
    </row>
    <row r="279" spans="1:19" ht="13.9" customHeight="1" x14ac:dyDescent="0.25">
      <c r="A279" s="846">
        <f>Chem!A279</f>
        <v>277</v>
      </c>
      <c r="B279" s="937" t="str">
        <f>Chem!B279</f>
        <v>Nonachlor</v>
      </c>
      <c r="C279" s="384" t="str">
        <f>'AR-Eq'!E279</f>
        <v>na</v>
      </c>
      <c r="D279" s="343" t="str">
        <f>'AR-Eq'!F279</f>
        <v>na</v>
      </c>
      <c r="E279" s="1300" t="str">
        <f>Param!AF279</f>
        <v>no</v>
      </c>
      <c r="F279" s="576" t="str">
        <f t="shared" si="80"/>
        <v>na</v>
      </c>
      <c r="G279" s="574" t="str">
        <f>IF(OR(F279="na",E279="no"),"na",F279/Eqtn!$D$387)</f>
        <v>na</v>
      </c>
      <c r="H279" s="307" t="str">
        <f>'AR-Eq'!G279</f>
        <v>na</v>
      </c>
      <c r="I279" s="307" t="str">
        <f>'AR-Eq'!H279</f>
        <v>na</v>
      </c>
      <c r="J279" s="696" t="str">
        <f t="shared" si="81"/>
        <v>na</v>
      </c>
      <c r="K279" s="699" t="str">
        <f>IF(OR(J279="na",E279="no"),"na",J279/Eqtn!$D$387)</f>
        <v>na</v>
      </c>
      <c r="L279" s="1496" t="str">
        <f>'AR-Eq'!I279</f>
        <v>na</v>
      </c>
      <c r="M279" s="699" t="str">
        <f>'AR-Eq'!J279</f>
        <v>na</v>
      </c>
      <c r="N279" s="699" t="str">
        <f t="shared" si="82"/>
        <v>na</v>
      </c>
      <c r="O279" s="1529" t="str">
        <f>IF(OR(N279="na",$E279="no"),"na",N279/Eqtn!$D$387)</f>
        <v>na</v>
      </c>
      <c r="P279" s="1529" t="s">
        <v>232</v>
      </c>
      <c r="Q279" s="760" t="s">
        <v>232</v>
      </c>
      <c r="S279" s="1062"/>
    </row>
    <row r="280" spans="1:19" ht="13.9" customHeight="1" x14ac:dyDescent="0.25">
      <c r="A280" s="1661">
        <f>Chem!A280</f>
        <v>278</v>
      </c>
      <c r="B280" s="1158" t="str">
        <f>Chem!B280</f>
        <v>Toxaphene</v>
      </c>
      <c r="C280" s="385" t="str">
        <f>'AR-Eq'!E280</f>
        <v>na</v>
      </c>
      <c r="D280" s="533">
        <f>'AR-Eq'!F280</f>
        <v>7.8124999999999965E-3</v>
      </c>
      <c r="E280" s="1306" t="str">
        <f>Param!AF280</f>
        <v>no</v>
      </c>
      <c r="F280" s="1159">
        <f t="shared" si="80"/>
        <v>7.8124999999999965E-3</v>
      </c>
      <c r="G280" s="1160" t="str">
        <f>IF(OR(F280="na",E280="no"),"na",F280/Eqtn!$D$387)</f>
        <v>na</v>
      </c>
      <c r="H280" s="1161" t="str">
        <f>'AR-Eq'!G280</f>
        <v>na</v>
      </c>
      <c r="I280" s="1161">
        <f>'AR-Eq'!H280</f>
        <v>7.8124999999999986E-2</v>
      </c>
      <c r="J280" s="1162">
        <f t="shared" si="81"/>
        <v>7.8124999999999986E-2</v>
      </c>
      <c r="K280" s="1163" t="str">
        <f>IF(OR(J280="na",E280="no"),"na",J280/Eqtn!$D$387)</f>
        <v>na</v>
      </c>
      <c r="L280" s="1499" t="str">
        <f>'AR-Eq'!I280</f>
        <v>na</v>
      </c>
      <c r="M280" s="1500">
        <f>'AR-Eq'!J280</f>
        <v>3.6499999999999977E-2</v>
      </c>
      <c r="N280" s="1500">
        <f t="shared" si="82"/>
        <v>3.6499999999999977E-2</v>
      </c>
      <c r="O280" s="1530" t="str">
        <f>IF(OR(N280="na",$E280="no"),"na",N280/Eqtn!$D$387)</f>
        <v>na</v>
      </c>
      <c r="P280" s="1530" t="s">
        <v>232</v>
      </c>
      <c r="Q280" s="1501" t="s">
        <v>232</v>
      </c>
      <c r="S280" s="1137"/>
    </row>
    <row r="281" spans="1:19" ht="13.9" customHeight="1" x14ac:dyDescent="0.25">
      <c r="A281" s="1197">
        <f>Chem!A281</f>
        <v>279</v>
      </c>
      <c r="B281" s="1164" t="str">
        <f>Chem!B281</f>
        <v>Herbicides</v>
      </c>
      <c r="C281" s="2348"/>
      <c r="D281" s="2348"/>
      <c r="E281" s="2348"/>
      <c r="F281" s="127"/>
      <c r="G281" s="127"/>
      <c r="H281" s="127"/>
      <c r="I281" s="127"/>
      <c r="J281" s="127"/>
      <c r="K281" s="127"/>
      <c r="L281" s="127"/>
      <c r="M281" s="127"/>
      <c r="N281" s="127"/>
      <c r="O281" s="127"/>
      <c r="P281" s="127"/>
      <c r="Q281" s="2376"/>
      <c r="S281" s="1063"/>
    </row>
    <row r="282" spans="1:19" ht="13.9" customHeight="1" x14ac:dyDescent="0.25">
      <c r="A282" s="846">
        <f>Chem!A282</f>
        <v>280</v>
      </c>
      <c r="B282" s="1702" t="str">
        <f>Chem!B282</f>
        <v>2,4-Dichlorophenoxyacetic acid (2,4-D)</v>
      </c>
      <c r="C282" s="392" t="str">
        <f>'AR-Eq'!E282</f>
        <v>na</v>
      </c>
      <c r="D282" s="532" t="str">
        <f>'AR-Eq'!F282</f>
        <v>na</v>
      </c>
      <c r="E282" s="1299" t="str">
        <f>Param!AF282</f>
        <v>no</v>
      </c>
      <c r="F282" s="575" t="str">
        <f t="shared" si="80"/>
        <v>na</v>
      </c>
      <c r="G282" s="574" t="str">
        <f>IF(OR(F282="na",E282="no"),"na",F282/Eqtn!$D$387)</f>
        <v>na</v>
      </c>
      <c r="H282" s="17" t="str">
        <f>'AR-Eq'!G282</f>
        <v>na</v>
      </c>
      <c r="I282" s="17" t="str">
        <f>'AR-Eq'!H282</f>
        <v>na</v>
      </c>
      <c r="J282" s="694" t="str">
        <f t="shared" si="81"/>
        <v>na</v>
      </c>
      <c r="K282" s="699" t="str">
        <f>IF(OR(J282="na",E282="no"),"na",J282/Eqtn!$D$387)</f>
        <v>na</v>
      </c>
      <c r="L282" s="1503" t="str">
        <f>'AR-Eq'!I282</f>
        <v>na</v>
      </c>
      <c r="M282" s="1504" t="str">
        <f>'AR-Eq'!J282</f>
        <v>na</v>
      </c>
      <c r="N282" s="1504" t="str">
        <f t="shared" ref="N282:N291" si="92">IF(L282="na",IF(M282="na","na",M282),MIN(L282,M282))</f>
        <v>na</v>
      </c>
      <c r="O282" s="1531" t="str">
        <f>IF(OR(N282="na",$E282="no"),"na",N282/Eqtn!$D$387)</f>
        <v>na</v>
      </c>
      <c r="P282" s="1531" t="s">
        <v>232</v>
      </c>
      <c r="Q282" s="1505" t="s">
        <v>232</v>
      </c>
      <c r="S282" s="1062"/>
    </row>
    <row r="283" spans="1:19" ht="13.9" customHeight="1" x14ac:dyDescent="0.25">
      <c r="A283" s="846">
        <f>Chem!A283</f>
        <v>281</v>
      </c>
      <c r="B283" s="1595" t="str">
        <f>Chem!B283</f>
        <v>4-(2,4-Dichlorophenoxy)butanoic acid 2,4-DB</v>
      </c>
      <c r="C283" s="392" t="str">
        <f>'AR-Eq'!E283</f>
        <v>na</v>
      </c>
      <c r="D283" s="532" t="str">
        <f>'AR-Eq'!F283</f>
        <v>na</v>
      </c>
      <c r="E283" s="1299" t="str">
        <f>Param!AF283</f>
        <v>no</v>
      </c>
      <c r="F283" s="575" t="str">
        <f t="shared" si="80"/>
        <v>na</v>
      </c>
      <c r="G283" s="574" t="str">
        <f>IF(OR(F283="na",E283="no"),"na",F283/Eqtn!$D$387)</f>
        <v>na</v>
      </c>
      <c r="H283" s="17" t="str">
        <f>'AR-Eq'!G283</f>
        <v>na</v>
      </c>
      <c r="I283" s="17" t="str">
        <f>'AR-Eq'!H283</f>
        <v>na</v>
      </c>
      <c r="J283" s="694" t="str">
        <f t="shared" si="81"/>
        <v>na</v>
      </c>
      <c r="K283" s="699" t="str">
        <f>IF(OR(J283="na",E283="no"),"na",J283/Eqtn!$D$387)</f>
        <v>na</v>
      </c>
      <c r="L283" s="1496" t="str">
        <f>'AR-Eq'!I283</f>
        <v>na</v>
      </c>
      <c r="M283" s="699" t="str">
        <f>'AR-Eq'!J283</f>
        <v>na</v>
      </c>
      <c r="N283" s="699" t="str">
        <f t="shared" si="92"/>
        <v>na</v>
      </c>
      <c r="O283" s="1529" t="str">
        <f>IF(OR(N283="na",$E283="no"),"na",N283/Eqtn!$D$387)</f>
        <v>na</v>
      </c>
      <c r="P283" s="1529" t="s">
        <v>232</v>
      </c>
      <c r="Q283" s="760" t="s">
        <v>232</v>
      </c>
      <c r="S283" s="1062"/>
    </row>
    <row r="284" spans="1:19" ht="13.9" customHeight="1" x14ac:dyDescent="0.25">
      <c r="A284" s="846">
        <f>Chem!A284</f>
        <v>282</v>
      </c>
      <c r="B284" s="1595" t="str">
        <f>Chem!B284</f>
        <v>2-(2,4,5-Trichlorophenoxy)propionic acid (2,4,5-TP)</v>
      </c>
      <c r="C284" s="392" t="str">
        <f>'AR-Eq'!E284</f>
        <v>na</v>
      </c>
      <c r="D284" s="532" t="str">
        <f>'AR-Eq'!F284</f>
        <v>na</v>
      </c>
      <c r="E284" s="1299" t="str">
        <f>Param!AF284</f>
        <v>no</v>
      </c>
      <c r="F284" s="575" t="str">
        <f t="shared" si="80"/>
        <v>na</v>
      </c>
      <c r="G284" s="574" t="str">
        <f>IF(OR(F284="na",E284="no"),"na",F284/Eqtn!$D$387)</f>
        <v>na</v>
      </c>
      <c r="H284" s="17" t="str">
        <f>'AR-Eq'!G284</f>
        <v>na</v>
      </c>
      <c r="I284" s="17" t="str">
        <f>'AR-Eq'!H284</f>
        <v>na</v>
      </c>
      <c r="J284" s="694" t="str">
        <f t="shared" si="81"/>
        <v>na</v>
      </c>
      <c r="K284" s="699" t="str">
        <f>IF(OR(J284="na",E284="no"),"na",J284/Eqtn!$D$387)</f>
        <v>na</v>
      </c>
      <c r="L284" s="1496" t="str">
        <f>'AR-Eq'!I284</f>
        <v>na</v>
      </c>
      <c r="M284" s="699" t="str">
        <f>'AR-Eq'!J284</f>
        <v>na</v>
      </c>
      <c r="N284" s="699" t="str">
        <f t="shared" si="92"/>
        <v>na</v>
      </c>
      <c r="O284" s="1529" t="str">
        <f>IF(OR(N284="na",$E284="no"),"na",N284/Eqtn!$D$387)</f>
        <v>na</v>
      </c>
      <c r="P284" s="1529" t="s">
        <v>232</v>
      </c>
      <c r="Q284" s="760" t="s">
        <v>232</v>
      </c>
      <c r="S284" s="1062"/>
    </row>
    <row r="285" spans="1:19" ht="13.9" customHeight="1" x14ac:dyDescent="0.25">
      <c r="A285" s="846">
        <f>Chem!A285</f>
        <v>283</v>
      </c>
      <c r="B285" s="1595" t="str">
        <f>Chem!B285</f>
        <v>2,4,5-Trichlorophenoxyacetic acid (2,4,5-T)</v>
      </c>
      <c r="C285" s="392" t="str">
        <f>'AR-Eq'!E285</f>
        <v>na</v>
      </c>
      <c r="D285" s="532" t="str">
        <f>'AR-Eq'!F285</f>
        <v>na</v>
      </c>
      <c r="E285" s="1299" t="str">
        <f>Param!AF285</f>
        <v>no</v>
      </c>
      <c r="F285" s="575" t="str">
        <f t="shared" si="80"/>
        <v>na</v>
      </c>
      <c r="G285" s="574" t="str">
        <f>IF(OR(F285="na",E285="no"),"na",F285/Eqtn!$D$387)</f>
        <v>na</v>
      </c>
      <c r="H285" s="17" t="str">
        <f>'AR-Eq'!G285</f>
        <v>na</v>
      </c>
      <c r="I285" s="17" t="str">
        <f>'AR-Eq'!H285</f>
        <v>na</v>
      </c>
      <c r="J285" s="694" t="str">
        <f t="shared" si="81"/>
        <v>na</v>
      </c>
      <c r="K285" s="699" t="str">
        <f>IF(OR(J285="na",E285="no"),"na",J285/Eqtn!$D$387)</f>
        <v>na</v>
      </c>
      <c r="L285" s="1496" t="str">
        <f>'AR-Eq'!I285</f>
        <v>na</v>
      </c>
      <c r="M285" s="699" t="str">
        <f>'AR-Eq'!J285</f>
        <v>na</v>
      </c>
      <c r="N285" s="699" t="str">
        <f t="shared" si="92"/>
        <v>na</v>
      </c>
      <c r="O285" s="1529" t="str">
        <f>IF(OR(N285="na",$E285="no"),"na",N285/Eqtn!$D$387)</f>
        <v>na</v>
      </c>
      <c r="P285" s="1529" t="s">
        <v>232</v>
      </c>
      <c r="Q285" s="760" t="s">
        <v>232</v>
      </c>
      <c r="S285" s="1062"/>
    </row>
    <row r="286" spans="1:19" ht="13.9" customHeight="1" x14ac:dyDescent="0.25">
      <c r="A286" s="846">
        <f>Chem!A286</f>
        <v>284</v>
      </c>
      <c r="B286" s="1595" t="str">
        <f>Chem!B286</f>
        <v>Dalapon</v>
      </c>
      <c r="C286" s="392" t="str">
        <f>'AR-Eq'!E286</f>
        <v>na</v>
      </c>
      <c r="D286" s="532" t="str">
        <f>'AR-Eq'!F286</f>
        <v>na</v>
      </c>
      <c r="E286" s="1299" t="str">
        <f>Param!AF286</f>
        <v>no</v>
      </c>
      <c r="F286" s="575" t="str">
        <f t="shared" si="80"/>
        <v>na</v>
      </c>
      <c r="G286" s="574" t="str">
        <f>IF(OR(F286="na",E286="no"),"na",F286/Eqtn!$D$387)</f>
        <v>na</v>
      </c>
      <c r="H286" s="17" t="str">
        <f>'AR-Eq'!G286</f>
        <v>na</v>
      </c>
      <c r="I286" s="17" t="str">
        <f>'AR-Eq'!H286</f>
        <v>na</v>
      </c>
      <c r="J286" s="694" t="str">
        <f t="shared" si="81"/>
        <v>na</v>
      </c>
      <c r="K286" s="699" t="str">
        <f>IF(OR(J286="na",E286="no"),"na",J286/Eqtn!$D$387)</f>
        <v>na</v>
      </c>
      <c r="L286" s="1496" t="str">
        <f>'AR-Eq'!I286</f>
        <v>na</v>
      </c>
      <c r="M286" s="699" t="str">
        <f>'AR-Eq'!J286</f>
        <v>na</v>
      </c>
      <c r="N286" s="699" t="str">
        <f t="shared" si="92"/>
        <v>na</v>
      </c>
      <c r="O286" s="1529" t="str">
        <f>IF(OR(N286="na",$E286="no"),"na",N286/Eqtn!$D$387)</f>
        <v>na</v>
      </c>
      <c r="P286" s="1529" t="s">
        <v>232</v>
      </c>
      <c r="Q286" s="760" t="s">
        <v>232</v>
      </c>
      <c r="S286" s="1062"/>
    </row>
    <row r="287" spans="1:19" ht="13.9" customHeight="1" x14ac:dyDescent="0.25">
      <c r="A287" s="846">
        <f>Chem!A287</f>
        <v>285</v>
      </c>
      <c r="B287" s="1595" t="str">
        <f>Chem!B287</f>
        <v>Dicamba</v>
      </c>
      <c r="C287" s="392" t="str">
        <f>'AR-Eq'!E287</f>
        <v>na</v>
      </c>
      <c r="D287" s="532" t="str">
        <f>'AR-Eq'!F287</f>
        <v>na</v>
      </c>
      <c r="E287" s="1299" t="str">
        <f>Param!AF287</f>
        <v>no</v>
      </c>
      <c r="F287" s="575" t="str">
        <f t="shared" si="80"/>
        <v>na</v>
      </c>
      <c r="G287" s="574" t="str">
        <f>IF(OR(F287="na",E287="no"),"na",F287/Eqtn!$D$387)</f>
        <v>na</v>
      </c>
      <c r="H287" s="17" t="str">
        <f>'AR-Eq'!G287</f>
        <v>na</v>
      </c>
      <c r="I287" s="17" t="str">
        <f>'AR-Eq'!H287</f>
        <v>na</v>
      </c>
      <c r="J287" s="694" t="str">
        <f t="shared" si="81"/>
        <v>na</v>
      </c>
      <c r="K287" s="699" t="str">
        <f>IF(OR(J287="na",E287="no"),"na",J287/Eqtn!$D$387)</f>
        <v>na</v>
      </c>
      <c r="L287" s="1496" t="str">
        <f>'AR-Eq'!I287</f>
        <v>na</v>
      </c>
      <c r="M287" s="699" t="str">
        <f>'AR-Eq'!J287</f>
        <v>na</v>
      </c>
      <c r="N287" s="699" t="str">
        <f t="shared" si="92"/>
        <v>na</v>
      </c>
      <c r="O287" s="1529" t="str">
        <f>IF(OR(N287="na",$E287="no"),"na",N287/Eqtn!$D$387)</f>
        <v>na</v>
      </c>
      <c r="P287" s="1529" t="s">
        <v>232</v>
      </c>
      <c r="Q287" s="760" t="s">
        <v>232</v>
      </c>
      <c r="S287" s="1062"/>
    </row>
    <row r="288" spans="1:19" ht="13.9" customHeight="1" x14ac:dyDescent="0.25">
      <c r="A288" s="846">
        <f>Chem!A288</f>
        <v>286</v>
      </c>
      <c r="B288" s="1595" t="str">
        <f>Chem!B288</f>
        <v>Dichloroprop</v>
      </c>
      <c r="C288" s="392" t="str">
        <f>'AR-Eq'!E288</f>
        <v>na</v>
      </c>
      <c r="D288" s="532" t="str">
        <f>'AR-Eq'!F288</f>
        <v>na</v>
      </c>
      <c r="E288" s="1299" t="str">
        <f>Param!AF288</f>
        <v>no</v>
      </c>
      <c r="F288" s="575" t="str">
        <f t="shared" si="80"/>
        <v>na</v>
      </c>
      <c r="G288" s="574" t="str">
        <f>IF(OR(F288="na",E288="no"),"na",F288/Eqtn!$D$387)</f>
        <v>na</v>
      </c>
      <c r="H288" s="17" t="str">
        <f>'AR-Eq'!G288</f>
        <v>na</v>
      </c>
      <c r="I288" s="17" t="str">
        <f>'AR-Eq'!H288</f>
        <v>na</v>
      </c>
      <c r="J288" s="694" t="str">
        <f t="shared" si="81"/>
        <v>na</v>
      </c>
      <c r="K288" s="699" t="str">
        <f>IF(OR(J288="na",E288="no"),"na",J288/Eqtn!$D$387)</f>
        <v>na</v>
      </c>
      <c r="L288" s="1496" t="str">
        <f>'AR-Eq'!I288</f>
        <v>na</v>
      </c>
      <c r="M288" s="699" t="str">
        <f>'AR-Eq'!J288</f>
        <v>na</v>
      </c>
      <c r="N288" s="699" t="str">
        <f t="shared" si="92"/>
        <v>na</v>
      </c>
      <c r="O288" s="1529" t="str">
        <f>IF(OR(N288="na",$E288="no"),"na",N288/Eqtn!$D$387)</f>
        <v>na</v>
      </c>
      <c r="P288" s="1529" t="s">
        <v>232</v>
      </c>
      <c r="Q288" s="760" t="s">
        <v>232</v>
      </c>
      <c r="S288" s="1062"/>
    </row>
    <row r="289" spans="1:19" ht="13.9" customHeight="1" x14ac:dyDescent="0.25">
      <c r="A289" s="846">
        <f>Chem!A289</f>
        <v>287</v>
      </c>
      <c r="B289" s="1595" t="str">
        <f>Chem!B289</f>
        <v>Dinoseb</v>
      </c>
      <c r="C289" s="392" t="str">
        <f>'AR-Eq'!E289</f>
        <v>na</v>
      </c>
      <c r="D289" s="532" t="str">
        <f>'AR-Eq'!F289</f>
        <v>na</v>
      </c>
      <c r="E289" s="1299" t="str">
        <f>Param!AF289</f>
        <v>no</v>
      </c>
      <c r="F289" s="575" t="str">
        <f t="shared" si="80"/>
        <v>na</v>
      </c>
      <c r="G289" s="574" t="str">
        <f>IF(OR(F289="na",E289="no"),"na",F289/Eqtn!$D$387)</f>
        <v>na</v>
      </c>
      <c r="H289" s="17" t="str">
        <f>'AR-Eq'!G289</f>
        <v>na</v>
      </c>
      <c r="I289" s="17" t="str">
        <f>'AR-Eq'!H289</f>
        <v>na</v>
      </c>
      <c r="J289" s="694" t="str">
        <f t="shared" si="81"/>
        <v>na</v>
      </c>
      <c r="K289" s="699" t="str">
        <f>IF(OR(J289="na",E289="no"),"na",J289/Eqtn!$D$387)</f>
        <v>na</v>
      </c>
      <c r="L289" s="1496" t="str">
        <f>'AR-Eq'!I289</f>
        <v>na</v>
      </c>
      <c r="M289" s="699" t="str">
        <f>'AR-Eq'!J289</f>
        <v>na</v>
      </c>
      <c r="N289" s="699" t="str">
        <f t="shared" si="92"/>
        <v>na</v>
      </c>
      <c r="O289" s="1529" t="str">
        <f>IF(OR(N289="na",$E289="no"),"na",N289/Eqtn!$D$387)</f>
        <v>na</v>
      </c>
      <c r="P289" s="1529" t="s">
        <v>232</v>
      </c>
      <c r="Q289" s="760" t="s">
        <v>232</v>
      </c>
      <c r="S289" s="1062"/>
    </row>
    <row r="290" spans="1:19" ht="13.9" customHeight="1" x14ac:dyDescent="0.25">
      <c r="A290" s="846">
        <f>Chem!A290</f>
        <v>288</v>
      </c>
      <c r="B290" s="1595" t="str">
        <f>Chem!B290</f>
        <v>2-Methyl-4-chlorophenoxy acetic acid (MCPA)</v>
      </c>
      <c r="C290" s="392" t="str">
        <f>'AR-Eq'!E290</f>
        <v>na</v>
      </c>
      <c r="D290" s="532" t="str">
        <f>'AR-Eq'!F290</f>
        <v>na</v>
      </c>
      <c r="E290" s="1299" t="str">
        <f>Param!AF290</f>
        <v>no</v>
      </c>
      <c r="F290" s="575" t="str">
        <f t="shared" si="80"/>
        <v>na</v>
      </c>
      <c r="G290" s="574" t="str">
        <f>IF(OR(F290="na",E290="no"),"na",F290/Eqtn!$D$387)</f>
        <v>na</v>
      </c>
      <c r="H290" s="17" t="str">
        <f>'AR-Eq'!G290</f>
        <v>na</v>
      </c>
      <c r="I290" s="17" t="str">
        <f>'AR-Eq'!H290</f>
        <v>na</v>
      </c>
      <c r="J290" s="694" t="str">
        <f t="shared" si="81"/>
        <v>na</v>
      </c>
      <c r="K290" s="699" t="str">
        <f>IF(OR(J290="na",E290="no"),"na",J290/Eqtn!$D$387)</f>
        <v>na</v>
      </c>
      <c r="L290" s="1496" t="str">
        <f>'AR-Eq'!I290</f>
        <v>na</v>
      </c>
      <c r="M290" s="699" t="str">
        <f>'AR-Eq'!J290</f>
        <v>na</v>
      </c>
      <c r="N290" s="699" t="str">
        <f t="shared" si="92"/>
        <v>na</v>
      </c>
      <c r="O290" s="1529" t="str">
        <f>IF(OR(N290="na",$E290="no"),"na",N290/Eqtn!$D$387)</f>
        <v>na</v>
      </c>
      <c r="P290" s="1529" t="s">
        <v>232</v>
      </c>
      <c r="Q290" s="760" t="s">
        <v>232</v>
      </c>
      <c r="S290" s="1062"/>
    </row>
    <row r="291" spans="1:19" ht="13.9" customHeight="1" thickBot="1" x14ac:dyDescent="0.3">
      <c r="A291" s="1662">
        <f>Chem!A291</f>
        <v>289</v>
      </c>
      <c r="B291" s="1596" t="str">
        <f>Chem!B291</f>
        <v>(2-Methyl-4-chlorophenol)2-propionic acid (MCPP)</v>
      </c>
      <c r="C291" s="399" t="str">
        <f>'AR-Eq'!E291</f>
        <v>na</v>
      </c>
      <c r="D291" s="540" t="str">
        <f>'AR-Eq'!F291</f>
        <v>na</v>
      </c>
      <c r="E291" s="1307" t="str">
        <f>Param!AF291</f>
        <v>no</v>
      </c>
      <c r="F291" s="1165" t="str">
        <f t="shared" si="80"/>
        <v>na</v>
      </c>
      <c r="G291" s="578" t="str">
        <f>IF(OR(F291="na",E291="no"),"na",F291/Eqtn!$D$387)</f>
        <v>na</v>
      </c>
      <c r="H291" s="824" t="str">
        <f>'AR-Eq'!G291</f>
        <v>na</v>
      </c>
      <c r="I291" s="824" t="str">
        <f>'AR-Eq'!H291</f>
        <v>na</v>
      </c>
      <c r="J291" s="708" t="str">
        <f t="shared" si="81"/>
        <v>na</v>
      </c>
      <c r="K291" s="700" t="str">
        <f>IF(OR(J291="na",E291="no"),"na",J291/Eqtn!$D$387)</f>
        <v>na</v>
      </c>
      <c r="L291" s="1498" t="str">
        <f>'AR-Eq'!I291</f>
        <v>na</v>
      </c>
      <c r="M291" s="700" t="str">
        <f>'AR-Eq'!J291</f>
        <v>na</v>
      </c>
      <c r="N291" s="700" t="str">
        <f t="shared" si="92"/>
        <v>na</v>
      </c>
      <c r="O291" s="1532" t="str">
        <f>IF(OR(N291="na",$E291="no"),"na",N291/Eqtn!$D$387)</f>
        <v>na</v>
      </c>
      <c r="P291" s="1532" t="s">
        <v>232</v>
      </c>
      <c r="Q291" s="761" t="s">
        <v>232</v>
      </c>
      <c r="S291" s="1065"/>
    </row>
    <row r="292" spans="1:19" ht="13.9" customHeight="1" thickTop="1" x14ac:dyDescent="0.2">
      <c r="S292" s="968">
        <f>COUNTA(S4:S291)</f>
        <v>0</v>
      </c>
    </row>
  </sheetData>
  <autoFilter ref="A2:S2" xr:uid="{00000000-0009-0000-0000-000013000000}"/>
  <pageMargins left="0.7" right="0.7" top="0.75" bottom="0.75" header="0.3" footer="0.3"/>
  <pageSetup orientation="landscape" horizontalDpi="1200" verticalDpi="1200" r:id="rId1"/>
  <headerFooter scaleWithDoc="0">
    <oddFooter>&amp;RPage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N317"/>
  <sheetViews>
    <sheetView zoomScaleNormal="100" workbookViewId="0">
      <pane xSplit="2" ySplit="2" topLeftCell="C259" activePane="bottomRight" state="frozen"/>
      <selection pane="topRight" activeCell="B1" sqref="B1"/>
      <selection pane="bottomLeft" activeCell="A3" sqref="A3"/>
      <selection pane="bottomRight" activeCell="C269" sqref="C269"/>
    </sheetView>
  </sheetViews>
  <sheetFormatPr defaultColWidth="8.7109375" defaultRowHeight="15" x14ac:dyDescent="0.25"/>
  <cols>
    <col min="1" max="1" width="6.28515625" style="32" customWidth="1"/>
    <col min="2" max="2" width="34.28515625" style="130" customWidth="1"/>
    <col min="3" max="4" width="11.140625" style="124" customWidth="1"/>
    <col min="5" max="6" width="16.140625" style="124" customWidth="1"/>
    <col min="7" max="7" width="15.7109375" style="124" customWidth="1"/>
    <col min="8" max="10" width="15.28515625" style="124" customWidth="1"/>
    <col min="11" max="11" width="5.28515625" style="130" customWidth="1"/>
    <col min="12" max="12" width="10.28515625" style="11" customWidth="1"/>
    <col min="13" max="14" width="8.85546875" style="130" customWidth="1"/>
    <col min="15" max="16384" width="8.7109375" style="32"/>
  </cols>
  <sheetData>
    <row r="1" spans="1:14" ht="15.75" thickBot="1" x14ac:dyDescent="0.3">
      <c r="B1" s="359" t="s">
        <v>1703</v>
      </c>
      <c r="C1" s="1846"/>
      <c r="D1" s="1847" t="s">
        <v>649</v>
      </c>
      <c r="L1" s="1068"/>
    </row>
    <row r="2" spans="1:14" ht="78.75" thickTop="1" thickBot="1" x14ac:dyDescent="0.3">
      <c r="A2" s="1709" t="s">
        <v>445</v>
      </c>
      <c r="B2" s="1758" t="s">
        <v>0</v>
      </c>
      <c r="C2" s="1747" t="s">
        <v>457</v>
      </c>
      <c r="D2" s="1747" t="s">
        <v>458</v>
      </c>
      <c r="E2" s="1747" t="s">
        <v>459</v>
      </c>
      <c r="F2" s="1747" t="s">
        <v>460</v>
      </c>
      <c r="G2" s="1759" t="s">
        <v>602</v>
      </c>
      <c r="H2" s="1759" t="s">
        <v>461</v>
      </c>
      <c r="I2" s="1759" t="s">
        <v>621</v>
      </c>
      <c r="J2" s="1760" t="s">
        <v>622</v>
      </c>
      <c r="K2" s="32"/>
      <c r="L2" s="1724" t="s">
        <v>465</v>
      </c>
      <c r="M2" s="32"/>
      <c r="N2" s="32"/>
    </row>
    <row r="3" spans="1:14" ht="13.9" customHeight="1" thickTop="1" x14ac:dyDescent="0.25">
      <c r="A3" s="907">
        <f>Chem!A3</f>
        <v>1</v>
      </c>
      <c r="B3" s="943" t="str">
        <f>Chem!B3</f>
        <v>PCBs</v>
      </c>
      <c r="C3" s="125"/>
      <c r="D3" s="369"/>
      <c r="E3" s="125"/>
      <c r="F3" s="369"/>
      <c r="G3" s="125"/>
      <c r="H3" s="369"/>
      <c r="I3" s="369"/>
      <c r="J3" s="370"/>
      <c r="L3" s="1061"/>
    </row>
    <row r="4" spans="1:14" ht="13.9" customHeight="1" x14ac:dyDescent="0.25">
      <c r="A4" s="842">
        <f>Chem!A4</f>
        <v>2</v>
      </c>
      <c r="B4" s="941" t="str">
        <f>Chem!B4</f>
        <v>Total PCB Aroclors</v>
      </c>
      <c r="C4" s="909" t="str">
        <f>Param!U4</f>
        <v>na</v>
      </c>
      <c r="D4" s="557">
        <f>Param!Z4</f>
        <v>1.9949999999999999</v>
      </c>
      <c r="E4" s="602" t="str">
        <f>IF(C4="na","na",C4*Eqtn!$D$259)</f>
        <v>na</v>
      </c>
      <c r="F4" s="582">
        <f>IF(D4="na","na",Eqtn!$D$280/D4)</f>
        <v>4.3859649122807015E-3</v>
      </c>
      <c r="G4" s="694" t="str">
        <f>IF($C4="na","na",$C4*Eqtn!$D$301)</f>
        <v>na</v>
      </c>
      <c r="H4" s="695">
        <f>IF($D4="na","na",Eqtn!$D$322/$D4)</f>
        <v>4.3859649122807022E-2</v>
      </c>
      <c r="I4" s="721" t="str">
        <f>IF($C4="na","na",$C4*Eqtn!$D$343)</f>
        <v>na</v>
      </c>
      <c r="J4" s="722">
        <f>IF($D4="na","na",Eqtn!$D$364/$D4)</f>
        <v>2.0491228070175432E-2</v>
      </c>
      <c r="L4" s="1062"/>
    </row>
    <row r="5" spans="1:14" ht="13.9" customHeight="1" x14ac:dyDescent="0.25">
      <c r="A5" s="842">
        <f>Chem!A5</f>
        <v>3</v>
      </c>
      <c r="B5" s="941" t="str">
        <f>Chem!B5</f>
        <v>Total PCB congeners</v>
      </c>
      <c r="C5" s="909" t="str">
        <f>Param!U5</f>
        <v>na</v>
      </c>
      <c r="D5" s="557">
        <f>Param!Z5</f>
        <v>1.9949999999999999</v>
      </c>
      <c r="E5" s="602" t="str">
        <f>IF(C5="na","na",C5*Eqtn!$D$259)</f>
        <v>na</v>
      </c>
      <c r="F5" s="582">
        <f>IF(D5="na","na",Eqtn!$D$280/D5)</f>
        <v>4.3859649122807015E-3</v>
      </c>
      <c r="G5" s="694" t="str">
        <f>IF(C5="na","na",C5*Eqtn!$D$301)</f>
        <v>na</v>
      </c>
      <c r="H5" s="695">
        <f>IF(D5="na","na",Eqtn!$D$322/D5)</f>
        <v>4.3859649122807022E-2</v>
      </c>
      <c r="I5" s="348" t="str">
        <f>IF($C5="na","na",$C5*Eqtn!$D$343)</f>
        <v>na</v>
      </c>
      <c r="J5" s="367">
        <f>IF($D5="na","na",Eqtn!$D$364/$D5)</f>
        <v>2.0491228070175432E-2</v>
      </c>
      <c r="L5" s="1062"/>
    </row>
    <row r="6" spans="1:14" ht="13.9" customHeight="1" x14ac:dyDescent="0.25">
      <c r="A6" s="842">
        <f>Chem!A6</f>
        <v>4</v>
      </c>
      <c r="B6" s="941" t="str">
        <f>Chem!B6</f>
        <v>Total PCB TEQ</v>
      </c>
      <c r="C6" s="910">
        <f>Param!U6</f>
        <v>1.1428571428571429E-8</v>
      </c>
      <c r="D6" s="558">
        <f>Param!Z6</f>
        <v>133000</v>
      </c>
      <c r="E6" s="609">
        <f>IF(C6="na","na",C6*Eqtn!$D$259)</f>
        <v>1.8285714285714288E-5</v>
      </c>
      <c r="F6" s="583">
        <f>IF(D6="na","na",Eqtn!$D$280/D6)</f>
        <v>6.578947368421052E-8</v>
      </c>
      <c r="G6" s="707">
        <f>IF(C6="na","na",C6*Eqtn!$D$301)</f>
        <v>4.0000000000000003E-5</v>
      </c>
      <c r="H6" s="741">
        <f>IF(D6="na","na",Eqtn!$D$322/D6)</f>
        <v>6.5789473684210528E-7</v>
      </c>
      <c r="I6" s="723">
        <f>IF($C6="na","na",$C6*Eqtn!$D$343)</f>
        <v>1.5573333333333331E-4</v>
      </c>
      <c r="J6" s="724">
        <f>IF($D6="na","na",Eqtn!$D$364/$D6)</f>
        <v>3.0736842105263147E-7</v>
      </c>
      <c r="L6" s="1062"/>
    </row>
    <row r="7" spans="1:14" ht="13.9" customHeight="1" x14ac:dyDescent="0.25">
      <c r="A7" s="906">
        <f>Chem!A7</f>
        <v>5</v>
      </c>
      <c r="B7" s="943" t="str">
        <f>Chem!B7</f>
        <v xml:space="preserve">Dioxins/Furans </v>
      </c>
      <c r="C7" s="127"/>
      <c r="D7" s="127"/>
      <c r="E7" s="127"/>
      <c r="F7" s="127"/>
      <c r="G7" s="127"/>
      <c r="H7" s="127"/>
      <c r="I7" s="127"/>
      <c r="J7" s="2364"/>
      <c r="L7" s="1063"/>
    </row>
    <row r="8" spans="1:14" ht="13.9" customHeight="1" x14ac:dyDescent="0.25">
      <c r="A8" s="844">
        <f>Chem!A8</f>
        <v>6</v>
      </c>
      <c r="B8" s="941" t="str">
        <f>Chem!B8</f>
        <v>Total dioxin/furan TEQ</v>
      </c>
      <c r="C8" s="912">
        <f>Param!U8</f>
        <v>1.1428571428571429E-8</v>
      </c>
      <c r="D8" s="658">
        <f>Param!Z8</f>
        <v>133000</v>
      </c>
      <c r="E8" s="608">
        <f>IF(C8="na","na",C8*Eqtn!$D$259)</f>
        <v>1.8285714285714288E-5</v>
      </c>
      <c r="F8" s="649">
        <f>IF(D8="na","na",Eqtn!$D$280/D8)</f>
        <v>6.578947368421052E-8</v>
      </c>
      <c r="G8" s="701">
        <f>IF(C8="na","na",C8*Eqtn!$D$301)</f>
        <v>4.0000000000000003E-5</v>
      </c>
      <c r="H8" s="1492">
        <f>IF(D8="na","na",Eqtn!$D$322/D8)</f>
        <v>6.5789473684210528E-7</v>
      </c>
      <c r="I8" s="721">
        <f>IF($C8="na","na",$C8*Eqtn!$D$343)</f>
        <v>1.5573333333333331E-4</v>
      </c>
      <c r="J8" s="722">
        <f>IF($D8="na","na",Eqtn!$D$364/$D8)</f>
        <v>3.0736842105263147E-7</v>
      </c>
      <c r="L8" s="1062"/>
    </row>
    <row r="9" spans="1:14" ht="13.9" customHeight="1" x14ac:dyDescent="0.25">
      <c r="A9" s="845">
        <f>Chem!A9</f>
        <v>7</v>
      </c>
      <c r="B9" s="941" t="str">
        <f>Chem!B9</f>
        <v>2,3,7,8-TCDD</v>
      </c>
      <c r="C9" s="912">
        <f>Param!U9</f>
        <v>1.1428571428571429E-8</v>
      </c>
      <c r="D9" s="658">
        <f>Param!Z9</f>
        <v>133000</v>
      </c>
      <c r="E9" s="608">
        <f>IF(C9="na","na",C9*Eqtn!$D$259)</f>
        <v>1.8285714285714288E-5</v>
      </c>
      <c r="F9" s="649">
        <f>IF(D9="na","na",Eqtn!$D$280/D9)</f>
        <v>6.578947368421052E-8</v>
      </c>
      <c r="G9" s="701">
        <f>IF(C9="na","na",C9*Eqtn!$D$301)</f>
        <v>4.0000000000000003E-5</v>
      </c>
      <c r="H9" s="1492">
        <f>IF(D9="na","na",Eqtn!$D$322/D9)</f>
        <v>6.5789473684210528E-7</v>
      </c>
      <c r="I9" s="348">
        <f>IF($C9="na","na",$C9*Eqtn!$D$343)</f>
        <v>1.5573333333333331E-4</v>
      </c>
      <c r="J9" s="367">
        <f>IF($D9="na","na",Eqtn!$D$364/$D9)</f>
        <v>3.0736842105263147E-7</v>
      </c>
      <c r="L9" s="1062"/>
    </row>
    <row r="10" spans="1:14" s="361" customFormat="1" ht="13.9" customHeight="1" x14ac:dyDescent="0.2">
      <c r="A10" s="845">
        <f>Chem!A10</f>
        <v>8</v>
      </c>
      <c r="B10" s="941" t="str">
        <f>Chem!B10</f>
        <v>Total chlorinated dioxins</v>
      </c>
      <c r="C10" s="913" t="str">
        <f>Param!U10</f>
        <v>na</v>
      </c>
      <c r="D10" s="557" t="str">
        <f>Param!Z10</f>
        <v>na</v>
      </c>
      <c r="E10" s="582" t="str">
        <f>IF(C10="na","na",C10*Eqtn!$D$259)</f>
        <v>na</v>
      </c>
      <c r="F10" s="582" t="str">
        <f>IF(D10="na","na",Eqtn!$D$280/D10)</f>
        <v>na</v>
      </c>
      <c r="G10" s="695" t="str">
        <f>IF(C10="na","na",C10*Eqtn!$D$301)</f>
        <v>na</v>
      </c>
      <c r="H10" s="695" t="str">
        <f>IF(D10="na","na",Eqtn!$D$322/D10)</f>
        <v>na</v>
      </c>
      <c r="I10" s="348" t="str">
        <f>IF($C10="na","na",$C10*Eqtn!$D$343)</f>
        <v>na</v>
      </c>
      <c r="J10" s="367" t="str">
        <f>IF($D10="na","na",Eqtn!$D$364/$D10)</f>
        <v>na</v>
      </c>
      <c r="K10" s="247"/>
      <c r="L10" s="1064"/>
      <c r="M10" s="247"/>
      <c r="N10" s="247"/>
    </row>
    <row r="11" spans="1:14" s="361" customFormat="1" ht="13.9" customHeight="1" x14ac:dyDescent="0.2">
      <c r="A11" s="845">
        <f>Chem!A11</f>
        <v>9</v>
      </c>
      <c r="B11" s="941" t="str">
        <f>Chem!B11</f>
        <v>Total chlorinated furans</v>
      </c>
      <c r="C11" s="914" t="str">
        <f>Param!U11</f>
        <v>na</v>
      </c>
      <c r="D11" s="558" t="str">
        <f>Param!Z11</f>
        <v>na</v>
      </c>
      <c r="E11" s="583" t="str">
        <f>IF(C11="na","na",C11*Eqtn!$D$259)</f>
        <v>na</v>
      </c>
      <c r="F11" s="583" t="str">
        <f>IF(D11="na","na",Eqtn!$D$280/D11)</f>
        <v>na</v>
      </c>
      <c r="G11" s="741" t="str">
        <f>IF(C11="na","na",C11*Eqtn!$D$301)</f>
        <v>na</v>
      </c>
      <c r="H11" s="741" t="str">
        <f>IF(D11="na","na",Eqtn!$D$322/D11)</f>
        <v>na</v>
      </c>
      <c r="I11" s="723" t="str">
        <f>IF($C11="na","na",$C11*Eqtn!$D$343)</f>
        <v>na</v>
      </c>
      <c r="J11" s="724" t="str">
        <f>IF($D11="na","na",Eqtn!$D$364/$D11)</f>
        <v>na</v>
      </c>
      <c r="K11" s="247"/>
      <c r="L11" s="1064"/>
      <c r="M11" s="247"/>
      <c r="N11" s="247"/>
    </row>
    <row r="12" spans="1:14" s="361" customFormat="1" ht="13.9" customHeight="1" x14ac:dyDescent="0.25">
      <c r="A12" s="906">
        <f>Chem!A12</f>
        <v>10</v>
      </c>
      <c r="B12" s="943" t="str">
        <f>Chem!B12</f>
        <v>Inorganics</v>
      </c>
      <c r="C12" s="127"/>
      <c r="D12" s="127"/>
      <c r="E12" s="127"/>
      <c r="F12" s="127"/>
      <c r="G12" s="127"/>
      <c r="H12" s="127"/>
      <c r="I12" s="127"/>
      <c r="J12" s="2364"/>
      <c r="K12" s="130"/>
      <c r="L12" s="1063"/>
      <c r="M12" s="247"/>
      <c r="N12" s="247"/>
    </row>
    <row r="13" spans="1:14" s="361" customFormat="1" ht="13.9" customHeight="1" x14ac:dyDescent="0.25">
      <c r="A13" s="1985">
        <f>Chem!A13</f>
        <v>11</v>
      </c>
      <c r="B13" s="1548" t="str">
        <f>Chem!B13</f>
        <v>Ammonia</v>
      </c>
      <c r="C13" s="911">
        <f>Param!U13</f>
        <v>0.14285714285714285</v>
      </c>
      <c r="D13" s="683" t="str">
        <f>Param!Z13</f>
        <v>na</v>
      </c>
      <c r="E13" s="607">
        <f>IF(C13="na","na",C13*Eqtn!$D$259)</f>
        <v>228.57142857142856</v>
      </c>
      <c r="F13" s="691" t="str">
        <f>IF(D13="na","na",Eqtn!$D$280/D13)</f>
        <v>na</v>
      </c>
      <c r="G13" s="706">
        <f>IF(C13="na","na",C13*Eqtn!$D$301)</f>
        <v>500</v>
      </c>
      <c r="H13" s="823" t="str">
        <f>IF(D13="na","na",Eqtn!$D$322/D13)</f>
        <v>na</v>
      </c>
      <c r="I13" s="822">
        <f>IF($C13="na","na",$C13*Eqtn!$D$343)</f>
        <v>1946.6666666666663</v>
      </c>
      <c r="J13" s="1535" t="str">
        <f>IF($D13="na","na",Eqtn!$D$364/$D13)</f>
        <v>na</v>
      </c>
      <c r="K13" s="130"/>
      <c r="L13" s="1062"/>
      <c r="M13" s="247"/>
      <c r="N13" s="247"/>
    </row>
    <row r="14" spans="1:14" s="361" customFormat="1" ht="13.9" customHeight="1" x14ac:dyDescent="0.25">
      <c r="A14" s="1069">
        <f>Chem!A14</f>
        <v>12</v>
      </c>
      <c r="B14" s="941" t="str">
        <f>Chem!B14</f>
        <v>Chloride</v>
      </c>
      <c r="C14" s="909" t="str">
        <f>Param!U14</f>
        <v>na</v>
      </c>
      <c r="D14" s="557" t="str">
        <f>Param!Z14</f>
        <v>na</v>
      </c>
      <c r="E14" s="602" t="str">
        <f>IF(C14="na","na",C14*Eqtn!$D$259)</f>
        <v>na</v>
      </c>
      <c r="F14" s="582" t="str">
        <f>IF(D14="na","na",Eqtn!$D$280/D14)</f>
        <v>na</v>
      </c>
      <c r="G14" s="694" t="str">
        <f>IF(C14="na","na",C14*Eqtn!$D$301)</f>
        <v>na</v>
      </c>
      <c r="H14" s="695" t="str">
        <f>IF(D14="na","na",Eqtn!$D$322/D14)</f>
        <v>na</v>
      </c>
      <c r="I14" s="348" t="str">
        <f>IF($C14="na","na",$C14*Eqtn!$D$343)</f>
        <v>na</v>
      </c>
      <c r="J14" s="367" t="str">
        <f>IF($D14="na","na",Eqtn!$D$364/$D14)</f>
        <v>na</v>
      </c>
      <c r="K14" s="130"/>
      <c r="L14" s="1062"/>
      <c r="M14" s="247"/>
      <c r="N14" s="247"/>
    </row>
    <row r="15" spans="1:14" s="361" customFormat="1" ht="13.9" customHeight="1" x14ac:dyDescent="0.2">
      <c r="A15" s="1069">
        <f>Chem!A15</f>
        <v>13</v>
      </c>
      <c r="B15" s="941" t="str">
        <f>Chem!B15</f>
        <v>Cyanide (multiple forms, see notes)</v>
      </c>
      <c r="C15" s="909">
        <f>Param!U15</f>
        <v>2.2857142857142857E-4</v>
      </c>
      <c r="D15" s="557" t="str">
        <f>Param!Z15</f>
        <v>na</v>
      </c>
      <c r="E15" s="602">
        <f>IF(C15="na","na",C15*Eqtn!$D$259)</f>
        <v>0.36571428571428571</v>
      </c>
      <c r="F15" s="582" t="str">
        <f>IF(D15="na","na",Eqtn!$D$280/D15)</f>
        <v>na</v>
      </c>
      <c r="G15" s="694">
        <f>IF(C15="na","na",C15*Eqtn!$D$301)</f>
        <v>0.79999999999999993</v>
      </c>
      <c r="H15" s="695" t="str">
        <f>IF(D15="na","na",Eqtn!$D$322/D15)</f>
        <v>na</v>
      </c>
      <c r="I15" s="348">
        <f>IF($C15="na","na",$C15*Eqtn!$D$343)</f>
        <v>3.114666666666666</v>
      </c>
      <c r="J15" s="367" t="str">
        <f>IF($D15="na","na",Eqtn!$D$364/$D15)</f>
        <v>na</v>
      </c>
      <c r="K15" s="247"/>
      <c r="L15" s="1064"/>
      <c r="M15" s="247"/>
      <c r="N15" s="247"/>
    </row>
    <row r="16" spans="1:14" s="361" customFormat="1" ht="13.9" customHeight="1" x14ac:dyDescent="0.2">
      <c r="A16" s="1069">
        <f>Chem!A16</f>
        <v>14</v>
      </c>
      <c r="B16" s="941" t="str">
        <f>Chem!B16</f>
        <v>Fluoride</v>
      </c>
      <c r="C16" s="909">
        <f>Param!U16</f>
        <v>3.7142857142857142E-3</v>
      </c>
      <c r="D16" s="557" t="str">
        <f>Param!Z16</f>
        <v>na</v>
      </c>
      <c r="E16" s="602">
        <f>IF(C16="na","na",C16*Eqtn!$D$259)</f>
        <v>5.9428571428571431</v>
      </c>
      <c r="F16" s="582" t="str">
        <f>IF(D16="na","na",Eqtn!$D$280/D16)</f>
        <v>na</v>
      </c>
      <c r="G16" s="694">
        <f>IF(C16="na","na",C16*Eqtn!$D$301)</f>
        <v>13</v>
      </c>
      <c r="H16" s="695" t="str">
        <f>IF(D16="na","na",Eqtn!$D$322/D16)</f>
        <v>na</v>
      </c>
      <c r="I16" s="348">
        <f>IF($C16="na","na",$C16*Eqtn!$D$343)</f>
        <v>50.613333333333323</v>
      </c>
      <c r="J16" s="367" t="str">
        <f>IF($D16="na","na",Eqtn!$D$364/$D16)</f>
        <v>na</v>
      </c>
      <c r="K16" s="247"/>
      <c r="L16" s="1064"/>
      <c r="M16" s="247"/>
      <c r="N16" s="247"/>
    </row>
    <row r="17" spans="1:14" s="361" customFormat="1" ht="13.9" customHeight="1" x14ac:dyDescent="0.2">
      <c r="A17" s="1069">
        <f>Chem!A17</f>
        <v>15</v>
      </c>
      <c r="B17" s="941" t="str">
        <f>Chem!B17</f>
        <v>Nitrate</v>
      </c>
      <c r="C17" s="909" t="str">
        <f>Param!U17</f>
        <v>na</v>
      </c>
      <c r="D17" s="557" t="str">
        <f>Param!Z17</f>
        <v>na</v>
      </c>
      <c r="E17" s="602" t="str">
        <f>IF(C17="na","na",C17*Eqtn!$D$259)</f>
        <v>na</v>
      </c>
      <c r="F17" s="582" t="str">
        <f>IF(D17="na","na",Eqtn!$D$280/D17)</f>
        <v>na</v>
      </c>
      <c r="G17" s="694" t="str">
        <f>IF(C17="na","na",C17*Eqtn!$D$301)</f>
        <v>na</v>
      </c>
      <c r="H17" s="695" t="str">
        <f>IF(D17="na","na",Eqtn!$D$322/D17)</f>
        <v>na</v>
      </c>
      <c r="I17" s="348" t="str">
        <f>IF($C17="na","na",$C17*Eqtn!$D$343)</f>
        <v>na</v>
      </c>
      <c r="J17" s="367" t="str">
        <f>IF($D17="na","na",Eqtn!$D$364/$D17)</f>
        <v>na</v>
      </c>
      <c r="K17" s="247"/>
      <c r="L17" s="1064"/>
      <c r="M17" s="247"/>
      <c r="N17" s="247"/>
    </row>
    <row r="18" spans="1:14" s="361" customFormat="1" ht="13.9" customHeight="1" x14ac:dyDescent="0.2">
      <c r="A18" s="1069">
        <f>Chem!A18</f>
        <v>16</v>
      </c>
      <c r="B18" s="941" t="str">
        <f>Chem!B18</f>
        <v>Nitrite</v>
      </c>
      <c r="C18" s="909" t="str">
        <f>Param!U18</f>
        <v>na</v>
      </c>
      <c r="D18" s="557" t="str">
        <f>Param!Z18</f>
        <v>na</v>
      </c>
      <c r="E18" s="602" t="str">
        <f>IF(C18="na","na",C18*Eqtn!$D$259)</f>
        <v>na</v>
      </c>
      <c r="F18" s="582" t="str">
        <f>IF(D18="na","na",Eqtn!$D$280/D18)</f>
        <v>na</v>
      </c>
      <c r="G18" s="694" t="str">
        <f>IF(C18="na","na",C18*Eqtn!$D$301)</f>
        <v>na</v>
      </c>
      <c r="H18" s="695" t="str">
        <f>IF(D18="na","na",Eqtn!$D$322/D18)</f>
        <v>na</v>
      </c>
      <c r="I18" s="348" t="str">
        <f>IF($C18="na","na",$C18*Eqtn!$D$343)</f>
        <v>na</v>
      </c>
      <c r="J18" s="367" t="str">
        <f>IF($D18="na","na",Eqtn!$D$364/$D18)</f>
        <v>na</v>
      </c>
      <c r="K18" s="247"/>
      <c r="L18" s="1064"/>
      <c r="M18" s="247"/>
      <c r="N18" s="247"/>
    </row>
    <row r="19" spans="1:14" s="361" customFormat="1" ht="13.9" customHeight="1" x14ac:dyDescent="0.2">
      <c r="A19" s="1321">
        <f>Chem!A19</f>
        <v>17</v>
      </c>
      <c r="B19" s="941" t="str">
        <f>Chem!B19</f>
        <v>Sulfate</v>
      </c>
      <c r="C19" s="552" t="str">
        <f>Param!U19</f>
        <v>na</v>
      </c>
      <c r="D19" s="557" t="str">
        <f>Param!Z19</f>
        <v>na</v>
      </c>
      <c r="E19" s="602" t="str">
        <f>IF(C19="na","na",C19*Eqtn!$D$259)</f>
        <v>na</v>
      </c>
      <c r="F19" s="582" t="str">
        <f>IF(D19="na","na",Eqtn!$D$280/D19)</f>
        <v>na</v>
      </c>
      <c r="G19" s="17" t="str">
        <f>IF(C19="na","na",C19*Eqtn!$D$301)</f>
        <v>na</v>
      </c>
      <c r="H19" s="695" t="str">
        <f>IF(D19="na","na",Eqtn!$D$322/D19)</f>
        <v>na</v>
      </c>
      <c r="I19" s="348" t="str">
        <f>IF($C19="na","na",$C19*Eqtn!$D$343)</f>
        <v>na</v>
      </c>
      <c r="J19" s="367" t="str">
        <f>IF($D19="na","na",Eqtn!$D$364/$D19)</f>
        <v>na</v>
      </c>
      <c r="K19" s="247"/>
      <c r="L19" s="1064"/>
      <c r="M19" s="247"/>
      <c r="N19" s="247"/>
    </row>
    <row r="20" spans="1:14" s="361" customFormat="1" ht="13.9" customHeight="1" x14ac:dyDescent="0.2">
      <c r="A20" s="1322">
        <f>Chem!A20</f>
        <v>18</v>
      </c>
      <c r="B20" s="1148" t="str">
        <f>Chem!B20</f>
        <v>Sulfide</v>
      </c>
      <c r="C20" s="589" t="str">
        <f>Param!U20</f>
        <v>na</v>
      </c>
      <c r="D20" s="558" t="str">
        <f>Param!Z20</f>
        <v>na</v>
      </c>
      <c r="E20" s="609" t="str">
        <f>IF(C20="na","na",C20*Eqtn!$D$259)</f>
        <v>na</v>
      </c>
      <c r="F20" s="583" t="str">
        <f>IF(D20="na","na",Eqtn!$D$280/D20)</f>
        <v>na</v>
      </c>
      <c r="G20" s="820" t="str">
        <f>IF(C20="na","na",C20*Eqtn!$D$301)</f>
        <v>na</v>
      </c>
      <c r="H20" s="741" t="str">
        <f>IF(D20="na","na",Eqtn!$D$322/D20)</f>
        <v>na</v>
      </c>
      <c r="I20" s="723" t="str">
        <f>IF($C20="na","na",$C20*Eqtn!$D$343)</f>
        <v>na</v>
      </c>
      <c r="J20" s="724" t="str">
        <f>IF($D20="na","na",Eqtn!$D$364/$D20)</f>
        <v>na</v>
      </c>
      <c r="K20" s="247"/>
      <c r="L20" s="1064"/>
      <c r="M20" s="247"/>
      <c r="N20" s="247"/>
    </row>
    <row r="21" spans="1:14" ht="13.9" customHeight="1" x14ac:dyDescent="0.25">
      <c r="A21" s="906">
        <f>Chem!A21</f>
        <v>19</v>
      </c>
      <c r="B21" s="943" t="str">
        <f>Chem!B21</f>
        <v>Metals</v>
      </c>
      <c r="C21" s="127"/>
      <c r="D21" s="127"/>
      <c r="E21" s="127"/>
      <c r="F21" s="127"/>
      <c r="G21" s="127"/>
      <c r="H21" s="127"/>
      <c r="I21" s="127"/>
      <c r="J21" s="2364"/>
      <c r="L21" s="1063"/>
    </row>
    <row r="22" spans="1:14" ht="13.9" customHeight="1" x14ac:dyDescent="0.25">
      <c r="A22" s="846">
        <f>Chem!A22</f>
        <v>20</v>
      </c>
      <c r="B22" s="941" t="str">
        <f>Chem!B22</f>
        <v>Aluminum</v>
      </c>
      <c r="C22" s="911">
        <f>Param!U22</f>
        <v>1.4285714285714286E-3</v>
      </c>
      <c r="D22" s="683" t="str">
        <f>Param!Z22</f>
        <v>na</v>
      </c>
      <c r="E22" s="607">
        <f>IF(C22="na","na",C22*Eqtn!$D$259)</f>
        <v>2.2857142857142856</v>
      </c>
      <c r="F22" s="691" t="str">
        <f>IF(D22="na","na",Eqtn!$D$280/D22)</f>
        <v>na</v>
      </c>
      <c r="G22" s="706">
        <f>IF(C22="na","na",C22*Eqtn!$D$301)</f>
        <v>5</v>
      </c>
      <c r="H22" s="823" t="str">
        <f>IF(D22="na","na",Eqtn!$D$322/D22)</f>
        <v>na</v>
      </c>
      <c r="I22" s="721">
        <f>IF($C22="na","na",$C22*Eqtn!$D$343)</f>
        <v>19.466666666666661</v>
      </c>
      <c r="J22" s="722" t="str">
        <f>IF($D22="na","na",Eqtn!$D$364/$D22)</f>
        <v>na</v>
      </c>
      <c r="L22" s="1062"/>
    </row>
    <row r="23" spans="1:14" ht="13.9" customHeight="1" x14ac:dyDescent="0.25">
      <c r="A23" s="847">
        <f>Chem!A23</f>
        <v>21</v>
      </c>
      <c r="B23" s="941" t="str">
        <f>Chem!B23</f>
        <v>Antimony</v>
      </c>
      <c r="C23" s="909">
        <f>Param!U23</f>
        <v>8.5714285714285699E-5</v>
      </c>
      <c r="D23" s="557" t="str">
        <f>Param!Z23</f>
        <v>na</v>
      </c>
      <c r="E23" s="602">
        <f>IF(C23="na","na",C23*Eqtn!$D$259)</f>
        <v>0.13714285714285712</v>
      </c>
      <c r="F23" s="582" t="str">
        <f>IF(D23="na","na",Eqtn!$D$280/D23)</f>
        <v>na</v>
      </c>
      <c r="G23" s="694">
        <f>IF(C23="na","na",C23*Eqtn!$D$301)</f>
        <v>0.29999999999999993</v>
      </c>
      <c r="H23" s="695" t="str">
        <f>IF(D23="na","na",Eqtn!$D$322/D23)</f>
        <v>na</v>
      </c>
      <c r="I23" s="348">
        <f>IF($C23="na","na",$C23*Eqtn!$D$343)</f>
        <v>1.1679999999999995</v>
      </c>
      <c r="J23" s="367" t="str">
        <f>IF($D23="na","na",Eqtn!$D$364/$D23)</f>
        <v>na</v>
      </c>
      <c r="L23" s="1062"/>
    </row>
    <row r="24" spans="1:14" ht="13.9" customHeight="1" x14ac:dyDescent="0.25">
      <c r="A24" s="847">
        <f>Chem!A24</f>
        <v>22</v>
      </c>
      <c r="B24" s="941" t="str">
        <f>Chem!B24</f>
        <v>Arsenic</v>
      </c>
      <c r="C24" s="909">
        <f>Param!U24</f>
        <v>4.2857142857142863E-6</v>
      </c>
      <c r="D24" s="557">
        <f>Param!Z24</f>
        <v>15.050000000000002</v>
      </c>
      <c r="E24" s="602">
        <f>IF(C24="na","na",C24*Eqtn!$D$259)</f>
        <v>6.8571428571428585E-3</v>
      </c>
      <c r="F24" s="582">
        <f>IF(D24="na","na",Eqtn!$D$280/D24)</f>
        <v>5.8139534883720919E-4</v>
      </c>
      <c r="G24" s="694">
        <f>IF(C24="na","na",C24*Eqtn!$D$301)</f>
        <v>1.5000000000000003E-2</v>
      </c>
      <c r="H24" s="695">
        <f>IF(D24="na","na",Eqtn!$D$322/D24)</f>
        <v>5.8139534883720929E-3</v>
      </c>
      <c r="I24" s="348">
        <f>IF($C24="na","na",$C24*Eqtn!$D$343)</f>
        <v>5.8400000000000001E-2</v>
      </c>
      <c r="J24" s="367">
        <f>IF($D24="na","na",Eqtn!$D$364/$D24)</f>
        <v>2.7162790697674404E-3</v>
      </c>
      <c r="L24" s="1062"/>
    </row>
    <row r="25" spans="1:14" ht="13.9" customHeight="1" x14ac:dyDescent="0.25">
      <c r="A25" s="847">
        <f>Chem!A25</f>
        <v>23</v>
      </c>
      <c r="B25" s="941" t="str">
        <f>Chem!B25</f>
        <v>Barium</v>
      </c>
      <c r="C25" s="909">
        <f>Param!U25</f>
        <v>1.4285714285714287E-4</v>
      </c>
      <c r="D25" s="557" t="str">
        <f>Param!Z25</f>
        <v>na</v>
      </c>
      <c r="E25" s="602">
        <f>IF(C25="na","na",C25*Eqtn!$D$259)</f>
        <v>0.22857142857142859</v>
      </c>
      <c r="F25" s="582" t="str">
        <f>IF(D25="na","na",Eqtn!$D$280/D25)</f>
        <v>na</v>
      </c>
      <c r="G25" s="694">
        <f>IF(C25="na","na",C25*Eqtn!$D$301)</f>
        <v>0.5</v>
      </c>
      <c r="H25" s="695" t="str">
        <f>IF(D25="na","na",Eqtn!$D$322/D25)</f>
        <v>na</v>
      </c>
      <c r="I25" s="348">
        <f>IF($C25="na","na",$C25*Eqtn!$D$343)</f>
        <v>1.9466666666666665</v>
      </c>
      <c r="J25" s="367" t="str">
        <f>IF($D25="na","na",Eqtn!$D$364/$D25)</f>
        <v>na</v>
      </c>
      <c r="L25" s="1062"/>
    </row>
    <row r="26" spans="1:14" ht="13.9" customHeight="1" x14ac:dyDescent="0.25">
      <c r="A26" s="847">
        <f>Chem!A26</f>
        <v>24</v>
      </c>
      <c r="B26" s="941" t="str">
        <f>Chem!B26</f>
        <v>Beryllium</v>
      </c>
      <c r="C26" s="909">
        <f>Param!U26</f>
        <v>5.7142857142857145E-6</v>
      </c>
      <c r="D26" s="557">
        <f>Param!Z26</f>
        <v>8.3999999999999986</v>
      </c>
      <c r="E26" s="602">
        <f>IF(C26="na","na",C26*Eqtn!$D$259)</f>
        <v>9.1428571428571435E-3</v>
      </c>
      <c r="F26" s="582">
        <f>IF(D26="na","na",Eqtn!$D$280/D26)</f>
        <v>1.0416666666666667E-3</v>
      </c>
      <c r="G26" s="694">
        <f>IF(C26="na","na",C26*Eqtn!$D$301)</f>
        <v>0.02</v>
      </c>
      <c r="H26" s="695">
        <f>IF(D26="na","na",Eqtn!$D$322/D26)</f>
        <v>1.041666666666667E-2</v>
      </c>
      <c r="I26" s="348">
        <f>IF($C26="na","na",$C26*Eqtn!$D$343)</f>
        <v>7.7866666666666653E-2</v>
      </c>
      <c r="J26" s="367">
        <f>IF($D26="na","na",Eqtn!$D$364/$D26)</f>
        <v>4.8666666666666658E-3</v>
      </c>
      <c r="L26" s="1062"/>
    </row>
    <row r="27" spans="1:14" ht="13.9" customHeight="1" x14ac:dyDescent="0.25">
      <c r="A27" s="847">
        <f>Chem!A27</f>
        <v>25</v>
      </c>
      <c r="B27" s="941" t="str">
        <f>Chem!B27</f>
        <v>Cadmium</v>
      </c>
      <c r="C27" s="909">
        <f>Param!U27</f>
        <v>2.8571428571428573E-6</v>
      </c>
      <c r="D27" s="557">
        <f>Param!Z27</f>
        <v>6.3</v>
      </c>
      <c r="E27" s="602">
        <f>IF(C27="na","na",C27*Eqtn!$D$259)</f>
        <v>4.5714285714285718E-3</v>
      </c>
      <c r="F27" s="582">
        <f>IF(D27="na","na",Eqtn!$D$280/D27)</f>
        <v>1.3888888888888887E-3</v>
      </c>
      <c r="G27" s="694">
        <f>IF(C27="na","na",C27*Eqtn!$D$301)</f>
        <v>0.01</v>
      </c>
      <c r="H27" s="695">
        <f>IF(D27="na","na",Eqtn!$D$322/D27)</f>
        <v>1.388888888888889E-2</v>
      </c>
      <c r="I27" s="348">
        <f>IF($C27="na","na",$C27*Eqtn!$D$343)</f>
        <v>3.8933333333333327E-2</v>
      </c>
      <c r="J27" s="367">
        <f>IF($D27="na","na",Eqtn!$D$364/$D27)</f>
        <v>6.4888888888888869E-3</v>
      </c>
      <c r="L27" s="1062"/>
    </row>
    <row r="28" spans="1:14" ht="13.9" customHeight="1" x14ac:dyDescent="0.25">
      <c r="A28" s="847">
        <f>Chem!A28</f>
        <v>26</v>
      </c>
      <c r="B28" s="941" t="str">
        <f>Chem!B28</f>
        <v>Chromium, total</v>
      </c>
      <c r="C28" s="909" t="str">
        <f>Param!U28</f>
        <v>na</v>
      </c>
      <c r="D28" s="557" t="str">
        <f>Param!Z28</f>
        <v>na</v>
      </c>
      <c r="E28" s="602" t="str">
        <f>IF(C28="na","na",C28*Eqtn!$D$259)</f>
        <v>na</v>
      </c>
      <c r="F28" s="582" t="str">
        <f>IF(D28="na","na",Eqtn!$D$280/D28)</f>
        <v>na</v>
      </c>
      <c r="G28" s="694" t="str">
        <f>IF(C28="na","na",C28*Eqtn!$D$301)</f>
        <v>na</v>
      </c>
      <c r="H28" s="695" t="str">
        <f>IF(D28="na","na",Eqtn!$D$322/D28)</f>
        <v>na</v>
      </c>
      <c r="I28" s="348" t="str">
        <f>IF($C28="na","na",$C28*Eqtn!$D$343)</f>
        <v>na</v>
      </c>
      <c r="J28" s="367" t="str">
        <f>IF($D28="na","na",Eqtn!$D$364/$D28)</f>
        <v>na</v>
      </c>
      <c r="L28" s="1062"/>
    </row>
    <row r="29" spans="1:14" ht="13.9" customHeight="1" x14ac:dyDescent="0.25">
      <c r="A29" s="847">
        <f>Chem!A29</f>
        <v>27</v>
      </c>
      <c r="B29" s="941" t="str">
        <f>Chem!B29</f>
        <v>Chromium, trivalent</v>
      </c>
      <c r="C29" s="909" t="str">
        <f>Param!U29</f>
        <v>na</v>
      </c>
      <c r="D29" s="557" t="str">
        <f>Param!Z29</f>
        <v>na</v>
      </c>
      <c r="E29" s="602" t="str">
        <f>IF(C29="na","na",C29*Eqtn!$D$259)</f>
        <v>na</v>
      </c>
      <c r="F29" s="582" t="str">
        <f>IF(D29="na","na",Eqtn!$D$280/D29)</f>
        <v>na</v>
      </c>
      <c r="G29" s="694" t="str">
        <f>IF(C29="na","na",C29*Eqtn!$D$301)</f>
        <v>na</v>
      </c>
      <c r="H29" s="695" t="str">
        <f>IF(D29="na","na",Eqtn!$D$322/D29)</f>
        <v>na</v>
      </c>
      <c r="I29" s="348" t="str">
        <f>IF($C29="na","na",$C29*Eqtn!$D$343)</f>
        <v>na</v>
      </c>
      <c r="J29" s="367" t="str">
        <f>IF($D29="na","na",Eqtn!$D$364/$D29)</f>
        <v>na</v>
      </c>
      <c r="L29" s="1062"/>
    </row>
    <row r="30" spans="1:14" ht="13.9" customHeight="1" x14ac:dyDescent="0.25">
      <c r="A30" s="847">
        <f>Chem!A30</f>
        <v>28</v>
      </c>
      <c r="B30" s="1852" t="str">
        <f>Chem!B30</f>
        <v>Chromium, hexavalent</v>
      </c>
      <c r="C30" s="909">
        <f>Param!U30</f>
        <v>8.5714285714285726E-6</v>
      </c>
      <c r="D30" s="557">
        <f>Param!Z30</f>
        <v>38.499999999999993</v>
      </c>
      <c r="E30" s="602">
        <f>IF(C30="na","na",C30*Eqtn!$D$259)</f>
        <v>1.3714285714285717E-2</v>
      </c>
      <c r="F30" s="348">
        <v>6.0000000000000002E-5</v>
      </c>
      <c r="G30" s="694">
        <f>IF(C30="na","na",C30*Eqtn!$D$301)</f>
        <v>3.0000000000000006E-2</v>
      </c>
      <c r="H30" s="695">
        <f>IF(D30="na","na",Eqtn!$D$322/D30)</f>
        <v>2.2727272727272735E-3</v>
      </c>
      <c r="I30" s="348">
        <f>IF($C30="na","na",$C30*Eqtn!$D$343)</f>
        <v>0.1168</v>
      </c>
      <c r="J30" s="367">
        <f>IF($D30="na","na",Eqtn!$D$364/$D30)</f>
        <v>1.0618181818181816E-3</v>
      </c>
      <c r="L30" s="1062"/>
    </row>
    <row r="31" spans="1:14" ht="13.9" customHeight="1" x14ac:dyDescent="0.25">
      <c r="A31" s="847">
        <f>Chem!A31</f>
        <v>29</v>
      </c>
      <c r="B31" s="941" t="str">
        <f>Chem!B31</f>
        <v>Cobalt</v>
      </c>
      <c r="C31" s="909">
        <f>Param!U31</f>
        <v>1.7142857142857143E-6</v>
      </c>
      <c r="D31" s="557">
        <f>Param!Z31</f>
        <v>31.5</v>
      </c>
      <c r="E31" s="602">
        <f>IF(C31="na","na",C31*Eqtn!$D$259)</f>
        <v>2.7428571428571428E-3</v>
      </c>
      <c r="F31" s="582">
        <f>IF(D31="na","na",Eqtn!$D$280/D31)</f>
        <v>2.7777777777777772E-4</v>
      </c>
      <c r="G31" s="694">
        <f>IF(C31="na","na",C31*Eqtn!$D$301)</f>
        <v>6.0000000000000001E-3</v>
      </c>
      <c r="H31" s="695">
        <f>IF(D31="na","na",Eqtn!$D$322/D31)</f>
        <v>2.7777777777777779E-3</v>
      </c>
      <c r="I31" s="348">
        <f>IF($C31="na","na",$C31*Eqtn!$D$343)</f>
        <v>2.3359999999999995E-2</v>
      </c>
      <c r="J31" s="367">
        <f>IF($D31="na","na",Eqtn!$D$364/$D31)</f>
        <v>1.2977777777777773E-3</v>
      </c>
      <c r="L31" s="1062"/>
    </row>
    <row r="32" spans="1:14" ht="13.9" customHeight="1" x14ac:dyDescent="0.25">
      <c r="A32" s="847">
        <f>Chem!A32</f>
        <v>30</v>
      </c>
      <c r="B32" s="941" t="str">
        <f>Chem!B32</f>
        <v>Copper</v>
      </c>
      <c r="C32" s="909" t="str">
        <f>Param!U32</f>
        <v>na</v>
      </c>
      <c r="D32" s="557" t="str">
        <f>Param!Z32</f>
        <v>na</v>
      </c>
      <c r="E32" s="602" t="str">
        <f>IF(C32="na","na",C32*Eqtn!$D$259)</f>
        <v>na</v>
      </c>
      <c r="F32" s="582" t="str">
        <f>IF(D32="na","na",Eqtn!$D$280/D32)</f>
        <v>na</v>
      </c>
      <c r="G32" s="694" t="str">
        <f>IF(C32="na","na",C32*Eqtn!$D$301)</f>
        <v>na</v>
      </c>
      <c r="H32" s="695" t="str">
        <f>IF(D32="na","na",Eqtn!$D$322/D32)</f>
        <v>na</v>
      </c>
      <c r="I32" s="348" t="str">
        <f>IF($C32="na","na",$C32*Eqtn!$D$343)</f>
        <v>na</v>
      </c>
      <c r="J32" s="367" t="str">
        <f>IF($D32="na","na",Eqtn!$D$364/$D32)</f>
        <v>na</v>
      </c>
      <c r="L32" s="1062"/>
    </row>
    <row r="33" spans="1:12" ht="13.9" customHeight="1" x14ac:dyDescent="0.25">
      <c r="A33" s="847">
        <f>Chem!A33</f>
        <v>31</v>
      </c>
      <c r="B33" s="941" t="str">
        <f>Chem!B33</f>
        <v>Iron</v>
      </c>
      <c r="C33" s="909" t="str">
        <f>Param!U33</f>
        <v>na</v>
      </c>
      <c r="D33" s="557" t="str">
        <f>Param!Z33</f>
        <v>na</v>
      </c>
      <c r="E33" s="602" t="str">
        <f>IF(C33="na","na",C33*Eqtn!$D$259)</f>
        <v>na</v>
      </c>
      <c r="F33" s="582" t="str">
        <f>IF(D33="na","na",Eqtn!$D$280/D33)</f>
        <v>na</v>
      </c>
      <c r="G33" s="694" t="str">
        <f>IF(C33="na","na",C33*Eqtn!$D$301)</f>
        <v>na</v>
      </c>
      <c r="H33" s="695" t="str">
        <f>IF(D33="na","na",Eqtn!$D$322/D33)</f>
        <v>na</v>
      </c>
      <c r="I33" s="348" t="str">
        <f>IF($C33="na","na",$C33*Eqtn!$D$343)</f>
        <v>na</v>
      </c>
      <c r="J33" s="367" t="str">
        <f>IF($D33="na","na",Eqtn!$D$364/$D33)</f>
        <v>na</v>
      </c>
      <c r="L33" s="1062"/>
    </row>
    <row r="34" spans="1:12" ht="13.9" customHeight="1" x14ac:dyDescent="0.25">
      <c r="A34" s="847">
        <f>Chem!A34</f>
        <v>32</v>
      </c>
      <c r="B34" s="941" t="str">
        <f>Chem!B34</f>
        <v>Lead</v>
      </c>
      <c r="C34" s="909" t="str">
        <f>Param!U34</f>
        <v>na</v>
      </c>
      <c r="D34" s="557" t="str">
        <f>Param!Z34</f>
        <v>na</v>
      </c>
      <c r="E34" s="602" t="str">
        <f>IF(C34="na","na",C34*Eqtn!$D$259)</f>
        <v>na</v>
      </c>
      <c r="F34" s="582" t="str">
        <f>IF(D34="na","na",Eqtn!$D$280/D34)</f>
        <v>na</v>
      </c>
      <c r="G34" s="694" t="str">
        <f>IF(C34="na","na",C34*Eqtn!$D$301)</f>
        <v>na</v>
      </c>
      <c r="H34" s="695" t="str">
        <f>IF(D34="na","na",Eqtn!$D$322/D34)</f>
        <v>na</v>
      </c>
      <c r="I34" s="348" t="str">
        <f>IF($C34="na","na",$C34*Eqtn!$D$343)</f>
        <v>na</v>
      </c>
      <c r="J34" s="367" t="str">
        <f>IF($D34="na","na",Eqtn!$D$364/$D34)</f>
        <v>na</v>
      </c>
      <c r="L34" s="1062"/>
    </row>
    <row r="35" spans="1:12" ht="13.9" customHeight="1" x14ac:dyDescent="0.25">
      <c r="A35" s="847">
        <f>Chem!A35</f>
        <v>33</v>
      </c>
      <c r="B35" s="941" t="str">
        <f>Chem!B35</f>
        <v>Manganese</v>
      </c>
      <c r="C35" s="909">
        <f>Param!U35</f>
        <v>1.4285714285714285E-5</v>
      </c>
      <c r="D35" s="557" t="str">
        <f>Param!Z35</f>
        <v>na</v>
      </c>
      <c r="E35" s="602">
        <f>IF(C35="na","na",C35*Eqtn!$D$259)</f>
        <v>2.2857142857142857E-2</v>
      </c>
      <c r="F35" s="582" t="str">
        <f>IF(D35="na","na",Eqtn!$D$280/D35)</f>
        <v>na</v>
      </c>
      <c r="G35" s="694">
        <f>IF(C35="na","na",C35*Eqtn!$D$301)</f>
        <v>4.9999999999999996E-2</v>
      </c>
      <c r="H35" s="695" t="str">
        <f>IF(D35="na","na",Eqtn!$D$322/D35)</f>
        <v>na</v>
      </c>
      <c r="I35" s="348">
        <f>IF($C35="na","na",$C35*Eqtn!$D$343)</f>
        <v>0.19466666666666663</v>
      </c>
      <c r="J35" s="367" t="str">
        <f>IF($D35="na","na",Eqtn!$D$364/$D35)</f>
        <v>na</v>
      </c>
      <c r="L35" s="1062"/>
    </row>
    <row r="36" spans="1:12" ht="13.9" customHeight="1" x14ac:dyDescent="0.25">
      <c r="A36" s="847">
        <f>Chem!A36</f>
        <v>34</v>
      </c>
      <c r="B36" s="941" t="str">
        <f>Chem!B36</f>
        <v>Mercury, inorganic</v>
      </c>
      <c r="C36" s="909">
        <f>Param!U36</f>
        <v>8.5714285714285685E-5</v>
      </c>
      <c r="D36" s="557" t="str">
        <f>Param!Z36</f>
        <v>na</v>
      </c>
      <c r="E36" s="602">
        <f>IF(C36="na","na",C36*Eqtn!$D$259)</f>
        <v>0.13714285714285709</v>
      </c>
      <c r="F36" s="582" t="str">
        <f>IF(D36="na","na",Eqtn!$D$280/D36)</f>
        <v>na</v>
      </c>
      <c r="G36" s="694">
        <f>IF(C36="na","na",C36*Eqtn!$D$301)</f>
        <v>0.29999999999999988</v>
      </c>
      <c r="H36" s="695" t="str">
        <f>IF(D36="na","na",Eqtn!$D$322/D36)</f>
        <v>na</v>
      </c>
      <c r="I36" s="348">
        <f>IF($C36="na","na",$C36*Eqtn!$D$343)</f>
        <v>1.1679999999999995</v>
      </c>
      <c r="J36" s="367" t="str">
        <f>IF($D36="na","na",Eqtn!$D$364/$D36)</f>
        <v>na</v>
      </c>
      <c r="L36" s="1062"/>
    </row>
    <row r="37" spans="1:12" ht="13.9" customHeight="1" x14ac:dyDescent="0.25">
      <c r="A37" s="847">
        <f>Chem!A37</f>
        <v>35</v>
      </c>
      <c r="B37" s="941" t="str">
        <f>Chem!B37</f>
        <v>Methylmercury</v>
      </c>
      <c r="C37" s="909" t="str">
        <f>Param!U37</f>
        <v>na</v>
      </c>
      <c r="D37" s="557" t="str">
        <f>Param!Z37</f>
        <v>na</v>
      </c>
      <c r="E37" s="602" t="str">
        <f>IF(C37="na","na",C37*Eqtn!$D$259)</f>
        <v>na</v>
      </c>
      <c r="F37" s="582" t="str">
        <f>IF(D37="na","na",Eqtn!$D$280/D37)</f>
        <v>na</v>
      </c>
      <c r="G37" s="694" t="str">
        <f>IF(C37="na","na",C37*Eqtn!$D$301)</f>
        <v>na</v>
      </c>
      <c r="H37" s="695" t="str">
        <f>IF(D37="na","na",Eqtn!$D$322/D37)</f>
        <v>na</v>
      </c>
      <c r="I37" s="348" t="str">
        <f>IF($C37="na","na",$C37*Eqtn!$D$343)</f>
        <v>na</v>
      </c>
      <c r="J37" s="367" t="str">
        <f>IF($D37="na","na",Eqtn!$D$364/$D37)</f>
        <v>na</v>
      </c>
      <c r="L37" s="1062"/>
    </row>
    <row r="38" spans="1:12" ht="13.9" customHeight="1" x14ac:dyDescent="0.25">
      <c r="A38" s="847">
        <f>Chem!A38</f>
        <v>36</v>
      </c>
      <c r="B38" s="941" t="str">
        <f>Chem!B38</f>
        <v>Molybdenum</v>
      </c>
      <c r="C38" s="909">
        <f>Param!U38</f>
        <v>5.7142857142857147E-4</v>
      </c>
      <c r="D38" s="557" t="str">
        <f>Param!Z38</f>
        <v>na</v>
      </c>
      <c r="E38" s="602">
        <f>IF(C38="na","na",C38*Eqtn!$D$259)</f>
        <v>0.91428571428571437</v>
      </c>
      <c r="F38" s="582" t="str">
        <f>IF(D38="na","na",Eqtn!$D$280/D38)</f>
        <v>na</v>
      </c>
      <c r="G38" s="694">
        <f>IF(C38="na","na",C38*Eqtn!$D$301)</f>
        <v>2</v>
      </c>
      <c r="H38" s="695" t="str">
        <f>IF(D38="na","na",Eqtn!$D$322/D38)</f>
        <v>na</v>
      </c>
      <c r="I38" s="348">
        <f>IF($C38="na","na",$C38*Eqtn!$D$343)</f>
        <v>7.7866666666666662</v>
      </c>
      <c r="J38" s="367" t="str">
        <f>IF($D38="na","na",Eqtn!$D$364/$D38)</f>
        <v>na</v>
      </c>
      <c r="L38" s="1062"/>
    </row>
    <row r="39" spans="1:12" ht="13.9" customHeight="1" x14ac:dyDescent="0.25">
      <c r="A39" s="847">
        <f>Chem!A39</f>
        <v>37</v>
      </c>
      <c r="B39" s="941" t="str">
        <f>Chem!B39</f>
        <v>Nickel</v>
      </c>
      <c r="C39" s="909">
        <f>Param!U39</f>
        <v>3.9999999999999998E-6</v>
      </c>
      <c r="D39" s="557">
        <f>Param!Z39</f>
        <v>0.90999999999999981</v>
      </c>
      <c r="E39" s="602">
        <f>IF(C39="na","na",C39*Eqtn!$D$259)</f>
        <v>6.3999999999999994E-3</v>
      </c>
      <c r="F39" s="582">
        <f>IF(D39="na","na",Eqtn!$D$280/D39)</f>
        <v>9.6153846153846159E-3</v>
      </c>
      <c r="G39" s="694">
        <f>IF(C39="na","na",C39*Eqtn!$D$301)</f>
        <v>1.3999999999999999E-2</v>
      </c>
      <c r="H39" s="695">
        <f>IF(D39="na","na",Eqtn!$D$322/D39)</f>
        <v>9.6153846153846187E-2</v>
      </c>
      <c r="I39" s="348">
        <f>IF($C39="na","na",$C39*Eqtn!$D$343)</f>
        <v>5.4506666666666655E-2</v>
      </c>
      <c r="J39" s="367">
        <f>IF($D39="na","na",Eqtn!$D$364/$D39)</f>
        <v>4.492307692307692E-2</v>
      </c>
      <c r="L39" s="1062"/>
    </row>
    <row r="40" spans="1:12" ht="13.9" customHeight="1" x14ac:dyDescent="0.25">
      <c r="A40" s="847">
        <f>Chem!A40</f>
        <v>38</v>
      </c>
      <c r="B40" s="941" t="str">
        <f>Chem!B40</f>
        <v>Selenium</v>
      </c>
      <c r="C40" s="909">
        <f>Param!U40</f>
        <v>5.7142857142857143E-3</v>
      </c>
      <c r="D40" s="557" t="str">
        <f>Param!Z40</f>
        <v>na</v>
      </c>
      <c r="E40" s="602">
        <f>IF(C40="na","na",C40*Eqtn!$D$259)</f>
        <v>9.1428571428571423</v>
      </c>
      <c r="F40" s="582" t="str">
        <f>IF(D40="na","na",Eqtn!$D$280/D40)</f>
        <v>na</v>
      </c>
      <c r="G40" s="694">
        <f>IF(C40="na","na",C40*Eqtn!$D$301)</f>
        <v>20</v>
      </c>
      <c r="H40" s="695" t="str">
        <f>IF(D40="na","na",Eqtn!$D$322/D40)</f>
        <v>na</v>
      </c>
      <c r="I40" s="348">
        <f>IF($C40="na","na",$C40*Eqtn!$D$343)</f>
        <v>77.866666666666646</v>
      </c>
      <c r="J40" s="367" t="str">
        <f>IF($D40="na","na",Eqtn!$D$364/$D40)</f>
        <v>na</v>
      </c>
      <c r="L40" s="1062"/>
    </row>
    <row r="41" spans="1:12" ht="13.9" customHeight="1" x14ac:dyDescent="0.25">
      <c r="A41" s="847">
        <f>Chem!A41</f>
        <v>39</v>
      </c>
      <c r="B41" s="941" t="str">
        <f>Chem!B41</f>
        <v>Silver</v>
      </c>
      <c r="C41" s="909" t="str">
        <f>Param!U41</f>
        <v>na</v>
      </c>
      <c r="D41" s="557" t="str">
        <f>Param!Z41</f>
        <v>na</v>
      </c>
      <c r="E41" s="602" t="str">
        <f>IF(C41="na","na",C41*Eqtn!$D$259)</f>
        <v>na</v>
      </c>
      <c r="F41" s="582" t="str">
        <f>IF(D41="na","na",Eqtn!$D$280/D41)</f>
        <v>na</v>
      </c>
      <c r="G41" s="694" t="str">
        <f>IF(C41="na","na",C41*Eqtn!$D$301)</f>
        <v>na</v>
      </c>
      <c r="H41" s="695" t="str">
        <f>IF(D41="na","na",Eqtn!$D$322/D41)</f>
        <v>na</v>
      </c>
      <c r="I41" s="348" t="str">
        <f>IF($C41="na","na",$C41*Eqtn!$D$343)</f>
        <v>na</v>
      </c>
      <c r="J41" s="367" t="str">
        <f>IF($D41="na","na",Eqtn!$D$364/$D41)</f>
        <v>na</v>
      </c>
      <c r="L41" s="1062"/>
    </row>
    <row r="42" spans="1:12" ht="13.9" customHeight="1" x14ac:dyDescent="0.25">
      <c r="A42" s="847">
        <f>Chem!A42</f>
        <v>40</v>
      </c>
      <c r="B42" s="941" t="str">
        <f>Chem!B42</f>
        <v>Thallium</v>
      </c>
      <c r="C42" s="909" t="str">
        <f>Param!U42</f>
        <v>na</v>
      </c>
      <c r="D42" s="557" t="str">
        <f>Param!Z42</f>
        <v>na</v>
      </c>
      <c r="E42" s="602" t="str">
        <f>IF(C42="na","na",C42*Eqtn!$D$259)</f>
        <v>na</v>
      </c>
      <c r="F42" s="582" t="str">
        <f>IF(D42="na","na",Eqtn!$D$280/D42)</f>
        <v>na</v>
      </c>
      <c r="G42" s="694" t="str">
        <f>IF(C42="na","na",C42*Eqtn!$D$301)</f>
        <v>na</v>
      </c>
      <c r="H42" s="695" t="str">
        <f>IF(D42="na","na",Eqtn!$D$322/D42)</f>
        <v>na</v>
      </c>
      <c r="I42" s="348" t="str">
        <f>IF($C42="na","na",$C42*Eqtn!$D$343)</f>
        <v>na</v>
      </c>
      <c r="J42" s="367" t="str">
        <f>IF($D42="na","na",Eqtn!$D$364/$D42)</f>
        <v>na</v>
      </c>
      <c r="L42" s="1062"/>
    </row>
    <row r="43" spans="1:12" ht="13.9" customHeight="1" x14ac:dyDescent="0.25">
      <c r="A43" s="847">
        <f>Chem!A43</f>
        <v>41</v>
      </c>
      <c r="B43" s="941" t="str">
        <f>Chem!B43</f>
        <v>Tin</v>
      </c>
      <c r="C43" s="909" t="str">
        <f>Param!U43</f>
        <v>na</v>
      </c>
      <c r="D43" s="557" t="str">
        <f>Param!Z43</f>
        <v>na</v>
      </c>
      <c r="E43" s="602" t="str">
        <f>IF(C43="na","na",C43*Eqtn!$D$259)</f>
        <v>na</v>
      </c>
      <c r="F43" s="582" t="str">
        <f>IF(D43="na","na",Eqtn!$D$280/D43)</f>
        <v>na</v>
      </c>
      <c r="G43" s="694" t="str">
        <f>IF(C43="na","na",C43*Eqtn!$D$301)</f>
        <v>na</v>
      </c>
      <c r="H43" s="695" t="str">
        <f>IF(D43="na","na",Eqtn!$D$322/D43)</f>
        <v>na</v>
      </c>
      <c r="I43" s="348" t="str">
        <f>IF($C43="na","na",$C43*Eqtn!$D$343)</f>
        <v>na</v>
      </c>
      <c r="J43" s="367" t="str">
        <f>IF($D43="na","na",Eqtn!$D$364/$D43)</f>
        <v>na</v>
      </c>
      <c r="L43" s="1062"/>
    </row>
    <row r="44" spans="1:12" ht="13.9" customHeight="1" x14ac:dyDescent="0.25">
      <c r="A44" s="847">
        <f>Chem!A44</f>
        <v>42</v>
      </c>
      <c r="B44" s="941" t="str">
        <f>Chem!B44</f>
        <v>Vanadium</v>
      </c>
      <c r="C44" s="909">
        <f>Param!U44</f>
        <v>2.8571428571428571E-5</v>
      </c>
      <c r="D44" s="557" t="str">
        <f>Param!Z44</f>
        <v>na</v>
      </c>
      <c r="E44" s="602">
        <f>IF(C44="na","na",C44*Eqtn!$D$259)</f>
        <v>4.5714285714285714E-2</v>
      </c>
      <c r="F44" s="582" t="str">
        <f>IF(D44="na","na",Eqtn!$D$280/D44)</f>
        <v>na</v>
      </c>
      <c r="G44" s="694">
        <f>IF(C44="na","na",C44*Eqtn!$D$301)</f>
        <v>9.9999999999999992E-2</v>
      </c>
      <c r="H44" s="695" t="str">
        <f>IF(D44="na","na",Eqtn!$D$322/D44)</f>
        <v>na</v>
      </c>
      <c r="I44" s="348">
        <f>IF($C44="na","na",$C44*Eqtn!$D$343)</f>
        <v>0.38933333333333325</v>
      </c>
      <c r="J44" s="367" t="str">
        <f>IF($D44="na","na",Eqtn!$D$364/$D44)</f>
        <v>na</v>
      </c>
      <c r="L44" s="1062"/>
    </row>
    <row r="45" spans="1:12" ht="13.9" customHeight="1" x14ac:dyDescent="0.25">
      <c r="A45" s="844">
        <f>Chem!A45</f>
        <v>43</v>
      </c>
      <c r="B45" s="941" t="str">
        <f>Chem!B45</f>
        <v>Zinc</v>
      </c>
      <c r="C45" s="910" t="str">
        <f>Param!U45</f>
        <v>na</v>
      </c>
      <c r="D45" s="558" t="str">
        <f>Param!Z45</f>
        <v>na</v>
      </c>
      <c r="E45" s="609" t="str">
        <f>IF(C45="na","na",C45*Eqtn!$D$259)</f>
        <v>na</v>
      </c>
      <c r="F45" s="583" t="str">
        <f>IF(D45="na","na",Eqtn!$D$280/D45)</f>
        <v>na</v>
      </c>
      <c r="G45" s="707" t="str">
        <f>IF(C45="na","na",C45*Eqtn!$D$301)</f>
        <v>na</v>
      </c>
      <c r="H45" s="741" t="str">
        <f>IF(D45="na","na",Eqtn!$D$322/D45)</f>
        <v>na</v>
      </c>
      <c r="I45" s="723" t="str">
        <f>IF($C45="na","na",$C45*Eqtn!$D$343)</f>
        <v>na</v>
      </c>
      <c r="J45" s="724" t="str">
        <f>IF($D45="na","na",Eqtn!$D$364/$D45)</f>
        <v>na</v>
      </c>
      <c r="L45" s="1062"/>
    </row>
    <row r="46" spans="1:12" ht="13.9" customHeight="1" x14ac:dyDescent="0.25">
      <c r="A46" s="906">
        <f>Chem!A46</f>
        <v>44</v>
      </c>
      <c r="B46" s="943" t="str">
        <f>Chem!B46</f>
        <v>Metals - Butyltins</v>
      </c>
      <c r="C46" s="127"/>
      <c r="D46" s="127"/>
      <c r="E46" s="127"/>
      <c r="F46" s="127"/>
      <c r="G46" s="127"/>
      <c r="H46" s="127"/>
      <c r="I46" s="127"/>
      <c r="J46" s="2364"/>
      <c r="L46" s="1063"/>
    </row>
    <row r="47" spans="1:12" ht="13.9" customHeight="1" x14ac:dyDescent="0.25">
      <c r="A47" s="847">
        <f>Chem!A47</f>
        <v>45</v>
      </c>
      <c r="B47" s="941" t="str">
        <f>Chem!B47</f>
        <v>Monobutyltin</v>
      </c>
      <c r="C47" s="909" t="str">
        <f>Param!U47</f>
        <v>na</v>
      </c>
      <c r="D47" s="557" t="str">
        <f>Param!Z47</f>
        <v>na</v>
      </c>
      <c r="E47" s="602" t="str">
        <f>IF(C47="na","na",C47*Eqtn!$D$259)</f>
        <v>na</v>
      </c>
      <c r="F47" s="582" t="str">
        <f>IF(D47="na","na",Eqtn!$D$280/D47)</f>
        <v>na</v>
      </c>
      <c r="G47" s="694" t="str">
        <f>IF(C47="na","na",C47*Eqtn!$D$301)</f>
        <v>na</v>
      </c>
      <c r="H47" s="695" t="str">
        <f>IF(D47="na","na",Eqtn!$D$322/D47)</f>
        <v>na</v>
      </c>
      <c r="I47" s="721" t="str">
        <f>IF($C47="na","na",$C47*Eqtn!$D$343)</f>
        <v>na</v>
      </c>
      <c r="J47" s="722" t="str">
        <f>IF($D47="na","na",Eqtn!$D$364/$D47)</f>
        <v>na</v>
      </c>
      <c r="L47" s="1062"/>
    </row>
    <row r="48" spans="1:12" ht="13.9" customHeight="1" x14ac:dyDescent="0.25">
      <c r="A48" s="847">
        <f>Chem!A48</f>
        <v>46</v>
      </c>
      <c r="B48" s="941" t="str">
        <f>Chem!B48</f>
        <v>Dibutyltin</v>
      </c>
      <c r="C48" s="909" t="str">
        <f>Param!U48</f>
        <v>na</v>
      </c>
      <c r="D48" s="557" t="str">
        <f>Param!Z48</f>
        <v>na</v>
      </c>
      <c r="E48" s="602" t="str">
        <f>IF(C48="na","na",C48*Eqtn!$D$259)</f>
        <v>na</v>
      </c>
      <c r="F48" s="582" t="str">
        <f>IF(D48="na","na",Eqtn!$D$280/D48)</f>
        <v>na</v>
      </c>
      <c r="G48" s="694" t="str">
        <f>IF(C48="na","na",C48*Eqtn!$D$301)</f>
        <v>na</v>
      </c>
      <c r="H48" s="695" t="str">
        <f>IF(D48="na","na",Eqtn!$D$322/D48)</f>
        <v>na</v>
      </c>
      <c r="I48" s="348" t="str">
        <f>IF($C48="na","na",$C48*Eqtn!$D$343)</f>
        <v>na</v>
      </c>
      <c r="J48" s="367" t="str">
        <f>IF($D48="na","na",Eqtn!$D$364/$D48)</f>
        <v>na</v>
      </c>
      <c r="L48" s="1062"/>
    </row>
    <row r="49" spans="1:12" ht="13.9" customHeight="1" x14ac:dyDescent="0.25">
      <c r="A49" s="847">
        <f>Chem!A49</f>
        <v>47</v>
      </c>
      <c r="B49" s="941" t="str">
        <f>Chem!B49</f>
        <v>Tributyl tin</v>
      </c>
      <c r="C49" s="909" t="str">
        <f>Param!U49</f>
        <v>na</v>
      </c>
      <c r="D49" s="557" t="str">
        <f>Param!Z49</f>
        <v>na</v>
      </c>
      <c r="E49" s="602" t="str">
        <f>IF(C49="na","na",C49*Eqtn!$D$259)</f>
        <v>na</v>
      </c>
      <c r="F49" s="582" t="str">
        <f>IF(D49="na","na",Eqtn!$D$280/D49)</f>
        <v>na</v>
      </c>
      <c r="G49" s="694" t="str">
        <f>IF(C49="na","na",C49*Eqtn!$D$301)</f>
        <v>na</v>
      </c>
      <c r="H49" s="695" t="str">
        <f>IF(D49="na","na",Eqtn!$D$322/D49)</f>
        <v>na</v>
      </c>
      <c r="I49" s="348" t="str">
        <f>IF($C49="na","na",$C49*Eqtn!$D$343)</f>
        <v>na</v>
      </c>
      <c r="J49" s="367" t="str">
        <f>IF($D49="na","na",Eqtn!$D$364/$D49)</f>
        <v>na</v>
      </c>
      <c r="L49" s="1062"/>
    </row>
    <row r="50" spans="1:12" ht="13.9" customHeight="1" x14ac:dyDescent="0.25">
      <c r="A50" s="847">
        <f>Chem!A50</f>
        <v>48</v>
      </c>
      <c r="B50" s="941" t="str">
        <f>Chem!B50</f>
        <v>Tributyltin oxide</v>
      </c>
      <c r="C50" s="909" t="str">
        <f>Param!U50</f>
        <v>na</v>
      </c>
      <c r="D50" s="557" t="str">
        <f>Param!Z50</f>
        <v>na</v>
      </c>
      <c r="E50" s="602" t="str">
        <f>IF(C50="na","na",C50*Eqtn!$D$259)</f>
        <v>na</v>
      </c>
      <c r="F50" s="582" t="str">
        <f>IF(D50="na","na",Eqtn!$D$280/D50)</f>
        <v>na</v>
      </c>
      <c r="G50" s="694" t="str">
        <f>IF(C50="na","na",C50*Eqtn!$D$301)</f>
        <v>na</v>
      </c>
      <c r="H50" s="695" t="str">
        <f>IF(D50="na","na",Eqtn!$D$322/D50)</f>
        <v>na</v>
      </c>
      <c r="I50" s="348" t="str">
        <f>IF($C50="na","na",$C50*Eqtn!$D$343)</f>
        <v>na</v>
      </c>
      <c r="J50" s="367" t="str">
        <f>IF($D50="na","na",Eqtn!$D$364/$D50)</f>
        <v>na</v>
      </c>
      <c r="L50" s="1062"/>
    </row>
    <row r="51" spans="1:12" ht="13.9" customHeight="1" x14ac:dyDescent="0.25">
      <c r="A51" s="847">
        <f>Chem!A51</f>
        <v>49</v>
      </c>
      <c r="B51" s="941" t="str">
        <f>Chem!B51</f>
        <v>Tetrabutyltin</v>
      </c>
      <c r="C51" s="909" t="str">
        <f>Param!U51</f>
        <v>na</v>
      </c>
      <c r="D51" s="557" t="str">
        <f>Param!Z51</f>
        <v>na</v>
      </c>
      <c r="E51" s="602" t="str">
        <f>IF(C51="na","na",C51*Eqtn!$D$259)</f>
        <v>na</v>
      </c>
      <c r="F51" s="582" t="str">
        <f>IF(D51="na","na",Eqtn!$D$280/D51)</f>
        <v>na</v>
      </c>
      <c r="G51" s="694" t="str">
        <f>IF(C51="na","na",C51*Eqtn!$D$301)</f>
        <v>na</v>
      </c>
      <c r="H51" s="695" t="str">
        <f>IF(D51="na","na",Eqtn!$D$322/D51)</f>
        <v>na</v>
      </c>
      <c r="I51" s="723" t="str">
        <f>IF($C51="na","na",$C51*Eqtn!$D$343)</f>
        <v>na</v>
      </c>
      <c r="J51" s="724" t="str">
        <f>IF($D51="na","na",Eqtn!$D$364/$D51)</f>
        <v>na</v>
      </c>
      <c r="L51" s="1062"/>
    </row>
    <row r="52" spans="1:12" ht="13.9" customHeight="1" x14ac:dyDescent="0.25">
      <c r="A52" s="906">
        <f>Chem!A52</f>
        <v>50</v>
      </c>
      <c r="B52" s="943" t="str">
        <f>Chem!B52</f>
        <v>SVOCs - PAHs</v>
      </c>
      <c r="C52" s="127"/>
      <c r="D52" s="127"/>
      <c r="E52" s="127"/>
      <c r="F52" s="127"/>
      <c r="G52" s="127"/>
      <c r="H52" s="127"/>
      <c r="I52" s="127"/>
      <c r="J52" s="2364"/>
      <c r="L52" s="1063"/>
    </row>
    <row r="53" spans="1:12" ht="13.9" customHeight="1" x14ac:dyDescent="0.25">
      <c r="A53" s="846">
        <f>Chem!A53</f>
        <v>51</v>
      </c>
      <c r="B53" s="941" t="str">
        <f>Chem!B53</f>
        <v>Acenaphthene</v>
      </c>
      <c r="C53" s="911" t="str">
        <f>Param!U53</f>
        <v>na</v>
      </c>
      <c r="D53" s="683" t="str">
        <f>Param!Z53</f>
        <v>na</v>
      </c>
      <c r="E53" s="607" t="str">
        <f>IF(C53="na","na",C53*Eqtn!$D$259)</f>
        <v>na</v>
      </c>
      <c r="F53" s="691" t="str">
        <f>IF(D53="na","na",Eqtn!$D$280/D53)</f>
        <v>na</v>
      </c>
      <c r="G53" s="706" t="str">
        <f>IF(C53="na","na",C53*Eqtn!$D$301)</f>
        <v>na</v>
      </c>
      <c r="H53" s="823" t="str">
        <f>IF(D53="na","na",Eqtn!$D$322/D53)</f>
        <v>na</v>
      </c>
      <c r="I53" s="721" t="str">
        <f>IF($C53="na","na",$C53*Eqtn!$D$343)</f>
        <v>na</v>
      </c>
      <c r="J53" s="722" t="str">
        <f>IF($D53="na","na",Eqtn!$D$364/$D53)</f>
        <v>na</v>
      </c>
      <c r="L53" s="1062"/>
    </row>
    <row r="54" spans="1:12" ht="13.9" customHeight="1" x14ac:dyDescent="0.25">
      <c r="A54" s="847">
        <f>Chem!A54</f>
        <v>52</v>
      </c>
      <c r="B54" s="941" t="str">
        <f>Chem!B54</f>
        <v>Acenaphthylene</v>
      </c>
      <c r="C54" s="909" t="str">
        <f>Param!U54</f>
        <v>na</v>
      </c>
      <c r="D54" s="557" t="str">
        <f>Param!Z54</f>
        <v>na</v>
      </c>
      <c r="E54" s="602" t="str">
        <f>IF(C54="na","na",C54*Eqtn!$D$259)</f>
        <v>na</v>
      </c>
      <c r="F54" s="582" t="str">
        <f>IF(D54="na","na",Eqtn!$D$280/D54)</f>
        <v>na</v>
      </c>
      <c r="G54" s="694" t="str">
        <f>IF(C54="na","na",C54*Eqtn!$D$301)</f>
        <v>na</v>
      </c>
      <c r="H54" s="695" t="str">
        <f>IF(D54="na","na",Eqtn!$D$322/D54)</f>
        <v>na</v>
      </c>
      <c r="I54" s="348" t="str">
        <f>IF($C54="na","na",$C54*Eqtn!$D$343)</f>
        <v>na</v>
      </c>
      <c r="J54" s="367" t="str">
        <f>IF($D54="na","na",Eqtn!$D$364/$D54)</f>
        <v>na</v>
      </c>
      <c r="L54" s="1062"/>
    </row>
    <row r="55" spans="1:12" ht="13.9" customHeight="1" x14ac:dyDescent="0.25">
      <c r="A55" s="847">
        <f>Chem!A55</f>
        <v>53</v>
      </c>
      <c r="B55" s="941" t="str">
        <f>Chem!B55</f>
        <v>Anthracene</v>
      </c>
      <c r="C55" s="909" t="str">
        <f>Param!U55</f>
        <v>na</v>
      </c>
      <c r="D55" s="557" t="str">
        <f>Param!Z55</f>
        <v>na</v>
      </c>
      <c r="E55" s="602" t="str">
        <f>IF(C55="na","na",C55*Eqtn!$D$259)</f>
        <v>na</v>
      </c>
      <c r="F55" s="582" t="str">
        <f>IF(D55="na","na",Eqtn!$D$280/D55)</f>
        <v>na</v>
      </c>
      <c r="G55" s="694" t="str">
        <f>IF(C55="na","na",C55*Eqtn!$D$301)</f>
        <v>na</v>
      </c>
      <c r="H55" s="695" t="str">
        <f>IF(D55="na","na",Eqtn!$D$322/D55)</f>
        <v>na</v>
      </c>
      <c r="I55" s="348" t="str">
        <f>IF($C55="na","na",$C55*Eqtn!$D$343)</f>
        <v>na</v>
      </c>
      <c r="J55" s="367" t="str">
        <f>IF($D55="na","na",Eqtn!$D$364/$D55)</f>
        <v>na</v>
      </c>
      <c r="L55" s="1062"/>
    </row>
    <row r="56" spans="1:12" ht="13.9" customHeight="1" x14ac:dyDescent="0.25">
      <c r="A56" s="847">
        <f>Chem!A56</f>
        <v>54</v>
      </c>
      <c r="B56" s="941" t="str">
        <f>Chem!B56</f>
        <v>Benzo(a)anthracene</v>
      </c>
      <c r="C56" s="909" t="str">
        <f>Param!U56</f>
        <v>na</v>
      </c>
      <c r="D56" s="557" t="str">
        <f>Param!Z56</f>
        <v>na</v>
      </c>
      <c r="E56" s="602" t="str">
        <f>IF(C56="na","na",C56*Eqtn!$D$259)</f>
        <v>na</v>
      </c>
      <c r="F56" s="582" t="str">
        <f>IF(D56="na","na",Eqtn!$D$280/D56)</f>
        <v>na</v>
      </c>
      <c r="G56" s="694" t="str">
        <f>IF(C56="na","na",C56*Eqtn!$D$301)</f>
        <v>na</v>
      </c>
      <c r="H56" s="695" t="str">
        <f>IF(D56="na","na",Eqtn!$D$322/D56)</f>
        <v>na</v>
      </c>
      <c r="I56" s="348" t="str">
        <f>IF($C56="na","na",$C56*Eqtn!$D$343)</f>
        <v>na</v>
      </c>
      <c r="J56" s="367" t="str">
        <f>IF($D56="na","na",Eqtn!$D$364/$D56)</f>
        <v>na</v>
      </c>
      <c r="L56" s="1062"/>
    </row>
    <row r="57" spans="1:12" ht="13.9" customHeight="1" x14ac:dyDescent="0.25">
      <c r="A57" s="847">
        <f>Chem!A57</f>
        <v>55</v>
      </c>
      <c r="B57" s="941" t="str">
        <f>Chem!B57</f>
        <v>Benzo(b)fluoranthene</v>
      </c>
      <c r="C57" s="909" t="str">
        <f>Param!U57</f>
        <v>na</v>
      </c>
      <c r="D57" s="557" t="str">
        <f>Param!Z57</f>
        <v>na</v>
      </c>
      <c r="E57" s="602" t="str">
        <f>IF(C57="na","na",C57*Eqtn!$D$259)</f>
        <v>na</v>
      </c>
      <c r="F57" s="582" t="str">
        <f>IF(D57="na","na",Eqtn!$D$280/D57)</f>
        <v>na</v>
      </c>
      <c r="G57" s="694" t="str">
        <f>IF(C57="na","na",C57*Eqtn!$D$301)</f>
        <v>na</v>
      </c>
      <c r="H57" s="695" t="str">
        <f>IF(D57="na","na",Eqtn!$D$322/D57)</f>
        <v>na</v>
      </c>
      <c r="I57" s="348" t="str">
        <f>IF($C57="na","na",$C57*Eqtn!$D$343)</f>
        <v>na</v>
      </c>
      <c r="J57" s="367" t="str">
        <f>IF($D57="na","na",Eqtn!$D$364/$D57)</f>
        <v>na</v>
      </c>
      <c r="L57" s="1062"/>
    </row>
    <row r="58" spans="1:12" ht="13.9" customHeight="1" x14ac:dyDescent="0.25">
      <c r="A58" s="847">
        <f>Chem!A58</f>
        <v>56</v>
      </c>
      <c r="B58" s="941" t="str">
        <f>Chem!B58</f>
        <v>Benzo(k)fluoranthene</v>
      </c>
      <c r="C58" s="909" t="str">
        <f>Param!U58</f>
        <v>na</v>
      </c>
      <c r="D58" s="557" t="str">
        <f>Param!Z58</f>
        <v>na</v>
      </c>
      <c r="E58" s="602" t="str">
        <f>IF(C58="na","na",C58*Eqtn!$D$259)</f>
        <v>na</v>
      </c>
      <c r="F58" s="582" t="str">
        <f>IF(D58="na","na",Eqtn!$D$280/D58)</f>
        <v>na</v>
      </c>
      <c r="G58" s="694" t="str">
        <f>IF(C58="na","na",C58*Eqtn!$D$301)</f>
        <v>na</v>
      </c>
      <c r="H58" s="695" t="str">
        <f>IF(D58="na","na",Eqtn!$D$322/D58)</f>
        <v>na</v>
      </c>
      <c r="I58" s="348" t="str">
        <f>IF($C58="na","na",$C58*Eqtn!$D$343)</f>
        <v>na</v>
      </c>
      <c r="J58" s="367" t="str">
        <f>IF($D58="na","na",Eqtn!$D$364/$D58)</f>
        <v>na</v>
      </c>
      <c r="L58" s="1062"/>
    </row>
    <row r="59" spans="1:12" ht="13.9" customHeight="1" x14ac:dyDescent="0.25">
      <c r="A59" s="847">
        <f>Chem!A59</f>
        <v>57</v>
      </c>
      <c r="B59" s="941" t="str">
        <f>Chem!B59</f>
        <v>Total benzofluoranthenes</v>
      </c>
      <c r="C59" s="909" t="str">
        <f>Param!U59</f>
        <v>na</v>
      </c>
      <c r="D59" s="557" t="str">
        <f>Param!Z59</f>
        <v>na</v>
      </c>
      <c r="E59" s="602" t="str">
        <f>IF(C59="na","na",C59*Eqtn!$D$259)</f>
        <v>na</v>
      </c>
      <c r="F59" s="582" t="str">
        <f>IF(D59="na","na",Eqtn!$D$280/D59)</f>
        <v>na</v>
      </c>
      <c r="G59" s="694" t="str">
        <f>IF(C59="na","na",C59*Eqtn!$D$301)</f>
        <v>na</v>
      </c>
      <c r="H59" s="695" t="str">
        <f>IF(D59="na","na",Eqtn!$D$322/D59)</f>
        <v>na</v>
      </c>
      <c r="I59" s="348" t="str">
        <f>IF($C59="na","na",$C59*Eqtn!$D$343)</f>
        <v>na</v>
      </c>
      <c r="J59" s="367" t="str">
        <f>IF($D59="na","na",Eqtn!$D$364/$D59)</f>
        <v>na</v>
      </c>
      <c r="L59" s="1062"/>
    </row>
    <row r="60" spans="1:12" ht="13.9" customHeight="1" x14ac:dyDescent="0.25">
      <c r="A60" s="847">
        <f>Chem!A60</f>
        <v>58</v>
      </c>
      <c r="B60" s="941" t="str">
        <f>Chem!B60</f>
        <v>Benzo(g,h,i)perylene</v>
      </c>
      <c r="C60" s="909" t="str">
        <f>Param!U60</f>
        <v>na</v>
      </c>
      <c r="D60" s="557" t="str">
        <f>Param!Z60</f>
        <v>na</v>
      </c>
      <c r="E60" s="602" t="str">
        <f>IF(C60="na","na",C60*Eqtn!$D$259)</f>
        <v>na</v>
      </c>
      <c r="F60" s="582" t="str">
        <f>IF(D60="na","na",Eqtn!$D$280/D60)</f>
        <v>na</v>
      </c>
      <c r="G60" s="694" t="str">
        <f>IF(C60="na","na",C60*Eqtn!$D$301)</f>
        <v>na</v>
      </c>
      <c r="H60" s="695" t="str">
        <f>IF(D60="na","na",Eqtn!$D$322/D60)</f>
        <v>na</v>
      </c>
      <c r="I60" s="348" t="str">
        <f>IF($C60="na","na",$C60*Eqtn!$D$343)</f>
        <v>na</v>
      </c>
      <c r="J60" s="367" t="str">
        <f>IF($D60="na","na",Eqtn!$D$364/$D60)</f>
        <v>na</v>
      </c>
      <c r="L60" s="1062"/>
    </row>
    <row r="61" spans="1:12" ht="13.9" customHeight="1" x14ac:dyDescent="0.25">
      <c r="A61" s="847">
        <f>Chem!A61</f>
        <v>59</v>
      </c>
      <c r="B61" s="941" t="str">
        <f>Chem!B61</f>
        <v>Benzo(a)pyrene</v>
      </c>
      <c r="C61" s="913" t="s">
        <v>232</v>
      </c>
      <c r="D61" s="557" t="s">
        <v>232</v>
      </c>
      <c r="E61" s="602" t="str">
        <f>IF(C61="na","na",C61*Eqtn!$D$259)</f>
        <v>na</v>
      </c>
      <c r="F61" s="582" t="str">
        <f>IF(D61="na","na",Eqtn!$D$280/D61)</f>
        <v>na</v>
      </c>
      <c r="G61" s="694" t="str">
        <f>IF(C61="na","na",C61*Eqtn!$D$301)</f>
        <v>na</v>
      </c>
      <c r="H61" s="695" t="str">
        <f>IF(D61="na","na",Eqtn!$D$322/D61)</f>
        <v>na</v>
      </c>
      <c r="I61" s="348" t="str">
        <f>IF($C61="na","na",$C61*Eqtn!$D$343)</f>
        <v>na</v>
      </c>
      <c r="J61" s="367" t="str">
        <f>IF($D61="na","na",Eqtn!$D$364/$D61)</f>
        <v>na</v>
      </c>
      <c r="L61" s="1062"/>
    </row>
    <row r="62" spans="1:12" ht="13.9" customHeight="1" x14ac:dyDescent="0.25">
      <c r="A62" s="847">
        <f>Chem!A62</f>
        <v>60</v>
      </c>
      <c r="B62" s="941" t="str">
        <f>Chem!B62</f>
        <v>Chrysene</v>
      </c>
      <c r="C62" s="909" t="str">
        <f>Param!U62</f>
        <v>na</v>
      </c>
      <c r="D62" s="557" t="str">
        <f>Param!Z62</f>
        <v>na</v>
      </c>
      <c r="E62" s="602" t="str">
        <f>IF(C62="na","na",C62*Eqtn!$D$259)</f>
        <v>na</v>
      </c>
      <c r="F62" s="582" t="str">
        <f>IF(D62="na","na",Eqtn!$D$280/D62)</f>
        <v>na</v>
      </c>
      <c r="G62" s="694" t="str">
        <f>IF(C62="na","na",C62*Eqtn!$D$301)</f>
        <v>na</v>
      </c>
      <c r="H62" s="695" t="str">
        <f>IF(D62="na","na",Eqtn!$D$322/D62)</f>
        <v>na</v>
      </c>
      <c r="I62" s="348" t="str">
        <f>IF($C62="na","na",$C62*Eqtn!$D$343)</f>
        <v>na</v>
      </c>
      <c r="J62" s="367" t="str">
        <f>IF($D62="na","na",Eqtn!$D$364/$D62)</f>
        <v>na</v>
      </c>
      <c r="L62" s="1062"/>
    </row>
    <row r="63" spans="1:12" ht="13.9" customHeight="1" x14ac:dyDescent="0.25">
      <c r="A63" s="847">
        <f>Chem!A63</f>
        <v>61</v>
      </c>
      <c r="B63" s="941" t="str">
        <f>Chem!B63</f>
        <v>Dibenz(a,h)anthracene</v>
      </c>
      <c r="C63" s="909" t="str">
        <f>Param!U63</f>
        <v>na</v>
      </c>
      <c r="D63" s="557" t="str">
        <f>Param!Z63</f>
        <v>na</v>
      </c>
      <c r="E63" s="602" t="str">
        <f>IF(C63="na","na",C63*Eqtn!$D$259)</f>
        <v>na</v>
      </c>
      <c r="F63" s="582" t="str">
        <f>IF(D63="na","na",Eqtn!$D$280/D63)</f>
        <v>na</v>
      </c>
      <c r="G63" s="694" t="str">
        <f>IF(C63="na","na",C63*Eqtn!$D$301)</f>
        <v>na</v>
      </c>
      <c r="H63" s="695" t="str">
        <f>IF(D63="na","na",Eqtn!$D$322/D63)</f>
        <v>na</v>
      </c>
      <c r="I63" s="348" t="str">
        <f>IF($C63="na","na",$C63*Eqtn!$D$343)</f>
        <v>na</v>
      </c>
      <c r="J63" s="367" t="str">
        <f>IF($D63="na","na",Eqtn!$D$364/$D63)</f>
        <v>na</v>
      </c>
      <c r="L63" s="1062"/>
    </row>
    <row r="64" spans="1:12" ht="13.9" customHeight="1" x14ac:dyDescent="0.25">
      <c r="A64" s="847">
        <f>Chem!A64</f>
        <v>62</v>
      </c>
      <c r="B64" s="941" t="str">
        <f>Chem!B64</f>
        <v>Dibenzofuran</v>
      </c>
      <c r="C64" s="909" t="str">
        <f>Param!U64</f>
        <v>na</v>
      </c>
      <c r="D64" s="557" t="str">
        <f>Param!Z64</f>
        <v>na</v>
      </c>
      <c r="E64" s="602" t="str">
        <f>IF(C64="na","na",C64*Eqtn!$D$259)</f>
        <v>na</v>
      </c>
      <c r="F64" s="582" t="str">
        <f>IF(D64="na","na",Eqtn!$D$280/D64)</f>
        <v>na</v>
      </c>
      <c r="G64" s="694" t="str">
        <f>IF(C64="na","na",C64*Eqtn!$D$301)</f>
        <v>na</v>
      </c>
      <c r="H64" s="695" t="str">
        <f>IF(D64="na","na",Eqtn!$D$322/D64)</f>
        <v>na</v>
      </c>
      <c r="I64" s="348" t="str">
        <f>IF($C64="na","na",$C64*Eqtn!$D$343)</f>
        <v>na</v>
      </c>
      <c r="J64" s="367" t="str">
        <f>IF($D64="na","na",Eqtn!$D$364/$D64)</f>
        <v>na</v>
      </c>
      <c r="L64" s="1062"/>
    </row>
    <row r="65" spans="1:12" ht="13.9" customHeight="1" x14ac:dyDescent="0.25">
      <c r="A65" s="847">
        <f>Chem!A65</f>
        <v>63</v>
      </c>
      <c r="B65" s="941" t="str">
        <f>Chem!B65</f>
        <v>Fluoranthene</v>
      </c>
      <c r="C65" s="909" t="str">
        <f>Param!U65</f>
        <v>na</v>
      </c>
      <c r="D65" s="557" t="str">
        <f>Param!Z65</f>
        <v>na</v>
      </c>
      <c r="E65" s="602" t="str">
        <f>IF(C65="na","na",C65*Eqtn!$D$259)</f>
        <v>na</v>
      </c>
      <c r="F65" s="582" t="str">
        <f>IF(D65="na","na",Eqtn!$D$280/D65)</f>
        <v>na</v>
      </c>
      <c r="G65" s="694" t="str">
        <f>IF(C65="na","na",C65*Eqtn!$D$301)</f>
        <v>na</v>
      </c>
      <c r="H65" s="695" t="str">
        <f>IF(D65="na","na",Eqtn!$D$322/D65)</f>
        <v>na</v>
      </c>
      <c r="I65" s="348" t="str">
        <f>IF($C65="na","na",$C65*Eqtn!$D$343)</f>
        <v>na</v>
      </c>
      <c r="J65" s="367" t="str">
        <f>IF($D65="na","na",Eqtn!$D$364/$D65)</f>
        <v>na</v>
      </c>
      <c r="L65" s="1062"/>
    </row>
    <row r="66" spans="1:12" ht="13.9" customHeight="1" x14ac:dyDescent="0.25">
      <c r="A66" s="847">
        <f>Chem!A66</f>
        <v>64</v>
      </c>
      <c r="B66" s="941" t="str">
        <f>Chem!B66</f>
        <v>Fluorene</v>
      </c>
      <c r="C66" s="909" t="str">
        <f>Param!U66</f>
        <v>na</v>
      </c>
      <c r="D66" s="557" t="str">
        <f>Param!Z66</f>
        <v>na</v>
      </c>
      <c r="E66" s="602" t="str">
        <f>IF(C66="na","na",C66*Eqtn!$D$259)</f>
        <v>na</v>
      </c>
      <c r="F66" s="582" t="str">
        <f>IF(D66="na","na",Eqtn!$D$280/D66)</f>
        <v>na</v>
      </c>
      <c r="G66" s="694" t="str">
        <f>IF(C66="na","na",C66*Eqtn!$D$301)</f>
        <v>na</v>
      </c>
      <c r="H66" s="695" t="str">
        <f>IF(D66="na","na",Eqtn!$D$322/D66)</f>
        <v>na</v>
      </c>
      <c r="I66" s="348" t="str">
        <f>IF($C66="na","na",$C66*Eqtn!$D$343)</f>
        <v>na</v>
      </c>
      <c r="J66" s="367" t="str">
        <f>IF($D66="na","na",Eqtn!$D$364/$D66)</f>
        <v>na</v>
      </c>
      <c r="L66" s="1062"/>
    </row>
    <row r="67" spans="1:12" ht="13.9" customHeight="1" x14ac:dyDescent="0.25">
      <c r="A67" s="847">
        <f>Chem!A67</f>
        <v>65</v>
      </c>
      <c r="B67" s="941" t="str">
        <f>Chem!B67</f>
        <v>Indeno(1,2,3-cd)pyrene</v>
      </c>
      <c r="C67" s="909" t="str">
        <f>Param!U67</f>
        <v>na</v>
      </c>
      <c r="D67" s="557" t="str">
        <f>Param!Z67</f>
        <v>na</v>
      </c>
      <c r="E67" s="602" t="str">
        <f>IF(C67="na","na",C67*Eqtn!$D$259)</f>
        <v>na</v>
      </c>
      <c r="F67" s="582" t="str">
        <f>IF(D67="na","na",Eqtn!$D$280/D67)</f>
        <v>na</v>
      </c>
      <c r="G67" s="694" t="str">
        <f>IF(C67="na","na",C67*Eqtn!$D$301)</f>
        <v>na</v>
      </c>
      <c r="H67" s="695" t="str">
        <f>IF(D67="na","na",Eqtn!$D$322/D67)</f>
        <v>na</v>
      </c>
      <c r="I67" s="348" t="str">
        <f>IF($C67="na","na",$C67*Eqtn!$D$343)</f>
        <v>na</v>
      </c>
      <c r="J67" s="367" t="str">
        <f>IF($D67="na","na",Eqtn!$D$364/$D67)</f>
        <v>na</v>
      </c>
      <c r="L67" s="1062"/>
    </row>
    <row r="68" spans="1:12" x14ac:dyDescent="0.25">
      <c r="A68" s="847">
        <f>Chem!A68</f>
        <v>66</v>
      </c>
      <c r="B68" s="941" t="str">
        <f>Chem!B68</f>
        <v>Methyl isopropyl phenanthrene (retene)</v>
      </c>
      <c r="C68" s="909" t="str">
        <f>Param!U68</f>
        <v>na</v>
      </c>
      <c r="D68" s="557" t="str">
        <f>Param!Z68</f>
        <v>na</v>
      </c>
      <c r="E68" s="602" t="str">
        <f>IF(C68="na","na",C68*Eqtn!$D$259)</f>
        <v>na</v>
      </c>
      <c r="F68" s="582" t="str">
        <f>IF(D68="na","na",Eqtn!$D$280/D68)</f>
        <v>na</v>
      </c>
      <c r="G68" s="694" t="str">
        <f>IF(C68="na","na",C68*Eqtn!$D$301)</f>
        <v>na</v>
      </c>
      <c r="H68" s="695" t="str">
        <f>IF(D68="na","na",Eqtn!$D$322/D68)</f>
        <v>na</v>
      </c>
      <c r="I68" s="348" t="str">
        <f>IF($C68="na","na",$C68*Eqtn!$D$343)</f>
        <v>na</v>
      </c>
      <c r="J68" s="367" t="str">
        <f>IF($D68="na","na",Eqtn!$D$364/$D68)</f>
        <v>na</v>
      </c>
      <c r="L68" s="1062"/>
    </row>
    <row r="69" spans="1:12" ht="13.9" customHeight="1" x14ac:dyDescent="0.25">
      <c r="A69" s="847">
        <f>Chem!A69</f>
        <v>67</v>
      </c>
      <c r="B69" s="941" t="str">
        <f>Chem!B69</f>
        <v>1-Methylnaphthalene</v>
      </c>
      <c r="C69" s="909">
        <f>Param!U69</f>
        <v>8.5714285714285713E-7</v>
      </c>
      <c r="D69" s="557" t="str">
        <f>Param!Z69</f>
        <v>na</v>
      </c>
      <c r="E69" s="602">
        <f>IF(C69="na","na",C69*Eqtn!$D$259)</f>
        <v>1.3714285714285714E-3</v>
      </c>
      <c r="F69" s="582" t="str">
        <f>IF(D69="na","na",Eqtn!$D$280/D69)</f>
        <v>na</v>
      </c>
      <c r="G69" s="694">
        <f>IF(C69="na","na",C69*Eqtn!$D$301)</f>
        <v>3.0000000000000001E-3</v>
      </c>
      <c r="H69" s="695" t="str">
        <f>IF(D69="na","na",Eqtn!$D$322/D69)</f>
        <v>na</v>
      </c>
      <c r="I69" s="348">
        <f>IF($C69="na","na",$C69*Eqtn!$D$343)</f>
        <v>1.1679999999999998E-2</v>
      </c>
      <c r="J69" s="367" t="str">
        <f>IF($D69="na","na",Eqtn!$D$364/$D69)</f>
        <v>na</v>
      </c>
      <c r="L69" s="1062"/>
    </row>
    <row r="70" spans="1:12" ht="13.9" customHeight="1" x14ac:dyDescent="0.25">
      <c r="A70" s="847">
        <f>Chem!A70</f>
        <v>68</v>
      </c>
      <c r="B70" s="941" t="str">
        <f>Chem!B70</f>
        <v>2-Methylnaphthalene</v>
      </c>
      <c r="C70" s="909" t="str">
        <f>Param!U70</f>
        <v>na</v>
      </c>
      <c r="D70" s="557" t="str">
        <f>Param!Z70</f>
        <v>na</v>
      </c>
      <c r="E70" s="602" t="str">
        <f>IF(C70="na","na",C70*Eqtn!$D$259)</f>
        <v>na</v>
      </c>
      <c r="F70" s="582" t="str">
        <f>IF(D70="na","na",Eqtn!$D$280/D70)</f>
        <v>na</v>
      </c>
      <c r="G70" s="694" t="str">
        <f>IF(C70="na","na",C70*Eqtn!$D$301)</f>
        <v>na</v>
      </c>
      <c r="H70" s="695" t="str">
        <f>IF(D70="na","na",Eqtn!$D$322/D70)</f>
        <v>na</v>
      </c>
      <c r="I70" s="348" t="str">
        <f>IF($C70="na","na",$C70*Eqtn!$D$343)</f>
        <v>na</v>
      </c>
      <c r="J70" s="367" t="str">
        <f>IF($D70="na","na",Eqtn!$D$364/$D70)</f>
        <v>na</v>
      </c>
      <c r="L70" s="1062"/>
    </row>
    <row r="71" spans="1:12" ht="13.9" customHeight="1" x14ac:dyDescent="0.25">
      <c r="A71" s="847">
        <f>Chem!A71</f>
        <v>69</v>
      </c>
      <c r="B71" s="941" t="str">
        <f>Chem!B71</f>
        <v>Naphthalene</v>
      </c>
      <c r="C71" s="909">
        <f>Param!U71</f>
        <v>8.571428571428571E-4</v>
      </c>
      <c r="D71" s="557">
        <f>Param!Z71</f>
        <v>0.11900000000000002</v>
      </c>
      <c r="E71" s="602">
        <f>IF(C71="na","na",C71*Eqtn!$D$259)</f>
        <v>1.3714285714285714</v>
      </c>
      <c r="F71" s="582">
        <f>IF(D71="na","na",Eqtn!$D$280/D71)</f>
        <v>7.3529411764705857E-2</v>
      </c>
      <c r="G71" s="694">
        <f>IF(C71="na","na",C71*Eqtn!$D$301)</f>
        <v>3</v>
      </c>
      <c r="H71" s="695">
        <f>IF(D71="na","na",Eqtn!$D$322/D71)</f>
        <v>0.73529411764705876</v>
      </c>
      <c r="I71" s="348">
        <f>IF($C71="na","na",$C71*Eqtn!$D$343)</f>
        <v>11.679999999999998</v>
      </c>
      <c r="J71" s="367">
        <f>IF($D71="na","na",Eqtn!$D$364/$D71)</f>
        <v>0.34352941176470569</v>
      </c>
      <c r="L71" s="1062"/>
    </row>
    <row r="72" spans="1:12" ht="13.9" customHeight="1" x14ac:dyDescent="0.25">
      <c r="A72" s="847">
        <f>Chem!A72</f>
        <v>70</v>
      </c>
      <c r="B72" s="941" t="str">
        <f>Chem!B72</f>
        <v>Phenanthrene</v>
      </c>
      <c r="C72" s="909" t="str">
        <f>Param!U72</f>
        <v>na</v>
      </c>
      <c r="D72" s="557" t="str">
        <f>Param!Z72</f>
        <v>na</v>
      </c>
      <c r="E72" s="602" t="str">
        <f>IF(C72="na","na",C72*Eqtn!$D$259)</f>
        <v>na</v>
      </c>
      <c r="F72" s="582" t="str">
        <f>IF(D72="na","na",Eqtn!$D$280/D72)</f>
        <v>na</v>
      </c>
      <c r="G72" s="694" t="str">
        <f>IF(C72="na","na",C72*Eqtn!$D$301)</f>
        <v>na</v>
      </c>
      <c r="H72" s="695" t="str">
        <f>IF(D72="na","na",Eqtn!$D$322/D72)</f>
        <v>na</v>
      </c>
      <c r="I72" s="348" t="str">
        <f>IF($C72="na","na",$C72*Eqtn!$D$343)</f>
        <v>na</v>
      </c>
      <c r="J72" s="367" t="str">
        <f>IF($D72="na","na",Eqtn!$D$364/$D72)</f>
        <v>na</v>
      </c>
      <c r="L72" s="1062"/>
    </row>
    <row r="73" spans="1:12" ht="13.9" customHeight="1" x14ac:dyDescent="0.25">
      <c r="A73" s="847">
        <f>Chem!A73</f>
        <v>71</v>
      </c>
      <c r="B73" s="941" t="str">
        <f>Chem!B73</f>
        <v>Pyrene</v>
      </c>
      <c r="C73" s="909" t="str">
        <f>Param!U73</f>
        <v>na</v>
      </c>
      <c r="D73" s="557" t="str">
        <f>Param!Z73</f>
        <v>na</v>
      </c>
      <c r="E73" s="602" t="str">
        <f>IF(C73="na","na",C73*Eqtn!$D$259)</f>
        <v>na</v>
      </c>
      <c r="F73" s="582" t="str">
        <f>IF(D73="na","na",Eqtn!$D$280/D73)</f>
        <v>na</v>
      </c>
      <c r="G73" s="694" t="str">
        <f>IF(C73="na","na",C73*Eqtn!$D$301)</f>
        <v>na</v>
      </c>
      <c r="H73" s="695" t="str">
        <f>IF(D73="na","na",Eqtn!$D$322/D73)</f>
        <v>na</v>
      </c>
      <c r="I73" s="348" t="str">
        <f>IF($C73="na","na",$C73*Eqtn!$D$343)</f>
        <v>na</v>
      </c>
      <c r="J73" s="367" t="str">
        <f>IF($D73="na","na",Eqtn!$D$364/$D73)</f>
        <v>na</v>
      </c>
      <c r="L73" s="1062"/>
    </row>
    <row r="74" spans="1:12" ht="13.9" customHeight="1" x14ac:dyDescent="0.25">
      <c r="A74" s="847">
        <f>Chem!A74</f>
        <v>72</v>
      </c>
      <c r="B74" s="941" t="str">
        <f>Chem!B74</f>
        <v>Total LPAHs</v>
      </c>
      <c r="C74" s="909" t="str">
        <f>Param!U74</f>
        <v>na</v>
      </c>
      <c r="D74" s="557" t="str">
        <f>Param!Z74</f>
        <v>na</v>
      </c>
      <c r="E74" s="602" t="str">
        <f>IF(C74="na","na",C74*Eqtn!$D$259)</f>
        <v>na</v>
      </c>
      <c r="F74" s="582" t="str">
        <f>IF(D74="na","na",Eqtn!$D$280/D74)</f>
        <v>na</v>
      </c>
      <c r="G74" s="694" t="str">
        <f>IF(C74="na","na",C74*Eqtn!$D$301)</f>
        <v>na</v>
      </c>
      <c r="H74" s="695" t="str">
        <f>IF(D74="na","na",Eqtn!$D$322/D74)</f>
        <v>na</v>
      </c>
      <c r="I74" s="348" t="str">
        <f>IF($C74="na","na",$C74*Eqtn!$D$343)</f>
        <v>na</v>
      </c>
      <c r="J74" s="367" t="str">
        <f>IF($D74="na","na",Eqtn!$D$364/$D74)</f>
        <v>na</v>
      </c>
      <c r="L74" s="1062"/>
    </row>
    <row r="75" spans="1:12" ht="13.9" customHeight="1" x14ac:dyDescent="0.25">
      <c r="A75" s="847">
        <f>Chem!A75</f>
        <v>73</v>
      </c>
      <c r="B75" s="941" t="str">
        <f>Chem!B75</f>
        <v>Total HPAHs</v>
      </c>
      <c r="C75" s="909" t="str">
        <f>Param!U75</f>
        <v>na</v>
      </c>
      <c r="D75" s="557" t="str">
        <f>Param!Z75</f>
        <v>na</v>
      </c>
      <c r="E75" s="602" t="str">
        <f>IF(C75="na","na",C75*Eqtn!$D$259)</f>
        <v>na</v>
      </c>
      <c r="F75" s="582" t="str">
        <f>IF(D75="na","na",Eqtn!$D$280/D75)</f>
        <v>na</v>
      </c>
      <c r="G75" s="694" t="str">
        <f>IF(C75="na","na",C75*Eqtn!$D$301)</f>
        <v>na</v>
      </c>
      <c r="H75" s="695" t="str">
        <f>IF(D75="na","na",Eqtn!$D$322/D75)</f>
        <v>na</v>
      </c>
      <c r="I75" s="348" t="str">
        <f>IF($C75="na","na",$C75*Eqtn!$D$343)</f>
        <v>na</v>
      </c>
      <c r="J75" s="367" t="str">
        <f>IF($D75="na","na",Eqtn!$D$364/$D75)</f>
        <v>na</v>
      </c>
      <c r="L75" s="1062"/>
    </row>
    <row r="76" spans="1:12" ht="13.9" customHeight="1" x14ac:dyDescent="0.25">
      <c r="A76" s="842">
        <f>Chem!A76</f>
        <v>74</v>
      </c>
      <c r="B76" s="941" t="str">
        <f>Chem!B76</f>
        <v>Total PAHs</v>
      </c>
      <c r="C76" s="909" t="str">
        <f>Param!U76</f>
        <v>na</v>
      </c>
      <c r="D76" s="557" t="str">
        <f>Param!Z76</f>
        <v>na</v>
      </c>
      <c r="E76" s="602" t="str">
        <f>IF(C76="na","na",C76*Eqtn!$D$259)</f>
        <v>na</v>
      </c>
      <c r="F76" s="582" t="str">
        <f>IF(D76="na","na",Eqtn!$D$280/D76)</f>
        <v>na</v>
      </c>
      <c r="G76" s="694" t="str">
        <f>IF(C76="na","na",C76*Eqtn!$D$301)</f>
        <v>na</v>
      </c>
      <c r="H76" s="695" t="str">
        <f>IF(D76="na","na",Eqtn!$D$322/D76)</f>
        <v>na</v>
      </c>
      <c r="I76" s="348" t="str">
        <f>IF($C76="na","na",$C76*Eqtn!$D$343)</f>
        <v>na</v>
      </c>
      <c r="J76" s="367" t="str">
        <f>IF($D76="na","na",Eqtn!$D$364/$D76)</f>
        <v>na</v>
      </c>
      <c r="L76" s="1062"/>
    </row>
    <row r="77" spans="1:12" ht="13.9" customHeight="1" x14ac:dyDescent="0.25">
      <c r="A77" s="844">
        <f>Chem!A77</f>
        <v>75</v>
      </c>
      <c r="B77" s="1852" t="str">
        <f>Chem!B77</f>
        <v>Total cPAH TEQ</v>
      </c>
      <c r="C77" s="910" t="str">
        <f>Param!U77</f>
        <v>na</v>
      </c>
      <c r="D77" s="558">
        <f>Param!Z77</f>
        <v>2.1</v>
      </c>
      <c r="E77" s="609" t="str">
        <f>IF(C77="na","na",C77*Eqtn!$D$259)</f>
        <v>na</v>
      </c>
      <c r="F77" s="348">
        <v>1.0970000000000001E-3</v>
      </c>
      <c r="G77" s="707" t="str">
        <f>IF(C77="na","na",C77*Eqtn!$D$301)</f>
        <v>na</v>
      </c>
      <c r="H77" s="741">
        <f>IF(D77="na","na",Eqtn!$D$322/D77)</f>
        <v>4.1666666666666671E-2</v>
      </c>
      <c r="I77" s="723" t="str">
        <f>IF($C77="na","na",$C77*Eqtn!$D$343)</f>
        <v>na</v>
      </c>
      <c r="J77" s="724">
        <f>IF($D77="na","na",Eqtn!$D$364/$D77)</f>
        <v>1.946666666666666E-2</v>
      </c>
      <c r="L77" s="1062"/>
    </row>
    <row r="78" spans="1:12" ht="13.9" customHeight="1" x14ac:dyDescent="0.25">
      <c r="A78" s="906">
        <f>Chem!A78</f>
        <v>76</v>
      </c>
      <c r="B78" s="943" t="str">
        <f>Chem!B78</f>
        <v>Other SVOCs</v>
      </c>
      <c r="C78" s="127"/>
      <c r="D78" s="127"/>
      <c r="E78" s="127"/>
      <c r="F78" s="127"/>
      <c r="G78" s="127"/>
      <c r="H78" s="127"/>
      <c r="I78" s="127"/>
      <c r="J78" s="2364"/>
      <c r="L78" s="1063"/>
    </row>
    <row r="79" spans="1:12" ht="13.9" customHeight="1" x14ac:dyDescent="0.25">
      <c r="A79" s="846">
        <f>Chem!A79</f>
        <v>77</v>
      </c>
      <c r="B79" s="941" t="str">
        <f>Chem!B79</f>
        <v>Aniline</v>
      </c>
      <c r="C79" s="911">
        <f>Param!U79</f>
        <v>2.8571428571428574E-4</v>
      </c>
      <c r="D79" s="683">
        <f>Param!Z79</f>
        <v>5.6000000000000008E-3</v>
      </c>
      <c r="E79" s="607">
        <f>IF(C79="na","na",C79*Eqtn!$D$259)</f>
        <v>0.45714285714285718</v>
      </c>
      <c r="F79" s="691">
        <f>IF(D79="na","na",Eqtn!$D$280/D79)</f>
        <v>1.5624999999999996</v>
      </c>
      <c r="G79" s="706">
        <f>IF(C79="na","na",C79*Eqtn!$D$301)</f>
        <v>1</v>
      </c>
      <c r="H79" s="823">
        <f>IF(D79="na","na",Eqtn!$D$322/D79)</f>
        <v>15.625</v>
      </c>
      <c r="I79" s="721">
        <f>IF($C79="na","na",$C79*Eqtn!$D$343)</f>
        <v>3.8933333333333331</v>
      </c>
      <c r="J79" s="722">
        <f>IF($D79="na","na",Eqtn!$D$364/$D79)</f>
        <v>7.2999999999999963</v>
      </c>
      <c r="L79" s="1062"/>
    </row>
    <row r="80" spans="1:12" ht="13.9" customHeight="1" x14ac:dyDescent="0.25">
      <c r="A80" s="847">
        <f>Chem!A80</f>
        <v>78</v>
      </c>
      <c r="B80" s="941" t="str">
        <f>Chem!B80</f>
        <v>Azobenzene</v>
      </c>
      <c r="C80" s="909" t="str">
        <f>Param!U80</f>
        <v>na</v>
      </c>
      <c r="D80" s="557">
        <f>Param!Z80</f>
        <v>0.1085</v>
      </c>
      <c r="E80" s="602" t="str">
        <f>IF(C80="na","na",C80*Eqtn!$D$259)</f>
        <v>na</v>
      </c>
      <c r="F80" s="582">
        <f>IF(D80="na","na",Eqtn!$D$280/D80)</f>
        <v>8.0645161290322578E-2</v>
      </c>
      <c r="G80" s="694" t="str">
        <f>IF(C80="na","na",C80*Eqtn!$D$301)</f>
        <v>na</v>
      </c>
      <c r="H80" s="695">
        <f>IF(D80="na","na",Eqtn!$D$322/D80)</f>
        <v>0.80645161290322587</v>
      </c>
      <c r="I80" s="348" t="str">
        <f>IF($C80="na","na",$C80*Eqtn!$D$343)</f>
        <v>na</v>
      </c>
      <c r="J80" s="367">
        <f>IF($D80="na","na",Eqtn!$D$364/$D80)</f>
        <v>0.37677419354838698</v>
      </c>
      <c r="L80" s="1062"/>
    </row>
    <row r="81" spans="1:12" ht="13.9" customHeight="1" x14ac:dyDescent="0.25">
      <c r="A81" s="847">
        <f>Chem!A81</f>
        <v>79</v>
      </c>
      <c r="B81" s="1852" t="str">
        <f>Chem!B81</f>
        <v>Benzidine</v>
      </c>
      <c r="C81" s="909" t="str">
        <f>Param!U81</f>
        <v>na</v>
      </c>
      <c r="D81" s="557">
        <f>Param!Z81</f>
        <v>234.5</v>
      </c>
      <c r="E81" s="602" t="str">
        <f>IF(C81="na","na",C81*Eqtn!$D$259)</f>
        <v>na</v>
      </c>
      <c r="F81" s="348">
        <v>9.7999999999999993E-6</v>
      </c>
      <c r="G81" s="694" t="str">
        <f>IF(C81="na","na",C81*Eqtn!$D$301)</f>
        <v>na</v>
      </c>
      <c r="H81" s="695">
        <f>IF(D81="na","na",Eqtn!$D$322/D81)</f>
        <v>3.7313432835820901E-4</v>
      </c>
      <c r="I81" s="348" t="str">
        <f>IF($C81="na","na",$C81*Eqtn!$D$343)</f>
        <v>na</v>
      </c>
      <c r="J81" s="367">
        <f>IF($D81="na","na",Eqtn!$D$364/$D81)</f>
        <v>1.7432835820895516E-4</v>
      </c>
      <c r="L81" s="1062"/>
    </row>
    <row r="82" spans="1:12" ht="13.9" customHeight="1" x14ac:dyDescent="0.25">
      <c r="A82" s="847">
        <f>Chem!A82</f>
        <v>80</v>
      </c>
      <c r="B82" s="941" t="str">
        <f>Chem!B82</f>
        <v>Benzoic acid</v>
      </c>
      <c r="C82" s="909" t="str">
        <f>Param!U82</f>
        <v>na</v>
      </c>
      <c r="D82" s="557" t="str">
        <f>Param!Z82</f>
        <v>na</v>
      </c>
      <c r="E82" s="602" t="str">
        <f>IF(C82="na","na",C82*Eqtn!$D$259)</f>
        <v>na</v>
      </c>
      <c r="F82" s="582" t="str">
        <f>IF(D82="na","na",Eqtn!$D$280/D82)</f>
        <v>na</v>
      </c>
      <c r="G82" s="694" t="str">
        <f>IF(C82="na","na",C82*Eqtn!$D$301)</f>
        <v>na</v>
      </c>
      <c r="H82" s="695" t="str">
        <f>IF(D82="na","na",Eqtn!$D$322/D82)</f>
        <v>na</v>
      </c>
      <c r="I82" s="348" t="str">
        <f>IF($C82="na","na",$C82*Eqtn!$D$343)</f>
        <v>na</v>
      </c>
      <c r="J82" s="367" t="str">
        <f>IF($D82="na","na",Eqtn!$D$364/$D82)</f>
        <v>na</v>
      </c>
      <c r="L82" s="1062"/>
    </row>
    <row r="83" spans="1:12" ht="13.9" customHeight="1" x14ac:dyDescent="0.25">
      <c r="A83" s="847">
        <f>Chem!A83</f>
        <v>81</v>
      </c>
      <c r="B83" s="941" t="str">
        <f>Chem!B83</f>
        <v>Benzyl alcohol</v>
      </c>
      <c r="C83" s="909" t="str">
        <f>Param!U83</f>
        <v>na</v>
      </c>
      <c r="D83" s="557" t="str">
        <f>Param!Z83</f>
        <v>na</v>
      </c>
      <c r="E83" s="602" t="str">
        <f>IF(C83="na","na",C83*Eqtn!$D$259)</f>
        <v>na</v>
      </c>
      <c r="F83" s="582" t="str">
        <f>IF(D83="na","na",Eqtn!$D$280/D83)</f>
        <v>na</v>
      </c>
      <c r="G83" s="694" t="str">
        <f>IF(C83="na","na",C83*Eqtn!$D$301)</f>
        <v>na</v>
      </c>
      <c r="H83" s="695" t="str">
        <f>IF(D83="na","na",Eqtn!$D$322/D83)</f>
        <v>na</v>
      </c>
      <c r="I83" s="348" t="str">
        <f>IF($C83="na","na",$C83*Eqtn!$D$343)</f>
        <v>na</v>
      </c>
      <c r="J83" s="367" t="str">
        <f>IF($D83="na","na",Eqtn!$D$364/$D83)</f>
        <v>na</v>
      </c>
      <c r="L83" s="1062"/>
    </row>
    <row r="84" spans="1:12" ht="13.9" customHeight="1" x14ac:dyDescent="0.25">
      <c r="A84" s="847">
        <f>Chem!A84</f>
        <v>82</v>
      </c>
      <c r="B84" s="941" t="str">
        <f>Chem!B84</f>
        <v>Bis(2-chloroethoxy)methane</v>
      </c>
      <c r="C84" s="909" t="str">
        <f>Param!U84</f>
        <v>na</v>
      </c>
      <c r="D84" s="557" t="str">
        <f>Param!Z84</f>
        <v>na</v>
      </c>
      <c r="E84" s="602" t="str">
        <f>IF(C84="na","na",C84*Eqtn!$D$259)</f>
        <v>na</v>
      </c>
      <c r="F84" s="582" t="str">
        <f>IF(D84="na","na",Eqtn!$D$280/D84)</f>
        <v>na</v>
      </c>
      <c r="G84" s="694" t="str">
        <f>IF(C84="na","na",C84*Eqtn!$D$301)</f>
        <v>na</v>
      </c>
      <c r="H84" s="695" t="str">
        <f>IF(D84="na","na",Eqtn!$D$322/D84)</f>
        <v>na</v>
      </c>
      <c r="I84" s="348" t="str">
        <f>IF($C84="na","na",$C84*Eqtn!$D$343)</f>
        <v>na</v>
      </c>
      <c r="J84" s="367" t="str">
        <f>IF($D84="na","na",Eqtn!$D$364/$D84)</f>
        <v>na</v>
      </c>
      <c r="L84" s="1062"/>
    </row>
    <row r="85" spans="1:12" ht="13.9" customHeight="1" x14ac:dyDescent="0.25">
      <c r="A85" s="847">
        <f>Chem!A85</f>
        <v>83</v>
      </c>
      <c r="B85" s="941" t="str">
        <f>Chem!B85</f>
        <v>Bis(2-chloroethyl)ether</v>
      </c>
      <c r="C85" s="909" t="str">
        <f>Param!U85</f>
        <v>na</v>
      </c>
      <c r="D85" s="557">
        <f>Param!Z85</f>
        <v>1.155</v>
      </c>
      <c r="E85" s="602" t="str">
        <f>IF(C85="na","na",C85*Eqtn!$D$259)</f>
        <v>na</v>
      </c>
      <c r="F85" s="582">
        <f>IF(D85="na","na",Eqtn!$D$280/D85)</f>
        <v>7.5757575757575751E-3</v>
      </c>
      <c r="G85" s="694" t="str">
        <f>IF(C85="na","na",C85*Eqtn!$D$301)</f>
        <v>na</v>
      </c>
      <c r="H85" s="695">
        <f>IF(D85="na","na",Eqtn!$D$322/D85)</f>
        <v>7.575757575757576E-2</v>
      </c>
      <c r="I85" s="348" t="str">
        <f>IF($C85="na","na",$C85*Eqtn!$D$343)</f>
        <v>na</v>
      </c>
      <c r="J85" s="367">
        <f>IF($D85="na","na",Eqtn!$D$364/$D85)</f>
        <v>3.539393939393938E-2</v>
      </c>
      <c r="L85" s="1062"/>
    </row>
    <row r="86" spans="1:12" ht="13.9" customHeight="1" x14ac:dyDescent="0.25">
      <c r="A86" s="847">
        <f>Chem!A86</f>
        <v>84</v>
      </c>
      <c r="B86" s="941" t="str">
        <f>Chem!B86</f>
        <v>Bis(chloromethyl)ether</v>
      </c>
      <c r="C86" s="909" t="str">
        <f>Param!U86</f>
        <v>na</v>
      </c>
      <c r="D86" s="557">
        <f>Param!Z86</f>
        <v>217.00000000000006</v>
      </c>
      <c r="E86" s="602" t="str">
        <f>IF(C86="na","na",C86*Eqtn!$D$259)</f>
        <v>na</v>
      </c>
      <c r="F86" s="582">
        <f>IF(D86="na","na",Eqtn!$D$280/D86)</f>
        <v>4.0322580645161277E-5</v>
      </c>
      <c r="G86" s="694" t="str">
        <f>IF(C86="na","na",C86*Eqtn!$D$301)</f>
        <v>na</v>
      </c>
      <c r="H86" s="695">
        <f>IF(D86="na","na",Eqtn!$D$322/D86)</f>
        <v>4.0322580645161285E-4</v>
      </c>
      <c r="I86" s="348" t="str">
        <f>IF($C86="na","na",$C86*Eqtn!$D$343)</f>
        <v>na</v>
      </c>
      <c r="J86" s="367">
        <f>IF($D86="na","na",Eqtn!$D$364/$D86)</f>
        <v>1.8838709677419343E-4</v>
      </c>
      <c r="L86" s="1062"/>
    </row>
    <row r="87" spans="1:12" ht="13.9" customHeight="1" x14ac:dyDescent="0.25">
      <c r="A87" s="847">
        <f>Chem!A87</f>
        <v>85</v>
      </c>
      <c r="B87" s="941" t="str">
        <f>Chem!B87</f>
        <v xml:space="preserve">Bis(2-chloro-1-methylethyl)ether </v>
      </c>
      <c r="C87" s="909" t="str">
        <f>Param!U87</f>
        <v>na</v>
      </c>
      <c r="D87" s="557">
        <f>Param!Z87</f>
        <v>3.500000000000001E-2</v>
      </c>
      <c r="E87" s="602" t="str">
        <f>IF(C87="na","na",C87*Eqtn!$D$259)</f>
        <v>na</v>
      </c>
      <c r="F87" s="582">
        <f>IF(D87="na","na",Eqtn!$D$280/D87)</f>
        <v>0.24999999999999989</v>
      </c>
      <c r="G87" s="694" t="str">
        <f>IF(C87="na","na",C87*Eqtn!$D$301)</f>
        <v>na</v>
      </c>
      <c r="H87" s="695">
        <f>IF(D87="na","na",Eqtn!$D$322/D87)</f>
        <v>2.4999999999999996</v>
      </c>
      <c r="I87" s="348" t="str">
        <f>IF($C87="na","na",$C87*Eqtn!$D$343)</f>
        <v>na</v>
      </c>
      <c r="J87" s="367">
        <f>IF($D87="na","na",Eqtn!$D$364/$D87)</f>
        <v>1.1679999999999993</v>
      </c>
      <c r="L87" s="1062"/>
    </row>
    <row r="88" spans="1:12" ht="13.9" customHeight="1" x14ac:dyDescent="0.25">
      <c r="A88" s="847">
        <f>Chem!A88</f>
        <v>86</v>
      </c>
      <c r="B88" s="941" t="str">
        <f>Chem!B88</f>
        <v>2,6-Bis(1,1-dimethylethyl) phenol</v>
      </c>
      <c r="C88" s="909" t="str">
        <f>Param!U88</f>
        <v>na</v>
      </c>
      <c r="D88" s="557" t="str">
        <f>Param!Z88</f>
        <v>na</v>
      </c>
      <c r="E88" s="602" t="str">
        <f>IF(C88="na","na",C88*Eqtn!$D$259)</f>
        <v>na</v>
      </c>
      <c r="F88" s="582" t="str">
        <f>IF(D88="na","na",Eqtn!$D$280/D88)</f>
        <v>na</v>
      </c>
      <c r="G88" s="694" t="str">
        <f>IF(C88="na","na",C88*Eqtn!$D$301)</f>
        <v>na</v>
      </c>
      <c r="H88" s="695" t="str">
        <f>IF(D88="na","na",Eqtn!$D$322/D88)</f>
        <v>na</v>
      </c>
      <c r="I88" s="348" t="str">
        <f>IF($C88="na","na",$C88*Eqtn!$D$343)</f>
        <v>na</v>
      </c>
      <c r="J88" s="367" t="str">
        <f>IF($D88="na","na",Eqtn!$D$364/$D88)</f>
        <v>na</v>
      </c>
      <c r="L88" s="1062"/>
    </row>
    <row r="89" spans="1:12" ht="13.9" customHeight="1" x14ac:dyDescent="0.25">
      <c r="A89" s="847">
        <f>Chem!A89</f>
        <v>87</v>
      </c>
      <c r="B89" s="941" t="str">
        <f>Chem!B89</f>
        <v>Bis(2-ethylhexyl) phthalate</v>
      </c>
      <c r="C89" s="909" t="str">
        <f>Param!U89</f>
        <v>na</v>
      </c>
      <c r="D89" s="557">
        <f>Param!Z89</f>
        <v>8.3999999999999995E-3</v>
      </c>
      <c r="E89" s="602" t="str">
        <f>IF(C89="na","na",C89*Eqtn!$D$259)</f>
        <v>na</v>
      </c>
      <c r="F89" s="582">
        <f>IF(D89="na","na",Eqtn!$D$280/D89)</f>
        <v>1.0416666666666665</v>
      </c>
      <c r="G89" s="694" t="str">
        <f>IF(C89="na","na",C89*Eqtn!$D$301)</f>
        <v>na</v>
      </c>
      <c r="H89" s="695">
        <f>IF(D89="na","na",Eqtn!$D$322/D89)</f>
        <v>10.416666666666668</v>
      </c>
      <c r="I89" s="348" t="str">
        <f>IF($C89="na","na",$C89*Eqtn!$D$343)</f>
        <v>na</v>
      </c>
      <c r="J89" s="367">
        <f>IF($D89="na","na",Eqtn!$D$364/$D89)</f>
        <v>4.8666666666666654</v>
      </c>
      <c r="L89" s="1062"/>
    </row>
    <row r="90" spans="1:12" ht="13.9" customHeight="1" x14ac:dyDescent="0.25">
      <c r="A90" s="847">
        <f>Chem!A90</f>
        <v>88</v>
      </c>
      <c r="B90" s="941" t="str">
        <f>Chem!B90</f>
        <v>4-Bromophenyl phenyl ether</v>
      </c>
      <c r="C90" s="909" t="str">
        <f>Param!U90</f>
        <v>na</v>
      </c>
      <c r="D90" s="557" t="str">
        <f>Param!Z90</f>
        <v>na</v>
      </c>
      <c r="E90" s="602" t="str">
        <f>IF(C90="na","na",C90*Eqtn!$D$259)</f>
        <v>na</v>
      </c>
      <c r="F90" s="582" t="str">
        <f>IF(D90="na","na",Eqtn!$D$280/D90)</f>
        <v>na</v>
      </c>
      <c r="G90" s="694" t="str">
        <f>IF(C90="na","na",C90*Eqtn!$D$301)</f>
        <v>na</v>
      </c>
      <c r="H90" s="695" t="str">
        <f>IF(D90="na","na",Eqtn!$D$322/D90)</f>
        <v>na</v>
      </c>
      <c r="I90" s="348" t="str">
        <f>IF($C90="na","na",$C90*Eqtn!$D$343)</f>
        <v>na</v>
      </c>
      <c r="J90" s="367" t="str">
        <f>IF($D90="na","na",Eqtn!$D$364/$D90)</f>
        <v>na</v>
      </c>
      <c r="L90" s="1062"/>
    </row>
    <row r="91" spans="1:12" ht="13.9" customHeight="1" x14ac:dyDescent="0.25">
      <c r="A91" s="847">
        <f>Chem!A91</f>
        <v>89</v>
      </c>
      <c r="B91" s="941" t="str">
        <f>Chem!B91</f>
        <v>Butyl benzyl phthalate</v>
      </c>
      <c r="C91" s="909" t="str">
        <f>Param!U91</f>
        <v>na</v>
      </c>
      <c r="D91" s="557" t="str">
        <f>Param!Z91</f>
        <v>na</v>
      </c>
      <c r="E91" s="602" t="str">
        <f>IF(C91="na","na",C91*Eqtn!$D$259)</f>
        <v>na</v>
      </c>
      <c r="F91" s="582" t="str">
        <f>IF(D91="na","na",Eqtn!$D$280/D91)</f>
        <v>na</v>
      </c>
      <c r="G91" s="694" t="str">
        <f>IF(C91="na","na",C91*Eqtn!$D$301)</f>
        <v>na</v>
      </c>
      <c r="H91" s="695" t="str">
        <f>IF(D91="na","na",Eqtn!$D$322/D91)</f>
        <v>na</v>
      </c>
      <c r="I91" s="348" t="str">
        <f>IF($C91="na","na",$C91*Eqtn!$D$343)</f>
        <v>na</v>
      </c>
      <c r="J91" s="367" t="str">
        <f>IF($D91="na","na",Eqtn!$D$364/$D91)</f>
        <v>na</v>
      </c>
      <c r="L91" s="1062"/>
    </row>
    <row r="92" spans="1:12" ht="13.9" customHeight="1" x14ac:dyDescent="0.25">
      <c r="A92" s="847">
        <f>Chem!A92</f>
        <v>90</v>
      </c>
      <c r="B92" s="941" t="str">
        <f>Chem!B92</f>
        <v>Butyl diphenyl phosphate</v>
      </c>
      <c r="C92" s="909" t="str">
        <f>Param!U92</f>
        <v>na</v>
      </c>
      <c r="D92" s="557" t="str">
        <f>Param!Z92</f>
        <v>na</v>
      </c>
      <c r="E92" s="602" t="str">
        <f>IF(C92="na","na",C92*Eqtn!$D$259)</f>
        <v>na</v>
      </c>
      <c r="F92" s="582" t="str">
        <f>IF(D92="na","na",Eqtn!$D$280/D92)</f>
        <v>na</v>
      </c>
      <c r="G92" s="694" t="str">
        <f>IF(C92="na","na",C92*Eqtn!$D$301)</f>
        <v>na</v>
      </c>
      <c r="H92" s="695" t="str">
        <f>IF(D92="na","na",Eqtn!$D$322/D92)</f>
        <v>na</v>
      </c>
      <c r="I92" s="348" t="str">
        <f>IF($C92="na","na",$C92*Eqtn!$D$343)</f>
        <v>na</v>
      </c>
      <c r="J92" s="367" t="str">
        <f>IF($D92="na","na",Eqtn!$D$364/$D92)</f>
        <v>na</v>
      </c>
      <c r="L92" s="1062"/>
    </row>
    <row r="93" spans="1:12" ht="13.9" customHeight="1" x14ac:dyDescent="0.25">
      <c r="A93" s="847">
        <f>Chem!A93</f>
        <v>91</v>
      </c>
      <c r="B93" s="941" t="str">
        <f>Chem!B93</f>
        <v>Carbazole</v>
      </c>
      <c r="C93" s="909" t="str">
        <f>Param!U93</f>
        <v>na</v>
      </c>
      <c r="D93" s="557" t="str">
        <f>Param!Z93</f>
        <v>na</v>
      </c>
      <c r="E93" s="602" t="str">
        <f>IF(C93="na","na",C93*Eqtn!$D$259)</f>
        <v>na</v>
      </c>
      <c r="F93" s="582" t="str">
        <f>IF(D93="na","na",Eqtn!$D$280/D93)</f>
        <v>na</v>
      </c>
      <c r="G93" s="694" t="str">
        <f>IF(C93="na","na",C93*Eqtn!$D$301)</f>
        <v>na</v>
      </c>
      <c r="H93" s="695" t="str">
        <f>IF(D93="na","na",Eqtn!$D$322/D93)</f>
        <v>na</v>
      </c>
      <c r="I93" s="348" t="str">
        <f>IF($C93="na","na",$C93*Eqtn!$D$343)</f>
        <v>na</v>
      </c>
      <c r="J93" s="367" t="str">
        <f>IF($D93="na","na",Eqtn!$D$364/$D93)</f>
        <v>na</v>
      </c>
      <c r="L93" s="1062"/>
    </row>
    <row r="94" spans="1:12" ht="13.9" customHeight="1" x14ac:dyDescent="0.25">
      <c r="A94" s="847">
        <f>Chem!A94</f>
        <v>92</v>
      </c>
      <c r="B94" s="941" t="str">
        <f>Chem!B94</f>
        <v>4-Chloroaniline</v>
      </c>
      <c r="C94" s="909" t="str">
        <f>Param!U94</f>
        <v>na</v>
      </c>
      <c r="D94" s="557" t="str">
        <f>Param!Z94</f>
        <v>na</v>
      </c>
      <c r="E94" s="602" t="str">
        <f>IF(C94="na","na",C94*Eqtn!$D$259)</f>
        <v>na</v>
      </c>
      <c r="F94" s="582" t="str">
        <f>IF(D94="na","na",Eqtn!$D$280/D94)</f>
        <v>na</v>
      </c>
      <c r="G94" s="694" t="str">
        <f>IF(C94="na","na",C94*Eqtn!$D$301)</f>
        <v>na</v>
      </c>
      <c r="H94" s="695" t="str">
        <f>IF(D94="na","na",Eqtn!$D$322/D94)</f>
        <v>na</v>
      </c>
      <c r="I94" s="348" t="str">
        <f>IF($C94="na","na",$C94*Eqtn!$D$343)</f>
        <v>na</v>
      </c>
      <c r="J94" s="367" t="str">
        <f>IF($D94="na","na",Eqtn!$D$364/$D94)</f>
        <v>na</v>
      </c>
      <c r="L94" s="1062"/>
    </row>
    <row r="95" spans="1:12" ht="13.9" customHeight="1" x14ac:dyDescent="0.25">
      <c r="A95" s="847">
        <f>Chem!A95</f>
        <v>93</v>
      </c>
      <c r="B95" s="941" t="str">
        <f>Chem!B95</f>
        <v>4-Chloro-3-methylphenol (chlorocresol)</v>
      </c>
      <c r="C95" s="909" t="str">
        <f>Param!U95</f>
        <v>na</v>
      </c>
      <c r="D95" s="557" t="str">
        <f>Param!Z95</f>
        <v>na</v>
      </c>
      <c r="E95" s="602" t="str">
        <f>IF(C95="na","na",C95*Eqtn!$D$259)</f>
        <v>na</v>
      </c>
      <c r="F95" s="582" t="str">
        <f>IF(D95="na","na",Eqtn!$D$280/D95)</f>
        <v>na</v>
      </c>
      <c r="G95" s="694" t="str">
        <f>IF(C95="na","na",C95*Eqtn!$D$301)</f>
        <v>na</v>
      </c>
      <c r="H95" s="695" t="str">
        <f>IF(D95="na","na",Eqtn!$D$322/D95)</f>
        <v>na</v>
      </c>
      <c r="I95" s="348" t="str">
        <f>IF($C95="na","na",$C95*Eqtn!$D$343)</f>
        <v>na</v>
      </c>
      <c r="J95" s="367" t="str">
        <f>IF($D95="na","na",Eqtn!$D$364/$D95)</f>
        <v>na</v>
      </c>
      <c r="L95" s="1062"/>
    </row>
    <row r="96" spans="1:12" ht="13.9" customHeight="1" x14ac:dyDescent="0.25">
      <c r="A96" s="847">
        <f>Chem!A96</f>
        <v>94</v>
      </c>
      <c r="B96" s="941" t="str">
        <f>Chem!B96</f>
        <v>2-Chloronaphthalene (beta-)</v>
      </c>
      <c r="C96" s="909" t="str">
        <f>Param!U96</f>
        <v>na</v>
      </c>
      <c r="D96" s="557" t="str">
        <f>Param!Z96</f>
        <v>na</v>
      </c>
      <c r="E96" s="602" t="str">
        <f>IF(C96="na","na",C96*Eqtn!$D$259)</f>
        <v>na</v>
      </c>
      <c r="F96" s="582" t="str">
        <f>IF(D96="na","na",Eqtn!$D$280/D96)</f>
        <v>na</v>
      </c>
      <c r="G96" s="694" t="str">
        <f>IF(C96="na","na",C96*Eqtn!$D$301)</f>
        <v>na</v>
      </c>
      <c r="H96" s="695" t="str">
        <f>IF(D96="na","na",Eqtn!$D$322/D96)</f>
        <v>na</v>
      </c>
      <c r="I96" s="348" t="str">
        <f>IF($C96="na","na",$C96*Eqtn!$D$343)</f>
        <v>na</v>
      </c>
      <c r="J96" s="367" t="str">
        <f>IF($D96="na","na",Eqtn!$D$364/$D96)</f>
        <v>na</v>
      </c>
      <c r="L96" s="1062"/>
    </row>
    <row r="97" spans="1:12" ht="13.9" customHeight="1" x14ac:dyDescent="0.25">
      <c r="A97" s="847">
        <f>Chem!A97</f>
        <v>95</v>
      </c>
      <c r="B97" s="941" t="str">
        <f>Chem!B97</f>
        <v>2-Chlorophenol</v>
      </c>
      <c r="C97" s="909" t="str">
        <f>Param!U97</f>
        <v>na</v>
      </c>
      <c r="D97" s="557" t="str">
        <f>Param!Z97</f>
        <v>na</v>
      </c>
      <c r="E97" s="602" t="str">
        <f>IF(C97="na","na",C97*Eqtn!$D$259)</f>
        <v>na</v>
      </c>
      <c r="F97" s="582" t="str">
        <f>IF(D97="na","na",Eqtn!$D$280/D97)</f>
        <v>na</v>
      </c>
      <c r="G97" s="694" t="str">
        <f>IF(C97="na","na",C97*Eqtn!$D$301)</f>
        <v>na</v>
      </c>
      <c r="H97" s="695" t="str">
        <f>IF(D97="na","na",Eqtn!$D$322/D97)</f>
        <v>na</v>
      </c>
      <c r="I97" s="348" t="str">
        <f>IF($C97="na","na",$C97*Eqtn!$D$343)</f>
        <v>na</v>
      </c>
      <c r="J97" s="367" t="str">
        <f>IF($D97="na","na",Eqtn!$D$364/$D97)</f>
        <v>na</v>
      </c>
      <c r="L97" s="1062"/>
    </row>
    <row r="98" spans="1:12" ht="13.9" customHeight="1" x14ac:dyDescent="0.25">
      <c r="A98" s="847">
        <f>Chem!A98</f>
        <v>96</v>
      </c>
      <c r="B98" s="941" t="str">
        <f>Chem!B98</f>
        <v>4-Chlorophenyl phenyl ether</v>
      </c>
      <c r="C98" s="909" t="str">
        <f>Param!U98</f>
        <v>na</v>
      </c>
      <c r="D98" s="557" t="str">
        <f>Param!Z98</f>
        <v>na</v>
      </c>
      <c r="E98" s="602" t="str">
        <f>IF(C98="na","na",C98*Eqtn!$D$259)</f>
        <v>na</v>
      </c>
      <c r="F98" s="582" t="str">
        <f>IF(D98="na","na",Eqtn!$D$280/D98)</f>
        <v>na</v>
      </c>
      <c r="G98" s="694" t="str">
        <f>IF(C98="na","na",C98*Eqtn!$D$301)</f>
        <v>na</v>
      </c>
      <c r="H98" s="695" t="str">
        <f>IF(D98="na","na",Eqtn!$D$322/D98)</f>
        <v>na</v>
      </c>
      <c r="I98" s="348" t="str">
        <f>IF($C98="na","na",$C98*Eqtn!$D$343)</f>
        <v>na</v>
      </c>
      <c r="J98" s="367" t="str">
        <f>IF($D98="na","na",Eqtn!$D$364/$D98)</f>
        <v>na</v>
      </c>
      <c r="L98" s="1062"/>
    </row>
    <row r="99" spans="1:12" ht="13.9" customHeight="1" x14ac:dyDescent="0.25">
      <c r="A99" s="847">
        <f>Chem!A99</f>
        <v>97</v>
      </c>
      <c r="B99" s="941" t="str">
        <f>Chem!B99</f>
        <v>Dibutyl phthalate</v>
      </c>
      <c r="C99" s="909" t="str">
        <f>Param!U99</f>
        <v>na</v>
      </c>
      <c r="D99" s="557" t="str">
        <f>Param!Z99</f>
        <v>na</v>
      </c>
      <c r="E99" s="602" t="str">
        <f>IF(C99="na","na",C99*Eqtn!$D$259)</f>
        <v>na</v>
      </c>
      <c r="F99" s="582" t="str">
        <f>IF(D99="na","na",Eqtn!$D$280/D99)</f>
        <v>na</v>
      </c>
      <c r="G99" s="694" t="str">
        <f>IF(C99="na","na",C99*Eqtn!$D$301)</f>
        <v>na</v>
      </c>
      <c r="H99" s="695" t="str">
        <f>IF(D99="na","na",Eqtn!$D$322/D99)</f>
        <v>na</v>
      </c>
      <c r="I99" s="348" t="str">
        <f>IF($C99="na","na",$C99*Eqtn!$D$343)</f>
        <v>na</v>
      </c>
      <c r="J99" s="367" t="str">
        <f>IF($D99="na","na",Eqtn!$D$364/$D99)</f>
        <v>na</v>
      </c>
      <c r="L99" s="1062"/>
    </row>
    <row r="100" spans="1:12" ht="13.9" customHeight="1" x14ac:dyDescent="0.25">
      <c r="A100" s="847">
        <f>Chem!A100</f>
        <v>98</v>
      </c>
      <c r="B100" s="941" t="str">
        <f>Chem!B100</f>
        <v>Dibutyl phenyl phosphate</v>
      </c>
      <c r="C100" s="909" t="str">
        <f>Param!U100</f>
        <v>na</v>
      </c>
      <c r="D100" s="557" t="str">
        <f>Param!Z100</f>
        <v>na</v>
      </c>
      <c r="E100" s="602" t="str">
        <f>IF(C100="na","na",C100*Eqtn!$D$259)</f>
        <v>na</v>
      </c>
      <c r="F100" s="582" t="str">
        <f>IF(D100="na","na",Eqtn!$D$280/D100)</f>
        <v>na</v>
      </c>
      <c r="G100" s="694" t="str">
        <f>IF(C100="na","na",C100*Eqtn!$D$301)</f>
        <v>na</v>
      </c>
      <c r="H100" s="695" t="str">
        <f>IF(D100="na","na",Eqtn!$D$322/D100)</f>
        <v>na</v>
      </c>
      <c r="I100" s="348" t="str">
        <f>IF($C100="na","na",$C100*Eqtn!$D$343)</f>
        <v>na</v>
      </c>
      <c r="J100" s="367" t="str">
        <f>IF($D100="na","na",Eqtn!$D$364/$D100)</f>
        <v>na</v>
      </c>
      <c r="L100" s="1062"/>
    </row>
    <row r="101" spans="1:12" ht="13.9" customHeight="1" x14ac:dyDescent="0.25">
      <c r="A101" s="847">
        <f>Chem!A101</f>
        <v>99</v>
      </c>
      <c r="B101" s="941" t="str">
        <f>Chem!B101</f>
        <v>1,2-Dichlorobenzene</v>
      </c>
      <c r="C101" s="909">
        <f>Param!U101</f>
        <v>5.7142857142857134E-2</v>
      </c>
      <c r="D101" s="557" t="str">
        <f>Param!Z101</f>
        <v>na</v>
      </c>
      <c r="E101" s="602">
        <f>IF(C101="na","na",C101*Eqtn!$D$259)</f>
        <v>91.428571428571416</v>
      </c>
      <c r="F101" s="582" t="str">
        <f>IF(D101="na","na",Eqtn!$D$280/D101)</f>
        <v>na</v>
      </c>
      <c r="G101" s="694">
        <f>IF(C101="na","na",C101*Eqtn!$D$301)</f>
        <v>199.99999999999997</v>
      </c>
      <c r="H101" s="695" t="str">
        <f>IF(D101="na","na",Eqtn!$D$322/D101)</f>
        <v>na</v>
      </c>
      <c r="I101" s="348">
        <f>IF($C101="na","na",$C101*Eqtn!$D$343)</f>
        <v>778.6666666666664</v>
      </c>
      <c r="J101" s="367" t="str">
        <f>IF($D101="na","na",Eqtn!$D$364/$D101)</f>
        <v>na</v>
      </c>
      <c r="L101" s="1062"/>
    </row>
    <row r="102" spans="1:12" ht="13.9" customHeight="1" x14ac:dyDescent="0.25">
      <c r="A102" s="847">
        <f>Chem!A102</f>
        <v>100</v>
      </c>
      <c r="B102" s="941" t="str">
        <f>Chem!B102</f>
        <v>1,3-Dichlorobenzene</v>
      </c>
      <c r="C102" s="909" t="str">
        <f>Param!U102</f>
        <v>na</v>
      </c>
      <c r="D102" s="557" t="str">
        <f>Param!Z102</f>
        <v>na</v>
      </c>
      <c r="E102" s="602" t="str">
        <f>IF(C102="na","na",C102*Eqtn!$D$259)</f>
        <v>na</v>
      </c>
      <c r="F102" s="582" t="str">
        <f>IF(D102="na","na",Eqtn!$D$280/D102)</f>
        <v>na</v>
      </c>
      <c r="G102" s="694" t="str">
        <f>IF(C102="na","na",C102*Eqtn!$D$301)</f>
        <v>na</v>
      </c>
      <c r="H102" s="695" t="str">
        <f>IF(D102="na","na",Eqtn!$D$322/D102)</f>
        <v>na</v>
      </c>
      <c r="I102" s="348" t="str">
        <f>IF($C102="na","na",$C102*Eqtn!$D$343)</f>
        <v>na</v>
      </c>
      <c r="J102" s="367" t="str">
        <f>IF($D102="na","na",Eqtn!$D$364/$D102)</f>
        <v>na</v>
      </c>
      <c r="L102" s="1062"/>
    </row>
    <row r="103" spans="1:12" ht="13.9" customHeight="1" x14ac:dyDescent="0.25">
      <c r="A103" s="847">
        <f>Chem!A103</f>
        <v>101</v>
      </c>
      <c r="B103" s="941" t="str">
        <f>Chem!B103</f>
        <v>1,4-Dichlorobenzene</v>
      </c>
      <c r="C103" s="909">
        <f>Param!U103</f>
        <v>0.22857142857142854</v>
      </c>
      <c r="D103" s="557">
        <f>Param!Z103</f>
        <v>3.85E-2</v>
      </c>
      <c r="E103" s="602">
        <f>IF(C103="na","na",C103*Eqtn!$D$259)</f>
        <v>365.71428571428567</v>
      </c>
      <c r="F103" s="582">
        <f>IF(D103="na","na",Eqtn!$D$280/D103)</f>
        <v>0.22727272727272727</v>
      </c>
      <c r="G103" s="694">
        <f>IF(C103="na","na",C103*Eqtn!$D$301)</f>
        <v>799.99999999999989</v>
      </c>
      <c r="H103" s="695">
        <f>IF(D103="na","na",Eqtn!$D$322/D103)</f>
        <v>2.2727272727272729</v>
      </c>
      <c r="I103" s="348">
        <f>IF($C103="na","na",$C103*Eqtn!$D$343)</f>
        <v>3114.6666666666656</v>
      </c>
      <c r="J103" s="367">
        <f>IF($D103="na","na",Eqtn!$D$364/$D103)</f>
        <v>1.0618181818181816</v>
      </c>
      <c r="L103" s="1062"/>
    </row>
    <row r="104" spans="1:12" ht="13.9" customHeight="1" x14ac:dyDescent="0.25">
      <c r="A104" s="847">
        <f>Chem!A104</f>
        <v>102</v>
      </c>
      <c r="B104" s="941" t="str">
        <f>Chem!B104</f>
        <v>3,3'-Dichlorobenzidine</v>
      </c>
      <c r="C104" s="909" t="str">
        <f>Param!U104</f>
        <v>na</v>
      </c>
      <c r="D104" s="557">
        <f>Param!Z104</f>
        <v>1.1900000000000002</v>
      </c>
      <c r="E104" s="602" t="str">
        <f>IF(C104="na","na",C104*Eqtn!$D$259)</f>
        <v>na</v>
      </c>
      <c r="F104" s="582">
        <f>IF(D104="na","na",Eqtn!$D$280/D104)</f>
        <v>7.3529411764705864E-3</v>
      </c>
      <c r="G104" s="694" t="str">
        <f>IF(C104="na","na",C104*Eqtn!$D$301)</f>
        <v>na</v>
      </c>
      <c r="H104" s="695">
        <f>IF(D104="na","na",Eqtn!$D$322/D104)</f>
        <v>7.3529411764705885E-2</v>
      </c>
      <c r="I104" s="348" t="str">
        <f>IF($C104="na","na",$C104*Eqtn!$D$343)</f>
        <v>na</v>
      </c>
      <c r="J104" s="367">
        <f>IF($D104="na","na",Eqtn!$D$364/$D104)</f>
        <v>3.4352941176470572E-2</v>
      </c>
      <c r="L104" s="1062"/>
    </row>
    <row r="105" spans="1:12" ht="13.9" customHeight="1" x14ac:dyDescent="0.25">
      <c r="A105" s="847">
        <f>Chem!A105</f>
        <v>103</v>
      </c>
      <c r="B105" s="941" t="str">
        <f>Chem!B105</f>
        <v>2,4-Dichlorophenol</v>
      </c>
      <c r="C105" s="909" t="str">
        <f>Param!U105</f>
        <v>na</v>
      </c>
      <c r="D105" s="557" t="str">
        <f>Param!Z105</f>
        <v>na</v>
      </c>
      <c r="E105" s="602" t="str">
        <f>IF(C105="na","na",C105*Eqtn!$D$259)</f>
        <v>na</v>
      </c>
      <c r="F105" s="582" t="str">
        <f>IF(D105="na","na",Eqtn!$D$280/D105)</f>
        <v>na</v>
      </c>
      <c r="G105" s="694" t="str">
        <f>IF(C105="na","na",C105*Eqtn!$D$301)</f>
        <v>na</v>
      </c>
      <c r="H105" s="695" t="str">
        <f>IF(D105="na","na",Eqtn!$D$322/D105)</f>
        <v>na</v>
      </c>
      <c r="I105" s="348" t="str">
        <f>IF($C105="na","na",$C105*Eqtn!$D$343)</f>
        <v>na</v>
      </c>
      <c r="J105" s="367" t="str">
        <f>IF($D105="na","na",Eqtn!$D$364/$D105)</f>
        <v>na</v>
      </c>
      <c r="L105" s="1062"/>
    </row>
    <row r="106" spans="1:12" ht="13.9" customHeight="1" x14ac:dyDescent="0.25">
      <c r="A106" s="846">
        <f>Chem!A106</f>
        <v>104</v>
      </c>
      <c r="B106" s="941" t="str">
        <f>Chem!B106</f>
        <v>Di(2-ethylhexyl)adipate</v>
      </c>
      <c r="C106" s="909" t="str">
        <f>Param!U106</f>
        <v>na</v>
      </c>
      <c r="D106" s="557" t="str">
        <f>Param!Z106</f>
        <v>na</v>
      </c>
      <c r="E106" s="602" t="str">
        <f>IF(C106="na","na",C106*Eqtn!$D$259)</f>
        <v>na</v>
      </c>
      <c r="F106" s="582" t="str">
        <f>IF(D106="na","na",Eqtn!$D$280/D106)</f>
        <v>na</v>
      </c>
      <c r="G106" s="694" t="str">
        <f>IF(C106="na","na",C106*Eqtn!$D$301)</f>
        <v>na</v>
      </c>
      <c r="H106" s="695" t="str">
        <f>IF(D106="na","na",Eqtn!$D$322/D106)</f>
        <v>na</v>
      </c>
      <c r="I106" s="348" t="str">
        <f>IF($C106="na","na",$C106*Eqtn!$D$343)</f>
        <v>na</v>
      </c>
      <c r="J106" s="367" t="str">
        <f>IF($D106="na","na",Eqtn!$D$364/$D106)</f>
        <v>na</v>
      </c>
      <c r="L106" s="1062"/>
    </row>
    <row r="107" spans="1:12" ht="13.9" customHeight="1" x14ac:dyDescent="0.25">
      <c r="A107" s="846">
        <f>Chem!A107</f>
        <v>105</v>
      </c>
      <c r="B107" s="941" t="str">
        <f>Chem!B107</f>
        <v>Diethyl phthalate</v>
      </c>
      <c r="C107" s="909" t="str">
        <f>Param!U107</f>
        <v>na</v>
      </c>
      <c r="D107" s="557" t="str">
        <f>Param!Z107</f>
        <v>na</v>
      </c>
      <c r="E107" s="602" t="str">
        <f>IF(C107="na","na",C107*Eqtn!$D$259)</f>
        <v>na</v>
      </c>
      <c r="F107" s="582" t="str">
        <f>IF(D107="na","na",Eqtn!$D$280/D107)</f>
        <v>na</v>
      </c>
      <c r="G107" s="694" t="str">
        <f>IF(C107="na","na",C107*Eqtn!$D$301)</f>
        <v>na</v>
      </c>
      <c r="H107" s="695" t="str">
        <f>IF(D107="na","na",Eqtn!$D$322/D107)</f>
        <v>na</v>
      </c>
      <c r="I107" s="348" t="str">
        <f>IF($C107="na","na",$C107*Eqtn!$D$343)</f>
        <v>na</v>
      </c>
      <c r="J107" s="367" t="str">
        <f>IF($D107="na","na",Eqtn!$D$364/$D107)</f>
        <v>na</v>
      </c>
      <c r="L107" s="1062"/>
    </row>
    <row r="108" spans="1:12" ht="13.9" customHeight="1" x14ac:dyDescent="0.25">
      <c r="A108" s="847">
        <f>Chem!A108</f>
        <v>106</v>
      </c>
      <c r="B108" s="941" t="str">
        <f>Chem!B108</f>
        <v>Dimethyl phthalate</v>
      </c>
      <c r="C108" s="909" t="str">
        <f>Param!U108</f>
        <v>na</v>
      </c>
      <c r="D108" s="557" t="str">
        <f>Param!Z108</f>
        <v>na</v>
      </c>
      <c r="E108" s="602" t="str">
        <f>IF(C108="na","na",C108*Eqtn!$D$259)</f>
        <v>na</v>
      </c>
      <c r="F108" s="582" t="str">
        <f>IF(D108="na","na",Eqtn!$D$280/D108)</f>
        <v>na</v>
      </c>
      <c r="G108" s="694" t="str">
        <f>IF(C108="na","na",C108*Eqtn!$D$301)</f>
        <v>na</v>
      </c>
      <c r="H108" s="695" t="str">
        <f>IF(D108="na","na",Eqtn!$D$322/D108)</f>
        <v>na</v>
      </c>
      <c r="I108" s="348" t="str">
        <f>IF($C108="na","na",$C108*Eqtn!$D$343)</f>
        <v>na</v>
      </c>
      <c r="J108" s="367" t="str">
        <f>IF($D108="na","na",Eqtn!$D$364/$D108)</f>
        <v>na</v>
      </c>
      <c r="L108" s="1062"/>
    </row>
    <row r="109" spans="1:12" ht="13.9" customHeight="1" x14ac:dyDescent="0.25">
      <c r="A109" s="847">
        <f>Chem!A109</f>
        <v>107</v>
      </c>
      <c r="B109" s="941" t="str">
        <f>Chem!B109</f>
        <v>2,4-Dimethylphenol</v>
      </c>
      <c r="C109" s="909" t="str">
        <f>Param!U109</f>
        <v>na</v>
      </c>
      <c r="D109" s="557" t="str">
        <f>Param!Z109</f>
        <v>na</v>
      </c>
      <c r="E109" s="602" t="str">
        <f>IF(C109="na","na",C109*Eqtn!$D$259)</f>
        <v>na</v>
      </c>
      <c r="F109" s="582" t="str">
        <f>IF(D109="na","na",Eqtn!$D$280/D109)</f>
        <v>na</v>
      </c>
      <c r="G109" s="694" t="str">
        <f>IF(C109="na","na",C109*Eqtn!$D$301)</f>
        <v>na</v>
      </c>
      <c r="H109" s="695" t="str">
        <f>IF(D109="na","na",Eqtn!$D$322/D109)</f>
        <v>na</v>
      </c>
      <c r="I109" s="348" t="str">
        <f>IF($C109="na","na",$C109*Eqtn!$D$343)</f>
        <v>na</v>
      </c>
      <c r="J109" s="367" t="str">
        <f>IF($D109="na","na",Eqtn!$D$364/$D109)</f>
        <v>na</v>
      </c>
      <c r="L109" s="1062"/>
    </row>
    <row r="110" spans="1:12" ht="13.9" customHeight="1" x14ac:dyDescent="0.25">
      <c r="A110" s="847">
        <f>Chem!A110</f>
        <v>108</v>
      </c>
      <c r="B110" s="941" t="str">
        <f>Chem!B110</f>
        <v>1,2-Dinitrobenzene</v>
      </c>
      <c r="C110" s="909" t="str">
        <f>Param!U110</f>
        <v>na</v>
      </c>
      <c r="D110" s="557" t="str">
        <f>Param!Z110</f>
        <v>na</v>
      </c>
      <c r="E110" s="602" t="str">
        <f>IF(C110="na","na",C110*Eqtn!$D$259)</f>
        <v>na</v>
      </c>
      <c r="F110" s="582" t="str">
        <f>IF(D110="na","na",Eqtn!$D$280/D110)</f>
        <v>na</v>
      </c>
      <c r="G110" s="694" t="str">
        <f>IF(C110="na","na",C110*Eqtn!$D$301)</f>
        <v>na</v>
      </c>
      <c r="H110" s="695" t="str">
        <f>IF(D110="na","na",Eqtn!$D$322/D110)</f>
        <v>na</v>
      </c>
      <c r="I110" s="348" t="str">
        <f>IF($C110="na","na",$C110*Eqtn!$D$343)</f>
        <v>na</v>
      </c>
      <c r="J110" s="367" t="str">
        <f>IF($D110="na","na",Eqtn!$D$364/$D110)</f>
        <v>na</v>
      </c>
      <c r="L110" s="1062"/>
    </row>
    <row r="111" spans="1:12" ht="13.9" customHeight="1" x14ac:dyDescent="0.25">
      <c r="A111" s="847">
        <f>Chem!A111</f>
        <v>109</v>
      </c>
      <c r="B111" s="941" t="str">
        <f>Chem!B111</f>
        <v>1,3-Dinitrobenzene</v>
      </c>
      <c r="C111" s="909" t="str">
        <f>Param!U111</f>
        <v>na</v>
      </c>
      <c r="D111" s="557" t="str">
        <f>Param!Z111</f>
        <v>na</v>
      </c>
      <c r="E111" s="602" t="str">
        <f>IF(C111="na","na",C111*Eqtn!$D$259)</f>
        <v>na</v>
      </c>
      <c r="F111" s="582" t="str">
        <f>IF(D111="na","na",Eqtn!$D$280/D111)</f>
        <v>na</v>
      </c>
      <c r="G111" s="694" t="str">
        <f>IF(C111="na","na",C111*Eqtn!$D$301)</f>
        <v>na</v>
      </c>
      <c r="H111" s="695" t="str">
        <f>IF(D111="na","na",Eqtn!$D$322/D111)</f>
        <v>na</v>
      </c>
      <c r="I111" s="348" t="str">
        <f>IF($C111="na","na",$C111*Eqtn!$D$343)</f>
        <v>na</v>
      </c>
      <c r="J111" s="367" t="str">
        <f>IF($D111="na","na",Eqtn!$D$364/$D111)</f>
        <v>na</v>
      </c>
      <c r="L111" s="1062"/>
    </row>
    <row r="112" spans="1:12" ht="13.9" customHeight="1" x14ac:dyDescent="0.25">
      <c r="A112" s="847">
        <f>Chem!A112</f>
        <v>110</v>
      </c>
      <c r="B112" s="941" t="str">
        <f>Chem!B112</f>
        <v>1,4-Dinitrobenzene</v>
      </c>
      <c r="C112" s="909" t="str">
        <f>Param!U112</f>
        <v>na</v>
      </c>
      <c r="D112" s="557" t="str">
        <f>Param!Z112</f>
        <v>na</v>
      </c>
      <c r="E112" s="602" t="str">
        <f>IF(C112="na","na",C112*Eqtn!$D$259)</f>
        <v>na</v>
      </c>
      <c r="F112" s="582" t="str">
        <f>IF(D112="na","na",Eqtn!$D$280/D112)</f>
        <v>na</v>
      </c>
      <c r="G112" s="694" t="str">
        <f>IF(C112="na","na",C112*Eqtn!$D$301)</f>
        <v>na</v>
      </c>
      <c r="H112" s="695" t="str">
        <f>IF(D112="na","na",Eqtn!$D$322/D112)</f>
        <v>na</v>
      </c>
      <c r="I112" s="348" t="str">
        <f>IF($C112="na","na",$C112*Eqtn!$D$343)</f>
        <v>na</v>
      </c>
      <c r="J112" s="367" t="str">
        <f>IF($D112="na","na",Eqtn!$D$364/$D112)</f>
        <v>na</v>
      </c>
      <c r="L112" s="1062"/>
    </row>
    <row r="113" spans="1:12" ht="13.9" customHeight="1" x14ac:dyDescent="0.25">
      <c r="A113" s="847">
        <f>Chem!A113</f>
        <v>111</v>
      </c>
      <c r="B113" s="941" t="str">
        <f>Chem!B113</f>
        <v>4,6-Dinitro-o-cresol (DNOC)</v>
      </c>
      <c r="C113" s="909" t="str">
        <f>Param!U113</f>
        <v>na</v>
      </c>
      <c r="D113" s="557" t="str">
        <f>Param!Z113</f>
        <v>na</v>
      </c>
      <c r="E113" s="602" t="str">
        <f>IF(C113="na","na",C113*Eqtn!$D$259)</f>
        <v>na</v>
      </c>
      <c r="F113" s="582" t="str">
        <f>IF(D113="na","na",Eqtn!$D$280/D113)</f>
        <v>na</v>
      </c>
      <c r="G113" s="694" t="str">
        <f>IF(C113="na","na",C113*Eqtn!$D$301)</f>
        <v>na</v>
      </c>
      <c r="H113" s="695" t="str">
        <f>IF(D113="na","na",Eqtn!$D$322/D113)</f>
        <v>na</v>
      </c>
      <c r="I113" s="348" t="str">
        <f>IF($C113="na","na",$C113*Eqtn!$D$343)</f>
        <v>na</v>
      </c>
      <c r="J113" s="367" t="str">
        <f>IF($D113="na","na",Eqtn!$D$364/$D113)</f>
        <v>na</v>
      </c>
      <c r="L113" s="1062"/>
    </row>
    <row r="114" spans="1:12" ht="13.9" customHeight="1" x14ac:dyDescent="0.25">
      <c r="A114" s="847">
        <f>Chem!A114</f>
        <v>112</v>
      </c>
      <c r="B114" s="941" t="str">
        <f>Chem!B114</f>
        <v>2,4-Dinitrophenol</v>
      </c>
      <c r="C114" s="909" t="str">
        <f>Param!U114</f>
        <v>na</v>
      </c>
      <c r="D114" s="557" t="str">
        <f>Param!Z114</f>
        <v>na</v>
      </c>
      <c r="E114" s="602" t="str">
        <f>IF(C114="na","na",C114*Eqtn!$D$259)</f>
        <v>na</v>
      </c>
      <c r="F114" s="582" t="str">
        <f>IF(D114="na","na",Eqtn!$D$280/D114)</f>
        <v>na</v>
      </c>
      <c r="G114" s="694" t="str">
        <f>IF(C114="na","na",C114*Eqtn!$D$301)</f>
        <v>na</v>
      </c>
      <c r="H114" s="695" t="str">
        <f>IF(D114="na","na",Eqtn!$D$322/D114)</f>
        <v>na</v>
      </c>
      <c r="I114" s="348" t="str">
        <f>IF($C114="na","na",$C114*Eqtn!$D$343)</f>
        <v>na</v>
      </c>
      <c r="J114" s="367" t="str">
        <f>IF($D114="na","na",Eqtn!$D$364/$D114)</f>
        <v>na</v>
      </c>
      <c r="L114" s="1062"/>
    </row>
    <row r="115" spans="1:12" ht="13.9" customHeight="1" x14ac:dyDescent="0.25">
      <c r="A115" s="847">
        <f>Chem!A115</f>
        <v>113</v>
      </c>
      <c r="B115" s="941" t="str">
        <f>Chem!B115</f>
        <v>2,4-Dinitrotoluene</v>
      </c>
      <c r="C115" s="909" t="str">
        <f>Param!U115</f>
        <v>na</v>
      </c>
      <c r="D115" s="557">
        <f>Param!Z115</f>
        <v>0.3115</v>
      </c>
      <c r="E115" s="602" t="str">
        <f>IF(C115="na","na",C115*Eqtn!$D$259)</f>
        <v>na</v>
      </c>
      <c r="F115" s="582">
        <f>IF(D115="na","na",Eqtn!$D$280/D115)</f>
        <v>2.8089887640449434E-2</v>
      </c>
      <c r="G115" s="694" t="str">
        <f>IF(C115="na","na",C115*Eqtn!$D$301)</f>
        <v>na</v>
      </c>
      <c r="H115" s="695">
        <f>IF(D115="na","na",Eqtn!$D$322/D115)</f>
        <v>0.2808988764044944</v>
      </c>
      <c r="I115" s="348" t="str">
        <f>IF($C115="na","na",$C115*Eqtn!$D$343)</f>
        <v>na</v>
      </c>
      <c r="J115" s="367">
        <f>IF($D115="na","na",Eqtn!$D$364/$D115)</f>
        <v>0.13123595505617974</v>
      </c>
      <c r="L115" s="1062"/>
    </row>
    <row r="116" spans="1:12" ht="13.9" customHeight="1" x14ac:dyDescent="0.25">
      <c r="A116" s="842">
        <f>Chem!A116</f>
        <v>114</v>
      </c>
      <c r="B116" s="941" t="str">
        <f>Chem!B116</f>
        <v>2,6-Dinitrotoluene</v>
      </c>
      <c r="C116" s="909" t="str">
        <f>Param!U116</f>
        <v>na</v>
      </c>
      <c r="D116" s="557" t="str">
        <f>Param!Z116</f>
        <v>na</v>
      </c>
      <c r="E116" s="602" t="str">
        <f>IF(C116="na","na",C116*Eqtn!$D$259)</f>
        <v>na</v>
      </c>
      <c r="F116" s="582" t="str">
        <f>IF(D116="na","na",Eqtn!$D$280/D116)</f>
        <v>na</v>
      </c>
      <c r="G116" s="694" t="str">
        <f>IF(C116="na","na",C116*Eqtn!$D$301)</f>
        <v>na</v>
      </c>
      <c r="H116" s="695" t="str">
        <f>IF(D116="na","na",Eqtn!$D$322/D116)</f>
        <v>na</v>
      </c>
      <c r="I116" s="348" t="str">
        <f>IF($C116="na","na",$C116*Eqtn!$D$343)</f>
        <v>na</v>
      </c>
      <c r="J116" s="367" t="str">
        <f>IF($D116="na","na",Eqtn!$D$364/$D116)</f>
        <v>na</v>
      </c>
      <c r="L116" s="1062"/>
    </row>
    <row r="117" spans="1:12" ht="13.9" customHeight="1" x14ac:dyDescent="0.25">
      <c r="A117" s="847">
        <f>Chem!A117</f>
        <v>115</v>
      </c>
      <c r="B117" s="941" t="str">
        <f>Chem!B117</f>
        <v>Di-n-octyl phthalate</v>
      </c>
      <c r="C117" s="909" t="str">
        <f>Param!U117</f>
        <v>na</v>
      </c>
      <c r="D117" s="557" t="str">
        <f>Param!Z117</f>
        <v>na</v>
      </c>
      <c r="E117" s="602" t="str">
        <f>IF(C117="na","na",C117*Eqtn!$D$259)</f>
        <v>na</v>
      </c>
      <c r="F117" s="582" t="str">
        <f>IF(D117="na","na",Eqtn!$D$280/D117)</f>
        <v>na</v>
      </c>
      <c r="G117" s="694" t="str">
        <f>IF(C117="na","na",C117*Eqtn!$D$301)</f>
        <v>na</v>
      </c>
      <c r="H117" s="695" t="str">
        <f>IF(D117="na","na",Eqtn!$D$322/D117)</f>
        <v>na</v>
      </c>
      <c r="I117" s="348" t="str">
        <f>IF($C117="na","na",$C117*Eqtn!$D$343)</f>
        <v>na</v>
      </c>
      <c r="J117" s="367" t="str">
        <f>IF($D117="na","na",Eqtn!$D$364/$D117)</f>
        <v>na</v>
      </c>
      <c r="L117" s="1062"/>
    </row>
    <row r="118" spans="1:12" ht="13.9" customHeight="1" x14ac:dyDescent="0.25">
      <c r="A118" s="848">
        <f>Chem!A118</f>
        <v>116</v>
      </c>
      <c r="B118" s="941" t="str">
        <f>Chem!B118</f>
        <v>1,4-Dioxane</v>
      </c>
      <c r="C118" s="909">
        <f>Param!U118</f>
        <v>8.5714285714285719E-3</v>
      </c>
      <c r="D118" s="557">
        <f>Param!Z118</f>
        <v>1.7500000000000005E-2</v>
      </c>
      <c r="E118" s="602">
        <f>IF(C118="na","na",C118*Eqtn!$D$259)</f>
        <v>13.714285714285715</v>
      </c>
      <c r="F118" s="582">
        <f>IF(D118="na","na",Eqtn!$D$280/D118)</f>
        <v>0.49999999999999978</v>
      </c>
      <c r="G118" s="694">
        <f>IF(C118="na","na",C118*Eqtn!$D$301)</f>
        <v>30</v>
      </c>
      <c r="H118" s="695">
        <f>IF(D118="na","na",Eqtn!$D$322/D118)</f>
        <v>4.9999999999999991</v>
      </c>
      <c r="I118" s="348">
        <f>IF($C118="na","na",$C118*Eqtn!$D$343)</f>
        <v>116.79999999999998</v>
      </c>
      <c r="J118" s="367">
        <f>IF($D118="na","na",Eqtn!$D$364/$D118)</f>
        <v>2.3359999999999985</v>
      </c>
      <c r="L118" s="1062"/>
    </row>
    <row r="119" spans="1:12" ht="13.9" customHeight="1" x14ac:dyDescent="0.25">
      <c r="A119" s="848">
        <f>Chem!A119</f>
        <v>117</v>
      </c>
      <c r="B119" s="941" t="str">
        <f>Chem!B119</f>
        <v>1,2-Diphenylhydrazine</v>
      </c>
      <c r="C119" s="909" t="str">
        <f>Param!U119</f>
        <v>na</v>
      </c>
      <c r="D119" s="557">
        <f>Param!Z119</f>
        <v>0.77000000000000013</v>
      </c>
      <c r="E119" s="602" t="str">
        <f>IF(C119="na","na",C119*Eqtn!$D$259)</f>
        <v>na</v>
      </c>
      <c r="F119" s="582">
        <f>IF(D119="na","na",Eqtn!$D$280/D119)</f>
        <v>1.136363636363636E-2</v>
      </c>
      <c r="G119" s="694" t="str">
        <f>IF(C119="na","na",C119*Eqtn!$D$301)</f>
        <v>na</v>
      </c>
      <c r="H119" s="695">
        <f>IF(D119="na","na",Eqtn!$D$322/D119)</f>
        <v>0.11363636363636363</v>
      </c>
      <c r="I119" s="348" t="str">
        <f>IF($C119="na","na",$C119*Eqtn!$D$343)</f>
        <v>na</v>
      </c>
      <c r="J119" s="367">
        <f>IF($D119="na","na",Eqtn!$D$364/$D119)</f>
        <v>5.3090909090909064E-2</v>
      </c>
      <c r="L119" s="1062"/>
    </row>
    <row r="120" spans="1:12" ht="13.9" customHeight="1" x14ac:dyDescent="0.25">
      <c r="A120" s="847">
        <f>Chem!A120</f>
        <v>118</v>
      </c>
      <c r="B120" s="941" t="str">
        <f>Chem!B120</f>
        <v>Hexachlorobenzene</v>
      </c>
      <c r="C120" s="909" t="str">
        <f>Param!U120</f>
        <v>na</v>
      </c>
      <c r="D120" s="557">
        <f>Param!Z120</f>
        <v>1.61</v>
      </c>
      <c r="E120" s="602" t="str">
        <f>IF(C120="na","na",C120*Eqtn!$D$259)</f>
        <v>na</v>
      </c>
      <c r="F120" s="582">
        <f>IF(D120="na","na",Eqtn!$D$280/D120)</f>
        <v>5.4347826086956512E-3</v>
      </c>
      <c r="G120" s="694" t="str">
        <f>IF(C120="na","na",C120*Eqtn!$D$301)</f>
        <v>na</v>
      </c>
      <c r="H120" s="695">
        <f>IF(D120="na","na",Eqtn!$D$322/D120)</f>
        <v>5.434782608695652E-2</v>
      </c>
      <c r="I120" s="348" t="str">
        <f>IF($C120="na","na",$C120*Eqtn!$D$343)</f>
        <v>na</v>
      </c>
      <c r="J120" s="367">
        <f>IF($D120="na","na",Eqtn!$D$364/$D120)</f>
        <v>2.5391304347826077E-2</v>
      </c>
      <c r="L120" s="1062"/>
    </row>
    <row r="121" spans="1:12" ht="13.9" customHeight="1" x14ac:dyDescent="0.25">
      <c r="A121" s="847">
        <f>Chem!A121</f>
        <v>119</v>
      </c>
      <c r="B121" s="941" t="str">
        <f>Chem!B121</f>
        <v>Hexachlorobutadiene</v>
      </c>
      <c r="C121" s="909" t="str">
        <f>Param!U121</f>
        <v>na</v>
      </c>
      <c r="D121" s="557">
        <f>Param!Z121</f>
        <v>7.6999999999999999E-2</v>
      </c>
      <c r="E121" s="602" t="str">
        <f>IF(C121="na","na",C121*Eqtn!$D$259)</f>
        <v>na</v>
      </c>
      <c r="F121" s="582">
        <f>IF(D121="na","na",Eqtn!$D$280/D121)</f>
        <v>0.11363636363636363</v>
      </c>
      <c r="G121" s="694" t="str">
        <f>IF(C121="na","na",C121*Eqtn!$D$301)</f>
        <v>na</v>
      </c>
      <c r="H121" s="695">
        <f>IF(D121="na","na",Eqtn!$D$322/D121)</f>
        <v>1.1363636363636365</v>
      </c>
      <c r="I121" s="348" t="str">
        <f>IF($C121="na","na",$C121*Eqtn!$D$343)</f>
        <v>na</v>
      </c>
      <c r="J121" s="367">
        <f>IF($D121="na","na",Eqtn!$D$364/$D121)</f>
        <v>0.53090909090909078</v>
      </c>
      <c r="L121" s="1062"/>
    </row>
    <row r="122" spans="1:12" ht="13.9" customHeight="1" x14ac:dyDescent="0.25">
      <c r="A122" s="847">
        <f>Chem!A122</f>
        <v>120</v>
      </c>
      <c r="B122" s="941" t="str">
        <f>Chem!B122</f>
        <v>Hexachlorocyclopentadiene</v>
      </c>
      <c r="C122" s="909">
        <f>Param!U122</f>
        <v>5.7142857142857142E-5</v>
      </c>
      <c r="D122" s="557" t="str">
        <f>Param!Z122</f>
        <v>na</v>
      </c>
      <c r="E122" s="602">
        <f>IF(C122="na","na",C122*Eqtn!$D$259)</f>
        <v>9.1428571428571428E-2</v>
      </c>
      <c r="F122" s="582" t="str">
        <f>IF(D122="na","na",Eqtn!$D$280/D122)</f>
        <v>na</v>
      </c>
      <c r="G122" s="694">
        <f>IF(C122="na","na",C122*Eqtn!$D$301)</f>
        <v>0.19999999999999998</v>
      </c>
      <c r="H122" s="695" t="str">
        <f>IF(D122="na","na",Eqtn!$D$322/D122)</f>
        <v>na</v>
      </c>
      <c r="I122" s="348">
        <f>IF($C122="na","na",$C122*Eqtn!$D$343)</f>
        <v>0.77866666666666651</v>
      </c>
      <c r="J122" s="367" t="str">
        <f>IF($D122="na","na",Eqtn!$D$364/$D122)</f>
        <v>na</v>
      </c>
      <c r="L122" s="1062"/>
    </row>
    <row r="123" spans="1:12" ht="13.9" customHeight="1" x14ac:dyDescent="0.25">
      <c r="A123" s="847">
        <f>Chem!A123</f>
        <v>121</v>
      </c>
      <c r="B123" s="941" t="str">
        <f>Chem!B123</f>
        <v>Hexachloroethane</v>
      </c>
      <c r="C123" s="909">
        <f>Param!U123</f>
        <v>8.5714285714285719E-3</v>
      </c>
      <c r="D123" s="557">
        <f>Param!Z123</f>
        <v>3.85E-2</v>
      </c>
      <c r="E123" s="602">
        <f>IF(C123="na","na",C123*Eqtn!$D$259)</f>
        <v>13.714285714285715</v>
      </c>
      <c r="F123" s="582">
        <f>IF(D123="na","na",Eqtn!$D$280/D123)</f>
        <v>0.22727272727272727</v>
      </c>
      <c r="G123" s="694">
        <f>IF(C123="na","na",C123*Eqtn!$D$301)</f>
        <v>30</v>
      </c>
      <c r="H123" s="695">
        <f>IF(D123="na","na",Eqtn!$D$322/D123)</f>
        <v>2.2727272727272729</v>
      </c>
      <c r="I123" s="348">
        <f>IF($C123="na","na",$C123*Eqtn!$D$343)</f>
        <v>116.79999999999998</v>
      </c>
      <c r="J123" s="367">
        <f>IF($D123="na","na",Eqtn!$D$364/$D123)</f>
        <v>1.0618181818181816</v>
      </c>
      <c r="L123" s="1062"/>
    </row>
    <row r="124" spans="1:12" ht="13.9" customHeight="1" x14ac:dyDescent="0.25">
      <c r="A124" s="847">
        <f>Chem!A124</f>
        <v>122</v>
      </c>
      <c r="B124" s="941" t="str">
        <f>Chem!B124</f>
        <v>Isophorone</v>
      </c>
      <c r="C124" s="909">
        <f>Param!U124</f>
        <v>0.5714285714285714</v>
      </c>
      <c r="D124" s="557" t="str">
        <f>Param!Z124</f>
        <v>na</v>
      </c>
      <c r="E124" s="602">
        <f>IF(C124="na","na",C124*Eqtn!$D$259)</f>
        <v>914.28571428571422</v>
      </c>
      <c r="F124" s="582" t="str">
        <f>IF(D124="na","na",Eqtn!$D$280/D124)</f>
        <v>na</v>
      </c>
      <c r="G124" s="694">
        <f>IF(C124="na","na",C124*Eqtn!$D$301)</f>
        <v>2000</v>
      </c>
      <c r="H124" s="695" t="str">
        <f>IF(D124="na","na",Eqtn!$D$322/D124)</f>
        <v>na</v>
      </c>
      <c r="I124" s="348">
        <f>IF($C124="na","na",$C124*Eqtn!$D$343)</f>
        <v>7786.6666666666652</v>
      </c>
      <c r="J124" s="367" t="str">
        <f>IF($D124="na","na",Eqtn!$D$364/$D124)</f>
        <v>na</v>
      </c>
      <c r="L124" s="1062"/>
    </row>
    <row r="125" spans="1:12" ht="13.9" customHeight="1" x14ac:dyDescent="0.25">
      <c r="A125" s="847">
        <f>Chem!A125</f>
        <v>123</v>
      </c>
      <c r="B125" s="941" t="str">
        <f>Chem!B125</f>
        <v>2-Methoxynaphthalene</v>
      </c>
      <c r="C125" s="909" t="str">
        <f>Param!U125</f>
        <v>na</v>
      </c>
      <c r="D125" s="557" t="str">
        <f>Param!Z125</f>
        <v>na</v>
      </c>
      <c r="E125" s="602" t="str">
        <f>IF(C125="na","na",C125*Eqtn!$D$259)</f>
        <v>na</v>
      </c>
      <c r="F125" s="582" t="str">
        <f>IF(D125="na","na",Eqtn!$D$280/D125)</f>
        <v>na</v>
      </c>
      <c r="G125" s="694" t="str">
        <f>IF(C125="na","na",C125*Eqtn!$D$301)</f>
        <v>na</v>
      </c>
      <c r="H125" s="695" t="str">
        <f>IF(D125="na","na",Eqtn!$D$322/D125)</f>
        <v>na</v>
      </c>
      <c r="I125" s="348" t="str">
        <f>IF($C125="na","na",$C125*Eqtn!$D$343)</f>
        <v>na</v>
      </c>
      <c r="J125" s="367" t="str">
        <f>IF($D125="na","na",Eqtn!$D$364/$D125)</f>
        <v>na</v>
      </c>
      <c r="L125" s="1062"/>
    </row>
    <row r="126" spans="1:12" ht="13.9" customHeight="1" x14ac:dyDescent="0.25">
      <c r="A126" s="847">
        <f>Chem!A126</f>
        <v>124</v>
      </c>
      <c r="B126" s="941" t="str">
        <f>Chem!B126</f>
        <v>2-Methylphenol (o-cresol)</v>
      </c>
      <c r="C126" s="909">
        <f>Param!U126</f>
        <v>0.17142857142857143</v>
      </c>
      <c r="D126" s="557" t="str">
        <f>Param!Z126</f>
        <v>na</v>
      </c>
      <c r="E126" s="602">
        <f>IF(C126="na","na",C126*Eqtn!$D$259)</f>
        <v>274.28571428571428</v>
      </c>
      <c r="F126" s="582" t="str">
        <f>IF(D126="na","na",Eqtn!$D$280/D126)</f>
        <v>na</v>
      </c>
      <c r="G126" s="694">
        <f>IF(C126="na","na",C126*Eqtn!$D$301)</f>
        <v>600</v>
      </c>
      <c r="H126" s="695" t="str">
        <f>IF(D126="na","na",Eqtn!$D$322/D126)</f>
        <v>na</v>
      </c>
      <c r="I126" s="348">
        <f>IF($C126="na","na",$C126*Eqtn!$D$343)</f>
        <v>2335.9999999999995</v>
      </c>
      <c r="J126" s="367" t="str">
        <f>IF($D126="na","na",Eqtn!$D$364/$D126)</f>
        <v>na</v>
      </c>
      <c r="L126" s="1062"/>
    </row>
    <row r="127" spans="1:12" ht="13.9" customHeight="1" x14ac:dyDescent="0.25">
      <c r="A127" s="847">
        <f>Chem!A127</f>
        <v>125</v>
      </c>
      <c r="B127" s="941" t="str">
        <f>Chem!B127</f>
        <v>3-Methylphenol (m-cresol)</v>
      </c>
      <c r="C127" s="909">
        <f>Param!U127</f>
        <v>0.17142857142857143</v>
      </c>
      <c r="D127" s="557" t="str">
        <f>Param!Z127</f>
        <v>na</v>
      </c>
      <c r="E127" s="602">
        <f>IF(C127="na","na",C127*Eqtn!$D$259)</f>
        <v>274.28571428571428</v>
      </c>
      <c r="F127" s="582" t="str">
        <f>IF(D127="na","na",Eqtn!$D$280/D127)</f>
        <v>na</v>
      </c>
      <c r="G127" s="694">
        <f>IF(C127="na","na",C127*Eqtn!$D$301)</f>
        <v>600</v>
      </c>
      <c r="H127" s="695" t="str">
        <f>IF(D127="na","na",Eqtn!$D$322/D127)</f>
        <v>na</v>
      </c>
      <c r="I127" s="348">
        <f>IF($C127="na","na",$C127*Eqtn!$D$343)</f>
        <v>2335.9999999999995</v>
      </c>
      <c r="J127" s="367" t="str">
        <f>IF($D127="na","na",Eqtn!$D$364/$D127)</f>
        <v>na</v>
      </c>
      <c r="L127" s="1062"/>
    </row>
    <row r="128" spans="1:12" ht="13.9" customHeight="1" x14ac:dyDescent="0.25">
      <c r="A128" s="847">
        <f>Chem!A128</f>
        <v>126</v>
      </c>
      <c r="B128" s="941" t="str">
        <f>Chem!B128</f>
        <v>4-Methylphenol (p-cresol)</v>
      </c>
      <c r="C128" s="909">
        <f>Param!U128</f>
        <v>0.17142857142857143</v>
      </c>
      <c r="D128" s="557" t="str">
        <f>Param!Z128</f>
        <v>na</v>
      </c>
      <c r="E128" s="602">
        <f>IF(C128="na","na",C128*Eqtn!$D$259)</f>
        <v>274.28571428571428</v>
      </c>
      <c r="F128" s="582" t="str">
        <f>IF(D128="na","na",Eqtn!$D$280/D128)</f>
        <v>na</v>
      </c>
      <c r="G128" s="694">
        <f>IF(C128="na","na",C128*Eqtn!$D$301)</f>
        <v>600</v>
      </c>
      <c r="H128" s="695" t="str">
        <f>IF(D128="na","na",Eqtn!$D$322/D128)</f>
        <v>na</v>
      </c>
      <c r="I128" s="348">
        <f>IF($C128="na","na",$C128*Eqtn!$D$343)</f>
        <v>2335.9999999999995</v>
      </c>
      <c r="J128" s="367" t="str">
        <f>IF($D128="na","na",Eqtn!$D$364/$D128)</f>
        <v>na</v>
      </c>
      <c r="L128" s="1062"/>
    </row>
    <row r="129" spans="1:12" ht="13.9" customHeight="1" x14ac:dyDescent="0.25">
      <c r="A129" s="847">
        <f>Chem!A129</f>
        <v>127</v>
      </c>
      <c r="B129" s="941" t="str">
        <f>Chem!B129</f>
        <v>2-Nitroaniline</v>
      </c>
      <c r="C129" s="909">
        <f>Param!U129</f>
        <v>1.4285714285714285E-5</v>
      </c>
      <c r="D129" s="557" t="str">
        <f>Param!Z129</f>
        <v>na</v>
      </c>
      <c r="E129" s="602">
        <f>IF(C129="na","na",C129*Eqtn!$D$259)</f>
        <v>2.2857142857142857E-2</v>
      </c>
      <c r="F129" s="582" t="str">
        <f>IF(D129="na","na",Eqtn!$D$280/D129)</f>
        <v>na</v>
      </c>
      <c r="G129" s="694">
        <f>IF(C129="na","na",C129*Eqtn!$D$301)</f>
        <v>4.9999999999999996E-2</v>
      </c>
      <c r="H129" s="695" t="str">
        <f>IF(D129="na","na",Eqtn!$D$322/D129)</f>
        <v>na</v>
      </c>
      <c r="I129" s="348">
        <f>IF($C129="na","na",$C129*Eqtn!$D$343)</f>
        <v>0.19466666666666663</v>
      </c>
      <c r="J129" s="367" t="str">
        <f>IF($D129="na","na",Eqtn!$D$364/$D129)</f>
        <v>na</v>
      </c>
      <c r="L129" s="1062"/>
    </row>
    <row r="130" spans="1:12" ht="13.9" customHeight="1" x14ac:dyDescent="0.25">
      <c r="A130" s="847">
        <f>Chem!A130</f>
        <v>128</v>
      </c>
      <c r="B130" s="941" t="str">
        <f>Chem!B130</f>
        <v>3-Nitroaniline</v>
      </c>
      <c r="C130" s="909" t="str">
        <f>Param!U130</f>
        <v>na</v>
      </c>
      <c r="D130" s="557" t="str">
        <f>Param!Z130</f>
        <v>na</v>
      </c>
      <c r="E130" s="602" t="str">
        <f>IF(C130="na","na",C130*Eqtn!$D$259)</f>
        <v>na</v>
      </c>
      <c r="F130" s="582" t="str">
        <f>IF(D130="na","na",Eqtn!$D$280/D130)</f>
        <v>na</v>
      </c>
      <c r="G130" s="694" t="str">
        <f>IF(C130="na","na",C130*Eqtn!$D$301)</f>
        <v>na</v>
      </c>
      <c r="H130" s="695" t="str">
        <f>IF(D130="na","na",Eqtn!$D$322/D130)</f>
        <v>na</v>
      </c>
      <c r="I130" s="348" t="str">
        <f>IF($C130="na","na",$C130*Eqtn!$D$343)</f>
        <v>na</v>
      </c>
      <c r="J130" s="367" t="str">
        <f>IF($D130="na","na",Eqtn!$D$364/$D130)</f>
        <v>na</v>
      </c>
      <c r="L130" s="1062"/>
    </row>
    <row r="131" spans="1:12" ht="13.9" customHeight="1" x14ac:dyDescent="0.25">
      <c r="A131" s="847">
        <f>Chem!A131</f>
        <v>129</v>
      </c>
      <c r="B131" s="941" t="str">
        <f>Chem!B131</f>
        <v>4-Nitroaniline</v>
      </c>
      <c r="C131" s="909">
        <f>Param!U131</f>
        <v>1.7142857142857142E-3</v>
      </c>
      <c r="D131" s="557" t="str">
        <f>Param!Z131</f>
        <v>na</v>
      </c>
      <c r="E131" s="602">
        <f>IF(C131="na","na",C131*Eqtn!$D$259)</f>
        <v>2.7428571428571429</v>
      </c>
      <c r="F131" s="582" t="str">
        <f>IF(D131="na","na",Eqtn!$D$280/D131)</f>
        <v>na</v>
      </c>
      <c r="G131" s="694">
        <f>IF(C131="na","na",C131*Eqtn!$D$301)</f>
        <v>6</v>
      </c>
      <c r="H131" s="695" t="str">
        <f>IF(D131="na","na",Eqtn!$D$322/D131)</f>
        <v>na</v>
      </c>
      <c r="I131" s="348">
        <f>IF($C131="na","na",$C131*Eqtn!$D$343)</f>
        <v>23.359999999999996</v>
      </c>
      <c r="J131" s="367" t="str">
        <f>IF($D131="na","na",Eqtn!$D$364/$D131)</f>
        <v>na</v>
      </c>
      <c r="L131" s="1062"/>
    </row>
    <row r="132" spans="1:12" ht="13.9" customHeight="1" x14ac:dyDescent="0.25">
      <c r="A132" s="847">
        <f>Chem!A132</f>
        <v>130</v>
      </c>
      <c r="B132" s="941" t="str">
        <f>Chem!B132</f>
        <v>Nitrobenzene</v>
      </c>
      <c r="C132" s="909">
        <f>Param!U132</f>
        <v>2.5714285714285713E-3</v>
      </c>
      <c r="D132" s="557">
        <f>Param!Z132</f>
        <v>0.14000000000000004</v>
      </c>
      <c r="E132" s="602">
        <f>IF(C132="na","na",C132*Eqtn!$D$259)</f>
        <v>4.1142857142857139</v>
      </c>
      <c r="F132" s="582">
        <f>IF(D132="na","na",Eqtn!$D$280/D132)</f>
        <v>6.2499999999999972E-2</v>
      </c>
      <c r="G132" s="694">
        <f>IF(C132="na","na",C132*Eqtn!$D$301)</f>
        <v>9</v>
      </c>
      <c r="H132" s="695">
        <f>IF(D132="na","na",Eqtn!$D$322/D132)</f>
        <v>0.62499999999999989</v>
      </c>
      <c r="I132" s="348">
        <f>IF($C132="na","na",$C132*Eqtn!$D$343)</f>
        <v>35.039999999999992</v>
      </c>
      <c r="J132" s="367">
        <f>IF($D132="na","na",Eqtn!$D$364/$D132)</f>
        <v>0.29199999999999982</v>
      </c>
      <c r="L132" s="1062"/>
    </row>
    <row r="133" spans="1:12" ht="13.9" customHeight="1" x14ac:dyDescent="0.25">
      <c r="A133" s="847">
        <f>Chem!A133</f>
        <v>131</v>
      </c>
      <c r="B133" s="941" t="str">
        <f>Chem!B133</f>
        <v>2-Nitrophenol</v>
      </c>
      <c r="C133" s="909" t="str">
        <f>Param!U133</f>
        <v>na</v>
      </c>
      <c r="D133" s="557" t="str">
        <f>Param!Z133</f>
        <v>na</v>
      </c>
      <c r="E133" s="602" t="str">
        <f>IF(C133="na","na",C133*Eqtn!$D$259)</f>
        <v>na</v>
      </c>
      <c r="F133" s="582" t="str">
        <f>IF(D133="na","na",Eqtn!$D$280/D133)</f>
        <v>na</v>
      </c>
      <c r="G133" s="694" t="str">
        <f>IF(C133="na","na",C133*Eqtn!$D$301)</f>
        <v>na</v>
      </c>
      <c r="H133" s="695" t="str">
        <f>IF(D133="na","na",Eqtn!$D$322/D133)</f>
        <v>na</v>
      </c>
      <c r="I133" s="348" t="str">
        <f>IF($C133="na","na",$C133*Eqtn!$D$343)</f>
        <v>na</v>
      </c>
      <c r="J133" s="367" t="str">
        <f>IF($D133="na","na",Eqtn!$D$364/$D133)</f>
        <v>na</v>
      </c>
      <c r="L133" s="1062"/>
    </row>
    <row r="134" spans="1:12" ht="13.9" customHeight="1" x14ac:dyDescent="0.25">
      <c r="A134" s="847">
        <f>Chem!A134</f>
        <v>132</v>
      </c>
      <c r="B134" s="941" t="str">
        <f>Chem!B134</f>
        <v>4-Nitrophenol</v>
      </c>
      <c r="C134" s="909" t="str">
        <f>Param!U134</f>
        <v>na</v>
      </c>
      <c r="D134" s="557" t="str">
        <f>Param!Z134</f>
        <v>na</v>
      </c>
      <c r="E134" s="602" t="str">
        <f>IF(C134="na","na",C134*Eqtn!$D$259)</f>
        <v>na</v>
      </c>
      <c r="F134" s="582" t="str">
        <f>IF(D134="na","na",Eqtn!$D$280/D134)</f>
        <v>na</v>
      </c>
      <c r="G134" s="694" t="str">
        <f>IF(C134="na","na",C134*Eqtn!$D$301)</f>
        <v>na</v>
      </c>
      <c r="H134" s="695" t="str">
        <f>IF(D134="na","na",Eqtn!$D$322/D134)</f>
        <v>na</v>
      </c>
      <c r="I134" s="348" t="str">
        <f>IF($C134="na","na",$C134*Eqtn!$D$343)</f>
        <v>na</v>
      </c>
      <c r="J134" s="367" t="str">
        <f>IF($D134="na","na",Eqtn!$D$364/$D134)</f>
        <v>na</v>
      </c>
      <c r="L134" s="1062"/>
    </row>
    <row r="135" spans="1:12" ht="13.9" customHeight="1" x14ac:dyDescent="0.25">
      <c r="A135" s="847">
        <f>Chem!A135</f>
        <v>133</v>
      </c>
      <c r="B135" s="1852" t="str">
        <f>Chem!B135</f>
        <v>n-Nitrosodimethylamine</v>
      </c>
      <c r="C135" s="909">
        <f>Param!U135</f>
        <v>1.1428571428571429E-5</v>
      </c>
      <c r="D135" s="557">
        <f>Param!Z135</f>
        <v>49</v>
      </c>
      <c r="E135" s="602">
        <f>IF(C135="na","na",C135*Eqtn!$D$259)</f>
        <v>1.8285714285714287E-2</v>
      </c>
      <c r="F135" s="348">
        <v>4.6999999999999997E-5</v>
      </c>
      <c r="G135" s="694">
        <f>IF(C135="na","na",C135*Eqtn!$D$301)</f>
        <v>0.04</v>
      </c>
      <c r="H135" s="695">
        <f>IF(D135="na","na",Eqtn!$D$322/D135)</f>
        <v>1.7857142857142859E-3</v>
      </c>
      <c r="I135" s="348">
        <f>IF($C135="na","na",$C135*Eqtn!$D$343)</f>
        <v>0.15573333333333331</v>
      </c>
      <c r="J135" s="367">
        <f>IF($D135="na","na",Eqtn!$D$364/$D135)</f>
        <v>8.3428571428571395E-4</v>
      </c>
      <c r="L135" s="1062"/>
    </row>
    <row r="136" spans="1:12" ht="13.9" customHeight="1" x14ac:dyDescent="0.25">
      <c r="A136" s="847">
        <f>Chem!A136</f>
        <v>134</v>
      </c>
      <c r="B136" s="941" t="str">
        <f>Chem!B136</f>
        <v>n-Nitrosodiphenylamine</v>
      </c>
      <c r="C136" s="909" t="str">
        <f>Param!U136</f>
        <v>na</v>
      </c>
      <c r="D136" s="557">
        <f>Param!Z136</f>
        <v>9.1000000000000004E-3</v>
      </c>
      <c r="E136" s="602" t="str">
        <f>IF(C136="na","na",C136*Eqtn!$D$259)</f>
        <v>na</v>
      </c>
      <c r="F136" s="582">
        <f>IF(D136="na","na",Eqtn!$D$280/D136)</f>
        <v>0.96153846153846134</v>
      </c>
      <c r="G136" s="694" t="str">
        <f>IF(C136="na","na",C136*Eqtn!$D$301)</f>
        <v>na</v>
      </c>
      <c r="H136" s="695">
        <f>IF(D136="na","na",Eqtn!$D$322/D136)</f>
        <v>9.615384615384615</v>
      </c>
      <c r="I136" s="348" t="str">
        <f>IF($C136="na","na",$C136*Eqtn!$D$343)</f>
        <v>na</v>
      </c>
      <c r="J136" s="367">
        <f>IF($D136="na","na",Eqtn!$D$364/$D136)</f>
        <v>4.4923076923076906</v>
      </c>
      <c r="L136" s="1062"/>
    </row>
    <row r="137" spans="1:12" ht="13.9" customHeight="1" x14ac:dyDescent="0.25">
      <c r="A137" s="847">
        <f>Chem!A137</f>
        <v>135</v>
      </c>
      <c r="B137" s="941" t="str">
        <f>Chem!B137</f>
        <v>n-Nitrosodi-n-propylamine</v>
      </c>
      <c r="C137" s="909" t="str">
        <f>Param!U137</f>
        <v>na</v>
      </c>
      <c r="D137" s="557">
        <f>Param!Z137</f>
        <v>7</v>
      </c>
      <c r="E137" s="602" t="str">
        <f>IF(C137="na","na",C137*Eqtn!$D$259)</f>
        <v>na</v>
      </c>
      <c r="F137" s="582">
        <f>IF(D137="na","na",Eqtn!$D$280/D137)</f>
        <v>1.2499999999999998E-3</v>
      </c>
      <c r="G137" s="694" t="str">
        <f>IF(C137="na","na",C137*Eqtn!$D$301)</f>
        <v>na</v>
      </c>
      <c r="H137" s="695">
        <f>IF(D137="na","na",Eqtn!$D$322/D137)</f>
        <v>1.2500000000000001E-2</v>
      </c>
      <c r="I137" s="348" t="str">
        <f>IF($C137="na","na",$C137*Eqtn!$D$343)</f>
        <v>na</v>
      </c>
      <c r="J137" s="367">
        <f>IF($D137="na","na",Eqtn!$D$364/$D137)</f>
        <v>5.839999999999998E-3</v>
      </c>
      <c r="L137" s="1062"/>
    </row>
    <row r="138" spans="1:12" ht="13.9" customHeight="1" x14ac:dyDescent="0.25">
      <c r="A138" s="847">
        <f>Chem!A138</f>
        <v>136</v>
      </c>
      <c r="B138" s="941" t="str">
        <f>Chem!B138</f>
        <v>Pentachlorophenol</v>
      </c>
      <c r="C138" s="909" t="str">
        <f>Param!U138</f>
        <v>na</v>
      </c>
      <c r="D138" s="557">
        <f>Param!Z138</f>
        <v>1.7850000000000001E-2</v>
      </c>
      <c r="E138" s="602" t="str">
        <f>IF(C138="na","na",C138*Eqtn!$D$259)</f>
        <v>na</v>
      </c>
      <c r="F138" s="582">
        <f>IF(D138="na","na",Eqtn!$D$280/D138)</f>
        <v>0.49019607843137247</v>
      </c>
      <c r="G138" s="694" t="str">
        <f>IF(C138="na","na",C138*Eqtn!$D$301)</f>
        <v>na</v>
      </c>
      <c r="H138" s="695">
        <f>IF(D138="na","na",Eqtn!$D$322/D138)</f>
        <v>4.9019607843137258</v>
      </c>
      <c r="I138" s="348" t="str">
        <f>IF($C138="na","na",$C138*Eqtn!$D$343)</f>
        <v>na</v>
      </c>
      <c r="J138" s="367">
        <f>IF($D138="na","na",Eqtn!$D$364/$D138)</f>
        <v>2.2901960784313715</v>
      </c>
      <c r="L138" s="1062"/>
    </row>
    <row r="139" spans="1:12" ht="13.9" customHeight="1" x14ac:dyDescent="0.25">
      <c r="A139" s="847">
        <f>Chem!A139</f>
        <v>137</v>
      </c>
      <c r="B139" s="941" t="str">
        <f>Chem!B139</f>
        <v>Phenol</v>
      </c>
      <c r="C139" s="909">
        <f>Param!U139</f>
        <v>5.7142857142857134E-2</v>
      </c>
      <c r="D139" s="557" t="str">
        <f>Param!Z139</f>
        <v>na</v>
      </c>
      <c r="E139" s="602">
        <f>IF(C139="na","na",C139*Eqtn!$D$259)</f>
        <v>91.428571428571416</v>
      </c>
      <c r="F139" s="582" t="str">
        <f>IF(D139="na","na",Eqtn!$D$280/D139)</f>
        <v>na</v>
      </c>
      <c r="G139" s="694">
        <f>IF(C139="na","na",C139*Eqtn!$D$301)</f>
        <v>199.99999999999997</v>
      </c>
      <c r="H139" s="695" t="str">
        <f>IF(D139="na","na",Eqtn!$D$322/D139)</f>
        <v>na</v>
      </c>
      <c r="I139" s="348">
        <f>IF($C139="na","na",$C139*Eqtn!$D$343)</f>
        <v>778.6666666666664</v>
      </c>
      <c r="J139" s="367" t="str">
        <f>IF($D139="na","na",Eqtn!$D$364/$D139)</f>
        <v>na</v>
      </c>
      <c r="L139" s="1062"/>
    </row>
    <row r="140" spans="1:12" ht="13.9" customHeight="1" x14ac:dyDescent="0.25">
      <c r="A140" s="847">
        <f>Chem!A140</f>
        <v>138</v>
      </c>
      <c r="B140" s="941" t="str">
        <f>Chem!B140</f>
        <v>Pyridine</v>
      </c>
      <c r="C140" s="909" t="str">
        <f>Param!U140</f>
        <v>na</v>
      </c>
      <c r="D140" s="557" t="str">
        <f>Param!Z140</f>
        <v>na</v>
      </c>
      <c r="E140" s="602" t="str">
        <f>IF(C140="na","na",C140*Eqtn!$D$259)</f>
        <v>na</v>
      </c>
      <c r="F140" s="582" t="str">
        <f>IF(D140="na","na",Eqtn!$D$280/D140)</f>
        <v>na</v>
      </c>
      <c r="G140" s="694" t="str">
        <f>IF(C140="na","na",C140*Eqtn!$D$301)</f>
        <v>na</v>
      </c>
      <c r="H140" s="695" t="str">
        <f>IF(D140="na","na",Eqtn!$D$322/D140)</f>
        <v>na</v>
      </c>
      <c r="I140" s="348" t="str">
        <f>IF($C140="na","na",$C140*Eqtn!$D$343)</f>
        <v>na</v>
      </c>
      <c r="J140" s="367" t="str">
        <f>IF($D140="na","na",Eqtn!$D$364/$D140)</f>
        <v>na</v>
      </c>
      <c r="L140" s="1062"/>
    </row>
    <row r="141" spans="1:12" ht="13.9" customHeight="1" x14ac:dyDescent="0.25">
      <c r="A141" s="847">
        <f>Chem!A141</f>
        <v>139</v>
      </c>
      <c r="B141" s="941" t="str">
        <f>Chem!B141</f>
        <v>2,3,4,5-Tetrachlorophenol</v>
      </c>
      <c r="C141" s="909" t="str">
        <f>Param!U141</f>
        <v>na</v>
      </c>
      <c r="D141" s="557" t="str">
        <f>Param!Z141</f>
        <v>na</v>
      </c>
      <c r="E141" s="602" t="str">
        <f>IF(C141="na","na",C141*Eqtn!$D$259)</f>
        <v>na</v>
      </c>
      <c r="F141" s="582" t="str">
        <f>IF(D141="na","na",Eqtn!$D$280/D141)</f>
        <v>na</v>
      </c>
      <c r="G141" s="694" t="str">
        <f>IF(C141="na","na",C141*Eqtn!$D$301)</f>
        <v>na</v>
      </c>
      <c r="H141" s="695" t="str">
        <f>IF(D141="na","na",Eqtn!$D$322/D141)</f>
        <v>na</v>
      </c>
      <c r="I141" s="348" t="str">
        <f>IF($C141="na","na",$C141*Eqtn!$D$343)</f>
        <v>na</v>
      </c>
      <c r="J141" s="367" t="str">
        <f>IF($D141="na","na",Eqtn!$D$364/$D141)</f>
        <v>na</v>
      </c>
      <c r="L141" s="1062"/>
    </row>
    <row r="142" spans="1:12" ht="13.9" customHeight="1" x14ac:dyDescent="0.25">
      <c r="A142" s="847">
        <f>Chem!A142</f>
        <v>140</v>
      </c>
      <c r="B142" s="941" t="str">
        <f>Chem!B142</f>
        <v>2,3,4,6-Tetrachlorophenol</v>
      </c>
      <c r="C142" s="909" t="str">
        <f>Param!U142</f>
        <v>na</v>
      </c>
      <c r="D142" s="557" t="str">
        <f>Param!Z142</f>
        <v>na</v>
      </c>
      <c r="E142" s="602" t="str">
        <f>IF(C142="na","na",C142*Eqtn!$D$259)</f>
        <v>na</v>
      </c>
      <c r="F142" s="582" t="str">
        <f>IF(D142="na","na",Eqtn!$D$280/D142)</f>
        <v>na</v>
      </c>
      <c r="G142" s="694" t="str">
        <f>IF(C142="na","na",C142*Eqtn!$D$301)</f>
        <v>na</v>
      </c>
      <c r="H142" s="695" t="str">
        <f>IF(D142="na","na",Eqtn!$D$322/D142)</f>
        <v>na</v>
      </c>
      <c r="I142" s="348" t="str">
        <f>IF($C142="na","na",$C142*Eqtn!$D$343)</f>
        <v>na</v>
      </c>
      <c r="J142" s="367" t="str">
        <f>IF($D142="na","na",Eqtn!$D$364/$D142)</f>
        <v>na</v>
      </c>
      <c r="L142" s="1062"/>
    </row>
    <row r="143" spans="1:12" ht="13.9" customHeight="1" x14ac:dyDescent="0.25">
      <c r="A143" s="847">
        <f>Chem!A143</f>
        <v>141</v>
      </c>
      <c r="B143" s="941" t="str">
        <f>Chem!B143</f>
        <v>1,2,4-Trichlorobenzene</v>
      </c>
      <c r="C143" s="909">
        <f>Param!U143</f>
        <v>5.7142857142857147E-4</v>
      </c>
      <c r="D143" s="557" t="str">
        <f>Param!Z143</f>
        <v>na</v>
      </c>
      <c r="E143" s="602">
        <f>IF(C143="na","na",C143*Eqtn!$D$259)</f>
        <v>0.91428571428571437</v>
      </c>
      <c r="F143" s="582" t="str">
        <f>IF(D143="na","na",Eqtn!$D$280/D143)</f>
        <v>na</v>
      </c>
      <c r="G143" s="694">
        <f>IF(C143="na","na",C143*Eqtn!$D$301)</f>
        <v>2</v>
      </c>
      <c r="H143" s="695" t="str">
        <f>IF(D143="na","na",Eqtn!$D$322/D143)</f>
        <v>na</v>
      </c>
      <c r="I143" s="348">
        <f>IF($C143="na","na",$C143*Eqtn!$D$343)</f>
        <v>7.7866666666666662</v>
      </c>
      <c r="J143" s="367" t="str">
        <f>IF($D143="na","na",Eqtn!$D$364/$D143)</f>
        <v>na</v>
      </c>
      <c r="L143" s="1062"/>
    </row>
    <row r="144" spans="1:12" ht="13.9" customHeight="1" x14ac:dyDescent="0.25">
      <c r="A144" s="847">
        <f>Chem!A144</f>
        <v>142</v>
      </c>
      <c r="B144" s="941" t="str">
        <f>Chem!B144</f>
        <v>2,4,5-Trichlorophenol</v>
      </c>
      <c r="C144" s="909" t="str">
        <f>Param!U144</f>
        <v>na</v>
      </c>
      <c r="D144" s="557" t="str">
        <f>Param!Z144</f>
        <v>na</v>
      </c>
      <c r="E144" s="602" t="str">
        <f>IF(C144="na","na",C144*Eqtn!$D$259)</f>
        <v>na</v>
      </c>
      <c r="F144" s="582" t="str">
        <f>IF(D144="na","na",Eqtn!$D$280/D144)</f>
        <v>na</v>
      </c>
      <c r="G144" s="694" t="str">
        <f>IF(C144="na","na",C144*Eqtn!$D$301)</f>
        <v>na</v>
      </c>
      <c r="H144" s="695" t="str">
        <f>IF(D144="na","na",Eqtn!$D$322/D144)</f>
        <v>na</v>
      </c>
      <c r="I144" s="348" t="str">
        <f>IF($C144="na","na",$C144*Eqtn!$D$343)</f>
        <v>na</v>
      </c>
      <c r="J144" s="367" t="str">
        <f>IF($D144="na","na",Eqtn!$D$364/$D144)</f>
        <v>na</v>
      </c>
      <c r="L144" s="1062"/>
    </row>
    <row r="145" spans="1:12" ht="13.9" customHeight="1" x14ac:dyDescent="0.25">
      <c r="A145" s="842">
        <f>Chem!A145</f>
        <v>143</v>
      </c>
      <c r="B145" s="941" t="str">
        <f>Chem!B145</f>
        <v>2,4,6-Trichlorophenol</v>
      </c>
      <c r="C145" s="910" t="str">
        <f>Param!U145</f>
        <v>na</v>
      </c>
      <c r="D145" s="558">
        <f>Param!Z145</f>
        <v>1.0850000000000002E-2</v>
      </c>
      <c r="E145" s="609" t="str">
        <f>IF(C145="na","na",C145*Eqtn!$D$259)</f>
        <v>na</v>
      </c>
      <c r="F145" s="583">
        <f>IF(D145="na","na",Eqtn!$D$280/D145)</f>
        <v>0.80645161290322553</v>
      </c>
      <c r="G145" s="707" t="str">
        <f>IF(C145="na","na",C145*Eqtn!$D$301)</f>
        <v>na</v>
      </c>
      <c r="H145" s="741">
        <f>IF(D145="na","na",Eqtn!$D$322/D145)</f>
        <v>8.064516129032258</v>
      </c>
      <c r="I145" s="723" t="str">
        <f>IF($C145="na","na",$C145*Eqtn!$D$343)</f>
        <v>na</v>
      </c>
      <c r="J145" s="724">
        <f>IF($D145="na","na",Eqtn!$D$364/$D145)</f>
        <v>3.767741935483869</v>
      </c>
      <c r="L145" s="1062"/>
    </row>
    <row r="146" spans="1:12" ht="13.9" customHeight="1" x14ac:dyDescent="0.25">
      <c r="A146" s="1197">
        <f>Chem!A146</f>
        <v>144</v>
      </c>
      <c r="B146" s="943" t="str">
        <f>Chem!B146</f>
        <v>Volatile Organic Compounds</v>
      </c>
      <c r="C146" s="127"/>
      <c r="D146" s="127"/>
      <c r="E146" s="127"/>
      <c r="F146" s="127"/>
      <c r="G146" s="127"/>
      <c r="H146" s="127"/>
      <c r="I146" s="127"/>
      <c r="J146" s="2364"/>
      <c r="L146" s="1063"/>
    </row>
    <row r="147" spans="1:12" ht="13.9" customHeight="1" x14ac:dyDescent="0.25">
      <c r="A147" s="846">
        <f>Chem!A147</f>
        <v>145</v>
      </c>
      <c r="B147" s="941" t="str">
        <f>Chem!B147</f>
        <v>Acetone</v>
      </c>
      <c r="C147" s="911" t="str">
        <f>Param!U147</f>
        <v>na</v>
      </c>
      <c r="D147" s="683" t="str">
        <f>Param!Z147</f>
        <v>na</v>
      </c>
      <c r="E147" s="607" t="str">
        <f>IF(C147="na","na",C147*Eqtn!$D$259)</f>
        <v>na</v>
      </c>
      <c r="F147" s="691" t="str">
        <f>IF(D147="na","na",Eqtn!$D$280/D147)</f>
        <v>na</v>
      </c>
      <c r="G147" s="706" t="str">
        <f>IF(C147="na","na",C147*Eqtn!$D$301)</f>
        <v>na</v>
      </c>
      <c r="H147" s="823" t="str">
        <f>IF(D147="na","na",Eqtn!$D$322/D147)</f>
        <v>na</v>
      </c>
      <c r="I147" s="721" t="str">
        <f>IF($C147="na","na",$C147*Eqtn!$D$343)</f>
        <v>na</v>
      </c>
      <c r="J147" s="722" t="str">
        <f>IF($D147="na","na",Eqtn!$D$364/$D147)</f>
        <v>na</v>
      </c>
      <c r="L147" s="1062"/>
    </row>
    <row r="148" spans="1:12" ht="13.9" customHeight="1" x14ac:dyDescent="0.25">
      <c r="A148" s="846">
        <f>Chem!A148</f>
        <v>146</v>
      </c>
      <c r="B148" s="941" t="str">
        <f>Chem!B148</f>
        <v>Acetaldehyde</v>
      </c>
      <c r="C148" s="909">
        <f>Param!U148</f>
        <v>2.5714285714285713E-3</v>
      </c>
      <c r="D148" s="557">
        <f>Param!Z148</f>
        <v>7.7000000000000002E-3</v>
      </c>
      <c r="E148" s="602">
        <f>IF(C148="na","na",C148*Eqtn!$D$259)</f>
        <v>4.1142857142857139</v>
      </c>
      <c r="F148" s="582">
        <f>IF(D148="na","na",Eqtn!$D$280/D148)</f>
        <v>1.1363636363636362</v>
      </c>
      <c r="G148" s="694">
        <f>IF(C148="na","na",C148*Eqtn!$D$301)</f>
        <v>9</v>
      </c>
      <c r="H148" s="695">
        <f>IF(D148="na","na",Eqtn!$D$322/D148)</f>
        <v>11.363636363636365</v>
      </c>
      <c r="I148" s="721">
        <f>IF($C148="na","na",$C148*Eqtn!$D$343)</f>
        <v>35.039999999999992</v>
      </c>
      <c r="J148" s="722">
        <f>IF($D148="na","na",Eqtn!$D$364/$D148)</f>
        <v>5.3090909090909069</v>
      </c>
      <c r="L148" s="1062"/>
    </row>
    <row r="149" spans="1:12" ht="13.9" customHeight="1" x14ac:dyDescent="0.25">
      <c r="A149" s="846">
        <f>Chem!A149</f>
        <v>147</v>
      </c>
      <c r="B149" s="941" t="str">
        <f>Chem!B149</f>
        <v>Acrolein</v>
      </c>
      <c r="C149" s="909">
        <f>Param!U149</f>
        <v>5.7142857142857145E-6</v>
      </c>
      <c r="D149" s="557" t="str">
        <f>Param!Z149</f>
        <v>na</v>
      </c>
      <c r="E149" s="602">
        <f>IF(C149="na","na",C149*Eqtn!$D$259)</f>
        <v>9.1428571428571435E-3</v>
      </c>
      <c r="F149" s="582" t="str">
        <f>IF(D149="na","na",Eqtn!$D$280/D149)</f>
        <v>na</v>
      </c>
      <c r="G149" s="694">
        <f>IF(C149="na","na",C149*Eqtn!$D$301)</f>
        <v>0.02</v>
      </c>
      <c r="H149" s="695" t="str">
        <f>IF(D149="na","na",Eqtn!$D$322/D149)</f>
        <v>na</v>
      </c>
      <c r="I149" s="348">
        <f>IF($C149="na","na",$C149*Eqtn!$D$343)</f>
        <v>7.7866666666666653E-2</v>
      </c>
      <c r="J149" s="367" t="str">
        <f>IF($D149="na","na",Eqtn!$D$364/$D149)</f>
        <v>na</v>
      </c>
      <c r="L149" s="1062"/>
    </row>
    <row r="150" spans="1:12" ht="13.9" customHeight="1" x14ac:dyDescent="0.25">
      <c r="A150" s="846">
        <f>Chem!A150</f>
        <v>148</v>
      </c>
      <c r="B150" s="941" t="str">
        <f>Chem!B150</f>
        <v>Acrylonitrile</v>
      </c>
      <c r="C150" s="909">
        <f>Param!U150</f>
        <v>5.7142857142857147E-4</v>
      </c>
      <c r="D150" s="557">
        <f>Param!Z150</f>
        <v>0.23800000000000004</v>
      </c>
      <c r="E150" s="602">
        <f>IF(C150="na","na",C150*Eqtn!$D$259)</f>
        <v>0.91428571428571437</v>
      </c>
      <c r="F150" s="582">
        <f>IF(D150="na","na",Eqtn!$D$280/D150)</f>
        <v>3.6764705882352929E-2</v>
      </c>
      <c r="G150" s="694">
        <f>IF(C150="na","na",C150*Eqtn!$D$301)</f>
        <v>2</v>
      </c>
      <c r="H150" s="695">
        <f>IF(D150="na","na",Eqtn!$D$322/D150)</f>
        <v>0.36764705882352938</v>
      </c>
      <c r="I150" s="348">
        <f>IF($C150="na","na",$C150*Eqtn!$D$343)</f>
        <v>7.7866666666666662</v>
      </c>
      <c r="J150" s="367">
        <f>IF($D150="na","na",Eqtn!$D$364/$D150)</f>
        <v>0.17176470588235285</v>
      </c>
      <c r="L150" s="1062"/>
    </row>
    <row r="151" spans="1:12" ht="13.9" customHeight="1" x14ac:dyDescent="0.25">
      <c r="A151" s="846">
        <f>Chem!A151</f>
        <v>149</v>
      </c>
      <c r="B151" s="941" t="str">
        <f>Chem!B151</f>
        <v>Benzaldehyde</v>
      </c>
      <c r="C151" s="909" t="str">
        <f>Param!U151</f>
        <v>na</v>
      </c>
      <c r="D151" s="557" t="str">
        <f>Param!Z151</f>
        <v>na</v>
      </c>
      <c r="E151" s="602" t="str">
        <f>IF(C151="na","na",C151*Eqtn!$D$259)</f>
        <v>na</v>
      </c>
      <c r="F151" s="582" t="str">
        <f>IF(D151="na","na",Eqtn!$D$280/D151)</f>
        <v>na</v>
      </c>
      <c r="G151" s="694" t="str">
        <f>IF(C151="na","na",C151*Eqtn!$D$301)</f>
        <v>na</v>
      </c>
      <c r="H151" s="695" t="str">
        <f>IF(D151="na","na",Eqtn!$D$322/D151)</f>
        <v>na</v>
      </c>
      <c r="I151" s="348" t="str">
        <f>IF($C151="na","na",$C151*Eqtn!$D$343)</f>
        <v>na</v>
      </c>
      <c r="J151" s="367" t="str">
        <f>IF($D151="na","na",Eqtn!$D$364/$D151)</f>
        <v>na</v>
      </c>
      <c r="L151" s="1062"/>
    </row>
    <row r="152" spans="1:12" ht="13.9" customHeight="1" x14ac:dyDescent="0.25">
      <c r="A152" s="846">
        <f>Chem!A152</f>
        <v>150</v>
      </c>
      <c r="B152" s="941" t="str">
        <f>Chem!B152</f>
        <v>Benzene</v>
      </c>
      <c r="C152" s="909">
        <f>Param!U152</f>
        <v>8.5714285714285719E-3</v>
      </c>
      <c r="D152" s="557">
        <f>Param!Z152</f>
        <v>2.7300000000000001E-2</v>
      </c>
      <c r="E152" s="602">
        <f>IF(C152="na","na",C152*Eqtn!$D$259)</f>
        <v>13.714285714285715</v>
      </c>
      <c r="F152" s="582">
        <f>IF(D152="na","na",Eqtn!$D$280/D152)</f>
        <v>0.32051282051282048</v>
      </c>
      <c r="G152" s="694">
        <f>IF(C152="na","na",C152*Eqtn!$D$301)</f>
        <v>30</v>
      </c>
      <c r="H152" s="695">
        <f>IF(D152="na","na",Eqtn!$D$322/D152)</f>
        <v>3.2051282051282053</v>
      </c>
      <c r="I152" s="348">
        <f>IF($C152="na","na",$C152*Eqtn!$D$343)</f>
        <v>116.79999999999998</v>
      </c>
      <c r="J152" s="367">
        <f>IF($D152="na","na",Eqtn!$D$364/$D152)</f>
        <v>1.4974358974358968</v>
      </c>
      <c r="L152" s="1062"/>
    </row>
    <row r="153" spans="1:12" ht="13.9" customHeight="1" x14ac:dyDescent="0.25">
      <c r="A153" s="846">
        <f>Chem!A153</f>
        <v>151</v>
      </c>
      <c r="B153" s="941" t="str">
        <f>Chem!B153</f>
        <v>Bromobenzene</v>
      </c>
      <c r="C153" s="909">
        <f>Param!U153</f>
        <v>1.7142857142857144E-2</v>
      </c>
      <c r="D153" s="557" t="str">
        <f>Param!Z153</f>
        <v>na</v>
      </c>
      <c r="E153" s="602">
        <f>IF(C153="na","na",C153*Eqtn!$D$259)</f>
        <v>27.428571428571431</v>
      </c>
      <c r="F153" s="582" t="str">
        <f>IF(D153="na","na",Eqtn!$D$280/D153)</f>
        <v>na</v>
      </c>
      <c r="G153" s="694">
        <f>IF(C153="na","na",C153*Eqtn!$D$301)</f>
        <v>60</v>
      </c>
      <c r="H153" s="695" t="str">
        <f>IF(D153="na","na",Eqtn!$D$322/D153)</f>
        <v>na</v>
      </c>
      <c r="I153" s="348">
        <f>IF($C153="na","na",$C153*Eqtn!$D$343)</f>
        <v>233.59999999999997</v>
      </c>
      <c r="J153" s="367" t="str">
        <f>IF($D153="na","na",Eqtn!$D$364/$D153)</f>
        <v>na</v>
      </c>
      <c r="L153" s="1062"/>
    </row>
    <row r="154" spans="1:12" ht="13.9" customHeight="1" x14ac:dyDescent="0.25">
      <c r="A154" s="846">
        <f>Chem!A154</f>
        <v>152</v>
      </c>
      <c r="B154" s="941" t="str">
        <f>Chem!B154</f>
        <v>Bromochloromethane</v>
      </c>
      <c r="C154" s="909">
        <f>Param!U154</f>
        <v>1.1428571428571429E-2</v>
      </c>
      <c r="D154" s="557" t="str">
        <f>Param!Z154</f>
        <v>na</v>
      </c>
      <c r="E154" s="602">
        <f>IF(C154="na","na",C154*Eqtn!$D$259)</f>
        <v>18.285714285714285</v>
      </c>
      <c r="F154" s="582" t="str">
        <f>IF(D154="na","na",Eqtn!$D$280/D154)</f>
        <v>na</v>
      </c>
      <c r="G154" s="694">
        <f>IF(C154="na","na",C154*Eqtn!$D$301)</f>
        <v>40</v>
      </c>
      <c r="H154" s="695" t="str">
        <f>IF(D154="na","na",Eqtn!$D$322/D154)</f>
        <v>na</v>
      </c>
      <c r="I154" s="348">
        <f>IF($C154="na","na",$C154*Eqtn!$D$343)</f>
        <v>155.73333333333329</v>
      </c>
      <c r="J154" s="367" t="str">
        <f>IF($D154="na","na",Eqtn!$D$364/$D154)</f>
        <v>na</v>
      </c>
      <c r="L154" s="1062"/>
    </row>
    <row r="155" spans="1:12" ht="13.9" customHeight="1" x14ac:dyDescent="0.25">
      <c r="A155" s="846">
        <f>Chem!A155</f>
        <v>153</v>
      </c>
      <c r="B155" s="941" t="str">
        <f>Chem!B155</f>
        <v>Bromoethane</v>
      </c>
      <c r="C155" s="909" t="str">
        <f>Param!U155</f>
        <v>na</v>
      </c>
      <c r="D155" s="557" t="str">
        <f>Param!Z155</f>
        <v>na</v>
      </c>
      <c r="E155" s="602" t="str">
        <f>IF(C155="na","na",C155*Eqtn!$D$259)</f>
        <v>na</v>
      </c>
      <c r="F155" s="582" t="str">
        <f>IF(D155="na","na",Eqtn!$D$280/D155)</f>
        <v>na</v>
      </c>
      <c r="G155" s="694" t="str">
        <f>IF(C155="na","na",C155*Eqtn!$D$301)</f>
        <v>na</v>
      </c>
      <c r="H155" s="695" t="str">
        <f>IF(D155="na","na",Eqtn!$D$322/D155)</f>
        <v>na</v>
      </c>
      <c r="I155" s="348" t="str">
        <f>IF($C155="na","na",$C155*Eqtn!$D$343)</f>
        <v>na</v>
      </c>
      <c r="J155" s="367" t="str">
        <f>IF($D155="na","na",Eqtn!$D$364/$D155)</f>
        <v>na</v>
      </c>
      <c r="L155" s="1062"/>
    </row>
    <row r="156" spans="1:12" ht="13.9" customHeight="1" x14ac:dyDescent="0.25">
      <c r="A156" s="846">
        <f>Chem!A156</f>
        <v>154</v>
      </c>
      <c r="B156" s="941" t="str">
        <f>Chem!B156</f>
        <v>Bromoform</v>
      </c>
      <c r="C156" s="909" t="str">
        <f>Param!U156</f>
        <v>na</v>
      </c>
      <c r="D156" s="557">
        <f>Param!Z156</f>
        <v>3.8500000000000001E-3</v>
      </c>
      <c r="E156" s="602" t="str">
        <f>IF(C156="na","na",C156*Eqtn!$D$259)</f>
        <v>na</v>
      </c>
      <c r="F156" s="582">
        <f>IF(D156="na","na",Eqtn!$D$280/D156)</f>
        <v>2.2727272727272725</v>
      </c>
      <c r="G156" s="694" t="str">
        <f>IF(C156="na","na",C156*Eqtn!$D$301)</f>
        <v>na</v>
      </c>
      <c r="H156" s="695">
        <f>IF(D156="na","na",Eqtn!$D$322/D156)</f>
        <v>22.72727272727273</v>
      </c>
      <c r="I156" s="348" t="str">
        <f>IF($C156="na","na",$C156*Eqtn!$D$343)</f>
        <v>na</v>
      </c>
      <c r="J156" s="367">
        <f>IF($D156="na","na",Eqtn!$D$364/$D156)</f>
        <v>10.618181818181814</v>
      </c>
      <c r="L156" s="1062"/>
    </row>
    <row r="157" spans="1:12" ht="13.9" customHeight="1" x14ac:dyDescent="0.25">
      <c r="A157" s="846">
        <f>Chem!A157</f>
        <v>155</v>
      </c>
      <c r="B157" s="941" t="str">
        <f>Chem!B157</f>
        <v>Bromomethane</v>
      </c>
      <c r="C157" s="909">
        <f>Param!U157</f>
        <v>1.4285714285714286E-3</v>
      </c>
      <c r="D157" s="557" t="str">
        <f>Param!Z157</f>
        <v>na</v>
      </c>
      <c r="E157" s="602">
        <f>IF(C157="na","na",C157*Eqtn!$D$259)</f>
        <v>2.2857142857142856</v>
      </c>
      <c r="F157" s="582" t="str">
        <f>IF(D157="na","na",Eqtn!$D$280/D157)</f>
        <v>na</v>
      </c>
      <c r="G157" s="694">
        <f>IF(C157="na","na",C157*Eqtn!$D$301)</f>
        <v>5</v>
      </c>
      <c r="H157" s="695" t="str">
        <f>IF(D157="na","na",Eqtn!$D$322/D157)</f>
        <v>na</v>
      </c>
      <c r="I157" s="348">
        <f>IF($C157="na","na",$C157*Eqtn!$D$343)</f>
        <v>19.466666666666661</v>
      </c>
      <c r="J157" s="367" t="str">
        <f>IF($D157="na","na",Eqtn!$D$364/$D157)</f>
        <v>na</v>
      </c>
      <c r="L157" s="1062"/>
    </row>
    <row r="158" spans="1:12" ht="13.9" customHeight="1" x14ac:dyDescent="0.25">
      <c r="A158" s="846">
        <f>Chem!A158</f>
        <v>156</v>
      </c>
      <c r="B158" s="941" t="str">
        <f>Chem!B158</f>
        <v>2-Butoxyethanol (EGBE)</v>
      </c>
      <c r="C158" s="909">
        <f>Param!U158</f>
        <v>0.45714285714285707</v>
      </c>
      <c r="D158" s="557" t="str">
        <f>Param!Z158</f>
        <v>na</v>
      </c>
      <c r="E158" s="602">
        <f>IF(C158="na","na",C158*Eqtn!$D$259)</f>
        <v>731.42857142857133</v>
      </c>
      <c r="F158" s="582" t="str">
        <f>IF(D158="na","na",Eqtn!$D$280/D158)</f>
        <v>na</v>
      </c>
      <c r="G158" s="694">
        <f>IF(C158="na","na",C158*Eqtn!$D$301)</f>
        <v>1599.9999999999998</v>
      </c>
      <c r="H158" s="695" t="str">
        <f>IF(D158="na","na",Eqtn!$D$322/D158)</f>
        <v>na</v>
      </c>
      <c r="I158" s="348">
        <f>IF($C158="na","na",$C158*Eqtn!$D$343)</f>
        <v>6229.3333333333312</v>
      </c>
      <c r="J158" s="367" t="str">
        <f>IF($D158="na","na",Eqtn!$D$364/$D158)</f>
        <v>na</v>
      </c>
      <c r="L158" s="1062"/>
    </row>
    <row r="159" spans="1:12" ht="13.9" customHeight="1" x14ac:dyDescent="0.25">
      <c r="A159" s="846">
        <f>Chem!A159</f>
        <v>157</v>
      </c>
      <c r="B159" s="941" t="str">
        <f>Chem!B159</f>
        <v>n-Butylbenzene</v>
      </c>
      <c r="C159" s="909" t="str">
        <f>Param!U159</f>
        <v>na</v>
      </c>
      <c r="D159" s="557" t="str">
        <f>Param!Z159</f>
        <v>na</v>
      </c>
      <c r="E159" s="602" t="str">
        <f>IF(C159="na","na",C159*Eqtn!$D$259)</f>
        <v>na</v>
      </c>
      <c r="F159" s="582" t="str">
        <f>IF(D159="na","na",Eqtn!$D$280/D159)</f>
        <v>na</v>
      </c>
      <c r="G159" s="694" t="str">
        <f>IF(C159="na","na",C159*Eqtn!$D$301)</f>
        <v>na</v>
      </c>
      <c r="H159" s="695" t="str">
        <f>IF(D159="na","na",Eqtn!$D$322/D159)</f>
        <v>na</v>
      </c>
      <c r="I159" s="348" t="str">
        <f>IF($C159="na","na",$C159*Eqtn!$D$343)</f>
        <v>na</v>
      </c>
      <c r="J159" s="367" t="str">
        <f>IF($D159="na","na",Eqtn!$D$364/$D159)</f>
        <v>na</v>
      </c>
      <c r="L159" s="1062"/>
    </row>
    <row r="160" spans="1:12" ht="13.9" customHeight="1" x14ac:dyDescent="0.25">
      <c r="A160" s="846">
        <f>Chem!A160</f>
        <v>158</v>
      </c>
      <c r="B160" s="941" t="str">
        <f>Chem!B160</f>
        <v>sec-Butylbenzene</v>
      </c>
      <c r="C160" s="909" t="str">
        <f>Param!U160</f>
        <v>na</v>
      </c>
      <c r="D160" s="557" t="str">
        <f>Param!Z160</f>
        <v>na</v>
      </c>
      <c r="E160" s="602" t="str">
        <f>IF(C160="na","na",C160*Eqtn!$D$259)</f>
        <v>na</v>
      </c>
      <c r="F160" s="582" t="str">
        <f>IF(D160="na","na",Eqtn!$D$280/D160)</f>
        <v>na</v>
      </c>
      <c r="G160" s="694" t="str">
        <f>IF(C160="na","na",C160*Eqtn!$D$301)</f>
        <v>na</v>
      </c>
      <c r="H160" s="695" t="str">
        <f>IF(D160="na","na",Eqtn!$D$322/D160)</f>
        <v>na</v>
      </c>
      <c r="I160" s="348" t="str">
        <f>IF($C160="na","na",$C160*Eqtn!$D$343)</f>
        <v>na</v>
      </c>
      <c r="J160" s="367" t="str">
        <f>IF($D160="na","na",Eqtn!$D$364/$D160)</f>
        <v>na</v>
      </c>
      <c r="L160" s="1062"/>
    </row>
    <row r="161" spans="1:12" ht="13.9" customHeight="1" x14ac:dyDescent="0.25">
      <c r="A161" s="846">
        <f>Chem!A161</f>
        <v>159</v>
      </c>
      <c r="B161" s="941" t="str">
        <f>Chem!B161</f>
        <v>tert-Butylbenzene</v>
      </c>
      <c r="C161" s="909" t="str">
        <f>Param!U161</f>
        <v>na</v>
      </c>
      <c r="D161" s="557" t="str">
        <f>Param!Z161</f>
        <v>na</v>
      </c>
      <c r="E161" s="602" t="str">
        <f>IF(C161="na","na",C161*Eqtn!$D$259)</f>
        <v>na</v>
      </c>
      <c r="F161" s="582" t="str">
        <f>IF(D161="na","na",Eqtn!$D$280/D161)</f>
        <v>na</v>
      </c>
      <c r="G161" s="694" t="str">
        <f>IF(C161="na","na",C161*Eqtn!$D$301)</f>
        <v>na</v>
      </c>
      <c r="H161" s="695" t="str">
        <f>IF(D161="na","na",Eqtn!$D$322/D161)</f>
        <v>na</v>
      </c>
      <c r="I161" s="348" t="str">
        <f>IF($C161="na","na",$C161*Eqtn!$D$343)</f>
        <v>na</v>
      </c>
      <c r="J161" s="367" t="str">
        <f>IF($D161="na","na",Eqtn!$D$364/$D161)</f>
        <v>na</v>
      </c>
      <c r="L161" s="1062"/>
    </row>
    <row r="162" spans="1:12" ht="13.9" customHeight="1" x14ac:dyDescent="0.25">
      <c r="A162" s="846">
        <f>Chem!A162</f>
        <v>160</v>
      </c>
      <c r="B162" s="941" t="str">
        <f>Chem!B162</f>
        <v>Carbon disulfide</v>
      </c>
      <c r="C162" s="909">
        <f>Param!U162</f>
        <v>0.20000000000000004</v>
      </c>
      <c r="D162" s="557" t="str">
        <f>Param!Z162</f>
        <v>na</v>
      </c>
      <c r="E162" s="602">
        <f>IF(C162="na","na",C162*Eqtn!$D$259)</f>
        <v>320.00000000000006</v>
      </c>
      <c r="F162" s="582" t="str">
        <f>IF(D162="na","na",Eqtn!$D$280/D162)</f>
        <v>na</v>
      </c>
      <c r="G162" s="694">
        <f>IF(C162="na","na",C162*Eqtn!$D$301)</f>
        <v>700.00000000000011</v>
      </c>
      <c r="H162" s="695" t="str">
        <f>IF(D162="na","na",Eqtn!$D$322/D162)</f>
        <v>na</v>
      </c>
      <c r="I162" s="348">
        <f>IF($C162="na","na",$C162*Eqtn!$D$343)</f>
        <v>2725.3333333333335</v>
      </c>
      <c r="J162" s="367" t="str">
        <f>IF($D162="na","na",Eqtn!$D$364/$D162)</f>
        <v>na</v>
      </c>
      <c r="L162" s="1062"/>
    </row>
    <row r="163" spans="1:12" ht="13.9" customHeight="1" x14ac:dyDescent="0.25">
      <c r="A163" s="846">
        <f>Chem!A163</f>
        <v>161</v>
      </c>
      <c r="B163" s="941" t="str">
        <f>Chem!B163</f>
        <v>Carbon tetrachloride</v>
      </c>
      <c r="C163" s="909">
        <f>Param!U163</f>
        <v>2.8571428571428567E-2</v>
      </c>
      <c r="D163" s="557">
        <f>Param!Z163</f>
        <v>2.1000000000000005E-2</v>
      </c>
      <c r="E163" s="602">
        <f>IF(C163="na","na",C163*Eqtn!$D$259)</f>
        <v>45.714285714285708</v>
      </c>
      <c r="F163" s="582">
        <f>IF(D163="na","na",Eqtn!$D$280/D163)</f>
        <v>0.41666666666666652</v>
      </c>
      <c r="G163" s="694">
        <f>IF(C163="na","na",C163*Eqtn!$D$301)</f>
        <v>99.999999999999986</v>
      </c>
      <c r="H163" s="695">
        <f>IF(D163="na","na",Eqtn!$D$322/D163)</f>
        <v>4.1666666666666661</v>
      </c>
      <c r="I163" s="348">
        <f>IF($C163="na","na",$C163*Eqtn!$D$343)</f>
        <v>389.3333333333332</v>
      </c>
      <c r="J163" s="367">
        <f>IF($D163="na","na",Eqtn!$D$364/$D163)</f>
        <v>1.9466666666666657</v>
      </c>
      <c r="L163" s="1062"/>
    </row>
    <row r="164" spans="1:12" ht="13.9" customHeight="1" x14ac:dyDescent="0.25">
      <c r="A164" s="846">
        <f>Chem!A164</f>
        <v>162</v>
      </c>
      <c r="B164" s="941" t="str">
        <f>Chem!B164</f>
        <v>Chlorobenzene</v>
      </c>
      <c r="C164" s="909">
        <f>Param!U164</f>
        <v>1.4285714285714284E-2</v>
      </c>
      <c r="D164" s="557" t="str">
        <f>Param!Z164</f>
        <v>na</v>
      </c>
      <c r="E164" s="602">
        <f>IF(C164="na","na",C164*Eqtn!$D$259)</f>
        <v>22.857142857142854</v>
      </c>
      <c r="F164" s="582" t="str">
        <f>IF(D164="na","na",Eqtn!$D$280/D164)</f>
        <v>na</v>
      </c>
      <c r="G164" s="694">
        <f>IF(C164="na","na",C164*Eqtn!$D$301)</f>
        <v>49.999999999999993</v>
      </c>
      <c r="H164" s="695" t="str">
        <f>IF(D164="na","na",Eqtn!$D$322/D164)</f>
        <v>na</v>
      </c>
      <c r="I164" s="348">
        <f>IF($C164="na","na",$C164*Eqtn!$D$343)</f>
        <v>194.6666666666666</v>
      </c>
      <c r="J164" s="367" t="str">
        <f>IF($D164="na","na",Eqtn!$D$364/$D164)</f>
        <v>na</v>
      </c>
      <c r="L164" s="1062"/>
    </row>
    <row r="165" spans="1:12" ht="13.9" customHeight="1" x14ac:dyDescent="0.25">
      <c r="A165" s="846">
        <f>Chem!A165</f>
        <v>163</v>
      </c>
      <c r="B165" s="941" t="str">
        <f>Chem!B165</f>
        <v>Chloroethane</v>
      </c>
      <c r="C165" s="909">
        <f>Param!U165</f>
        <v>2.8571428571428572</v>
      </c>
      <c r="D165" s="557" t="str">
        <f>Param!Z165</f>
        <v>na</v>
      </c>
      <c r="E165" s="602">
        <f>IF(C165="na","na",C165*Eqtn!$D$259)</f>
        <v>4571.4285714285716</v>
      </c>
      <c r="F165" s="582" t="str">
        <f>IF(D165="na","na",Eqtn!$D$280/D165)</f>
        <v>na</v>
      </c>
      <c r="G165" s="694">
        <f>IF(C165="na","na",C165*Eqtn!$D$301)</f>
        <v>10000</v>
      </c>
      <c r="H165" s="695" t="str">
        <f>IF(D165="na","na",Eqtn!$D$322/D165)</f>
        <v>na</v>
      </c>
      <c r="I165" s="348">
        <f>IF($C165="na","na",$C165*Eqtn!$D$343)</f>
        <v>38933.333333333328</v>
      </c>
      <c r="J165" s="367" t="str">
        <f>IF($D165="na","na",Eqtn!$D$364/$D165)</f>
        <v>na</v>
      </c>
      <c r="L165" s="1062"/>
    </row>
    <row r="166" spans="1:12" ht="13.9" customHeight="1" x14ac:dyDescent="0.25">
      <c r="A166" s="846">
        <f>Chem!A166</f>
        <v>164</v>
      </c>
      <c r="B166" s="941" t="str">
        <f>Chem!B166</f>
        <v>2-Chloroethyl vinyl ether</v>
      </c>
      <c r="C166" s="909" t="str">
        <f>Param!U166</f>
        <v>na</v>
      </c>
      <c r="D166" s="557" t="str">
        <f>Param!Z166</f>
        <v>na</v>
      </c>
      <c r="E166" s="602" t="str">
        <f>IF(C166="na","na",C166*Eqtn!$D$259)</f>
        <v>na</v>
      </c>
      <c r="F166" s="582" t="str">
        <f>IF(D166="na","na",Eqtn!$D$280/D166)</f>
        <v>na</v>
      </c>
      <c r="G166" s="694" t="str">
        <f>IF(C166="na","na",C166*Eqtn!$D$301)</f>
        <v>na</v>
      </c>
      <c r="H166" s="695" t="str">
        <f>IF(D166="na","na",Eqtn!$D$322/D166)</f>
        <v>na</v>
      </c>
      <c r="I166" s="348" t="str">
        <f>IF($C166="na","na",$C166*Eqtn!$D$343)</f>
        <v>na</v>
      </c>
      <c r="J166" s="367" t="str">
        <f>IF($D166="na","na",Eqtn!$D$364/$D166)</f>
        <v>na</v>
      </c>
      <c r="L166" s="1062"/>
    </row>
    <row r="167" spans="1:12" ht="13.9" customHeight="1" x14ac:dyDescent="0.25">
      <c r="A167" s="846">
        <f>Chem!A167</f>
        <v>165</v>
      </c>
      <c r="B167" s="941" t="str">
        <f>Chem!B167</f>
        <v>Chloroform</v>
      </c>
      <c r="C167" s="909">
        <f>Param!U167</f>
        <v>5.7142857142857147E-4</v>
      </c>
      <c r="D167" s="557">
        <f>Param!Z167</f>
        <v>8.0500000000000016E-2</v>
      </c>
      <c r="E167" s="602">
        <f>IF(C167="na","na",C167*Eqtn!$D$259)</f>
        <v>0.91428571428571437</v>
      </c>
      <c r="F167" s="582">
        <f>IF(D167="na","na",Eqtn!$D$280/D167)</f>
        <v>0.10869565217391301</v>
      </c>
      <c r="G167" s="694">
        <f>IF(C167="na","na",C167*Eqtn!$D$301)</f>
        <v>2</v>
      </c>
      <c r="H167" s="695">
        <f>IF(D167="na","na",Eqtn!$D$322/D167)</f>
        <v>1.0869565217391304</v>
      </c>
      <c r="I167" s="348">
        <f>IF($C167="na","na",$C167*Eqtn!$D$343)</f>
        <v>7.7866666666666662</v>
      </c>
      <c r="J167" s="367">
        <f>IF($D167="na","na",Eqtn!$D$364/$D167)</f>
        <v>0.50782608695652143</v>
      </c>
      <c r="L167" s="1062"/>
    </row>
    <row r="168" spans="1:12" ht="13.9" customHeight="1" x14ac:dyDescent="0.25">
      <c r="A168" s="846">
        <f>Chem!A168</f>
        <v>166</v>
      </c>
      <c r="B168" s="941" t="str">
        <f>Chem!B168</f>
        <v>Chloromethane</v>
      </c>
      <c r="C168" s="909">
        <f>Param!U168</f>
        <v>2.5714285714285707E-2</v>
      </c>
      <c r="D168" s="557" t="str">
        <f>Param!Z168</f>
        <v>na</v>
      </c>
      <c r="E168" s="602">
        <f>IF(C168="na","na",C168*Eqtn!$D$259)</f>
        <v>41.142857142857132</v>
      </c>
      <c r="F168" s="582" t="str">
        <f>IF(D168="na","na",Eqtn!$D$280/D168)</f>
        <v>na</v>
      </c>
      <c r="G168" s="694">
        <f>IF(C168="na","na",C168*Eqtn!$D$301)</f>
        <v>89.999999999999972</v>
      </c>
      <c r="H168" s="695" t="str">
        <f>IF(D168="na","na",Eqtn!$D$322/D168)</f>
        <v>na</v>
      </c>
      <c r="I168" s="348">
        <f>IF($C168="na","na",$C168*Eqtn!$D$343)</f>
        <v>350.39999999999986</v>
      </c>
      <c r="J168" s="367" t="str">
        <f>IF($D168="na","na",Eqtn!$D$364/$D168)</f>
        <v>na</v>
      </c>
      <c r="L168" s="1062"/>
    </row>
    <row r="169" spans="1:12" ht="13.9" customHeight="1" x14ac:dyDescent="0.25">
      <c r="A169" s="846">
        <f>Chem!A169</f>
        <v>167</v>
      </c>
      <c r="B169" s="941" t="str">
        <f>Chem!B169</f>
        <v>3-Chloro-1-propene (allyl chloride)</v>
      </c>
      <c r="C169" s="909">
        <f>Param!U169</f>
        <v>2.8571428571428574E-4</v>
      </c>
      <c r="D169" s="557">
        <f>Param!Z169</f>
        <v>2.1000000000000005E-2</v>
      </c>
      <c r="E169" s="602">
        <f>IF(C169="na","na",C169*Eqtn!$D$259)</f>
        <v>0.45714285714285718</v>
      </c>
      <c r="F169" s="582">
        <f>IF(D169="na","na",Eqtn!$D$280/D169)</f>
        <v>0.41666666666666652</v>
      </c>
      <c r="G169" s="694">
        <f>IF(C169="na","na",C169*Eqtn!$D$301)</f>
        <v>1</v>
      </c>
      <c r="H169" s="695">
        <f>IF(D169="na","na",Eqtn!$D$322/D169)</f>
        <v>4.1666666666666661</v>
      </c>
      <c r="I169" s="348">
        <f>IF($C169="na","na",$C169*Eqtn!$D$343)</f>
        <v>3.8933333333333331</v>
      </c>
      <c r="J169" s="367">
        <f>IF($D169="na","na",Eqtn!$D$364/$D169)</f>
        <v>1.9466666666666657</v>
      </c>
      <c r="L169" s="1062"/>
    </row>
    <row r="170" spans="1:12" ht="13.9" customHeight="1" x14ac:dyDescent="0.25">
      <c r="A170" s="846">
        <f>Chem!A170</f>
        <v>168</v>
      </c>
      <c r="B170" s="941" t="str">
        <f>Chem!B170</f>
        <v>2-Chlorotoluene</v>
      </c>
      <c r="C170" s="909" t="str">
        <f>Param!U170</f>
        <v>na</v>
      </c>
      <c r="D170" s="557" t="str">
        <f>Param!Z170</f>
        <v>na</v>
      </c>
      <c r="E170" s="602" t="str">
        <f>IF(C170="na","na",C170*Eqtn!$D$259)</f>
        <v>na</v>
      </c>
      <c r="F170" s="582" t="str">
        <f>IF(D170="na","na",Eqtn!$D$280/D170)</f>
        <v>na</v>
      </c>
      <c r="G170" s="694" t="str">
        <f>IF(C170="na","na",C170*Eqtn!$D$301)</f>
        <v>na</v>
      </c>
      <c r="H170" s="695" t="str">
        <f>IF(D170="na","na",Eqtn!$D$322/D170)</f>
        <v>na</v>
      </c>
      <c r="I170" s="348" t="str">
        <f>IF($C170="na","na",$C170*Eqtn!$D$343)</f>
        <v>na</v>
      </c>
      <c r="J170" s="367" t="str">
        <f>IF($D170="na","na",Eqtn!$D$364/$D170)</f>
        <v>na</v>
      </c>
      <c r="L170" s="1062"/>
    </row>
    <row r="171" spans="1:12" ht="13.9" customHeight="1" x14ac:dyDescent="0.25">
      <c r="A171" s="846">
        <f>Chem!A171</f>
        <v>169</v>
      </c>
      <c r="B171" s="941" t="str">
        <f>Chem!B171</f>
        <v>4-Chlorotoluene</v>
      </c>
      <c r="C171" s="909" t="str">
        <f>Param!U171</f>
        <v>na</v>
      </c>
      <c r="D171" s="557" t="str">
        <f>Param!Z171</f>
        <v>na</v>
      </c>
      <c r="E171" s="602" t="str">
        <f>IF(C171="na","na",C171*Eqtn!$D$259)</f>
        <v>na</v>
      </c>
      <c r="F171" s="582" t="str">
        <f>IF(D171="na","na",Eqtn!$D$280/D171)</f>
        <v>na</v>
      </c>
      <c r="G171" s="694" t="str">
        <f>IF(C171="na","na",C171*Eqtn!$D$301)</f>
        <v>na</v>
      </c>
      <c r="H171" s="695" t="str">
        <f>IF(D171="na","na",Eqtn!$D$322/D171)</f>
        <v>na</v>
      </c>
      <c r="I171" s="348" t="str">
        <f>IF($C171="na","na",$C171*Eqtn!$D$343)</f>
        <v>na</v>
      </c>
      <c r="J171" s="367" t="str">
        <f>IF($D171="na","na",Eqtn!$D$364/$D171)</f>
        <v>na</v>
      </c>
      <c r="L171" s="1062"/>
    </row>
    <row r="172" spans="1:12" ht="13.9" customHeight="1" x14ac:dyDescent="0.25">
      <c r="A172" s="846">
        <f>Chem!A172</f>
        <v>170</v>
      </c>
      <c r="B172" s="941" t="str">
        <f>Chem!B172</f>
        <v>Dibromochloromethane</v>
      </c>
      <c r="C172" s="909" t="str">
        <f>Param!U172</f>
        <v>na</v>
      </c>
      <c r="D172" s="557" t="str">
        <f>Param!Z172</f>
        <v>na</v>
      </c>
      <c r="E172" s="602" t="str">
        <f>IF(C172="na","na",C172*Eqtn!$D$259)</f>
        <v>na</v>
      </c>
      <c r="F172" s="582" t="str">
        <f>IF(D172="na","na",Eqtn!$D$280/D172)</f>
        <v>na</v>
      </c>
      <c r="G172" s="694" t="str">
        <f>IF(C172="na","na",C172*Eqtn!$D$301)</f>
        <v>na</v>
      </c>
      <c r="H172" s="695" t="str">
        <f>IF(D172="na","na",Eqtn!$D$322/D172)</f>
        <v>na</v>
      </c>
      <c r="I172" s="348" t="str">
        <f>IF($C172="na","na",$C172*Eqtn!$D$343)</f>
        <v>na</v>
      </c>
      <c r="J172" s="367" t="str">
        <f>IF($D172="na","na",Eqtn!$D$364/$D172)</f>
        <v>na</v>
      </c>
      <c r="L172" s="1062"/>
    </row>
    <row r="173" spans="1:12" ht="13.9" customHeight="1" x14ac:dyDescent="0.25">
      <c r="A173" s="846">
        <f>Chem!A173</f>
        <v>171</v>
      </c>
      <c r="B173" s="1852" t="str">
        <f>Chem!B173</f>
        <v>1,2-Dibromo-3-chloropropane</v>
      </c>
      <c r="C173" s="909">
        <f>Param!U173</f>
        <v>5.7142857142857142E-5</v>
      </c>
      <c r="D173" s="557">
        <f>Param!Z173</f>
        <v>21</v>
      </c>
      <c r="E173" s="602">
        <f>IF(C173="na","na",C173*Eqtn!$D$259)</f>
        <v>9.1428571428571428E-2</v>
      </c>
      <c r="F173" s="348">
        <v>1.1E-4</v>
      </c>
      <c r="G173" s="694">
        <f>IF(C173="na","na",C173*Eqtn!$D$301)</f>
        <v>0.19999999999999998</v>
      </c>
      <c r="H173" s="695">
        <f>IF(D173="na","na",Eqtn!$D$322/D173)</f>
        <v>4.1666666666666675E-3</v>
      </c>
      <c r="I173" s="348">
        <f>IF($C173="na","na",$C173*Eqtn!$D$343)</f>
        <v>0.77866666666666651</v>
      </c>
      <c r="J173" s="367">
        <f>IF($D173="na","na",Eqtn!$D$364/$D173)</f>
        <v>1.946666666666666E-3</v>
      </c>
      <c r="L173" s="1062"/>
    </row>
    <row r="174" spans="1:12" ht="13.9" customHeight="1" x14ac:dyDescent="0.25">
      <c r="A174" s="846">
        <f>Chem!A174</f>
        <v>172</v>
      </c>
      <c r="B174" s="941" t="str">
        <f>Chem!B174</f>
        <v>Dibromomethane</v>
      </c>
      <c r="C174" s="909">
        <f>Param!U174</f>
        <v>1.1428571428571429E-3</v>
      </c>
      <c r="D174" s="557" t="str">
        <f>Param!Z174</f>
        <v>na</v>
      </c>
      <c r="E174" s="602">
        <f>IF(C174="na","na",C174*Eqtn!$D$259)</f>
        <v>1.8285714285714287</v>
      </c>
      <c r="F174" s="582" t="str">
        <f>IF(D174="na","na",Eqtn!$D$280/D174)</f>
        <v>na</v>
      </c>
      <c r="G174" s="694">
        <f>IF(C174="na","na",C174*Eqtn!$D$301)</f>
        <v>4</v>
      </c>
      <c r="H174" s="695" t="str">
        <f>IF(D174="na","na",Eqtn!$D$322/D174)</f>
        <v>na</v>
      </c>
      <c r="I174" s="348">
        <f>IF($C174="na","na",$C174*Eqtn!$D$343)</f>
        <v>15.573333333333332</v>
      </c>
      <c r="J174" s="367" t="str">
        <f>IF($D174="na","na",Eqtn!$D$364/$D174)</f>
        <v>na</v>
      </c>
      <c r="L174" s="1062"/>
    </row>
    <row r="175" spans="1:12" ht="13.9" customHeight="1" x14ac:dyDescent="0.25">
      <c r="A175" s="846">
        <f>Chem!A175</f>
        <v>173</v>
      </c>
      <c r="B175" s="941" t="str">
        <f>Chem!B175</f>
        <v>Dichlorobromomethane</v>
      </c>
      <c r="C175" s="909" t="str">
        <f>Param!U175</f>
        <v>na</v>
      </c>
      <c r="D175" s="557">
        <f>Param!Z175</f>
        <v>0.1295</v>
      </c>
      <c r="E175" s="602" t="str">
        <f>IF(C175="na","na",C175*Eqtn!$D$259)</f>
        <v>na</v>
      </c>
      <c r="F175" s="582">
        <f>IF(D175="na","na",Eqtn!$D$280/D175)</f>
        <v>6.7567567567567557E-2</v>
      </c>
      <c r="G175" s="694" t="str">
        <f>IF(C175="na","na",C175*Eqtn!$D$301)</f>
        <v>na</v>
      </c>
      <c r="H175" s="695">
        <f>IF(D175="na","na",Eqtn!$D$322/D175)</f>
        <v>0.67567567567567577</v>
      </c>
      <c r="I175" s="348" t="str">
        <f>IF($C175="na","na",$C175*Eqtn!$D$343)</f>
        <v>na</v>
      </c>
      <c r="J175" s="367">
        <f>IF($D175="na","na",Eqtn!$D$364/$D175)</f>
        <v>0.31567567567567556</v>
      </c>
      <c r="L175" s="1062"/>
    </row>
    <row r="176" spans="1:12" ht="13.9" customHeight="1" x14ac:dyDescent="0.25">
      <c r="A176" s="846">
        <f>Chem!A176</f>
        <v>174</v>
      </c>
      <c r="B176" s="941" t="str">
        <f>Chem!B176</f>
        <v>trans-1,4-Dichloro-2-butene</v>
      </c>
      <c r="C176" s="909" t="str">
        <f>Param!U176</f>
        <v>na</v>
      </c>
      <c r="D176" s="557">
        <f>Param!Z176</f>
        <v>14.7</v>
      </c>
      <c r="E176" s="602" t="str">
        <f>IF(C176="na","na",C176*Eqtn!$D$259)</f>
        <v>na</v>
      </c>
      <c r="F176" s="582">
        <f>IF(D176="na","na",Eqtn!$D$280/D176)</f>
        <v>5.9523809523809518E-4</v>
      </c>
      <c r="G176" s="694" t="str">
        <f>IF(C176="na","na",C176*Eqtn!$D$301)</f>
        <v>na</v>
      </c>
      <c r="H176" s="695">
        <f>IF(D176="na","na",Eqtn!$D$322/D176)</f>
        <v>5.9523809523809529E-3</v>
      </c>
      <c r="I176" s="348" t="str">
        <f>IF($C176="na","na",$C176*Eqtn!$D$343)</f>
        <v>na</v>
      </c>
      <c r="J176" s="367">
        <f>IF($D176="na","na",Eqtn!$D$364/$D176)</f>
        <v>2.78095238095238E-3</v>
      </c>
      <c r="L176" s="1062"/>
    </row>
    <row r="177" spans="1:12" ht="13.9" customHeight="1" x14ac:dyDescent="0.25">
      <c r="A177" s="846">
        <f>Chem!A177</f>
        <v>175</v>
      </c>
      <c r="B177" s="941" t="str">
        <f>Chem!B177</f>
        <v>Dichlorodifluoromethane</v>
      </c>
      <c r="C177" s="909">
        <f>Param!U177</f>
        <v>2.8571428571428567E-2</v>
      </c>
      <c r="D177" s="557" t="str">
        <f>Param!Z177</f>
        <v>na</v>
      </c>
      <c r="E177" s="602">
        <f>IF(C177="na","na",C177*Eqtn!$D$259)</f>
        <v>45.714285714285708</v>
      </c>
      <c r="F177" s="582" t="str">
        <f>IF(D177="na","na",Eqtn!$D$280/D177)</f>
        <v>na</v>
      </c>
      <c r="G177" s="694">
        <f>IF(C177="na","na",C177*Eqtn!$D$301)</f>
        <v>99.999999999999986</v>
      </c>
      <c r="H177" s="695" t="str">
        <f>IF(D177="na","na",Eqtn!$D$322/D177)</f>
        <v>na</v>
      </c>
      <c r="I177" s="348">
        <f>IF($C177="na","na",$C177*Eqtn!$D$343)</f>
        <v>389.3333333333332</v>
      </c>
      <c r="J177" s="367" t="str">
        <f>IF($D177="na","na",Eqtn!$D$364/$D177)</f>
        <v>na</v>
      </c>
      <c r="L177" s="1062"/>
    </row>
    <row r="178" spans="1:12" ht="13.9" customHeight="1" x14ac:dyDescent="0.25">
      <c r="A178" s="846">
        <f>Chem!A178</f>
        <v>176</v>
      </c>
      <c r="B178" s="941" t="str">
        <f>Chem!B178</f>
        <v>1,1-Dichloroethane</v>
      </c>
      <c r="C178" s="909" t="str">
        <f>Param!U178</f>
        <v>na</v>
      </c>
      <c r="D178" s="557">
        <f>Param!Z178</f>
        <v>5.6000000000000008E-3</v>
      </c>
      <c r="E178" s="602" t="str">
        <f>IF(C178="na","na",C178*Eqtn!$D$259)</f>
        <v>na</v>
      </c>
      <c r="F178" s="582">
        <f>IF(D178="na","na",Eqtn!$D$280/D178)</f>
        <v>1.5624999999999996</v>
      </c>
      <c r="G178" s="694" t="str">
        <f>IF(C178="na","na",C178*Eqtn!$D$301)</f>
        <v>na</v>
      </c>
      <c r="H178" s="695">
        <f>IF(D178="na","na",Eqtn!$D$322/D178)</f>
        <v>15.625</v>
      </c>
      <c r="I178" s="348" t="str">
        <f>IF($C178="na","na",$C178*Eqtn!$D$343)</f>
        <v>na</v>
      </c>
      <c r="J178" s="367">
        <f>IF($D178="na","na",Eqtn!$D$364/$D178)</f>
        <v>7.2999999999999963</v>
      </c>
      <c r="L178" s="1062"/>
    </row>
    <row r="179" spans="1:12" ht="13.9" customHeight="1" x14ac:dyDescent="0.25">
      <c r="A179" s="846">
        <f>Chem!A179</f>
        <v>177</v>
      </c>
      <c r="B179" s="941" t="str">
        <f>Chem!B179</f>
        <v>1,2-Dichloroethane (EDC)</v>
      </c>
      <c r="C179" s="909">
        <f>Param!U179</f>
        <v>2E-3</v>
      </c>
      <c r="D179" s="557">
        <f>Param!Z179</f>
        <v>9.1000000000000011E-2</v>
      </c>
      <c r="E179" s="602">
        <f>IF(C179="na","na",C179*Eqtn!$D$259)</f>
        <v>3.2</v>
      </c>
      <c r="F179" s="582">
        <f>IF(D179="na","na",Eqtn!$D$280/D179)</f>
        <v>9.6153846153846131E-2</v>
      </c>
      <c r="G179" s="694">
        <f>IF(C179="na","na",C179*Eqtn!$D$301)</f>
        <v>7</v>
      </c>
      <c r="H179" s="695">
        <f>IF(D179="na","na",Eqtn!$D$322/D179)</f>
        <v>0.96153846153846156</v>
      </c>
      <c r="I179" s="348">
        <f>IF($C179="na","na",$C179*Eqtn!$D$343)</f>
        <v>27.25333333333333</v>
      </c>
      <c r="J179" s="367">
        <f>IF($D179="na","na",Eqtn!$D$364/$D179)</f>
        <v>0.44923076923076904</v>
      </c>
      <c r="L179" s="1062"/>
    </row>
    <row r="180" spans="1:12" ht="13.9" customHeight="1" x14ac:dyDescent="0.25">
      <c r="A180" s="846">
        <f>Chem!A180</f>
        <v>178</v>
      </c>
      <c r="B180" s="941" t="str">
        <f>Chem!B180</f>
        <v>1,1-Dichloroethylene</v>
      </c>
      <c r="C180" s="909">
        <f>Param!U180</f>
        <v>5.7142857142857134E-2</v>
      </c>
      <c r="D180" s="557" t="str">
        <f>Param!Z180</f>
        <v>na</v>
      </c>
      <c r="E180" s="602">
        <f>IF(C180="na","na",C180*Eqtn!$D$259)</f>
        <v>91.428571428571416</v>
      </c>
      <c r="F180" s="582" t="str">
        <f>IF(D180="na","na",Eqtn!$D$280/D180)</f>
        <v>na</v>
      </c>
      <c r="G180" s="694">
        <f>IF(C180="na","na",C180*Eqtn!$D$301)</f>
        <v>199.99999999999997</v>
      </c>
      <c r="H180" s="695" t="str">
        <f>IF(D180="na","na",Eqtn!$D$322/D180)</f>
        <v>na</v>
      </c>
      <c r="I180" s="348">
        <f>IF($C180="na","na",$C180*Eqtn!$D$343)</f>
        <v>778.6666666666664</v>
      </c>
      <c r="J180" s="367" t="str">
        <f>IF($D180="na","na",Eqtn!$D$364/$D180)</f>
        <v>na</v>
      </c>
      <c r="L180" s="1062"/>
    </row>
    <row r="181" spans="1:12" ht="13.9" customHeight="1" x14ac:dyDescent="0.25">
      <c r="A181" s="846">
        <f>Chem!A181</f>
        <v>179</v>
      </c>
      <c r="B181" s="941" t="str">
        <f>Chem!B181</f>
        <v>cis-1,2-Dichloroethylene</v>
      </c>
      <c r="C181" s="909">
        <f>Param!U181</f>
        <v>1.1428571428571429E-2</v>
      </c>
      <c r="D181" s="557" t="str">
        <f>Param!Z181</f>
        <v>na</v>
      </c>
      <c r="E181" s="602">
        <f>IF(C181="na","na",C181*Eqtn!$D$259)</f>
        <v>18.285714285714285</v>
      </c>
      <c r="F181" s="582" t="str">
        <f>IF(D181="na","na",Eqtn!$D$280/D181)</f>
        <v>na</v>
      </c>
      <c r="G181" s="694">
        <f>IF(C181="na","na",C181*Eqtn!$D$301)</f>
        <v>40</v>
      </c>
      <c r="H181" s="695" t="str">
        <f>IF(D181="na","na",Eqtn!$D$322/D181)</f>
        <v>na</v>
      </c>
      <c r="I181" s="348">
        <f>IF($C181="na","na",$C181*Eqtn!$D$343)</f>
        <v>155.73333333333329</v>
      </c>
      <c r="J181" s="367" t="str">
        <f>IF($D181="na","na",Eqtn!$D$364/$D181)</f>
        <v>na</v>
      </c>
      <c r="L181" s="1062"/>
    </row>
    <row r="182" spans="1:12" ht="13.9" customHeight="1" x14ac:dyDescent="0.25">
      <c r="A182" s="846">
        <f>Chem!A182</f>
        <v>180</v>
      </c>
      <c r="B182" s="941" t="str">
        <f>Chem!B182</f>
        <v>trans-1,2-Dichloroethylene</v>
      </c>
      <c r="C182" s="909">
        <f>Param!U182</f>
        <v>1.1428571428571429E-2</v>
      </c>
      <c r="D182" s="557" t="str">
        <f>Param!Z182</f>
        <v>na</v>
      </c>
      <c r="E182" s="602">
        <f>IF(C182="na","na",C182*Eqtn!$D$259)</f>
        <v>18.285714285714285</v>
      </c>
      <c r="F182" s="582" t="str">
        <f>IF(D182="na","na",Eqtn!$D$280/D182)</f>
        <v>na</v>
      </c>
      <c r="G182" s="694">
        <f>IF(C182="na","na",C182*Eqtn!$D$301)</f>
        <v>40</v>
      </c>
      <c r="H182" s="695" t="str">
        <f>IF(D182="na","na",Eqtn!$D$322/D182)</f>
        <v>na</v>
      </c>
      <c r="I182" s="348">
        <f>IF($C182="na","na",$C182*Eqtn!$D$343)</f>
        <v>155.73333333333329</v>
      </c>
      <c r="J182" s="367" t="str">
        <f>IF($D182="na","na",Eqtn!$D$364/$D182)</f>
        <v>na</v>
      </c>
      <c r="L182" s="1062"/>
    </row>
    <row r="183" spans="1:12" ht="13.9" customHeight="1" x14ac:dyDescent="0.25">
      <c r="A183" s="846">
        <f>Chem!A183</f>
        <v>181</v>
      </c>
      <c r="B183" s="941" t="str">
        <f>Chem!B183</f>
        <v>1,2-Dichloroethylene (mixed isomers)</v>
      </c>
      <c r="C183" s="909" t="str">
        <f>Param!U183</f>
        <v>na</v>
      </c>
      <c r="D183" s="557" t="str">
        <f>Param!Z183</f>
        <v>na</v>
      </c>
      <c r="E183" s="602" t="str">
        <f>IF(C183="na","na",C183*Eqtn!$D$259)</f>
        <v>na</v>
      </c>
      <c r="F183" s="582" t="str">
        <f>IF(D183="na","na",Eqtn!$D$280/D183)</f>
        <v>na</v>
      </c>
      <c r="G183" s="694" t="str">
        <f>IF(C183="na","na",C183*Eqtn!$D$301)</f>
        <v>na</v>
      </c>
      <c r="H183" s="695" t="str">
        <f>IF(D183="na","na",Eqtn!$D$322/D183)</f>
        <v>na</v>
      </c>
      <c r="I183" s="348" t="str">
        <f>IF($C183="na","na",$C183*Eqtn!$D$343)</f>
        <v>na</v>
      </c>
      <c r="J183" s="367" t="str">
        <f>IF($D183="na","na",Eqtn!$D$364/$D183)</f>
        <v>na</v>
      </c>
      <c r="L183" s="1062"/>
    </row>
    <row r="184" spans="1:12" ht="13.9" customHeight="1" x14ac:dyDescent="0.25">
      <c r="A184" s="846">
        <f>Chem!A184</f>
        <v>182</v>
      </c>
      <c r="B184" s="941" t="str">
        <f>Chem!B184</f>
        <v>1,2-Dichloropropane</v>
      </c>
      <c r="C184" s="909">
        <f>Param!U184</f>
        <v>1.1428571428571429E-3</v>
      </c>
      <c r="D184" s="557">
        <f>Param!Z184</f>
        <v>1.295E-2</v>
      </c>
      <c r="E184" s="602">
        <f>IF(C184="na","na",C184*Eqtn!$D$259)</f>
        <v>1.8285714285714287</v>
      </c>
      <c r="F184" s="582">
        <f>IF(D184="na","na",Eqtn!$D$280/D184)</f>
        <v>0.67567567567567566</v>
      </c>
      <c r="G184" s="694">
        <f>IF(C184="na","na",C184*Eqtn!$D$301)</f>
        <v>4</v>
      </c>
      <c r="H184" s="695">
        <f>IF(D184="na","na",Eqtn!$D$322/D184)</f>
        <v>6.7567567567567579</v>
      </c>
      <c r="I184" s="348">
        <f>IF($C184="na","na",$C184*Eqtn!$D$343)</f>
        <v>15.573333333333332</v>
      </c>
      <c r="J184" s="367">
        <f>IF($D184="na","na",Eqtn!$D$364/$D184)</f>
        <v>3.1567567567567556</v>
      </c>
      <c r="L184" s="1062"/>
    </row>
    <row r="185" spans="1:12" ht="13.9" customHeight="1" x14ac:dyDescent="0.25">
      <c r="A185" s="846">
        <f>Chem!A185</f>
        <v>183</v>
      </c>
      <c r="B185" s="941" t="str">
        <f>Chem!B185</f>
        <v>1,3-Dichloropropane</v>
      </c>
      <c r="C185" s="909" t="str">
        <f>Param!U185</f>
        <v>na</v>
      </c>
      <c r="D185" s="557" t="str">
        <f>Param!Z185</f>
        <v>na</v>
      </c>
      <c r="E185" s="602" t="str">
        <f>IF(C185="na","na",C185*Eqtn!$D$259)</f>
        <v>na</v>
      </c>
      <c r="F185" s="582" t="str">
        <f>IF(D185="na","na",Eqtn!$D$280/D185)</f>
        <v>na</v>
      </c>
      <c r="G185" s="694" t="str">
        <f>IF(C185="na","na",C185*Eqtn!$D$301)</f>
        <v>na</v>
      </c>
      <c r="H185" s="695" t="str">
        <f>IF(D185="na","na",Eqtn!$D$322/D185)</f>
        <v>na</v>
      </c>
      <c r="I185" s="348" t="str">
        <f>IF($C185="na","na",$C185*Eqtn!$D$343)</f>
        <v>na</v>
      </c>
      <c r="J185" s="367" t="str">
        <f>IF($D185="na","na",Eqtn!$D$364/$D185)</f>
        <v>na</v>
      </c>
      <c r="L185" s="1062"/>
    </row>
    <row r="186" spans="1:12" ht="13.9" customHeight="1" x14ac:dyDescent="0.25">
      <c r="A186" s="846">
        <f>Chem!A186</f>
        <v>184</v>
      </c>
      <c r="B186" s="941" t="str">
        <f>Chem!B186</f>
        <v>2,2-Dichloropropane</v>
      </c>
      <c r="C186" s="909" t="str">
        <f>Param!U186</f>
        <v>na</v>
      </c>
      <c r="D186" s="557" t="str">
        <f>Param!Z186</f>
        <v>na</v>
      </c>
      <c r="E186" s="602" t="str">
        <f>IF(C186="na","na",C186*Eqtn!$D$259)</f>
        <v>na</v>
      </c>
      <c r="F186" s="582" t="str">
        <f>IF(D186="na","na",Eqtn!$D$280/D186)</f>
        <v>na</v>
      </c>
      <c r="G186" s="694" t="str">
        <f>IF(C186="na","na",C186*Eqtn!$D$301)</f>
        <v>na</v>
      </c>
      <c r="H186" s="695" t="str">
        <f>IF(D186="na","na",Eqtn!$D$322/D186)</f>
        <v>na</v>
      </c>
      <c r="I186" s="348" t="str">
        <f>IF($C186="na","na",$C186*Eqtn!$D$343)</f>
        <v>na</v>
      </c>
      <c r="J186" s="367" t="str">
        <f>IF($D186="na","na",Eqtn!$D$364/$D186)</f>
        <v>na</v>
      </c>
      <c r="L186" s="1062"/>
    </row>
    <row r="187" spans="1:12" ht="13.9" customHeight="1" x14ac:dyDescent="0.25">
      <c r="A187" s="846">
        <f>Chem!A187</f>
        <v>185</v>
      </c>
      <c r="B187" s="941" t="str">
        <f>Chem!B187</f>
        <v>1,1-Dichloropropene</v>
      </c>
      <c r="C187" s="909" t="str">
        <f>Param!U187</f>
        <v>na</v>
      </c>
      <c r="D187" s="557" t="str">
        <f>Param!Z187</f>
        <v>na</v>
      </c>
      <c r="E187" s="602" t="str">
        <f>IF(C187="na","na",C187*Eqtn!$D$259)</f>
        <v>na</v>
      </c>
      <c r="F187" s="582" t="str">
        <f>IF(D187="na","na",Eqtn!$D$280/D187)</f>
        <v>na</v>
      </c>
      <c r="G187" s="694" t="str">
        <f>IF(C187="na","na",C187*Eqtn!$D$301)</f>
        <v>na</v>
      </c>
      <c r="H187" s="695" t="str">
        <f>IF(D187="na","na",Eqtn!$D$322/D187)</f>
        <v>na</v>
      </c>
      <c r="I187" s="348" t="str">
        <f>IF($C187="na","na",$C187*Eqtn!$D$343)</f>
        <v>na</v>
      </c>
      <c r="J187" s="367" t="str">
        <f>IF($D187="na","na",Eqtn!$D$364/$D187)</f>
        <v>na</v>
      </c>
      <c r="L187" s="1062"/>
    </row>
    <row r="188" spans="1:12" ht="13.9" customHeight="1" x14ac:dyDescent="0.25">
      <c r="A188" s="846">
        <f>Chem!A188</f>
        <v>186</v>
      </c>
      <c r="B188" s="941" t="str">
        <f>Chem!B188</f>
        <v>cis-1,3-Dichloropropene</v>
      </c>
      <c r="C188" s="909">
        <f>Param!U188</f>
        <v>5.7142857142857143E-3</v>
      </c>
      <c r="D188" s="557">
        <f>Param!Z188</f>
        <v>1.3999999999999999E-2</v>
      </c>
      <c r="E188" s="602">
        <f>IF(C188="na","na",C188*Eqtn!$D$259)</f>
        <v>9.1428571428571423</v>
      </c>
      <c r="F188" s="582">
        <f>IF(D188="na","na",Eqtn!$D$280/D188)</f>
        <v>0.625</v>
      </c>
      <c r="G188" s="694">
        <f>IF(C188="na","na",C188*Eqtn!$D$301)</f>
        <v>20</v>
      </c>
      <c r="H188" s="695">
        <f>IF(D188="na","na",Eqtn!$D$322/D188)</f>
        <v>6.2500000000000009</v>
      </c>
      <c r="I188" s="348">
        <f>IF($C188="na","na",$C188*Eqtn!$D$343)</f>
        <v>77.866666666666646</v>
      </c>
      <c r="J188" s="367">
        <f>IF($D188="na","na",Eqtn!$D$364/$D188)</f>
        <v>2.9199999999999995</v>
      </c>
      <c r="L188" s="1062"/>
    </row>
    <row r="189" spans="1:12" ht="13.9" customHeight="1" x14ac:dyDescent="0.25">
      <c r="A189" s="846">
        <f>Chem!A189</f>
        <v>187</v>
      </c>
      <c r="B189" s="941" t="str">
        <f>Chem!B189</f>
        <v>trans-1,3-Dichloropropene</v>
      </c>
      <c r="C189" s="909">
        <f>Param!U189</f>
        <v>5.7142857142857143E-3</v>
      </c>
      <c r="D189" s="557">
        <f>Param!Z189</f>
        <v>1.3999999999999999E-2</v>
      </c>
      <c r="E189" s="602">
        <f>IF(C189="na","na",C189*Eqtn!$D$259)</f>
        <v>9.1428571428571423</v>
      </c>
      <c r="F189" s="582">
        <f>IF(D189="na","na",Eqtn!$D$280/D189)</f>
        <v>0.625</v>
      </c>
      <c r="G189" s="694">
        <f>IF(C189="na","na",C189*Eqtn!$D$301)</f>
        <v>20</v>
      </c>
      <c r="H189" s="695">
        <f>IF(D189="na","na",Eqtn!$D$322/D189)</f>
        <v>6.2500000000000009</v>
      </c>
      <c r="I189" s="348">
        <f>IF($C189="na","na",$C189*Eqtn!$D$343)</f>
        <v>77.866666666666646</v>
      </c>
      <c r="J189" s="367">
        <f>IF($D189="na","na",Eqtn!$D$364/$D189)</f>
        <v>2.9199999999999995</v>
      </c>
      <c r="L189" s="1062"/>
    </row>
    <row r="190" spans="1:12" ht="13.9" customHeight="1" x14ac:dyDescent="0.25">
      <c r="A190" s="846">
        <f>Chem!A190</f>
        <v>188</v>
      </c>
      <c r="B190" s="941" t="str">
        <f>Chem!B190</f>
        <v>Diisopropyl ether</v>
      </c>
      <c r="C190" s="909">
        <f>Param!U190</f>
        <v>0.2</v>
      </c>
      <c r="D190" s="557" t="str">
        <f>Param!Z190</f>
        <v>na</v>
      </c>
      <c r="E190" s="602">
        <f>IF(C190="na","na",C190*Eqtn!$D$259)</f>
        <v>320</v>
      </c>
      <c r="F190" s="582" t="str">
        <f>IF(D190="na","na",Eqtn!$D$280/D190)</f>
        <v>na</v>
      </c>
      <c r="G190" s="694">
        <f>IF(C190="na","na",C190*Eqtn!$D$301)</f>
        <v>700</v>
      </c>
      <c r="H190" s="695" t="str">
        <f>IF(D190="na","na",Eqtn!$D$322/D190)</f>
        <v>na</v>
      </c>
      <c r="I190" s="348">
        <f>IF($C190="na","na",$C190*Eqtn!$D$343)</f>
        <v>2725.333333333333</v>
      </c>
      <c r="J190" s="367" t="str">
        <f>IF($D190="na","na",Eqtn!$D$364/$D190)</f>
        <v>na</v>
      </c>
      <c r="L190" s="1062"/>
    </row>
    <row r="191" spans="1:12" ht="13.9" customHeight="1" x14ac:dyDescent="0.25">
      <c r="A191" s="846">
        <f>Chem!A191</f>
        <v>189</v>
      </c>
      <c r="B191" s="941" t="str">
        <f>Chem!B191</f>
        <v>Ethane</v>
      </c>
      <c r="C191" s="909" t="str">
        <f>Param!U191</f>
        <v>na</v>
      </c>
      <c r="D191" s="557" t="str">
        <f>Param!Z191</f>
        <v>na</v>
      </c>
      <c r="E191" s="602" t="str">
        <f>IF(C191="na","na",C191*Eqtn!$D$259)</f>
        <v>na</v>
      </c>
      <c r="F191" s="582" t="str">
        <f>IF(D191="na","na",Eqtn!$D$280/D191)</f>
        <v>na</v>
      </c>
      <c r="G191" s="694" t="str">
        <f>IF(C191="na","na",C191*Eqtn!$D$301)</f>
        <v>na</v>
      </c>
      <c r="H191" s="695" t="str">
        <f>IF(D191="na","na",Eqtn!$D$322/D191)</f>
        <v>na</v>
      </c>
      <c r="I191" s="348" t="str">
        <f>IF($C191="na","na",$C191*Eqtn!$D$343)</f>
        <v>na</v>
      </c>
      <c r="J191" s="367" t="str">
        <f>IF($D191="na","na",Eqtn!$D$364/$D191)</f>
        <v>na</v>
      </c>
      <c r="L191" s="1062"/>
    </row>
    <row r="192" spans="1:12" ht="13.9" customHeight="1" x14ac:dyDescent="0.25">
      <c r="A192" s="846">
        <f>Chem!A192</f>
        <v>190</v>
      </c>
      <c r="B192" s="941" t="str">
        <f>Chem!B192</f>
        <v>Ethylbenzene</v>
      </c>
      <c r="C192" s="909">
        <f>Param!U192</f>
        <v>0.2857142857142857</v>
      </c>
      <c r="D192" s="557" t="str">
        <f>Param!Z192</f>
        <v>na</v>
      </c>
      <c r="E192" s="602">
        <f>IF(C192="na","na",C192*Eqtn!$D$259)</f>
        <v>457.14285714285711</v>
      </c>
      <c r="F192" s="582" t="str">
        <f>IF(D192="na","na",Eqtn!$D$280/D192)</f>
        <v>na</v>
      </c>
      <c r="G192" s="694">
        <f>IF(C192="na","na",C192*Eqtn!$D$301)</f>
        <v>1000</v>
      </c>
      <c r="H192" s="695" t="str">
        <f>IF(D192="na","na",Eqtn!$D$322/D192)</f>
        <v>na</v>
      </c>
      <c r="I192" s="348">
        <f>IF($C192="na","na",$C192*Eqtn!$D$343)</f>
        <v>3893.3333333333326</v>
      </c>
      <c r="J192" s="367" t="str">
        <f>IF($D192="na","na",Eqtn!$D$364/$D192)</f>
        <v>na</v>
      </c>
      <c r="L192" s="1062"/>
    </row>
    <row r="193" spans="1:12" ht="13.9" customHeight="1" x14ac:dyDescent="0.25">
      <c r="A193" s="846">
        <f>Chem!A193</f>
        <v>191</v>
      </c>
      <c r="B193" s="1852" t="str">
        <f>Chem!B193</f>
        <v>Ethylene oxide</v>
      </c>
      <c r="C193" s="909">
        <f>Param!U193</f>
        <v>8.5714285714285719E-3</v>
      </c>
      <c r="D193" s="557">
        <f>Param!Z193</f>
        <v>10.5</v>
      </c>
      <c r="E193" s="602">
        <f>IF(C193="na","na",C193*Eqtn!$D$259)</f>
        <v>13.714285714285715</v>
      </c>
      <c r="F193" s="348">
        <v>2.2000000000000001E-4</v>
      </c>
      <c r="G193" s="694">
        <f>IF(C193="na","na",C193*Eqtn!$D$301)</f>
        <v>30</v>
      </c>
      <c r="H193" s="695">
        <f>IF(D193="na","na",Eqtn!$D$322/D193)</f>
        <v>8.333333333333335E-3</v>
      </c>
      <c r="I193" s="348">
        <f>IF($C193="na","na",$C193*Eqtn!$D$343)</f>
        <v>116.79999999999998</v>
      </c>
      <c r="J193" s="367">
        <f>IF($D193="na","na",Eqtn!$D$364/$D193)</f>
        <v>3.893333333333332E-3</v>
      </c>
      <c r="L193" s="1062"/>
    </row>
    <row r="194" spans="1:12" ht="13.9" customHeight="1" x14ac:dyDescent="0.25">
      <c r="A194" s="846">
        <f>Chem!A194</f>
        <v>192</v>
      </c>
      <c r="B194" s="941" t="str">
        <f>Chem!B194</f>
        <v>Ethyl ether</v>
      </c>
      <c r="C194" s="909" t="str">
        <f>Param!U194</f>
        <v>na</v>
      </c>
      <c r="D194" s="557" t="str">
        <f>Param!Z194</f>
        <v>na</v>
      </c>
      <c r="E194" s="602" t="str">
        <f>IF(C194="na","na",C194*Eqtn!$D$259)</f>
        <v>na</v>
      </c>
      <c r="F194" s="582" t="str">
        <f>IF(D194="na","na",Eqtn!$D$280/D194)</f>
        <v>na</v>
      </c>
      <c r="G194" s="694" t="str">
        <f>IF(C194="na","na",C194*Eqtn!$D$301)</f>
        <v>na</v>
      </c>
      <c r="H194" s="695" t="str">
        <f>IF(D194="na","na",Eqtn!$D$322/D194)</f>
        <v>na</v>
      </c>
      <c r="I194" s="348" t="str">
        <f>IF($C194="na","na",$C194*Eqtn!$D$343)</f>
        <v>na</v>
      </c>
      <c r="J194" s="367" t="str">
        <f>IF($D194="na","na",Eqtn!$D$364/$D194)</f>
        <v>na</v>
      </c>
      <c r="L194" s="1062"/>
    </row>
    <row r="195" spans="1:12" ht="13.9" customHeight="1" x14ac:dyDescent="0.25">
      <c r="A195" s="846">
        <f>Chem!A195</f>
        <v>193</v>
      </c>
      <c r="B195" s="941" t="str">
        <f>Chem!B195</f>
        <v>Ethylene dibromide (EDB)</v>
      </c>
      <c r="C195" s="909">
        <f>Param!U195</f>
        <v>2.5714285714285713E-3</v>
      </c>
      <c r="D195" s="557">
        <f>Param!Z195</f>
        <v>2.0999999999999996</v>
      </c>
      <c r="E195" s="602">
        <f>IF(C195="na","na",C195*Eqtn!$D$259)</f>
        <v>4.1142857142857139</v>
      </c>
      <c r="F195" s="582">
        <f>IF(D195="na","na",Eqtn!$D$280/D195)</f>
        <v>4.1666666666666666E-3</v>
      </c>
      <c r="G195" s="694">
        <f>IF(C195="na","na",C195*Eqtn!$D$301)</f>
        <v>9</v>
      </c>
      <c r="H195" s="695">
        <f>IF(D195="na","na",Eqtn!$D$322/D195)</f>
        <v>4.1666666666666678E-2</v>
      </c>
      <c r="I195" s="348">
        <f>IF($C195="na","na",$C195*Eqtn!$D$343)</f>
        <v>35.039999999999992</v>
      </c>
      <c r="J195" s="367">
        <f>IF($D195="na","na",Eqtn!$D$364/$D195)</f>
        <v>1.9466666666666663E-2</v>
      </c>
      <c r="L195" s="1062"/>
    </row>
    <row r="196" spans="1:12" ht="13.9" customHeight="1" x14ac:dyDescent="0.25">
      <c r="A196" s="846">
        <f>Chem!A196</f>
        <v>194</v>
      </c>
      <c r="B196" s="1852" t="str">
        <f>Chem!B196</f>
        <v>Formaldehyde</v>
      </c>
      <c r="C196" s="909">
        <f>Param!U196</f>
        <v>2E-3</v>
      </c>
      <c r="D196" s="557">
        <f>Param!Z196</f>
        <v>2.5899999999999999E-2</v>
      </c>
      <c r="E196" s="602">
        <f>IF(C196="na","na",C196*Eqtn!$D$259)</f>
        <v>3.2</v>
      </c>
      <c r="F196" s="348">
        <v>8.8999999999999996E-2</v>
      </c>
      <c r="G196" s="694">
        <f>IF(C196="na","na",C196*Eqtn!$D$301)</f>
        <v>7</v>
      </c>
      <c r="H196" s="695">
        <f>IF(D196="na","na",Eqtn!$D$322/D196)</f>
        <v>3.378378378378379</v>
      </c>
      <c r="I196" s="348">
        <f>IF($C196="na","na",$C196*Eqtn!$D$343)</f>
        <v>27.25333333333333</v>
      </c>
      <c r="J196" s="367">
        <f>IF($D196="na","na",Eqtn!$D$364/$D196)</f>
        <v>1.5783783783783778</v>
      </c>
      <c r="L196" s="1062"/>
    </row>
    <row r="197" spans="1:12" ht="13.9" customHeight="1" x14ac:dyDescent="0.25">
      <c r="A197" s="846">
        <f>Chem!A197</f>
        <v>195</v>
      </c>
      <c r="B197" s="941" t="str">
        <f>Chem!B197</f>
        <v>n-Hexane</v>
      </c>
      <c r="C197" s="909">
        <f>Param!U197</f>
        <v>0.20000000000000004</v>
      </c>
      <c r="D197" s="557" t="str">
        <f>Param!Z197</f>
        <v>na</v>
      </c>
      <c r="E197" s="602">
        <f>IF(C197="na","na",C197*Eqtn!$D$259)</f>
        <v>320.00000000000006</v>
      </c>
      <c r="F197" s="582" t="str">
        <f>IF(D197="na","na",Eqtn!$D$280/D197)</f>
        <v>na</v>
      </c>
      <c r="G197" s="694">
        <f>IF(C197="na","na",C197*Eqtn!$D$301)</f>
        <v>700.00000000000011</v>
      </c>
      <c r="H197" s="695" t="str">
        <f>IF(D197="na","na",Eqtn!$D$322/D197)</f>
        <v>na</v>
      </c>
      <c r="I197" s="348">
        <f>IF($C197="na","na",$C197*Eqtn!$D$343)</f>
        <v>2725.3333333333335</v>
      </c>
      <c r="J197" s="367" t="str">
        <f>IF($D197="na","na",Eqtn!$D$364/$D197)</f>
        <v>na</v>
      </c>
      <c r="L197" s="1062"/>
    </row>
    <row r="198" spans="1:12" ht="13.9" customHeight="1" x14ac:dyDescent="0.25">
      <c r="A198" s="846">
        <f>Chem!A198</f>
        <v>196</v>
      </c>
      <c r="B198" s="941" t="str">
        <f>Chem!B198</f>
        <v>2-Hexanone</v>
      </c>
      <c r="C198" s="909">
        <f>Param!U198</f>
        <v>8.5714285714285719E-3</v>
      </c>
      <c r="D198" s="557" t="str">
        <f>Param!Z198</f>
        <v>na</v>
      </c>
      <c r="E198" s="602">
        <f>IF(C198="na","na",C198*Eqtn!$D$259)</f>
        <v>13.714285714285715</v>
      </c>
      <c r="F198" s="582" t="str">
        <f>IF(D198="na","na",Eqtn!$D$280/D198)</f>
        <v>na</v>
      </c>
      <c r="G198" s="694">
        <f>IF(C198="na","na",C198*Eqtn!$D$301)</f>
        <v>30</v>
      </c>
      <c r="H198" s="695" t="str">
        <f>IF(D198="na","na",Eqtn!$D$322/D198)</f>
        <v>na</v>
      </c>
      <c r="I198" s="348">
        <f>IF($C198="na","na",$C198*Eqtn!$D$343)</f>
        <v>116.79999999999998</v>
      </c>
      <c r="J198" s="367" t="str">
        <f>IF($D198="na","na",Eqtn!$D$364/$D198)</f>
        <v>na</v>
      </c>
      <c r="K198" s="313"/>
      <c r="L198" s="1062"/>
    </row>
    <row r="199" spans="1:12" ht="13.9" customHeight="1" x14ac:dyDescent="0.25">
      <c r="A199" s="846">
        <f>Chem!A199</f>
        <v>197</v>
      </c>
      <c r="B199" s="941" t="str">
        <f>Chem!B199</f>
        <v>Isopropylbenzene (cumene)</v>
      </c>
      <c r="C199" s="909">
        <f>Param!U199</f>
        <v>0.11428571428571427</v>
      </c>
      <c r="D199" s="557" t="str">
        <f>Param!Z199</f>
        <v>na</v>
      </c>
      <c r="E199" s="602">
        <f>IF(C199="na","na",C199*Eqtn!$D$259)</f>
        <v>182.85714285714283</v>
      </c>
      <c r="F199" s="582" t="str">
        <f>IF(D199="na","na",Eqtn!$D$280/D199)</f>
        <v>na</v>
      </c>
      <c r="G199" s="694">
        <f>IF(C199="na","na",C199*Eqtn!$D$301)</f>
        <v>399.99999999999994</v>
      </c>
      <c r="H199" s="695" t="str">
        <f>IF(D199="na","na",Eqtn!$D$322/D199)</f>
        <v>na</v>
      </c>
      <c r="I199" s="348">
        <f>IF($C199="na","na",$C199*Eqtn!$D$343)</f>
        <v>1557.3333333333328</v>
      </c>
      <c r="J199" s="367" t="str">
        <f>IF($D199="na","na",Eqtn!$D$364/$D199)</f>
        <v>na</v>
      </c>
      <c r="L199" s="1062"/>
    </row>
    <row r="200" spans="1:12" ht="13.9" customHeight="1" x14ac:dyDescent="0.25">
      <c r="A200" s="846">
        <f>Chem!A200</f>
        <v>198</v>
      </c>
      <c r="B200" s="941" t="str">
        <f>Chem!B200</f>
        <v>4-Isopropyltoluene (p-isopropyltoluene)</v>
      </c>
      <c r="C200" s="909">
        <f>Param!U200</f>
        <v>1.1428571428571429E-2</v>
      </c>
      <c r="D200" s="557" t="str">
        <f>Param!Z200</f>
        <v>na</v>
      </c>
      <c r="E200" s="602">
        <f>IF(C200="na","na",C200*Eqtn!$D$259)</f>
        <v>18.285714285714285</v>
      </c>
      <c r="F200" s="582" t="str">
        <f>IF(D200="na","na",Eqtn!$D$280/D200)</f>
        <v>na</v>
      </c>
      <c r="G200" s="694">
        <f>IF(C200="na","na",C200*Eqtn!$D$301)</f>
        <v>40</v>
      </c>
      <c r="H200" s="695" t="str">
        <f>IF(D200="na","na",Eqtn!$D$322/D200)</f>
        <v>na</v>
      </c>
      <c r="I200" s="348">
        <f>IF($C200="na","na",$C200*Eqtn!$D$343)</f>
        <v>155.73333333333329</v>
      </c>
      <c r="J200" s="367" t="str">
        <f>IF($D200="na","na",Eqtn!$D$364/$D200)</f>
        <v>na</v>
      </c>
      <c r="L200" s="1062"/>
    </row>
    <row r="201" spans="1:12" ht="13.9" customHeight="1" x14ac:dyDescent="0.25">
      <c r="A201" s="846">
        <f>Chem!A201</f>
        <v>199</v>
      </c>
      <c r="B201" s="941" t="str">
        <f>Chem!B201</f>
        <v>Methane</v>
      </c>
      <c r="C201" s="909" t="str">
        <f>Param!U201</f>
        <v>na</v>
      </c>
      <c r="D201" s="557" t="str">
        <f>Param!Z201</f>
        <v>na</v>
      </c>
      <c r="E201" s="602" t="str">
        <f>IF(C201="na","na",C201*Eqtn!$D$259)</f>
        <v>na</v>
      </c>
      <c r="F201" s="582" t="str">
        <f>IF(D201="na","na",Eqtn!$D$280/D201)</f>
        <v>na</v>
      </c>
      <c r="G201" s="694" t="str">
        <f>IF(C201="na","na",C201*Eqtn!$D$301)</f>
        <v>na</v>
      </c>
      <c r="H201" s="695" t="str">
        <f>IF(D201="na","na",Eqtn!$D$322/D201)</f>
        <v>na</v>
      </c>
      <c r="I201" s="348" t="str">
        <f>IF($C201="na","na",$C201*Eqtn!$D$343)</f>
        <v>na</v>
      </c>
      <c r="J201" s="367" t="str">
        <f>IF($D201="na","na",Eqtn!$D$364/$D201)</f>
        <v>na</v>
      </c>
      <c r="L201" s="1062"/>
    </row>
    <row r="202" spans="1:12" ht="13.9" customHeight="1" x14ac:dyDescent="0.25">
      <c r="A202" s="846">
        <f>Chem!A202</f>
        <v>200</v>
      </c>
      <c r="B202" s="941" t="str">
        <f>Chem!B202</f>
        <v>Methyl ethyl ketone (2-butanone)</v>
      </c>
      <c r="C202" s="909">
        <f>Param!U202</f>
        <v>1.4285714285714286</v>
      </c>
      <c r="D202" s="557" t="str">
        <f>Param!Z202</f>
        <v>na</v>
      </c>
      <c r="E202" s="602">
        <f>IF(C202="na","na",C202*Eqtn!$D$259)</f>
        <v>2285.7142857142858</v>
      </c>
      <c r="F202" s="582" t="str">
        <f>IF(D202="na","na",Eqtn!$D$280/D202)</f>
        <v>na</v>
      </c>
      <c r="G202" s="694">
        <f>IF(C202="na","na",C202*Eqtn!$D$301)</f>
        <v>5000</v>
      </c>
      <c r="H202" s="695" t="str">
        <f>IF(D202="na","na",Eqtn!$D$322/D202)</f>
        <v>na</v>
      </c>
      <c r="I202" s="348">
        <f>IF($C202="na","na",$C202*Eqtn!$D$343)</f>
        <v>19466.666666666664</v>
      </c>
      <c r="J202" s="367" t="str">
        <f>IF($D202="na","na",Eqtn!$D$364/$D202)</f>
        <v>na</v>
      </c>
      <c r="L202" s="1062"/>
    </row>
    <row r="203" spans="1:12" ht="13.9" customHeight="1" x14ac:dyDescent="0.25">
      <c r="A203" s="846">
        <f>Chem!A203</f>
        <v>201</v>
      </c>
      <c r="B203" s="941" t="str">
        <f>Chem!B203</f>
        <v>Methyl iodide</v>
      </c>
      <c r="C203" s="909" t="str">
        <f>Param!U203</f>
        <v>na</v>
      </c>
      <c r="D203" s="557" t="str">
        <f>Param!Z203</f>
        <v>na</v>
      </c>
      <c r="E203" s="602" t="str">
        <f>IF(C203="na","na",C203*Eqtn!$D$259)</f>
        <v>na</v>
      </c>
      <c r="F203" s="582" t="str">
        <f>IF(D203="na","na",Eqtn!$D$280/D203)</f>
        <v>na</v>
      </c>
      <c r="G203" s="694" t="str">
        <f>IF(C203="na","na",C203*Eqtn!$D$301)</f>
        <v>na</v>
      </c>
      <c r="H203" s="695" t="str">
        <f>IF(D203="na","na",Eqtn!$D$322/D203)</f>
        <v>na</v>
      </c>
      <c r="I203" s="348" t="str">
        <f>IF($C203="na","na",$C203*Eqtn!$D$343)</f>
        <v>na</v>
      </c>
      <c r="J203" s="367" t="str">
        <f>IF($D203="na","na",Eqtn!$D$364/$D203)</f>
        <v>na</v>
      </c>
      <c r="L203" s="1062"/>
    </row>
    <row r="204" spans="1:12" ht="13.9" customHeight="1" x14ac:dyDescent="0.25">
      <c r="A204" s="846">
        <f>Chem!A204</f>
        <v>202</v>
      </c>
      <c r="B204" s="941" t="str">
        <f>Chem!B204</f>
        <v>Methyl isobutyl ketone</v>
      </c>
      <c r="C204" s="909">
        <f>Param!U204</f>
        <v>0.8571428571428571</v>
      </c>
      <c r="D204" s="557" t="str">
        <f>Param!Z204</f>
        <v>na</v>
      </c>
      <c r="E204" s="602">
        <f>IF(C204="na","na",C204*Eqtn!$D$259)</f>
        <v>1371.4285714285713</v>
      </c>
      <c r="F204" s="582" t="str">
        <f>IF(D204="na","na",Eqtn!$D$280/D204)</f>
        <v>na</v>
      </c>
      <c r="G204" s="694">
        <f>IF(C204="na","na",C204*Eqtn!$D$301)</f>
        <v>3000</v>
      </c>
      <c r="H204" s="695" t="str">
        <f>IF(D204="na","na",Eqtn!$D$322/D204)</f>
        <v>na</v>
      </c>
      <c r="I204" s="348">
        <f>IF($C204="na","na",$C204*Eqtn!$D$343)</f>
        <v>11679.999999999998</v>
      </c>
      <c r="J204" s="367" t="str">
        <f>IF($D204="na","na",Eqtn!$D$364/$D204)</f>
        <v>na</v>
      </c>
      <c r="L204" s="1062"/>
    </row>
    <row r="205" spans="1:12" ht="13.9" customHeight="1" x14ac:dyDescent="0.25">
      <c r="A205" s="846">
        <f>Chem!A205</f>
        <v>203</v>
      </c>
      <c r="B205" s="941" t="str">
        <f>Chem!B205</f>
        <v>Methyl tert-butyl ether (MTBE)</v>
      </c>
      <c r="C205" s="909">
        <f>Param!U205</f>
        <v>0.8571428571428571</v>
      </c>
      <c r="D205" s="557">
        <f>Param!Z205</f>
        <v>9.0999999999999989E-4</v>
      </c>
      <c r="E205" s="602">
        <f>IF(C205="na","na",C205*Eqtn!$D$259)</f>
        <v>1371.4285714285713</v>
      </c>
      <c r="F205" s="582">
        <f>IF(D205="na","na",Eqtn!$D$280/D205)</f>
        <v>9.615384615384615</v>
      </c>
      <c r="G205" s="694">
        <f>IF(C205="na","na",C205*Eqtn!$D$301)</f>
        <v>3000</v>
      </c>
      <c r="H205" s="695">
        <f>IF(D205="na","na",Eqtn!$D$322/D205)</f>
        <v>96.153846153846175</v>
      </c>
      <c r="I205" s="348">
        <f>IF($C205="na","na",$C205*Eqtn!$D$343)</f>
        <v>11679.999999999998</v>
      </c>
      <c r="J205" s="367">
        <f>IF($D205="na","na",Eqtn!$D$364/$D205)</f>
        <v>44.923076923076913</v>
      </c>
      <c r="L205" s="1062"/>
    </row>
    <row r="206" spans="1:12" ht="13.9" customHeight="1" x14ac:dyDescent="0.25">
      <c r="A206" s="846">
        <f>Chem!A206</f>
        <v>204</v>
      </c>
      <c r="B206" s="1852" t="str">
        <f>Chem!B206</f>
        <v>Methylene chloride</v>
      </c>
      <c r="C206" s="909">
        <f>Param!U206</f>
        <v>0.17142857142857143</v>
      </c>
      <c r="D206" s="557">
        <f>Param!Z206</f>
        <v>3.500000000000001E-5</v>
      </c>
      <c r="E206" s="602">
        <f>IF(C206="na","na",C206*Eqtn!$D$259)</f>
        <v>274.28571428571428</v>
      </c>
      <c r="F206" s="348">
        <v>66</v>
      </c>
      <c r="G206" s="694">
        <f>IF(C206="na","na",C206*Eqtn!$D$301)</f>
        <v>600</v>
      </c>
      <c r="H206" s="695">
        <f>IF(D206="na","na",Eqtn!$D$322/D206)</f>
        <v>2499.9999999999995</v>
      </c>
      <c r="I206" s="348">
        <f>IF($C206="na","na",$C206*Eqtn!$D$343)</f>
        <v>2335.9999999999995</v>
      </c>
      <c r="J206" s="367">
        <f>IF($D206="na","na",Eqtn!$D$364/$D206)</f>
        <v>1167.9999999999993</v>
      </c>
      <c r="L206" s="1062"/>
    </row>
    <row r="207" spans="1:12" ht="13.9" customHeight="1" x14ac:dyDescent="0.25">
      <c r="A207" s="846">
        <f>Chem!A207</f>
        <v>205</v>
      </c>
      <c r="B207" s="941" t="str">
        <f>Chem!B207</f>
        <v>2-Pentanone</v>
      </c>
      <c r="C207" s="909" t="str">
        <f>Param!U207</f>
        <v>na</v>
      </c>
      <c r="D207" s="557" t="str">
        <f>Param!Z207</f>
        <v>na</v>
      </c>
      <c r="E207" s="602" t="str">
        <f>IF(C207="na","na",C207*Eqtn!$D$259)</f>
        <v>na</v>
      </c>
      <c r="F207" s="582" t="str">
        <f>IF(D207="na","na",Eqtn!$D$280/D207)</f>
        <v>na</v>
      </c>
      <c r="G207" s="694" t="str">
        <f>IF(C207="na","na",C207*Eqtn!$D$301)</f>
        <v>na</v>
      </c>
      <c r="H207" s="695" t="str">
        <f>IF(D207="na","na",Eqtn!$D$322/D207)</f>
        <v>na</v>
      </c>
      <c r="I207" s="348" t="str">
        <f>IF($C207="na","na",$C207*Eqtn!$D$343)</f>
        <v>na</v>
      </c>
      <c r="J207" s="367" t="str">
        <f>IF($D207="na","na",Eqtn!$D$364/$D207)</f>
        <v>na</v>
      </c>
      <c r="L207" s="1062"/>
    </row>
    <row r="208" spans="1:12" ht="13.9" customHeight="1" x14ac:dyDescent="0.25">
      <c r="A208" s="846">
        <f>Chem!A208</f>
        <v>206</v>
      </c>
      <c r="B208" s="941" t="str">
        <f>Chem!B208</f>
        <v>n-Propylbenzene</v>
      </c>
      <c r="C208" s="909">
        <f>Param!U208</f>
        <v>0.2857142857142857</v>
      </c>
      <c r="D208" s="557" t="str">
        <f>Param!Z208</f>
        <v>na</v>
      </c>
      <c r="E208" s="602">
        <f>IF(C208="na","na",C208*Eqtn!$D$259)</f>
        <v>457.14285714285711</v>
      </c>
      <c r="F208" s="582" t="str">
        <f>IF(D208="na","na",Eqtn!$D$280/D208)</f>
        <v>na</v>
      </c>
      <c r="G208" s="694">
        <f>IF(C208="na","na",C208*Eqtn!$D$301)</f>
        <v>1000</v>
      </c>
      <c r="H208" s="695" t="str">
        <f>IF(D208="na","na",Eqtn!$D$322/D208)</f>
        <v>na</v>
      </c>
      <c r="I208" s="348">
        <f>IF($C208="na","na",$C208*Eqtn!$D$343)</f>
        <v>3893.3333333333326</v>
      </c>
      <c r="J208" s="367" t="str">
        <f>IF($D208="na","na",Eqtn!$D$364/$D208)</f>
        <v>na</v>
      </c>
      <c r="L208" s="1062"/>
    </row>
    <row r="209" spans="1:12" ht="13.9" customHeight="1" x14ac:dyDescent="0.25">
      <c r="A209" s="846">
        <f>Chem!A209</f>
        <v>207</v>
      </c>
      <c r="B209" s="941" t="str">
        <f>Chem!B209</f>
        <v>Styrene</v>
      </c>
      <c r="C209" s="909">
        <f>Param!U209</f>
        <v>0.2857142857142857</v>
      </c>
      <c r="D209" s="557" t="str">
        <f>Param!Z209</f>
        <v>na</v>
      </c>
      <c r="E209" s="602">
        <f>IF(C209="na","na",C209*Eqtn!$D$259)</f>
        <v>457.14285714285711</v>
      </c>
      <c r="F209" s="582" t="str">
        <f>IF(D209="na","na",Eqtn!$D$280/D209)</f>
        <v>na</v>
      </c>
      <c r="G209" s="694">
        <f>IF(C209="na","na",C209*Eqtn!$D$301)</f>
        <v>1000</v>
      </c>
      <c r="H209" s="695" t="str">
        <f>IF(D209="na","na",Eqtn!$D$322/D209)</f>
        <v>na</v>
      </c>
      <c r="I209" s="348">
        <f>IF($C209="na","na",$C209*Eqtn!$D$343)</f>
        <v>3893.3333333333326</v>
      </c>
      <c r="J209" s="367" t="str">
        <f>IF($D209="na","na",Eqtn!$D$364/$D209)</f>
        <v>na</v>
      </c>
      <c r="L209" s="1062"/>
    </row>
    <row r="210" spans="1:12" ht="13.9" customHeight="1" x14ac:dyDescent="0.25">
      <c r="A210" s="846">
        <f>Chem!A210</f>
        <v>208</v>
      </c>
      <c r="B210" s="941" t="str">
        <f>Chem!B210</f>
        <v>1,1,1,2-Tetrachloroethane</v>
      </c>
      <c r="C210" s="909" t="str">
        <f>Param!U210</f>
        <v>na</v>
      </c>
      <c r="D210" s="557">
        <f>Param!Z210</f>
        <v>2.5899999999999999E-2</v>
      </c>
      <c r="E210" s="602" t="str">
        <f>IF(C210="na","na",C210*Eqtn!$D$259)</f>
        <v>na</v>
      </c>
      <c r="F210" s="582">
        <f>IF(D210="na","na",Eqtn!$D$280/D210)</f>
        <v>0.33783783783783783</v>
      </c>
      <c r="G210" s="694" t="str">
        <f>IF(C210="na","na",C210*Eqtn!$D$301)</f>
        <v>na</v>
      </c>
      <c r="H210" s="695">
        <f>IF(D210="na","na",Eqtn!$D$322/D210)</f>
        <v>3.378378378378379</v>
      </c>
      <c r="I210" s="348" t="str">
        <f>IF($C210="na","na",$C210*Eqtn!$D$343)</f>
        <v>na</v>
      </c>
      <c r="J210" s="367">
        <f>IF($D210="na","na",Eqtn!$D$364/$D210)</f>
        <v>1.5783783783783778</v>
      </c>
      <c r="L210" s="1062"/>
    </row>
    <row r="211" spans="1:12" ht="13.9" customHeight="1" x14ac:dyDescent="0.25">
      <c r="A211" s="846">
        <f>Chem!A211</f>
        <v>209</v>
      </c>
      <c r="B211" s="941" t="str">
        <f>Chem!B211</f>
        <v>1,1,2,2-Tetrachloroethane</v>
      </c>
      <c r="C211" s="909" t="str">
        <f>Param!U211</f>
        <v>na</v>
      </c>
      <c r="D211" s="557">
        <f>Param!Z211</f>
        <v>0.20300000000000001</v>
      </c>
      <c r="E211" s="602" t="str">
        <f>IF(C211="na","na",C211*Eqtn!$D$259)</f>
        <v>na</v>
      </c>
      <c r="F211" s="582">
        <f>IF(D211="na","na",Eqtn!$D$280/D211)</f>
        <v>4.3103448275862065E-2</v>
      </c>
      <c r="G211" s="694" t="str">
        <f>IF(C211="na","na",C211*Eqtn!$D$301)</f>
        <v>na</v>
      </c>
      <c r="H211" s="695">
        <f>IF(D211="na","na",Eqtn!$D$322/D211)</f>
        <v>0.43103448275862072</v>
      </c>
      <c r="I211" s="348" t="str">
        <f>IF($C211="na","na",$C211*Eqtn!$D$343)</f>
        <v>na</v>
      </c>
      <c r="J211" s="367">
        <f>IF($D211="na","na",Eqtn!$D$364/$D211)</f>
        <v>0.20137931034482751</v>
      </c>
      <c r="L211" s="1062"/>
    </row>
    <row r="212" spans="1:12" ht="13.9" customHeight="1" x14ac:dyDescent="0.25">
      <c r="A212" s="846">
        <f>Chem!A212</f>
        <v>210</v>
      </c>
      <c r="B212" s="941" t="str">
        <f>Chem!B212</f>
        <v>Tetrachloroethylene (PCE)</v>
      </c>
      <c r="C212" s="909">
        <f>Param!U212</f>
        <v>1.1428571428571429E-2</v>
      </c>
      <c r="D212" s="557">
        <f>Param!Z212</f>
        <v>9.0999999999999989E-4</v>
      </c>
      <c r="E212" s="602">
        <f>IF(C212="na","na",C212*Eqtn!$D$259)</f>
        <v>18.285714285714285</v>
      </c>
      <c r="F212" s="582">
        <f>IF(D212="na","na",Eqtn!$D$280/D212)</f>
        <v>9.615384615384615</v>
      </c>
      <c r="G212" s="694">
        <f>IF(C212="na","na",C212*Eqtn!$D$301)</f>
        <v>40</v>
      </c>
      <c r="H212" s="695">
        <f>IF(D212="na","na",Eqtn!$D$322/D212)</f>
        <v>96.153846153846175</v>
      </c>
      <c r="I212" s="348">
        <f>IF($C212="na","na",$C212*Eqtn!$D$343)</f>
        <v>155.73333333333329</v>
      </c>
      <c r="J212" s="367">
        <f>IF($D212="na","na",Eqtn!$D$364/$D212)</f>
        <v>44.923076923076913</v>
      </c>
      <c r="K212" s="314"/>
      <c r="L212" s="1062"/>
    </row>
    <row r="213" spans="1:12" ht="13.9" customHeight="1" x14ac:dyDescent="0.25">
      <c r="A213" s="846">
        <f>Chem!A213</f>
        <v>211</v>
      </c>
      <c r="B213" s="941" t="str">
        <f>Chem!B213</f>
        <v>Tetrahydrofuran</v>
      </c>
      <c r="C213" s="909">
        <f>Param!U213</f>
        <v>0.5714285714285714</v>
      </c>
      <c r="D213" s="557" t="str">
        <f>Param!Z213</f>
        <v>na</v>
      </c>
      <c r="E213" s="602">
        <f>IF(C213="na","na",C213*Eqtn!$D$259)</f>
        <v>914.28571428571422</v>
      </c>
      <c r="F213" s="582" t="str">
        <f>IF(D213="na","na",Eqtn!$D$280/D213)</f>
        <v>na</v>
      </c>
      <c r="G213" s="694">
        <f>IF(C213="na","na",C213*Eqtn!$D$301)</f>
        <v>2000</v>
      </c>
      <c r="H213" s="695" t="str">
        <f>IF(D213="na","na",Eqtn!$D$322/D213)</f>
        <v>na</v>
      </c>
      <c r="I213" s="348">
        <f>IF($C213="na","na",$C213*Eqtn!$D$343)</f>
        <v>7786.6666666666652</v>
      </c>
      <c r="J213" s="367" t="str">
        <f>IF($D213="na","na",Eqtn!$D$364/$D213)</f>
        <v>na</v>
      </c>
      <c r="K213" s="314"/>
      <c r="L213" s="1062"/>
    </row>
    <row r="214" spans="1:12" ht="13.9" customHeight="1" x14ac:dyDescent="0.25">
      <c r="A214" s="846">
        <f>Chem!A214</f>
        <v>212</v>
      </c>
      <c r="B214" s="941" t="str">
        <f>Chem!B214</f>
        <v>Toluene</v>
      </c>
      <c r="C214" s="909">
        <f>Param!U214</f>
        <v>1.4285714285714286</v>
      </c>
      <c r="D214" s="557" t="str">
        <f>Param!Z214</f>
        <v>na</v>
      </c>
      <c r="E214" s="602">
        <f>IF(C214="na","na",C214*Eqtn!$D$259)</f>
        <v>2285.7142857142858</v>
      </c>
      <c r="F214" s="582" t="str">
        <f>IF(D214="na","na",Eqtn!$D$280/D214)</f>
        <v>na</v>
      </c>
      <c r="G214" s="694">
        <f>IF(C214="na","na",C214*Eqtn!$D$301)</f>
        <v>5000</v>
      </c>
      <c r="H214" s="695" t="str">
        <f>IF(D214="na","na",Eqtn!$D$322/D214)</f>
        <v>na</v>
      </c>
      <c r="I214" s="348">
        <f>IF($C214="na","na",$C214*Eqtn!$D$343)</f>
        <v>19466.666666666664</v>
      </c>
      <c r="J214" s="367" t="str">
        <f>IF($D214="na","na",Eqtn!$D$364/$D214)</f>
        <v>na</v>
      </c>
      <c r="L214" s="1062"/>
    </row>
    <row r="215" spans="1:12" ht="13.9" customHeight="1" x14ac:dyDescent="0.25">
      <c r="A215" s="846">
        <f>Chem!A215</f>
        <v>213</v>
      </c>
      <c r="B215" s="941" t="str">
        <f>Chem!B215</f>
        <v>1,2,3-Trichlorobenzene</v>
      </c>
      <c r="C215" s="909" t="str">
        <f>Param!U215</f>
        <v>na</v>
      </c>
      <c r="D215" s="557" t="str">
        <f>Param!Z215</f>
        <v>na</v>
      </c>
      <c r="E215" s="602" t="str">
        <f>IF(C215="na","na",C215*Eqtn!$D$259)</f>
        <v>na</v>
      </c>
      <c r="F215" s="582" t="str">
        <f>IF(D215="na","na",Eqtn!$D$280/D215)</f>
        <v>na</v>
      </c>
      <c r="G215" s="694" t="str">
        <f>IF(C215="na","na",C215*Eqtn!$D$301)</f>
        <v>na</v>
      </c>
      <c r="H215" s="695" t="str">
        <f>IF(D215="na","na",Eqtn!$D$322/D215)</f>
        <v>na</v>
      </c>
      <c r="I215" s="348" t="str">
        <f>IF($C215="na","na",$C215*Eqtn!$D$343)</f>
        <v>na</v>
      </c>
      <c r="J215" s="367" t="str">
        <f>IF($D215="na","na",Eqtn!$D$364/$D215)</f>
        <v>na</v>
      </c>
      <c r="L215" s="1062"/>
    </row>
    <row r="216" spans="1:12" ht="13.9" customHeight="1" x14ac:dyDescent="0.25">
      <c r="A216" s="846">
        <f>Chem!A216</f>
        <v>214</v>
      </c>
      <c r="B216" s="941" t="str">
        <f>Chem!B216</f>
        <v>1,1,1-Trichloroethane</v>
      </c>
      <c r="C216" s="909">
        <f>Param!U216</f>
        <v>1.4285714285714286</v>
      </c>
      <c r="D216" s="557" t="str">
        <f>Param!Z216</f>
        <v>na</v>
      </c>
      <c r="E216" s="602">
        <f>IF(C216="na","na",C216*Eqtn!$D$259)</f>
        <v>2285.7142857142858</v>
      </c>
      <c r="F216" s="582" t="str">
        <f>IF(D216="na","na",Eqtn!$D$280/D216)</f>
        <v>na</v>
      </c>
      <c r="G216" s="694">
        <f>IF(C216="na","na",C216*Eqtn!$D$301)</f>
        <v>5000</v>
      </c>
      <c r="H216" s="695" t="str">
        <f>IF(D216="na","na",Eqtn!$D$322/D216)</f>
        <v>na</v>
      </c>
      <c r="I216" s="348">
        <f>IF($C216="na","na",$C216*Eqtn!$D$343)</f>
        <v>19466.666666666664</v>
      </c>
      <c r="J216" s="367" t="str">
        <f>IF($D216="na","na",Eqtn!$D$364/$D216)</f>
        <v>na</v>
      </c>
      <c r="L216" s="1062"/>
    </row>
    <row r="217" spans="1:12" ht="13.9" customHeight="1" x14ac:dyDescent="0.25">
      <c r="A217" s="846">
        <f>Chem!A217</f>
        <v>215</v>
      </c>
      <c r="B217" s="941" t="str">
        <f>Chem!B217</f>
        <v>1,1,2-Trichloroethane</v>
      </c>
      <c r="C217" s="909">
        <f>Param!U217</f>
        <v>5.7142857142857142E-5</v>
      </c>
      <c r="D217" s="557">
        <f>Param!Z217</f>
        <v>5.5999999999999994E-2</v>
      </c>
      <c r="E217" s="602">
        <f>IF(C217="na","na",C217*Eqtn!$D$259)</f>
        <v>9.1428571428571428E-2</v>
      </c>
      <c r="F217" s="582">
        <f>IF(D217="na","na",Eqtn!$D$280/D217)</f>
        <v>0.15625</v>
      </c>
      <c r="G217" s="694">
        <f>IF(C217="na","na",C217*Eqtn!$D$301)</f>
        <v>0.19999999999999998</v>
      </c>
      <c r="H217" s="695">
        <f>IF(D217="na","na",Eqtn!$D$322/D217)</f>
        <v>1.5625000000000002</v>
      </c>
      <c r="I217" s="348">
        <f>IF($C217="na","na",$C217*Eqtn!$D$343)</f>
        <v>0.77866666666666651</v>
      </c>
      <c r="J217" s="367">
        <f>IF($D217="na","na",Eqtn!$D$364/$D217)</f>
        <v>0.72999999999999987</v>
      </c>
      <c r="L217" s="1062"/>
    </row>
    <row r="218" spans="1:12" ht="13.9" customHeight="1" x14ac:dyDescent="0.25">
      <c r="A218" s="846">
        <f>Chem!A218</f>
        <v>216</v>
      </c>
      <c r="B218" s="1852" t="str">
        <f>Chem!B218</f>
        <v>Trichloroethylene (TCE)</v>
      </c>
      <c r="C218" s="909">
        <f>Param!U218</f>
        <v>5.7142857142857147E-4</v>
      </c>
      <c r="D218" s="557">
        <f>Param!Z218</f>
        <v>1.4349999999999998E-2</v>
      </c>
      <c r="E218" s="602">
        <v>0.9</v>
      </c>
      <c r="F218" s="348">
        <v>0.33</v>
      </c>
      <c r="G218" s="694">
        <v>2</v>
      </c>
      <c r="H218" s="695">
        <f>IF(D218="na","na",Eqtn!$D$322/D218)</f>
        <v>6.0975609756097571</v>
      </c>
      <c r="I218" s="348">
        <f>IF($C218="na","na",$C218*Eqtn!$D$343)</f>
        <v>7.7866666666666662</v>
      </c>
      <c r="J218" s="367">
        <f>IF($D218="na","na",Eqtn!$D$364/$D218)</f>
        <v>2.8487804878048775</v>
      </c>
      <c r="L218" s="1062"/>
    </row>
    <row r="219" spans="1:12" ht="13.9" customHeight="1" x14ac:dyDescent="0.25">
      <c r="A219" s="846">
        <f>Chem!A219</f>
        <v>217</v>
      </c>
      <c r="B219" s="941" t="str">
        <f>Chem!B219</f>
        <v>Trichlorofluoroethane</v>
      </c>
      <c r="C219" s="909" t="str">
        <f>Param!U219</f>
        <v>na</v>
      </c>
      <c r="D219" s="557" t="str">
        <f>Param!Z219</f>
        <v>na</v>
      </c>
      <c r="E219" s="602" t="str">
        <f>IF(C219="na","na",C219*Eqtn!$D$259)</f>
        <v>na</v>
      </c>
      <c r="F219" s="582" t="str">
        <f>IF(D219="na","na",Eqtn!$D$280/D219)</f>
        <v>na</v>
      </c>
      <c r="G219" s="694" t="str">
        <f>IF(C219="na","na",C219*Eqtn!$D$301)</f>
        <v>na</v>
      </c>
      <c r="H219" s="695" t="str">
        <f>IF(D219="na","na",Eqtn!$D$322/D219)</f>
        <v>na</v>
      </c>
      <c r="I219" s="348" t="str">
        <f>IF($C219="na","na",$C219*Eqtn!$D$343)</f>
        <v>na</v>
      </c>
      <c r="J219" s="367" t="str">
        <f>IF($D219="na","na",Eqtn!$D$364/$D219)</f>
        <v>na</v>
      </c>
      <c r="L219" s="1062"/>
    </row>
    <row r="220" spans="1:12" ht="13.9" customHeight="1" x14ac:dyDescent="0.25">
      <c r="A220" s="846">
        <f>Chem!A220</f>
        <v>218</v>
      </c>
      <c r="B220" s="941" t="str">
        <f>Chem!B220</f>
        <v>Trichlorofluoromethane</v>
      </c>
      <c r="C220" s="909">
        <f>Param!U220</f>
        <v>0.20000000000000004</v>
      </c>
      <c r="D220" s="557" t="str">
        <f>Param!Z220</f>
        <v>na</v>
      </c>
      <c r="E220" s="602">
        <f>IF(C220="na","na",C220*Eqtn!$D$259)</f>
        <v>320.00000000000006</v>
      </c>
      <c r="F220" s="582" t="str">
        <f>IF(D220="na","na",Eqtn!$D$280/D220)</f>
        <v>na</v>
      </c>
      <c r="G220" s="694">
        <f>IF(C220="na","na",C220*Eqtn!$D$301)</f>
        <v>700.00000000000011</v>
      </c>
      <c r="H220" s="695" t="str">
        <f>IF(D220="na","na",Eqtn!$D$322/D220)</f>
        <v>na</v>
      </c>
      <c r="I220" s="348">
        <f>IF($C220="na","na",$C220*Eqtn!$D$343)</f>
        <v>2725.3333333333335</v>
      </c>
      <c r="J220" s="367" t="str">
        <f>IF($D220="na","na",Eqtn!$D$364/$D220)</f>
        <v>na</v>
      </c>
      <c r="L220" s="1062"/>
    </row>
    <row r="221" spans="1:12" ht="13.9" customHeight="1" x14ac:dyDescent="0.25">
      <c r="A221" s="846">
        <f>Chem!A221</f>
        <v>219</v>
      </c>
      <c r="B221" s="1852" t="str">
        <f>Chem!B221</f>
        <v>1,2,3-Trichloropropane</v>
      </c>
      <c r="C221" s="909">
        <f>Param!U221</f>
        <v>8.5714285714285685E-5</v>
      </c>
      <c r="D221" s="557" t="str">
        <f>Param!Z221</f>
        <v>na</v>
      </c>
      <c r="E221" s="602">
        <f>IF(C221="na","na",C221*Eqtn!$D$259)</f>
        <v>0.13714285714285709</v>
      </c>
      <c r="F221" s="582" t="str">
        <f>IF(D221="na","na",Eqtn!$D$280/D221)</f>
        <v>na</v>
      </c>
      <c r="G221" s="694">
        <f>IF(C221="na","na",C221*Eqtn!$D$301)</f>
        <v>0.29999999999999988</v>
      </c>
      <c r="H221" s="695" t="str">
        <f>IF(D221="na","na",Eqtn!$D$322/D221)</f>
        <v>na</v>
      </c>
      <c r="I221" s="348">
        <f>IF($C221="na","na",$C221*Eqtn!$D$343)</f>
        <v>1.1679999999999995</v>
      </c>
      <c r="J221" s="367" t="str">
        <f>IF($D221="na","na",Eqtn!$D$364/$D221)</f>
        <v>na</v>
      </c>
      <c r="L221" s="1062"/>
    </row>
    <row r="222" spans="1:12" ht="13.9" customHeight="1" x14ac:dyDescent="0.25">
      <c r="A222" s="846">
        <f>Chem!A222</f>
        <v>220</v>
      </c>
      <c r="B222" s="941" t="str">
        <f>Chem!B222</f>
        <v>Trichlorotrifluoroethane</v>
      </c>
      <c r="C222" s="909">
        <f>Param!U222</f>
        <v>1.4285714285714286</v>
      </c>
      <c r="D222" s="557" t="str">
        <f>Param!Z222</f>
        <v>na</v>
      </c>
      <c r="E222" s="602">
        <f>IF(C222="na","na",C222*Eqtn!$D$259)</f>
        <v>2285.7142857142858</v>
      </c>
      <c r="F222" s="582" t="str">
        <f>IF(D222="na","na",Eqtn!$D$280/D222)</f>
        <v>na</v>
      </c>
      <c r="G222" s="694">
        <f>IF(C222="na","na",C222*Eqtn!$D$301)</f>
        <v>5000</v>
      </c>
      <c r="H222" s="695" t="str">
        <f>IF(D222="na","na",Eqtn!$D$322/D222)</f>
        <v>na</v>
      </c>
      <c r="I222" s="348">
        <f>IF($C222="na","na",$C222*Eqtn!$D$343)</f>
        <v>19466.666666666664</v>
      </c>
      <c r="J222" s="367" t="str">
        <f>IF($D222="na","na",Eqtn!$D$364/$D222)</f>
        <v>na</v>
      </c>
      <c r="L222" s="1062"/>
    </row>
    <row r="223" spans="1:12" ht="13.9" customHeight="1" x14ac:dyDescent="0.25">
      <c r="A223" s="846">
        <f>Chem!A223</f>
        <v>221</v>
      </c>
      <c r="B223" s="941" t="str">
        <f>Chem!B223</f>
        <v>1,2,3-Trimethylbenzene</v>
      </c>
      <c r="C223" s="909">
        <f>Param!U223</f>
        <v>1.7142857142857144E-2</v>
      </c>
      <c r="D223" s="557" t="str">
        <f>Param!Z223</f>
        <v>na</v>
      </c>
      <c r="E223" s="602">
        <f>IF(C223="na","na",C223*Eqtn!$D$259)</f>
        <v>27.428571428571431</v>
      </c>
      <c r="F223" s="582" t="str">
        <f>IF(D223="na","na",Eqtn!$D$280/D223)</f>
        <v>na</v>
      </c>
      <c r="G223" s="694">
        <f>IF(C223="na","na",C223*Eqtn!$D$301)</f>
        <v>60</v>
      </c>
      <c r="H223" s="695" t="str">
        <f>IF(D223="na","na",Eqtn!$D$322/D223)</f>
        <v>na</v>
      </c>
      <c r="I223" s="348">
        <f>IF($C223="na","na",$C223*Eqtn!$D$343)</f>
        <v>233.59999999999997</v>
      </c>
      <c r="J223" s="367" t="str">
        <f>IF($D223="na","na",Eqtn!$D$364/$D223)</f>
        <v>na</v>
      </c>
      <c r="L223" s="1062"/>
    </row>
    <row r="224" spans="1:12" ht="13.9" customHeight="1" x14ac:dyDescent="0.25">
      <c r="A224" s="846">
        <f>Chem!A224</f>
        <v>222</v>
      </c>
      <c r="B224" s="941" t="str">
        <f>Chem!B224</f>
        <v>1,2,4-Trimethylbenzene</v>
      </c>
      <c r="C224" s="909">
        <f>Param!U224</f>
        <v>1.7142857142857144E-2</v>
      </c>
      <c r="D224" s="557" t="str">
        <f>Param!Z224</f>
        <v>na</v>
      </c>
      <c r="E224" s="602">
        <f>IF(C224="na","na",C224*Eqtn!$D$259)</f>
        <v>27.428571428571431</v>
      </c>
      <c r="F224" s="582" t="str">
        <f>IF(D224="na","na",Eqtn!$D$280/D224)</f>
        <v>na</v>
      </c>
      <c r="G224" s="694">
        <f>IF(C224="na","na",C224*Eqtn!$D$301)</f>
        <v>60</v>
      </c>
      <c r="H224" s="695" t="str">
        <f>IF(D224="na","na",Eqtn!$D$322/D224)</f>
        <v>na</v>
      </c>
      <c r="I224" s="348">
        <f>IF($C224="na","na",$C224*Eqtn!$D$343)</f>
        <v>233.59999999999997</v>
      </c>
      <c r="J224" s="367" t="str">
        <f>IF($D224="na","na",Eqtn!$D$364/$D224)</f>
        <v>na</v>
      </c>
      <c r="L224" s="1062"/>
    </row>
    <row r="225" spans="1:12" ht="13.9" customHeight="1" x14ac:dyDescent="0.25">
      <c r="A225" s="846">
        <f>Chem!A225</f>
        <v>223</v>
      </c>
      <c r="B225" s="941" t="str">
        <f>Chem!B225</f>
        <v>1,3,5-Trimethylbenzene</v>
      </c>
      <c r="C225" s="909">
        <f>Param!U225</f>
        <v>1.7142857142857144E-2</v>
      </c>
      <c r="D225" s="557" t="str">
        <f>Param!Z225</f>
        <v>na</v>
      </c>
      <c r="E225" s="602">
        <f>IF(C225="na","na",C225*Eqtn!$D$259)</f>
        <v>27.428571428571431</v>
      </c>
      <c r="F225" s="582" t="str">
        <f>IF(D225="na","na",Eqtn!$D$280/D225)</f>
        <v>na</v>
      </c>
      <c r="G225" s="694">
        <f>IF(C225="na","na",C225*Eqtn!$D$301)</f>
        <v>60</v>
      </c>
      <c r="H225" s="695" t="str">
        <f>IF(D225="na","na",Eqtn!$D$322/D225)</f>
        <v>na</v>
      </c>
      <c r="I225" s="348">
        <f>IF($C225="na","na",$C225*Eqtn!$D$343)</f>
        <v>233.59999999999997</v>
      </c>
      <c r="J225" s="367" t="str">
        <f>IF($D225="na","na",Eqtn!$D$364/$D225)</f>
        <v>na</v>
      </c>
      <c r="L225" s="1062"/>
    </row>
    <row r="226" spans="1:12" ht="13.9" customHeight="1" x14ac:dyDescent="0.25">
      <c r="A226" s="846">
        <f>Chem!A226</f>
        <v>224</v>
      </c>
      <c r="B226" s="941" t="str">
        <f>Chem!B226</f>
        <v>Vinyl acetate</v>
      </c>
      <c r="C226" s="909">
        <f>Param!U226</f>
        <v>5.7142857142857134E-2</v>
      </c>
      <c r="D226" s="557" t="str">
        <f>Param!Z226</f>
        <v>na</v>
      </c>
      <c r="E226" s="602">
        <f>IF(C226="na","na",C226*Eqtn!$D$259)</f>
        <v>91.428571428571416</v>
      </c>
      <c r="F226" s="582" t="str">
        <f>IF(D226="na","na",Eqtn!$D$280/D226)</f>
        <v>na</v>
      </c>
      <c r="G226" s="694">
        <f>IF(C226="na","na",C226*Eqtn!$D$301)</f>
        <v>199.99999999999997</v>
      </c>
      <c r="H226" s="695" t="str">
        <f>IF(D226="na","na",Eqtn!$D$322/D226)</f>
        <v>na</v>
      </c>
      <c r="I226" s="348">
        <f>IF($C226="na","na",$C226*Eqtn!$D$343)</f>
        <v>778.6666666666664</v>
      </c>
      <c r="J226" s="367" t="str">
        <f>IF($D226="na","na",Eqtn!$D$364/$D226)</f>
        <v>na</v>
      </c>
      <c r="L226" s="1062"/>
    </row>
    <row r="227" spans="1:12" ht="13.9" customHeight="1" x14ac:dyDescent="0.25">
      <c r="A227" s="846">
        <f>Chem!A227</f>
        <v>225</v>
      </c>
      <c r="B227" s="1852" t="str">
        <f>Chem!B227</f>
        <v>Vinyl chloride</v>
      </c>
      <c r="C227" s="909">
        <f>Param!U227</f>
        <v>2.8571428571428567E-2</v>
      </c>
      <c r="D227" s="557">
        <f>Param!Z227</f>
        <v>3.0800000000000001E-2</v>
      </c>
      <c r="E227" s="602">
        <f>IF(C227="na","na",C227*Eqtn!$D$259)</f>
        <v>45.714285714285708</v>
      </c>
      <c r="F227" s="582">
        <f>IF(D227="na","na",Eqtn!$D$280/D227)</f>
        <v>0.28409090909090906</v>
      </c>
      <c r="G227" s="694">
        <f>IF(C227="na","na",C227*Eqtn!$D$301)</f>
        <v>99.999999999999986</v>
      </c>
      <c r="H227" s="695">
        <f>IF(D227="na","na",Eqtn!$D$322/D227)</f>
        <v>2.8409090909090913</v>
      </c>
      <c r="I227" s="348">
        <f>IF($C227="na","na",$C227*Eqtn!$D$343)</f>
        <v>389.3333333333332</v>
      </c>
      <c r="J227" s="367">
        <f>IF($D227="na","na",Eqtn!$D$364/$D227)</f>
        <v>1.3272727272727267</v>
      </c>
      <c r="L227" s="1062"/>
    </row>
    <row r="228" spans="1:12" ht="13.9" customHeight="1" x14ac:dyDescent="0.25">
      <c r="A228" s="1661">
        <f>Chem!A228</f>
        <v>226</v>
      </c>
      <c r="B228" s="941" t="str">
        <f>Chem!B228</f>
        <v>Total xylenes</v>
      </c>
      <c r="C228" s="910">
        <f>Param!U228</f>
        <v>2.8571428571428567E-2</v>
      </c>
      <c r="D228" s="558" t="str">
        <f>Param!Z228</f>
        <v>na</v>
      </c>
      <c r="E228" s="609">
        <f>IF(C228="na","na",C228*Eqtn!$D$259)</f>
        <v>45.714285714285708</v>
      </c>
      <c r="F228" s="583" t="str">
        <f>IF(D228="na","na",Eqtn!$D$280/D228)</f>
        <v>na</v>
      </c>
      <c r="G228" s="707">
        <f>IF(C228="na","na",C228*Eqtn!$D$301)</f>
        <v>99.999999999999986</v>
      </c>
      <c r="H228" s="741" t="str">
        <f>IF(D228="na","na",Eqtn!$D$322/D228)</f>
        <v>na</v>
      </c>
      <c r="I228" s="723">
        <f>IF($C228="na","na",$C228*Eqtn!$D$343)</f>
        <v>389.3333333333332</v>
      </c>
      <c r="J228" s="724" t="str">
        <f>IF($D228="na","na",Eqtn!$D$364/$D228)</f>
        <v>na</v>
      </c>
      <c r="L228" s="1062"/>
    </row>
    <row r="229" spans="1:12" ht="13.9" customHeight="1" x14ac:dyDescent="0.25">
      <c r="A229" s="1197">
        <f>Chem!A229</f>
        <v>227</v>
      </c>
      <c r="B229" s="943" t="str">
        <f>Chem!B229</f>
        <v>PFAS</v>
      </c>
      <c r="C229" s="127"/>
      <c r="D229" s="127"/>
      <c r="E229" s="127"/>
      <c r="F229" s="127"/>
      <c r="G229" s="127"/>
      <c r="H229" s="127"/>
      <c r="I229" s="127"/>
      <c r="J229" s="2364"/>
      <c r="L229" s="1063"/>
    </row>
    <row r="230" spans="1:12" ht="13.9" customHeight="1" x14ac:dyDescent="0.25">
      <c r="A230" s="846">
        <f>Chem!A230</f>
        <v>228</v>
      </c>
      <c r="B230" s="1548" t="str">
        <f>Chem!B230</f>
        <v>6:2 Fluorotelomer sulfonic acid (6:2 FTS)</v>
      </c>
      <c r="C230" s="683" t="str">
        <f>Param!U230</f>
        <v>na</v>
      </c>
      <c r="D230" s="683" t="str">
        <f>Param!Z230</f>
        <v>na</v>
      </c>
      <c r="E230" s="691" t="str">
        <f>IF(C230="na","na",C230*Eqtn!$D$259)</f>
        <v>na</v>
      </c>
      <c r="F230" s="691" t="str">
        <f>IF(D230="na","na",Eqtn!$D$280/D230)</f>
        <v>na</v>
      </c>
      <c r="G230" s="822" t="str">
        <f>IF(C230="na","na",C230*Eqtn!$D$301)</f>
        <v>na</v>
      </c>
      <c r="H230" s="822" t="str">
        <f>IF(D230="na","na",Eqtn!$D$322/D230)</f>
        <v>na</v>
      </c>
      <c r="I230" s="822" t="str">
        <f>IF($C230="na","na",$C230*Eqtn!$D$343)</f>
        <v>na</v>
      </c>
      <c r="J230" s="1535" t="str">
        <f>IF($D230="na","na",Eqtn!$D$364/$D230)</f>
        <v>na</v>
      </c>
      <c r="L230" s="1062"/>
    </row>
    <row r="231" spans="1:12" ht="13.9" customHeight="1" x14ac:dyDescent="0.25">
      <c r="A231" s="846">
        <f>Chem!A231</f>
        <v>229</v>
      </c>
      <c r="B231" s="940" t="str">
        <f>Chem!B231</f>
        <v>GenX (HFPO-DA)</v>
      </c>
      <c r="C231" s="1119" t="str">
        <f>Param!U231</f>
        <v>na</v>
      </c>
      <c r="D231" s="1325" t="str">
        <f>Param!Z231</f>
        <v>na</v>
      </c>
      <c r="E231" s="1326" t="str">
        <f>IF(C231="na","na",C231*Eqtn!$D$259)</f>
        <v>na</v>
      </c>
      <c r="F231" s="1327" t="str">
        <f>IF(D231="na","na",Eqtn!$D$280/D231)</f>
        <v>na</v>
      </c>
      <c r="G231" s="1328" t="str">
        <f>IF(C231="na","na",C231*Eqtn!$D$301)</f>
        <v>na</v>
      </c>
      <c r="H231" s="721" t="str">
        <f>IF(D231="na","na",Eqtn!$D$322/D231)</f>
        <v>na</v>
      </c>
      <c r="I231" s="721" t="str">
        <f>IF($C231="na","na",$C231*Eqtn!$D$343)</f>
        <v>na</v>
      </c>
      <c r="J231" s="722" t="str">
        <f>IF($D231="na","na",Eqtn!$D$364/$D231)</f>
        <v>na</v>
      </c>
      <c r="L231" s="1062"/>
    </row>
    <row r="232" spans="1:12" ht="13.9" customHeight="1" x14ac:dyDescent="0.25">
      <c r="A232" s="846">
        <f>Chem!A232</f>
        <v>230</v>
      </c>
      <c r="B232" s="940" t="str">
        <f>Chem!B232</f>
        <v>Perfluorobutanoic acid (PFBA)</v>
      </c>
      <c r="C232" s="1119" t="str">
        <f>Param!U232</f>
        <v>na</v>
      </c>
      <c r="D232" s="1325" t="str">
        <f>Param!Z232</f>
        <v>na</v>
      </c>
      <c r="E232" s="1326" t="str">
        <f>IF(C232="na","na",C232*Eqtn!$D$259)</f>
        <v>na</v>
      </c>
      <c r="F232" s="1327" t="str">
        <f>IF(D232="na","na",Eqtn!$D$280/D232)</f>
        <v>na</v>
      </c>
      <c r="G232" s="1328" t="str">
        <f>IF(C232="na","na",C232*Eqtn!$D$301)</f>
        <v>na</v>
      </c>
      <c r="H232" s="721" t="str">
        <f>IF(D232="na","na",Eqtn!$D$322/D232)</f>
        <v>na</v>
      </c>
      <c r="I232" s="721" t="str">
        <f>IF($C232="na","na",$C232*Eqtn!$D$343)</f>
        <v>na</v>
      </c>
      <c r="J232" s="722" t="str">
        <f>IF($D232="na","na",Eqtn!$D$364/$D232)</f>
        <v>na</v>
      </c>
      <c r="L232" s="1062"/>
    </row>
    <row r="233" spans="1:12" ht="13.9" customHeight="1" x14ac:dyDescent="0.25">
      <c r="A233" s="846">
        <f>Chem!A233</f>
        <v>231</v>
      </c>
      <c r="B233" s="941" t="str">
        <f>Chem!B233</f>
        <v>Perfluorobutanesulfonic acid (PFBS)</v>
      </c>
      <c r="C233" s="552" t="str">
        <f>Param!U233</f>
        <v>na</v>
      </c>
      <c r="D233" s="557" t="str">
        <f>Param!Z233</f>
        <v>na</v>
      </c>
      <c r="E233" s="602" t="str">
        <f>IF(C233="na","na",C233*Eqtn!$D$259)</f>
        <v>na</v>
      </c>
      <c r="F233" s="582" t="str">
        <f>IF(D233="na","na",Eqtn!$D$280/D233)</f>
        <v>na</v>
      </c>
      <c r="G233" s="17" t="str">
        <f>IF(C233="na","na",C233*Eqtn!$D$301)</f>
        <v>na</v>
      </c>
      <c r="H233" s="348" t="str">
        <f>IF(D233="na","na",Eqtn!$D$322/D233)</f>
        <v>na</v>
      </c>
      <c r="I233" s="348" t="str">
        <f>IF($C233="na","na",$C233*Eqtn!$D$343)</f>
        <v>na</v>
      </c>
      <c r="J233" s="367" t="str">
        <f>IF($D233="na","na",Eqtn!$D$364/$D233)</f>
        <v>na</v>
      </c>
      <c r="L233" s="1062"/>
    </row>
    <row r="234" spans="1:12" ht="13.9" customHeight="1" x14ac:dyDescent="0.25">
      <c r="A234" s="846">
        <f>Chem!A234</f>
        <v>232</v>
      </c>
      <c r="B234" s="941" t="str">
        <f>Chem!B234</f>
        <v>Perfluorodecanoic acid (PFDA)</v>
      </c>
      <c r="C234" s="552" t="str">
        <f>Param!U234</f>
        <v>na</v>
      </c>
      <c r="D234" s="557" t="str">
        <f>Param!Z234</f>
        <v>na</v>
      </c>
      <c r="E234" s="602" t="str">
        <f>IF(C234="na","na",C234*Eqtn!$D$259)</f>
        <v>na</v>
      </c>
      <c r="F234" s="582" t="str">
        <f>IF(D234="na","na",Eqtn!$D$280/D234)</f>
        <v>na</v>
      </c>
      <c r="G234" s="17" t="str">
        <f>IF(C234="na","na",C234*Eqtn!$D$301)</f>
        <v>na</v>
      </c>
      <c r="H234" s="348" t="str">
        <f>IF(D234="na","na",Eqtn!$D$322/D234)</f>
        <v>na</v>
      </c>
      <c r="I234" s="348" t="str">
        <f>IF($C234="na","na",$C234*Eqtn!$D$343)</f>
        <v>na</v>
      </c>
      <c r="J234" s="367" t="str">
        <f>IF($D234="na","na",Eqtn!$D$364/$D234)</f>
        <v>na</v>
      </c>
      <c r="L234" s="1062"/>
    </row>
    <row r="235" spans="1:12" ht="13.9" customHeight="1" x14ac:dyDescent="0.25">
      <c r="A235" s="846">
        <f>Chem!A235</f>
        <v>233</v>
      </c>
      <c r="B235" s="941" t="str">
        <f>Chem!B235</f>
        <v>Perfluorohexanoic acid (PFHxA)</v>
      </c>
      <c r="C235" s="552" t="str">
        <f>Param!U235</f>
        <v>na</v>
      </c>
      <c r="D235" s="557" t="str">
        <f>Param!Z235</f>
        <v>na</v>
      </c>
      <c r="E235" s="602" t="str">
        <f>IF(C235="na","na",C235*Eqtn!$D$259)</f>
        <v>na</v>
      </c>
      <c r="F235" s="582" t="str">
        <f>IF(D235="na","na",Eqtn!$D$280/D235)</f>
        <v>na</v>
      </c>
      <c r="G235" s="17" t="str">
        <f>IF(C235="na","na",C235*Eqtn!$D$301)</f>
        <v>na</v>
      </c>
      <c r="H235" s="348" t="str">
        <f>IF(D235="na","na",Eqtn!$D$322/D235)</f>
        <v>na</v>
      </c>
      <c r="I235" s="348" t="str">
        <f>IF($C235="na","na",$C235*Eqtn!$D$343)</f>
        <v>na</v>
      </c>
      <c r="J235" s="367" t="str">
        <f>IF($D235="na","na",Eqtn!$D$364/$D235)</f>
        <v>na</v>
      </c>
      <c r="L235" s="1062"/>
    </row>
    <row r="236" spans="1:12" ht="13.9" customHeight="1" x14ac:dyDescent="0.25">
      <c r="A236" s="846">
        <f>Chem!A236</f>
        <v>234</v>
      </c>
      <c r="B236" s="941" t="str">
        <f>Chem!B236</f>
        <v>Perfluorohexanesulfonic acid (PFHxS)</v>
      </c>
      <c r="C236" s="552" t="str">
        <f>Param!U236</f>
        <v>na</v>
      </c>
      <c r="D236" s="557" t="str">
        <f>Param!Z236</f>
        <v>na</v>
      </c>
      <c r="E236" s="602" t="str">
        <f>IF(C236="na","na",C236*Eqtn!$D$259)</f>
        <v>na</v>
      </c>
      <c r="F236" s="582" t="str">
        <f>IF(D236="na","na",Eqtn!$D$280/D236)</f>
        <v>na</v>
      </c>
      <c r="G236" s="17" t="str">
        <f>IF(C236="na","na",C236*Eqtn!$D$301)</f>
        <v>na</v>
      </c>
      <c r="H236" s="348" t="str">
        <f>IF(D236="na","na",Eqtn!$D$322/D236)</f>
        <v>na</v>
      </c>
      <c r="I236" s="348" t="str">
        <f>IF($C236="na","na",$C236*Eqtn!$D$343)</f>
        <v>na</v>
      </c>
      <c r="J236" s="367" t="str">
        <f>IF($D236="na","na",Eqtn!$D$364/$D236)</f>
        <v>na</v>
      </c>
      <c r="L236" s="1062"/>
    </row>
    <row r="237" spans="1:12" ht="13.9" customHeight="1" x14ac:dyDescent="0.25">
      <c r="A237" s="846">
        <f>Chem!A237</f>
        <v>235</v>
      </c>
      <c r="B237" s="941" t="str">
        <f>Chem!B237</f>
        <v>Perfluorononanoic acid (PFNA)</v>
      </c>
      <c r="C237" s="552" t="str">
        <f>Param!U237</f>
        <v>na</v>
      </c>
      <c r="D237" s="557" t="str">
        <f>Param!Z237</f>
        <v>na</v>
      </c>
      <c r="E237" s="602" t="str">
        <f>IF(C237="na","na",C237*Eqtn!$D$259)</f>
        <v>na</v>
      </c>
      <c r="F237" s="582" t="str">
        <f>IF(D237="na","na",Eqtn!$D$280/D237)</f>
        <v>na</v>
      </c>
      <c r="G237" s="17" t="str">
        <f>IF(C237="na","na",C237*Eqtn!$D$301)</f>
        <v>na</v>
      </c>
      <c r="H237" s="348" t="str">
        <f>IF(D237="na","na",Eqtn!$D$322/D237)</f>
        <v>na</v>
      </c>
      <c r="I237" s="348" t="str">
        <f>IF($C237="na","na",$C237*Eqtn!$D$343)</f>
        <v>na</v>
      </c>
      <c r="J237" s="367" t="str">
        <f>IF($D237="na","na",Eqtn!$D$364/$D237)</f>
        <v>na</v>
      </c>
      <c r="L237" s="1062"/>
    </row>
    <row r="238" spans="1:12" ht="13.9" customHeight="1" x14ac:dyDescent="0.25">
      <c r="A238" s="846">
        <f>Chem!A238</f>
        <v>236</v>
      </c>
      <c r="B238" s="941" t="str">
        <f>Chem!B238</f>
        <v>Perfluorooctanesulfonic acid (PFOS)</v>
      </c>
      <c r="C238" s="552" t="str">
        <f>Param!U238</f>
        <v>na</v>
      </c>
      <c r="D238" s="557" t="str">
        <f>Param!Z238</f>
        <v>na</v>
      </c>
      <c r="E238" s="602" t="str">
        <f>IF(C238="na","na",C238*Eqtn!$D$259)</f>
        <v>na</v>
      </c>
      <c r="F238" s="582" t="str">
        <f>IF(D238="na","na",Eqtn!$D$280/D238)</f>
        <v>na</v>
      </c>
      <c r="G238" s="17" t="str">
        <f>IF(C238="na","na",C238*Eqtn!$D$301)</f>
        <v>na</v>
      </c>
      <c r="H238" s="348" t="str">
        <f>IF(D238="na","na",Eqtn!$D$322/D238)</f>
        <v>na</v>
      </c>
      <c r="I238" s="348" t="str">
        <f>IF($C238="na","na",$C238*Eqtn!$D$343)</f>
        <v>na</v>
      </c>
      <c r="J238" s="367" t="str">
        <f>IF($D238="na","na",Eqtn!$D$364/$D238)</f>
        <v>na</v>
      </c>
      <c r="L238" s="1062"/>
    </row>
    <row r="239" spans="1:12" ht="13.9" customHeight="1" x14ac:dyDescent="0.25">
      <c r="A239" s="1661">
        <f>Chem!A239</f>
        <v>237</v>
      </c>
      <c r="B239" s="1148" t="str">
        <f>Chem!B239</f>
        <v>Perfluorooctanoic acid (PFOA)</v>
      </c>
      <c r="C239" s="589" t="str">
        <f>Param!U239</f>
        <v>na</v>
      </c>
      <c r="D239" s="558" t="str">
        <f>Param!Z239</f>
        <v>na</v>
      </c>
      <c r="E239" s="609" t="str">
        <f>IF(C239="na","na",C239*Eqtn!$D$259)</f>
        <v>na</v>
      </c>
      <c r="F239" s="583" t="str">
        <f>IF(D239="na","na",Eqtn!$D$280/D239)</f>
        <v>na</v>
      </c>
      <c r="G239" s="820" t="str">
        <f>IF(C239="na","na",C239*Eqtn!$D$301)</f>
        <v>na</v>
      </c>
      <c r="H239" s="737" t="str">
        <f>IF(D239="na","na",Eqtn!$D$322/D239)</f>
        <v>na</v>
      </c>
      <c r="I239" s="737" t="str">
        <f>IF($C239="na","na",$C239*Eqtn!$D$343)</f>
        <v>na</v>
      </c>
      <c r="J239" s="740" t="str">
        <f>IF($D239="na","na",Eqtn!$D$364/$D239)</f>
        <v>na</v>
      </c>
      <c r="L239" s="1062"/>
    </row>
    <row r="240" spans="1:12" ht="13.9" customHeight="1" x14ac:dyDescent="0.25">
      <c r="A240" s="1197">
        <f>Chem!A240</f>
        <v>238</v>
      </c>
      <c r="B240" s="943" t="str">
        <f>Chem!B240</f>
        <v>Petroleum Hydrocarbons</v>
      </c>
      <c r="C240" s="127"/>
      <c r="D240" s="127"/>
      <c r="E240" s="127"/>
      <c r="F240" s="127"/>
      <c r="G240" s="127"/>
      <c r="H240" s="127"/>
      <c r="I240" s="127"/>
      <c r="J240" s="2364"/>
      <c r="L240" s="1063"/>
    </row>
    <row r="241" spans="1:12" ht="13.9" customHeight="1" x14ac:dyDescent="0.25">
      <c r="A241" s="846">
        <f>Chem!A241</f>
        <v>239</v>
      </c>
      <c r="B241" s="941" t="str">
        <f>Chem!B241</f>
        <v>Gasoline range hydrocarbons, fresh</v>
      </c>
      <c r="C241" s="911" t="str">
        <f>Param!U241</f>
        <v>na</v>
      </c>
      <c r="D241" s="683" t="str">
        <f>Param!Z241</f>
        <v>na</v>
      </c>
      <c r="E241" s="607">
        <v>46</v>
      </c>
      <c r="F241" s="691" t="str">
        <f>IF(D241="na","na",Eqtn!$D$280/D241)</f>
        <v>na</v>
      </c>
      <c r="G241" s="821">
        <v>1500</v>
      </c>
      <c r="H241" s="823" t="str">
        <f>IF(D241="na","na",Eqtn!$D$322/D241)</f>
        <v>na</v>
      </c>
      <c r="I241" s="721">
        <v>390</v>
      </c>
      <c r="J241" s="722" t="str">
        <f>IF($D241="na","na",Eqtn!$D$364/$D241)</f>
        <v>na</v>
      </c>
      <c r="L241" s="1062"/>
    </row>
    <row r="242" spans="1:12" ht="13.9" customHeight="1" x14ac:dyDescent="0.25">
      <c r="A242" s="846">
        <f>Chem!A242</f>
        <v>240</v>
      </c>
      <c r="B242" s="941" t="str">
        <f>Chem!B242</f>
        <v>Gasoline range hydrocarbons, weathered</v>
      </c>
      <c r="C242" s="1324" t="str">
        <f>Param!U242</f>
        <v>na</v>
      </c>
      <c r="D242" s="1325" t="str">
        <f>Param!Z242</f>
        <v>na</v>
      </c>
      <c r="E242" s="1326">
        <v>46</v>
      </c>
      <c r="F242" s="1327" t="str">
        <f>IF(D242="na","na",Eqtn!$D$280/D242)</f>
        <v>na</v>
      </c>
      <c r="G242" s="1328">
        <v>1500</v>
      </c>
      <c r="H242" s="1493" t="str">
        <f>IF(D242="na","na",Eqtn!$D$322/D242)</f>
        <v>na</v>
      </c>
      <c r="I242" s="348">
        <v>390</v>
      </c>
      <c r="J242" s="367" t="str">
        <f>IF($D242="na","na",Eqtn!$D$364/$D242)</f>
        <v>na</v>
      </c>
      <c r="L242" s="1062"/>
    </row>
    <row r="243" spans="1:12" ht="13.9" customHeight="1" x14ac:dyDescent="0.25">
      <c r="A243" s="846">
        <f>Chem!A243</f>
        <v>241</v>
      </c>
      <c r="B243" s="941" t="str">
        <f>Chem!B243</f>
        <v>Diesel range hydrocarbons, fresh</v>
      </c>
      <c r="C243" s="909" t="str">
        <f>Param!U243</f>
        <v>na</v>
      </c>
      <c r="D243" s="557" t="str">
        <f>Param!Z243</f>
        <v>na</v>
      </c>
      <c r="E243" s="602">
        <v>46</v>
      </c>
      <c r="F243" s="582" t="str">
        <f>IF(D243="na","na",Eqtn!$D$280/D243)</f>
        <v>na</v>
      </c>
      <c r="G243" s="17">
        <v>1500</v>
      </c>
      <c r="H243" s="695" t="str">
        <f>IF(D243="na","na",Eqtn!$D$322/D243)</f>
        <v>na</v>
      </c>
      <c r="I243" s="348">
        <v>390</v>
      </c>
      <c r="J243" s="367" t="str">
        <f>IF($D243="na","na",Eqtn!$D$364/$D243)</f>
        <v>na</v>
      </c>
      <c r="L243" s="1062"/>
    </row>
    <row r="244" spans="1:12" ht="13.9" customHeight="1" x14ac:dyDescent="0.25">
      <c r="A244" s="846">
        <f>Chem!A244</f>
        <v>242</v>
      </c>
      <c r="B244" s="941" t="str">
        <f>Chem!B244</f>
        <v>Diesel range hydrocarbons, weathered</v>
      </c>
      <c r="C244" s="909" t="str">
        <f>Param!U244</f>
        <v>na</v>
      </c>
      <c r="D244" s="557" t="str">
        <f>Param!Z244</f>
        <v>na</v>
      </c>
      <c r="E244" s="602">
        <v>46</v>
      </c>
      <c r="F244" s="582" t="str">
        <f>IF(D244="na","na",Eqtn!$D$280/D244)</f>
        <v>na</v>
      </c>
      <c r="G244" s="17">
        <v>1500</v>
      </c>
      <c r="H244" s="695" t="str">
        <f>IF(D244="na","na",Eqtn!$D$322/D244)</f>
        <v>na</v>
      </c>
      <c r="I244" s="348">
        <v>390</v>
      </c>
      <c r="J244" s="367" t="str">
        <f>IF($D244="na","na",Eqtn!$D$364/$D244)</f>
        <v>na</v>
      </c>
      <c r="L244" s="1062"/>
    </row>
    <row r="245" spans="1:12" ht="13.9" customHeight="1" x14ac:dyDescent="0.25">
      <c r="A245" s="846">
        <f>Chem!A245</f>
        <v>243</v>
      </c>
      <c r="B245" s="942" t="str">
        <f>Chem!B245</f>
        <v>Oil range hydrocarbons</v>
      </c>
      <c r="C245" s="552" t="str">
        <f>Param!U245</f>
        <v>na</v>
      </c>
      <c r="D245" s="557" t="str">
        <f>Param!Z245</f>
        <v>na</v>
      </c>
      <c r="E245" s="602" t="str">
        <f>IF(C245="na","na",C245*Eqtn!$D$259)</f>
        <v>na</v>
      </c>
      <c r="F245" s="582" t="str">
        <f>IF(D245="na","na",Eqtn!$D$280/D245)</f>
        <v>na</v>
      </c>
      <c r="G245" s="694" t="str">
        <f>IF(C245="na","na",C245*Eqtn!$D$301)</f>
        <v>na</v>
      </c>
      <c r="H245" s="695" t="str">
        <f>IF(D245="na","na",Eqtn!$D$322/D245)</f>
        <v>na</v>
      </c>
      <c r="I245" s="348" t="str">
        <f>IF($C245="na","na",$C245*Eqtn!$D$343)</f>
        <v>na</v>
      </c>
      <c r="J245" s="367" t="str">
        <f>IF($D245="na","na",Eqtn!$D$364/$D245)</f>
        <v>na</v>
      </c>
      <c r="L245" s="1062"/>
    </row>
    <row r="246" spans="1:12" ht="13.9" customHeight="1" x14ac:dyDescent="0.25">
      <c r="A246" s="1661">
        <f>Chem!A246</f>
        <v>244</v>
      </c>
      <c r="B246" s="942" t="str">
        <f>Chem!B246</f>
        <v>Total diesel &amp; oil range hydrocarbons</v>
      </c>
      <c r="C246" s="1002" t="str">
        <f>Param!U246</f>
        <v>na</v>
      </c>
      <c r="D246" s="1014" t="str">
        <f>Param!Z246</f>
        <v>na</v>
      </c>
      <c r="E246" s="1015" t="s">
        <v>232</v>
      </c>
      <c r="F246" s="1015" t="str">
        <f>IF(D246="na","na",Eqtn!$D$280/D246)</f>
        <v>na</v>
      </c>
      <c r="G246" s="1000" t="str">
        <f>IF(C246="na","na",C246*Eqtn!$D$301)</f>
        <v>na</v>
      </c>
      <c r="H246" s="1494" t="str">
        <f>IF(D246="na","na",Eqtn!$D$322/D246)</f>
        <v>na</v>
      </c>
      <c r="I246" s="723" t="str">
        <f>IF($C246="na","na",$C246*Eqtn!$D$343)</f>
        <v>na</v>
      </c>
      <c r="J246" s="724" t="str">
        <f>IF($D246="na","na",Eqtn!$D$364/$D246)</f>
        <v>na</v>
      </c>
      <c r="L246" s="1062"/>
    </row>
    <row r="247" spans="1:12" ht="13.9" customHeight="1" x14ac:dyDescent="0.25">
      <c r="A247" s="1197">
        <f>Chem!A247</f>
        <v>245</v>
      </c>
      <c r="B247" s="943" t="str">
        <f>Chem!B247</f>
        <v>Pesticides</v>
      </c>
      <c r="C247" s="127"/>
      <c r="D247" s="127"/>
      <c r="E247" s="127"/>
      <c r="F247" s="127"/>
      <c r="G247" s="127"/>
      <c r="H247" s="127"/>
      <c r="I247" s="127"/>
      <c r="J247" s="2364"/>
      <c r="L247" s="1063"/>
    </row>
    <row r="248" spans="1:12" ht="13.9" customHeight="1" x14ac:dyDescent="0.25">
      <c r="A248" s="846">
        <f>Chem!A248</f>
        <v>246</v>
      </c>
      <c r="B248" s="940" t="str">
        <f>Chem!B248</f>
        <v>Aldrin</v>
      </c>
      <c r="C248" s="911" t="str">
        <f>Param!U248</f>
        <v>na</v>
      </c>
      <c r="D248" s="683">
        <f>Param!Z248</f>
        <v>17.149999999999999</v>
      </c>
      <c r="E248" s="607" t="str">
        <f>IF(C248="na","na",C248*Eqtn!$D$259)</f>
        <v>na</v>
      </c>
      <c r="F248" s="691">
        <f>IF(D248="na","na",Eqtn!$D$280/D248)</f>
        <v>5.10204081632653E-4</v>
      </c>
      <c r="G248" s="706" t="str">
        <f>IF(C248="na","na",C248*Eqtn!$D$301)</f>
        <v>na</v>
      </c>
      <c r="H248" s="823">
        <f>IF(D248="na","na",Eqtn!$D$322/D248)</f>
        <v>5.1020408163265319E-3</v>
      </c>
      <c r="I248" s="721" t="str">
        <f>IF($C248="na","na",$C248*Eqtn!$D$343)</f>
        <v>na</v>
      </c>
      <c r="J248" s="722">
        <f>IF($D248="na","na",Eqtn!$D$364/$D248)</f>
        <v>2.3836734693877546E-3</v>
      </c>
      <c r="L248" s="1062"/>
    </row>
    <row r="249" spans="1:12" ht="13.9" customHeight="1" x14ac:dyDescent="0.25">
      <c r="A249" s="846">
        <f>Chem!A249</f>
        <v>247</v>
      </c>
      <c r="B249" s="941" t="str">
        <f>Chem!B249</f>
        <v>alpha-BHC (alpha-HCH)</v>
      </c>
      <c r="C249" s="909" t="str">
        <f>Param!U249</f>
        <v>na</v>
      </c>
      <c r="D249" s="557">
        <f>Param!Z249</f>
        <v>6.3</v>
      </c>
      <c r="E249" s="602" t="str">
        <f>IF(C249="na","na",C249*Eqtn!$D$259)</f>
        <v>na</v>
      </c>
      <c r="F249" s="582">
        <f>IF(D249="na","na",Eqtn!$D$280/D249)</f>
        <v>1.3888888888888887E-3</v>
      </c>
      <c r="G249" s="694" t="str">
        <f>IF(C249="na","na",C249*Eqtn!$D$301)</f>
        <v>na</v>
      </c>
      <c r="H249" s="695">
        <f>IF(D249="na","na",Eqtn!$D$322/D249)</f>
        <v>1.388888888888889E-2</v>
      </c>
      <c r="I249" s="348" t="str">
        <f>IF($C249="na","na",$C249*Eqtn!$D$343)</f>
        <v>na</v>
      </c>
      <c r="J249" s="367">
        <f>IF($D249="na","na",Eqtn!$D$364/$D249)</f>
        <v>6.4888888888888869E-3</v>
      </c>
      <c r="L249" s="1062"/>
    </row>
    <row r="250" spans="1:12" ht="13.9" customHeight="1" x14ac:dyDescent="0.25">
      <c r="A250" s="846">
        <f>Chem!A250</f>
        <v>248</v>
      </c>
      <c r="B250" s="941" t="str">
        <f>Chem!B250</f>
        <v>beta-BHC (beta-HCH)</v>
      </c>
      <c r="C250" s="909" t="str">
        <f>Param!U250</f>
        <v>na</v>
      </c>
      <c r="D250" s="557">
        <f>Param!Z250</f>
        <v>1.855</v>
      </c>
      <c r="E250" s="602" t="str">
        <f>IF(C250="na","na",C250*Eqtn!$D$259)</f>
        <v>na</v>
      </c>
      <c r="F250" s="582">
        <f>IF(D250="na","na",Eqtn!$D$280/D250)</f>
        <v>4.7169811320754715E-3</v>
      </c>
      <c r="G250" s="694" t="str">
        <f>IF(C250="na","na",C250*Eqtn!$D$301)</f>
        <v>na</v>
      </c>
      <c r="H250" s="695">
        <f>IF(D250="na","na",Eqtn!$D$322/D250)</f>
        <v>4.716981132075472E-2</v>
      </c>
      <c r="I250" s="348" t="str">
        <f>IF($C250="na","na",$C250*Eqtn!$D$343)</f>
        <v>na</v>
      </c>
      <c r="J250" s="367">
        <f>IF($D250="na","na",Eqtn!$D$364/$D250)</f>
        <v>2.2037735849056595E-2</v>
      </c>
      <c r="L250" s="1062"/>
    </row>
    <row r="251" spans="1:12" ht="13.9" customHeight="1" x14ac:dyDescent="0.25">
      <c r="A251" s="846">
        <f>Chem!A251</f>
        <v>249</v>
      </c>
      <c r="B251" s="941" t="str">
        <f>Chem!B251</f>
        <v>delta-BHC (delta-HCH)</v>
      </c>
      <c r="C251" s="909" t="str">
        <f>Param!U251</f>
        <v>na</v>
      </c>
      <c r="D251" s="557" t="str">
        <f>Param!Z251</f>
        <v>na</v>
      </c>
      <c r="E251" s="602" t="str">
        <f>IF(C251="na","na",C251*Eqtn!$D$259)</f>
        <v>na</v>
      </c>
      <c r="F251" s="582" t="str">
        <f>IF(D251="na","na",Eqtn!$D$280/D251)</f>
        <v>na</v>
      </c>
      <c r="G251" s="694" t="str">
        <f>IF(C251="na","na",C251*Eqtn!$D$301)</f>
        <v>na</v>
      </c>
      <c r="H251" s="695" t="str">
        <f>IF(D251="na","na",Eqtn!$D$322/D251)</f>
        <v>na</v>
      </c>
      <c r="I251" s="348" t="str">
        <f>IF($C251="na","na",$C251*Eqtn!$D$343)</f>
        <v>na</v>
      </c>
      <c r="J251" s="367" t="str">
        <f>IF($D251="na","na",Eqtn!$D$364/$D251)</f>
        <v>na</v>
      </c>
      <c r="L251" s="1062"/>
    </row>
    <row r="252" spans="1:12" ht="13.9" customHeight="1" x14ac:dyDescent="0.25">
      <c r="A252" s="846">
        <f>Chem!A252</f>
        <v>250</v>
      </c>
      <c r="B252" s="941" t="str">
        <f>Chem!B252</f>
        <v>Carbaryl</v>
      </c>
      <c r="C252" s="909" t="str">
        <f>Param!U252</f>
        <v>na</v>
      </c>
      <c r="D252" s="557" t="str">
        <f>Param!Z252</f>
        <v>na</v>
      </c>
      <c r="E252" s="602" t="str">
        <f>IF(C252="na","na",C252*Eqtn!$D$259)</f>
        <v>na</v>
      </c>
      <c r="F252" s="582" t="str">
        <f>IF(D252="na","na",Eqtn!$D$280/D252)</f>
        <v>na</v>
      </c>
      <c r="G252" s="694" t="str">
        <f>IF(C252="na","na",C252*Eqtn!$D$301)</f>
        <v>na</v>
      </c>
      <c r="H252" s="695" t="str">
        <f>IF(D252="na","na",Eqtn!$D$322/D252)</f>
        <v>na</v>
      </c>
      <c r="I252" s="348" t="str">
        <f>IF($C252="na","na",$C252*Eqtn!$D$343)</f>
        <v>na</v>
      </c>
      <c r="J252" s="367" t="str">
        <f>IF($D252="na","na",Eqtn!$D$364/$D252)</f>
        <v>na</v>
      </c>
      <c r="L252" s="1062"/>
    </row>
    <row r="253" spans="1:12" ht="13.9" customHeight="1" x14ac:dyDescent="0.25">
      <c r="A253" s="846">
        <f>Chem!A253</f>
        <v>251</v>
      </c>
      <c r="B253" s="941" t="str">
        <f>Chem!B253</f>
        <v>cis-Chlordane (alpha)</v>
      </c>
      <c r="C253" s="909" t="str">
        <f>Param!U253</f>
        <v>na</v>
      </c>
      <c r="D253" s="557" t="str">
        <f>Param!Z253</f>
        <v>na</v>
      </c>
      <c r="E253" s="602" t="str">
        <f>IF(C253="na","na",C253*Eqtn!$D$259)</f>
        <v>na</v>
      </c>
      <c r="F253" s="582" t="str">
        <f>IF(D253="na","na",Eqtn!$D$280/D253)</f>
        <v>na</v>
      </c>
      <c r="G253" s="694" t="str">
        <f>IF(C253="na","na",C253*Eqtn!$D$301)</f>
        <v>na</v>
      </c>
      <c r="H253" s="695" t="str">
        <f>IF(D253="na","na",Eqtn!$D$322/D253)</f>
        <v>na</v>
      </c>
      <c r="I253" s="348" t="str">
        <f>IF($C253="na","na",$C253*Eqtn!$D$343)</f>
        <v>na</v>
      </c>
      <c r="J253" s="367" t="str">
        <f>IF($D253="na","na",Eqtn!$D$364/$D253)</f>
        <v>na</v>
      </c>
      <c r="L253" s="1062"/>
    </row>
    <row r="254" spans="1:12" ht="13.9" customHeight="1" x14ac:dyDescent="0.25">
      <c r="A254" s="846">
        <f>Chem!A254</f>
        <v>252</v>
      </c>
      <c r="B254" s="941" t="str">
        <f>Chem!B254</f>
        <v>trans-Chlordane (gamma)</v>
      </c>
      <c r="C254" s="909" t="str">
        <f>Param!U254</f>
        <v>na</v>
      </c>
      <c r="D254" s="557" t="str">
        <f>Param!Z254</f>
        <v>na</v>
      </c>
      <c r="E254" s="602" t="str">
        <f>IF(C254="na","na",C254*Eqtn!$D$259)</f>
        <v>na</v>
      </c>
      <c r="F254" s="582" t="str">
        <f>IF(D254="na","na",Eqtn!$D$280/D254)</f>
        <v>na</v>
      </c>
      <c r="G254" s="694" t="str">
        <f>IF(C254="na","na",C254*Eqtn!$D$301)</f>
        <v>na</v>
      </c>
      <c r="H254" s="695" t="str">
        <f>IF(D254="na","na",Eqtn!$D$322/D254)</f>
        <v>na</v>
      </c>
      <c r="I254" s="348" t="str">
        <f>IF($C254="na","na",$C254*Eqtn!$D$343)</f>
        <v>na</v>
      </c>
      <c r="J254" s="367" t="str">
        <f>IF($D254="na","na",Eqtn!$D$364/$D254)</f>
        <v>na</v>
      </c>
      <c r="L254" s="1062"/>
    </row>
    <row r="255" spans="1:12" ht="13.9" customHeight="1" x14ac:dyDescent="0.25">
      <c r="A255" s="846">
        <f>Chem!A255</f>
        <v>253</v>
      </c>
      <c r="B255" s="941" t="str">
        <f>Chem!B255</f>
        <v>Chlordane</v>
      </c>
      <c r="C255" s="909">
        <f>Param!U255</f>
        <v>2.0000000000000001E-4</v>
      </c>
      <c r="D255" s="557">
        <f>Param!Z255</f>
        <v>0.35000000000000003</v>
      </c>
      <c r="E255" s="602">
        <f>IF(C255="na","na",C255*Eqtn!$D$259)</f>
        <v>0.32</v>
      </c>
      <c r="F255" s="582">
        <f>IF(D255="na","na",Eqtn!$D$280/D255)</f>
        <v>2.4999999999999994E-2</v>
      </c>
      <c r="G255" s="694">
        <f>IF(C255="na","na",C255*Eqtn!$D$301)</f>
        <v>0.70000000000000007</v>
      </c>
      <c r="H255" s="695">
        <f>IF(D255="na","na",Eqtn!$D$322/D255)</f>
        <v>0.25</v>
      </c>
      <c r="I255" s="348">
        <f>IF($C255="na","na",$C255*Eqtn!$D$343)</f>
        <v>2.7253333333333329</v>
      </c>
      <c r="J255" s="367">
        <f>IF($D255="na","na",Eqtn!$D$364/$D255)</f>
        <v>0.11679999999999995</v>
      </c>
      <c r="L255" s="1062"/>
    </row>
    <row r="256" spans="1:12" ht="13.9" customHeight="1" x14ac:dyDescent="0.25">
      <c r="A256" s="846">
        <f>Chem!A256</f>
        <v>254</v>
      </c>
      <c r="B256" s="941" t="str">
        <f>Chem!B256</f>
        <v>Chlorpyrifos</v>
      </c>
      <c r="C256" s="909" t="str">
        <f>Param!U256</f>
        <v>na</v>
      </c>
      <c r="D256" s="557" t="str">
        <f>Param!Z256</f>
        <v>na</v>
      </c>
      <c r="E256" s="602" t="str">
        <f>IF(C256="na","na",C256*Eqtn!$D$259)</f>
        <v>na</v>
      </c>
      <c r="F256" s="582" t="str">
        <f>IF(D256="na","na",Eqtn!$D$280/D256)</f>
        <v>na</v>
      </c>
      <c r="G256" s="694" t="str">
        <f>IF(C256="na","na",C256*Eqtn!$D$301)</f>
        <v>na</v>
      </c>
      <c r="H256" s="695" t="str">
        <f>IF(D256="na","na",Eqtn!$D$322/D256)</f>
        <v>na</v>
      </c>
      <c r="I256" s="348" t="str">
        <f>IF($C256="na","na",$C256*Eqtn!$D$343)</f>
        <v>na</v>
      </c>
      <c r="J256" s="367" t="str">
        <f>IF($D256="na","na",Eqtn!$D$364/$D256)</f>
        <v>na</v>
      </c>
      <c r="L256" s="1062"/>
    </row>
    <row r="257" spans="1:12" ht="13.9" customHeight="1" x14ac:dyDescent="0.25">
      <c r="A257" s="846">
        <f>Chem!A257</f>
        <v>255</v>
      </c>
      <c r="B257" s="941" t="str">
        <f>Chem!B257</f>
        <v>4,4'-DDD</v>
      </c>
      <c r="C257" s="909" t="str">
        <f>Param!U257</f>
        <v>na</v>
      </c>
      <c r="D257" s="557">
        <f>Param!Z257</f>
        <v>0.24149999999999999</v>
      </c>
      <c r="E257" s="602" t="str">
        <f>IF(C257="na","na",C257*Eqtn!$D$259)</f>
        <v>na</v>
      </c>
      <c r="F257" s="582">
        <f>IF(D257="na","na",Eqtn!$D$280/D257)</f>
        <v>3.6231884057971009E-2</v>
      </c>
      <c r="G257" s="694" t="str">
        <f>IF(C257="na","na",C257*Eqtn!$D$301)</f>
        <v>na</v>
      </c>
      <c r="H257" s="695">
        <f>IF(D257="na","na",Eqtn!$D$322/D257)</f>
        <v>0.3623188405797102</v>
      </c>
      <c r="I257" s="348" t="str">
        <f>IF($C257="na","na",$C257*Eqtn!$D$343)</f>
        <v>na</v>
      </c>
      <c r="J257" s="367">
        <f>IF($D257="na","na",Eqtn!$D$364/$D257)</f>
        <v>0.16927536231884052</v>
      </c>
      <c r="L257" s="1062"/>
    </row>
    <row r="258" spans="1:12" ht="13.9" customHeight="1" x14ac:dyDescent="0.25">
      <c r="A258" s="846">
        <f>Chem!A258</f>
        <v>256</v>
      </c>
      <c r="B258" s="941" t="str">
        <f>Chem!B258</f>
        <v>4,4'-DDE</v>
      </c>
      <c r="C258" s="909" t="str">
        <f>Param!U258</f>
        <v>na</v>
      </c>
      <c r="D258" s="557">
        <f>Param!Z258</f>
        <v>0.33950000000000002</v>
      </c>
      <c r="E258" s="602" t="str">
        <f>IF(C258="na","na",C258*Eqtn!$D$259)</f>
        <v>na</v>
      </c>
      <c r="F258" s="582">
        <f>IF(D258="na","na",Eqtn!$D$280/D258)</f>
        <v>2.5773195876288655E-2</v>
      </c>
      <c r="G258" s="694" t="str">
        <f>IF(C258="na","na",C258*Eqtn!$D$301)</f>
        <v>na</v>
      </c>
      <c r="H258" s="695">
        <f>IF(D258="na","na",Eqtn!$D$322/D258)</f>
        <v>0.25773195876288663</v>
      </c>
      <c r="I258" s="348" t="str">
        <f>IF($C258="na","na",$C258*Eqtn!$D$343)</f>
        <v>na</v>
      </c>
      <c r="J258" s="367">
        <f>IF($D258="na","na",Eqtn!$D$364/$D258)</f>
        <v>0.12041237113402056</v>
      </c>
      <c r="L258" s="1062"/>
    </row>
    <row r="259" spans="1:12" ht="13.9" customHeight="1" x14ac:dyDescent="0.25">
      <c r="A259" s="846">
        <f>Chem!A259</f>
        <v>257</v>
      </c>
      <c r="B259" s="941" t="str">
        <f>Chem!B259</f>
        <v>4,4'-DDT</v>
      </c>
      <c r="C259" s="909" t="str">
        <f>Param!U259</f>
        <v>na</v>
      </c>
      <c r="D259" s="557">
        <f>Param!Z259</f>
        <v>0.33950000000000002</v>
      </c>
      <c r="E259" s="602" t="str">
        <f>IF(C259="na","na",C259*Eqtn!$D$259)</f>
        <v>na</v>
      </c>
      <c r="F259" s="582">
        <f>IF(D259="na","na",Eqtn!$D$280/D259)</f>
        <v>2.5773195876288655E-2</v>
      </c>
      <c r="G259" s="694" t="str">
        <f>IF(C259="na","na",C259*Eqtn!$D$301)</f>
        <v>na</v>
      </c>
      <c r="H259" s="695">
        <f>IF(D259="na","na",Eqtn!$D$322/D259)</f>
        <v>0.25773195876288663</v>
      </c>
      <c r="I259" s="348" t="str">
        <f>IF($C259="na","na",$C259*Eqtn!$D$343)</f>
        <v>na</v>
      </c>
      <c r="J259" s="367">
        <f>IF($D259="na","na",Eqtn!$D$364/$D259)</f>
        <v>0.12041237113402056</v>
      </c>
      <c r="L259" s="1062"/>
    </row>
    <row r="260" spans="1:12" ht="13.9" customHeight="1" x14ac:dyDescent="0.25">
      <c r="A260" s="846">
        <f>Chem!A260</f>
        <v>258</v>
      </c>
      <c r="B260" s="941" t="str">
        <f>Chem!B260</f>
        <v xml:space="preserve">Total DDD </v>
      </c>
      <c r="C260" s="909" t="str">
        <f>Param!U260</f>
        <v>na</v>
      </c>
      <c r="D260" s="557">
        <f>Param!Z260</f>
        <v>0.24149999999999999</v>
      </c>
      <c r="E260" s="602" t="str">
        <f>IF(C260="na","na",C260*Eqtn!$D$259)</f>
        <v>na</v>
      </c>
      <c r="F260" s="582">
        <f>IF(D260="na","na",Eqtn!$D$280/D260)</f>
        <v>3.6231884057971009E-2</v>
      </c>
      <c r="G260" s="694" t="str">
        <f>IF(C260="na","na",C260*Eqtn!$D$301)</f>
        <v>na</v>
      </c>
      <c r="H260" s="695">
        <f>IF(D260="na","na",Eqtn!$D$322/D260)</f>
        <v>0.3623188405797102</v>
      </c>
      <c r="I260" s="348" t="str">
        <f>IF($C260="na","na",$C260*Eqtn!$D$343)</f>
        <v>na</v>
      </c>
      <c r="J260" s="367">
        <f>IF($D260="na","na",Eqtn!$D$364/$D260)</f>
        <v>0.16927536231884052</v>
      </c>
      <c r="L260" s="1062"/>
    </row>
    <row r="261" spans="1:12" ht="13.9" customHeight="1" x14ac:dyDescent="0.25">
      <c r="A261" s="846">
        <f>Chem!A261</f>
        <v>259</v>
      </c>
      <c r="B261" s="941" t="str">
        <f>Chem!B261</f>
        <v>Total DDE</v>
      </c>
      <c r="C261" s="909" t="str">
        <f>Param!U261</f>
        <v>na</v>
      </c>
      <c r="D261" s="557">
        <f>Param!Z261</f>
        <v>0.33950000000000002</v>
      </c>
      <c r="E261" s="602" t="str">
        <f>IF(C261="na","na",C261*Eqtn!$D$259)</f>
        <v>na</v>
      </c>
      <c r="F261" s="582">
        <f>IF(D261="na","na",Eqtn!$D$280/D261)</f>
        <v>2.5773195876288655E-2</v>
      </c>
      <c r="G261" s="694" t="str">
        <f>IF(C261="na","na",C261*Eqtn!$D$301)</f>
        <v>na</v>
      </c>
      <c r="H261" s="695">
        <f>IF(D261="na","na",Eqtn!$D$322/D261)</f>
        <v>0.25773195876288663</v>
      </c>
      <c r="I261" s="348" t="str">
        <f>IF($C261="na","na",$C261*Eqtn!$D$343)</f>
        <v>na</v>
      </c>
      <c r="J261" s="367">
        <f>IF($D261="na","na",Eqtn!$D$364/$D261)</f>
        <v>0.12041237113402056</v>
      </c>
      <c r="L261" s="1062"/>
    </row>
    <row r="262" spans="1:12" ht="13.9" customHeight="1" x14ac:dyDescent="0.25">
      <c r="A262" s="846">
        <f>Chem!A262</f>
        <v>260</v>
      </c>
      <c r="B262" s="941" t="str">
        <f>Chem!B262</f>
        <v>Total DDT</v>
      </c>
      <c r="C262" s="909" t="str">
        <f>Param!U262</f>
        <v>na</v>
      </c>
      <c r="D262" s="557">
        <f>Param!Z262</f>
        <v>0.33950000000000002</v>
      </c>
      <c r="E262" s="602" t="str">
        <f>IF(C262="na","na",C262*Eqtn!$D$259)</f>
        <v>na</v>
      </c>
      <c r="F262" s="582">
        <f>IF(D262="na","na",Eqtn!$D$280/D262)</f>
        <v>2.5773195876288655E-2</v>
      </c>
      <c r="G262" s="694" t="str">
        <f>IF(C262="na","na",C262*Eqtn!$D$301)</f>
        <v>na</v>
      </c>
      <c r="H262" s="695">
        <f>IF(D262="na","na",Eqtn!$D$322/D262)</f>
        <v>0.25773195876288663</v>
      </c>
      <c r="I262" s="348" t="str">
        <f>IF($C262="na","na",$C262*Eqtn!$D$343)</f>
        <v>na</v>
      </c>
      <c r="J262" s="367">
        <f>IF($D262="na","na",Eqtn!$D$364/$D262)</f>
        <v>0.12041237113402056</v>
      </c>
      <c r="L262" s="1062"/>
    </row>
    <row r="263" spans="1:12" ht="13.9" customHeight="1" x14ac:dyDescent="0.25">
      <c r="A263" s="846">
        <f>Chem!A263</f>
        <v>261</v>
      </c>
      <c r="B263" s="941" t="str">
        <f>Chem!B263</f>
        <v>Diazinon</v>
      </c>
      <c r="C263" s="909" t="str">
        <f>Param!U263</f>
        <v>na</v>
      </c>
      <c r="D263" s="557" t="str">
        <f>Param!Z263</f>
        <v>na</v>
      </c>
      <c r="E263" s="602" t="str">
        <f>IF(C263="na","na",C263*Eqtn!$D$259)</f>
        <v>na</v>
      </c>
      <c r="F263" s="582" t="str">
        <f>IF(D263="na","na",Eqtn!$D$280/D263)</f>
        <v>na</v>
      </c>
      <c r="G263" s="694" t="str">
        <f>IF(C263="na","na",C263*Eqtn!$D$301)</f>
        <v>na</v>
      </c>
      <c r="H263" s="695" t="str">
        <f>IF(D263="na","na",Eqtn!$D$322/D263)</f>
        <v>na</v>
      </c>
      <c r="I263" s="348" t="str">
        <f>IF($C263="na","na",$C263*Eqtn!$D$343)</f>
        <v>na</v>
      </c>
      <c r="J263" s="367" t="str">
        <f>IF($D263="na","na",Eqtn!$D$364/$D263)</f>
        <v>na</v>
      </c>
      <c r="L263" s="1062"/>
    </row>
    <row r="264" spans="1:12" ht="13.9" customHeight="1" x14ac:dyDescent="0.25">
      <c r="A264" s="846">
        <f>Chem!A264</f>
        <v>262</v>
      </c>
      <c r="B264" s="941" t="str">
        <f>Chem!B264</f>
        <v>Dieldrin</v>
      </c>
      <c r="C264" s="909" t="str">
        <f>Param!U264</f>
        <v>na</v>
      </c>
      <c r="D264" s="557">
        <f>Param!Z264</f>
        <v>16.100000000000001</v>
      </c>
      <c r="E264" s="602" t="str">
        <f>IF(C264="na","na",C264*Eqtn!$D$259)</f>
        <v>na</v>
      </c>
      <c r="F264" s="582">
        <f>IF(D264="na","na",Eqtn!$D$280/D264)</f>
        <v>5.4347826086956512E-4</v>
      </c>
      <c r="G264" s="694" t="str">
        <f>IF(C264="na","na",C264*Eqtn!$D$301)</f>
        <v>na</v>
      </c>
      <c r="H264" s="695">
        <f>IF(D264="na","na",Eqtn!$D$322/D264)</f>
        <v>5.434782608695652E-3</v>
      </c>
      <c r="I264" s="348" t="str">
        <f>IF($C264="na","na",$C264*Eqtn!$D$343)</f>
        <v>na</v>
      </c>
      <c r="J264" s="367">
        <f>IF($D264="na","na",Eqtn!$D$364/$D264)</f>
        <v>2.5391304347826076E-3</v>
      </c>
      <c r="L264" s="1062"/>
    </row>
    <row r="265" spans="1:12" ht="13.9" customHeight="1" x14ac:dyDescent="0.25">
      <c r="A265" s="846">
        <f>Chem!A265</f>
        <v>263</v>
      </c>
      <c r="B265" s="941" t="str">
        <f>Chem!B265</f>
        <v>alpha-Endosulfan</v>
      </c>
      <c r="C265" s="909" t="str">
        <f>Param!U265</f>
        <v>na</v>
      </c>
      <c r="D265" s="557" t="str">
        <f>Param!Z265</f>
        <v>na</v>
      </c>
      <c r="E265" s="602" t="str">
        <f>IF(C265="na","na",C265*Eqtn!$D$259)</f>
        <v>na</v>
      </c>
      <c r="F265" s="582" t="str">
        <f>IF(D265="na","na",Eqtn!$D$280/D265)</f>
        <v>na</v>
      </c>
      <c r="G265" s="694" t="str">
        <f>IF(C265="na","na",C265*Eqtn!$D$301)</f>
        <v>na</v>
      </c>
      <c r="H265" s="695" t="str">
        <f>IF(D265="na","na",Eqtn!$D$322/D265)</f>
        <v>na</v>
      </c>
      <c r="I265" s="348" t="str">
        <f>IF($C265="na","na",$C265*Eqtn!$D$343)</f>
        <v>na</v>
      </c>
      <c r="J265" s="367" t="str">
        <f>IF($D265="na","na",Eqtn!$D$364/$D265)</f>
        <v>na</v>
      </c>
      <c r="L265" s="1062"/>
    </row>
    <row r="266" spans="1:12" ht="13.9" customHeight="1" x14ac:dyDescent="0.25">
      <c r="A266" s="846">
        <f>Chem!A266</f>
        <v>264</v>
      </c>
      <c r="B266" s="941" t="str">
        <f>Chem!B266</f>
        <v>beta-Endosulfan</v>
      </c>
      <c r="C266" s="909" t="str">
        <f>Param!U266</f>
        <v>na</v>
      </c>
      <c r="D266" s="557" t="str">
        <f>Param!Z266</f>
        <v>na</v>
      </c>
      <c r="E266" s="602" t="str">
        <f>IF(C266="na","na",C266*Eqtn!$D$259)</f>
        <v>na</v>
      </c>
      <c r="F266" s="582" t="str">
        <f>IF(D266="na","na",Eqtn!$D$280/D266)</f>
        <v>na</v>
      </c>
      <c r="G266" s="694" t="str">
        <f>IF(C266="na","na",C266*Eqtn!$D$301)</f>
        <v>na</v>
      </c>
      <c r="H266" s="695" t="str">
        <f>IF(D266="na","na",Eqtn!$D$322/D266)</f>
        <v>na</v>
      </c>
      <c r="I266" s="348" t="str">
        <f>IF($C266="na","na",$C266*Eqtn!$D$343)</f>
        <v>na</v>
      </c>
      <c r="J266" s="367" t="str">
        <f>IF($D266="na","na",Eqtn!$D$364/$D266)</f>
        <v>na</v>
      </c>
      <c r="L266" s="1062"/>
    </row>
    <row r="267" spans="1:12" ht="13.9" customHeight="1" x14ac:dyDescent="0.25">
      <c r="A267" s="846">
        <f>Chem!A267</f>
        <v>265</v>
      </c>
      <c r="B267" s="941" t="str">
        <f>Chem!B267</f>
        <v>Sum of alpha and beta endosuflan</v>
      </c>
      <c r="C267" s="909" t="str">
        <f>Param!U267</f>
        <v>na</v>
      </c>
      <c r="D267" s="557" t="str">
        <f>Param!Z267</f>
        <v>na</v>
      </c>
      <c r="E267" s="602" t="str">
        <f>IF(C267="na","na",C267*Eqtn!$D$259)</f>
        <v>na</v>
      </c>
      <c r="F267" s="582" t="str">
        <f>IF(D267="na","na",Eqtn!$D$280/D267)</f>
        <v>na</v>
      </c>
      <c r="G267" s="694" t="str">
        <f>IF(C267="na","na",C267*Eqtn!$D$301)</f>
        <v>na</v>
      </c>
      <c r="H267" s="695" t="str">
        <f>IF(D267="na","na",Eqtn!$D$322/D267)</f>
        <v>na</v>
      </c>
      <c r="I267" s="348" t="str">
        <f>IF($C267="na","na",$C267*Eqtn!$D$343)</f>
        <v>na</v>
      </c>
      <c r="J267" s="367" t="str">
        <f>IF($D267="na","na",Eqtn!$D$364/$D267)</f>
        <v>na</v>
      </c>
      <c r="L267" s="1062"/>
    </row>
    <row r="268" spans="1:12" ht="13.9" customHeight="1" x14ac:dyDescent="0.25">
      <c r="A268" s="846">
        <f>Chem!A268</f>
        <v>266</v>
      </c>
      <c r="B268" s="941" t="str">
        <f>Chem!B268</f>
        <v>Endosulfan sulfate</v>
      </c>
      <c r="C268" s="909" t="str">
        <f>Param!U268</f>
        <v>na</v>
      </c>
      <c r="D268" s="557" t="str">
        <f>Param!Z268</f>
        <v>na</v>
      </c>
      <c r="E268" s="602" t="str">
        <f>IF(C268="na","na",C268*Eqtn!$D$259)</f>
        <v>na</v>
      </c>
      <c r="F268" s="582" t="str">
        <f>IF(D268="na","na",Eqtn!$D$280/D268)</f>
        <v>na</v>
      </c>
      <c r="G268" s="694" t="str">
        <f>IF(C268="na","na",C268*Eqtn!$D$301)</f>
        <v>na</v>
      </c>
      <c r="H268" s="695" t="str">
        <f>IF(D268="na","na",Eqtn!$D$322/D268)</f>
        <v>na</v>
      </c>
      <c r="I268" s="348" t="str">
        <f>IF($C268="na","na",$C268*Eqtn!$D$343)</f>
        <v>na</v>
      </c>
      <c r="J268" s="367" t="str">
        <f>IF($D268="na","na",Eqtn!$D$364/$D268)</f>
        <v>na</v>
      </c>
      <c r="L268" s="1062"/>
    </row>
    <row r="269" spans="1:12" ht="13.9" customHeight="1" x14ac:dyDescent="0.25">
      <c r="A269" s="846">
        <f>Chem!A269</f>
        <v>267</v>
      </c>
      <c r="B269" s="941" t="str">
        <f>Chem!B269</f>
        <v>Sum of alpha, beta, and endosulfan sulfate</v>
      </c>
      <c r="C269" s="909" t="str">
        <f>Param!U269</f>
        <v>na</v>
      </c>
      <c r="D269" s="557" t="str">
        <f>Param!Z269</f>
        <v>na</v>
      </c>
      <c r="E269" s="602" t="str">
        <f>IF(C269="na","na",C269*Eqtn!$D$259)</f>
        <v>na</v>
      </c>
      <c r="F269" s="582" t="str">
        <f>IF(D269="na","na",Eqtn!$D$280/D269)</f>
        <v>na</v>
      </c>
      <c r="G269" s="694" t="str">
        <f>IF(C269="na","na",C269*Eqtn!$D$301)</f>
        <v>na</v>
      </c>
      <c r="H269" s="695" t="str">
        <f>IF(D269="na","na",Eqtn!$D$322/D269)</f>
        <v>na</v>
      </c>
      <c r="I269" s="348" t="str">
        <f>IF($C269="na","na",$C269*Eqtn!$D$343)</f>
        <v>na</v>
      </c>
      <c r="J269" s="367" t="str">
        <f>IF($D269="na","na",Eqtn!$D$364/$D269)</f>
        <v>na</v>
      </c>
      <c r="L269" s="1062"/>
    </row>
    <row r="270" spans="1:12" ht="13.9" customHeight="1" x14ac:dyDescent="0.25">
      <c r="A270" s="846">
        <f>Chem!A270</f>
        <v>268</v>
      </c>
      <c r="B270" s="941" t="str">
        <f>Chem!B270</f>
        <v>Endrin</v>
      </c>
      <c r="C270" s="909" t="str">
        <f>Param!U270</f>
        <v>na</v>
      </c>
      <c r="D270" s="557" t="str">
        <f>Param!Z270</f>
        <v>na</v>
      </c>
      <c r="E270" s="602" t="str">
        <f>IF(C270="na","na",C270*Eqtn!$D$259)</f>
        <v>na</v>
      </c>
      <c r="F270" s="582" t="str">
        <f>IF(D270="na","na",Eqtn!$D$280/D270)</f>
        <v>na</v>
      </c>
      <c r="G270" s="694" t="str">
        <f>IF(C270="na","na",C270*Eqtn!$D$301)</f>
        <v>na</v>
      </c>
      <c r="H270" s="695" t="str">
        <f>IF(D270="na","na",Eqtn!$D$322/D270)</f>
        <v>na</v>
      </c>
      <c r="I270" s="348" t="str">
        <f>IF($C270="na","na",$C270*Eqtn!$D$343)</f>
        <v>na</v>
      </c>
      <c r="J270" s="367" t="str">
        <f>IF($D270="na","na",Eqtn!$D$364/$D270)</f>
        <v>na</v>
      </c>
      <c r="L270" s="1062"/>
    </row>
    <row r="271" spans="1:12" ht="13.9" customHeight="1" x14ac:dyDescent="0.25">
      <c r="A271" s="846">
        <f>Chem!A271</f>
        <v>269</v>
      </c>
      <c r="B271" s="941" t="str">
        <f>Chem!B271</f>
        <v>Endrin aldehyde</v>
      </c>
      <c r="C271" s="909" t="str">
        <f>Param!U271</f>
        <v>na</v>
      </c>
      <c r="D271" s="557" t="str">
        <f>Param!Z271</f>
        <v>na</v>
      </c>
      <c r="E271" s="602" t="str">
        <f>IF(C271="na","na",C271*Eqtn!$D$259)</f>
        <v>na</v>
      </c>
      <c r="F271" s="582" t="str">
        <f>IF(D271="na","na",Eqtn!$D$280/D271)</f>
        <v>na</v>
      </c>
      <c r="G271" s="694" t="str">
        <f>IF(C271="na","na",C271*Eqtn!$D$301)</f>
        <v>na</v>
      </c>
      <c r="H271" s="695" t="str">
        <f>IF(D271="na","na",Eqtn!$D$322/D271)</f>
        <v>na</v>
      </c>
      <c r="I271" s="348" t="str">
        <f>IF($C271="na","na",$C271*Eqtn!$D$343)</f>
        <v>na</v>
      </c>
      <c r="J271" s="367" t="str">
        <f>IF($D271="na","na",Eqtn!$D$364/$D271)</f>
        <v>na</v>
      </c>
      <c r="L271" s="1062"/>
    </row>
    <row r="272" spans="1:12" ht="13.9" customHeight="1" x14ac:dyDescent="0.25">
      <c r="A272" s="846">
        <f>Chem!A272</f>
        <v>270</v>
      </c>
      <c r="B272" s="941" t="str">
        <f>Chem!B272</f>
        <v>Endrin ketone</v>
      </c>
      <c r="C272" s="909" t="str">
        <f>Param!U272</f>
        <v>na</v>
      </c>
      <c r="D272" s="557" t="str">
        <f>Param!Z272</f>
        <v>na</v>
      </c>
      <c r="E272" s="602" t="str">
        <f>IF(C272="na","na",C272*Eqtn!$D$259)</f>
        <v>na</v>
      </c>
      <c r="F272" s="582" t="str">
        <f>IF(D272="na","na",Eqtn!$D$280/D272)</f>
        <v>na</v>
      </c>
      <c r="G272" s="694" t="str">
        <f>IF(C272="na","na",C272*Eqtn!$D$301)</f>
        <v>na</v>
      </c>
      <c r="H272" s="695" t="str">
        <f>IF(D272="na","na",Eqtn!$D$322/D272)</f>
        <v>na</v>
      </c>
      <c r="I272" s="348" t="str">
        <f>IF($C272="na","na",$C272*Eqtn!$D$343)</f>
        <v>na</v>
      </c>
      <c r="J272" s="367" t="str">
        <f>IF($D272="na","na",Eqtn!$D$364/$D272)</f>
        <v>na</v>
      </c>
      <c r="L272" s="1062"/>
    </row>
    <row r="273" spans="1:12" ht="13.9" customHeight="1" x14ac:dyDescent="0.25">
      <c r="A273" s="846">
        <f>Chem!A273</f>
        <v>271</v>
      </c>
      <c r="B273" s="941" t="str">
        <f>Chem!B273</f>
        <v>Heptachlor</v>
      </c>
      <c r="C273" s="909" t="str">
        <f>Param!U273</f>
        <v>na</v>
      </c>
      <c r="D273" s="557">
        <f>Param!Z273</f>
        <v>4.55</v>
      </c>
      <c r="E273" s="602" t="str">
        <f>IF(C273="na","na",C273*Eqtn!$D$259)</f>
        <v>na</v>
      </c>
      <c r="F273" s="582">
        <f>IF(D273="na","na",Eqtn!$D$280/D273)</f>
        <v>1.923076923076923E-3</v>
      </c>
      <c r="G273" s="694" t="str">
        <f>IF(C273="na","na",C273*Eqtn!$D$301)</f>
        <v>na</v>
      </c>
      <c r="H273" s="695">
        <f>IF(D273="na","na",Eqtn!$D$322/D273)</f>
        <v>1.9230769230769232E-2</v>
      </c>
      <c r="I273" s="348" t="str">
        <f>IF($C273="na","na",$C273*Eqtn!$D$343)</f>
        <v>na</v>
      </c>
      <c r="J273" s="367">
        <f>IF($D273="na","na",Eqtn!$D$364/$D273)</f>
        <v>8.9846153846153826E-3</v>
      </c>
      <c r="L273" s="1062"/>
    </row>
    <row r="274" spans="1:12" ht="13.9" customHeight="1" x14ac:dyDescent="0.25">
      <c r="A274" s="846">
        <f>Chem!A274</f>
        <v>272</v>
      </c>
      <c r="B274" s="941" t="str">
        <f>Chem!B274</f>
        <v>Heptachlor epoxide</v>
      </c>
      <c r="C274" s="909" t="str">
        <f>Param!U274</f>
        <v>na</v>
      </c>
      <c r="D274" s="557">
        <f>Param!Z274</f>
        <v>9.1</v>
      </c>
      <c r="E274" s="602" t="str">
        <f>IF(C274="na","na",C274*Eqtn!$D$259)</f>
        <v>na</v>
      </c>
      <c r="F274" s="582">
        <f>IF(D274="na","na",Eqtn!$D$280/D274)</f>
        <v>9.6153846153846148E-4</v>
      </c>
      <c r="G274" s="694" t="str">
        <f>IF(C274="na","na",C274*Eqtn!$D$301)</f>
        <v>na</v>
      </c>
      <c r="H274" s="695">
        <f>IF(D274="na","na",Eqtn!$D$322/D274)</f>
        <v>9.6153846153846159E-3</v>
      </c>
      <c r="I274" s="348" t="str">
        <f>IF($C274="na","na",$C274*Eqtn!$D$343)</f>
        <v>na</v>
      </c>
      <c r="J274" s="367">
        <f>IF($D274="na","na",Eqtn!$D$364/$D274)</f>
        <v>4.4923076923076913E-3</v>
      </c>
      <c r="L274" s="1062"/>
    </row>
    <row r="275" spans="1:12" ht="13.9" customHeight="1" x14ac:dyDescent="0.25">
      <c r="A275" s="846">
        <f>Chem!A275</f>
        <v>273</v>
      </c>
      <c r="B275" s="941" t="str">
        <f>Chem!B275</f>
        <v>Lindane (gamma-BHC)</v>
      </c>
      <c r="C275" s="909" t="str">
        <f>Param!U275</f>
        <v>na</v>
      </c>
      <c r="D275" s="557">
        <f>Param!Z275</f>
        <v>1.085</v>
      </c>
      <c r="E275" s="602" t="str">
        <f>IF(C275="na","na",C275*Eqtn!$D$259)</f>
        <v>na</v>
      </c>
      <c r="F275" s="582">
        <f>IF(D275="na","na",Eqtn!$D$280/D275)</f>
        <v>8.0645161290322578E-3</v>
      </c>
      <c r="G275" s="694" t="str">
        <f>IF(C275="na","na",C275*Eqtn!$D$301)</f>
        <v>na</v>
      </c>
      <c r="H275" s="695">
        <f>IF(D275="na","na",Eqtn!$D$322/D275)</f>
        <v>8.0645161290322592E-2</v>
      </c>
      <c r="I275" s="348" t="str">
        <f>IF($C275="na","na",$C275*Eqtn!$D$343)</f>
        <v>na</v>
      </c>
      <c r="J275" s="367">
        <f>IF($D275="na","na",Eqtn!$D$364/$D275)</f>
        <v>3.7677419354838697E-2</v>
      </c>
      <c r="L275" s="1062"/>
    </row>
    <row r="276" spans="1:12" ht="13.9" customHeight="1" x14ac:dyDescent="0.25">
      <c r="A276" s="846">
        <f>Chem!A276</f>
        <v>274</v>
      </c>
      <c r="B276" s="941" t="str">
        <f>Chem!B276</f>
        <v>Malathion</v>
      </c>
      <c r="C276" s="909" t="str">
        <f>Param!U276</f>
        <v>na</v>
      </c>
      <c r="D276" s="557" t="str">
        <f>Param!Z276</f>
        <v>na</v>
      </c>
      <c r="E276" s="602" t="str">
        <f>IF(C276="na","na",C276*Eqtn!$D$259)</f>
        <v>na</v>
      </c>
      <c r="F276" s="582" t="str">
        <f>IF(D276="na","na",Eqtn!$D$280/D276)</f>
        <v>na</v>
      </c>
      <c r="G276" s="694" t="str">
        <f>IF(C276="na","na",C276*Eqtn!$D$301)</f>
        <v>na</v>
      </c>
      <c r="H276" s="695" t="str">
        <f>IF(D276="na","na",Eqtn!$D$322/D276)</f>
        <v>na</v>
      </c>
      <c r="I276" s="348" t="str">
        <f>IF($C276="na","na",$C276*Eqtn!$D$343)</f>
        <v>na</v>
      </c>
      <c r="J276" s="367" t="str">
        <f>IF($D276="na","na",Eqtn!$D$364/$D276)</f>
        <v>na</v>
      </c>
      <c r="L276" s="1062"/>
    </row>
    <row r="277" spans="1:12" ht="13.9" customHeight="1" x14ac:dyDescent="0.25">
      <c r="A277" s="846">
        <f>Chem!A277</f>
        <v>275</v>
      </c>
      <c r="B277" s="941" t="str">
        <f>Chem!B277</f>
        <v>Methoxychlor</v>
      </c>
      <c r="C277" s="909" t="str">
        <f>Param!U277</f>
        <v>na</v>
      </c>
      <c r="D277" s="557" t="str">
        <f>Param!Z277</f>
        <v>na</v>
      </c>
      <c r="E277" s="602" t="str">
        <f>IF(C277="na","na",C277*Eqtn!$D$259)</f>
        <v>na</v>
      </c>
      <c r="F277" s="582" t="str">
        <f>IF(D277="na","na",Eqtn!$D$280/D277)</f>
        <v>na</v>
      </c>
      <c r="G277" s="694" t="str">
        <f>IF(C277="na","na",C277*Eqtn!$D$301)</f>
        <v>na</v>
      </c>
      <c r="H277" s="695" t="str">
        <f>IF(D277="na","na",Eqtn!$D$322/D277)</f>
        <v>na</v>
      </c>
      <c r="I277" s="348" t="str">
        <f>IF($C277="na","na",$C277*Eqtn!$D$343)</f>
        <v>na</v>
      </c>
      <c r="J277" s="367" t="str">
        <f>IF($D277="na","na",Eqtn!$D$364/$D277)</f>
        <v>na</v>
      </c>
      <c r="L277" s="1062"/>
    </row>
    <row r="278" spans="1:12" ht="13.9" customHeight="1" x14ac:dyDescent="0.25">
      <c r="A278" s="846">
        <f>Chem!A278</f>
        <v>276</v>
      </c>
      <c r="B278" s="941" t="str">
        <f>Chem!B278</f>
        <v>Mirex</v>
      </c>
      <c r="C278" s="909" t="str">
        <f>Param!U278</f>
        <v>na</v>
      </c>
      <c r="D278" s="557">
        <f>Param!Z278</f>
        <v>17.850000000000001</v>
      </c>
      <c r="E278" s="602" t="str">
        <f>IF(C278="na","na",C278*Eqtn!$D$259)</f>
        <v>na</v>
      </c>
      <c r="F278" s="582">
        <f>IF(D278="na","na",Eqtn!$D$280/D278)</f>
        <v>4.9019607843137243E-4</v>
      </c>
      <c r="G278" s="694" t="str">
        <f>IF(C278="na","na",C278*Eqtn!$D$301)</f>
        <v>na</v>
      </c>
      <c r="H278" s="695">
        <f>IF(D278="na","na",Eqtn!$D$322/D278)</f>
        <v>4.9019607843137254E-3</v>
      </c>
      <c r="I278" s="348" t="str">
        <f>IF($C278="na","na",$C278*Eqtn!$D$343)</f>
        <v>na</v>
      </c>
      <c r="J278" s="367">
        <f>IF($D278="na","na",Eqtn!$D$364/$D278)</f>
        <v>2.2901960784313716E-3</v>
      </c>
      <c r="L278" s="1062"/>
    </row>
    <row r="279" spans="1:12" ht="13.9" customHeight="1" x14ac:dyDescent="0.25">
      <c r="A279" s="846">
        <f>Chem!A279</f>
        <v>277</v>
      </c>
      <c r="B279" s="941" t="str">
        <f>Chem!B279</f>
        <v>Nonachlor</v>
      </c>
      <c r="C279" s="909" t="str">
        <f>Param!U279</f>
        <v>na</v>
      </c>
      <c r="D279" s="557" t="str">
        <f>Param!Z279</f>
        <v>na</v>
      </c>
      <c r="E279" s="602" t="str">
        <f>IF(C279="na","na",C279*Eqtn!$D$259)</f>
        <v>na</v>
      </c>
      <c r="F279" s="582" t="str">
        <f>IF(D279="na","na",Eqtn!$D$280/D279)</f>
        <v>na</v>
      </c>
      <c r="G279" s="694" t="str">
        <f>IF(C279="na","na",C279*Eqtn!$D$301)</f>
        <v>na</v>
      </c>
      <c r="H279" s="695" t="str">
        <f>IF(D279="na","na",Eqtn!$D$322/D279)</f>
        <v>na</v>
      </c>
      <c r="I279" s="348" t="str">
        <f>IF($C279="na","na",$C279*Eqtn!$D$343)</f>
        <v>na</v>
      </c>
      <c r="J279" s="367" t="str">
        <f>IF($D279="na","na",Eqtn!$D$364/$D279)</f>
        <v>na</v>
      </c>
      <c r="L279" s="1062"/>
    </row>
    <row r="280" spans="1:12" ht="13.9" customHeight="1" x14ac:dyDescent="0.25">
      <c r="A280" s="1661">
        <f>Chem!A280</f>
        <v>278</v>
      </c>
      <c r="B280" s="1148" t="str">
        <f>Chem!B280</f>
        <v>Toxaphene</v>
      </c>
      <c r="C280" s="910" t="str">
        <f>Param!U280</f>
        <v>na</v>
      </c>
      <c r="D280" s="558">
        <f>Param!Z280</f>
        <v>1.1200000000000003</v>
      </c>
      <c r="E280" s="609" t="str">
        <f>IF(C280="na","na",C280*Eqtn!$D$259)</f>
        <v>na</v>
      </c>
      <c r="F280" s="583">
        <f>IF(D280="na","na",Eqtn!$D$280/D280)</f>
        <v>7.8124999999999965E-3</v>
      </c>
      <c r="G280" s="707" t="str">
        <f>IF(C280="na","na",C280*Eqtn!$D$301)</f>
        <v>na</v>
      </c>
      <c r="H280" s="741">
        <f>IF(D280="na","na",Eqtn!$D$322/D280)</f>
        <v>7.8124999999999986E-2</v>
      </c>
      <c r="I280" s="723" t="str">
        <f>IF($C280="na","na",$C280*Eqtn!$D$343)</f>
        <v>na</v>
      </c>
      <c r="J280" s="724">
        <f>IF($D280="na","na",Eqtn!$D$364/$D280)</f>
        <v>3.6499999999999977E-2</v>
      </c>
      <c r="L280" s="1137"/>
    </row>
    <row r="281" spans="1:12" ht="13.9" customHeight="1" x14ac:dyDescent="0.25">
      <c r="A281" s="1198">
        <f>Chem!A281</f>
        <v>279</v>
      </c>
      <c r="B281" s="1149" t="str">
        <f>Chem!B281</f>
        <v>Herbicides</v>
      </c>
      <c r="C281" s="127"/>
      <c r="D281" s="127"/>
      <c r="E281" s="127"/>
      <c r="F281" s="127"/>
      <c r="G281" s="127"/>
      <c r="H281" s="127"/>
      <c r="I281" s="127"/>
      <c r="J281" s="2364"/>
      <c r="L281" s="1063"/>
    </row>
    <row r="282" spans="1:12" ht="13.9" customHeight="1" x14ac:dyDescent="0.25">
      <c r="A282" s="846">
        <f>Chem!A282</f>
        <v>280</v>
      </c>
      <c r="B282" s="1701" t="str">
        <f>Chem!B282</f>
        <v>2,4-Dichlorophenoxyacetic acid (2,4-D)</v>
      </c>
      <c r="C282" s="909" t="str">
        <f>Param!U282</f>
        <v>na</v>
      </c>
      <c r="D282" s="557" t="str">
        <f>Param!Z282</f>
        <v>na</v>
      </c>
      <c r="E282" s="602" t="str">
        <f>IF(C282="na","na",C282*Eqtn!$D$259)</f>
        <v>na</v>
      </c>
      <c r="F282" s="582" t="str">
        <f>IF(D282="na","na",Eqtn!$D$280/D282)</f>
        <v>na</v>
      </c>
      <c r="G282" s="694" t="str">
        <f>IF(C282="na","na",C282*Eqtn!$D$301)</f>
        <v>na</v>
      </c>
      <c r="H282" s="695" t="str">
        <f>IF(D282="na","na",Eqtn!$D$322/D282)</f>
        <v>na</v>
      </c>
      <c r="I282" s="721" t="str">
        <f>IF($C282="na","na",$C282*Eqtn!$D$343)</f>
        <v>na</v>
      </c>
      <c r="J282" s="722" t="str">
        <f>IF($D282="na","na",Eqtn!$D$364/$D282)</f>
        <v>na</v>
      </c>
      <c r="L282" s="1062"/>
    </row>
    <row r="283" spans="1:12" ht="13.9" customHeight="1" x14ac:dyDescent="0.25">
      <c r="A283" s="846">
        <f>Chem!A283</f>
        <v>281</v>
      </c>
      <c r="B283" s="1593" t="str">
        <f>Chem!B283</f>
        <v>4-(2,4-Dichlorophenoxy)butanoic acid 2,4-DB</v>
      </c>
      <c r="C283" s="909" t="str">
        <f>Param!U283</f>
        <v>na</v>
      </c>
      <c r="D283" s="557" t="str">
        <f>Param!Z283</f>
        <v>na</v>
      </c>
      <c r="E283" s="602" t="str">
        <f>IF(C283="na","na",C283*Eqtn!$D$259)</f>
        <v>na</v>
      </c>
      <c r="F283" s="582" t="str">
        <f>IF(D283="na","na",Eqtn!$D$280/D283)</f>
        <v>na</v>
      </c>
      <c r="G283" s="694" t="str">
        <f>IF(C283="na","na",C283*Eqtn!$D$301)</f>
        <v>na</v>
      </c>
      <c r="H283" s="695" t="str">
        <f>IF(D283="na","na",Eqtn!$D$322/D283)</f>
        <v>na</v>
      </c>
      <c r="I283" s="348" t="str">
        <f>IF($C283="na","na",$C283*Eqtn!$D$343)</f>
        <v>na</v>
      </c>
      <c r="J283" s="367" t="str">
        <f>IF($D283="na","na",Eqtn!$D$364/$D283)</f>
        <v>na</v>
      </c>
      <c r="L283" s="1062"/>
    </row>
    <row r="284" spans="1:12" ht="13.9" customHeight="1" x14ac:dyDescent="0.25">
      <c r="A284" s="846">
        <f>Chem!A284</f>
        <v>282</v>
      </c>
      <c r="B284" s="1593" t="str">
        <f>Chem!B284</f>
        <v>2-(2,4,5-Trichlorophenoxy)propionic acid (2,4,5-TP)</v>
      </c>
      <c r="C284" s="909" t="str">
        <f>Param!U284</f>
        <v>na</v>
      </c>
      <c r="D284" s="557" t="str">
        <f>Param!Z284</f>
        <v>na</v>
      </c>
      <c r="E284" s="602" t="str">
        <f>IF(C284="na","na",C284*Eqtn!$D$259)</f>
        <v>na</v>
      </c>
      <c r="F284" s="582" t="str">
        <f>IF(D284="na","na",Eqtn!$D$280/D284)</f>
        <v>na</v>
      </c>
      <c r="G284" s="694" t="str">
        <f>IF(C284="na","na",C284*Eqtn!$D$301)</f>
        <v>na</v>
      </c>
      <c r="H284" s="695" t="str">
        <f>IF(D284="na","na",Eqtn!$D$322/D284)</f>
        <v>na</v>
      </c>
      <c r="I284" s="348" t="str">
        <f>IF($C284="na","na",$C284*Eqtn!$D$343)</f>
        <v>na</v>
      </c>
      <c r="J284" s="367" t="str">
        <f>IF($D284="na","na",Eqtn!$D$364/$D284)</f>
        <v>na</v>
      </c>
      <c r="L284" s="1062"/>
    </row>
    <row r="285" spans="1:12" ht="13.9" customHeight="1" x14ac:dyDescent="0.25">
      <c r="A285" s="846">
        <f>Chem!A285</f>
        <v>283</v>
      </c>
      <c r="B285" s="1593" t="str">
        <f>Chem!B285</f>
        <v>2,4,5-Trichlorophenoxyacetic acid (2,4,5-T)</v>
      </c>
      <c r="C285" s="909" t="str">
        <f>Param!U285</f>
        <v>na</v>
      </c>
      <c r="D285" s="557" t="str">
        <f>Param!Z285</f>
        <v>na</v>
      </c>
      <c r="E285" s="602" t="str">
        <f>IF(C285="na","na",C285*Eqtn!$D$259)</f>
        <v>na</v>
      </c>
      <c r="F285" s="582" t="str">
        <f>IF(D285="na","na",Eqtn!$D$280/D285)</f>
        <v>na</v>
      </c>
      <c r="G285" s="694" t="str">
        <f>IF(C285="na","na",C285*Eqtn!$D$301)</f>
        <v>na</v>
      </c>
      <c r="H285" s="695" t="str">
        <f>IF(D285="na","na",Eqtn!$D$322/D285)</f>
        <v>na</v>
      </c>
      <c r="I285" s="348" t="str">
        <f>IF($C285="na","na",$C285*Eqtn!$D$343)</f>
        <v>na</v>
      </c>
      <c r="J285" s="367" t="str">
        <f>IF($D285="na","na",Eqtn!$D$364/$D285)</f>
        <v>na</v>
      </c>
      <c r="L285" s="1062"/>
    </row>
    <row r="286" spans="1:12" ht="13.9" customHeight="1" x14ac:dyDescent="0.25">
      <c r="A286" s="846">
        <f>Chem!A286</f>
        <v>284</v>
      </c>
      <c r="B286" s="1593" t="str">
        <f>Chem!B286</f>
        <v>Dalapon</v>
      </c>
      <c r="C286" s="909" t="str">
        <f>Param!U286</f>
        <v>na</v>
      </c>
      <c r="D286" s="557" t="str">
        <f>Param!Z286</f>
        <v>na</v>
      </c>
      <c r="E286" s="602" t="str">
        <f>IF(C286="na","na",C286*Eqtn!$D$259)</f>
        <v>na</v>
      </c>
      <c r="F286" s="582" t="str">
        <f>IF(D286="na","na",Eqtn!$D$280/D286)</f>
        <v>na</v>
      </c>
      <c r="G286" s="694" t="str">
        <f>IF(C286="na","na",C286*Eqtn!$D$301)</f>
        <v>na</v>
      </c>
      <c r="H286" s="695" t="str">
        <f>IF(D286="na","na",Eqtn!$D$322/D286)</f>
        <v>na</v>
      </c>
      <c r="I286" s="348" t="str">
        <f>IF($C286="na","na",$C286*Eqtn!$D$343)</f>
        <v>na</v>
      </c>
      <c r="J286" s="367" t="str">
        <f>IF($D286="na","na",Eqtn!$D$364/$D286)</f>
        <v>na</v>
      </c>
      <c r="L286" s="1062"/>
    </row>
    <row r="287" spans="1:12" ht="13.9" customHeight="1" x14ac:dyDescent="0.25">
      <c r="A287" s="846">
        <f>Chem!A287</f>
        <v>285</v>
      </c>
      <c r="B287" s="1593" t="str">
        <f>Chem!B287</f>
        <v>Dicamba</v>
      </c>
      <c r="C287" s="909" t="str">
        <f>Param!U287</f>
        <v>na</v>
      </c>
      <c r="D287" s="557" t="str">
        <f>Param!Z287</f>
        <v>na</v>
      </c>
      <c r="E287" s="602" t="str">
        <f>IF(C287="na","na",C287*Eqtn!$D$259)</f>
        <v>na</v>
      </c>
      <c r="F287" s="582" t="str">
        <f>IF(D287="na","na",Eqtn!$D$280/D287)</f>
        <v>na</v>
      </c>
      <c r="G287" s="694" t="str">
        <f>IF(C287="na","na",C287*Eqtn!$D$301)</f>
        <v>na</v>
      </c>
      <c r="H287" s="695" t="str">
        <f>IF(D287="na","na",Eqtn!$D$322/D287)</f>
        <v>na</v>
      </c>
      <c r="I287" s="348" t="str">
        <f>IF($C287="na","na",$C287*Eqtn!$D$343)</f>
        <v>na</v>
      </c>
      <c r="J287" s="367" t="str">
        <f>IF($D287="na","na",Eqtn!$D$364/$D287)</f>
        <v>na</v>
      </c>
      <c r="L287" s="1062"/>
    </row>
    <row r="288" spans="1:12" ht="13.9" customHeight="1" x14ac:dyDescent="0.25">
      <c r="A288" s="846">
        <f>Chem!A288</f>
        <v>286</v>
      </c>
      <c r="B288" s="1593" t="str">
        <f>Chem!B288</f>
        <v>Dichloroprop</v>
      </c>
      <c r="C288" s="909" t="str">
        <f>Param!U288</f>
        <v>na</v>
      </c>
      <c r="D288" s="557" t="str">
        <f>Param!Z288</f>
        <v>na</v>
      </c>
      <c r="E288" s="602" t="str">
        <f>IF(C288="na","na",C288*Eqtn!$D$259)</f>
        <v>na</v>
      </c>
      <c r="F288" s="582" t="str">
        <f>IF(D288="na","na",Eqtn!$D$280/D288)</f>
        <v>na</v>
      </c>
      <c r="G288" s="694" t="str">
        <f>IF(C288="na","na",C288*Eqtn!$D$301)</f>
        <v>na</v>
      </c>
      <c r="H288" s="695" t="str">
        <f>IF(D288="na","na",Eqtn!$D$322/D288)</f>
        <v>na</v>
      </c>
      <c r="I288" s="348" t="str">
        <f>IF($C288="na","na",$C288*Eqtn!$D$343)</f>
        <v>na</v>
      </c>
      <c r="J288" s="367" t="str">
        <f>IF($D288="na","na",Eqtn!$D$364/$D288)</f>
        <v>na</v>
      </c>
      <c r="L288" s="1062"/>
    </row>
    <row r="289" spans="1:14" ht="13.9" customHeight="1" x14ac:dyDescent="0.25">
      <c r="A289" s="846">
        <f>Chem!A289</f>
        <v>287</v>
      </c>
      <c r="B289" s="1593" t="str">
        <f>Chem!B289</f>
        <v>Dinoseb</v>
      </c>
      <c r="C289" s="909" t="str">
        <f>Param!U289</f>
        <v>na</v>
      </c>
      <c r="D289" s="557" t="str">
        <f>Param!Z289</f>
        <v>na</v>
      </c>
      <c r="E289" s="602" t="str">
        <f>IF(C289="na","na",C289*Eqtn!$D$259)</f>
        <v>na</v>
      </c>
      <c r="F289" s="582" t="str">
        <f>IF(D289="na","na",Eqtn!$D$280/D289)</f>
        <v>na</v>
      </c>
      <c r="G289" s="694" t="str">
        <f>IF(C289="na","na",C289*Eqtn!$D$301)</f>
        <v>na</v>
      </c>
      <c r="H289" s="695" t="str">
        <f>IF(D289="na","na",Eqtn!$D$322/D289)</f>
        <v>na</v>
      </c>
      <c r="I289" s="348" t="str">
        <f>IF($C289="na","na",$C289*Eqtn!$D$343)</f>
        <v>na</v>
      </c>
      <c r="J289" s="367" t="str">
        <f>IF($D289="na","na",Eqtn!$D$364/$D289)</f>
        <v>na</v>
      </c>
      <c r="L289" s="1062"/>
    </row>
    <row r="290" spans="1:14" ht="13.9" customHeight="1" x14ac:dyDescent="0.25">
      <c r="A290" s="846">
        <f>Chem!A290</f>
        <v>288</v>
      </c>
      <c r="B290" s="1593" t="str">
        <f>Chem!B290</f>
        <v>2-Methyl-4-chlorophenoxy acetic acid (MCPA)</v>
      </c>
      <c r="C290" s="909" t="str">
        <f>Param!U290</f>
        <v>na</v>
      </c>
      <c r="D290" s="557" t="str">
        <f>Param!Z290</f>
        <v>na</v>
      </c>
      <c r="E290" s="602" t="str">
        <f>IF(C290="na","na",C290*Eqtn!$D$259)</f>
        <v>na</v>
      </c>
      <c r="F290" s="582" t="str">
        <f>IF(D290="na","na",Eqtn!$D$280/D290)</f>
        <v>na</v>
      </c>
      <c r="G290" s="694" t="str">
        <f>IF(C290="na","na",C290*Eqtn!$D$301)</f>
        <v>na</v>
      </c>
      <c r="H290" s="695" t="str">
        <f>IF(D290="na","na",Eqtn!$D$322/D290)</f>
        <v>na</v>
      </c>
      <c r="I290" s="348" t="str">
        <f>IF($C290="na","na",$C290*Eqtn!$D$343)</f>
        <v>na</v>
      </c>
      <c r="J290" s="367" t="str">
        <f>IF($D290="na","na",Eqtn!$D$364/$D290)</f>
        <v>na</v>
      </c>
      <c r="L290" s="1062"/>
    </row>
    <row r="291" spans="1:14" ht="13.9" customHeight="1" thickBot="1" x14ac:dyDescent="0.3">
      <c r="A291" s="1662">
        <f>Chem!A291</f>
        <v>289</v>
      </c>
      <c r="B291" s="1594" t="str">
        <f>Chem!B291</f>
        <v>(2-Methyl-4-chlorophenol)2-propionic acid (MCPP)</v>
      </c>
      <c r="C291" s="915" t="str">
        <f>Param!U291</f>
        <v>na</v>
      </c>
      <c r="D291" s="659" t="str">
        <f>Param!Z291</f>
        <v>na</v>
      </c>
      <c r="E291" s="610" t="str">
        <f>IF(C291="na","na",C291*Eqtn!$D$259)</f>
        <v>na</v>
      </c>
      <c r="F291" s="650" t="str">
        <f>IF(D291="na","na",Eqtn!$D$280/D291)</f>
        <v>na</v>
      </c>
      <c r="G291" s="708" t="str">
        <f>IF(C291="na","na",C291*Eqtn!$D$301)</f>
        <v>na</v>
      </c>
      <c r="H291" s="1233" t="str">
        <f>IF(D291="na","na",Eqtn!$D$322/D291)</f>
        <v>na</v>
      </c>
      <c r="I291" s="725" t="str">
        <f>IF($C291="na","na",$C291*Eqtn!$D$343)</f>
        <v>na</v>
      </c>
      <c r="J291" s="726" t="str">
        <f>IF($D291="na","na",Eqtn!$D$364/$D291)</f>
        <v>na</v>
      </c>
      <c r="L291" s="1065"/>
    </row>
    <row r="292" spans="1:14" ht="15.75" thickTop="1" x14ac:dyDescent="0.25">
      <c r="B292" s="280"/>
      <c r="L292" s="968">
        <f>COUNTA(L4:L291)</f>
        <v>0</v>
      </c>
    </row>
    <row r="293" spans="1:14" x14ac:dyDescent="0.25">
      <c r="B293" s="280"/>
    </row>
    <row r="294" spans="1:14" x14ac:dyDescent="0.25">
      <c r="B294" s="280"/>
    </row>
    <row r="295" spans="1:14" x14ac:dyDescent="0.25">
      <c r="B295" s="280"/>
    </row>
    <row r="296" spans="1:14" x14ac:dyDescent="0.25">
      <c r="B296" s="277"/>
    </row>
    <row r="297" spans="1:14" x14ac:dyDescent="0.25">
      <c r="B297" s="280"/>
      <c r="K297" s="124"/>
      <c r="L297" s="124"/>
      <c r="M297" s="124"/>
      <c r="N297" s="124"/>
    </row>
    <row r="298" spans="1:14" x14ac:dyDescent="0.25">
      <c r="B298" s="315"/>
      <c r="K298" s="124"/>
      <c r="L298" s="124"/>
      <c r="M298" s="124"/>
      <c r="N298" s="124"/>
    </row>
    <row r="299" spans="1:14" x14ac:dyDescent="0.25">
      <c r="B299" s="280"/>
      <c r="K299" s="124"/>
      <c r="L299" s="124"/>
      <c r="M299" s="124"/>
      <c r="N299" s="124"/>
    </row>
    <row r="300" spans="1:14" x14ac:dyDescent="0.25">
      <c r="B300" s="280"/>
      <c r="K300" s="124"/>
      <c r="L300" s="124"/>
      <c r="M300" s="124"/>
      <c r="N300" s="124"/>
    </row>
    <row r="301" spans="1:14" x14ac:dyDescent="0.25">
      <c r="B301" s="280"/>
      <c r="K301" s="124"/>
      <c r="L301" s="124"/>
      <c r="M301" s="124"/>
      <c r="N301" s="124"/>
    </row>
    <row r="302" spans="1:14" x14ac:dyDescent="0.25">
      <c r="B302" s="280"/>
      <c r="K302" s="124"/>
      <c r="L302" s="124"/>
      <c r="M302" s="124"/>
      <c r="N302" s="124"/>
    </row>
    <row r="303" spans="1:14" x14ac:dyDescent="0.25">
      <c r="B303" s="280"/>
      <c r="K303" s="124"/>
      <c r="L303" s="124"/>
      <c r="M303" s="124"/>
      <c r="N303" s="124"/>
    </row>
    <row r="304" spans="1:14" x14ac:dyDescent="0.25">
      <c r="B304" s="280"/>
      <c r="K304" s="124"/>
      <c r="L304" s="124"/>
      <c r="M304" s="124"/>
      <c r="N304" s="124"/>
    </row>
    <row r="305" spans="2:14" x14ac:dyDescent="0.25">
      <c r="B305" s="280"/>
      <c r="K305" s="124"/>
      <c r="L305" s="124"/>
      <c r="M305" s="124"/>
      <c r="N305" s="124"/>
    </row>
    <row r="306" spans="2:14" x14ac:dyDescent="0.25">
      <c r="B306" s="280"/>
      <c r="K306" s="124"/>
      <c r="L306" s="124"/>
      <c r="M306" s="124"/>
      <c r="N306" s="124"/>
    </row>
    <row r="307" spans="2:14" x14ac:dyDescent="0.25">
      <c r="B307" s="280"/>
      <c r="K307" s="124"/>
      <c r="L307" s="124"/>
      <c r="M307" s="124"/>
      <c r="N307" s="124"/>
    </row>
    <row r="308" spans="2:14" x14ac:dyDescent="0.25">
      <c r="B308" s="280"/>
      <c r="K308" s="124"/>
      <c r="L308" s="124"/>
      <c r="M308" s="124"/>
      <c r="N308" s="124"/>
    </row>
    <row r="309" spans="2:14" x14ac:dyDescent="0.25">
      <c r="B309" s="280"/>
      <c r="K309" s="124"/>
      <c r="L309" s="124"/>
      <c r="M309" s="124"/>
      <c r="N309" s="124"/>
    </row>
    <row r="310" spans="2:14" x14ac:dyDescent="0.25">
      <c r="B310" s="280"/>
      <c r="K310" s="124"/>
      <c r="L310" s="124"/>
      <c r="M310" s="124"/>
      <c r="N310" s="124"/>
    </row>
    <row r="311" spans="2:14" x14ac:dyDescent="0.25">
      <c r="B311" s="280"/>
      <c r="K311" s="124"/>
      <c r="L311" s="124"/>
      <c r="M311" s="124"/>
      <c r="N311" s="124"/>
    </row>
    <row r="312" spans="2:14" x14ac:dyDescent="0.25">
      <c r="B312" s="280"/>
      <c r="K312" s="124"/>
      <c r="L312" s="124"/>
      <c r="M312" s="124"/>
      <c r="N312" s="124"/>
    </row>
    <row r="313" spans="2:14" x14ac:dyDescent="0.25">
      <c r="B313" s="280"/>
      <c r="K313" s="124"/>
      <c r="L313" s="124"/>
      <c r="M313" s="124"/>
      <c r="N313" s="124"/>
    </row>
    <row r="314" spans="2:14" x14ac:dyDescent="0.25">
      <c r="B314" s="280"/>
      <c r="K314" s="124"/>
      <c r="L314" s="124"/>
      <c r="M314" s="124"/>
      <c r="N314" s="124"/>
    </row>
    <row r="315" spans="2:14" x14ac:dyDescent="0.25">
      <c r="B315" s="280"/>
      <c r="K315" s="124"/>
      <c r="L315" s="124"/>
      <c r="M315" s="124"/>
      <c r="N315" s="124"/>
    </row>
    <row r="316" spans="2:14" x14ac:dyDescent="0.25">
      <c r="B316" s="280"/>
      <c r="K316" s="124"/>
      <c r="L316" s="124"/>
      <c r="M316" s="124"/>
      <c r="N316" s="124"/>
    </row>
    <row r="317" spans="2:14" x14ac:dyDescent="0.25">
      <c r="B317" s="280"/>
      <c r="K317" s="124"/>
      <c r="L317" s="124"/>
      <c r="M317" s="124"/>
      <c r="N317" s="124"/>
    </row>
  </sheetData>
  <autoFilter ref="A2:N2" xr:uid="{00000000-0009-0000-0000-000014000000}"/>
  <pageMargins left="0.7" right="0.7" top="0.75" bottom="0.75" header="0.3" footer="0.3"/>
  <pageSetup orientation="portrait" horizontalDpi="1200" verticalDpi="1200" r:id="rId1"/>
  <headerFooter>
    <oddFooter>&amp;RPage &amp;P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W294"/>
  <sheetViews>
    <sheetView zoomScaleNormal="100" workbookViewId="0">
      <pane xSplit="2" ySplit="2" topLeftCell="C265" activePane="bottomRight" state="frozen"/>
      <selection pane="topRight" activeCell="B1" sqref="B1"/>
      <selection pane="bottomLeft" activeCell="A4" sqref="A4"/>
      <selection pane="bottomRight" activeCell="D268" sqref="D268"/>
    </sheetView>
  </sheetViews>
  <sheetFormatPr defaultRowHeight="13.9" customHeight="1" x14ac:dyDescent="0.25"/>
  <cols>
    <col min="1" max="1" width="6" customWidth="1"/>
    <col min="2" max="2" width="34.85546875" customWidth="1"/>
    <col min="3" max="3" width="13.28515625" style="42" customWidth="1"/>
    <col min="4" max="4" width="12.5703125" style="42" customWidth="1"/>
    <col min="5" max="5" width="13.42578125" style="42" customWidth="1"/>
    <col min="6" max="6" width="13.7109375" customWidth="1"/>
    <col min="7" max="7" width="12.5703125" customWidth="1"/>
    <col min="8" max="8" width="11.42578125" customWidth="1"/>
    <col min="9" max="9" width="14.7109375" customWidth="1"/>
    <col min="10" max="10" width="18.42578125" customWidth="1"/>
    <col min="11" max="11" width="10.7109375" style="42" customWidth="1"/>
    <col min="12" max="12" width="4.5703125" customWidth="1"/>
    <col min="13" max="13" width="6" style="371" customWidth="1"/>
    <col min="14" max="17" width="4.85546875" style="371" customWidth="1"/>
    <col min="18" max="21" width="4.85546875" style="199" customWidth="1"/>
    <col min="22" max="22" width="4.28515625" style="945" customWidth="1"/>
    <col min="23" max="23" width="13.7109375" style="1031" customWidth="1"/>
  </cols>
  <sheetData>
    <row r="1" spans="1:23" s="2" customFormat="1" ht="15.4" customHeight="1" thickTop="1" thickBot="1" x14ac:dyDescent="0.25">
      <c r="B1" s="52" t="s">
        <v>1686</v>
      </c>
      <c r="C1" s="241"/>
      <c r="D1" s="241"/>
      <c r="E1" s="241"/>
      <c r="K1" s="165"/>
      <c r="M1" s="2645" t="s">
        <v>418</v>
      </c>
      <c r="N1" s="2646"/>
      <c r="O1" s="2646"/>
      <c r="P1" s="2646"/>
      <c r="Q1" s="2647"/>
      <c r="R1" s="2645" t="s">
        <v>419</v>
      </c>
      <c r="S1" s="2646"/>
      <c r="T1" s="2646"/>
      <c r="U1" s="2647"/>
      <c r="V1" s="199"/>
      <c r="W1" s="837"/>
    </row>
    <row r="2" spans="1:23" s="2" customFormat="1" ht="64.5" customHeight="1" thickTop="1" thickBot="1" x14ac:dyDescent="0.25">
      <c r="A2" s="1709" t="s">
        <v>445</v>
      </c>
      <c r="B2" s="1725" t="s">
        <v>640</v>
      </c>
      <c r="C2" s="1726" t="s">
        <v>416</v>
      </c>
      <c r="D2" s="1726" t="s">
        <v>417</v>
      </c>
      <c r="E2" s="1726" t="s">
        <v>264</v>
      </c>
      <c r="F2" s="1726" t="s">
        <v>515</v>
      </c>
      <c r="G2" s="1714" t="s">
        <v>516</v>
      </c>
      <c r="H2" s="1727" t="s">
        <v>517</v>
      </c>
      <c r="I2" s="1727" t="s">
        <v>679</v>
      </c>
      <c r="J2" s="1727" t="s">
        <v>625</v>
      </c>
      <c r="K2" s="1715" t="s">
        <v>432</v>
      </c>
      <c r="M2" s="1716" t="s">
        <v>257</v>
      </c>
      <c r="N2" s="1717" t="s">
        <v>258</v>
      </c>
      <c r="O2" s="1717" t="s">
        <v>147</v>
      </c>
      <c r="P2" s="1717" t="s">
        <v>259</v>
      </c>
      <c r="Q2" s="1719" t="s">
        <v>260</v>
      </c>
      <c r="R2" s="1717" t="s">
        <v>258</v>
      </c>
      <c r="S2" s="1717" t="s">
        <v>147</v>
      </c>
      <c r="T2" s="1717" t="s">
        <v>259</v>
      </c>
      <c r="U2" s="1719" t="s">
        <v>260</v>
      </c>
      <c r="V2" s="199"/>
      <c r="W2" s="1724" t="s">
        <v>465</v>
      </c>
    </row>
    <row r="3" spans="1:23" ht="13.9" customHeight="1" thickTop="1" x14ac:dyDescent="0.25">
      <c r="A3" s="907">
        <f>Chem!A3</f>
        <v>1</v>
      </c>
      <c r="B3" s="953" t="str">
        <f>Chem!B3</f>
        <v>PCBs</v>
      </c>
      <c r="C3" s="208"/>
      <c r="D3" s="208"/>
      <c r="E3" s="208"/>
      <c r="F3" s="208"/>
      <c r="G3" s="208"/>
      <c r="H3" s="209"/>
      <c r="I3" s="209"/>
      <c r="J3" s="209"/>
      <c r="K3" s="969"/>
      <c r="M3" s="122" t="str">
        <f>B3</f>
        <v>PCBs</v>
      </c>
      <c r="N3" s="982"/>
      <c r="O3" s="982"/>
      <c r="P3" s="982"/>
      <c r="Q3" s="982"/>
      <c r="R3" s="982"/>
      <c r="S3" s="982"/>
      <c r="T3" s="982"/>
      <c r="U3" s="983"/>
      <c r="W3" s="1061"/>
    </row>
    <row r="4" spans="1:23" ht="13.9" customHeight="1" x14ac:dyDescent="0.25">
      <c r="A4" s="842">
        <f>Chem!A4</f>
        <v>2</v>
      </c>
      <c r="B4" s="951" t="str">
        <f>Chem!B4</f>
        <v>Total PCB Aroclors</v>
      </c>
      <c r="C4" s="946">
        <f>IF(AND($F4="na",$G4="na",$H4="na",$I4="na"),"na",IF(AND(ISNUMBER($K4),MIN($F4:$I4)&lt;$K4),$K4,MIN($F4:$I4)))</f>
        <v>6.9999999999999999E-6</v>
      </c>
      <c r="D4" s="463">
        <f>IF(AND($G4="na",$H4="na",$I4="na"),"na",IF(AND(ISNUMBER($K4),MIN($G4:$I4)&lt;$K4),$K4,MIN($G4:$I4)))</f>
        <v>6.9999999999999999E-6</v>
      </c>
      <c r="E4" s="463"/>
      <c r="F4" s="501">
        <f>PW!O4</f>
        <v>0.21874999999999994</v>
      </c>
      <c r="G4" s="511">
        <f>SW!R4</f>
        <v>6.9999999999999999E-6</v>
      </c>
      <c r="H4" s="222">
        <f>Partit!E4</f>
        <v>1.3472522987492349E-3</v>
      </c>
      <c r="I4" s="520" t="str">
        <f>PW!P4</f>
        <v>na</v>
      </c>
      <c r="J4" s="520" t="s">
        <v>232</v>
      </c>
      <c r="K4" s="970" t="s">
        <v>232</v>
      </c>
      <c r="M4" s="1373" t="str">
        <f>IF($C4="na","",IF($C4=$F4,"X",""))</f>
        <v/>
      </c>
      <c r="N4" s="1374" t="str">
        <f>IF($C4="na","",IF($C4=$G4,"X",""))</f>
        <v>X</v>
      </c>
      <c r="O4" s="1374" t="str">
        <f>IF($C4="na","",IF($C4=$H4,"X",""))</f>
        <v/>
      </c>
      <c r="P4" s="1374" t="str">
        <f>IF($C4="na","",IF($C4=$I4,"X",""))</f>
        <v/>
      </c>
      <c r="Q4" s="1375" t="str">
        <f>IF($C4="na","",IF($C4=$K4,"X",""))</f>
        <v/>
      </c>
      <c r="R4" s="1373" t="str">
        <f>IF($D4="na","",IF($D4=$G4,"X",""))</f>
        <v>X</v>
      </c>
      <c r="S4" s="1374" t="str">
        <f>IF($D4="na","",IF($D4=$H4,"X",""))</f>
        <v/>
      </c>
      <c r="T4" s="1374" t="str">
        <f>IF($D4="na","",IF($D4=$I4,"X",""))</f>
        <v/>
      </c>
      <c r="U4" s="1375" t="str">
        <f>IF($D4="na","",IF($D4=$K4,"X",""))</f>
        <v/>
      </c>
      <c r="W4" s="1062"/>
    </row>
    <row r="5" spans="1:23" ht="13.9" customHeight="1" x14ac:dyDescent="0.25">
      <c r="A5" s="842">
        <f>Chem!A5</f>
        <v>3</v>
      </c>
      <c r="B5" s="951" t="str">
        <f>Chem!B5</f>
        <v>Total PCB congeners</v>
      </c>
      <c r="C5" s="954">
        <f t="shared" ref="C5:C6" si="0">IF(AND($F5="na",$G5="na",$H5="na",$I5="na"),"na",IF(AND(ISNUMBER($K5),MIN($F5:$I5)&lt;$K5),$K5,MIN($F5:$I5)))</f>
        <v>6.9999999999999999E-6</v>
      </c>
      <c r="D5" s="496">
        <f t="shared" ref="D5:D6" si="1">IF(AND($G5="na",$H5="na",$I5="na"),"na",IF(AND(ISNUMBER($K5),MIN($G5:$I5)&lt;$K5),$K5,MIN($G5:$I5)))</f>
        <v>6.9999999999999999E-6</v>
      </c>
      <c r="E5" s="496"/>
      <c r="F5" s="502">
        <f>PW!O5</f>
        <v>0.21874999999999994</v>
      </c>
      <c r="G5" s="512">
        <f>SW!R5</f>
        <v>6.9999999999999999E-6</v>
      </c>
      <c r="H5" s="222">
        <f>Partit!E5</f>
        <v>2.3576915228111614E-3</v>
      </c>
      <c r="I5" s="520" t="str">
        <f>PW!P5</f>
        <v>na</v>
      </c>
      <c r="J5" s="520" t="s">
        <v>232</v>
      </c>
      <c r="K5" s="970" t="s">
        <v>232</v>
      </c>
      <c r="M5" s="1367" t="str">
        <f>IF($C5="na","",IF($C5=$F5,"X",""))</f>
        <v/>
      </c>
      <c r="N5" s="1368" t="str">
        <f>IF($C5="na","",IF($C5=$G5,"X",""))</f>
        <v>X</v>
      </c>
      <c r="O5" s="1368" t="str">
        <f>IF($C5="na","",IF($C5=$H5,"X",""))</f>
        <v/>
      </c>
      <c r="P5" s="1368" t="str">
        <f>IF($C5="na","",IF($C5=$I5,"X",""))</f>
        <v/>
      </c>
      <c r="Q5" s="1369" t="str">
        <f>IF($C5="na","",IF($C5=$K5,"X",""))</f>
        <v/>
      </c>
      <c r="R5" s="1367" t="str">
        <f>IF($D5="na","",IF($D5=$G5,"X",""))</f>
        <v>X</v>
      </c>
      <c r="S5" s="1368" t="str">
        <f>IF($D5="na","",IF($D5=$H5,"X",""))</f>
        <v/>
      </c>
      <c r="T5" s="1368" t="str">
        <f>IF($D5="na","",IF($D5=$I5,"X",""))</f>
        <v/>
      </c>
      <c r="U5" s="1369" t="str">
        <f>IF($D5="na","",IF($D5=$K5,"X",""))</f>
        <v/>
      </c>
      <c r="W5" s="1062"/>
    </row>
    <row r="6" spans="1:23" ht="13.9" customHeight="1" x14ac:dyDescent="0.25">
      <c r="A6" s="842">
        <f>Chem!A6</f>
        <v>4</v>
      </c>
      <c r="B6" s="951" t="str">
        <f>Chem!B6</f>
        <v>Total PCB TEQ</v>
      </c>
      <c r="C6" s="954">
        <f t="shared" si="0"/>
        <v>4.4252263187174422E-9</v>
      </c>
      <c r="D6" s="496">
        <f t="shared" si="1"/>
        <v>4.4252263187174422E-9</v>
      </c>
      <c r="E6" s="496"/>
      <c r="F6" s="502">
        <f>PW!O6</f>
        <v>3.365384615384615E-6</v>
      </c>
      <c r="G6" s="512">
        <f>SW!R6</f>
        <v>4.4252263187174422E-9</v>
      </c>
      <c r="H6" s="222">
        <f>Partit!E6</f>
        <v>4.7153830456223224E-7</v>
      </c>
      <c r="I6" s="520" t="str">
        <f>PW!P6</f>
        <v>na</v>
      </c>
      <c r="J6" s="520" t="s">
        <v>232</v>
      </c>
      <c r="K6" s="970" t="s">
        <v>232</v>
      </c>
      <c r="M6" s="1370" t="str">
        <f>IF($C6="na","",IF($C6=$F6,"X",""))</f>
        <v/>
      </c>
      <c r="N6" s="1371" t="str">
        <f>IF($C6="na","",IF($C6=$G6,"X",""))</f>
        <v>X</v>
      </c>
      <c r="O6" s="1371" t="str">
        <f>IF($C6="na","",IF($C6=$H6,"X",""))</f>
        <v/>
      </c>
      <c r="P6" s="1371" t="str">
        <f>IF($C6="na","",IF($C6=$I6,"X",""))</f>
        <v/>
      </c>
      <c r="Q6" s="1372" t="str">
        <f>IF($C6="na","",IF($C6=$K6,"X",""))</f>
        <v/>
      </c>
      <c r="R6" s="1370" t="str">
        <f>IF($D6="na","",IF($D6=$G6,"X",""))</f>
        <v>X</v>
      </c>
      <c r="S6" s="1371" t="str">
        <f>IF($D6="na","",IF($D6=$H6,"X",""))</f>
        <v/>
      </c>
      <c r="T6" s="1371" t="str">
        <f>IF($D6="na","",IF($D6=$I6,"X",""))</f>
        <v/>
      </c>
      <c r="U6" s="1372" t="str">
        <f>IF($D6="na","",IF($D6=$K6,"X",""))</f>
        <v/>
      </c>
      <c r="W6" s="1062"/>
    </row>
    <row r="7" spans="1:23" ht="13.9" customHeight="1" x14ac:dyDescent="0.25">
      <c r="A7" s="906">
        <f>Chem!A7</f>
        <v>5</v>
      </c>
      <c r="B7" s="953" t="str">
        <f>Chem!B7</f>
        <v xml:space="preserve">Dioxins/Furans </v>
      </c>
      <c r="C7" s="54"/>
      <c r="D7" s="54"/>
      <c r="E7" s="54"/>
      <c r="F7" s="54"/>
      <c r="G7" s="54"/>
      <c r="H7" s="29"/>
      <c r="I7" s="29"/>
      <c r="J7" s="29"/>
      <c r="K7" s="166"/>
      <c r="M7" s="26" t="str">
        <f>B7</f>
        <v xml:space="preserve">Dioxins/Furans </v>
      </c>
      <c r="N7" s="2331"/>
      <c r="O7" s="2331"/>
      <c r="P7" s="2331"/>
      <c r="Q7" s="2331"/>
      <c r="R7" s="2331"/>
      <c r="S7" s="2331"/>
      <c r="T7" s="2331"/>
      <c r="U7" s="2332"/>
      <c r="W7" s="1063"/>
    </row>
    <row r="8" spans="1:23" ht="13.9" customHeight="1" x14ac:dyDescent="0.25">
      <c r="A8" s="844">
        <f>Chem!A8</f>
        <v>6</v>
      </c>
      <c r="B8" s="951" t="str">
        <f>Chem!B8</f>
        <v>Total dioxin/furan TEQ</v>
      </c>
      <c r="C8" s="954">
        <f t="shared" ref="C8:C20" si="2">IF(AND($F8="na",$G8="na",$H8="na",$I8="na"),"na",IF(AND(ISNUMBER($K8),MIN($F8:$I8)&lt;$K8),$K8,MIN($F8:$I8)))</f>
        <v>5.1000000000000002E-9</v>
      </c>
      <c r="D8" s="496">
        <f t="shared" ref="D8:D20" si="3">IF(AND($G8="na",$H8="na",$I8="na"),"na",IF(AND(ISNUMBER($K8),MIN($G8:$I8)&lt;$K8),$K8,MIN($G8:$I8)))</f>
        <v>5.1000000000000002E-9</v>
      </c>
      <c r="E8" s="496"/>
      <c r="F8" s="502">
        <f>PW!O8</f>
        <v>3.365384615384615E-6</v>
      </c>
      <c r="G8" s="512">
        <f>SW!R8</f>
        <v>5.1000000000000002E-9</v>
      </c>
      <c r="H8" s="223">
        <f>Partit!E8</f>
        <v>4.2252007125676739E-7</v>
      </c>
      <c r="I8" s="521" t="str">
        <f>PW!P8</f>
        <v>na</v>
      </c>
      <c r="J8" s="521" t="s">
        <v>232</v>
      </c>
      <c r="K8" s="970" t="s">
        <v>232</v>
      </c>
      <c r="M8" s="1373" t="str">
        <f>IF($C8="na","",IF($C8=$F8,"X",""))</f>
        <v/>
      </c>
      <c r="N8" s="1374" t="str">
        <f>IF($C8="na","",IF($C8=$G8,"X",""))</f>
        <v>X</v>
      </c>
      <c r="O8" s="1374" t="str">
        <f>IF($C8="na","",IF($C8=$H8,"X",""))</f>
        <v/>
      </c>
      <c r="P8" s="1374" t="str">
        <f>IF($C8="na","",IF($C8=$I8,"X",""))</f>
        <v/>
      </c>
      <c r="Q8" s="1375" t="str">
        <f>IF($C8="na","",IF($C8=$K8,"X",""))</f>
        <v/>
      </c>
      <c r="R8" s="1373" t="str">
        <f>IF($D8="na","",IF($D8=$G8,"X",""))</f>
        <v>X</v>
      </c>
      <c r="S8" s="1374" t="str">
        <f>IF($D8="na","",IF($D8=$H8,"X",""))</f>
        <v/>
      </c>
      <c r="T8" s="1374" t="str">
        <f>IF($D8="na","",IF($D8=$I8,"X",""))</f>
        <v/>
      </c>
      <c r="U8" s="1375" t="str">
        <f>IF($D8="na","",IF($D8=$K8,"X",""))</f>
        <v/>
      </c>
      <c r="W8" s="1062"/>
    </row>
    <row r="9" spans="1:23" ht="13.9" customHeight="1" x14ac:dyDescent="0.25">
      <c r="A9" s="845">
        <f>Chem!A9</f>
        <v>7</v>
      </c>
      <c r="B9" s="951" t="str">
        <f>Chem!B9</f>
        <v>2,3,7,8-TCDD</v>
      </c>
      <c r="C9" s="954">
        <f t="shared" si="2"/>
        <v>5.1000000000000002E-9</v>
      </c>
      <c r="D9" s="496">
        <f t="shared" si="3"/>
        <v>5.1000000000000002E-9</v>
      </c>
      <c r="E9" s="496"/>
      <c r="F9" s="502">
        <f>PW!O9</f>
        <v>3.365384615384615E-6</v>
      </c>
      <c r="G9" s="512">
        <f>SW!R9</f>
        <v>5.1000000000000002E-9</v>
      </c>
      <c r="H9" s="223">
        <f>Partit!E9</f>
        <v>4.9233940168957463E-6</v>
      </c>
      <c r="I9" s="521" t="str">
        <f>PW!P9</f>
        <v>na</v>
      </c>
      <c r="J9" s="521" t="s">
        <v>232</v>
      </c>
      <c r="K9" s="970" t="s">
        <v>232</v>
      </c>
      <c r="M9" s="1377" t="str">
        <f>IF($C9="na","",IF($C9=$F9,"X",""))</f>
        <v/>
      </c>
      <c r="N9" s="1378" t="str">
        <f>IF($C9="na","",IF($C9=$G9,"X",""))</f>
        <v>X</v>
      </c>
      <c r="O9" s="1378" t="str">
        <f>IF($C9="na","",IF($C9=$H9,"X",""))</f>
        <v/>
      </c>
      <c r="P9" s="1378" t="str">
        <f>IF($C9="na","",IF($C9=$I9,"X",""))</f>
        <v/>
      </c>
      <c r="Q9" s="1379" t="str">
        <f>IF($C9="na","",IF($C9=$K9,"X",""))</f>
        <v/>
      </c>
      <c r="R9" s="1377" t="str">
        <f>IF($D9="na","",IF($D9=$G9,"X",""))</f>
        <v>X</v>
      </c>
      <c r="S9" s="1378" t="str">
        <f>IF($D9="na","",IF($D9=$H9,"X",""))</f>
        <v/>
      </c>
      <c r="T9" s="1378" t="str">
        <f>IF($D9="na","",IF($D9=$I9,"X",""))</f>
        <v/>
      </c>
      <c r="U9" s="1379" t="str">
        <f>IF($D9="na","",IF($D9=$K9,"X",""))</f>
        <v/>
      </c>
      <c r="W9" s="1062"/>
    </row>
    <row r="10" spans="1:23" s="199" customFormat="1" ht="13.9" customHeight="1" x14ac:dyDescent="0.2">
      <c r="A10" s="845">
        <f>Chem!A10</f>
        <v>8</v>
      </c>
      <c r="B10" s="951" t="str">
        <f>Chem!B10</f>
        <v>Total chlorinated dioxins</v>
      </c>
      <c r="C10" s="946" t="str">
        <f t="shared" si="2"/>
        <v>na</v>
      </c>
      <c r="D10" s="496" t="str">
        <f t="shared" si="3"/>
        <v>na</v>
      </c>
      <c r="E10" s="496"/>
      <c r="F10" s="502" t="str">
        <f>PW!O10</f>
        <v>na</v>
      </c>
      <c r="G10" s="512" t="str">
        <f>SW!R10</f>
        <v>na</v>
      </c>
      <c r="H10" s="223" t="str">
        <f>Partit!E10</f>
        <v>na</v>
      </c>
      <c r="I10" s="521" t="str">
        <f>PW!P10</f>
        <v>na</v>
      </c>
      <c r="J10" s="521" t="s">
        <v>232</v>
      </c>
      <c r="K10" s="970" t="s">
        <v>232</v>
      </c>
      <c r="M10" s="1367" t="str">
        <f>IF($C10="na","",IF($C10=$F10,"X",""))</f>
        <v/>
      </c>
      <c r="N10" s="1368" t="str">
        <f>IF($C10="na","",IF($C10=$G10,"X",""))</f>
        <v/>
      </c>
      <c r="O10" s="1368" t="str">
        <f>IF($C10="na","",IF($C10=$H10,"X",""))</f>
        <v/>
      </c>
      <c r="P10" s="1368" t="str">
        <f>IF($C10="na","",IF($C10=$I10,"X",""))</f>
        <v/>
      </c>
      <c r="Q10" s="1369" t="str">
        <f>IF($C10="na","",IF($C10=$K10,"X",""))</f>
        <v/>
      </c>
      <c r="R10" s="1367" t="str">
        <f>IF($D10="na","",IF($D10=$G10,"X",""))</f>
        <v/>
      </c>
      <c r="S10" s="1368" t="str">
        <f>IF($D10="na","",IF($D10=$H10,"X",""))</f>
        <v/>
      </c>
      <c r="T10" s="1368" t="str">
        <f>IF($D10="na","",IF($D10=$I10,"X",""))</f>
        <v/>
      </c>
      <c r="U10" s="1369" t="str">
        <f>IF($D10="na","",IF($D10=$K10,"X",""))</f>
        <v/>
      </c>
      <c r="W10" s="1064"/>
    </row>
    <row r="11" spans="1:23" s="199" customFormat="1" ht="13.9" customHeight="1" x14ac:dyDescent="0.2">
      <c r="A11" s="845">
        <f>Chem!A11</f>
        <v>9</v>
      </c>
      <c r="B11" s="951" t="str">
        <f>Chem!B11</f>
        <v>Total chlorinated furans</v>
      </c>
      <c r="C11" s="955" t="str">
        <f t="shared" si="2"/>
        <v>na</v>
      </c>
      <c r="D11" s="496" t="str">
        <f t="shared" si="3"/>
        <v>na</v>
      </c>
      <c r="E11" s="496"/>
      <c r="F11" s="502" t="str">
        <f>PW!O11</f>
        <v>na</v>
      </c>
      <c r="G11" s="512" t="str">
        <f>SW!R11</f>
        <v>na</v>
      </c>
      <c r="H11" s="223" t="str">
        <f>Partit!E11</f>
        <v>na</v>
      </c>
      <c r="I11" s="521" t="str">
        <f>PW!P11</f>
        <v>na</v>
      </c>
      <c r="J11" s="521" t="s">
        <v>232</v>
      </c>
      <c r="K11" s="970" t="s">
        <v>232</v>
      </c>
      <c r="M11" s="1370" t="str">
        <f>IF($C11="na","",IF($C11=$F11,"X",""))</f>
        <v/>
      </c>
      <c r="N11" s="1371" t="str">
        <f>IF($C11="na","",IF($C11=$G11,"X",""))</f>
        <v/>
      </c>
      <c r="O11" s="1371" t="str">
        <f>IF($C11="na","",IF($C11=$H11,"X",""))</f>
        <v/>
      </c>
      <c r="P11" s="1371" t="str">
        <f>IF($C11="na","",IF($C11=$I11,"X",""))</f>
        <v/>
      </c>
      <c r="Q11" s="1372" t="str">
        <f>IF($C11="na","",IF($C11=$K11,"X",""))</f>
        <v/>
      </c>
      <c r="R11" s="1370" t="str">
        <f>IF($D11="na","",IF($D11=$G11,"X",""))</f>
        <v/>
      </c>
      <c r="S11" s="1371" t="str">
        <f>IF($D11="na","",IF($D11=$H11,"X",""))</f>
        <v/>
      </c>
      <c r="T11" s="1371" t="str">
        <f>IF($D11="na","",IF($D11=$I11,"X",""))</f>
        <v/>
      </c>
      <c r="U11" s="1372" t="str">
        <f>IF($D11="na","",IF($D11=$K11,"X",""))</f>
        <v/>
      </c>
      <c r="W11" s="1064"/>
    </row>
    <row r="12" spans="1:23" s="199" customFormat="1" ht="13.9" customHeight="1" x14ac:dyDescent="0.25">
      <c r="A12" s="906">
        <f>Chem!A12</f>
        <v>10</v>
      </c>
      <c r="B12" s="953" t="str">
        <f>Chem!B12</f>
        <v>Inorganics</v>
      </c>
      <c r="C12" s="54"/>
      <c r="D12" s="54"/>
      <c r="E12" s="54"/>
      <c r="F12" s="54"/>
      <c r="G12" s="54"/>
      <c r="H12" s="29"/>
      <c r="I12" s="29"/>
      <c r="J12" s="29"/>
      <c r="K12" s="166"/>
      <c r="L12"/>
      <c r="M12" s="26" t="str">
        <f>B12</f>
        <v>Inorganics</v>
      </c>
      <c r="N12" s="2331"/>
      <c r="O12" s="2331"/>
      <c r="P12" s="2331"/>
      <c r="Q12" s="2331"/>
      <c r="R12" s="2331"/>
      <c r="S12" s="2331"/>
      <c r="T12" s="2331"/>
      <c r="U12" s="2332"/>
      <c r="V12" s="945"/>
      <c r="W12" s="1063"/>
    </row>
    <row r="13" spans="1:23" s="199" customFormat="1" ht="13.9" customHeight="1" x14ac:dyDescent="0.25">
      <c r="A13" s="2076">
        <f>Chem!A13</f>
        <v>11</v>
      </c>
      <c r="B13" s="1214" t="str">
        <f>Chem!B13</f>
        <v>Ammonia</v>
      </c>
      <c r="C13" s="2158">
        <f t="shared" si="2"/>
        <v>35</v>
      </c>
      <c r="D13" s="2158">
        <f t="shared" si="3"/>
        <v>35</v>
      </c>
      <c r="E13" s="2158"/>
      <c r="F13" s="2156" t="str">
        <f>PW!O13</f>
        <v>na</v>
      </c>
      <c r="G13" s="2154">
        <f>SW!R13</f>
        <v>35</v>
      </c>
      <c r="H13" s="2133" t="str">
        <f>Partit!E13</f>
        <v>na</v>
      </c>
      <c r="I13" s="2152" t="str">
        <f>PW!P13</f>
        <v>na</v>
      </c>
      <c r="J13" s="2152" t="s">
        <v>232</v>
      </c>
      <c r="K13" s="2150" t="s">
        <v>232</v>
      </c>
      <c r="L13" s="2120"/>
      <c r="M13" s="2122" t="str">
        <f t="shared" ref="M13:M14" si="4">IF($C13="na","",IF($C13=$F13,"X",""))</f>
        <v/>
      </c>
      <c r="N13" s="1374" t="str">
        <f t="shared" ref="N13:N14" si="5">IF($C13="na","",IF($C13=$G13,"X",""))</f>
        <v>X</v>
      </c>
      <c r="O13" s="1374" t="str">
        <f t="shared" ref="O13:O14" si="6">IF($C13="na","",IF($C13=$H13,"X",""))</f>
        <v/>
      </c>
      <c r="P13" s="1374" t="str">
        <f t="shared" ref="P13:P14" si="7">IF($C13="na","",IF($C13=$I13,"X",""))</f>
        <v/>
      </c>
      <c r="Q13" s="1374" t="str">
        <f t="shared" ref="Q13:Q14" si="8">IF($C13="na","",IF($C13=$K13,"X",""))</f>
        <v/>
      </c>
      <c r="R13" s="1374" t="str">
        <f t="shared" ref="R13:R14" si="9">IF($D13="na","",IF($D13=$G13,"X",""))</f>
        <v>X</v>
      </c>
      <c r="S13" s="1374" t="str">
        <f t="shared" ref="S13:S14" si="10">IF($D13="na","",IF($D13=$H13,"X",""))</f>
        <v/>
      </c>
      <c r="T13" s="1374" t="str">
        <f t="shared" ref="T13:T14" si="11">IF($D13="na","",IF($D13=$I13,"X",""))</f>
        <v/>
      </c>
      <c r="U13" s="1375" t="str">
        <f t="shared" ref="U13:U14" si="12">IF($D13="na","",IF($D13=$K13,"X",""))</f>
        <v/>
      </c>
      <c r="V13" s="945"/>
      <c r="W13" s="2107"/>
    </row>
    <row r="14" spans="1:23" s="199" customFormat="1" ht="13.9" customHeight="1" x14ac:dyDescent="0.25">
      <c r="A14" s="2079">
        <f>Chem!A14</f>
        <v>12</v>
      </c>
      <c r="B14" s="951" t="str">
        <f>Chem!B14</f>
        <v>Chloride</v>
      </c>
      <c r="C14" s="2159">
        <f t="shared" si="2"/>
        <v>250000</v>
      </c>
      <c r="D14" s="2159" t="str">
        <f t="shared" si="3"/>
        <v>na</v>
      </c>
      <c r="E14" s="2159"/>
      <c r="F14" s="2157">
        <f>PW!O14</f>
        <v>250000</v>
      </c>
      <c r="G14" s="2155" t="str">
        <f>SW!R14</f>
        <v>na</v>
      </c>
      <c r="H14" s="2134" t="str">
        <f>Partit!E14</f>
        <v>na</v>
      </c>
      <c r="I14" s="2153" t="str">
        <f>PW!P14</f>
        <v>na</v>
      </c>
      <c r="J14" s="2153" t="s">
        <v>232</v>
      </c>
      <c r="K14" s="2151" t="s">
        <v>232</v>
      </c>
      <c r="L14" s="2120"/>
      <c r="M14" s="2125" t="str">
        <f t="shared" si="4"/>
        <v>X</v>
      </c>
      <c r="N14" s="1368" t="str">
        <f t="shared" si="5"/>
        <v/>
      </c>
      <c r="O14" s="1368" t="str">
        <f t="shared" si="6"/>
        <v/>
      </c>
      <c r="P14" s="1368" t="str">
        <f t="shared" si="7"/>
        <v/>
      </c>
      <c r="Q14" s="1368" t="str">
        <f t="shared" si="8"/>
        <v/>
      </c>
      <c r="R14" s="1368" t="str">
        <f t="shared" si="9"/>
        <v/>
      </c>
      <c r="S14" s="1368" t="str">
        <f t="shared" si="10"/>
        <v/>
      </c>
      <c r="T14" s="1368" t="str">
        <f t="shared" si="11"/>
        <v/>
      </c>
      <c r="U14" s="1369" t="str">
        <f t="shared" si="12"/>
        <v/>
      </c>
      <c r="V14" s="945"/>
      <c r="W14" s="2107"/>
    </row>
    <row r="15" spans="1:23" s="199" customFormat="1" ht="13.9" customHeight="1" x14ac:dyDescent="0.2">
      <c r="A15" s="843">
        <f>Chem!A15</f>
        <v>13</v>
      </c>
      <c r="B15" s="950" t="str">
        <f>Chem!B15</f>
        <v>Cyanide (multiple forms, see notes)</v>
      </c>
      <c r="C15" s="956">
        <f t="shared" si="2"/>
        <v>1</v>
      </c>
      <c r="D15" s="2145">
        <f t="shared" si="3"/>
        <v>1</v>
      </c>
      <c r="E15" s="2145"/>
      <c r="F15" s="2146">
        <f>PW!O15</f>
        <v>5.04</v>
      </c>
      <c r="G15" s="2147">
        <f>SW!R15</f>
        <v>1</v>
      </c>
      <c r="H15" s="2148" t="str">
        <f>Partit!E15</f>
        <v>na</v>
      </c>
      <c r="I15" s="2149" t="str">
        <f>PW!P15</f>
        <v>na</v>
      </c>
      <c r="J15" s="2149" t="s">
        <v>232</v>
      </c>
      <c r="K15" s="975" t="s">
        <v>232</v>
      </c>
      <c r="M15" s="1377" t="str">
        <f t="shared" ref="M15:M20" si="13">IF($C15="na","",IF($C15=$F15,"X",""))</f>
        <v/>
      </c>
      <c r="N15" s="1378" t="str">
        <f t="shared" ref="N15:N20" si="14">IF($C15="na","",IF($C15=$G15,"X",""))</f>
        <v>X</v>
      </c>
      <c r="O15" s="1378" t="str">
        <f t="shared" ref="O15:O20" si="15">IF($C15="na","",IF($C15=$H15,"X",""))</f>
        <v/>
      </c>
      <c r="P15" s="1378" t="str">
        <f t="shared" ref="P15:P20" si="16">IF($C15="na","",IF($C15=$I15,"X",""))</f>
        <v/>
      </c>
      <c r="Q15" s="1379" t="str">
        <f t="shared" ref="Q15:Q20" si="17">IF($C15="na","",IF($C15=$K15,"X",""))</f>
        <v/>
      </c>
      <c r="R15" s="1377" t="str">
        <f t="shared" ref="R15:R20" si="18">IF($D15="na","",IF($D15=$G15,"X",""))</f>
        <v>X</v>
      </c>
      <c r="S15" s="1378" t="str">
        <f t="shared" ref="S15:S20" si="19">IF($D15="na","",IF($D15=$H15,"X",""))</f>
        <v/>
      </c>
      <c r="T15" s="1378" t="str">
        <f t="shared" ref="T15:T20" si="20">IF($D15="na","",IF($D15=$I15,"X",""))</f>
        <v/>
      </c>
      <c r="U15" s="1379" t="str">
        <f t="shared" ref="U15:U20" si="21">IF($D15="na","",IF($D15=$K15,"X",""))</f>
        <v/>
      </c>
      <c r="W15" s="1064"/>
    </row>
    <row r="16" spans="1:23" s="199" customFormat="1" ht="13.9" customHeight="1" x14ac:dyDescent="0.2">
      <c r="A16" s="843">
        <f>Chem!A16</f>
        <v>14</v>
      </c>
      <c r="B16" s="951" t="str">
        <f>Chem!B16</f>
        <v>Fluoride</v>
      </c>
      <c r="C16" s="946">
        <f t="shared" si="2"/>
        <v>960</v>
      </c>
      <c r="D16" s="496" t="str">
        <f t="shared" si="3"/>
        <v>na</v>
      </c>
      <c r="E16" s="496"/>
      <c r="F16" s="502">
        <f>PW!O16</f>
        <v>960</v>
      </c>
      <c r="G16" s="512" t="str">
        <f>SW!R16</f>
        <v>na</v>
      </c>
      <c r="H16" s="223" t="str">
        <f>Partit!E16</f>
        <v>na</v>
      </c>
      <c r="I16" s="521" t="str">
        <f>PW!P16</f>
        <v>na</v>
      </c>
      <c r="J16" s="521" t="s">
        <v>232</v>
      </c>
      <c r="K16" s="970" t="s">
        <v>232</v>
      </c>
      <c r="M16" s="1377" t="str">
        <f t="shared" si="13"/>
        <v>X</v>
      </c>
      <c r="N16" s="1378" t="str">
        <f t="shared" si="14"/>
        <v/>
      </c>
      <c r="O16" s="1378" t="str">
        <f t="shared" si="15"/>
        <v/>
      </c>
      <c r="P16" s="1378" t="str">
        <f t="shared" si="16"/>
        <v/>
      </c>
      <c r="Q16" s="1379" t="str">
        <f t="shared" si="17"/>
        <v/>
      </c>
      <c r="R16" s="1377" t="str">
        <f t="shared" si="18"/>
        <v/>
      </c>
      <c r="S16" s="1378" t="str">
        <f t="shared" si="19"/>
        <v/>
      </c>
      <c r="T16" s="1378" t="str">
        <f t="shared" si="20"/>
        <v/>
      </c>
      <c r="U16" s="1379" t="str">
        <f t="shared" si="21"/>
        <v/>
      </c>
      <c r="W16" s="1064"/>
    </row>
    <row r="17" spans="1:23" s="199" customFormat="1" ht="13.9" customHeight="1" x14ac:dyDescent="0.2">
      <c r="A17" s="1069">
        <f>Chem!A17</f>
        <v>15</v>
      </c>
      <c r="B17" s="951" t="str">
        <f>Chem!B17</f>
        <v>Nitrate</v>
      </c>
      <c r="C17" s="946">
        <f t="shared" si="2"/>
        <v>10000</v>
      </c>
      <c r="D17" s="496" t="str">
        <f t="shared" si="3"/>
        <v>na</v>
      </c>
      <c r="E17" s="496"/>
      <c r="F17" s="502">
        <f>PW!O17</f>
        <v>10000</v>
      </c>
      <c r="G17" s="512" t="str">
        <f>SW!R17</f>
        <v>na</v>
      </c>
      <c r="H17" s="223" t="str">
        <f>Partit!E17</f>
        <v>na</v>
      </c>
      <c r="I17" s="521" t="str">
        <f>PW!P17</f>
        <v>na</v>
      </c>
      <c r="J17" s="521" t="s">
        <v>232</v>
      </c>
      <c r="K17" s="970" t="s">
        <v>232</v>
      </c>
      <c r="M17" s="1367" t="str">
        <f t="shared" si="13"/>
        <v>X</v>
      </c>
      <c r="N17" s="1368" t="str">
        <f t="shared" si="14"/>
        <v/>
      </c>
      <c r="O17" s="1368" t="str">
        <f t="shared" si="15"/>
        <v/>
      </c>
      <c r="P17" s="1368" t="str">
        <f t="shared" si="16"/>
        <v/>
      </c>
      <c r="Q17" s="1369" t="str">
        <f t="shared" si="17"/>
        <v/>
      </c>
      <c r="R17" s="1367" t="str">
        <f t="shared" si="18"/>
        <v/>
      </c>
      <c r="S17" s="1368" t="str">
        <f t="shared" si="19"/>
        <v/>
      </c>
      <c r="T17" s="1368" t="str">
        <f t="shared" si="20"/>
        <v/>
      </c>
      <c r="U17" s="1369" t="str">
        <f t="shared" si="21"/>
        <v/>
      </c>
      <c r="W17" s="1064"/>
    </row>
    <row r="18" spans="1:23" s="199" customFormat="1" ht="13.9" customHeight="1" x14ac:dyDescent="0.2">
      <c r="A18" s="844">
        <f>Chem!A18</f>
        <v>16</v>
      </c>
      <c r="B18" s="951" t="str">
        <f>Chem!B18</f>
        <v>Nitrite</v>
      </c>
      <c r="C18" s="946">
        <f t="shared" si="2"/>
        <v>1000</v>
      </c>
      <c r="D18" s="496" t="str">
        <f t="shared" si="3"/>
        <v>na</v>
      </c>
      <c r="E18" s="496"/>
      <c r="F18" s="502">
        <f>PW!O18</f>
        <v>1000</v>
      </c>
      <c r="G18" s="512" t="str">
        <f>SW!R18</f>
        <v>na</v>
      </c>
      <c r="H18" s="223" t="str">
        <f>Partit!E18</f>
        <v>na</v>
      </c>
      <c r="I18" s="521" t="str">
        <f>PW!P18</f>
        <v>na</v>
      </c>
      <c r="J18" s="521" t="s">
        <v>232</v>
      </c>
      <c r="K18" s="970" t="s">
        <v>232</v>
      </c>
      <c r="M18" s="1367" t="str">
        <f t="shared" si="13"/>
        <v>X</v>
      </c>
      <c r="N18" s="1368" t="str">
        <f t="shared" si="14"/>
        <v/>
      </c>
      <c r="O18" s="1368" t="str">
        <f t="shared" si="15"/>
        <v/>
      </c>
      <c r="P18" s="1368" t="str">
        <f t="shared" si="16"/>
        <v/>
      </c>
      <c r="Q18" s="1369" t="str">
        <f t="shared" si="17"/>
        <v/>
      </c>
      <c r="R18" s="1367" t="str">
        <f t="shared" si="18"/>
        <v/>
      </c>
      <c r="S18" s="1368" t="str">
        <f t="shared" si="19"/>
        <v/>
      </c>
      <c r="T18" s="1368" t="str">
        <f t="shared" si="20"/>
        <v/>
      </c>
      <c r="U18" s="1369" t="str">
        <f t="shared" si="21"/>
        <v/>
      </c>
      <c r="W18" s="1064"/>
    </row>
    <row r="19" spans="1:23" s="199" customFormat="1" ht="13.9" customHeight="1" x14ac:dyDescent="0.2">
      <c r="A19" s="1321">
        <f>Chem!A19</f>
        <v>17</v>
      </c>
      <c r="B19" s="951" t="str">
        <f>Chem!B19</f>
        <v>Sulfate</v>
      </c>
      <c r="C19" s="463">
        <f t="shared" si="2"/>
        <v>250000</v>
      </c>
      <c r="D19" s="463" t="str">
        <f t="shared" si="3"/>
        <v>na</v>
      </c>
      <c r="E19" s="463"/>
      <c r="F19" s="501">
        <f>PW!O19</f>
        <v>250000</v>
      </c>
      <c r="G19" s="231" t="str">
        <f>SW!R19</f>
        <v>na</v>
      </c>
      <c r="H19" s="1365" t="str">
        <f>Partit!E19</f>
        <v>na</v>
      </c>
      <c r="I19" s="1358" t="str">
        <f>PW!P19</f>
        <v>na</v>
      </c>
      <c r="J19" s="1526" t="s">
        <v>232</v>
      </c>
      <c r="K19" s="970" t="s">
        <v>232</v>
      </c>
      <c r="M19" s="1367" t="str">
        <f t="shared" si="13"/>
        <v>X</v>
      </c>
      <c r="N19" s="1368" t="str">
        <f t="shared" si="14"/>
        <v/>
      </c>
      <c r="O19" s="1368" t="str">
        <f t="shared" si="15"/>
        <v/>
      </c>
      <c r="P19" s="1368" t="str">
        <f t="shared" si="16"/>
        <v/>
      </c>
      <c r="Q19" s="1369" t="str">
        <f t="shared" si="17"/>
        <v/>
      </c>
      <c r="R19" s="1367" t="str">
        <f t="shared" si="18"/>
        <v/>
      </c>
      <c r="S19" s="1368" t="str">
        <f t="shared" si="19"/>
        <v/>
      </c>
      <c r="T19" s="1368" t="str">
        <f t="shared" si="20"/>
        <v/>
      </c>
      <c r="U19" s="1369" t="str">
        <f t="shared" si="21"/>
        <v/>
      </c>
      <c r="W19" s="1064"/>
    </row>
    <row r="20" spans="1:23" s="199" customFormat="1" ht="13.9" customHeight="1" x14ac:dyDescent="0.2">
      <c r="A20" s="1322">
        <f>Chem!A20</f>
        <v>18</v>
      </c>
      <c r="B20" s="1166" t="str">
        <f>Chem!B20</f>
        <v>Sulfide</v>
      </c>
      <c r="C20" s="499" t="str">
        <f t="shared" si="2"/>
        <v>na</v>
      </c>
      <c r="D20" s="499" t="str">
        <f t="shared" si="3"/>
        <v>na</v>
      </c>
      <c r="E20" s="499"/>
      <c r="F20" s="506" t="str">
        <f>PW!O20</f>
        <v>na</v>
      </c>
      <c r="G20" s="470" t="str">
        <f>SW!R20</f>
        <v>na</v>
      </c>
      <c r="H20" s="1366" t="str">
        <f>Partit!E20</f>
        <v>na</v>
      </c>
      <c r="I20" s="1359" t="str">
        <f>PW!P20</f>
        <v>na</v>
      </c>
      <c r="J20" s="1527" t="s">
        <v>232</v>
      </c>
      <c r="K20" s="1169" t="s">
        <v>232</v>
      </c>
      <c r="M20" s="1370" t="str">
        <f t="shared" si="13"/>
        <v/>
      </c>
      <c r="N20" s="1371" t="str">
        <f t="shared" si="14"/>
        <v/>
      </c>
      <c r="O20" s="1371" t="str">
        <f t="shared" si="15"/>
        <v/>
      </c>
      <c r="P20" s="1371" t="str">
        <f t="shared" si="16"/>
        <v/>
      </c>
      <c r="Q20" s="1372" t="str">
        <f t="shared" si="17"/>
        <v/>
      </c>
      <c r="R20" s="1370" t="str">
        <f t="shared" si="18"/>
        <v/>
      </c>
      <c r="S20" s="1371" t="str">
        <f t="shared" si="19"/>
        <v/>
      </c>
      <c r="T20" s="1371" t="str">
        <f t="shared" si="20"/>
        <v/>
      </c>
      <c r="U20" s="1372" t="str">
        <f t="shared" si="21"/>
        <v/>
      </c>
      <c r="W20" s="1064"/>
    </row>
    <row r="21" spans="1:23" ht="13.9" customHeight="1" x14ac:dyDescent="0.25">
      <c r="A21" s="906">
        <f>Chem!A21</f>
        <v>19</v>
      </c>
      <c r="B21" s="953" t="str">
        <f>Chem!B21</f>
        <v>Metals</v>
      </c>
      <c r="C21" s="54"/>
      <c r="D21" s="54"/>
      <c r="E21" s="54"/>
      <c r="F21" s="54"/>
      <c r="G21" s="54"/>
      <c r="H21" s="29"/>
      <c r="I21" s="29"/>
      <c r="J21" s="29"/>
      <c r="K21" s="166"/>
      <c r="M21" s="26" t="str">
        <f>B21</f>
        <v>Metals</v>
      </c>
      <c r="N21" s="2331"/>
      <c r="O21" s="2331"/>
      <c r="P21" s="2331"/>
      <c r="Q21" s="2331"/>
      <c r="R21" s="2331"/>
      <c r="S21" s="2331"/>
      <c r="T21" s="2331"/>
      <c r="U21" s="2332"/>
      <c r="W21" s="1063"/>
    </row>
    <row r="22" spans="1:23" ht="13.9" customHeight="1" x14ac:dyDescent="0.25">
      <c r="A22" s="846">
        <f>Chem!A22</f>
        <v>20</v>
      </c>
      <c r="B22" s="951" t="str">
        <f>Chem!B22</f>
        <v>Aluminum</v>
      </c>
      <c r="C22" s="946">
        <f t="shared" ref="C22:C45" si="22">IF(AND($F22="na",$G22="na",$H22="na",$I22="na"),"na",IF(AND(ISNUMBER($K22),MIN($F22:$I22)&lt;$K22),$K22,MIN($F22:$I22)))</f>
        <v>16000</v>
      </c>
      <c r="D22" s="463" t="str">
        <f t="shared" ref="D22:D45" si="23">IF(AND($G22="na",$H22="na",$I22="na"),"na",IF(AND(ISNUMBER($K22),MIN($G22:$I22)&lt;$K22),$K22,MIN($G22:$I22)))</f>
        <v>na</v>
      </c>
      <c r="E22" s="463"/>
      <c r="F22" s="501">
        <f>PW!O22</f>
        <v>16000</v>
      </c>
      <c r="G22" s="511" t="str">
        <f>SW!R22</f>
        <v>na</v>
      </c>
      <c r="H22" s="222" t="str">
        <f>Partit!E22</f>
        <v>na</v>
      </c>
      <c r="I22" s="520" t="str">
        <f>PW!P22</f>
        <v>na</v>
      </c>
      <c r="J22" s="520" t="s">
        <v>232</v>
      </c>
      <c r="K22" s="970" t="s">
        <v>232</v>
      </c>
      <c r="M22" s="1373" t="str">
        <f t="shared" ref="M22:M45" si="24">IF($C22="na","",IF($C22=$F22,"X",""))</f>
        <v>X</v>
      </c>
      <c r="N22" s="1374" t="str">
        <f t="shared" ref="N22:N45" si="25">IF($C22="na","",IF($C22=$G22,"X",""))</f>
        <v/>
      </c>
      <c r="O22" s="1374" t="str">
        <f t="shared" ref="O22:O45" si="26">IF($C22="na","",IF($C22=$H22,"X",""))</f>
        <v/>
      </c>
      <c r="P22" s="1374" t="str">
        <f t="shared" ref="P22:P45" si="27">IF($C22="na","",IF($C22=$I22,"X",""))</f>
        <v/>
      </c>
      <c r="Q22" s="1375" t="str">
        <f t="shared" ref="Q22:Q45" si="28">IF($C22="na","",IF($C22=$K22,"X",""))</f>
        <v/>
      </c>
      <c r="R22" s="1373" t="str">
        <f t="shared" ref="R22:R45" si="29">IF($D22="na","",IF($D22=$G22,"X",""))</f>
        <v/>
      </c>
      <c r="S22" s="1374" t="str">
        <f t="shared" ref="S22:S45" si="30">IF($D22="na","",IF($D22=$H22,"X",""))</f>
        <v/>
      </c>
      <c r="T22" s="1374" t="str">
        <f t="shared" ref="T22:T45" si="31">IF($D22="na","",IF($D22=$I22,"X",""))</f>
        <v/>
      </c>
      <c r="U22" s="1375" t="str">
        <f t="shared" ref="U22:U45" si="32">IF($D22="na","",IF($D22=$K22,"X",""))</f>
        <v/>
      </c>
      <c r="W22" s="1062"/>
    </row>
    <row r="23" spans="1:23" ht="13.9" customHeight="1" x14ac:dyDescent="0.25">
      <c r="A23" s="847">
        <f>Chem!A23</f>
        <v>21</v>
      </c>
      <c r="B23" s="951" t="str">
        <f>Chem!B23</f>
        <v>Antimony</v>
      </c>
      <c r="C23" s="946">
        <f t="shared" si="22"/>
        <v>6</v>
      </c>
      <c r="D23" s="463">
        <f t="shared" si="23"/>
        <v>90</v>
      </c>
      <c r="E23" s="463"/>
      <c r="F23" s="501">
        <f>PW!O23</f>
        <v>6</v>
      </c>
      <c r="G23" s="511">
        <f>SW!R23</f>
        <v>90</v>
      </c>
      <c r="H23" s="222" t="str">
        <f>Partit!E23</f>
        <v>na</v>
      </c>
      <c r="I23" s="520" t="str">
        <f>PW!P23</f>
        <v>na</v>
      </c>
      <c r="J23" s="520" t="s">
        <v>232</v>
      </c>
      <c r="K23" s="970" t="s">
        <v>232</v>
      </c>
      <c r="M23" s="1367" t="str">
        <f t="shared" si="24"/>
        <v>X</v>
      </c>
      <c r="N23" s="1368" t="str">
        <f t="shared" si="25"/>
        <v/>
      </c>
      <c r="O23" s="1368" t="str">
        <f t="shared" si="26"/>
        <v/>
      </c>
      <c r="P23" s="1368" t="str">
        <f t="shared" si="27"/>
        <v/>
      </c>
      <c r="Q23" s="1369" t="str">
        <f t="shared" si="28"/>
        <v/>
      </c>
      <c r="R23" s="1367" t="str">
        <f t="shared" si="29"/>
        <v>X</v>
      </c>
      <c r="S23" s="1368" t="str">
        <f t="shared" si="30"/>
        <v/>
      </c>
      <c r="T23" s="1368" t="str">
        <f t="shared" si="31"/>
        <v/>
      </c>
      <c r="U23" s="1369" t="str">
        <f t="shared" si="32"/>
        <v/>
      </c>
      <c r="W23" s="1062"/>
    </row>
    <row r="24" spans="1:23" ht="13.9" customHeight="1" x14ac:dyDescent="0.25">
      <c r="A24" s="847">
        <f>Chem!A24</f>
        <v>22</v>
      </c>
      <c r="B24" s="951" t="str">
        <f>Chem!B24</f>
        <v>Arsenic</v>
      </c>
      <c r="C24" s="946">
        <f t="shared" si="22"/>
        <v>8</v>
      </c>
      <c r="D24" s="463">
        <f t="shared" si="23"/>
        <v>8</v>
      </c>
      <c r="E24" s="463"/>
      <c r="F24" s="501">
        <f>PW!O24</f>
        <v>2.7343749999999993E-2</v>
      </c>
      <c r="G24" s="511">
        <f>SW!R24</f>
        <v>1.2747668997668996E-2</v>
      </c>
      <c r="H24" s="222">
        <f>Partit!E24</f>
        <v>221.49837133550486</v>
      </c>
      <c r="I24" s="520" t="str">
        <f>PW!P24</f>
        <v>na</v>
      </c>
      <c r="J24" s="520" t="s">
        <v>232</v>
      </c>
      <c r="K24" s="970">
        <v>8</v>
      </c>
      <c r="M24" s="1367" t="str">
        <f t="shared" si="24"/>
        <v/>
      </c>
      <c r="N24" s="1368" t="str">
        <f t="shared" si="25"/>
        <v/>
      </c>
      <c r="O24" s="1368" t="str">
        <f t="shared" si="26"/>
        <v/>
      </c>
      <c r="P24" s="1368" t="str">
        <f t="shared" si="27"/>
        <v/>
      </c>
      <c r="Q24" s="1369" t="str">
        <f t="shared" si="28"/>
        <v>X</v>
      </c>
      <c r="R24" s="1367" t="str">
        <f t="shared" si="29"/>
        <v/>
      </c>
      <c r="S24" s="1368" t="str">
        <f t="shared" si="30"/>
        <v/>
      </c>
      <c r="T24" s="1368" t="str">
        <f t="shared" si="31"/>
        <v/>
      </c>
      <c r="U24" s="1369" t="str">
        <f t="shared" si="32"/>
        <v>X</v>
      </c>
      <c r="W24" s="1062"/>
    </row>
    <row r="25" spans="1:23" ht="13.9" customHeight="1" x14ac:dyDescent="0.25">
      <c r="A25" s="847">
        <f>Chem!A25</f>
        <v>23</v>
      </c>
      <c r="B25" s="951" t="str">
        <f>Chem!B25</f>
        <v>Barium</v>
      </c>
      <c r="C25" s="946">
        <f t="shared" si="22"/>
        <v>200</v>
      </c>
      <c r="D25" s="463">
        <f t="shared" si="23"/>
        <v>200</v>
      </c>
      <c r="E25" s="463"/>
      <c r="F25" s="501">
        <f>PW!O25</f>
        <v>2000</v>
      </c>
      <c r="G25" s="511">
        <f>SW!R25</f>
        <v>200</v>
      </c>
      <c r="H25" s="222" t="str">
        <f>Partit!E25</f>
        <v>na</v>
      </c>
      <c r="I25" s="520" t="str">
        <f>PW!P25</f>
        <v>na</v>
      </c>
      <c r="J25" s="520" t="s">
        <v>232</v>
      </c>
      <c r="K25" s="970" t="s">
        <v>232</v>
      </c>
      <c r="M25" s="1367" t="str">
        <f t="shared" si="24"/>
        <v/>
      </c>
      <c r="N25" s="1368" t="str">
        <f t="shared" si="25"/>
        <v>X</v>
      </c>
      <c r="O25" s="1368" t="str">
        <f t="shared" si="26"/>
        <v/>
      </c>
      <c r="P25" s="1368" t="str">
        <f t="shared" si="27"/>
        <v/>
      </c>
      <c r="Q25" s="1369" t="str">
        <f t="shared" si="28"/>
        <v/>
      </c>
      <c r="R25" s="1367" t="str">
        <f t="shared" si="29"/>
        <v>X</v>
      </c>
      <c r="S25" s="1368" t="str">
        <f t="shared" si="30"/>
        <v/>
      </c>
      <c r="T25" s="1368" t="str">
        <f t="shared" si="31"/>
        <v/>
      </c>
      <c r="U25" s="1369" t="str">
        <f t="shared" si="32"/>
        <v/>
      </c>
      <c r="W25" s="1062"/>
    </row>
    <row r="26" spans="1:23" ht="13.9" customHeight="1" x14ac:dyDescent="0.25">
      <c r="A26" s="847">
        <f>Chem!A26</f>
        <v>24</v>
      </c>
      <c r="B26" s="951" t="str">
        <f>Chem!B26</f>
        <v>Beryllium</v>
      </c>
      <c r="C26" s="946">
        <f t="shared" si="22"/>
        <v>4</v>
      </c>
      <c r="D26" s="463">
        <f t="shared" si="23"/>
        <v>75.573549257759794</v>
      </c>
      <c r="E26" s="463"/>
      <c r="F26" s="501">
        <f>PW!O26</f>
        <v>4</v>
      </c>
      <c r="G26" s="511">
        <f>SW!R26</f>
        <v>75.573549257759794</v>
      </c>
      <c r="H26" s="222" t="str">
        <f>Partit!E26</f>
        <v>na</v>
      </c>
      <c r="I26" s="520" t="str">
        <f>PW!P26</f>
        <v>na</v>
      </c>
      <c r="J26" s="520" t="s">
        <v>232</v>
      </c>
      <c r="K26" s="970" t="s">
        <v>232</v>
      </c>
      <c r="M26" s="1367" t="str">
        <f t="shared" si="24"/>
        <v>X</v>
      </c>
      <c r="N26" s="1368" t="str">
        <f t="shared" si="25"/>
        <v/>
      </c>
      <c r="O26" s="1368" t="str">
        <f t="shared" si="26"/>
        <v/>
      </c>
      <c r="P26" s="1368" t="str">
        <f t="shared" si="27"/>
        <v/>
      </c>
      <c r="Q26" s="1369" t="str">
        <f t="shared" si="28"/>
        <v/>
      </c>
      <c r="R26" s="1367" t="str">
        <f t="shared" si="29"/>
        <v>X</v>
      </c>
      <c r="S26" s="1368" t="str">
        <f t="shared" si="30"/>
        <v/>
      </c>
      <c r="T26" s="1368" t="str">
        <f t="shared" si="31"/>
        <v/>
      </c>
      <c r="U26" s="1369" t="str">
        <f t="shared" si="32"/>
        <v/>
      </c>
      <c r="W26" s="1062"/>
    </row>
    <row r="27" spans="1:23" ht="13.9" customHeight="1" x14ac:dyDescent="0.25">
      <c r="A27" s="847">
        <f>Chem!A27</f>
        <v>25</v>
      </c>
      <c r="B27" s="951" t="str">
        <f>Chem!B27</f>
        <v>Cadmium</v>
      </c>
      <c r="C27" s="946">
        <f t="shared" si="22"/>
        <v>1.1858802288324823</v>
      </c>
      <c r="D27" s="463">
        <f t="shared" si="23"/>
        <v>1.1858802288324823</v>
      </c>
      <c r="E27" s="463"/>
      <c r="F27" s="501">
        <f>PW!O27</f>
        <v>5</v>
      </c>
      <c r="G27" s="511">
        <f>SW!R27</f>
        <v>7.9</v>
      </c>
      <c r="H27" s="222">
        <f>Partit!E27</f>
        <v>1.1858802288324823</v>
      </c>
      <c r="I27" s="520" t="str">
        <f>PW!P27</f>
        <v>na</v>
      </c>
      <c r="J27" s="520" t="s">
        <v>232</v>
      </c>
      <c r="K27" s="970" t="s">
        <v>232</v>
      </c>
      <c r="M27" s="1367" t="str">
        <f t="shared" si="24"/>
        <v/>
      </c>
      <c r="N27" s="1368" t="str">
        <f t="shared" si="25"/>
        <v/>
      </c>
      <c r="O27" s="1368" t="str">
        <f t="shared" si="26"/>
        <v>X</v>
      </c>
      <c r="P27" s="1368" t="str">
        <f t="shared" si="27"/>
        <v/>
      </c>
      <c r="Q27" s="1369" t="str">
        <f t="shared" si="28"/>
        <v/>
      </c>
      <c r="R27" s="1367" t="str">
        <f t="shared" si="29"/>
        <v/>
      </c>
      <c r="S27" s="1368" t="str">
        <f t="shared" si="30"/>
        <v>X</v>
      </c>
      <c r="T27" s="1368" t="str">
        <f t="shared" si="31"/>
        <v/>
      </c>
      <c r="U27" s="1369" t="str">
        <f t="shared" si="32"/>
        <v/>
      </c>
      <c r="W27" s="1062"/>
    </row>
    <row r="28" spans="1:23" ht="13.9" customHeight="1" x14ac:dyDescent="0.25">
      <c r="A28" s="847">
        <f>Chem!A28</f>
        <v>26</v>
      </c>
      <c r="B28" s="951" t="str">
        <f>Chem!B28</f>
        <v>Chromium, total</v>
      </c>
      <c r="C28" s="946">
        <f t="shared" si="22"/>
        <v>100</v>
      </c>
      <c r="D28" s="463" t="str">
        <f t="shared" si="23"/>
        <v>na</v>
      </c>
      <c r="E28" s="463"/>
      <c r="F28" s="501">
        <f>PW!O28</f>
        <v>100</v>
      </c>
      <c r="G28" s="511" t="str">
        <f>SW!R28</f>
        <v>na</v>
      </c>
      <c r="H28" s="222" t="str">
        <f>Partit!E28</f>
        <v>na</v>
      </c>
      <c r="I28" s="520" t="str">
        <f>PW!P28</f>
        <v>na</v>
      </c>
      <c r="J28" s="520" t="s">
        <v>232</v>
      </c>
      <c r="K28" s="970" t="s">
        <v>232</v>
      </c>
      <c r="M28" s="1367" t="str">
        <f t="shared" si="24"/>
        <v>X</v>
      </c>
      <c r="N28" s="1368" t="str">
        <f t="shared" si="25"/>
        <v/>
      </c>
      <c r="O28" s="1368" t="str">
        <f t="shared" si="26"/>
        <v/>
      </c>
      <c r="P28" s="1368" t="str">
        <f t="shared" si="27"/>
        <v/>
      </c>
      <c r="Q28" s="1369" t="str">
        <f t="shared" si="28"/>
        <v/>
      </c>
      <c r="R28" s="1367" t="str">
        <f t="shared" si="29"/>
        <v/>
      </c>
      <c r="S28" s="1368" t="str">
        <f t="shared" si="30"/>
        <v/>
      </c>
      <c r="T28" s="1368" t="str">
        <f t="shared" si="31"/>
        <v/>
      </c>
      <c r="U28" s="1369" t="str">
        <f t="shared" si="32"/>
        <v/>
      </c>
      <c r="W28" s="1062"/>
    </row>
    <row r="29" spans="1:23" ht="13.9" customHeight="1" x14ac:dyDescent="0.25">
      <c r="A29" s="847">
        <f>Chem!A29</f>
        <v>27</v>
      </c>
      <c r="B29" s="951" t="str">
        <f>Chem!B29</f>
        <v>Chromium, trivalent</v>
      </c>
      <c r="C29" s="946">
        <f t="shared" si="22"/>
        <v>27.4</v>
      </c>
      <c r="D29" s="463">
        <f t="shared" si="23"/>
        <v>27.4</v>
      </c>
      <c r="E29" s="463"/>
      <c r="F29" s="501">
        <f>PW!O29</f>
        <v>24000</v>
      </c>
      <c r="G29" s="511">
        <f>SW!R29</f>
        <v>27.4</v>
      </c>
      <c r="H29" s="222" t="str">
        <f>Partit!E29</f>
        <v>na</v>
      </c>
      <c r="I29" s="520" t="str">
        <f>PW!P29</f>
        <v>na</v>
      </c>
      <c r="J29" s="520" t="s">
        <v>232</v>
      </c>
      <c r="K29" s="970" t="s">
        <v>232</v>
      </c>
      <c r="M29" s="1367" t="str">
        <f t="shared" si="24"/>
        <v/>
      </c>
      <c r="N29" s="1368" t="str">
        <f t="shared" si="25"/>
        <v>X</v>
      </c>
      <c r="O29" s="1368" t="str">
        <f t="shared" si="26"/>
        <v/>
      </c>
      <c r="P29" s="1368" t="str">
        <f t="shared" si="27"/>
        <v/>
      </c>
      <c r="Q29" s="1369" t="str">
        <f t="shared" si="28"/>
        <v/>
      </c>
      <c r="R29" s="1367" t="str">
        <f t="shared" si="29"/>
        <v>X</v>
      </c>
      <c r="S29" s="1368" t="str">
        <f t="shared" si="30"/>
        <v/>
      </c>
      <c r="T29" s="1368" t="str">
        <f t="shared" si="31"/>
        <v/>
      </c>
      <c r="U29" s="1369" t="str">
        <f t="shared" si="32"/>
        <v/>
      </c>
      <c r="W29" s="1062"/>
    </row>
    <row r="30" spans="1:23" ht="13.9" customHeight="1" x14ac:dyDescent="0.25">
      <c r="A30" s="847">
        <f>Chem!A30</f>
        <v>28</v>
      </c>
      <c r="B30" s="951" t="str">
        <f>Chem!B30</f>
        <v>Chromium, hexavalent</v>
      </c>
      <c r="C30" s="946">
        <f t="shared" si="22"/>
        <v>1.4</v>
      </c>
      <c r="D30" s="463">
        <f t="shared" si="23"/>
        <v>1.6151726557700139</v>
      </c>
      <c r="E30" s="463"/>
      <c r="F30" s="501">
        <f>PW!O30</f>
        <v>1.4</v>
      </c>
      <c r="G30" s="511">
        <f>SW!R30</f>
        <v>1.6151726557700139</v>
      </c>
      <c r="H30" s="222" t="str">
        <f>Partit!E30</f>
        <v>na</v>
      </c>
      <c r="I30" s="520" t="str">
        <f>PW!P30</f>
        <v>na</v>
      </c>
      <c r="J30" s="520" t="s">
        <v>232</v>
      </c>
      <c r="K30" s="970" t="s">
        <v>232</v>
      </c>
      <c r="M30" s="1367" t="str">
        <f t="shared" si="24"/>
        <v>X</v>
      </c>
      <c r="N30" s="1368" t="str">
        <f t="shared" si="25"/>
        <v/>
      </c>
      <c r="O30" s="1368" t="str">
        <f t="shared" si="26"/>
        <v/>
      </c>
      <c r="P30" s="1368" t="str">
        <f t="shared" si="27"/>
        <v/>
      </c>
      <c r="Q30" s="1369" t="str">
        <f t="shared" si="28"/>
        <v/>
      </c>
      <c r="R30" s="1367" t="str">
        <f t="shared" si="29"/>
        <v>X</v>
      </c>
      <c r="S30" s="1368" t="str">
        <f t="shared" si="30"/>
        <v/>
      </c>
      <c r="T30" s="1368" t="str">
        <f t="shared" si="31"/>
        <v/>
      </c>
      <c r="U30" s="1369" t="str">
        <f t="shared" si="32"/>
        <v/>
      </c>
      <c r="W30" s="1062"/>
    </row>
    <row r="31" spans="1:23" ht="13.9" customHeight="1" x14ac:dyDescent="0.25">
      <c r="A31" s="847">
        <f>Chem!A31</f>
        <v>29</v>
      </c>
      <c r="B31" s="951" t="str">
        <f>Chem!B31</f>
        <v>Cobalt</v>
      </c>
      <c r="C31" s="946">
        <f t="shared" si="22"/>
        <v>4.8</v>
      </c>
      <c r="D31" s="463" t="str">
        <f t="shared" si="23"/>
        <v>na</v>
      </c>
      <c r="E31" s="463"/>
      <c r="F31" s="501">
        <f>PW!O31</f>
        <v>4.8</v>
      </c>
      <c r="G31" s="511" t="str">
        <f>SW!R31</f>
        <v>na</v>
      </c>
      <c r="H31" s="222" t="str">
        <f>Partit!E31</f>
        <v>na</v>
      </c>
      <c r="I31" s="520" t="str">
        <f>PW!P31</f>
        <v>na</v>
      </c>
      <c r="J31" s="520" t="s">
        <v>232</v>
      </c>
      <c r="K31" s="970" t="s">
        <v>232</v>
      </c>
      <c r="M31" s="1367" t="str">
        <f t="shared" si="24"/>
        <v>X</v>
      </c>
      <c r="N31" s="1368" t="str">
        <f t="shared" si="25"/>
        <v/>
      </c>
      <c r="O31" s="1368" t="str">
        <f t="shared" si="26"/>
        <v/>
      </c>
      <c r="P31" s="1368" t="str">
        <f t="shared" si="27"/>
        <v/>
      </c>
      <c r="Q31" s="1369" t="str">
        <f t="shared" si="28"/>
        <v/>
      </c>
      <c r="R31" s="1367" t="str">
        <f t="shared" si="29"/>
        <v/>
      </c>
      <c r="S31" s="1368" t="str">
        <f t="shared" si="30"/>
        <v/>
      </c>
      <c r="T31" s="1368" t="str">
        <f t="shared" si="31"/>
        <v/>
      </c>
      <c r="U31" s="1369" t="str">
        <f t="shared" si="32"/>
        <v/>
      </c>
      <c r="W31" s="1062"/>
    </row>
    <row r="32" spans="1:23" ht="13.9" customHeight="1" x14ac:dyDescent="0.25">
      <c r="A32" s="847">
        <f>Chem!A32</f>
        <v>30</v>
      </c>
      <c r="B32" s="951" t="str">
        <f>Chem!B32</f>
        <v>Copper</v>
      </c>
      <c r="C32" s="946">
        <f t="shared" si="22"/>
        <v>3.1</v>
      </c>
      <c r="D32" s="463">
        <f t="shared" si="23"/>
        <v>3.1</v>
      </c>
      <c r="E32" s="463"/>
      <c r="F32" s="501">
        <f>PW!O32</f>
        <v>640</v>
      </c>
      <c r="G32" s="511">
        <f>SW!R32</f>
        <v>3.1</v>
      </c>
      <c r="H32" s="222">
        <f>Partit!E32</f>
        <v>13.6839210315984</v>
      </c>
      <c r="I32" s="520" t="str">
        <f>PW!P32</f>
        <v>na</v>
      </c>
      <c r="J32" s="520" t="s">
        <v>232</v>
      </c>
      <c r="K32" s="970" t="s">
        <v>232</v>
      </c>
      <c r="M32" s="1367" t="str">
        <f t="shared" si="24"/>
        <v/>
      </c>
      <c r="N32" s="1368" t="str">
        <f t="shared" si="25"/>
        <v>X</v>
      </c>
      <c r="O32" s="1368" t="str">
        <f t="shared" si="26"/>
        <v/>
      </c>
      <c r="P32" s="1368" t="str">
        <f t="shared" si="27"/>
        <v/>
      </c>
      <c r="Q32" s="1369" t="str">
        <f t="shared" si="28"/>
        <v/>
      </c>
      <c r="R32" s="1367" t="str">
        <f t="shared" si="29"/>
        <v>X</v>
      </c>
      <c r="S32" s="1368" t="str">
        <f t="shared" si="30"/>
        <v/>
      </c>
      <c r="T32" s="1368" t="str">
        <f t="shared" si="31"/>
        <v/>
      </c>
      <c r="U32" s="1369" t="str">
        <f t="shared" si="32"/>
        <v/>
      </c>
      <c r="W32" s="1062"/>
    </row>
    <row r="33" spans="1:23" ht="13.9" customHeight="1" x14ac:dyDescent="0.25">
      <c r="A33" s="847">
        <f>Chem!A33</f>
        <v>31</v>
      </c>
      <c r="B33" s="951" t="str">
        <f>Chem!B33</f>
        <v>Iron</v>
      </c>
      <c r="C33" s="946">
        <f t="shared" si="22"/>
        <v>300</v>
      </c>
      <c r="D33" s="463" t="str">
        <f t="shared" si="23"/>
        <v>na</v>
      </c>
      <c r="E33" s="463"/>
      <c r="F33" s="501">
        <f>PW!O33</f>
        <v>300</v>
      </c>
      <c r="G33" s="511" t="str">
        <f>SW!R33</f>
        <v>na</v>
      </c>
      <c r="H33" s="222" t="str">
        <f>Partit!E33</f>
        <v>na</v>
      </c>
      <c r="I33" s="520" t="str">
        <f>PW!P33</f>
        <v>na</v>
      </c>
      <c r="J33" s="520" t="s">
        <v>232</v>
      </c>
      <c r="K33" s="970" t="s">
        <v>232</v>
      </c>
      <c r="M33" s="1367" t="str">
        <f t="shared" si="24"/>
        <v>X</v>
      </c>
      <c r="N33" s="1368" t="str">
        <f t="shared" si="25"/>
        <v/>
      </c>
      <c r="O33" s="1368" t="str">
        <f t="shared" si="26"/>
        <v/>
      </c>
      <c r="P33" s="1368" t="str">
        <f t="shared" si="27"/>
        <v/>
      </c>
      <c r="Q33" s="1369" t="str">
        <f t="shared" si="28"/>
        <v/>
      </c>
      <c r="R33" s="1367" t="str">
        <f t="shared" si="29"/>
        <v/>
      </c>
      <c r="S33" s="1368" t="str">
        <f t="shared" si="30"/>
        <v/>
      </c>
      <c r="T33" s="1368" t="str">
        <f t="shared" si="31"/>
        <v/>
      </c>
      <c r="U33" s="1369" t="str">
        <f t="shared" si="32"/>
        <v/>
      </c>
      <c r="W33" s="1062"/>
    </row>
    <row r="34" spans="1:23" ht="13.9" customHeight="1" x14ac:dyDescent="0.25">
      <c r="A34" s="847">
        <f>Chem!A34</f>
        <v>32</v>
      </c>
      <c r="B34" s="951" t="str">
        <f>Chem!B34</f>
        <v>Lead</v>
      </c>
      <c r="C34" s="946">
        <f t="shared" si="22"/>
        <v>8.1</v>
      </c>
      <c r="D34" s="463">
        <f t="shared" si="23"/>
        <v>8.1</v>
      </c>
      <c r="E34" s="463"/>
      <c r="F34" s="501">
        <f>PW!O34</f>
        <v>10</v>
      </c>
      <c r="G34" s="511">
        <f>SW!R34</f>
        <v>8.1</v>
      </c>
      <c r="H34" s="222">
        <f>Partit!E34</f>
        <v>19.337702643008942</v>
      </c>
      <c r="I34" s="520" t="str">
        <f>PW!P34</f>
        <v>na</v>
      </c>
      <c r="J34" s="520" t="s">
        <v>232</v>
      </c>
      <c r="K34" s="970" t="s">
        <v>232</v>
      </c>
      <c r="M34" s="1367" t="str">
        <f t="shared" si="24"/>
        <v/>
      </c>
      <c r="N34" s="1368" t="str">
        <f t="shared" si="25"/>
        <v>X</v>
      </c>
      <c r="O34" s="1368" t="str">
        <f t="shared" si="26"/>
        <v/>
      </c>
      <c r="P34" s="1368" t="str">
        <f t="shared" si="27"/>
        <v/>
      </c>
      <c r="Q34" s="1369" t="str">
        <f t="shared" si="28"/>
        <v/>
      </c>
      <c r="R34" s="1367" t="str">
        <f t="shared" si="29"/>
        <v>X</v>
      </c>
      <c r="S34" s="1368" t="str">
        <f t="shared" si="30"/>
        <v/>
      </c>
      <c r="T34" s="1368" t="str">
        <f t="shared" si="31"/>
        <v/>
      </c>
      <c r="U34" s="1369" t="str">
        <f t="shared" si="32"/>
        <v/>
      </c>
      <c r="W34" s="1062"/>
    </row>
    <row r="35" spans="1:23" ht="13.9" customHeight="1" x14ac:dyDescent="0.25">
      <c r="A35" s="847">
        <f>Chem!A35</f>
        <v>33</v>
      </c>
      <c r="B35" s="951" t="str">
        <f>Chem!B35</f>
        <v>Manganese</v>
      </c>
      <c r="C35" s="946">
        <f t="shared" si="22"/>
        <v>50</v>
      </c>
      <c r="D35" s="463">
        <f t="shared" si="23"/>
        <v>100</v>
      </c>
      <c r="E35" s="463"/>
      <c r="F35" s="501">
        <f>PW!O35</f>
        <v>50</v>
      </c>
      <c r="G35" s="511">
        <f>SW!R35</f>
        <v>100</v>
      </c>
      <c r="H35" s="222" t="str">
        <f>Partit!E35</f>
        <v>na</v>
      </c>
      <c r="I35" s="520" t="str">
        <f>PW!P35</f>
        <v>na</v>
      </c>
      <c r="J35" s="520" t="s">
        <v>232</v>
      </c>
      <c r="K35" s="970" t="s">
        <v>232</v>
      </c>
      <c r="M35" s="1367" t="str">
        <f t="shared" si="24"/>
        <v>X</v>
      </c>
      <c r="N35" s="1368" t="str">
        <f t="shared" si="25"/>
        <v/>
      </c>
      <c r="O35" s="1368" t="str">
        <f t="shared" si="26"/>
        <v/>
      </c>
      <c r="P35" s="1368" t="str">
        <f t="shared" si="27"/>
        <v/>
      </c>
      <c r="Q35" s="1369" t="str">
        <f t="shared" si="28"/>
        <v/>
      </c>
      <c r="R35" s="1367" t="str">
        <f t="shared" si="29"/>
        <v>X</v>
      </c>
      <c r="S35" s="1368" t="str">
        <f t="shared" si="30"/>
        <v/>
      </c>
      <c r="T35" s="1368" t="str">
        <f t="shared" si="31"/>
        <v/>
      </c>
      <c r="U35" s="1369" t="str">
        <f t="shared" si="32"/>
        <v/>
      </c>
      <c r="W35" s="1062"/>
    </row>
    <row r="36" spans="1:23" ht="13.9" customHeight="1" x14ac:dyDescent="0.25">
      <c r="A36" s="847">
        <f>Chem!A36</f>
        <v>34</v>
      </c>
      <c r="B36" s="951" t="str">
        <f>Chem!B36</f>
        <v>Mercury, inorganic</v>
      </c>
      <c r="C36" s="946">
        <f t="shared" si="22"/>
        <v>2.5000000000000001E-2</v>
      </c>
      <c r="D36" s="463">
        <f t="shared" si="23"/>
        <v>2.5000000000000001E-2</v>
      </c>
      <c r="E36" s="463"/>
      <c r="F36" s="501">
        <f>PW!O36</f>
        <v>2</v>
      </c>
      <c r="G36" s="511">
        <f>SW!R36</f>
        <v>2.5000000000000001E-2</v>
      </c>
      <c r="H36" s="222">
        <f>Partit!E36</f>
        <v>2.0438384282677222</v>
      </c>
      <c r="I36" s="520">
        <f>PW!P36</f>
        <v>0.82747210838132013</v>
      </c>
      <c r="J36" s="520" t="s">
        <v>232</v>
      </c>
      <c r="K36" s="970" t="s">
        <v>232</v>
      </c>
      <c r="M36" s="1367" t="str">
        <f t="shared" si="24"/>
        <v/>
      </c>
      <c r="N36" s="1368" t="str">
        <f t="shared" si="25"/>
        <v>X</v>
      </c>
      <c r="O36" s="1368" t="str">
        <f t="shared" si="26"/>
        <v/>
      </c>
      <c r="P36" s="1368" t="str">
        <f t="shared" si="27"/>
        <v/>
      </c>
      <c r="Q36" s="1369" t="str">
        <f t="shared" si="28"/>
        <v/>
      </c>
      <c r="R36" s="1367" t="str">
        <f t="shared" si="29"/>
        <v>X</v>
      </c>
      <c r="S36" s="1368" t="str">
        <f t="shared" si="30"/>
        <v/>
      </c>
      <c r="T36" s="1368" t="str">
        <f t="shared" si="31"/>
        <v/>
      </c>
      <c r="U36" s="1369" t="str">
        <f t="shared" si="32"/>
        <v/>
      </c>
      <c r="W36" s="1062"/>
    </row>
    <row r="37" spans="1:23" ht="13.9" customHeight="1" x14ac:dyDescent="0.25">
      <c r="A37" s="847">
        <f>Chem!A37</f>
        <v>35</v>
      </c>
      <c r="B37" s="951" t="str">
        <f>Chem!B37</f>
        <v>Methylmercury</v>
      </c>
      <c r="C37" s="946">
        <f t="shared" si="22"/>
        <v>1.6</v>
      </c>
      <c r="D37" s="463" t="str">
        <f t="shared" si="23"/>
        <v>na</v>
      </c>
      <c r="E37" s="463"/>
      <c r="F37" s="501">
        <f>PW!O37</f>
        <v>1.6</v>
      </c>
      <c r="G37" s="511" t="str">
        <f>SW!R37</f>
        <v>na</v>
      </c>
      <c r="H37" s="222" t="str">
        <f>Partit!E37</f>
        <v>na</v>
      </c>
      <c r="I37" s="520" t="str">
        <f>PW!P37</f>
        <v>na</v>
      </c>
      <c r="J37" s="520" t="s">
        <v>232</v>
      </c>
      <c r="K37" s="970" t="s">
        <v>232</v>
      </c>
      <c r="M37" s="1367" t="str">
        <f t="shared" si="24"/>
        <v>X</v>
      </c>
      <c r="N37" s="1368" t="str">
        <f t="shared" si="25"/>
        <v/>
      </c>
      <c r="O37" s="1368" t="str">
        <f t="shared" si="26"/>
        <v/>
      </c>
      <c r="P37" s="1368" t="str">
        <f t="shared" si="27"/>
        <v/>
      </c>
      <c r="Q37" s="1369" t="str">
        <f t="shared" si="28"/>
        <v/>
      </c>
      <c r="R37" s="1367" t="str">
        <f t="shared" si="29"/>
        <v/>
      </c>
      <c r="S37" s="1368" t="str">
        <f t="shared" si="30"/>
        <v/>
      </c>
      <c r="T37" s="1368" t="str">
        <f t="shared" si="31"/>
        <v/>
      </c>
      <c r="U37" s="1369" t="str">
        <f t="shared" si="32"/>
        <v/>
      </c>
      <c r="W37" s="1062"/>
    </row>
    <row r="38" spans="1:23" ht="13.9" customHeight="1" x14ac:dyDescent="0.25">
      <c r="A38" s="847">
        <f>Chem!A38</f>
        <v>36</v>
      </c>
      <c r="B38" s="951" t="str">
        <f>Chem!B38</f>
        <v>Molybdenum</v>
      </c>
      <c r="C38" s="946">
        <f t="shared" si="22"/>
        <v>80</v>
      </c>
      <c r="D38" s="463" t="str">
        <f t="shared" si="23"/>
        <v>na</v>
      </c>
      <c r="E38" s="463"/>
      <c r="F38" s="501">
        <f>PW!O38</f>
        <v>80</v>
      </c>
      <c r="G38" s="511" t="str">
        <f>SW!R38</f>
        <v>na</v>
      </c>
      <c r="H38" s="222" t="str">
        <f>Partit!E38</f>
        <v>na</v>
      </c>
      <c r="I38" s="520" t="str">
        <f>PW!P38</f>
        <v>na</v>
      </c>
      <c r="J38" s="520" t="s">
        <v>232</v>
      </c>
      <c r="K38" s="970" t="s">
        <v>232</v>
      </c>
      <c r="M38" s="1367" t="str">
        <f t="shared" si="24"/>
        <v>X</v>
      </c>
      <c r="N38" s="1368" t="str">
        <f t="shared" si="25"/>
        <v/>
      </c>
      <c r="O38" s="1368" t="str">
        <f t="shared" si="26"/>
        <v/>
      </c>
      <c r="P38" s="1368" t="str">
        <f t="shared" si="27"/>
        <v/>
      </c>
      <c r="Q38" s="1369" t="str">
        <f t="shared" si="28"/>
        <v/>
      </c>
      <c r="R38" s="1367" t="str">
        <f t="shared" si="29"/>
        <v/>
      </c>
      <c r="S38" s="1368" t="str">
        <f t="shared" si="30"/>
        <v/>
      </c>
      <c r="T38" s="1368" t="str">
        <f t="shared" si="31"/>
        <v/>
      </c>
      <c r="U38" s="1369" t="str">
        <f t="shared" si="32"/>
        <v/>
      </c>
      <c r="W38" s="1062"/>
    </row>
    <row r="39" spans="1:23" ht="13.9" customHeight="1" x14ac:dyDescent="0.25">
      <c r="A39" s="847">
        <f>Chem!A39</f>
        <v>37</v>
      </c>
      <c r="B39" s="951" t="str">
        <f>Chem!B39</f>
        <v>Nickel</v>
      </c>
      <c r="C39" s="946">
        <f t="shared" si="22"/>
        <v>8.1999999999999993</v>
      </c>
      <c r="D39" s="463">
        <f t="shared" si="23"/>
        <v>8.1999999999999993</v>
      </c>
      <c r="E39" s="463"/>
      <c r="F39" s="501">
        <f>PW!O39</f>
        <v>320</v>
      </c>
      <c r="G39" s="511">
        <f>SW!R39</f>
        <v>8.1999999999999993</v>
      </c>
      <c r="H39" s="222" t="str">
        <f>Partit!E39</f>
        <v>na</v>
      </c>
      <c r="I39" s="520" t="str">
        <f>PW!P39</f>
        <v>na</v>
      </c>
      <c r="J39" s="520" t="s">
        <v>232</v>
      </c>
      <c r="K39" s="970" t="s">
        <v>232</v>
      </c>
      <c r="M39" s="1367" t="str">
        <f t="shared" si="24"/>
        <v/>
      </c>
      <c r="N39" s="1368" t="str">
        <f t="shared" si="25"/>
        <v>X</v>
      </c>
      <c r="O39" s="1368" t="str">
        <f t="shared" si="26"/>
        <v/>
      </c>
      <c r="P39" s="1368" t="str">
        <f t="shared" si="27"/>
        <v/>
      </c>
      <c r="Q39" s="1369" t="str">
        <f t="shared" si="28"/>
        <v/>
      </c>
      <c r="R39" s="1367" t="str">
        <f t="shared" si="29"/>
        <v>X</v>
      </c>
      <c r="S39" s="1368" t="str">
        <f t="shared" si="30"/>
        <v/>
      </c>
      <c r="T39" s="1368" t="str">
        <f t="shared" si="31"/>
        <v/>
      </c>
      <c r="U39" s="1369" t="str">
        <f t="shared" si="32"/>
        <v/>
      </c>
      <c r="W39" s="1062"/>
    </row>
    <row r="40" spans="1:23" ht="13.9" customHeight="1" x14ac:dyDescent="0.25">
      <c r="A40" s="847">
        <f>Chem!A40</f>
        <v>38</v>
      </c>
      <c r="B40" s="951" t="str">
        <f>Chem!B40</f>
        <v>Selenium</v>
      </c>
      <c r="C40" s="946">
        <f t="shared" si="22"/>
        <v>50</v>
      </c>
      <c r="D40" s="463">
        <f t="shared" si="23"/>
        <v>71</v>
      </c>
      <c r="E40" s="463"/>
      <c r="F40" s="501">
        <f>PW!O40</f>
        <v>50</v>
      </c>
      <c r="G40" s="511">
        <f>SW!R40</f>
        <v>71</v>
      </c>
      <c r="H40" s="222" t="str">
        <f>Partit!E40</f>
        <v>na</v>
      </c>
      <c r="I40" s="520" t="str">
        <f>PW!P40</f>
        <v>na</v>
      </c>
      <c r="J40" s="520" t="s">
        <v>232</v>
      </c>
      <c r="K40" s="970" t="s">
        <v>232</v>
      </c>
      <c r="M40" s="1367" t="str">
        <f t="shared" si="24"/>
        <v>X</v>
      </c>
      <c r="N40" s="1368" t="str">
        <f t="shared" si="25"/>
        <v/>
      </c>
      <c r="O40" s="1368" t="str">
        <f t="shared" si="26"/>
        <v/>
      </c>
      <c r="P40" s="1368" t="str">
        <f t="shared" si="27"/>
        <v/>
      </c>
      <c r="Q40" s="1369" t="str">
        <f t="shared" si="28"/>
        <v/>
      </c>
      <c r="R40" s="1367" t="str">
        <f t="shared" si="29"/>
        <v>X</v>
      </c>
      <c r="S40" s="1368" t="str">
        <f t="shared" si="30"/>
        <v/>
      </c>
      <c r="T40" s="1368" t="str">
        <f t="shared" si="31"/>
        <v/>
      </c>
      <c r="U40" s="1369" t="str">
        <f t="shared" si="32"/>
        <v/>
      </c>
      <c r="W40" s="1062"/>
    </row>
    <row r="41" spans="1:23" ht="13.9" customHeight="1" x14ac:dyDescent="0.25">
      <c r="A41" s="847">
        <f>Chem!A41</f>
        <v>39</v>
      </c>
      <c r="B41" s="951" t="str">
        <f>Chem!B41</f>
        <v>Silver</v>
      </c>
      <c r="C41" s="946">
        <f t="shared" si="22"/>
        <v>0.91</v>
      </c>
      <c r="D41" s="463">
        <f t="shared" si="23"/>
        <v>0.91</v>
      </c>
      <c r="E41" s="463"/>
      <c r="F41" s="501">
        <f>PW!O41</f>
        <v>80</v>
      </c>
      <c r="G41" s="511">
        <f>SW!R41</f>
        <v>0.91</v>
      </c>
      <c r="H41" s="222">
        <f>Partit!E41</f>
        <v>55.152240393564675</v>
      </c>
      <c r="I41" s="520" t="str">
        <f>PW!P41</f>
        <v>na</v>
      </c>
      <c r="J41" s="520" t="s">
        <v>232</v>
      </c>
      <c r="K41" s="970" t="s">
        <v>232</v>
      </c>
      <c r="M41" s="1367" t="str">
        <f t="shared" si="24"/>
        <v/>
      </c>
      <c r="N41" s="1368" t="str">
        <f t="shared" si="25"/>
        <v>X</v>
      </c>
      <c r="O41" s="1368" t="str">
        <f t="shared" si="26"/>
        <v/>
      </c>
      <c r="P41" s="1368" t="str">
        <f t="shared" si="27"/>
        <v/>
      </c>
      <c r="Q41" s="1369" t="str">
        <f t="shared" si="28"/>
        <v/>
      </c>
      <c r="R41" s="1367" t="str">
        <f t="shared" si="29"/>
        <v>X</v>
      </c>
      <c r="S41" s="1368" t="str">
        <f t="shared" si="30"/>
        <v/>
      </c>
      <c r="T41" s="1368" t="str">
        <f t="shared" si="31"/>
        <v/>
      </c>
      <c r="U41" s="1369" t="str">
        <f t="shared" si="32"/>
        <v/>
      </c>
      <c r="W41" s="1062"/>
    </row>
    <row r="42" spans="1:23" ht="13.9" customHeight="1" x14ac:dyDescent="0.25">
      <c r="A42" s="847">
        <f>Chem!A42</f>
        <v>40</v>
      </c>
      <c r="B42" s="951" t="str">
        <f>Chem!B42</f>
        <v>Thallium</v>
      </c>
      <c r="C42" s="946">
        <f t="shared" si="22"/>
        <v>6.1892130857648109E-2</v>
      </c>
      <c r="D42" s="463">
        <f t="shared" si="23"/>
        <v>6.1892130857648109E-2</v>
      </c>
      <c r="E42" s="463"/>
      <c r="F42" s="501">
        <f>PW!O42</f>
        <v>0.16</v>
      </c>
      <c r="G42" s="511">
        <f>SW!R42</f>
        <v>6.1892130857648109E-2</v>
      </c>
      <c r="H42" s="222" t="str">
        <f>Partit!E42</f>
        <v>na</v>
      </c>
      <c r="I42" s="520" t="str">
        <f>PW!P42</f>
        <v>na</v>
      </c>
      <c r="J42" s="520" t="s">
        <v>232</v>
      </c>
      <c r="K42" s="970" t="s">
        <v>232</v>
      </c>
      <c r="M42" s="1367" t="str">
        <f t="shared" si="24"/>
        <v/>
      </c>
      <c r="N42" s="1368" t="str">
        <f t="shared" si="25"/>
        <v>X</v>
      </c>
      <c r="O42" s="1368" t="str">
        <f t="shared" si="26"/>
        <v/>
      </c>
      <c r="P42" s="1368" t="str">
        <f t="shared" si="27"/>
        <v/>
      </c>
      <c r="Q42" s="1369" t="str">
        <f t="shared" si="28"/>
        <v/>
      </c>
      <c r="R42" s="1367" t="str">
        <f t="shared" si="29"/>
        <v>X</v>
      </c>
      <c r="S42" s="1368" t="str">
        <f t="shared" si="30"/>
        <v/>
      </c>
      <c r="T42" s="1368" t="str">
        <f t="shared" si="31"/>
        <v/>
      </c>
      <c r="U42" s="1369" t="str">
        <f t="shared" si="32"/>
        <v/>
      </c>
      <c r="W42" s="1062"/>
    </row>
    <row r="43" spans="1:23" ht="13.9" customHeight="1" x14ac:dyDescent="0.25">
      <c r="A43" s="847">
        <f>Chem!A43</f>
        <v>41</v>
      </c>
      <c r="B43" s="951" t="str">
        <f>Chem!B43</f>
        <v>Tin</v>
      </c>
      <c r="C43" s="946">
        <f t="shared" si="22"/>
        <v>9600</v>
      </c>
      <c r="D43" s="463" t="str">
        <f t="shared" si="23"/>
        <v>na</v>
      </c>
      <c r="E43" s="463"/>
      <c r="F43" s="501">
        <f>PW!O43</f>
        <v>9600</v>
      </c>
      <c r="G43" s="511" t="str">
        <f>SW!R43</f>
        <v>na</v>
      </c>
      <c r="H43" s="222" t="str">
        <f>Partit!E43</f>
        <v>na</v>
      </c>
      <c r="I43" s="520" t="str">
        <f>PW!P43</f>
        <v>na</v>
      </c>
      <c r="J43" s="520" t="s">
        <v>232</v>
      </c>
      <c r="K43" s="970" t="s">
        <v>232</v>
      </c>
      <c r="M43" s="1367" t="str">
        <f t="shared" si="24"/>
        <v>X</v>
      </c>
      <c r="N43" s="1368" t="str">
        <f t="shared" si="25"/>
        <v/>
      </c>
      <c r="O43" s="1368" t="str">
        <f t="shared" si="26"/>
        <v/>
      </c>
      <c r="P43" s="1368" t="str">
        <f t="shared" si="27"/>
        <v/>
      </c>
      <c r="Q43" s="1369" t="str">
        <f t="shared" si="28"/>
        <v/>
      </c>
      <c r="R43" s="1367" t="str">
        <f t="shared" si="29"/>
        <v/>
      </c>
      <c r="S43" s="1368" t="str">
        <f t="shared" si="30"/>
        <v/>
      </c>
      <c r="T43" s="1368" t="str">
        <f t="shared" si="31"/>
        <v/>
      </c>
      <c r="U43" s="1369" t="str">
        <f t="shared" si="32"/>
        <v/>
      </c>
      <c r="W43" s="1062"/>
    </row>
    <row r="44" spans="1:23" ht="13.9" customHeight="1" x14ac:dyDescent="0.25">
      <c r="A44" s="847">
        <f>Chem!A44</f>
        <v>42</v>
      </c>
      <c r="B44" s="951" t="str">
        <f>Chem!B44</f>
        <v>Vanadium</v>
      </c>
      <c r="C44" s="954">
        <f t="shared" si="22"/>
        <v>80</v>
      </c>
      <c r="D44" s="496" t="str">
        <f t="shared" si="23"/>
        <v>na</v>
      </c>
      <c r="E44" s="496"/>
      <c r="F44" s="502">
        <f>PW!O44</f>
        <v>80</v>
      </c>
      <c r="G44" s="512" t="str">
        <f>SW!R44</f>
        <v>na</v>
      </c>
      <c r="H44" s="224" t="str">
        <f>Partit!E44</f>
        <v>na</v>
      </c>
      <c r="I44" s="522" t="str">
        <f>PW!P44</f>
        <v>na</v>
      </c>
      <c r="J44" s="522" t="s">
        <v>232</v>
      </c>
      <c r="K44" s="970" t="s">
        <v>232</v>
      </c>
      <c r="M44" s="1367" t="str">
        <f t="shared" si="24"/>
        <v>X</v>
      </c>
      <c r="N44" s="1368" t="str">
        <f t="shared" si="25"/>
        <v/>
      </c>
      <c r="O44" s="1368" t="str">
        <f t="shared" si="26"/>
        <v/>
      </c>
      <c r="P44" s="1368" t="str">
        <f t="shared" si="27"/>
        <v/>
      </c>
      <c r="Q44" s="1369" t="str">
        <f t="shared" si="28"/>
        <v/>
      </c>
      <c r="R44" s="1367" t="str">
        <f t="shared" si="29"/>
        <v/>
      </c>
      <c r="S44" s="1368" t="str">
        <f t="shared" si="30"/>
        <v/>
      </c>
      <c r="T44" s="1368" t="str">
        <f t="shared" si="31"/>
        <v/>
      </c>
      <c r="U44" s="1369" t="str">
        <f t="shared" si="32"/>
        <v/>
      </c>
      <c r="W44" s="1062"/>
    </row>
    <row r="45" spans="1:23" ht="13.9" customHeight="1" x14ac:dyDescent="0.25">
      <c r="A45" s="844">
        <f>Chem!A45</f>
        <v>43</v>
      </c>
      <c r="B45" s="951" t="str">
        <f>Chem!B45</f>
        <v>Zinc</v>
      </c>
      <c r="C45" s="954">
        <f t="shared" si="22"/>
        <v>81</v>
      </c>
      <c r="D45" s="496">
        <f t="shared" si="23"/>
        <v>81</v>
      </c>
      <c r="E45" s="496"/>
      <c r="F45" s="502">
        <f>PW!O45</f>
        <v>4800</v>
      </c>
      <c r="G45" s="512">
        <f>SW!R45</f>
        <v>81</v>
      </c>
      <c r="H45" s="224">
        <f>Partit!E45</f>
        <v>772.70585626784168</v>
      </c>
      <c r="I45" s="522" t="str">
        <f>PW!P45</f>
        <v>na</v>
      </c>
      <c r="J45" s="522" t="s">
        <v>232</v>
      </c>
      <c r="K45" s="970" t="s">
        <v>232</v>
      </c>
      <c r="M45" s="1370" t="str">
        <f t="shared" si="24"/>
        <v/>
      </c>
      <c r="N45" s="1371" t="str">
        <f t="shared" si="25"/>
        <v>X</v>
      </c>
      <c r="O45" s="1371" t="str">
        <f t="shared" si="26"/>
        <v/>
      </c>
      <c r="P45" s="1371" t="str">
        <f t="shared" si="27"/>
        <v/>
      </c>
      <c r="Q45" s="1372" t="str">
        <f t="shared" si="28"/>
        <v/>
      </c>
      <c r="R45" s="1370" t="str">
        <f t="shared" si="29"/>
        <v>X</v>
      </c>
      <c r="S45" s="1371" t="str">
        <f t="shared" si="30"/>
        <v/>
      </c>
      <c r="T45" s="1371" t="str">
        <f t="shared" si="31"/>
        <v/>
      </c>
      <c r="U45" s="1372" t="str">
        <f t="shared" si="32"/>
        <v/>
      </c>
      <c r="W45" s="1062"/>
    </row>
    <row r="46" spans="1:23" ht="13.9" customHeight="1" x14ac:dyDescent="0.25">
      <c r="A46" s="906">
        <f>Chem!A46</f>
        <v>44</v>
      </c>
      <c r="B46" s="953" t="str">
        <f>Chem!B46</f>
        <v>Metals - Butyltins</v>
      </c>
      <c r="C46" s="54"/>
      <c r="D46" s="54"/>
      <c r="E46" s="54"/>
      <c r="F46" s="54"/>
      <c r="G46" s="54"/>
      <c r="H46" s="29"/>
      <c r="I46" s="29"/>
      <c r="J46" s="29"/>
      <c r="K46" s="166"/>
      <c r="M46" s="122" t="str">
        <f>B46</f>
        <v>Metals - Butyltins</v>
      </c>
      <c r="N46" s="2333"/>
      <c r="O46" s="2333"/>
      <c r="P46" s="2333"/>
      <c r="Q46" s="2333"/>
      <c r="R46" s="2333"/>
      <c r="S46" s="2333"/>
      <c r="T46" s="2333"/>
      <c r="U46" s="2334"/>
      <c r="W46" s="1063"/>
    </row>
    <row r="47" spans="1:23" ht="13.9" customHeight="1" x14ac:dyDescent="0.25">
      <c r="A47" s="847">
        <f>Chem!A47</f>
        <v>45</v>
      </c>
      <c r="B47" s="951" t="str">
        <f>Chem!B47</f>
        <v>Monobutyltin</v>
      </c>
      <c r="C47" s="946" t="str">
        <f t="shared" ref="C47:C51" si="33">IF(AND($F47="na",$G47="na",$H47="na",$I47="na"),"na",IF(AND(ISNUMBER($K47),MIN($F47:$I47)&lt;$K47),$K47,MIN($F47:$I47)))</f>
        <v>na</v>
      </c>
      <c r="D47" s="463" t="str">
        <f t="shared" ref="D47:D51" si="34">IF(AND($G47="na",$H47="na",$I47="na"),"na",IF(AND(ISNUMBER($K47),MIN($G47:$I47)&lt;$K47),$K47,MIN($G47:$I47)))</f>
        <v>na</v>
      </c>
      <c r="E47" s="463"/>
      <c r="F47" s="501" t="str">
        <f>PW!O47</f>
        <v>na</v>
      </c>
      <c r="G47" s="511" t="str">
        <f>SW!R47</f>
        <v>na</v>
      </c>
      <c r="H47" s="222" t="str">
        <f>Partit!E47</f>
        <v>na</v>
      </c>
      <c r="I47" s="520" t="str">
        <f>PW!P47</f>
        <v>na</v>
      </c>
      <c r="J47" s="520" t="s">
        <v>232</v>
      </c>
      <c r="K47" s="970" t="s">
        <v>232</v>
      </c>
      <c r="M47" s="1373" t="str">
        <f>IF($C47="na","",IF($C47=$F47,"X",""))</f>
        <v/>
      </c>
      <c r="N47" s="1374" t="str">
        <f>IF($C47="na","",IF($C47=$G47,"X",""))</f>
        <v/>
      </c>
      <c r="O47" s="1374" t="str">
        <f>IF($C47="na","",IF($C47=$H47,"X",""))</f>
        <v/>
      </c>
      <c r="P47" s="1374" t="str">
        <f>IF($C47="na","",IF($C47=$I47,"X",""))</f>
        <v/>
      </c>
      <c r="Q47" s="1375" t="str">
        <f>IF($C47="na","",IF($C47=$K47,"X",""))</f>
        <v/>
      </c>
      <c r="R47" s="1373" t="str">
        <f>IF($D47="na","",IF($D47=$G47,"X",""))</f>
        <v/>
      </c>
      <c r="S47" s="1374" t="str">
        <f>IF($D47="na","",IF($D47=$H47,"X",""))</f>
        <v/>
      </c>
      <c r="T47" s="1374" t="str">
        <f>IF($D47="na","",IF($D47=$I47,"X",""))</f>
        <v/>
      </c>
      <c r="U47" s="1375" t="str">
        <f>IF($D47="na","",IF($D47=$K47,"X",""))</f>
        <v/>
      </c>
      <c r="W47" s="1062"/>
    </row>
    <row r="48" spans="1:23" ht="13.9" customHeight="1" x14ac:dyDescent="0.25">
      <c r="A48" s="847">
        <f>Chem!A48</f>
        <v>46</v>
      </c>
      <c r="B48" s="951" t="str">
        <f>Chem!B48</f>
        <v>Dibutyltin</v>
      </c>
      <c r="C48" s="946" t="str">
        <f t="shared" si="33"/>
        <v>na</v>
      </c>
      <c r="D48" s="463" t="str">
        <f t="shared" si="34"/>
        <v>na</v>
      </c>
      <c r="E48" s="463"/>
      <c r="F48" s="501" t="str">
        <f>PW!O48</f>
        <v>na</v>
      </c>
      <c r="G48" s="511" t="str">
        <f>SW!R48</f>
        <v>na</v>
      </c>
      <c r="H48" s="222" t="str">
        <f>Partit!E48</f>
        <v>na</v>
      </c>
      <c r="I48" s="520" t="str">
        <f>PW!P48</f>
        <v>na</v>
      </c>
      <c r="J48" s="520" t="s">
        <v>232</v>
      </c>
      <c r="K48" s="970" t="s">
        <v>232</v>
      </c>
      <c r="M48" s="1367" t="str">
        <f>IF($C48="na","",IF($C48=$F48,"X",""))</f>
        <v/>
      </c>
      <c r="N48" s="1368" t="str">
        <f>IF($C48="na","",IF($C48=$G48,"X",""))</f>
        <v/>
      </c>
      <c r="O48" s="1368" t="str">
        <f>IF($C48="na","",IF($C48=$H48,"X",""))</f>
        <v/>
      </c>
      <c r="P48" s="1368" t="str">
        <f>IF($C48="na","",IF($C48=$I48,"X",""))</f>
        <v/>
      </c>
      <c r="Q48" s="1369" t="str">
        <f>IF($C48="na","",IF($C48=$K48,"X",""))</f>
        <v/>
      </c>
      <c r="R48" s="1367" t="str">
        <f>IF($D48="na","",IF($D48=$G48,"X",""))</f>
        <v/>
      </c>
      <c r="S48" s="1368" t="str">
        <f>IF($D48="na","",IF($D48=$H48,"X",""))</f>
        <v/>
      </c>
      <c r="T48" s="1368" t="str">
        <f>IF($D48="na","",IF($D48=$I48,"X",""))</f>
        <v/>
      </c>
      <c r="U48" s="1369" t="str">
        <f>IF($D48="na","",IF($D48=$K48,"X",""))</f>
        <v/>
      </c>
      <c r="W48" s="1062"/>
    </row>
    <row r="49" spans="1:23" ht="13.9" customHeight="1" x14ac:dyDescent="0.25">
      <c r="A49" s="847">
        <f>Chem!A49</f>
        <v>47</v>
      </c>
      <c r="B49" s="951" t="str">
        <f>Chem!B49</f>
        <v>Tributyl tin</v>
      </c>
      <c r="C49" s="946">
        <f t="shared" si="33"/>
        <v>7.4000000000000003E-3</v>
      </c>
      <c r="D49" s="463">
        <f t="shared" si="34"/>
        <v>7.4000000000000003E-3</v>
      </c>
      <c r="E49" s="463"/>
      <c r="F49" s="501" t="str">
        <f>PW!O49</f>
        <v>na</v>
      </c>
      <c r="G49" s="511">
        <f>SW!R49</f>
        <v>7.4000000000000003E-3</v>
      </c>
      <c r="H49" s="222" t="str">
        <f>Partit!E49</f>
        <v>na</v>
      </c>
      <c r="I49" s="520" t="str">
        <f>PW!P49</f>
        <v>na</v>
      </c>
      <c r="J49" s="520" t="s">
        <v>232</v>
      </c>
      <c r="K49" s="970" t="s">
        <v>232</v>
      </c>
      <c r="M49" s="1367" t="str">
        <f>IF($C49="na","",IF($C49=$F49,"X",""))</f>
        <v/>
      </c>
      <c r="N49" s="1368" t="str">
        <f>IF($C49="na","",IF($C49=$G49,"X",""))</f>
        <v>X</v>
      </c>
      <c r="O49" s="1368" t="str">
        <f>IF($C49="na","",IF($C49=$H49,"X",""))</f>
        <v/>
      </c>
      <c r="P49" s="1368" t="str">
        <f>IF($C49="na","",IF($C49=$I49,"X",""))</f>
        <v/>
      </c>
      <c r="Q49" s="1369" t="str">
        <f>IF($C49="na","",IF($C49=$K49,"X",""))</f>
        <v/>
      </c>
      <c r="R49" s="1367" t="str">
        <f>IF($D49="na","",IF($D49=$G49,"X",""))</f>
        <v>X</v>
      </c>
      <c r="S49" s="1368" t="str">
        <f>IF($D49="na","",IF($D49=$H49,"X",""))</f>
        <v/>
      </c>
      <c r="T49" s="1368" t="str">
        <f>IF($D49="na","",IF($D49=$I49,"X",""))</f>
        <v/>
      </c>
      <c r="U49" s="1369" t="str">
        <f>IF($D49="na","",IF($D49=$K49,"X",""))</f>
        <v/>
      </c>
      <c r="W49" s="1062"/>
    </row>
    <row r="50" spans="1:23" ht="13.9" customHeight="1" x14ac:dyDescent="0.25">
      <c r="A50" s="847">
        <f>Chem!A50</f>
        <v>48</v>
      </c>
      <c r="B50" s="951" t="str">
        <f>Chem!B50</f>
        <v>Tributyltin oxide</v>
      </c>
      <c r="C50" s="946">
        <f t="shared" si="33"/>
        <v>4.2674200914381415E-6</v>
      </c>
      <c r="D50" s="463">
        <f t="shared" si="34"/>
        <v>4.2674200914381415E-6</v>
      </c>
      <c r="E50" s="463"/>
      <c r="F50" s="501">
        <f>PW!O50</f>
        <v>4.8</v>
      </c>
      <c r="G50" s="511" t="str">
        <f>SW!R50</f>
        <v>na</v>
      </c>
      <c r="H50" s="222">
        <f>Partit!E50</f>
        <v>4.2674200914381415E-6</v>
      </c>
      <c r="I50" s="520" t="str">
        <f>PW!P50</f>
        <v>na</v>
      </c>
      <c r="J50" s="520" t="s">
        <v>232</v>
      </c>
      <c r="K50" s="970" t="s">
        <v>232</v>
      </c>
      <c r="M50" s="1367" t="str">
        <f>IF($C50="na","",IF($C50=$F50,"X",""))</f>
        <v/>
      </c>
      <c r="N50" s="1368" t="str">
        <f>IF($C50="na","",IF($C50=$G50,"X",""))</f>
        <v/>
      </c>
      <c r="O50" s="1368" t="str">
        <f>IF($C50="na","",IF($C50=$H50,"X",""))</f>
        <v>X</v>
      </c>
      <c r="P50" s="1368" t="str">
        <f>IF($C50="na","",IF($C50=$I50,"X",""))</f>
        <v/>
      </c>
      <c r="Q50" s="1369" t="str">
        <f>IF($C50="na","",IF($C50=$K50,"X",""))</f>
        <v/>
      </c>
      <c r="R50" s="1367" t="str">
        <f>IF($D50="na","",IF($D50=$G50,"X",""))</f>
        <v/>
      </c>
      <c r="S50" s="1368" t="str">
        <f>IF($D50="na","",IF($D50=$H50,"X",""))</f>
        <v>X</v>
      </c>
      <c r="T50" s="1368" t="str">
        <f>IF($D50="na","",IF($D50=$I50,"X",""))</f>
        <v/>
      </c>
      <c r="U50" s="1369" t="str">
        <f>IF($D50="na","",IF($D50=$K50,"X",""))</f>
        <v/>
      </c>
      <c r="W50" s="1062"/>
    </row>
    <row r="51" spans="1:23" ht="13.9" customHeight="1" x14ac:dyDescent="0.25">
      <c r="A51" s="847">
        <f>Chem!A51</f>
        <v>49</v>
      </c>
      <c r="B51" s="951" t="str">
        <f>Chem!B51</f>
        <v>Tetrabutyltin</v>
      </c>
      <c r="C51" s="946" t="str">
        <f t="shared" si="33"/>
        <v>na</v>
      </c>
      <c r="D51" s="463" t="str">
        <f t="shared" si="34"/>
        <v>na</v>
      </c>
      <c r="E51" s="463"/>
      <c r="F51" s="501" t="str">
        <f>PW!O51</f>
        <v>na</v>
      </c>
      <c r="G51" s="511" t="str">
        <f>SW!R51</f>
        <v>na</v>
      </c>
      <c r="H51" s="222" t="str">
        <f>Partit!E51</f>
        <v>na</v>
      </c>
      <c r="I51" s="520" t="str">
        <f>PW!P51</f>
        <v>na</v>
      </c>
      <c r="J51" s="520" t="s">
        <v>232</v>
      </c>
      <c r="K51" s="970" t="s">
        <v>232</v>
      </c>
      <c r="M51" s="1370" t="str">
        <f>IF($C51="na","",IF($C51=$F51,"X",""))</f>
        <v/>
      </c>
      <c r="N51" s="1371" t="str">
        <f>IF($C51="na","",IF($C51=$G51,"X",""))</f>
        <v/>
      </c>
      <c r="O51" s="1371" t="str">
        <f>IF($C51="na","",IF($C51=$H51,"X",""))</f>
        <v/>
      </c>
      <c r="P51" s="1371" t="str">
        <f>IF($C51="na","",IF($C51=$I51,"X",""))</f>
        <v/>
      </c>
      <c r="Q51" s="1372" t="str">
        <f>IF($C51="na","",IF($C51=$K51,"X",""))</f>
        <v/>
      </c>
      <c r="R51" s="1370" t="str">
        <f>IF($D51="na","",IF($D51=$G51,"X",""))</f>
        <v/>
      </c>
      <c r="S51" s="1371" t="str">
        <f>IF($D51="na","",IF($D51=$H51,"X",""))</f>
        <v/>
      </c>
      <c r="T51" s="1371" t="str">
        <f>IF($D51="na","",IF($D51=$I51,"X",""))</f>
        <v/>
      </c>
      <c r="U51" s="1372" t="str">
        <f>IF($D51="na","",IF($D51=$K51,"X",""))</f>
        <v/>
      </c>
      <c r="W51" s="1062"/>
    </row>
    <row r="52" spans="1:23" ht="13.9" customHeight="1" x14ac:dyDescent="0.25">
      <c r="A52" s="906">
        <f>Chem!A52</f>
        <v>50</v>
      </c>
      <c r="B52" s="953" t="str">
        <f>Chem!B52</f>
        <v>SVOCs - PAHs</v>
      </c>
      <c r="C52" s="54"/>
      <c r="D52" s="54"/>
      <c r="E52" s="54"/>
      <c r="F52" s="54"/>
      <c r="G52" s="54"/>
      <c r="H52" s="29"/>
      <c r="I52" s="29"/>
      <c r="J52" s="29"/>
      <c r="K52" s="166"/>
      <c r="M52" s="122" t="str">
        <f>B52</f>
        <v>SVOCs - PAHs</v>
      </c>
      <c r="N52" s="2333"/>
      <c r="O52" s="2333"/>
      <c r="P52" s="2333"/>
      <c r="Q52" s="2333"/>
      <c r="R52" s="2333"/>
      <c r="S52" s="2333"/>
      <c r="T52" s="2333"/>
      <c r="U52" s="2334"/>
      <c r="W52" s="1063"/>
    </row>
    <row r="53" spans="1:23" ht="13.9" customHeight="1" x14ac:dyDescent="0.25">
      <c r="A53" s="846">
        <f>Chem!A53</f>
        <v>51</v>
      </c>
      <c r="B53" s="951" t="str">
        <f>Chem!B53</f>
        <v>Acenaphthene</v>
      </c>
      <c r="C53" s="956">
        <f t="shared" ref="C53:C77" si="35">IF(AND($F53="na",$G53="na",$H53="na",$I53="na"),"na",IF(AND(ISNUMBER($K53),MIN($F53:$I53)&lt;$K53),$K53,MIN($F53:$I53)))</f>
        <v>5.3360118020025737</v>
      </c>
      <c r="D53" s="497">
        <f t="shared" ref="D53:D77" si="36">IF(AND($G53="na",$H53="na",$I53="na"),"na",IF(AND(ISNUMBER($K53),MIN($G53:$I53)&lt;$K53),$K53,MIN($G53:$I53)))</f>
        <v>5.3360118020025737</v>
      </c>
      <c r="E53" s="497"/>
      <c r="F53" s="503">
        <f>PW!O53</f>
        <v>480</v>
      </c>
      <c r="G53" s="513">
        <f>SW!R53</f>
        <v>30</v>
      </c>
      <c r="H53" s="194">
        <f>Partit!E53</f>
        <v>5.3360118020025737</v>
      </c>
      <c r="I53" s="523" t="str">
        <f>PW!P53</f>
        <v>na</v>
      </c>
      <c r="J53" s="523" t="s">
        <v>232</v>
      </c>
      <c r="K53" s="970" t="s">
        <v>232</v>
      </c>
      <c r="M53" s="1373" t="str">
        <f t="shared" ref="M53:M77" si="37">IF($C53="na","",IF($C53=$F53,"X",""))</f>
        <v/>
      </c>
      <c r="N53" s="1374" t="str">
        <f t="shared" ref="N53:N77" si="38">IF($C53="na","",IF($C53=$G53,"X",""))</f>
        <v/>
      </c>
      <c r="O53" s="1374" t="str">
        <f t="shared" ref="O53:O77" si="39">IF($C53="na","",IF($C53=$H53,"X",""))</f>
        <v>X</v>
      </c>
      <c r="P53" s="1374" t="str">
        <f t="shared" ref="P53:P77" si="40">IF($C53="na","",IF($C53=$I53,"X",""))</f>
        <v/>
      </c>
      <c r="Q53" s="1375" t="str">
        <f t="shared" ref="Q53:Q77" si="41">IF($C53="na","",IF($C53=$K53,"X",""))</f>
        <v/>
      </c>
      <c r="R53" s="1373" t="str">
        <f t="shared" ref="R53:R77" si="42">IF($D53="na","",IF($D53=$G53,"X",""))</f>
        <v/>
      </c>
      <c r="S53" s="1374" t="str">
        <f t="shared" ref="S53:S77" si="43">IF($D53="na","",IF($D53=$H53,"X",""))</f>
        <v>X</v>
      </c>
      <c r="T53" s="1374" t="str">
        <f t="shared" ref="T53:T77" si="44">IF($D53="na","",IF($D53=$I53,"X",""))</f>
        <v/>
      </c>
      <c r="U53" s="1375" t="str">
        <f t="shared" ref="U53:U77" si="45">IF($D53="na","",IF($D53=$K53,"X",""))</f>
        <v/>
      </c>
      <c r="W53" s="1062"/>
    </row>
    <row r="54" spans="1:23" ht="13.9" customHeight="1" x14ac:dyDescent="0.25">
      <c r="A54" s="847">
        <f>Chem!A54</f>
        <v>52</v>
      </c>
      <c r="B54" s="951" t="str">
        <f>Chem!B54</f>
        <v>Acenaphthylene</v>
      </c>
      <c r="C54" s="946" t="str">
        <f t="shared" si="35"/>
        <v>na</v>
      </c>
      <c r="D54" s="463" t="str">
        <f t="shared" si="36"/>
        <v>na</v>
      </c>
      <c r="E54" s="463"/>
      <c r="F54" s="501" t="str">
        <f>PW!O54</f>
        <v>na</v>
      </c>
      <c r="G54" s="511" t="str">
        <f>SW!R54</f>
        <v>na</v>
      </c>
      <c r="H54" s="222" t="str">
        <f>Partit!E54</f>
        <v>na</v>
      </c>
      <c r="I54" s="520" t="str">
        <f>PW!P54</f>
        <v>na</v>
      </c>
      <c r="J54" s="520" t="s">
        <v>232</v>
      </c>
      <c r="K54" s="970" t="s">
        <v>232</v>
      </c>
      <c r="M54" s="1367" t="str">
        <f t="shared" si="37"/>
        <v/>
      </c>
      <c r="N54" s="1368" t="str">
        <f t="shared" si="38"/>
        <v/>
      </c>
      <c r="O54" s="1368" t="str">
        <f t="shared" si="39"/>
        <v/>
      </c>
      <c r="P54" s="1368" t="str">
        <f t="shared" si="40"/>
        <v/>
      </c>
      <c r="Q54" s="1369" t="str">
        <f t="shared" si="41"/>
        <v/>
      </c>
      <c r="R54" s="1367" t="str">
        <f t="shared" si="42"/>
        <v/>
      </c>
      <c r="S54" s="1368" t="str">
        <f t="shared" si="43"/>
        <v/>
      </c>
      <c r="T54" s="1368" t="str">
        <f t="shared" si="44"/>
        <v/>
      </c>
      <c r="U54" s="1369" t="str">
        <f t="shared" si="45"/>
        <v/>
      </c>
      <c r="W54" s="1062"/>
    </row>
    <row r="55" spans="1:23" ht="13.9" customHeight="1" x14ac:dyDescent="0.25">
      <c r="A55" s="847">
        <f>Chem!A55</f>
        <v>53</v>
      </c>
      <c r="B55" s="951" t="str">
        <f>Chem!B55</f>
        <v>Anthracene</v>
      </c>
      <c r="C55" s="946">
        <f t="shared" si="35"/>
        <v>2.1471565306055322</v>
      </c>
      <c r="D55" s="463">
        <f t="shared" si="36"/>
        <v>2.1471565306055322</v>
      </c>
      <c r="E55" s="463"/>
      <c r="F55" s="501">
        <f>PW!O55</f>
        <v>2400</v>
      </c>
      <c r="G55" s="511">
        <f>SW!R55</f>
        <v>100</v>
      </c>
      <c r="H55" s="222">
        <f>Partit!E55</f>
        <v>2.1471565306055322</v>
      </c>
      <c r="I55" s="520" t="str">
        <f>PW!P55</f>
        <v>na</v>
      </c>
      <c r="J55" s="520" t="s">
        <v>232</v>
      </c>
      <c r="K55" s="970" t="s">
        <v>232</v>
      </c>
      <c r="M55" s="1367" t="str">
        <f t="shared" si="37"/>
        <v/>
      </c>
      <c r="N55" s="1368" t="str">
        <f t="shared" si="38"/>
        <v/>
      </c>
      <c r="O55" s="1368" t="str">
        <f t="shared" si="39"/>
        <v>X</v>
      </c>
      <c r="P55" s="1368" t="str">
        <f t="shared" si="40"/>
        <v/>
      </c>
      <c r="Q55" s="1369" t="str">
        <f t="shared" si="41"/>
        <v/>
      </c>
      <c r="R55" s="1367" t="str">
        <f t="shared" si="42"/>
        <v/>
      </c>
      <c r="S55" s="1368" t="str">
        <f t="shared" si="43"/>
        <v>X</v>
      </c>
      <c r="T55" s="1368" t="str">
        <f t="shared" si="44"/>
        <v/>
      </c>
      <c r="U55" s="1369" t="str">
        <f t="shared" si="45"/>
        <v/>
      </c>
      <c r="W55" s="1062"/>
    </row>
    <row r="56" spans="1:23" ht="13.9" customHeight="1" x14ac:dyDescent="0.25">
      <c r="A56" s="847">
        <f>Chem!A56</f>
        <v>54</v>
      </c>
      <c r="B56" s="951" t="str">
        <f>Chem!B56</f>
        <v>Benzo(a)anthracene</v>
      </c>
      <c r="C56" s="946">
        <f t="shared" si="35"/>
        <v>1.6000000000000001E-4</v>
      </c>
      <c r="D56" s="463">
        <f t="shared" si="36"/>
        <v>1.6000000000000001E-4</v>
      </c>
      <c r="E56" s="463"/>
      <c r="F56" s="501" t="str">
        <f>PW!O56</f>
        <v>na</v>
      </c>
      <c r="G56" s="511">
        <f>SW!R56</f>
        <v>1.6000000000000001E-4</v>
      </c>
      <c r="H56" s="222">
        <f>Partit!E56</f>
        <v>0.19135077028339165</v>
      </c>
      <c r="I56" s="520" t="str">
        <f>PW!P56</f>
        <v>na</v>
      </c>
      <c r="J56" s="520" t="s">
        <v>232</v>
      </c>
      <c r="K56" s="970" t="s">
        <v>232</v>
      </c>
      <c r="M56" s="1367" t="str">
        <f t="shared" si="37"/>
        <v/>
      </c>
      <c r="N56" s="1368" t="str">
        <f t="shared" si="38"/>
        <v>X</v>
      </c>
      <c r="O56" s="1368" t="str">
        <f t="shared" si="39"/>
        <v/>
      </c>
      <c r="P56" s="1368" t="str">
        <f t="shared" si="40"/>
        <v/>
      </c>
      <c r="Q56" s="1369" t="str">
        <f t="shared" si="41"/>
        <v/>
      </c>
      <c r="R56" s="1367" t="str">
        <f t="shared" si="42"/>
        <v>X</v>
      </c>
      <c r="S56" s="1368" t="str">
        <f t="shared" si="43"/>
        <v/>
      </c>
      <c r="T56" s="1368" t="str">
        <f t="shared" si="44"/>
        <v/>
      </c>
      <c r="U56" s="1369" t="str">
        <f t="shared" si="45"/>
        <v/>
      </c>
      <c r="W56" s="1062"/>
    </row>
    <row r="57" spans="1:23" ht="13.9" customHeight="1" x14ac:dyDescent="0.25">
      <c r="A57" s="847">
        <f>Chem!A57</f>
        <v>55</v>
      </c>
      <c r="B57" s="951" t="str">
        <f>Chem!B57</f>
        <v>Benzo(b)fluoranthene</v>
      </c>
      <c r="C57" s="946">
        <f t="shared" si="35"/>
        <v>1.6000000000000001E-4</v>
      </c>
      <c r="D57" s="463">
        <f t="shared" si="36"/>
        <v>1.6000000000000001E-4</v>
      </c>
      <c r="E57" s="463"/>
      <c r="F57" s="501" t="str">
        <f>PW!O57</f>
        <v>na</v>
      </c>
      <c r="G57" s="511">
        <f>SW!R57</f>
        <v>1.6000000000000001E-4</v>
      </c>
      <c r="H57" s="222" t="str">
        <f>Partit!E57</f>
        <v>na</v>
      </c>
      <c r="I57" s="520" t="str">
        <f>PW!P57</f>
        <v>na</v>
      </c>
      <c r="J57" s="520" t="s">
        <v>232</v>
      </c>
      <c r="K57" s="970" t="s">
        <v>232</v>
      </c>
      <c r="M57" s="1367" t="str">
        <f t="shared" si="37"/>
        <v/>
      </c>
      <c r="N57" s="1368" t="str">
        <f t="shared" si="38"/>
        <v>X</v>
      </c>
      <c r="O57" s="1368" t="str">
        <f t="shared" si="39"/>
        <v/>
      </c>
      <c r="P57" s="1368" t="str">
        <f t="shared" si="40"/>
        <v/>
      </c>
      <c r="Q57" s="1369" t="str">
        <f t="shared" si="41"/>
        <v/>
      </c>
      <c r="R57" s="1367" t="str">
        <f t="shared" si="42"/>
        <v>X</v>
      </c>
      <c r="S57" s="1368" t="str">
        <f t="shared" si="43"/>
        <v/>
      </c>
      <c r="T57" s="1368" t="str">
        <f t="shared" si="44"/>
        <v/>
      </c>
      <c r="U57" s="1369" t="str">
        <f t="shared" si="45"/>
        <v/>
      </c>
      <c r="W57" s="1062"/>
    </row>
    <row r="58" spans="1:23" ht="13.9" customHeight="1" x14ac:dyDescent="0.25">
      <c r="A58" s="847">
        <f>Chem!A58</f>
        <v>56</v>
      </c>
      <c r="B58" s="951" t="str">
        <f>Chem!B58</f>
        <v>Benzo(k)fluoranthene</v>
      </c>
      <c r="C58" s="946">
        <f t="shared" si="35"/>
        <v>1.6000000000000001E-3</v>
      </c>
      <c r="D58" s="463">
        <f t="shared" si="36"/>
        <v>1.6000000000000001E-3</v>
      </c>
      <c r="E58" s="463"/>
      <c r="F58" s="501" t="str">
        <f>PW!O58</f>
        <v>na</v>
      </c>
      <c r="G58" s="511">
        <f>SW!R58</f>
        <v>1.6000000000000001E-3</v>
      </c>
      <c r="H58" s="222" t="str">
        <f>Partit!E58</f>
        <v>na</v>
      </c>
      <c r="I58" s="520" t="str">
        <f>PW!P58</f>
        <v>na</v>
      </c>
      <c r="J58" s="520" t="s">
        <v>232</v>
      </c>
      <c r="K58" s="970" t="s">
        <v>232</v>
      </c>
      <c r="M58" s="1367" t="str">
        <f t="shared" si="37"/>
        <v/>
      </c>
      <c r="N58" s="1368" t="str">
        <f t="shared" si="38"/>
        <v>X</v>
      </c>
      <c r="O58" s="1368" t="str">
        <f t="shared" si="39"/>
        <v/>
      </c>
      <c r="P58" s="1368" t="str">
        <f t="shared" si="40"/>
        <v/>
      </c>
      <c r="Q58" s="1369" t="str">
        <f t="shared" si="41"/>
        <v/>
      </c>
      <c r="R58" s="1367" t="str">
        <f t="shared" si="42"/>
        <v>X</v>
      </c>
      <c r="S58" s="1368" t="str">
        <f t="shared" si="43"/>
        <v/>
      </c>
      <c r="T58" s="1368" t="str">
        <f t="shared" si="44"/>
        <v/>
      </c>
      <c r="U58" s="1369" t="str">
        <f t="shared" si="45"/>
        <v/>
      </c>
      <c r="W58" s="1062"/>
    </row>
    <row r="59" spans="1:23" ht="13.9" customHeight="1" x14ac:dyDescent="0.25">
      <c r="A59" s="847">
        <f>Chem!A59</f>
        <v>57</v>
      </c>
      <c r="B59" s="951" t="str">
        <f>Chem!B59</f>
        <v>Total benzofluoranthenes</v>
      </c>
      <c r="C59" s="946" t="str">
        <f t="shared" si="35"/>
        <v>na</v>
      </c>
      <c r="D59" s="463" t="str">
        <f t="shared" si="36"/>
        <v>na</v>
      </c>
      <c r="E59" s="463"/>
      <c r="F59" s="501" t="str">
        <f>PW!O59</f>
        <v>na</v>
      </c>
      <c r="G59" s="511" t="str">
        <f>SW!R59</f>
        <v>na</v>
      </c>
      <c r="H59" s="222" t="str">
        <f>Partit!E59</f>
        <v>na</v>
      </c>
      <c r="I59" s="520" t="str">
        <f>PW!P59</f>
        <v>na</v>
      </c>
      <c r="J59" s="520" t="s">
        <v>232</v>
      </c>
      <c r="K59" s="970" t="s">
        <v>232</v>
      </c>
      <c r="M59" s="1367" t="str">
        <f t="shared" si="37"/>
        <v/>
      </c>
      <c r="N59" s="1368" t="str">
        <f t="shared" si="38"/>
        <v/>
      </c>
      <c r="O59" s="1368" t="str">
        <f t="shared" si="39"/>
        <v/>
      </c>
      <c r="P59" s="1368" t="str">
        <f t="shared" si="40"/>
        <v/>
      </c>
      <c r="Q59" s="1369" t="str">
        <f t="shared" si="41"/>
        <v/>
      </c>
      <c r="R59" s="1367" t="str">
        <f t="shared" si="42"/>
        <v/>
      </c>
      <c r="S59" s="1368" t="str">
        <f t="shared" si="43"/>
        <v/>
      </c>
      <c r="T59" s="1368" t="str">
        <f t="shared" si="44"/>
        <v/>
      </c>
      <c r="U59" s="1369" t="str">
        <f t="shared" si="45"/>
        <v/>
      </c>
      <c r="W59" s="1062"/>
    </row>
    <row r="60" spans="1:23" ht="13.9" customHeight="1" x14ac:dyDescent="0.25">
      <c r="A60" s="847">
        <f>Chem!A60</f>
        <v>58</v>
      </c>
      <c r="B60" s="951" t="str">
        <f>Chem!B60</f>
        <v>Benzo(g,h,i)perylene</v>
      </c>
      <c r="C60" s="946" t="str">
        <f t="shared" si="35"/>
        <v>na</v>
      </c>
      <c r="D60" s="463" t="str">
        <f t="shared" si="36"/>
        <v>na</v>
      </c>
      <c r="E60" s="463"/>
      <c r="F60" s="501" t="str">
        <f>PW!O60</f>
        <v>na</v>
      </c>
      <c r="G60" s="511" t="str">
        <f>SW!R60</f>
        <v>na</v>
      </c>
      <c r="H60" s="222" t="str">
        <f>Partit!E60</f>
        <v>na</v>
      </c>
      <c r="I60" s="520" t="str">
        <f>PW!P60</f>
        <v>na</v>
      </c>
      <c r="J60" s="520" t="s">
        <v>232</v>
      </c>
      <c r="K60" s="970" t="s">
        <v>232</v>
      </c>
      <c r="M60" s="1367" t="str">
        <f t="shared" si="37"/>
        <v/>
      </c>
      <c r="N60" s="1368" t="str">
        <f t="shared" si="38"/>
        <v/>
      </c>
      <c r="O60" s="1368" t="str">
        <f t="shared" si="39"/>
        <v/>
      </c>
      <c r="P60" s="1368" t="str">
        <f t="shared" si="40"/>
        <v/>
      </c>
      <c r="Q60" s="1369" t="str">
        <f t="shared" si="41"/>
        <v/>
      </c>
      <c r="R60" s="1367" t="str">
        <f t="shared" si="42"/>
        <v/>
      </c>
      <c r="S60" s="1368" t="str">
        <f t="shared" si="43"/>
        <v/>
      </c>
      <c r="T60" s="1368" t="str">
        <f t="shared" si="44"/>
        <v/>
      </c>
      <c r="U60" s="1369" t="str">
        <f t="shared" si="45"/>
        <v/>
      </c>
      <c r="W60" s="1062"/>
    </row>
    <row r="61" spans="1:23" ht="13.9" customHeight="1" x14ac:dyDescent="0.25">
      <c r="A61" s="847">
        <f>Chem!A61</f>
        <v>59</v>
      </c>
      <c r="B61" s="951" t="str">
        <f>Chem!B61</f>
        <v>Benzo(a)pyrene</v>
      </c>
      <c r="C61" s="946">
        <f t="shared" si="35"/>
        <v>1.5999999999999999E-5</v>
      </c>
      <c r="D61" s="463">
        <f t="shared" si="36"/>
        <v>1.5999999999999999E-5</v>
      </c>
      <c r="E61" s="463"/>
      <c r="F61" s="501">
        <f>PW!O61</f>
        <v>0.2</v>
      </c>
      <c r="G61" s="511">
        <f>SW!R61</f>
        <v>1.5999999999999999E-5</v>
      </c>
      <c r="H61" s="222">
        <f>Partit!E61</f>
        <v>8.6921994144448733E-2</v>
      </c>
      <c r="I61" s="520" t="str">
        <f>PW!P61</f>
        <v>na</v>
      </c>
      <c r="J61" s="520" t="s">
        <v>232</v>
      </c>
      <c r="K61" s="970" t="s">
        <v>232</v>
      </c>
      <c r="M61" s="1367" t="str">
        <f t="shared" si="37"/>
        <v/>
      </c>
      <c r="N61" s="1368" t="str">
        <f t="shared" si="38"/>
        <v>X</v>
      </c>
      <c r="O61" s="1368" t="str">
        <f t="shared" si="39"/>
        <v/>
      </c>
      <c r="P61" s="1368" t="str">
        <f t="shared" si="40"/>
        <v/>
      </c>
      <c r="Q61" s="1369" t="str">
        <f t="shared" si="41"/>
        <v/>
      </c>
      <c r="R61" s="1367" t="str">
        <f t="shared" si="42"/>
        <v>X</v>
      </c>
      <c r="S61" s="1368" t="str">
        <f t="shared" si="43"/>
        <v/>
      </c>
      <c r="T61" s="1368" t="str">
        <f t="shared" si="44"/>
        <v/>
      </c>
      <c r="U61" s="1369" t="str">
        <f t="shared" si="45"/>
        <v/>
      </c>
      <c r="W61" s="1062"/>
    </row>
    <row r="62" spans="1:23" ht="13.9" customHeight="1" x14ac:dyDescent="0.25">
      <c r="A62" s="847">
        <f>Chem!A62</f>
        <v>60</v>
      </c>
      <c r="B62" s="951" t="str">
        <f>Chem!B62</f>
        <v>Chrysene</v>
      </c>
      <c r="C62" s="946">
        <f t="shared" si="35"/>
        <v>1.6E-2</v>
      </c>
      <c r="D62" s="463">
        <f t="shared" si="36"/>
        <v>1.6E-2</v>
      </c>
      <c r="E62" s="463"/>
      <c r="F62" s="501" t="str">
        <f>PW!O62</f>
        <v>na</v>
      </c>
      <c r="G62" s="511">
        <f>SW!R62</f>
        <v>1.6E-2</v>
      </c>
      <c r="H62" s="222">
        <f>Partit!E62</f>
        <v>0.40257614905466493</v>
      </c>
      <c r="I62" s="520" t="str">
        <f>PW!P62</f>
        <v>na</v>
      </c>
      <c r="J62" s="520" t="s">
        <v>232</v>
      </c>
      <c r="K62" s="970" t="s">
        <v>232</v>
      </c>
      <c r="M62" s="1367" t="str">
        <f t="shared" si="37"/>
        <v/>
      </c>
      <c r="N62" s="1368" t="str">
        <f t="shared" si="38"/>
        <v>X</v>
      </c>
      <c r="O62" s="1368" t="str">
        <f t="shared" si="39"/>
        <v/>
      </c>
      <c r="P62" s="1368" t="str">
        <f t="shared" si="40"/>
        <v/>
      </c>
      <c r="Q62" s="1369" t="str">
        <f t="shared" si="41"/>
        <v/>
      </c>
      <c r="R62" s="1367" t="str">
        <f t="shared" si="42"/>
        <v>X</v>
      </c>
      <c r="S62" s="1368" t="str">
        <f t="shared" si="43"/>
        <v/>
      </c>
      <c r="T62" s="1368" t="str">
        <f t="shared" si="44"/>
        <v/>
      </c>
      <c r="U62" s="1369" t="str">
        <f t="shared" si="45"/>
        <v/>
      </c>
      <c r="W62" s="1062"/>
    </row>
    <row r="63" spans="1:23" ht="13.9" customHeight="1" x14ac:dyDescent="0.25">
      <c r="A63" s="847">
        <f>Chem!A63</f>
        <v>61</v>
      </c>
      <c r="B63" s="951" t="str">
        <f>Chem!B63</f>
        <v>Dibenz(a,h)anthracene</v>
      </c>
      <c r="C63" s="946">
        <f t="shared" si="35"/>
        <v>1.5999999999999999E-5</v>
      </c>
      <c r="D63" s="463">
        <f t="shared" si="36"/>
        <v>1.5999999999999999E-5</v>
      </c>
      <c r="E63" s="463"/>
      <c r="F63" s="501" t="str">
        <f>PW!O63</f>
        <v>na</v>
      </c>
      <c r="G63" s="511">
        <f>SW!R63</f>
        <v>1.5999999999999999E-5</v>
      </c>
      <c r="H63" s="222">
        <f>Partit!E63</f>
        <v>6.7659950151090472E-3</v>
      </c>
      <c r="I63" s="520" t="str">
        <f>PW!P63</f>
        <v>na</v>
      </c>
      <c r="J63" s="520" t="s">
        <v>232</v>
      </c>
      <c r="K63" s="970" t="s">
        <v>232</v>
      </c>
      <c r="M63" s="1367" t="str">
        <f t="shared" si="37"/>
        <v/>
      </c>
      <c r="N63" s="1368" t="str">
        <f t="shared" si="38"/>
        <v>X</v>
      </c>
      <c r="O63" s="1368" t="str">
        <f t="shared" si="39"/>
        <v/>
      </c>
      <c r="P63" s="1368" t="str">
        <f t="shared" si="40"/>
        <v/>
      </c>
      <c r="Q63" s="1369" t="str">
        <f t="shared" si="41"/>
        <v/>
      </c>
      <c r="R63" s="1367" t="str">
        <f t="shared" si="42"/>
        <v>X</v>
      </c>
      <c r="S63" s="1368" t="str">
        <f t="shared" si="43"/>
        <v/>
      </c>
      <c r="T63" s="1368" t="str">
        <f t="shared" si="44"/>
        <v/>
      </c>
      <c r="U63" s="1369" t="str">
        <f t="shared" si="45"/>
        <v/>
      </c>
      <c r="W63" s="1062"/>
    </row>
    <row r="64" spans="1:23" ht="13.9" customHeight="1" x14ac:dyDescent="0.25">
      <c r="A64" s="847">
        <f>Chem!A64</f>
        <v>62</v>
      </c>
      <c r="B64" s="951" t="str">
        <f>Chem!B64</f>
        <v>Dibenzofuran</v>
      </c>
      <c r="C64" s="946">
        <f t="shared" si="35"/>
        <v>3.0920230520760006</v>
      </c>
      <c r="D64" s="463">
        <f t="shared" si="36"/>
        <v>3.0920230520760006</v>
      </c>
      <c r="E64" s="463"/>
      <c r="F64" s="501">
        <f>PW!O64</f>
        <v>8</v>
      </c>
      <c r="G64" s="511" t="str">
        <f>SW!R64</f>
        <v>na</v>
      </c>
      <c r="H64" s="222">
        <f>Partit!E64</f>
        <v>3.0920230520760006</v>
      </c>
      <c r="I64" s="520" t="str">
        <f>PW!P64</f>
        <v>na</v>
      </c>
      <c r="J64" s="520" t="s">
        <v>232</v>
      </c>
      <c r="K64" s="970" t="s">
        <v>232</v>
      </c>
      <c r="M64" s="1367" t="str">
        <f t="shared" si="37"/>
        <v/>
      </c>
      <c r="N64" s="1368" t="str">
        <f t="shared" si="38"/>
        <v/>
      </c>
      <c r="O64" s="1368" t="str">
        <f t="shared" si="39"/>
        <v>X</v>
      </c>
      <c r="P64" s="1368" t="str">
        <f t="shared" si="40"/>
        <v/>
      </c>
      <c r="Q64" s="1369" t="str">
        <f t="shared" si="41"/>
        <v/>
      </c>
      <c r="R64" s="1367" t="str">
        <f t="shared" si="42"/>
        <v/>
      </c>
      <c r="S64" s="1368" t="str">
        <f t="shared" si="43"/>
        <v>X</v>
      </c>
      <c r="T64" s="1368" t="str">
        <f t="shared" si="44"/>
        <v/>
      </c>
      <c r="U64" s="1369" t="str">
        <f t="shared" si="45"/>
        <v/>
      </c>
      <c r="W64" s="1062"/>
    </row>
    <row r="65" spans="1:23" ht="13.9" customHeight="1" x14ac:dyDescent="0.25">
      <c r="A65" s="847">
        <f>Chem!A65</f>
        <v>63</v>
      </c>
      <c r="B65" s="951" t="str">
        <f>Chem!B65</f>
        <v>Fluoranthene</v>
      </c>
      <c r="C65" s="946">
        <f t="shared" si="35"/>
        <v>1.8210976366689666</v>
      </c>
      <c r="D65" s="463">
        <f t="shared" si="36"/>
        <v>1.8210976366689666</v>
      </c>
      <c r="E65" s="463"/>
      <c r="F65" s="501">
        <f>PW!O65</f>
        <v>640</v>
      </c>
      <c r="G65" s="511">
        <f>SW!R65</f>
        <v>6</v>
      </c>
      <c r="H65" s="222">
        <f>Partit!E65</f>
        <v>1.8210976366689666</v>
      </c>
      <c r="I65" s="520" t="str">
        <f>PW!P65</f>
        <v>na</v>
      </c>
      <c r="J65" s="520" t="s">
        <v>232</v>
      </c>
      <c r="K65" s="970" t="s">
        <v>232</v>
      </c>
      <c r="M65" s="1367" t="str">
        <f t="shared" si="37"/>
        <v/>
      </c>
      <c r="N65" s="1368" t="str">
        <f t="shared" si="38"/>
        <v/>
      </c>
      <c r="O65" s="1368" t="str">
        <f t="shared" si="39"/>
        <v>X</v>
      </c>
      <c r="P65" s="1368" t="str">
        <f t="shared" si="40"/>
        <v/>
      </c>
      <c r="Q65" s="1369" t="str">
        <f t="shared" si="41"/>
        <v/>
      </c>
      <c r="R65" s="1367" t="str">
        <f t="shared" si="42"/>
        <v/>
      </c>
      <c r="S65" s="1368" t="str">
        <f t="shared" si="43"/>
        <v>X</v>
      </c>
      <c r="T65" s="1368" t="str">
        <f t="shared" si="44"/>
        <v/>
      </c>
      <c r="U65" s="1369" t="str">
        <f t="shared" si="45"/>
        <v/>
      </c>
      <c r="W65" s="1062"/>
    </row>
    <row r="66" spans="1:23" ht="13.9" customHeight="1" x14ac:dyDescent="0.25">
      <c r="A66" s="847">
        <f>Chem!A66</f>
        <v>64</v>
      </c>
      <c r="B66" s="951" t="str">
        <f>Chem!B66</f>
        <v>Fluorene</v>
      </c>
      <c r="C66" s="946">
        <f t="shared" si="35"/>
        <v>3.6711482935958859</v>
      </c>
      <c r="D66" s="463">
        <f t="shared" si="36"/>
        <v>3.6711482935958859</v>
      </c>
      <c r="E66" s="463"/>
      <c r="F66" s="501">
        <f>PW!O66</f>
        <v>320</v>
      </c>
      <c r="G66" s="511">
        <f>SW!R66</f>
        <v>10</v>
      </c>
      <c r="H66" s="222">
        <f>Partit!E66</f>
        <v>3.6711482935958859</v>
      </c>
      <c r="I66" s="520" t="str">
        <f>PW!P66</f>
        <v>na</v>
      </c>
      <c r="J66" s="520" t="s">
        <v>232</v>
      </c>
      <c r="K66" s="970" t="s">
        <v>232</v>
      </c>
      <c r="M66" s="1367" t="str">
        <f t="shared" si="37"/>
        <v/>
      </c>
      <c r="N66" s="1368" t="str">
        <f t="shared" si="38"/>
        <v/>
      </c>
      <c r="O66" s="1368" t="str">
        <f t="shared" si="39"/>
        <v>X</v>
      </c>
      <c r="P66" s="1368" t="str">
        <f t="shared" si="40"/>
        <v/>
      </c>
      <c r="Q66" s="1369" t="str">
        <f t="shared" si="41"/>
        <v/>
      </c>
      <c r="R66" s="1367" t="str">
        <f t="shared" si="42"/>
        <v/>
      </c>
      <c r="S66" s="1368" t="str">
        <f t="shared" si="43"/>
        <v>X</v>
      </c>
      <c r="T66" s="1368" t="str">
        <f t="shared" si="44"/>
        <v/>
      </c>
      <c r="U66" s="1369" t="str">
        <f t="shared" si="45"/>
        <v/>
      </c>
      <c r="W66" s="1062"/>
    </row>
    <row r="67" spans="1:23" ht="13.9" customHeight="1" x14ac:dyDescent="0.25">
      <c r="A67" s="847">
        <f>Chem!A67</f>
        <v>65</v>
      </c>
      <c r="B67" s="951" t="str">
        <f>Chem!B67</f>
        <v>Indeno(1,2,3-cd)pyrene</v>
      </c>
      <c r="C67" s="946">
        <f t="shared" si="35"/>
        <v>1.6000000000000001E-4</v>
      </c>
      <c r="D67" s="463">
        <f t="shared" si="36"/>
        <v>1.6000000000000001E-4</v>
      </c>
      <c r="E67" s="463"/>
      <c r="F67" s="501" t="str">
        <f>PW!O67</f>
        <v>na</v>
      </c>
      <c r="G67" s="511">
        <f>SW!R67</f>
        <v>1.6000000000000001E-4</v>
      </c>
      <c r="H67" s="222">
        <f>Partit!E67</f>
        <v>1.6194068446135471E-2</v>
      </c>
      <c r="I67" s="520" t="str">
        <f>PW!P67</f>
        <v>na</v>
      </c>
      <c r="J67" s="520" t="s">
        <v>232</v>
      </c>
      <c r="K67" s="970" t="s">
        <v>232</v>
      </c>
      <c r="M67" s="1367" t="str">
        <f t="shared" si="37"/>
        <v/>
      </c>
      <c r="N67" s="1368" t="str">
        <f t="shared" si="38"/>
        <v>X</v>
      </c>
      <c r="O67" s="1368" t="str">
        <f t="shared" si="39"/>
        <v/>
      </c>
      <c r="P67" s="1368" t="str">
        <f t="shared" si="40"/>
        <v/>
      </c>
      <c r="Q67" s="1369" t="str">
        <f t="shared" si="41"/>
        <v/>
      </c>
      <c r="R67" s="1367" t="str">
        <f t="shared" si="42"/>
        <v>X</v>
      </c>
      <c r="S67" s="1368" t="str">
        <f t="shared" si="43"/>
        <v/>
      </c>
      <c r="T67" s="1368" t="str">
        <f t="shared" si="44"/>
        <v/>
      </c>
      <c r="U67" s="1369" t="str">
        <f t="shared" si="45"/>
        <v/>
      </c>
      <c r="W67" s="1062"/>
    </row>
    <row r="68" spans="1:23" ht="13.9" customHeight="1" x14ac:dyDescent="0.25">
      <c r="A68" s="847">
        <f>Chem!A68</f>
        <v>66</v>
      </c>
      <c r="B68" s="951" t="str">
        <f>Chem!B68</f>
        <v>Methyl isopropyl phenanthrene (retene)</v>
      </c>
      <c r="C68" s="946" t="str">
        <f t="shared" si="35"/>
        <v>na</v>
      </c>
      <c r="D68" s="463" t="str">
        <f t="shared" si="36"/>
        <v>na</v>
      </c>
      <c r="E68" s="463"/>
      <c r="F68" s="501" t="str">
        <f>PW!O68</f>
        <v>na</v>
      </c>
      <c r="G68" s="511" t="str">
        <f>SW!R68</f>
        <v>na</v>
      </c>
      <c r="H68" s="222" t="str">
        <f>Partit!E68</f>
        <v>na</v>
      </c>
      <c r="I68" s="520" t="str">
        <f>PW!P68</f>
        <v>na</v>
      </c>
      <c r="J68" s="520" t="s">
        <v>232</v>
      </c>
      <c r="K68" s="970" t="s">
        <v>232</v>
      </c>
      <c r="M68" s="1367" t="str">
        <f t="shared" si="37"/>
        <v/>
      </c>
      <c r="N68" s="1368" t="str">
        <f t="shared" si="38"/>
        <v/>
      </c>
      <c r="O68" s="1368" t="str">
        <f t="shared" si="39"/>
        <v/>
      </c>
      <c r="P68" s="1368" t="str">
        <f t="shared" si="40"/>
        <v/>
      </c>
      <c r="Q68" s="1369" t="str">
        <f t="shared" si="41"/>
        <v/>
      </c>
      <c r="R68" s="1367" t="str">
        <f t="shared" si="42"/>
        <v/>
      </c>
      <c r="S68" s="1368" t="str">
        <f t="shared" si="43"/>
        <v/>
      </c>
      <c r="T68" s="1368" t="str">
        <f t="shared" si="44"/>
        <v/>
      </c>
      <c r="U68" s="1369" t="str">
        <f t="shared" si="45"/>
        <v/>
      </c>
      <c r="W68" s="1062"/>
    </row>
    <row r="69" spans="1:23" ht="13.9" customHeight="1" x14ac:dyDescent="0.25">
      <c r="A69" s="847">
        <f>Chem!A69</f>
        <v>67</v>
      </c>
      <c r="B69" s="951" t="str">
        <f>Chem!B69</f>
        <v>1-Methylnaphthalene</v>
      </c>
      <c r="C69" s="946">
        <f t="shared" si="35"/>
        <v>0.16803059789085045</v>
      </c>
      <c r="D69" s="463">
        <f t="shared" si="36"/>
        <v>0.16803059789085045</v>
      </c>
      <c r="E69" s="463"/>
      <c r="F69" s="501">
        <f>PW!O69</f>
        <v>0.8578431372549018</v>
      </c>
      <c r="G69" s="511" t="str">
        <f>SW!R69</f>
        <v>na</v>
      </c>
      <c r="H69" s="222" t="str">
        <f>Partit!E69</f>
        <v>na</v>
      </c>
      <c r="I69" s="520">
        <f>PW!P69</f>
        <v>0.16803059789085045</v>
      </c>
      <c r="J69" s="520" t="s">
        <v>232</v>
      </c>
      <c r="K69" s="970" t="s">
        <v>232</v>
      </c>
      <c r="M69" s="1367" t="str">
        <f t="shared" si="37"/>
        <v/>
      </c>
      <c r="N69" s="1368" t="str">
        <f t="shared" si="38"/>
        <v/>
      </c>
      <c r="O69" s="1368" t="str">
        <f t="shared" si="39"/>
        <v/>
      </c>
      <c r="P69" s="1368" t="str">
        <f t="shared" si="40"/>
        <v>X</v>
      </c>
      <c r="Q69" s="1369" t="str">
        <f t="shared" si="41"/>
        <v/>
      </c>
      <c r="R69" s="1367" t="str">
        <f t="shared" si="42"/>
        <v/>
      </c>
      <c r="S69" s="1368" t="str">
        <f t="shared" si="43"/>
        <v/>
      </c>
      <c r="T69" s="1368" t="str">
        <f t="shared" si="44"/>
        <v>X</v>
      </c>
      <c r="U69" s="1369" t="str">
        <f t="shared" si="45"/>
        <v/>
      </c>
      <c r="W69" s="1062"/>
    </row>
    <row r="70" spans="1:23" ht="13.9" customHeight="1" x14ac:dyDescent="0.25">
      <c r="A70" s="847">
        <f>Chem!A70</f>
        <v>68</v>
      </c>
      <c r="B70" s="951" t="str">
        <f>Chem!B70</f>
        <v>2-Methylnaphthalene</v>
      </c>
      <c r="C70" s="946">
        <f t="shared" si="35"/>
        <v>14.039369399351651</v>
      </c>
      <c r="D70" s="463">
        <f t="shared" si="36"/>
        <v>14.039369399351651</v>
      </c>
      <c r="E70" s="463"/>
      <c r="F70" s="501">
        <f>PW!O70</f>
        <v>32</v>
      </c>
      <c r="G70" s="511" t="str">
        <f>SW!R70</f>
        <v>na</v>
      </c>
      <c r="H70" s="222">
        <f>Partit!E70</f>
        <v>14.039369399351651</v>
      </c>
      <c r="I70" s="520" t="str">
        <f>PW!P70</f>
        <v>na</v>
      </c>
      <c r="J70" s="520" t="s">
        <v>232</v>
      </c>
      <c r="K70" s="970" t="s">
        <v>232</v>
      </c>
      <c r="M70" s="1367" t="str">
        <f t="shared" si="37"/>
        <v/>
      </c>
      <c r="N70" s="1368" t="str">
        <f t="shared" si="38"/>
        <v/>
      </c>
      <c r="O70" s="1368" t="str">
        <f t="shared" si="39"/>
        <v>X</v>
      </c>
      <c r="P70" s="1368" t="str">
        <f t="shared" si="40"/>
        <v/>
      </c>
      <c r="Q70" s="1369" t="str">
        <f t="shared" si="41"/>
        <v/>
      </c>
      <c r="R70" s="1367" t="str">
        <f t="shared" si="42"/>
        <v/>
      </c>
      <c r="S70" s="1368" t="str">
        <f t="shared" si="43"/>
        <v>X</v>
      </c>
      <c r="T70" s="1368" t="str">
        <f t="shared" si="44"/>
        <v/>
      </c>
      <c r="U70" s="1369" t="str">
        <f t="shared" si="45"/>
        <v/>
      </c>
      <c r="W70" s="1062"/>
    </row>
    <row r="71" spans="1:23" ht="13.9" customHeight="1" x14ac:dyDescent="0.25">
      <c r="A71" s="847">
        <f>Chem!A71</f>
        <v>69</v>
      </c>
      <c r="B71" s="951" t="str">
        <f>Chem!B71</f>
        <v>Naphthalene</v>
      </c>
      <c r="C71" s="946">
        <f t="shared" si="35"/>
        <v>1.4</v>
      </c>
      <c r="D71" s="463">
        <f t="shared" si="36"/>
        <v>1.4</v>
      </c>
      <c r="E71" s="463"/>
      <c r="F71" s="501">
        <f>PW!O71</f>
        <v>160</v>
      </c>
      <c r="G71" s="511">
        <f>SW!R71</f>
        <v>1.4</v>
      </c>
      <c r="H71" s="222">
        <f>Partit!E71</f>
        <v>90.466778166337249</v>
      </c>
      <c r="I71" s="520">
        <f>PW!P71</f>
        <v>8.8387382195720665</v>
      </c>
      <c r="J71" s="520" t="s">
        <v>232</v>
      </c>
      <c r="K71" s="970" t="s">
        <v>232</v>
      </c>
      <c r="M71" s="1367" t="str">
        <f t="shared" si="37"/>
        <v/>
      </c>
      <c r="N71" s="1368" t="str">
        <f t="shared" si="38"/>
        <v>X</v>
      </c>
      <c r="O71" s="1368" t="str">
        <f t="shared" si="39"/>
        <v/>
      </c>
      <c r="P71" s="1368" t="str">
        <f t="shared" si="40"/>
        <v/>
      </c>
      <c r="Q71" s="1369" t="str">
        <f t="shared" si="41"/>
        <v/>
      </c>
      <c r="R71" s="1367" t="str">
        <f t="shared" si="42"/>
        <v>X</v>
      </c>
      <c r="S71" s="1368" t="str">
        <f t="shared" si="43"/>
        <v/>
      </c>
      <c r="T71" s="1368" t="str">
        <f t="shared" si="44"/>
        <v/>
      </c>
      <c r="U71" s="1369" t="str">
        <f t="shared" si="45"/>
        <v/>
      </c>
      <c r="W71" s="1062"/>
    </row>
    <row r="72" spans="1:23" ht="13.9" customHeight="1" x14ac:dyDescent="0.25">
      <c r="A72" s="847">
        <f>Chem!A72</f>
        <v>70</v>
      </c>
      <c r="B72" s="951" t="str">
        <f>Chem!B72</f>
        <v>Phenanthrene</v>
      </c>
      <c r="C72" s="946" t="str">
        <f t="shared" si="35"/>
        <v>na</v>
      </c>
      <c r="D72" s="463" t="str">
        <f t="shared" si="36"/>
        <v>na</v>
      </c>
      <c r="E72" s="463"/>
      <c r="F72" s="501" t="str">
        <f>PW!O72</f>
        <v>na</v>
      </c>
      <c r="G72" s="511" t="str">
        <f>SW!R72</f>
        <v>na</v>
      </c>
      <c r="H72" s="222" t="str">
        <f>Partit!E72</f>
        <v>na</v>
      </c>
      <c r="I72" s="520" t="str">
        <f>PW!P72</f>
        <v>na</v>
      </c>
      <c r="J72" s="520" t="s">
        <v>232</v>
      </c>
      <c r="K72" s="970" t="s">
        <v>232</v>
      </c>
      <c r="M72" s="1367" t="str">
        <f t="shared" si="37"/>
        <v/>
      </c>
      <c r="N72" s="1368" t="str">
        <f t="shared" si="38"/>
        <v/>
      </c>
      <c r="O72" s="1368" t="str">
        <f t="shared" si="39"/>
        <v/>
      </c>
      <c r="P72" s="1368" t="str">
        <f t="shared" si="40"/>
        <v/>
      </c>
      <c r="Q72" s="1369" t="str">
        <f t="shared" si="41"/>
        <v/>
      </c>
      <c r="R72" s="1367" t="str">
        <f t="shared" si="42"/>
        <v/>
      </c>
      <c r="S72" s="1368" t="str">
        <f t="shared" si="43"/>
        <v/>
      </c>
      <c r="T72" s="1368" t="str">
        <f t="shared" si="44"/>
        <v/>
      </c>
      <c r="U72" s="1369" t="str">
        <f t="shared" si="45"/>
        <v/>
      </c>
      <c r="W72" s="1062"/>
    </row>
    <row r="73" spans="1:23" ht="13.9" customHeight="1" x14ac:dyDescent="0.25">
      <c r="A73" s="847">
        <f>Chem!A73</f>
        <v>71</v>
      </c>
      <c r="B73" s="951" t="str">
        <f>Chem!B73</f>
        <v>Pyrene</v>
      </c>
      <c r="C73" s="946">
        <f t="shared" si="35"/>
        <v>2.0114452142849015</v>
      </c>
      <c r="D73" s="463">
        <f t="shared" si="36"/>
        <v>2.0114452142849015</v>
      </c>
      <c r="E73" s="463"/>
      <c r="F73" s="501">
        <f>PW!O73</f>
        <v>240</v>
      </c>
      <c r="G73" s="511">
        <f>SW!R73</f>
        <v>8</v>
      </c>
      <c r="H73" s="222">
        <f>Partit!E73</f>
        <v>2.0114452142849015</v>
      </c>
      <c r="I73" s="520" t="str">
        <f>PW!P73</f>
        <v>na</v>
      </c>
      <c r="J73" s="520" t="s">
        <v>232</v>
      </c>
      <c r="K73" s="970" t="s">
        <v>232</v>
      </c>
      <c r="M73" s="1367" t="str">
        <f t="shared" si="37"/>
        <v/>
      </c>
      <c r="N73" s="1368" t="str">
        <f t="shared" si="38"/>
        <v/>
      </c>
      <c r="O73" s="1368" t="str">
        <f t="shared" si="39"/>
        <v>X</v>
      </c>
      <c r="P73" s="1368" t="str">
        <f t="shared" si="40"/>
        <v/>
      </c>
      <c r="Q73" s="1369" t="str">
        <f t="shared" si="41"/>
        <v/>
      </c>
      <c r="R73" s="1367" t="str">
        <f t="shared" si="42"/>
        <v/>
      </c>
      <c r="S73" s="1368" t="str">
        <f t="shared" si="43"/>
        <v>X</v>
      </c>
      <c r="T73" s="1368" t="str">
        <f t="shared" si="44"/>
        <v/>
      </c>
      <c r="U73" s="1369" t="str">
        <f t="shared" si="45"/>
        <v/>
      </c>
      <c r="W73" s="1062"/>
    </row>
    <row r="74" spans="1:23" ht="13.9" customHeight="1" x14ac:dyDescent="0.25">
      <c r="A74" s="847">
        <f>Chem!A74</f>
        <v>72</v>
      </c>
      <c r="B74" s="951" t="str">
        <f>Chem!B74</f>
        <v>Total LPAHs</v>
      </c>
      <c r="C74" s="946" t="str">
        <f t="shared" si="35"/>
        <v>na</v>
      </c>
      <c r="D74" s="463" t="str">
        <f t="shared" si="36"/>
        <v>na</v>
      </c>
      <c r="E74" s="463"/>
      <c r="F74" s="501" t="str">
        <f>PW!O74</f>
        <v>na</v>
      </c>
      <c r="G74" s="511" t="str">
        <f>SW!R74</f>
        <v>na</v>
      </c>
      <c r="H74" s="222" t="str">
        <f>Partit!E74</f>
        <v>na</v>
      </c>
      <c r="I74" s="520" t="str">
        <f>PW!P74</f>
        <v>na</v>
      </c>
      <c r="J74" s="520" t="s">
        <v>232</v>
      </c>
      <c r="K74" s="970" t="s">
        <v>232</v>
      </c>
      <c r="M74" s="1367" t="str">
        <f t="shared" si="37"/>
        <v/>
      </c>
      <c r="N74" s="1368" t="str">
        <f t="shared" si="38"/>
        <v/>
      </c>
      <c r="O74" s="1368" t="str">
        <f t="shared" si="39"/>
        <v/>
      </c>
      <c r="P74" s="1368" t="str">
        <f t="shared" si="40"/>
        <v/>
      </c>
      <c r="Q74" s="1369" t="str">
        <f t="shared" si="41"/>
        <v/>
      </c>
      <c r="R74" s="1367" t="str">
        <f t="shared" si="42"/>
        <v/>
      </c>
      <c r="S74" s="1368" t="str">
        <f t="shared" si="43"/>
        <v/>
      </c>
      <c r="T74" s="1368" t="str">
        <f t="shared" si="44"/>
        <v/>
      </c>
      <c r="U74" s="1369" t="str">
        <f t="shared" si="45"/>
        <v/>
      </c>
      <c r="W74" s="1062"/>
    </row>
    <row r="75" spans="1:23" ht="13.9" customHeight="1" x14ac:dyDescent="0.25">
      <c r="A75" s="847">
        <f>Chem!A75</f>
        <v>73</v>
      </c>
      <c r="B75" s="951" t="str">
        <f>Chem!B75</f>
        <v>Total HPAHs</v>
      </c>
      <c r="C75" s="954" t="str">
        <f t="shared" si="35"/>
        <v>na</v>
      </c>
      <c r="D75" s="496" t="str">
        <f t="shared" si="36"/>
        <v>na</v>
      </c>
      <c r="E75" s="496"/>
      <c r="F75" s="502" t="str">
        <f>PW!O75</f>
        <v>na</v>
      </c>
      <c r="G75" s="512" t="str">
        <f>SW!R75</f>
        <v>na</v>
      </c>
      <c r="H75" s="224" t="str">
        <f>Partit!E75</f>
        <v>na</v>
      </c>
      <c r="I75" s="522" t="str">
        <f>PW!P75</f>
        <v>na</v>
      </c>
      <c r="J75" s="522" t="s">
        <v>232</v>
      </c>
      <c r="K75" s="970" t="s">
        <v>232</v>
      </c>
      <c r="M75" s="1367" t="str">
        <f t="shared" si="37"/>
        <v/>
      </c>
      <c r="N75" s="1368" t="str">
        <f t="shared" si="38"/>
        <v/>
      </c>
      <c r="O75" s="1368" t="str">
        <f t="shared" si="39"/>
        <v/>
      </c>
      <c r="P75" s="1368" t="str">
        <f t="shared" si="40"/>
        <v/>
      </c>
      <c r="Q75" s="1369" t="str">
        <f t="shared" si="41"/>
        <v/>
      </c>
      <c r="R75" s="1367" t="str">
        <f t="shared" si="42"/>
        <v/>
      </c>
      <c r="S75" s="1368" t="str">
        <f t="shared" si="43"/>
        <v/>
      </c>
      <c r="T75" s="1368" t="str">
        <f t="shared" si="44"/>
        <v/>
      </c>
      <c r="U75" s="1369" t="str">
        <f t="shared" si="45"/>
        <v/>
      </c>
      <c r="W75" s="1062"/>
    </row>
    <row r="76" spans="1:23" ht="13.9" customHeight="1" x14ac:dyDescent="0.25">
      <c r="A76" s="842">
        <f>Chem!A76</f>
        <v>74</v>
      </c>
      <c r="B76" s="951" t="str">
        <f>Chem!B76</f>
        <v>Total PAHs</v>
      </c>
      <c r="C76" s="954" t="str">
        <f t="shared" si="35"/>
        <v>na</v>
      </c>
      <c r="D76" s="496" t="str">
        <f t="shared" si="36"/>
        <v>na</v>
      </c>
      <c r="E76" s="496"/>
      <c r="F76" s="502" t="str">
        <f>PW!O76</f>
        <v>na</v>
      </c>
      <c r="G76" s="512" t="str">
        <f>SW!R76</f>
        <v>na</v>
      </c>
      <c r="H76" s="224" t="str">
        <f>Partit!E76</f>
        <v>na</v>
      </c>
      <c r="I76" s="522" t="str">
        <f>PW!P76</f>
        <v>na</v>
      </c>
      <c r="J76" s="522" t="s">
        <v>232</v>
      </c>
      <c r="K76" s="970" t="s">
        <v>232</v>
      </c>
      <c r="M76" s="1367" t="str">
        <f t="shared" si="37"/>
        <v/>
      </c>
      <c r="N76" s="1368" t="str">
        <f t="shared" si="38"/>
        <v/>
      </c>
      <c r="O76" s="1368" t="str">
        <f t="shared" si="39"/>
        <v/>
      </c>
      <c r="P76" s="1368" t="str">
        <f t="shared" si="40"/>
        <v/>
      </c>
      <c r="Q76" s="1369" t="str">
        <f t="shared" si="41"/>
        <v/>
      </c>
      <c r="R76" s="1367" t="str">
        <f t="shared" si="42"/>
        <v/>
      </c>
      <c r="S76" s="1368" t="str">
        <f t="shared" si="43"/>
        <v/>
      </c>
      <c r="T76" s="1368" t="str">
        <f t="shared" si="44"/>
        <v/>
      </c>
      <c r="U76" s="1369" t="str">
        <f t="shared" si="45"/>
        <v/>
      </c>
      <c r="W76" s="1062"/>
    </row>
    <row r="77" spans="1:23" ht="13.9" customHeight="1" x14ac:dyDescent="0.25">
      <c r="A77" s="844">
        <f>Chem!A77</f>
        <v>75</v>
      </c>
      <c r="B77" s="951" t="str">
        <f>Chem!B77</f>
        <v>Total cPAH TEQ</v>
      </c>
      <c r="C77" s="946">
        <f t="shared" si="35"/>
        <v>1.5999999999999999E-5</v>
      </c>
      <c r="D77" s="463">
        <f t="shared" si="36"/>
        <v>1.5999999999999999E-5</v>
      </c>
      <c r="E77" s="463"/>
      <c r="F77" s="501">
        <f>PW!O77</f>
        <v>0.2</v>
      </c>
      <c r="G77" s="511">
        <f>SW!R77</f>
        <v>1.5999999999999999E-5</v>
      </c>
      <c r="H77" s="222">
        <f>Partit!E77</f>
        <v>3.205248534076547E-2</v>
      </c>
      <c r="I77" s="520" t="str">
        <f>PW!P77</f>
        <v>na</v>
      </c>
      <c r="J77" s="520" t="s">
        <v>232</v>
      </c>
      <c r="K77" s="970" t="s">
        <v>232</v>
      </c>
      <c r="M77" s="1370" t="str">
        <f t="shared" si="37"/>
        <v/>
      </c>
      <c r="N77" s="1371" t="str">
        <f t="shared" si="38"/>
        <v>X</v>
      </c>
      <c r="O77" s="1371" t="str">
        <f t="shared" si="39"/>
        <v/>
      </c>
      <c r="P77" s="1371" t="str">
        <f t="shared" si="40"/>
        <v/>
      </c>
      <c r="Q77" s="1372" t="str">
        <f t="shared" si="41"/>
        <v/>
      </c>
      <c r="R77" s="1370" t="str">
        <f t="shared" si="42"/>
        <v>X</v>
      </c>
      <c r="S77" s="1371" t="str">
        <f t="shared" si="43"/>
        <v/>
      </c>
      <c r="T77" s="1371" t="str">
        <f t="shared" si="44"/>
        <v/>
      </c>
      <c r="U77" s="1372" t="str">
        <f t="shared" si="45"/>
        <v/>
      </c>
      <c r="W77" s="1062"/>
    </row>
    <row r="78" spans="1:23" ht="13.9" customHeight="1" x14ac:dyDescent="0.25">
      <c r="A78" s="906">
        <f>Chem!A78</f>
        <v>76</v>
      </c>
      <c r="B78" s="953" t="str">
        <f>Chem!B78</f>
        <v>Other SVOCs</v>
      </c>
      <c r="C78" s="54"/>
      <c r="D78" s="54"/>
      <c r="E78" s="54"/>
      <c r="F78" s="54"/>
      <c r="G78" s="54"/>
      <c r="H78" s="29"/>
      <c r="I78" s="29"/>
      <c r="J78" s="29"/>
      <c r="K78" s="166"/>
      <c r="M78" s="122" t="str">
        <f>B78</f>
        <v>Other SVOCs</v>
      </c>
      <c r="N78" s="2333"/>
      <c r="O78" s="2333"/>
      <c r="P78" s="2333"/>
      <c r="Q78" s="2333"/>
      <c r="R78" s="2333"/>
      <c r="S78" s="2333"/>
      <c r="T78" s="2333"/>
      <c r="U78" s="2334"/>
      <c r="W78" s="1063"/>
    </row>
    <row r="79" spans="1:23" ht="13.9" customHeight="1" x14ac:dyDescent="0.25">
      <c r="A79" s="846">
        <f>Chem!A79</f>
        <v>77</v>
      </c>
      <c r="B79" s="951" t="str">
        <f>Chem!B79</f>
        <v>Aniline</v>
      </c>
      <c r="C79" s="946">
        <f t="shared" ref="C79:C145" si="46">IF(AND($F79="na",$G79="na",$H79="na",$I79="na"),"na",IF(AND(ISNUMBER($K79),MIN($F79:$I79)&lt;$K79),$K79,MIN($F79:$I79)))</f>
        <v>15.350877192982452</v>
      </c>
      <c r="D79" s="463" t="str">
        <f t="shared" ref="D79:D145" si="47">IF(AND($G79="na",$H79="na",$I79="na"),"na",IF(AND(ISNUMBER($K79),MIN($G79:$I79)&lt;$K79),$K79,MIN($G79:$I79)))</f>
        <v>na</v>
      </c>
      <c r="E79" s="463"/>
      <c r="F79" s="501">
        <f>PW!O79</f>
        <v>15.350877192982452</v>
      </c>
      <c r="G79" s="511" t="str">
        <f>SW!R79</f>
        <v>na</v>
      </c>
      <c r="H79" s="222" t="str">
        <f>Partit!E79</f>
        <v>na</v>
      </c>
      <c r="I79" s="520" t="str">
        <f>PW!P79</f>
        <v>na</v>
      </c>
      <c r="J79" s="520" t="s">
        <v>232</v>
      </c>
      <c r="K79" s="970" t="s">
        <v>232</v>
      </c>
      <c r="M79" s="1373" t="str">
        <f t="shared" ref="M79:M110" si="48">IF($C79="na","",IF($C79=$F79,"X",""))</f>
        <v>X</v>
      </c>
      <c r="N79" s="1374" t="str">
        <f t="shared" ref="N79:N110" si="49">IF($C79="na","",IF($C79=$G79,"X",""))</f>
        <v/>
      </c>
      <c r="O79" s="1374" t="str">
        <f t="shared" ref="O79:O110" si="50">IF($C79="na","",IF($C79=$H79,"X",""))</f>
        <v/>
      </c>
      <c r="P79" s="1374" t="str">
        <f t="shared" ref="P79:P110" si="51">IF($C79="na","",IF($C79=$I79,"X",""))</f>
        <v/>
      </c>
      <c r="Q79" s="1375" t="str">
        <f t="shared" ref="Q79:Q110" si="52">IF($C79="na","",IF($C79=$K79,"X",""))</f>
        <v/>
      </c>
      <c r="R79" s="1373" t="str">
        <f t="shared" ref="R79:R110" si="53">IF($D79="na","",IF($D79=$G79,"X",""))</f>
        <v/>
      </c>
      <c r="S79" s="1374" t="str">
        <f t="shared" ref="S79:S110" si="54">IF($D79="na","",IF($D79=$H79,"X",""))</f>
        <v/>
      </c>
      <c r="T79" s="1374" t="str">
        <f t="shared" ref="T79:T110" si="55">IF($D79="na","",IF($D79=$I79,"X",""))</f>
        <v/>
      </c>
      <c r="U79" s="1375" t="str">
        <f t="shared" ref="U79:U110" si="56">IF($D79="na","",IF($D79=$K79,"X",""))</f>
        <v/>
      </c>
      <c r="W79" s="1062"/>
    </row>
    <row r="80" spans="1:23" ht="13.9" customHeight="1" x14ac:dyDescent="0.25">
      <c r="A80" s="847">
        <f>Chem!A80</f>
        <v>78</v>
      </c>
      <c r="B80" s="951" t="str">
        <f>Chem!B80</f>
        <v>Azobenzene</v>
      </c>
      <c r="C80" s="954">
        <f t="shared" si="46"/>
        <v>0.39772727272727265</v>
      </c>
      <c r="D80" s="496" t="str">
        <f t="shared" si="47"/>
        <v>na</v>
      </c>
      <c r="E80" s="496"/>
      <c r="F80" s="502">
        <f>PW!O80</f>
        <v>0.39772727272727265</v>
      </c>
      <c r="G80" s="512" t="str">
        <f>SW!R80</f>
        <v>na</v>
      </c>
      <c r="H80" s="224" t="str">
        <f>Partit!E80</f>
        <v>na</v>
      </c>
      <c r="I80" s="522" t="str">
        <f>PW!P80</f>
        <v>na</v>
      </c>
      <c r="J80" s="522" t="s">
        <v>232</v>
      </c>
      <c r="K80" s="970" t="s">
        <v>232</v>
      </c>
      <c r="M80" s="1367" t="str">
        <f t="shared" si="48"/>
        <v>X</v>
      </c>
      <c r="N80" s="1368" t="str">
        <f t="shared" si="49"/>
        <v/>
      </c>
      <c r="O80" s="1368" t="str">
        <f t="shared" si="50"/>
        <v/>
      </c>
      <c r="P80" s="1368" t="str">
        <f t="shared" si="51"/>
        <v/>
      </c>
      <c r="Q80" s="1369" t="str">
        <f t="shared" si="52"/>
        <v/>
      </c>
      <c r="R80" s="1367" t="str">
        <f t="shared" si="53"/>
        <v/>
      </c>
      <c r="S80" s="1368" t="str">
        <f t="shared" si="54"/>
        <v/>
      </c>
      <c r="T80" s="1368" t="str">
        <f t="shared" si="55"/>
        <v/>
      </c>
      <c r="U80" s="1369" t="str">
        <f t="shared" si="56"/>
        <v/>
      </c>
      <c r="W80" s="1062"/>
    </row>
    <row r="81" spans="1:23" ht="13.9" customHeight="1" x14ac:dyDescent="0.25">
      <c r="A81" s="847">
        <f>Chem!A81</f>
        <v>79</v>
      </c>
      <c r="B81" s="951" t="str">
        <f>Chem!B81</f>
        <v>Benzidine</v>
      </c>
      <c r="C81" s="946">
        <f t="shared" si="46"/>
        <v>2.3E-5</v>
      </c>
      <c r="D81" s="463">
        <f t="shared" si="47"/>
        <v>2.3E-5</v>
      </c>
      <c r="E81" s="463"/>
      <c r="F81" s="501">
        <f>PW!O81</f>
        <v>1E-4</v>
      </c>
      <c r="G81" s="511">
        <f>SW!R81</f>
        <v>2.3E-5</v>
      </c>
      <c r="H81" s="222" t="str">
        <f>Partit!E81</f>
        <v>na</v>
      </c>
      <c r="I81" s="520" t="str">
        <f>PW!P81</f>
        <v>na</v>
      </c>
      <c r="J81" s="520" t="s">
        <v>232</v>
      </c>
      <c r="K81" s="970" t="s">
        <v>232</v>
      </c>
      <c r="M81" s="1367" t="str">
        <f t="shared" si="48"/>
        <v/>
      </c>
      <c r="N81" s="1368" t="str">
        <f t="shared" si="49"/>
        <v>X</v>
      </c>
      <c r="O81" s="1368" t="str">
        <f t="shared" si="50"/>
        <v/>
      </c>
      <c r="P81" s="1368" t="str">
        <f t="shared" si="51"/>
        <v/>
      </c>
      <c r="Q81" s="1369" t="str">
        <f t="shared" si="52"/>
        <v/>
      </c>
      <c r="R81" s="1367" t="str">
        <f t="shared" si="53"/>
        <v>X</v>
      </c>
      <c r="S81" s="1368" t="str">
        <f t="shared" si="54"/>
        <v/>
      </c>
      <c r="T81" s="1368" t="str">
        <f t="shared" si="55"/>
        <v/>
      </c>
      <c r="U81" s="1369" t="str">
        <f t="shared" si="56"/>
        <v/>
      </c>
      <c r="W81" s="1062"/>
    </row>
    <row r="82" spans="1:23" ht="13.9" customHeight="1" x14ac:dyDescent="0.25">
      <c r="A82" s="847">
        <f>Chem!A82</f>
        <v>80</v>
      </c>
      <c r="B82" s="951" t="str">
        <f>Chem!B82</f>
        <v>Benzoic acid</v>
      </c>
      <c r="C82" s="946">
        <f t="shared" si="46"/>
        <v>1061.1288990245105</v>
      </c>
      <c r="D82" s="463">
        <f t="shared" si="47"/>
        <v>1061.1288990245105</v>
      </c>
      <c r="E82" s="463"/>
      <c r="F82" s="501">
        <f>PW!O82</f>
        <v>64000</v>
      </c>
      <c r="G82" s="511" t="str">
        <f>SW!R82</f>
        <v>na</v>
      </c>
      <c r="H82" s="222">
        <f>Partit!E82</f>
        <v>1061.1288990245105</v>
      </c>
      <c r="I82" s="520" t="str">
        <f>PW!P82</f>
        <v>na</v>
      </c>
      <c r="J82" s="520" t="s">
        <v>232</v>
      </c>
      <c r="K82" s="970" t="s">
        <v>232</v>
      </c>
      <c r="M82" s="1367" t="str">
        <f t="shared" si="48"/>
        <v/>
      </c>
      <c r="N82" s="1368" t="str">
        <f t="shared" si="49"/>
        <v/>
      </c>
      <c r="O82" s="1368" t="str">
        <f t="shared" si="50"/>
        <v>X</v>
      </c>
      <c r="P82" s="1368" t="str">
        <f t="shared" si="51"/>
        <v/>
      </c>
      <c r="Q82" s="1369" t="str">
        <f t="shared" si="52"/>
        <v/>
      </c>
      <c r="R82" s="1367" t="str">
        <f t="shared" si="53"/>
        <v/>
      </c>
      <c r="S82" s="1368" t="str">
        <f t="shared" si="54"/>
        <v>X</v>
      </c>
      <c r="T82" s="1368" t="str">
        <f t="shared" si="55"/>
        <v/>
      </c>
      <c r="U82" s="1369" t="str">
        <f t="shared" si="56"/>
        <v/>
      </c>
      <c r="W82" s="1062"/>
    </row>
    <row r="83" spans="1:23" ht="13.9" customHeight="1" x14ac:dyDescent="0.25">
      <c r="A83" s="847">
        <f>Chem!A83</f>
        <v>81</v>
      </c>
      <c r="B83" s="951" t="str">
        <f>Chem!B83</f>
        <v>Benzyl alcohol</v>
      </c>
      <c r="C83" s="954">
        <f t="shared" si="46"/>
        <v>56.355229870016579</v>
      </c>
      <c r="D83" s="496">
        <f t="shared" si="47"/>
        <v>56.355229870016579</v>
      </c>
      <c r="E83" s="496"/>
      <c r="F83" s="502">
        <f>PW!O83</f>
        <v>1600</v>
      </c>
      <c r="G83" s="512" t="str">
        <f>SW!R83</f>
        <v>na</v>
      </c>
      <c r="H83" s="224">
        <f>Partit!E83</f>
        <v>56.355229870016579</v>
      </c>
      <c r="I83" s="522" t="str">
        <f>PW!P83</f>
        <v>na</v>
      </c>
      <c r="J83" s="522" t="s">
        <v>232</v>
      </c>
      <c r="K83" s="970" t="s">
        <v>232</v>
      </c>
      <c r="M83" s="1367" t="str">
        <f t="shared" si="48"/>
        <v/>
      </c>
      <c r="N83" s="1368" t="str">
        <f t="shared" si="49"/>
        <v/>
      </c>
      <c r="O83" s="1368" t="str">
        <f t="shared" si="50"/>
        <v>X</v>
      </c>
      <c r="P83" s="1368" t="str">
        <f t="shared" si="51"/>
        <v/>
      </c>
      <c r="Q83" s="1369" t="str">
        <f t="shared" si="52"/>
        <v/>
      </c>
      <c r="R83" s="1367" t="str">
        <f t="shared" si="53"/>
        <v/>
      </c>
      <c r="S83" s="1368" t="str">
        <f t="shared" si="54"/>
        <v>X</v>
      </c>
      <c r="T83" s="1368" t="str">
        <f t="shared" si="55"/>
        <v/>
      </c>
      <c r="U83" s="1369" t="str">
        <f t="shared" si="56"/>
        <v/>
      </c>
      <c r="W83" s="1062"/>
    </row>
    <row r="84" spans="1:23" ht="13.9" customHeight="1" x14ac:dyDescent="0.25">
      <c r="A84" s="847">
        <f>Chem!A84</f>
        <v>82</v>
      </c>
      <c r="B84" s="951" t="str">
        <f>Chem!B84</f>
        <v>Bis(2-chloroethoxy)methane</v>
      </c>
      <c r="C84" s="946">
        <f t="shared" si="46"/>
        <v>48</v>
      </c>
      <c r="D84" s="463" t="str">
        <f t="shared" si="47"/>
        <v>na</v>
      </c>
      <c r="E84" s="463"/>
      <c r="F84" s="501">
        <f>PW!O84</f>
        <v>48</v>
      </c>
      <c r="G84" s="511" t="str">
        <f>SW!R84</f>
        <v>na</v>
      </c>
      <c r="H84" s="222" t="str">
        <f>Partit!E84</f>
        <v>na</v>
      </c>
      <c r="I84" s="520" t="str">
        <f>PW!P84</f>
        <v>na</v>
      </c>
      <c r="J84" s="520" t="s">
        <v>232</v>
      </c>
      <c r="K84" s="970" t="s">
        <v>232</v>
      </c>
      <c r="M84" s="1367" t="str">
        <f t="shared" si="48"/>
        <v>X</v>
      </c>
      <c r="N84" s="1368" t="str">
        <f t="shared" si="49"/>
        <v/>
      </c>
      <c r="O84" s="1368" t="str">
        <f t="shared" si="50"/>
        <v/>
      </c>
      <c r="P84" s="1368" t="str">
        <f t="shared" si="51"/>
        <v/>
      </c>
      <c r="Q84" s="1369" t="str">
        <f t="shared" si="52"/>
        <v/>
      </c>
      <c r="R84" s="1367" t="str">
        <f t="shared" si="53"/>
        <v/>
      </c>
      <c r="S84" s="1368" t="str">
        <f t="shared" si="54"/>
        <v/>
      </c>
      <c r="T84" s="1368" t="str">
        <f t="shared" si="55"/>
        <v/>
      </c>
      <c r="U84" s="1369" t="str">
        <f t="shared" si="56"/>
        <v/>
      </c>
      <c r="W84" s="1062"/>
    </row>
    <row r="85" spans="1:23" ht="13.9" customHeight="1" x14ac:dyDescent="0.25">
      <c r="A85" s="847">
        <f>Chem!A85</f>
        <v>83</v>
      </c>
      <c r="B85" s="951" t="str">
        <f>Chem!B85</f>
        <v>Bis(2-chloroethyl)ether</v>
      </c>
      <c r="C85" s="946">
        <f t="shared" si="46"/>
        <v>3.9772727272727258E-2</v>
      </c>
      <c r="D85" s="463">
        <f t="shared" si="47"/>
        <v>0.06</v>
      </c>
      <c r="E85" s="463"/>
      <c r="F85" s="501">
        <f>PW!O85</f>
        <v>3.9772727272727258E-2</v>
      </c>
      <c r="G85" s="511">
        <f>SW!R85</f>
        <v>0.06</v>
      </c>
      <c r="H85" s="222" t="str">
        <f>Partit!E85</f>
        <v>na</v>
      </c>
      <c r="I85" s="520" t="str">
        <f>PW!P85</f>
        <v>na</v>
      </c>
      <c r="J85" s="520" t="s">
        <v>232</v>
      </c>
      <c r="K85" s="970" t="s">
        <v>232</v>
      </c>
      <c r="M85" s="1367" t="str">
        <f t="shared" si="48"/>
        <v>X</v>
      </c>
      <c r="N85" s="1368" t="str">
        <f t="shared" si="49"/>
        <v/>
      </c>
      <c r="O85" s="1368" t="str">
        <f t="shared" si="50"/>
        <v/>
      </c>
      <c r="P85" s="1368" t="str">
        <f t="shared" si="51"/>
        <v/>
      </c>
      <c r="Q85" s="1369" t="str">
        <f t="shared" si="52"/>
        <v/>
      </c>
      <c r="R85" s="1367" t="str">
        <f t="shared" si="53"/>
        <v>X</v>
      </c>
      <c r="S85" s="1368" t="str">
        <f t="shared" si="54"/>
        <v/>
      </c>
      <c r="T85" s="1368" t="str">
        <f t="shared" si="55"/>
        <v/>
      </c>
      <c r="U85" s="1369" t="str">
        <f t="shared" si="56"/>
        <v/>
      </c>
      <c r="W85" s="1062"/>
    </row>
    <row r="86" spans="1:23" ht="13.9" customHeight="1" x14ac:dyDescent="0.25">
      <c r="A86" s="847">
        <f>Chem!A86</f>
        <v>84</v>
      </c>
      <c r="B86" s="951" t="str">
        <f>Chem!B86</f>
        <v>Bis(chloromethyl)ether</v>
      </c>
      <c r="C86" s="946">
        <f t="shared" si="46"/>
        <v>1.9886363636363632E-4</v>
      </c>
      <c r="D86" s="463">
        <f t="shared" si="47"/>
        <v>1.7000000000000001E-2</v>
      </c>
      <c r="E86" s="463"/>
      <c r="F86" s="501">
        <f>PW!O86</f>
        <v>1.9886363636363632E-4</v>
      </c>
      <c r="G86" s="511">
        <f>SW!R86</f>
        <v>1.7000000000000001E-2</v>
      </c>
      <c r="H86" s="222" t="str">
        <f>Partit!E86</f>
        <v>na</v>
      </c>
      <c r="I86" s="520" t="str">
        <f>PW!P86</f>
        <v>na</v>
      </c>
      <c r="J86" s="520" t="s">
        <v>232</v>
      </c>
      <c r="K86" s="970" t="s">
        <v>232</v>
      </c>
      <c r="M86" s="1367" t="str">
        <f t="shared" si="48"/>
        <v>X</v>
      </c>
      <c r="N86" s="1368" t="str">
        <f t="shared" si="49"/>
        <v/>
      </c>
      <c r="O86" s="1368" t="str">
        <f t="shared" si="50"/>
        <v/>
      </c>
      <c r="P86" s="1368" t="str">
        <f t="shared" si="51"/>
        <v/>
      </c>
      <c r="Q86" s="1369" t="str">
        <f t="shared" si="52"/>
        <v/>
      </c>
      <c r="R86" s="1367" t="str">
        <f t="shared" si="53"/>
        <v>X</v>
      </c>
      <c r="S86" s="1368" t="str">
        <f t="shared" si="54"/>
        <v/>
      </c>
      <c r="T86" s="1368" t="str">
        <f t="shared" si="55"/>
        <v/>
      </c>
      <c r="U86" s="1369" t="str">
        <f t="shared" si="56"/>
        <v/>
      </c>
      <c r="W86" s="1062"/>
    </row>
    <row r="87" spans="1:23" ht="13.9" customHeight="1" x14ac:dyDescent="0.25">
      <c r="A87" s="847">
        <f>Chem!A87</f>
        <v>85</v>
      </c>
      <c r="B87" s="951" t="str">
        <f>Chem!B87</f>
        <v xml:space="preserve">Bis(2-chloro-1-methylethyl)ether </v>
      </c>
      <c r="C87" s="946">
        <f t="shared" si="46"/>
        <v>0.62499999999999978</v>
      </c>
      <c r="D87" s="463">
        <f t="shared" si="47"/>
        <v>103.80982040901065</v>
      </c>
      <c r="E87" s="463"/>
      <c r="F87" s="501">
        <f>PW!O87</f>
        <v>0.62499999999999978</v>
      </c>
      <c r="G87" s="511">
        <f>SW!R87</f>
        <v>103.80982040901065</v>
      </c>
      <c r="H87" s="222" t="str">
        <f>Partit!E87</f>
        <v>na</v>
      </c>
      <c r="I87" s="520" t="str">
        <f>PW!P87</f>
        <v>na</v>
      </c>
      <c r="J87" s="520" t="s">
        <v>232</v>
      </c>
      <c r="K87" s="970" t="s">
        <v>232</v>
      </c>
      <c r="M87" s="1367" t="str">
        <f t="shared" si="48"/>
        <v>X</v>
      </c>
      <c r="N87" s="1368" t="str">
        <f t="shared" si="49"/>
        <v/>
      </c>
      <c r="O87" s="1368" t="str">
        <f t="shared" si="50"/>
        <v/>
      </c>
      <c r="P87" s="1368" t="str">
        <f t="shared" si="51"/>
        <v/>
      </c>
      <c r="Q87" s="1369" t="str">
        <f t="shared" si="52"/>
        <v/>
      </c>
      <c r="R87" s="1367" t="str">
        <f t="shared" si="53"/>
        <v>X</v>
      </c>
      <c r="S87" s="1368" t="str">
        <f t="shared" si="54"/>
        <v/>
      </c>
      <c r="T87" s="1368" t="str">
        <f t="shared" si="55"/>
        <v/>
      </c>
      <c r="U87" s="1369" t="str">
        <f t="shared" si="56"/>
        <v/>
      </c>
      <c r="W87" s="1062"/>
    </row>
    <row r="88" spans="1:23" ht="13.9" customHeight="1" x14ac:dyDescent="0.25">
      <c r="A88" s="847">
        <f>Chem!A88</f>
        <v>86</v>
      </c>
      <c r="B88" s="951" t="str">
        <f>Chem!B88</f>
        <v>2,6-Bis(1,1-dimethylethyl) phenol</v>
      </c>
      <c r="C88" s="946" t="str">
        <f t="shared" si="46"/>
        <v>na</v>
      </c>
      <c r="D88" s="463" t="str">
        <f t="shared" si="47"/>
        <v>na</v>
      </c>
      <c r="E88" s="463"/>
      <c r="F88" s="501" t="str">
        <f>PW!O88</f>
        <v>na</v>
      </c>
      <c r="G88" s="511" t="str">
        <f>SW!R88</f>
        <v>na</v>
      </c>
      <c r="H88" s="222" t="str">
        <f>Partit!E88</f>
        <v>na</v>
      </c>
      <c r="I88" s="520" t="str">
        <f>PW!P88</f>
        <v>na</v>
      </c>
      <c r="J88" s="520" t="s">
        <v>232</v>
      </c>
      <c r="K88" s="970" t="s">
        <v>232</v>
      </c>
      <c r="M88" s="1367" t="str">
        <f t="shared" si="48"/>
        <v/>
      </c>
      <c r="N88" s="1368" t="str">
        <f t="shared" si="49"/>
        <v/>
      </c>
      <c r="O88" s="1368" t="str">
        <f t="shared" si="50"/>
        <v/>
      </c>
      <c r="P88" s="1368" t="str">
        <f t="shared" si="51"/>
        <v/>
      </c>
      <c r="Q88" s="1369" t="str">
        <f t="shared" si="52"/>
        <v/>
      </c>
      <c r="R88" s="1367" t="str">
        <f t="shared" si="53"/>
        <v/>
      </c>
      <c r="S88" s="1368" t="str">
        <f t="shared" si="54"/>
        <v/>
      </c>
      <c r="T88" s="1368" t="str">
        <f t="shared" si="55"/>
        <v/>
      </c>
      <c r="U88" s="1369" t="str">
        <f t="shared" si="56"/>
        <v/>
      </c>
      <c r="W88" s="1062"/>
    </row>
    <row r="89" spans="1:23" ht="13.9" customHeight="1" x14ac:dyDescent="0.25">
      <c r="A89" s="847">
        <f>Chem!A89</f>
        <v>87</v>
      </c>
      <c r="B89" s="951" t="str">
        <f>Chem!B89</f>
        <v>Bis(2-ethylhexyl) phthalate</v>
      </c>
      <c r="C89" s="946">
        <f t="shared" si="46"/>
        <v>4.5999999999999999E-2</v>
      </c>
      <c r="D89" s="463">
        <f t="shared" si="47"/>
        <v>4.5999999999999999E-2</v>
      </c>
      <c r="E89" s="463"/>
      <c r="F89" s="501">
        <f>PW!O89</f>
        <v>6</v>
      </c>
      <c r="G89" s="511">
        <f>SW!R89</f>
        <v>4.5999999999999999E-2</v>
      </c>
      <c r="H89" s="222">
        <f>Partit!E89</f>
        <v>0.61622970589670478</v>
      </c>
      <c r="I89" s="520" t="str">
        <f>PW!P89</f>
        <v>na</v>
      </c>
      <c r="J89" s="520" t="s">
        <v>232</v>
      </c>
      <c r="K89" s="970" t="s">
        <v>232</v>
      </c>
      <c r="M89" s="1367" t="str">
        <f t="shared" si="48"/>
        <v/>
      </c>
      <c r="N89" s="1368" t="str">
        <f t="shared" si="49"/>
        <v>X</v>
      </c>
      <c r="O89" s="1368" t="str">
        <f t="shared" si="50"/>
        <v/>
      </c>
      <c r="P89" s="1368" t="str">
        <f t="shared" si="51"/>
        <v/>
      </c>
      <c r="Q89" s="1369" t="str">
        <f t="shared" si="52"/>
        <v/>
      </c>
      <c r="R89" s="1367" t="str">
        <f t="shared" si="53"/>
        <v>X</v>
      </c>
      <c r="S89" s="1368" t="str">
        <f t="shared" si="54"/>
        <v/>
      </c>
      <c r="T89" s="1368" t="str">
        <f t="shared" si="55"/>
        <v/>
      </c>
      <c r="U89" s="1369" t="str">
        <f t="shared" si="56"/>
        <v/>
      </c>
      <c r="W89" s="1062"/>
    </row>
    <row r="90" spans="1:23" ht="13.9" customHeight="1" x14ac:dyDescent="0.25">
      <c r="A90" s="847">
        <f>Chem!A90</f>
        <v>88</v>
      </c>
      <c r="B90" s="951" t="str">
        <f>Chem!B90</f>
        <v>4-Bromophenyl phenyl ether</v>
      </c>
      <c r="C90" s="946" t="str">
        <f t="shared" si="46"/>
        <v>na</v>
      </c>
      <c r="D90" s="463" t="str">
        <f t="shared" si="47"/>
        <v>na</v>
      </c>
      <c r="E90" s="463"/>
      <c r="F90" s="501" t="str">
        <f>PW!O90</f>
        <v>na</v>
      </c>
      <c r="G90" s="511" t="str">
        <f>SW!R90</f>
        <v>na</v>
      </c>
      <c r="H90" s="222" t="str">
        <f>Partit!E90</f>
        <v>na</v>
      </c>
      <c r="I90" s="520" t="str">
        <f>PW!P90</f>
        <v>na</v>
      </c>
      <c r="J90" s="520" t="s">
        <v>232</v>
      </c>
      <c r="K90" s="970" t="s">
        <v>232</v>
      </c>
      <c r="M90" s="1367" t="str">
        <f t="shared" si="48"/>
        <v/>
      </c>
      <c r="N90" s="1368" t="str">
        <f t="shared" si="49"/>
        <v/>
      </c>
      <c r="O90" s="1368" t="str">
        <f t="shared" si="50"/>
        <v/>
      </c>
      <c r="P90" s="1368" t="str">
        <f t="shared" si="51"/>
        <v/>
      </c>
      <c r="Q90" s="1369" t="str">
        <f t="shared" si="52"/>
        <v/>
      </c>
      <c r="R90" s="1367" t="str">
        <f t="shared" si="53"/>
        <v/>
      </c>
      <c r="S90" s="1368" t="str">
        <f t="shared" si="54"/>
        <v/>
      </c>
      <c r="T90" s="1368" t="str">
        <f t="shared" si="55"/>
        <v/>
      </c>
      <c r="U90" s="1369" t="str">
        <f t="shared" si="56"/>
        <v/>
      </c>
      <c r="W90" s="1062"/>
    </row>
    <row r="91" spans="1:23" ht="13.9" customHeight="1" x14ac:dyDescent="0.25">
      <c r="A91" s="847">
        <f>Chem!A91</f>
        <v>89</v>
      </c>
      <c r="B91" s="951" t="str">
        <f>Chem!B91</f>
        <v>Butyl benzyl phthalate</v>
      </c>
      <c r="C91" s="946">
        <f t="shared" si="46"/>
        <v>1.2999999999999999E-2</v>
      </c>
      <c r="D91" s="463">
        <f t="shared" si="47"/>
        <v>1.2999999999999999E-2</v>
      </c>
      <c r="E91" s="463"/>
      <c r="F91" s="501">
        <f>PW!O91</f>
        <v>46.052631578947356</v>
      </c>
      <c r="G91" s="511">
        <f>SW!R91</f>
        <v>1.2999999999999999E-2</v>
      </c>
      <c r="H91" s="222">
        <f>Partit!E91</f>
        <v>0.24146910615847675</v>
      </c>
      <c r="I91" s="520" t="str">
        <f>PW!P91</f>
        <v>na</v>
      </c>
      <c r="J91" s="520" t="s">
        <v>232</v>
      </c>
      <c r="K91" s="970" t="s">
        <v>232</v>
      </c>
      <c r="M91" s="1367" t="str">
        <f t="shared" si="48"/>
        <v/>
      </c>
      <c r="N91" s="1368" t="str">
        <f t="shared" si="49"/>
        <v>X</v>
      </c>
      <c r="O91" s="1368" t="str">
        <f t="shared" si="50"/>
        <v/>
      </c>
      <c r="P91" s="1368" t="str">
        <f t="shared" si="51"/>
        <v/>
      </c>
      <c r="Q91" s="1369" t="str">
        <f t="shared" si="52"/>
        <v/>
      </c>
      <c r="R91" s="1367" t="str">
        <f t="shared" si="53"/>
        <v>X</v>
      </c>
      <c r="S91" s="1368" t="str">
        <f t="shared" si="54"/>
        <v/>
      </c>
      <c r="T91" s="1368" t="str">
        <f t="shared" si="55"/>
        <v/>
      </c>
      <c r="U91" s="1369" t="str">
        <f t="shared" si="56"/>
        <v/>
      </c>
      <c r="W91" s="1062"/>
    </row>
    <row r="92" spans="1:23" ht="13.9" customHeight="1" x14ac:dyDescent="0.25">
      <c r="A92" s="847">
        <f>Chem!A92</f>
        <v>90</v>
      </c>
      <c r="B92" s="951" t="str">
        <f>Chem!B92</f>
        <v>Butyl diphenyl phosphate</v>
      </c>
      <c r="C92" s="946" t="str">
        <f t="shared" si="46"/>
        <v>na</v>
      </c>
      <c r="D92" s="463" t="str">
        <f t="shared" si="47"/>
        <v>na</v>
      </c>
      <c r="E92" s="463"/>
      <c r="F92" s="501" t="str">
        <f>PW!O92</f>
        <v>na</v>
      </c>
      <c r="G92" s="511" t="str">
        <f>SW!R92</f>
        <v>na</v>
      </c>
      <c r="H92" s="222" t="str">
        <f>Partit!E92</f>
        <v>na</v>
      </c>
      <c r="I92" s="520" t="str">
        <f>PW!P92</f>
        <v>na</v>
      </c>
      <c r="J92" s="520" t="s">
        <v>232</v>
      </c>
      <c r="K92" s="970" t="s">
        <v>232</v>
      </c>
      <c r="M92" s="1367" t="str">
        <f t="shared" si="48"/>
        <v/>
      </c>
      <c r="N92" s="1368" t="str">
        <f t="shared" si="49"/>
        <v/>
      </c>
      <c r="O92" s="1368" t="str">
        <f t="shared" si="50"/>
        <v/>
      </c>
      <c r="P92" s="1368" t="str">
        <f t="shared" si="51"/>
        <v/>
      </c>
      <c r="Q92" s="1369" t="str">
        <f t="shared" si="52"/>
        <v/>
      </c>
      <c r="R92" s="1367" t="str">
        <f t="shared" si="53"/>
        <v/>
      </c>
      <c r="S92" s="1368" t="str">
        <f t="shared" si="54"/>
        <v/>
      </c>
      <c r="T92" s="1368" t="str">
        <f t="shared" si="55"/>
        <v/>
      </c>
      <c r="U92" s="1369" t="str">
        <f t="shared" si="56"/>
        <v/>
      </c>
      <c r="W92" s="1062"/>
    </row>
    <row r="93" spans="1:23" ht="13.9" customHeight="1" x14ac:dyDescent="0.25">
      <c r="A93" s="847">
        <f>Chem!A93</f>
        <v>91</v>
      </c>
      <c r="B93" s="951" t="str">
        <f>Chem!B93</f>
        <v>Carbazole</v>
      </c>
      <c r="C93" s="946" t="str">
        <f t="shared" si="46"/>
        <v>na</v>
      </c>
      <c r="D93" s="463" t="str">
        <f t="shared" si="47"/>
        <v>na</v>
      </c>
      <c r="E93" s="463"/>
      <c r="F93" s="501" t="str">
        <f>PW!O93</f>
        <v>na</v>
      </c>
      <c r="G93" s="511" t="str">
        <f>SW!R93</f>
        <v>na</v>
      </c>
      <c r="H93" s="222" t="str">
        <f>Partit!E93</f>
        <v>na</v>
      </c>
      <c r="I93" s="520" t="str">
        <f>PW!P93</f>
        <v>na</v>
      </c>
      <c r="J93" s="520" t="s">
        <v>232</v>
      </c>
      <c r="K93" s="970" t="s">
        <v>232</v>
      </c>
      <c r="M93" s="1367" t="str">
        <f t="shared" si="48"/>
        <v/>
      </c>
      <c r="N93" s="1368" t="str">
        <f t="shared" si="49"/>
        <v/>
      </c>
      <c r="O93" s="1368" t="str">
        <f t="shared" si="50"/>
        <v/>
      </c>
      <c r="P93" s="1368" t="str">
        <f t="shared" si="51"/>
        <v/>
      </c>
      <c r="Q93" s="1369" t="str">
        <f t="shared" si="52"/>
        <v/>
      </c>
      <c r="R93" s="1367" t="str">
        <f t="shared" si="53"/>
        <v/>
      </c>
      <c r="S93" s="1368" t="str">
        <f t="shared" si="54"/>
        <v/>
      </c>
      <c r="T93" s="1368" t="str">
        <f t="shared" si="55"/>
        <v/>
      </c>
      <c r="U93" s="1369" t="str">
        <f t="shared" si="56"/>
        <v/>
      </c>
      <c r="W93" s="1062"/>
    </row>
    <row r="94" spans="1:23" ht="13.9" customHeight="1" x14ac:dyDescent="0.25">
      <c r="A94" s="847">
        <f>Chem!A94</f>
        <v>92</v>
      </c>
      <c r="B94" s="951" t="str">
        <f>Chem!B94</f>
        <v>4-Chloroaniline</v>
      </c>
      <c r="C94" s="946">
        <f t="shared" si="46"/>
        <v>0.43749999999999989</v>
      </c>
      <c r="D94" s="463" t="str">
        <f t="shared" si="47"/>
        <v>na</v>
      </c>
      <c r="E94" s="463"/>
      <c r="F94" s="501">
        <f>PW!O94</f>
        <v>0.43749999999999989</v>
      </c>
      <c r="G94" s="511" t="str">
        <f>SW!R94</f>
        <v>na</v>
      </c>
      <c r="H94" s="222" t="str">
        <f>Partit!E94</f>
        <v>na</v>
      </c>
      <c r="I94" s="520" t="str">
        <f>PW!P94</f>
        <v>na</v>
      </c>
      <c r="J94" s="520" t="s">
        <v>232</v>
      </c>
      <c r="K94" s="970" t="s">
        <v>232</v>
      </c>
      <c r="M94" s="1367" t="str">
        <f t="shared" si="48"/>
        <v>X</v>
      </c>
      <c r="N94" s="1368" t="str">
        <f t="shared" si="49"/>
        <v/>
      </c>
      <c r="O94" s="1368" t="str">
        <f t="shared" si="50"/>
        <v/>
      </c>
      <c r="P94" s="1368" t="str">
        <f t="shared" si="51"/>
        <v/>
      </c>
      <c r="Q94" s="1369" t="str">
        <f t="shared" si="52"/>
        <v/>
      </c>
      <c r="R94" s="1367" t="str">
        <f t="shared" si="53"/>
        <v/>
      </c>
      <c r="S94" s="1368" t="str">
        <f t="shared" si="54"/>
        <v/>
      </c>
      <c r="T94" s="1368" t="str">
        <f t="shared" si="55"/>
        <v/>
      </c>
      <c r="U94" s="1369" t="str">
        <f t="shared" si="56"/>
        <v/>
      </c>
      <c r="W94" s="1062"/>
    </row>
    <row r="95" spans="1:23" ht="13.9" customHeight="1" x14ac:dyDescent="0.25">
      <c r="A95" s="847">
        <f>Chem!A95</f>
        <v>93</v>
      </c>
      <c r="B95" s="951" t="str">
        <f>Chem!B95</f>
        <v>4-Chloro-3-methylphenol (chlorocresol)</v>
      </c>
      <c r="C95" s="946">
        <f t="shared" si="46"/>
        <v>36</v>
      </c>
      <c r="D95" s="463">
        <f t="shared" si="47"/>
        <v>36</v>
      </c>
      <c r="E95" s="463"/>
      <c r="F95" s="501">
        <f>PW!O95</f>
        <v>1600</v>
      </c>
      <c r="G95" s="511">
        <f>SW!R95</f>
        <v>36</v>
      </c>
      <c r="H95" s="222" t="str">
        <f>Partit!E95</f>
        <v>na</v>
      </c>
      <c r="I95" s="520" t="str">
        <f>PW!P95</f>
        <v>na</v>
      </c>
      <c r="J95" s="520" t="s">
        <v>232</v>
      </c>
      <c r="K95" s="970" t="s">
        <v>232</v>
      </c>
      <c r="M95" s="1367" t="str">
        <f t="shared" si="48"/>
        <v/>
      </c>
      <c r="N95" s="1368" t="str">
        <f t="shared" si="49"/>
        <v>X</v>
      </c>
      <c r="O95" s="1368" t="str">
        <f t="shared" si="50"/>
        <v/>
      </c>
      <c r="P95" s="1368" t="str">
        <f t="shared" si="51"/>
        <v/>
      </c>
      <c r="Q95" s="1369" t="str">
        <f t="shared" si="52"/>
        <v/>
      </c>
      <c r="R95" s="1367" t="str">
        <f t="shared" si="53"/>
        <v>X</v>
      </c>
      <c r="S95" s="1368" t="str">
        <f t="shared" si="54"/>
        <v/>
      </c>
      <c r="T95" s="1368" t="str">
        <f t="shared" si="55"/>
        <v/>
      </c>
      <c r="U95" s="1369" t="str">
        <f t="shared" si="56"/>
        <v/>
      </c>
      <c r="W95" s="1062"/>
    </row>
    <row r="96" spans="1:23" ht="13.9" customHeight="1" x14ac:dyDescent="0.25">
      <c r="A96" s="847">
        <f>Chem!A96</f>
        <v>94</v>
      </c>
      <c r="B96" s="951" t="str">
        <f>Chem!B96</f>
        <v>2-Chloronaphthalene (beta-)</v>
      </c>
      <c r="C96" s="946">
        <f t="shared" si="46"/>
        <v>100</v>
      </c>
      <c r="D96" s="463">
        <f t="shared" si="47"/>
        <v>100</v>
      </c>
      <c r="E96" s="463"/>
      <c r="F96" s="501">
        <f>PW!O96</f>
        <v>640</v>
      </c>
      <c r="G96" s="511">
        <f>SW!R96</f>
        <v>100</v>
      </c>
      <c r="H96" s="222" t="str">
        <f>Partit!E96</f>
        <v>na</v>
      </c>
      <c r="I96" s="520" t="str">
        <f>PW!P96</f>
        <v>na</v>
      </c>
      <c r="J96" s="520" t="s">
        <v>232</v>
      </c>
      <c r="K96" s="970" t="s">
        <v>232</v>
      </c>
      <c r="M96" s="1367" t="str">
        <f t="shared" si="48"/>
        <v/>
      </c>
      <c r="N96" s="1368" t="str">
        <f t="shared" si="49"/>
        <v>X</v>
      </c>
      <c r="O96" s="1368" t="str">
        <f t="shared" si="50"/>
        <v/>
      </c>
      <c r="P96" s="1368" t="str">
        <f t="shared" si="51"/>
        <v/>
      </c>
      <c r="Q96" s="1369" t="str">
        <f t="shared" si="52"/>
        <v/>
      </c>
      <c r="R96" s="1367" t="str">
        <f t="shared" si="53"/>
        <v>X</v>
      </c>
      <c r="S96" s="1368" t="str">
        <f t="shared" si="54"/>
        <v/>
      </c>
      <c r="T96" s="1368" t="str">
        <f t="shared" si="55"/>
        <v/>
      </c>
      <c r="U96" s="1369" t="str">
        <f t="shared" si="56"/>
        <v/>
      </c>
      <c r="W96" s="1062"/>
    </row>
    <row r="97" spans="1:23" ht="13.9" customHeight="1" x14ac:dyDescent="0.25">
      <c r="A97" s="847">
        <f>Chem!A97</f>
        <v>95</v>
      </c>
      <c r="B97" s="951" t="str">
        <f>Chem!B97</f>
        <v>2-Chlorophenol</v>
      </c>
      <c r="C97" s="946">
        <f t="shared" si="46"/>
        <v>17</v>
      </c>
      <c r="D97" s="463">
        <f t="shared" si="47"/>
        <v>17</v>
      </c>
      <c r="E97" s="463"/>
      <c r="F97" s="501">
        <f>PW!O97</f>
        <v>40</v>
      </c>
      <c r="G97" s="511">
        <f>SW!R97</f>
        <v>17</v>
      </c>
      <c r="H97" s="222" t="str">
        <f>Partit!E97</f>
        <v>na</v>
      </c>
      <c r="I97" s="520" t="str">
        <f>PW!P97</f>
        <v>na</v>
      </c>
      <c r="J97" s="520" t="s">
        <v>232</v>
      </c>
      <c r="K97" s="970" t="s">
        <v>232</v>
      </c>
      <c r="M97" s="1367" t="str">
        <f t="shared" si="48"/>
        <v/>
      </c>
      <c r="N97" s="1368" t="str">
        <f t="shared" si="49"/>
        <v>X</v>
      </c>
      <c r="O97" s="1368" t="str">
        <f t="shared" si="50"/>
        <v/>
      </c>
      <c r="P97" s="1368" t="str">
        <f t="shared" si="51"/>
        <v/>
      </c>
      <c r="Q97" s="1369" t="str">
        <f t="shared" si="52"/>
        <v/>
      </c>
      <c r="R97" s="1367" t="str">
        <f t="shared" si="53"/>
        <v>X</v>
      </c>
      <c r="S97" s="1368" t="str">
        <f t="shared" si="54"/>
        <v/>
      </c>
      <c r="T97" s="1368" t="str">
        <f t="shared" si="55"/>
        <v/>
      </c>
      <c r="U97" s="1369" t="str">
        <f t="shared" si="56"/>
        <v/>
      </c>
      <c r="W97" s="1062"/>
    </row>
    <row r="98" spans="1:23" ht="13.9" customHeight="1" x14ac:dyDescent="0.25">
      <c r="A98" s="847">
        <f>Chem!A98</f>
        <v>96</v>
      </c>
      <c r="B98" s="951" t="str">
        <f>Chem!B98</f>
        <v>4-Chlorophenyl phenyl ether</v>
      </c>
      <c r="C98" s="946" t="str">
        <f t="shared" si="46"/>
        <v>na</v>
      </c>
      <c r="D98" s="463" t="str">
        <f t="shared" si="47"/>
        <v>na</v>
      </c>
      <c r="E98" s="463"/>
      <c r="F98" s="501" t="str">
        <f>PW!O98</f>
        <v>na</v>
      </c>
      <c r="G98" s="511" t="str">
        <f>SW!R98</f>
        <v>na</v>
      </c>
      <c r="H98" s="222" t="str">
        <f>Partit!E98</f>
        <v>na</v>
      </c>
      <c r="I98" s="520" t="str">
        <f>PW!P98</f>
        <v>na</v>
      </c>
      <c r="J98" s="520" t="s">
        <v>232</v>
      </c>
      <c r="K98" s="970" t="s">
        <v>232</v>
      </c>
      <c r="M98" s="1367" t="str">
        <f t="shared" si="48"/>
        <v/>
      </c>
      <c r="N98" s="1368" t="str">
        <f t="shared" si="49"/>
        <v/>
      </c>
      <c r="O98" s="1368" t="str">
        <f t="shared" si="50"/>
        <v/>
      </c>
      <c r="P98" s="1368" t="str">
        <f t="shared" si="51"/>
        <v/>
      </c>
      <c r="Q98" s="1369" t="str">
        <f t="shared" si="52"/>
        <v/>
      </c>
      <c r="R98" s="1367" t="str">
        <f t="shared" si="53"/>
        <v/>
      </c>
      <c r="S98" s="1368" t="str">
        <f t="shared" si="54"/>
        <v/>
      </c>
      <c r="T98" s="1368" t="str">
        <f t="shared" si="55"/>
        <v/>
      </c>
      <c r="U98" s="1369" t="str">
        <f t="shared" si="56"/>
        <v/>
      </c>
      <c r="W98" s="1062"/>
    </row>
    <row r="99" spans="1:23" ht="13.9" customHeight="1" x14ac:dyDescent="0.25">
      <c r="A99" s="847">
        <f>Chem!A99</f>
        <v>97</v>
      </c>
      <c r="B99" s="951" t="str">
        <f>Chem!B99</f>
        <v>Dibutyl phthalate</v>
      </c>
      <c r="C99" s="946">
        <f t="shared" si="46"/>
        <v>8</v>
      </c>
      <c r="D99" s="463">
        <f t="shared" si="47"/>
        <v>8</v>
      </c>
      <c r="E99" s="463"/>
      <c r="F99" s="501">
        <f>PW!O99</f>
        <v>1600</v>
      </c>
      <c r="G99" s="511">
        <f>SW!R99</f>
        <v>8</v>
      </c>
      <c r="H99" s="222">
        <f>Partit!E99</f>
        <v>46.00278336168239</v>
      </c>
      <c r="I99" s="520" t="str">
        <f>PW!P99</f>
        <v>na</v>
      </c>
      <c r="J99" s="520" t="s">
        <v>232</v>
      </c>
      <c r="K99" s="970" t="s">
        <v>232</v>
      </c>
      <c r="M99" s="1367" t="str">
        <f t="shared" si="48"/>
        <v/>
      </c>
      <c r="N99" s="1368" t="str">
        <f t="shared" si="49"/>
        <v>X</v>
      </c>
      <c r="O99" s="1368" t="str">
        <f t="shared" si="50"/>
        <v/>
      </c>
      <c r="P99" s="1368" t="str">
        <f t="shared" si="51"/>
        <v/>
      </c>
      <c r="Q99" s="1369" t="str">
        <f t="shared" si="52"/>
        <v/>
      </c>
      <c r="R99" s="1367" t="str">
        <f t="shared" si="53"/>
        <v>X</v>
      </c>
      <c r="S99" s="1368" t="str">
        <f t="shared" si="54"/>
        <v/>
      </c>
      <c r="T99" s="1368" t="str">
        <f t="shared" si="55"/>
        <v/>
      </c>
      <c r="U99" s="1369" t="str">
        <f t="shared" si="56"/>
        <v/>
      </c>
      <c r="W99" s="1062"/>
    </row>
    <row r="100" spans="1:23" ht="13.9" customHeight="1" x14ac:dyDescent="0.25">
      <c r="A100" s="847">
        <f>Chem!A100</f>
        <v>98</v>
      </c>
      <c r="B100" s="951" t="str">
        <f>Chem!B100</f>
        <v>Dibutyl phenyl phosphate</v>
      </c>
      <c r="C100" s="946" t="str">
        <f t="shared" si="46"/>
        <v>na</v>
      </c>
      <c r="D100" s="463" t="str">
        <f t="shared" si="47"/>
        <v>na</v>
      </c>
      <c r="E100" s="463"/>
      <c r="F100" s="501" t="str">
        <f>PW!O100</f>
        <v>na</v>
      </c>
      <c r="G100" s="511" t="str">
        <f>SW!R100</f>
        <v>na</v>
      </c>
      <c r="H100" s="222" t="str">
        <f>Partit!E100</f>
        <v>na</v>
      </c>
      <c r="I100" s="520" t="str">
        <f>PW!P100</f>
        <v>na</v>
      </c>
      <c r="J100" s="520" t="s">
        <v>232</v>
      </c>
      <c r="K100" s="970" t="s">
        <v>232</v>
      </c>
      <c r="M100" s="1367" t="str">
        <f t="shared" si="48"/>
        <v/>
      </c>
      <c r="N100" s="1368" t="str">
        <f t="shared" si="49"/>
        <v/>
      </c>
      <c r="O100" s="1368" t="str">
        <f t="shared" si="50"/>
        <v/>
      </c>
      <c r="P100" s="1368" t="str">
        <f t="shared" si="51"/>
        <v/>
      </c>
      <c r="Q100" s="1369" t="str">
        <f t="shared" si="52"/>
        <v/>
      </c>
      <c r="R100" s="1367" t="str">
        <f t="shared" si="53"/>
        <v/>
      </c>
      <c r="S100" s="1368" t="str">
        <f t="shared" si="54"/>
        <v/>
      </c>
      <c r="T100" s="1368" t="str">
        <f t="shared" si="55"/>
        <v/>
      </c>
      <c r="U100" s="1369" t="str">
        <f t="shared" si="56"/>
        <v/>
      </c>
      <c r="W100" s="1062"/>
    </row>
    <row r="101" spans="1:23" ht="13.9" customHeight="1" x14ac:dyDescent="0.25">
      <c r="A101" s="847">
        <f>Chem!A101</f>
        <v>99</v>
      </c>
      <c r="B101" s="951" t="str">
        <f>Chem!B101</f>
        <v>1,2-Dichlorobenzene</v>
      </c>
      <c r="C101" s="946">
        <f t="shared" si="46"/>
        <v>4.48491335448906</v>
      </c>
      <c r="D101" s="463">
        <f t="shared" si="47"/>
        <v>4.48491335448906</v>
      </c>
      <c r="E101" s="463"/>
      <c r="F101" s="501">
        <f>PW!O101</f>
        <v>600</v>
      </c>
      <c r="G101" s="511">
        <f>SW!R101</f>
        <v>800</v>
      </c>
      <c r="H101" s="222">
        <f>Partit!E101</f>
        <v>4.48491335448906</v>
      </c>
      <c r="I101" s="520">
        <f>PW!P101</f>
        <v>2503.4477579903046</v>
      </c>
      <c r="J101" s="520" t="s">
        <v>232</v>
      </c>
      <c r="K101" s="970" t="s">
        <v>232</v>
      </c>
      <c r="M101" s="1367" t="str">
        <f t="shared" si="48"/>
        <v/>
      </c>
      <c r="N101" s="1368" t="str">
        <f t="shared" si="49"/>
        <v/>
      </c>
      <c r="O101" s="1368" t="str">
        <f t="shared" si="50"/>
        <v>X</v>
      </c>
      <c r="P101" s="1368" t="str">
        <f t="shared" si="51"/>
        <v/>
      </c>
      <c r="Q101" s="1369" t="str">
        <f t="shared" si="52"/>
        <v/>
      </c>
      <c r="R101" s="1367" t="str">
        <f t="shared" si="53"/>
        <v/>
      </c>
      <c r="S101" s="1368" t="str">
        <f t="shared" si="54"/>
        <v>X</v>
      </c>
      <c r="T101" s="1368" t="str">
        <f t="shared" si="55"/>
        <v/>
      </c>
      <c r="U101" s="1369" t="str">
        <f t="shared" si="56"/>
        <v/>
      </c>
      <c r="W101" s="1062"/>
    </row>
    <row r="102" spans="1:23" ht="13.9" customHeight="1" x14ac:dyDescent="0.25">
      <c r="A102" s="847">
        <f>Chem!A102</f>
        <v>100</v>
      </c>
      <c r="B102" s="951" t="str">
        <f>Chem!B102</f>
        <v>1,3-Dichlorobenzene</v>
      </c>
      <c r="C102" s="946">
        <f t="shared" si="46"/>
        <v>2</v>
      </c>
      <c r="D102" s="463">
        <f t="shared" si="47"/>
        <v>2</v>
      </c>
      <c r="E102" s="463"/>
      <c r="F102" s="501" t="str">
        <f>PW!O102</f>
        <v>na</v>
      </c>
      <c r="G102" s="511">
        <f>SW!R102</f>
        <v>2</v>
      </c>
      <c r="H102" s="222" t="str">
        <f>Partit!E102</f>
        <v>na</v>
      </c>
      <c r="I102" s="520" t="str">
        <f>PW!P102</f>
        <v>na</v>
      </c>
      <c r="J102" s="520" t="s">
        <v>232</v>
      </c>
      <c r="K102" s="970" t="s">
        <v>232</v>
      </c>
      <c r="M102" s="1367" t="str">
        <f t="shared" si="48"/>
        <v/>
      </c>
      <c r="N102" s="1368" t="str">
        <f t="shared" si="49"/>
        <v>X</v>
      </c>
      <c r="O102" s="1368" t="str">
        <f t="shared" si="50"/>
        <v/>
      </c>
      <c r="P102" s="1368" t="str">
        <f t="shared" si="51"/>
        <v/>
      </c>
      <c r="Q102" s="1369" t="str">
        <f t="shared" si="52"/>
        <v/>
      </c>
      <c r="R102" s="1367" t="str">
        <f t="shared" si="53"/>
        <v>X</v>
      </c>
      <c r="S102" s="1368" t="str">
        <f t="shared" si="54"/>
        <v/>
      </c>
      <c r="T102" s="1368" t="str">
        <f t="shared" si="55"/>
        <v/>
      </c>
      <c r="U102" s="1369" t="str">
        <f t="shared" si="56"/>
        <v/>
      </c>
      <c r="W102" s="1062"/>
    </row>
    <row r="103" spans="1:23" ht="13.9" customHeight="1" x14ac:dyDescent="0.25">
      <c r="A103" s="847">
        <f>Chem!A103</f>
        <v>101</v>
      </c>
      <c r="B103" s="951" t="str">
        <f>Chem!B103</f>
        <v>1,4-Dichlorobenzene</v>
      </c>
      <c r="C103" s="946">
        <f t="shared" si="46"/>
        <v>4.9637035457744663</v>
      </c>
      <c r="D103" s="463">
        <f t="shared" si="47"/>
        <v>4.9637035457744663</v>
      </c>
      <c r="E103" s="463"/>
      <c r="F103" s="501">
        <f>PW!O103</f>
        <v>75</v>
      </c>
      <c r="G103" s="511">
        <f>SW!R103</f>
        <v>59.781234841186865</v>
      </c>
      <c r="H103" s="222">
        <f>Partit!E103</f>
        <v>8.9380454836581933</v>
      </c>
      <c r="I103" s="520">
        <f>PW!P103</f>
        <v>4.9637035457744663</v>
      </c>
      <c r="J103" s="520" t="s">
        <v>232</v>
      </c>
      <c r="K103" s="970" t="s">
        <v>232</v>
      </c>
      <c r="M103" s="1367" t="str">
        <f t="shared" si="48"/>
        <v/>
      </c>
      <c r="N103" s="1368" t="str">
        <f t="shared" si="49"/>
        <v/>
      </c>
      <c r="O103" s="1368" t="str">
        <f t="shared" si="50"/>
        <v/>
      </c>
      <c r="P103" s="1368" t="str">
        <f t="shared" si="51"/>
        <v>X</v>
      </c>
      <c r="Q103" s="1369" t="str">
        <f t="shared" si="52"/>
        <v/>
      </c>
      <c r="R103" s="1367" t="str">
        <f t="shared" si="53"/>
        <v/>
      </c>
      <c r="S103" s="1368" t="str">
        <f t="shared" si="54"/>
        <v/>
      </c>
      <c r="T103" s="1368" t="str">
        <f t="shared" si="55"/>
        <v>X</v>
      </c>
      <c r="U103" s="1369" t="str">
        <f t="shared" si="56"/>
        <v/>
      </c>
      <c r="W103" s="1062"/>
    </row>
    <row r="104" spans="1:23" ht="13.9" customHeight="1" x14ac:dyDescent="0.25">
      <c r="A104" s="847">
        <f>Chem!A104</f>
        <v>102</v>
      </c>
      <c r="B104" s="951" t="str">
        <f>Chem!B104</f>
        <v>3,3'-Dichlorobenzidine</v>
      </c>
      <c r="C104" s="946">
        <f t="shared" si="46"/>
        <v>3.3E-3</v>
      </c>
      <c r="D104" s="463">
        <f t="shared" si="47"/>
        <v>3.3E-3</v>
      </c>
      <c r="E104" s="463"/>
      <c r="F104" s="501">
        <f>PW!O104</f>
        <v>0.19444444444444439</v>
      </c>
      <c r="G104" s="511">
        <f>SW!R104</f>
        <v>3.3E-3</v>
      </c>
      <c r="H104" s="222" t="str">
        <f>Partit!E104</f>
        <v>na</v>
      </c>
      <c r="I104" s="520" t="str">
        <f>PW!P104</f>
        <v>na</v>
      </c>
      <c r="J104" s="520" t="s">
        <v>232</v>
      </c>
      <c r="K104" s="970" t="s">
        <v>232</v>
      </c>
      <c r="M104" s="1367" t="str">
        <f t="shared" si="48"/>
        <v/>
      </c>
      <c r="N104" s="1368" t="str">
        <f t="shared" si="49"/>
        <v>X</v>
      </c>
      <c r="O104" s="1368" t="str">
        <f t="shared" si="50"/>
        <v/>
      </c>
      <c r="P104" s="1368" t="str">
        <f t="shared" si="51"/>
        <v/>
      </c>
      <c r="Q104" s="1369" t="str">
        <f t="shared" si="52"/>
        <v/>
      </c>
      <c r="R104" s="1367" t="str">
        <f t="shared" si="53"/>
        <v>X</v>
      </c>
      <c r="S104" s="1368" t="str">
        <f t="shared" si="54"/>
        <v/>
      </c>
      <c r="T104" s="1368" t="str">
        <f t="shared" si="55"/>
        <v/>
      </c>
      <c r="U104" s="1369" t="str">
        <f t="shared" si="56"/>
        <v/>
      </c>
      <c r="W104" s="1062"/>
    </row>
    <row r="105" spans="1:23" ht="13.9" customHeight="1" x14ac:dyDescent="0.25">
      <c r="A105" s="847">
        <f>Chem!A105</f>
        <v>103</v>
      </c>
      <c r="B105" s="951" t="str">
        <f>Chem!B105</f>
        <v>2,4-Dichlorophenol</v>
      </c>
      <c r="C105" s="946">
        <f t="shared" si="46"/>
        <v>10</v>
      </c>
      <c r="D105" s="463">
        <f t="shared" si="47"/>
        <v>10</v>
      </c>
      <c r="E105" s="463"/>
      <c r="F105" s="501">
        <f>PW!O105</f>
        <v>48</v>
      </c>
      <c r="G105" s="511">
        <f>SW!R105</f>
        <v>10</v>
      </c>
      <c r="H105" s="222" t="str">
        <f>Partit!E105</f>
        <v>na</v>
      </c>
      <c r="I105" s="520" t="str">
        <f>PW!P105</f>
        <v>na</v>
      </c>
      <c r="J105" s="520" t="s">
        <v>232</v>
      </c>
      <c r="K105" s="970" t="s">
        <v>232</v>
      </c>
      <c r="M105" s="1367" t="str">
        <f t="shared" si="48"/>
        <v/>
      </c>
      <c r="N105" s="1368" t="str">
        <f t="shared" si="49"/>
        <v>X</v>
      </c>
      <c r="O105" s="1368" t="str">
        <f t="shared" si="50"/>
        <v/>
      </c>
      <c r="P105" s="1368" t="str">
        <f t="shared" si="51"/>
        <v/>
      </c>
      <c r="Q105" s="1369" t="str">
        <f t="shared" si="52"/>
        <v/>
      </c>
      <c r="R105" s="1367" t="str">
        <f t="shared" si="53"/>
        <v>X</v>
      </c>
      <c r="S105" s="1368" t="str">
        <f t="shared" si="54"/>
        <v/>
      </c>
      <c r="T105" s="1368" t="str">
        <f t="shared" si="55"/>
        <v/>
      </c>
      <c r="U105" s="1369" t="str">
        <f t="shared" si="56"/>
        <v/>
      </c>
      <c r="W105" s="1062"/>
    </row>
    <row r="106" spans="1:23" ht="13.9" customHeight="1" x14ac:dyDescent="0.25">
      <c r="A106" s="846">
        <f>Chem!A106</f>
        <v>104</v>
      </c>
      <c r="B106" s="951" t="str">
        <f>Chem!B106</f>
        <v>Di(2-ethylhexyl)adipate</v>
      </c>
      <c r="C106" s="946">
        <f t="shared" si="46"/>
        <v>400</v>
      </c>
      <c r="D106" s="463" t="str">
        <f t="shared" si="47"/>
        <v>na</v>
      </c>
      <c r="E106" s="463"/>
      <c r="F106" s="501">
        <f>PW!O106</f>
        <v>400</v>
      </c>
      <c r="G106" s="511" t="str">
        <f>SW!R106</f>
        <v>na</v>
      </c>
      <c r="H106" s="222" t="str">
        <f>Partit!E106</f>
        <v>na</v>
      </c>
      <c r="I106" s="520" t="str">
        <f>PW!P106</f>
        <v>na</v>
      </c>
      <c r="J106" s="520" t="s">
        <v>232</v>
      </c>
      <c r="K106" s="970" t="s">
        <v>232</v>
      </c>
      <c r="M106" s="1367" t="str">
        <f t="shared" si="48"/>
        <v>X</v>
      </c>
      <c r="N106" s="1368" t="str">
        <f t="shared" si="49"/>
        <v/>
      </c>
      <c r="O106" s="1368" t="str">
        <f t="shared" si="50"/>
        <v/>
      </c>
      <c r="P106" s="1368" t="str">
        <f t="shared" si="51"/>
        <v/>
      </c>
      <c r="Q106" s="1369" t="str">
        <f t="shared" si="52"/>
        <v/>
      </c>
      <c r="R106" s="1367" t="str">
        <f t="shared" si="53"/>
        <v/>
      </c>
      <c r="S106" s="1368" t="str">
        <f t="shared" si="54"/>
        <v/>
      </c>
      <c r="T106" s="1368" t="str">
        <f t="shared" si="55"/>
        <v/>
      </c>
      <c r="U106" s="1369" t="str">
        <f t="shared" si="56"/>
        <v/>
      </c>
      <c r="W106" s="1062"/>
    </row>
    <row r="107" spans="1:23" ht="13.9" customHeight="1" x14ac:dyDescent="0.25">
      <c r="A107" s="846">
        <f>Chem!A107</f>
        <v>105</v>
      </c>
      <c r="B107" s="951" t="str">
        <f>Chem!B107</f>
        <v>Diethyl phthalate</v>
      </c>
      <c r="C107" s="946">
        <f t="shared" si="46"/>
        <v>92.552264808362381</v>
      </c>
      <c r="D107" s="463">
        <f t="shared" si="47"/>
        <v>92.552264808362381</v>
      </c>
      <c r="E107" s="463"/>
      <c r="F107" s="501">
        <f>PW!O107</f>
        <v>12800</v>
      </c>
      <c r="G107" s="511">
        <f>SW!R107</f>
        <v>200</v>
      </c>
      <c r="H107" s="222">
        <f>Partit!E107</f>
        <v>92.552264808362381</v>
      </c>
      <c r="I107" s="520" t="str">
        <f>PW!P107</f>
        <v>na</v>
      </c>
      <c r="J107" s="520" t="s">
        <v>232</v>
      </c>
      <c r="K107" s="970" t="s">
        <v>232</v>
      </c>
      <c r="M107" s="1367" t="str">
        <f t="shared" si="48"/>
        <v/>
      </c>
      <c r="N107" s="1368" t="str">
        <f t="shared" si="49"/>
        <v/>
      </c>
      <c r="O107" s="1368" t="str">
        <f t="shared" si="50"/>
        <v>X</v>
      </c>
      <c r="P107" s="1368" t="str">
        <f t="shared" si="51"/>
        <v/>
      </c>
      <c r="Q107" s="1369" t="str">
        <f t="shared" si="52"/>
        <v/>
      </c>
      <c r="R107" s="1367" t="str">
        <f t="shared" si="53"/>
        <v/>
      </c>
      <c r="S107" s="1368" t="str">
        <f t="shared" si="54"/>
        <v>X</v>
      </c>
      <c r="T107" s="1368" t="str">
        <f t="shared" si="55"/>
        <v/>
      </c>
      <c r="U107" s="1369" t="str">
        <f t="shared" si="56"/>
        <v/>
      </c>
      <c r="W107" s="1062"/>
    </row>
    <row r="108" spans="1:23" ht="13.9" customHeight="1" x14ac:dyDescent="0.25">
      <c r="A108" s="847">
        <f>Chem!A108</f>
        <v>106</v>
      </c>
      <c r="B108" s="951" t="str">
        <f>Chem!B108</f>
        <v>Dimethyl phthalate</v>
      </c>
      <c r="C108" s="946">
        <f t="shared" si="46"/>
        <v>59.002385514841023</v>
      </c>
      <c r="D108" s="463">
        <f t="shared" si="47"/>
        <v>59.002385514841023</v>
      </c>
      <c r="E108" s="463"/>
      <c r="F108" s="501" t="str">
        <f>PW!O108</f>
        <v>na</v>
      </c>
      <c r="G108" s="511">
        <f>SW!R108</f>
        <v>600</v>
      </c>
      <c r="H108" s="222">
        <f>Partit!E108</f>
        <v>59.002385514841023</v>
      </c>
      <c r="I108" s="520" t="str">
        <f>PW!P108</f>
        <v>na</v>
      </c>
      <c r="J108" s="520" t="s">
        <v>232</v>
      </c>
      <c r="K108" s="970" t="s">
        <v>232</v>
      </c>
      <c r="M108" s="1367" t="str">
        <f t="shared" si="48"/>
        <v/>
      </c>
      <c r="N108" s="1368" t="str">
        <f t="shared" si="49"/>
        <v/>
      </c>
      <c r="O108" s="1368" t="str">
        <f t="shared" si="50"/>
        <v>X</v>
      </c>
      <c r="P108" s="1368" t="str">
        <f t="shared" si="51"/>
        <v/>
      </c>
      <c r="Q108" s="1369" t="str">
        <f t="shared" si="52"/>
        <v/>
      </c>
      <c r="R108" s="1367" t="str">
        <f t="shared" si="53"/>
        <v/>
      </c>
      <c r="S108" s="1368" t="str">
        <f t="shared" si="54"/>
        <v>X</v>
      </c>
      <c r="T108" s="1368" t="str">
        <f t="shared" si="55"/>
        <v/>
      </c>
      <c r="U108" s="1369" t="str">
        <f t="shared" si="56"/>
        <v/>
      </c>
      <c r="W108" s="1062"/>
    </row>
    <row r="109" spans="1:23" ht="13.9" customHeight="1" x14ac:dyDescent="0.25">
      <c r="A109" s="847">
        <f>Chem!A109</f>
        <v>107</v>
      </c>
      <c r="B109" s="951" t="str">
        <f>Chem!B109</f>
        <v>2,4-Dimethylphenol</v>
      </c>
      <c r="C109" s="946">
        <f t="shared" si="46"/>
        <v>2.9142971992007851</v>
      </c>
      <c r="D109" s="463">
        <f t="shared" si="47"/>
        <v>2.9142971992007851</v>
      </c>
      <c r="E109" s="463"/>
      <c r="F109" s="501">
        <f>PW!O109</f>
        <v>320</v>
      </c>
      <c r="G109" s="511">
        <f>SW!R109</f>
        <v>97</v>
      </c>
      <c r="H109" s="222">
        <f>Partit!E109</f>
        <v>2.9142971992007851</v>
      </c>
      <c r="I109" s="520" t="str">
        <f>PW!P109</f>
        <v>na</v>
      </c>
      <c r="J109" s="520" t="s">
        <v>232</v>
      </c>
      <c r="K109" s="970" t="s">
        <v>232</v>
      </c>
      <c r="M109" s="1367" t="str">
        <f t="shared" si="48"/>
        <v/>
      </c>
      <c r="N109" s="1368" t="str">
        <f t="shared" si="49"/>
        <v/>
      </c>
      <c r="O109" s="1368" t="str">
        <f t="shared" si="50"/>
        <v>X</v>
      </c>
      <c r="P109" s="1368" t="str">
        <f t="shared" si="51"/>
        <v/>
      </c>
      <c r="Q109" s="1369" t="str">
        <f t="shared" si="52"/>
        <v/>
      </c>
      <c r="R109" s="1367" t="str">
        <f t="shared" si="53"/>
        <v/>
      </c>
      <c r="S109" s="1368" t="str">
        <f t="shared" si="54"/>
        <v>X</v>
      </c>
      <c r="T109" s="1368" t="str">
        <f t="shared" si="55"/>
        <v/>
      </c>
      <c r="U109" s="1369" t="str">
        <f t="shared" si="56"/>
        <v/>
      </c>
      <c r="W109" s="1062"/>
    </row>
    <row r="110" spans="1:23" ht="13.9" customHeight="1" x14ac:dyDescent="0.25">
      <c r="A110" s="847">
        <f>Chem!A110</f>
        <v>108</v>
      </c>
      <c r="B110" s="951" t="str">
        <f>Chem!B110</f>
        <v>1,2-Dinitrobenzene</v>
      </c>
      <c r="C110" s="946">
        <f t="shared" si="46"/>
        <v>1.6</v>
      </c>
      <c r="D110" s="463" t="str">
        <f t="shared" si="47"/>
        <v>na</v>
      </c>
      <c r="E110" s="463"/>
      <c r="F110" s="501">
        <f>PW!O110</f>
        <v>1.6</v>
      </c>
      <c r="G110" s="511" t="str">
        <f>SW!R110</f>
        <v>na</v>
      </c>
      <c r="H110" s="222" t="str">
        <f>Partit!E110</f>
        <v>na</v>
      </c>
      <c r="I110" s="520" t="str">
        <f>PW!P110</f>
        <v>na</v>
      </c>
      <c r="J110" s="520" t="s">
        <v>232</v>
      </c>
      <c r="K110" s="970" t="s">
        <v>232</v>
      </c>
      <c r="M110" s="1367" t="str">
        <f t="shared" si="48"/>
        <v>X</v>
      </c>
      <c r="N110" s="1368" t="str">
        <f t="shared" si="49"/>
        <v/>
      </c>
      <c r="O110" s="1368" t="str">
        <f t="shared" si="50"/>
        <v/>
      </c>
      <c r="P110" s="1368" t="str">
        <f t="shared" si="51"/>
        <v/>
      </c>
      <c r="Q110" s="1369" t="str">
        <f t="shared" si="52"/>
        <v/>
      </c>
      <c r="R110" s="1367" t="str">
        <f t="shared" si="53"/>
        <v/>
      </c>
      <c r="S110" s="1368" t="str">
        <f t="shared" si="54"/>
        <v/>
      </c>
      <c r="T110" s="1368" t="str">
        <f t="shared" si="55"/>
        <v/>
      </c>
      <c r="U110" s="1369" t="str">
        <f t="shared" si="56"/>
        <v/>
      </c>
      <c r="W110" s="1062"/>
    </row>
    <row r="111" spans="1:23" ht="13.9" customHeight="1" x14ac:dyDescent="0.25">
      <c r="A111" s="847">
        <f>Chem!A111</f>
        <v>109</v>
      </c>
      <c r="B111" s="951" t="str">
        <f>Chem!B111</f>
        <v>1,3-Dinitrobenzene</v>
      </c>
      <c r="C111" s="946">
        <f t="shared" si="46"/>
        <v>1.6</v>
      </c>
      <c r="D111" s="463" t="str">
        <f t="shared" si="47"/>
        <v>na</v>
      </c>
      <c r="E111" s="463"/>
      <c r="F111" s="501">
        <f>PW!O111</f>
        <v>1.6</v>
      </c>
      <c r="G111" s="511" t="str">
        <f>SW!R111</f>
        <v>na</v>
      </c>
      <c r="H111" s="222" t="str">
        <f>Partit!E111</f>
        <v>na</v>
      </c>
      <c r="I111" s="520" t="str">
        <f>PW!P111</f>
        <v>na</v>
      </c>
      <c r="J111" s="520" t="s">
        <v>232</v>
      </c>
      <c r="K111" s="970" t="s">
        <v>232</v>
      </c>
      <c r="M111" s="1367" t="str">
        <f t="shared" ref="M111:M145" si="57">IF($C111="na","",IF($C111=$F111,"X",""))</f>
        <v>X</v>
      </c>
      <c r="N111" s="1368" t="str">
        <f t="shared" ref="N111:N145" si="58">IF($C111="na","",IF($C111=$G111,"X",""))</f>
        <v/>
      </c>
      <c r="O111" s="1368" t="str">
        <f t="shared" ref="O111:O145" si="59">IF($C111="na","",IF($C111=$H111,"X",""))</f>
        <v/>
      </c>
      <c r="P111" s="1368" t="str">
        <f t="shared" ref="P111:P145" si="60">IF($C111="na","",IF($C111=$I111,"X",""))</f>
        <v/>
      </c>
      <c r="Q111" s="1369" t="str">
        <f t="shared" ref="Q111:Q145" si="61">IF($C111="na","",IF($C111=$K111,"X",""))</f>
        <v/>
      </c>
      <c r="R111" s="1367" t="str">
        <f t="shared" ref="R111:R145" si="62">IF($D111="na","",IF($D111=$G111,"X",""))</f>
        <v/>
      </c>
      <c r="S111" s="1368" t="str">
        <f t="shared" ref="S111:S145" si="63">IF($D111="na","",IF($D111=$H111,"X",""))</f>
        <v/>
      </c>
      <c r="T111" s="1368" t="str">
        <f t="shared" ref="T111:T145" si="64">IF($D111="na","",IF($D111=$I111,"X",""))</f>
        <v/>
      </c>
      <c r="U111" s="1369" t="str">
        <f t="shared" ref="U111:U145" si="65">IF($D111="na","",IF($D111=$K111,"X",""))</f>
        <v/>
      </c>
      <c r="W111" s="1062"/>
    </row>
    <row r="112" spans="1:23" ht="13.9" customHeight="1" x14ac:dyDescent="0.25">
      <c r="A112" s="847">
        <f>Chem!A112</f>
        <v>110</v>
      </c>
      <c r="B112" s="951" t="str">
        <f>Chem!B112</f>
        <v>1,4-Dinitrobenzene</v>
      </c>
      <c r="C112" s="946">
        <f t="shared" si="46"/>
        <v>1.6</v>
      </c>
      <c r="D112" s="463" t="str">
        <f t="shared" si="47"/>
        <v>na</v>
      </c>
      <c r="E112" s="463"/>
      <c r="F112" s="501">
        <f>PW!O112</f>
        <v>1.6</v>
      </c>
      <c r="G112" s="511" t="str">
        <f>SW!R112</f>
        <v>na</v>
      </c>
      <c r="H112" s="222" t="str">
        <f>Partit!E112</f>
        <v>na</v>
      </c>
      <c r="I112" s="520" t="str">
        <f>PW!P112</f>
        <v>na</v>
      </c>
      <c r="J112" s="520" t="s">
        <v>232</v>
      </c>
      <c r="K112" s="970" t="s">
        <v>232</v>
      </c>
      <c r="M112" s="1367" t="str">
        <f t="shared" si="57"/>
        <v>X</v>
      </c>
      <c r="N112" s="1368" t="str">
        <f t="shared" si="58"/>
        <v/>
      </c>
      <c r="O112" s="1368" t="str">
        <f t="shared" si="59"/>
        <v/>
      </c>
      <c r="P112" s="1368" t="str">
        <f t="shared" si="60"/>
        <v/>
      </c>
      <c r="Q112" s="1369" t="str">
        <f t="shared" si="61"/>
        <v/>
      </c>
      <c r="R112" s="1367" t="str">
        <f t="shared" si="62"/>
        <v/>
      </c>
      <c r="S112" s="1368" t="str">
        <f t="shared" si="63"/>
        <v/>
      </c>
      <c r="T112" s="1368" t="str">
        <f t="shared" si="64"/>
        <v/>
      </c>
      <c r="U112" s="1369" t="str">
        <f t="shared" si="65"/>
        <v/>
      </c>
      <c r="W112" s="1062"/>
    </row>
    <row r="113" spans="1:23" ht="13.9" customHeight="1" x14ac:dyDescent="0.25">
      <c r="A113" s="847">
        <f>Chem!A113</f>
        <v>111</v>
      </c>
      <c r="B113" s="951" t="str">
        <f>Chem!B113</f>
        <v>4,6-Dinitro-o-cresol (DNOC)</v>
      </c>
      <c r="C113" s="946">
        <f t="shared" si="46"/>
        <v>1.28</v>
      </c>
      <c r="D113" s="463">
        <f t="shared" si="47"/>
        <v>7</v>
      </c>
      <c r="E113" s="463"/>
      <c r="F113" s="501">
        <f>PW!O113</f>
        <v>1.28</v>
      </c>
      <c r="G113" s="511">
        <f>SW!R113</f>
        <v>7</v>
      </c>
      <c r="H113" s="222" t="str">
        <f>Partit!E113</f>
        <v>na</v>
      </c>
      <c r="I113" s="520" t="str">
        <f>PW!P113</f>
        <v>na</v>
      </c>
      <c r="J113" s="520" t="s">
        <v>232</v>
      </c>
      <c r="K113" s="970" t="s">
        <v>232</v>
      </c>
      <c r="M113" s="1367" t="str">
        <f t="shared" si="57"/>
        <v>X</v>
      </c>
      <c r="N113" s="1368" t="str">
        <f t="shared" si="58"/>
        <v/>
      </c>
      <c r="O113" s="1368" t="str">
        <f t="shared" si="59"/>
        <v/>
      </c>
      <c r="P113" s="1368" t="str">
        <f t="shared" si="60"/>
        <v/>
      </c>
      <c r="Q113" s="1369" t="str">
        <f t="shared" si="61"/>
        <v/>
      </c>
      <c r="R113" s="1367" t="str">
        <f t="shared" si="62"/>
        <v>X</v>
      </c>
      <c r="S113" s="1368" t="str">
        <f t="shared" si="63"/>
        <v/>
      </c>
      <c r="T113" s="1368" t="str">
        <f t="shared" si="64"/>
        <v/>
      </c>
      <c r="U113" s="1369" t="str">
        <f t="shared" si="65"/>
        <v/>
      </c>
      <c r="W113" s="1062"/>
    </row>
    <row r="114" spans="1:23" ht="13.9" customHeight="1" x14ac:dyDescent="0.25">
      <c r="A114" s="847">
        <f>Chem!A114</f>
        <v>112</v>
      </c>
      <c r="B114" s="951" t="str">
        <f>Chem!B114</f>
        <v>2,4-Dinitrophenol</v>
      </c>
      <c r="C114" s="946">
        <f t="shared" si="46"/>
        <v>32</v>
      </c>
      <c r="D114" s="463">
        <f t="shared" si="47"/>
        <v>100</v>
      </c>
      <c r="E114" s="463"/>
      <c r="F114" s="501">
        <f>PW!O114</f>
        <v>32</v>
      </c>
      <c r="G114" s="511">
        <f>SW!R114</f>
        <v>100</v>
      </c>
      <c r="H114" s="222" t="str">
        <f>Partit!E114</f>
        <v>na</v>
      </c>
      <c r="I114" s="520" t="str">
        <f>PW!P114</f>
        <v>na</v>
      </c>
      <c r="J114" s="520" t="s">
        <v>232</v>
      </c>
      <c r="K114" s="970" t="s">
        <v>232</v>
      </c>
      <c r="M114" s="1367" t="str">
        <f t="shared" si="57"/>
        <v>X</v>
      </c>
      <c r="N114" s="1368" t="str">
        <f t="shared" si="58"/>
        <v/>
      </c>
      <c r="O114" s="1368" t="str">
        <f t="shared" si="59"/>
        <v/>
      </c>
      <c r="P114" s="1368" t="str">
        <f t="shared" si="60"/>
        <v/>
      </c>
      <c r="Q114" s="1369" t="str">
        <f t="shared" si="61"/>
        <v/>
      </c>
      <c r="R114" s="1367" t="str">
        <f t="shared" si="62"/>
        <v>X</v>
      </c>
      <c r="S114" s="1368" t="str">
        <f t="shared" si="63"/>
        <v/>
      </c>
      <c r="T114" s="1368" t="str">
        <f t="shared" si="64"/>
        <v/>
      </c>
      <c r="U114" s="1369" t="str">
        <f t="shared" si="65"/>
        <v/>
      </c>
      <c r="W114" s="1062"/>
    </row>
    <row r="115" spans="1:23" ht="13.9" customHeight="1" x14ac:dyDescent="0.25">
      <c r="A115" s="847">
        <f>Chem!A115</f>
        <v>113</v>
      </c>
      <c r="B115" s="951" t="str">
        <f>Chem!B115</f>
        <v>2,4-Dinitrotoluene</v>
      </c>
      <c r="C115" s="946">
        <f t="shared" si="46"/>
        <v>0.18</v>
      </c>
      <c r="D115" s="463">
        <f t="shared" si="47"/>
        <v>0.18</v>
      </c>
      <c r="E115" s="463"/>
      <c r="F115" s="501">
        <f>PW!O115</f>
        <v>0.28225806451612895</v>
      </c>
      <c r="G115" s="511">
        <f>SW!R115</f>
        <v>0.18</v>
      </c>
      <c r="H115" s="222" t="str">
        <f>Partit!E115</f>
        <v>na</v>
      </c>
      <c r="I115" s="520" t="str">
        <f>PW!P115</f>
        <v>na</v>
      </c>
      <c r="J115" s="520" t="s">
        <v>232</v>
      </c>
      <c r="K115" s="970" t="s">
        <v>232</v>
      </c>
      <c r="M115" s="1367" t="str">
        <f t="shared" si="57"/>
        <v/>
      </c>
      <c r="N115" s="1368" t="str">
        <f t="shared" si="58"/>
        <v>X</v>
      </c>
      <c r="O115" s="1368" t="str">
        <f t="shared" si="59"/>
        <v/>
      </c>
      <c r="P115" s="1368" t="str">
        <f t="shared" si="60"/>
        <v/>
      </c>
      <c r="Q115" s="1369" t="str">
        <f t="shared" si="61"/>
        <v/>
      </c>
      <c r="R115" s="1367" t="str">
        <f t="shared" si="62"/>
        <v>X</v>
      </c>
      <c r="S115" s="1368" t="str">
        <f t="shared" si="63"/>
        <v/>
      </c>
      <c r="T115" s="1368" t="str">
        <f t="shared" si="64"/>
        <v/>
      </c>
      <c r="U115" s="1369" t="str">
        <f t="shared" si="65"/>
        <v/>
      </c>
      <c r="W115" s="1062"/>
    </row>
    <row r="116" spans="1:23" ht="13.9" customHeight="1" x14ac:dyDescent="0.25">
      <c r="A116" s="842">
        <f>Chem!A116</f>
        <v>114</v>
      </c>
      <c r="B116" s="951" t="str">
        <f>Chem!B116</f>
        <v>2,6-Dinitrotoluene</v>
      </c>
      <c r="C116" s="946">
        <f t="shared" si="46"/>
        <v>5.833333333333332E-2</v>
      </c>
      <c r="D116" s="463" t="str">
        <f t="shared" si="47"/>
        <v>na</v>
      </c>
      <c r="E116" s="463"/>
      <c r="F116" s="501">
        <f>PW!O116</f>
        <v>5.833333333333332E-2</v>
      </c>
      <c r="G116" s="511" t="str">
        <f>SW!R116</f>
        <v>na</v>
      </c>
      <c r="H116" s="222" t="str">
        <f>Partit!E116</f>
        <v>na</v>
      </c>
      <c r="I116" s="520" t="str">
        <f>PW!P116</f>
        <v>na</v>
      </c>
      <c r="J116" s="520" t="s">
        <v>232</v>
      </c>
      <c r="K116" s="970" t="s">
        <v>232</v>
      </c>
      <c r="M116" s="1367" t="str">
        <f t="shared" si="57"/>
        <v>X</v>
      </c>
      <c r="N116" s="1368" t="str">
        <f t="shared" si="58"/>
        <v/>
      </c>
      <c r="O116" s="1368" t="str">
        <f t="shared" si="59"/>
        <v/>
      </c>
      <c r="P116" s="1368" t="str">
        <f t="shared" si="60"/>
        <v/>
      </c>
      <c r="Q116" s="1369" t="str">
        <f t="shared" si="61"/>
        <v/>
      </c>
      <c r="R116" s="1367" t="str">
        <f t="shared" si="62"/>
        <v/>
      </c>
      <c r="S116" s="1368" t="str">
        <f t="shared" si="63"/>
        <v/>
      </c>
      <c r="T116" s="1368" t="str">
        <f t="shared" si="64"/>
        <v/>
      </c>
      <c r="U116" s="1369" t="str">
        <f t="shared" si="65"/>
        <v/>
      </c>
      <c r="W116" s="1062"/>
    </row>
    <row r="117" spans="1:23" ht="13.9" customHeight="1" x14ac:dyDescent="0.25">
      <c r="A117" s="847">
        <f>Chem!A117</f>
        <v>115</v>
      </c>
      <c r="B117" s="951" t="str">
        <f>Chem!B117</f>
        <v>Di-n-octyl phthalate</v>
      </c>
      <c r="C117" s="946">
        <f t="shared" si="46"/>
        <v>2.3137756362059787</v>
      </c>
      <c r="D117" s="463">
        <f t="shared" si="47"/>
        <v>2.3137756362059787</v>
      </c>
      <c r="E117" s="463"/>
      <c r="F117" s="501">
        <f>PW!O117</f>
        <v>160</v>
      </c>
      <c r="G117" s="511" t="str">
        <f>SW!R117</f>
        <v>na</v>
      </c>
      <c r="H117" s="222">
        <f>Partit!E117</f>
        <v>2.3137756362059787</v>
      </c>
      <c r="I117" s="520" t="str">
        <f>PW!P117</f>
        <v>na</v>
      </c>
      <c r="J117" s="520" t="s">
        <v>232</v>
      </c>
      <c r="K117" s="970" t="s">
        <v>232</v>
      </c>
      <c r="M117" s="1367" t="str">
        <f t="shared" si="57"/>
        <v/>
      </c>
      <c r="N117" s="1368" t="str">
        <f t="shared" si="58"/>
        <v/>
      </c>
      <c r="O117" s="1368" t="str">
        <f t="shared" si="59"/>
        <v>X</v>
      </c>
      <c r="P117" s="1368" t="str">
        <f t="shared" si="60"/>
        <v/>
      </c>
      <c r="Q117" s="1369" t="str">
        <f t="shared" si="61"/>
        <v/>
      </c>
      <c r="R117" s="1367" t="str">
        <f t="shared" si="62"/>
        <v/>
      </c>
      <c r="S117" s="1368" t="str">
        <f t="shared" si="63"/>
        <v>X</v>
      </c>
      <c r="T117" s="1368" t="str">
        <f t="shared" si="64"/>
        <v/>
      </c>
      <c r="U117" s="1369" t="str">
        <f t="shared" si="65"/>
        <v/>
      </c>
      <c r="W117" s="1062"/>
    </row>
    <row r="118" spans="1:23" ht="13.9" customHeight="1" x14ac:dyDescent="0.25">
      <c r="A118" s="848">
        <f>Chem!A118</f>
        <v>116</v>
      </c>
      <c r="B118" s="951" t="str">
        <f>Chem!B118</f>
        <v>1,4-Dioxane</v>
      </c>
      <c r="C118" s="957">
        <f t="shared" si="46"/>
        <v>0.43749999999999989</v>
      </c>
      <c r="D118" s="498">
        <f t="shared" si="47"/>
        <v>4705.7080608872202</v>
      </c>
      <c r="E118" s="498"/>
      <c r="F118" s="504">
        <f>PW!O118</f>
        <v>0.43749999999999989</v>
      </c>
      <c r="G118" s="514" t="str">
        <f>SW!R118</f>
        <v>na</v>
      </c>
      <c r="H118" s="225" t="str">
        <f>Partit!E118</f>
        <v>na</v>
      </c>
      <c r="I118" s="524">
        <f>PW!P118</f>
        <v>4705.7080608872202</v>
      </c>
      <c r="J118" s="524" t="s">
        <v>232</v>
      </c>
      <c r="K118" s="970" t="s">
        <v>232</v>
      </c>
      <c r="M118" s="1367" t="str">
        <f t="shared" si="57"/>
        <v>X</v>
      </c>
      <c r="N118" s="1368" t="str">
        <f t="shared" si="58"/>
        <v/>
      </c>
      <c r="O118" s="1368" t="str">
        <f t="shared" si="59"/>
        <v/>
      </c>
      <c r="P118" s="1368" t="str">
        <f t="shared" si="60"/>
        <v/>
      </c>
      <c r="Q118" s="1369" t="str">
        <f t="shared" si="61"/>
        <v/>
      </c>
      <c r="R118" s="1367" t="str">
        <f t="shared" si="62"/>
        <v/>
      </c>
      <c r="S118" s="1368" t="str">
        <f t="shared" si="63"/>
        <v/>
      </c>
      <c r="T118" s="1368" t="str">
        <f t="shared" si="64"/>
        <v>X</v>
      </c>
      <c r="U118" s="1369" t="str">
        <f t="shared" si="65"/>
        <v/>
      </c>
      <c r="W118" s="1062"/>
    </row>
    <row r="119" spans="1:23" ht="13.9" customHeight="1" x14ac:dyDescent="0.25">
      <c r="A119" s="848">
        <f>Chem!A119</f>
        <v>117</v>
      </c>
      <c r="B119" s="951" t="str">
        <f>Chem!B119</f>
        <v>1,2-Diphenylhydrazine</v>
      </c>
      <c r="C119" s="947">
        <f t="shared" si="46"/>
        <v>0.02</v>
      </c>
      <c r="D119" s="464">
        <f t="shared" si="47"/>
        <v>0.02</v>
      </c>
      <c r="E119" s="464"/>
      <c r="F119" s="505">
        <f>PW!O119</f>
        <v>0.10937499999999997</v>
      </c>
      <c r="G119" s="515">
        <f>SW!R119</f>
        <v>0.02</v>
      </c>
      <c r="H119" s="226" t="str">
        <f>Partit!E119</f>
        <v>na</v>
      </c>
      <c r="I119" s="525" t="str">
        <f>PW!P119</f>
        <v>na</v>
      </c>
      <c r="J119" s="525" t="s">
        <v>232</v>
      </c>
      <c r="K119" s="970" t="s">
        <v>232</v>
      </c>
      <c r="M119" s="1367" t="str">
        <f t="shared" si="57"/>
        <v/>
      </c>
      <c r="N119" s="1368" t="str">
        <f t="shared" si="58"/>
        <v>X</v>
      </c>
      <c r="O119" s="1368" t="str">
        <f t="shared" si="59"/>
        <v/>
      </c>
      <c r="P119" s="1368" t="str">
        <f t="shared" si="60"/>
        <v/>
      </c>
      <c r="Q119" s="1369" t="str">
        <f t="shared" si="61"/>
        <v/>
      </c>
      <c r="R119" s="1367" t="str">
        <f t="shared" si="62"/>
        <v>X</v>
      </c>
      <c r="S119" s="1368" t="str">
        <f t="shared" si="63"/>
        <v/>
      </c>
      <c r="T119" s="1368" t="str">
        <f t="shared" si="64"/>
        <v/>
      </c>
      <c r="U119" s="1369" t="str">
        <f t="shared" si="65"/>
        <v/>
      </c>
      <c r="W119" s="1062"/>
    </row>
    <row r="120" spans="1:23" ht="13.9" customHeight="1" x14ac:dyDescent="0.25">
      <c r="A120" s="847">
        <f>Chem!A120</f>
        <v>118</v>
      </c>
      <c r="B120" s="951" t="str">
        <f>Chem!B120</f>
        <v>Hexachlorobenzene</v>
      </c>
      <c r="C120" s="946">
        <f t="shared" si="46"/>
        <v>5.0000000000000004E-6</v>
      </c>
      <c r="D120" s="463">
        <f t="shared" si="47"/>
        <v>5.0000000000000004E-6</v>
      </c>
      <c r="E120" s="463"/>
      <c r="F120" s="501">
        <f>PW!O120</f>
        <v>0.27343749999999994</v>
      </c>
      <c r="G120" s="511">
        <f>SW!R120</f>
        <v>5.0000000000000004E-6</v>
      </c>
      <c r="H120" s="222">
        <f>Partit!E120</f>
        <v>1.446794518428255E-2</v>
      </c>
      <c r="I120" s="520">
        <f>PW!P120</f>
        <v>0.24475479887319596</v>
      </c>
      <c r="J120" s="520" t="s">
        <v>232</v>
      </c>
      <c r="K120" s="970" t="s">
        <v>232</v>
      </c>
      <c r="M120" s="1367" t="str">
        <f t="shared" si="57"/>
        <v/>
      </c>
      <c r="N120" s="1368" t="str">
        <f t="shared" si="58"/>
        <v>X</v>
      </c>
      <c r="O120" s="1368" t="str">
        <f t="shared" si="59"/>
        <v/>
      </c>
      <c r="P120" s="1368" t="str">
        <f t="shared" si="60"/>
        <v/>
      </c>
      <c r="Q120" s="1369" t="str">
        <f t="shared" si="61"/>
        <v/>
      </c>
      <c r="R120" s="1367" t="str">
        <f t="shared" si="62"/>
        <v>X</v>
      </c>
      <c r="S120" s="1368" t="str">
        <f t="shared" si="63"/>
        <v/>
      </c>
      <c r="T120" s="1368" t="str">
        <f t="shared" si="64"/>
        <v/>
      </c>
      <c r="U120" s="1369" t="str">
        <f t="shared" si="65"/>
        <v/>
      </c>
      <c r="W120" s="1062"/>
    </row>
    <row r="121" spans="1:23" ht="13.9" customHeight="1" x14ac:dyDescent="0.25">
      <c r="A121" s="847">
        <f>Chem!A121</f>
        <v>119</v>
      </c>
      <c r="B121" s="951" t="str">
        <f>Chem!B121</f>
        <v>Hexachlorobutadiene</v>
      </c>
      <c r="C121" s="946">
        <f t="shared" si="46"/>
        <v>0.01</v>
      </c>
      <c r="D121" s="463">
        <f t="shared" si="47"/>
        <v>0.01</v>
      </c>
      <c r="E121" s="463"/>
      <c r="F121" s="501">
        <f>PW!O121</f>
        <v>0.56089743589743579</v>
      </c>
      <c r="G121" s="511">
        <f>SW!R121</f>
        <v>0.01</v>
      </c>
      <c r="H121" s="222">
        <f>Partit!E121</f>
        <v>0.66034571040132772</v>
      </c>
      <c r="I121" s="520">
        <f>PW!P121</f>
        <v>0.63832240638214333</v>
      </c>
      <c r="J121" s="520" t="s">
        <v>232</v>
      </c>
      <c r="K121" s="970" t="s">
        <v>232</v>
      </c>
      <c r="M121" s="1367" t="str">
        <f t="shared" si="57"/>
        <v/>
      </c>
      <c r="N121" s="1368" t="str">
        <f t="shared" si="58"/>
        <v>X</v>
      </c>
      <c r="O121" s="1368" t="str">
        <f t="shared" si="59"/>
        <v/>
      </c>
      <c r="P121" s="1368" t="str">
        <f t="shared" si="60"/>
        <v/>
      </c>
      <c r="Q121" s="1369" t="str">
        <f t="shared" si="61"/>
        <v/>
      </c>
      <c r="R121" s="1367" t="str">
        <f t="shared" si="62"/>
        <v>X</v>
      </c>
      <c r="S121" s="1368" t="str">
        <f t="shared" si="63"/>
        <v/>
      </c>
      <c r="T121" s="1368" t="str">
        <f t="shared" si="64"/>
        <v/>
      </c>
      <c r="U121" s="1369" t="str">
        <f t="shared" si="65"/>
        <v/>
      </c>
      <c r="W121" s="1062"/>
    </row>
    <row r="122" spans="1:23" ht="13.9" customHeight="1" x14ac:dyDescent="0.25">
      <c r="A122" s="847">
        <f>Chem!A122</f>
        <v>120</v>
      </c>
      <c r="B122" s="951" t="str">
        <f>Chem!B122</f>
        <v>Hexachlorocyclopentadiene</v>
      </c>
      <c r="C122" s="946">
        <f t="shared" si="46"/>
        <v>1</v>
      </c>
      <c r="D122" s="463">
        <f t="shared" si="47"/>
        <v>1</v>
      </c>
      <c r="E122" s="463"/>
      <c r="F122" s="501">
        <f>PW!O122</f>
        <v>48</v>
      </c>
      <c r="G122" s="511">
        <f>SW!R122</f>
        <v>1</v>
      </c>
      <c r="H122" s="222" t="str">
        <f>Partit!E122</f>
        <v>na</v>
      </c>
      <c r="I122" s="520">
        <f>PW!P122</f>
        <v>4.2161959094510761</v>
      </c>
      <c r="J122" s="520" t="s">
        <v>232</v>
      </c>
      <c r="K122" s="970" t="s">
        <v>232</v>
      </c>
      <c r="M122" s="1367" t="str">
        <f t="shared" si="57"/>
        <v/>
      </c>
      <c r="N122" s="1368" t="str">
        <f t="shared" si="58"/>
        <v>X</v>
      </c>
      <c r="O122" s="1368" t="str">
        <f t="shared" si="59"/>
        <v/>
      </c>
      <c r="P122" s="1368" t="str">
        <f t="shared" si="60"/>
        <v/>
      </c>
      <c r="Q122" s="1369" t="str">
        <f t="shared" si="61"/>
        <v/>
      </c>
      <c r="R122" s="1367" t="str">
        <f t="shared" si="62"/>
        <v>X</v>
      </c>
      <c r="S122" s="1368" t="str">
        <f t="shared" si="63"/>
        <v/>
      </c>
      <c r="T122" s="1368" t="str">
        <f t="shared" si="64"/>
        <v/>
      </c>
      <c r="U122" s="1369" t="str">
        <f t="shared" si="65"/>
        <v/>
      </c>
      <c r="W122" s="1062"/>
    </row>
    <row r="123" spans="1:23" ht="13.9" customHeight="1" x14ac:dyDescent="0.25">
      <c r="A123" s="847">
        <f>Chem!A123</f>
        <v>121</v>
      </c>
      <c r="B123" s="951" t="str">
        <f>Chem!B123</f>
        <v>Hexachloroethane</v>
      </c>
      <c r="C123" s="946">
        <f t="shared" si="46"/>
        <v>0.02</v>
      </c>
      <c r="D123" s="463">
        <f t="shared" si="47"/>
        <v>0.02</v>
      </c>
      <c r="E123" s="463"/>
      <c r="F123" s="501">
        <f>PW!O123</f>
        <v>1.0937499999999998</v>
      </c>
      <c r="G123" s="511">
        <f>SW!R123</f>
        <v>0.02</v>
      </c>
      <c r="H123" s="222" t="str">
        <f>Partit!E123</f>
        <v>na</v>
      </c>
      <c r="I123" s="520">
        <f>PW!P123</f>
        <v>3.8455622211967389</v>
      </c>
      <c r="J123" s="520" t="s">
        <v>232</v>
      </c>
      <c r="K123" s="970" t="s">
        <v>232</v>
      </c>
      <c r="M123" s="1367" t="str">
        <f t="shared" si="57"/>
        <v/>
      </c>
      <c r="N123" s="1368" t="str">
        <f t="shared" si="58"/>
        <v>X</v>
      </c>
      <c r="O123" s="1368" t="str">
        <f t="shared" si="59"/>
        <v/>
      </c>
      <c r="P123" s="1368" t="str">
        <f t="shared" si="60"/>
        <v/>
      </c>
      <c r="Q123" s="1369" t="str">
        <f t="shared" si="61"/>
        <v/>
      </c>
      <c r="R123" s="1367" t="str">
        <f t="shared" si="62"/>
        <v>X</v>
      </c>
      <c r="S123" s="1368" t="str">
        <f t="shared" si="63"/>
        <v/>
      </c>
      <c r="T123" s="1368" t="str">
        <f t="shared" si="64"/>
        <v/>
      </c>
      <c r="U123" s="1369" t="str">
        <f t="shared" si="65"/>
        <v/>
      </c>
      <c r="W123" s="1062"/>
    </row>
    <row r="124" spans="1:23" ht="13.9" customHeight="1" x14ac:dyDescent="0.25">
      <c r="A124" s="847">
        <f>Chem!A124</f>
        <v>122</v>
      </c>
      <c r="B124" s="951" t="str">
        <f>Chem!B124</f>
        <v>Isophorone</v>
      </c>
      <c r="C124" s="946">
        <f t="shared" si="46"/>
        <v>92.105263157894711</v>
      </c>
      <c r="D124" s="463">
        <f t="shared" si="47"/>
        <v>110</v>
      </c>
      <c r="E124" s="463"/>
      <c r="F124" s="501">
        <f>PW!O124</f>
        <v>92.105263157894711</v>
      </c>
      <c r="G124" s="511">
        <f>SW!R124</f>
        <v>110</v>
      </c>
      <c r="H124" s="222" t="str">
        <f>Partit!E124</f>
        <v>na</v>
      </c>
      <c r="I124" s="520" t="str">
        <f>PW!P124</f>
        <v>na</v>
      </c>
      <c r="J124" s="520" t="s">
        <v>232</v>
      </c>
      <c r="K124" s="970" t="s">
        <v>232</v>
      </c>
      <c r="M124" s="1367" t="str">
        <f t="shared" si="57"/>
        <v>X</v>
      </c>
      <c r="N124" s="1368" t="str">
        <f t="shared" si="58"/>
        <v/>
      </c>
      <c r="O124" s="1368" t="str">
        <f t="shared" si="59"/>
        <v/>
      </c>
      <c r="P124" s="1368" t="str">
        <f t="shared" si="60"/>
        <v/>
      </c>
      <c r="Q124" s="1369" t="str">
        <f t="shared" si="61"/>
        <v/>
      </c>
      <c r="R124" s="1367" t="str">
        <f t="shared" si="62"/>
        <v>X</v>
      </c>
      <c r="S124" s="1368" t="str">
        <f t="shared" si="63"/>
        <v/>
      </c>
      <c r="T124" s="1368" t="str">
        <f t="shared" si="64"/>
        <v/>
      </c>
      <c r="U124" s="1369" t="str">
        <f t="shared" si="65"/>
        <v/>
      </c>
      <c r="W124" s="1062"/>
    </row>
    <row r="125" spans="1:23" ht="13.9" customHeight="1" x14ac:dyDescent="0.25">
      <c r="A125" s="847">
        <f>Chem!A125</f>
        <v>123</v>
      </c>
      <c r="B125" s="951" t="str">
        <f>Chem!B125</f>
        <v>2-Methoxynaphthalene</v>
      </c>
      <c r="C125" s="946" t="str">
        <f t="shared" si="46"/>
        <v>na</v>
      </c>
      <c r="D125" s="463" t="str">
        <f t="shared" si="47"/>
        <v>na</v>
      </c>
      <c r="E125" s="463"/>
      <c r="F125" s="501" t="str">
        <f>PW!O125</f>
        <v>na</v>
      </c>
      <c r="G125" s="511" t="str">
        <f>SW!R125</f>
        <v>na</v>
      </c>
      <c r="H125" s="222" t="str">
        <f>Partit!E125</f>
        <v>na</v>
      </c>
      <c r="I125" s="520" t="str">
        <f>PW!P125</f>
        <v>na</v>
      </c>
      <c r="J125" s="520" t="s">
        <v>232</v>
      </c>
      <c r="K125" s="970" t="s">
        <v>232</v>
      </c>
      <c r="M125" s="1367" t="str">
        <f t="shared" si="57"/>
        <v/>
      </c>
      <c r="N125" s="1368" t="str">
        <f t="shared" si="58"/>
        <v/>
      </c>
      <c r="O125" s="1368" t="str">
        <f t="shared" si="59"/>
        <v/>
      </c>
      <c r="P125" s="1368" t="str">
        <f t="shared" si="60"/>
        <v/>
      </c>
      <c r="Q125" s="1369" t="str">
        <f t="shared" si="61"/>
        <v/>
      </c>
      <c r="R125" s="1367" t="str">
        <f t="shared" si="62"/>
        <v/>
      </c>
      <c r="S125" s="1368" t="str">
        <f t="shared" si="63"/>
        <v/>
      </c>
      <c r="T125" s="1368" t="str">
        <f t="shared" si="64"/>
        <v/>
      </c>
      <c r="U125" s="1369" t="str">
        <f t="shared" si="65"/>
        <v/>
      </c>
      <c r="W125" s="1062"/>
    </row>
    <row r="126" spans="1:23" ht="13.9" customHeight="1" x14ac:dyDescent="0.25">
      <c r="A126" s="847">
        <f>Chem!A126</f>
        <v>124</v>
      </c>
      <c r="B126" s="951" t="str">
        <f>Chem!B126</f>
        <v>2-Methylphenol (o-cresol)</v>
      </c>
      <c r="C126" s="946">
        <f t="shared" si="46"/>
        <v>9.7887780936103326</v>
      </c>
      <c r="D126" s="463">
        <f t="shared" si="47"/>
        <v>9.7887780936103326</v>
      </c>
      <c r="E126" s="463"/>
      <c r="F126" s="501">
        <f>PW!O126</f>
        <v>800</v>
      </c>
      <c r="G126" s="511" t="str">
        <f>SW!R126</f>
        <v>na</v>
      </c>
      <c r="H126" s="222">
        <f>Partit!E126</f>
        <v>9.7887780936103326</v>
      </c>
      <c r="I126" s="520" t="str">
        <f>PW!P126</f>
        <v>na</v>
      </c>
      <c r="J126" s="520" t="s">
        <v>232</v>
      </c>
      <c r="K126" s="970" t="s">
        <v>232</v>
      </c>
      <c r="M126" s="1367" t="str">
        <f t="shared" si="57"/>
        <v/>
      </c>
      <c r="N126" s="1368" t="str">
        <f t="shared" si="58"/>
        <v/>
      </c>
      <c r="O126" s="1368" t="str">
        <f t="shared" si="59"/>
        <v>X</v>
      </c>
      <c r="P126" s="1368" t="str">
        <f t="shared" si="60"/>
        <v/>
      </c>
      <c r="Q126" s="1369" t="str">
        <f t="shared" si="61"/>
        <v/>
      </c>
      <c r="R126" s="1367" t="str">
        <f t="shared" si="62"/>
        <v/>
      </c>
      <c r="S126" s="1368" t="str">
        <f t="shared" si="63"/>
        <v>X</v>
      </c>
      <c r="T126" s="1368" t="str">
        <f t="shared" si="64"/>
        <v/>
      </c>
      <c r="U126" s="1369" t="str">
        <f t="shared" si="65"/>
        <v/>
      </c>
      <c r="W126" s="1062"/>
    </row>
    <row r="127" spans="1:23" ht="13.9" customHeight="1" x14ac:dyDescent="0.25">
      <c r="A127" s="847">
        <f>Chem!A127</f>
        <v>125</v>
      </c>
      <c r="B127" s="951" t="str">
        <f>Chem!B127</f>
        <v>3-Methylphenol (m-cresol)</v>
      </c>
      <c r="C127" s="946">
        <f t="shared" si="46"/>
        <v>800</v>
      </c>
      <c r="D127" s="463" t="str">
        <f t="shared" si="47"/>
        <v>na</v>
      </c>
      <c r="E127" s="463"/>
      <c r="F127" s="501">
        <f>PW!O127</f>
        <v>800</v>
      </c>
      <c r="G127" s="511" t="str">
        <f>SW!R127</f>
        <v>na</v>
      </c>
      <c r="H127" s="222" t="str">
        <f>Partit!E127</f>
        <v>na</v>
      </c>
      <c r="I127" s="520" t="str">
        <f>PW!P127</f>
        <v>na</v>
      </c>
      <c r="J127" s="520" t="s">
        <v>232</v>
      </c>
      <c r="K127" s="970" t="s">
        <v>232</v>
      </c>
      <c r="M127" s="1367" t="str">
        <f t="shared" si="57"/>
        <v>X</v>
      </c>
      <c r="N127" s="1368" t="str">
        <f t="shared" si="58"/>
        <v/>
      </c>
      <c r="O127" s="1368" t="str">
        <f t="shared" si="59"/>
        <v/>
      </c>
      <c r="P127" s="1368" t="str">
        <f t="shared" si="60"/>
        <v/>
      </c>
      <c r="Q127" s="1369" t="str">
        <f t="shared" si="61"/>
        <v/>
      </c>
      <c r="R127" s="1367" t="str">
        <f t="shared" si="62"/>
        <v/>
      </c>
      <c r="S127" s="1368" t="str">
        <f t="shared" si="63"/>
        <v/>
      </c>
      <c r="T127" s="1368" t="str">
        <f t="shared" si="64"/>
        <v/>
      </c>
      <c r="U127" s="1369" t="str">
        <f t="shared" si="65"/>
        <v/>
      </c>
      <c r="W127" s="1062"/>
    </row>
    <row r="128" spans="1:23" ht="13.9" customHeight="1" x14ac:dyDescent="0.25">
      <c r="A128" s="847">
        <f>Chem!A128</f>
        <v>126</v>
      </c>
      <c r="B128" s="951" t="str">
        <f>Chem!B128</f>
        <v>4-Methylphenol (p-cresol)</v>
      </c>
      <c r="C128" s="946">
        <f t="shared" si="46"/>
        <v>106.29958002799813</v>
      </c>
      <c r="D128" s="463">
        <f t="shared" si="47"/>
        <v>106.29958002799813</v>
      </c>
      <c r="E128" s="463"/>
      <c r="F128" s="501">
        <f>PW!O128</f>
        <v>1600</v>
      </c>
      <c r="G128" s="511" t="str">
        <f>SW!R128</f>
        <v>na</v>
      </c>
      <c r="H128" s="222">
        <f>Partit!E128</f>
        <v>106.29958002799813</v>
      </c>
      <c r="I128" s="520" t="str">
        <f>PW!P128</f>
        <v>na</v>
      </c>
      <c r="J128" s="520" t="s">
        <v>232</v>
      </c>
      <c r="K128" s="970" t="s">
        <v>232</v>
      </c>
      <c r="M128" s="1367" t="str">
        <f t="shared" si="57"/>
        <v/>
      </c>
      <c r="N128" s="1368" t="str">
        <f t="shared" si="58"/>
        <v/>
      </c>
      <c r="O128" s="1368" t="str">
        <f t="shared" si="59"/>
        <v>X</v>
      </c>
      <c r="P128" s="1368" t="str">
        <f t="shared" si="60"/>
        <v/>
      </c>
      <c r="Q128" s="1369" t="str">
        <f t="shared" si="61"/>
        <v/>
      </c>
      <c r="R128" s="1367" t="str">
        <f t="shared" si="62"/>
        <v/>
      </c>
      <c r="S128" s="1368" t="str">
        <f t="shared" si="63"/>
        <v>X</v>
      </c>
      <c r="T128" s="1368" t="str">
        <f t="shared" si="64"/>
        <v/>
      </c>
      <c r="U128" s="1369" t="str">
        <f t="shared" si="65"/>
        <v/>
      </c>
      <c r="W128" s="1062"/>
    </row>
    <row r="129" spans="1:23" ht="13.9" customHeight="1" x14ac:dyDescent="0.25">
      <c r="A129" s="847">
        <f>Chem!A129</f>
        <v>127</v>
      </c>
      <c r="B129" s="951" t="str">
        <f>Chem!B129</f>
        <v>2-Nitroaniline</v>
      </c>
      <c r="C129" s="946">
        <f t="shared" si="46"/>
        <v>160</v>
      </c>
      <c r="D129" s="463" t="str">
        <f t="shared" si="47"/>
        <v>na</v>
      </c>
      <c r="E129" s="463"/>
      <c r="F129" s="501">
        <f>PW!O129</f>
        <v>160</v>
      </c>
      <c r="G129" s="511" t="str">
        <f>SW!R129</f>
        <v>na</v>
      </c>
      <c r="H129" s="222" t="str">
        <f>Partit!E129</f>
        <v>na</v>
      </c>
      <c r="I129" s="520" t="str">
        <f>PW!P129</f>
        <v>na</v>
      </c>
      <c r="J129" s="520" t="s">
        <v>232</v>
      </c>
      <c r="K129" s="970" t="s">
        <v>232</v>
      </c>
      <c r="M129" s="1367" t="str">
        <f t="shared" si="57"/>
        <v>X</v>
      </c>
      <c r="N129" s="1368" t="str">
        <f t="shared" si="58"/>
        <v/>
      </c>
      <c r="O129" s="1368" t="str">
        <f t="shared" si="59"/>
        <v/>
      </c>
      <c r="P129" s="1368" t="str">
        <f t="shared" si="60"/>
        <v/>
      </c>
      <c r="Q129" s="1369" t="str">
        <f t="shared" si="61"/>
        <v/>
      </c>
      <c r="R129" s="1367" t="str">
        <f t="shared" si="62"/>
        <v/>
      </c>
      <c r="S129" s="1368" t="str">
        <f t="shared" si="63"/>
        <v/>
      </c>
      <c r="T129" s="1368" t="str">
        <f t="shared" si="64"/>
        <v/>
      </c>
      <c r="U129" s="1369" t="str">
        <f t="shared" si="65"/>
        <v/>
      </c>
      <c r="W129" s="1062"/>
    </row>
    <row r="130" spans="1:23" ht="13.9" customHeight="1" x14ac:dyDescent="0.25">
      <c r="A130" s="847">
        <f>Chem!A130</f>
        <v>128</v>
      </c>
      <c r="B130" s="951" t="str">
        <f>Chem!B130</f>
        <v>3-Nitroaniline</v>
      </c>
      <c r="C130" s="946" t="str">
        <f t="shared" si="46"/>
        <v>na</v>
      </c>
      <c r="D130" s="463" t="str">
        <f t="shared" si="47"/>
        <v>na</v>
      </c>
      <c r="E130" s="463"/>
      <c r="F130" s="501" t="str">
        <f>PW!O130</f>
        <v>na</v>
      </c>
      <c r="G130" s="511" t="str">
        <f>SW!R130</f>
        <v>na</v>
      </c>
      <c r="H130" s="222" t="str">
        <f>Partit!E130</f>
        <v>na</v>
      </c>
      <c r="I130" s="520" t="str">
        <f>PW!P130</f>
        <v>na</v>
      </c>
      <c r="J130" s="520" t="s">
        <v>232</v>
      </c>
      <c r="K130" s="970" t="s">
        <v>232</v>
      </c>
      <c r="M130" s="1367" t="str">
        <f t="shared" si="57"/>
        <v/>
      </c>
      <c r="N130" s="1368" t="str">
        <f t="shared" si="58"/>
        <v/>
      </c>
      <c r="O130" s="1368" t="str">
        <f t="shared" si="59"/>
        <v/>
      </c>
      <c r="P130" s="1368" t="str">
        <f t="shared" si="60"/>
        <v/>
      </c>
      <c r="Q130" s="1369" t="str">
        <f t="shared" si="61"/>
        <v/>
      </c>
      <c r="R130" s="1367" t="str">
        <f t="shared" si="62"/>
        <v/>
      </c>
      <c r="S130" s="1368" t="str">
        <f t="shared" si="63"/>
        <v/>
      </c>
      <c r="T130" s="1368" t="str">
        <f t="shared" si="64"/>
        <v/>
      </c>
      <c r="U130" s="1369" t="str">
        <f t="shared" si="65"/>
        <v/>
      </c>
      <c r="W130" s="1062"/>
    </row>
    <row r="131" spans="1:23" ht="13.9" customHeight="1" x14ac:dyDescent="0.25">
      <c r="A131" s="847">
        <f>Chem!A131</f>
        <v>129</v>
      </c>
      <c r="B131" s="951" t="str">
        <f>Chem!B131</f>
        <v>4-Nitroaniline</v>
      </c>
      <c r="C131" s="946">
        <f t="shared" si="46"/>
        <v>4.3749999999999991</v>
      </c>
      <c r="D131" s="463" t="str">
        <f t="shared" si="47"/>
        <v>na</v>
      </c>
      <c r="E131" s="463"/>
      <c r="F131" s="501">
        <f>PW!O131</f>
        <v>4.3749999999999991</v>
      </c>
      <c r="G131" s="511" t="str">
        <f>SW!R131</f>
        <v>na</v>
      </c>
      <c r="H131" s="222" t="str">
        <f>Partit!E131</f>
        <v>na</v>
      </c>
      <c r="I131" s="520" t="str">
        <f>PW!P131</f>
        <v>na</v>
      </c>
      <c r="J131" s="520" t="s">
        <v>232</v>
      </c>
      <c r="K131" s="970" t="s">
        <v>232</v>
      </c>
      <c r="M131" s="1367" t="str">
        <f t="shared" si="57"/>
        <v>X</v>
      </c>
      <c r="N131" s="1368" t="str">
        <f t="shared" si="58"/>
        <v/>
      </c>
      <c r="O131" s="1368" t="str">
        <f t="shared" si="59"/>
        <v/>
      </c>
      <c r="P131" s="1368" t="str">
        <f t="shared" si="60"/>
        <v/>
      </c>
      <c r="Q131" s="1369" t="str">
        <f t="shared" si="61"/>
        <v/>
      </c>
      <c r="R131" s="1367" t="str">
        <f t="shared" si="62"/>
        <v/>
      </c>
      <c r="S131" s="1368" t="str">
        <f t="shared" si="63"/>
        <v/>
      </c>
      <c r="T131" s="1368" t="str">
        <f t="shared" si="64"/>
        <v/>
      </c>
      <c r="U131" s="1369" t="str">
        <f t="shared" si="65"/>
        <v/>
      </c>
      <c r="W131" s="1062"/>
    </row>
    <row r="132" spans="1:23" ht="13.9" customHeight="1" x14ac:dyDescent="0.25">
      <c r="A132" s="847">
        <f>Chem!A132</f>
        <v>130</v>
      </c>
      <c r="B132" s="951" t="str">
        <f>Chem!B132</f>
        <v>Nitrobenzene</v>
      </c>
      <c r="C132" s="946">
        <f t="shared" si="46"/>
        <v>16</v>
      </c>
      <c r="D132" s="463">
        <f t="shared" si="47"/>
        <v>100</v>
      </c>
      <c r="E132" s="463"/>
      <c r="F132" s="501">
        <f>PW!O132</f>
        <v>16</v>
      </c>
      <c r="G132" s="511">
        <f>SW!R132</f>
        <v>100</v>
      </c>
      <c r="H132" s="222" t="str">
        <f>Partit!E132</f>
        <v>na</v>
      </c>
      <c r="I132" s="520" t="str">
        <f>PW!P132</f>
        <v>na</v>
      </c>
      <c r="J132" s="520" t="s">
        <v>232</v>
      </c>
      <c r="K132" s="970" t="s">
        <v>232</v>
      </c>
      <c r="M132" s="1367" t="str">
        <f t="shared" si="57"/>
        <v>X</v>
      </c>
      <c r="N132" s="1368" t="str">
        <f t="shared" si="58"/>
        <v/>
      </c>
      <c r="O132" s="1368" t="str">
        <f t="shared" si="59"/>
        <v/>
      </c>
      <c r="P132" s="1368" t="str">
        <f t="shared" si="60"/>
        <v/>
      </c>
      <c r="Q132" s="1369" t="str">
        <f t="shared" si="61"/>
        <v/>
      </c>
      <c r="R132" s="1367" t="str">
        <f t="shared" si="62"/>
        <v>X</v>
      </c>
      <c r="S132" s="1368" t="str">
        <f t="shared" si="63"/>
        <v/>
      </c>
      <c r="T132" s="1368" t="str">
        <f t="shared" si="64"/>
        <v/>
      </c>
      <c r="U132" s="1369" t="str">
        <f t="shared" si="65"/>
        <v/>
      </c>
      <c r="W132" s="1062"/>
    </row>
    <row r="133" spans="1:23" ht="13.9" customHeight="1" x14ac:dyDescent="0.25">
      <c r="A133" s="847">
        <f>Chem!A133</f>
        <v>131</v>
      </c>
      <c r="B133" s="951" t="str">
        <f>Chem!B133</f>
        <v>2-Nitrophenol</v>
      </c>
      <c r="C133" s="946" t="str">
        <f t="shared" si="46"/>
        <v>na</v>
      </c>
      <c r="D133" s="463" t="str">
        <f t="shared" si="47"/>
        <v>na</v>
      </c>
      <c r="E133" s="463"/>
      <c r="F133" s="501" t="str">
        <f>PW!O133</f>
        <v>na</v>
      </c>
      <c r="G133" s="511" t="str">
        <f>SW!R133</f>
        <v>na</v>
      </c>
      <c r="H133" s="222" t="str">
        <f>Partit!E133</f>
        <v>na</v>
      </c>
      <c r="I133" s="520" t="str">
        <f>PW!P133</f>
        <v>na</v>
      </c>
      <c r="J133" s="520" t="s">
        <v>232</v>
      </c>
      <c r="K133" s="970" t="s">
        <v>232</v>
      </c>
      <c r="M133" s="1367" t="str">
        <f t="shared" si="57"/>
        <v/>
      </c>
      <c r="N133" s="1368" t="str">
        <f t="shared" si="58"/>
        <v/>
      </c>
      <c r="O133" s="1368" t="str">
        <f t="shared" si="59"/>
        <v/>
      </c>
      <c r="P133" s="1368" t="str">
        <f t="shared" si="60"/>
        <v/>
      </c>
      <c r="Q133" s="1369" t="str">
        <f t="shared" si="61"/>
        <v/>
      </c>
      <c r="R133" s="1367" t="str">
        <f t="shared" si="62"/>
        <v/>
      </c>
      <c r="S133" s="1368" t="str">
        <f t="shared" si="63"/>
        <v/>
      </c>
      <c r="T133" s="1368" t="str">
        <f t="shared" si="64"/>
        <v/>
      </c>
      <c r="U133" s="1369" t="str">
        <f t="shared" si="65"/>
        <v/>
      </c>
      <c r="W133" s="1062"/>
    </row>
    <row r="134" spans="1:23" ht="13.9" customHeight="1" x14ac:dyDescent="0.25">
      <c r="A134" s="847">
        <f>Chem!A134</f>
        <v>132</v>
      </c>
      <c r="B134" s="951" t="str">
        <f>Chem!B134</f>
        <v>4-Nitrophenol</v>
      </c>
      <c r="C134" s="946" t="str">
        <f t="shared" si="46"/>
        <v>na</v>
      </c>
      <c r="D134" s="463" t="str">
        <f t="shared" si="47"/>
        <v>na</v>
      </c>
      <c r="E134" s="463"/>
      <c r="F134" s="501" t="str">
        <f>PW!O134</f>
        <v>na</v>
      </c>
      <c r="G134" s="511" t="str">
        <f>SW!R134</f>
        <v>na</v>
      </c>
      <c r="H134" s="222" t="str">
        <f>Partit!E134</f>
        <v>na</v>
      </c>
      <c r="I134" s="520" t="str">
        <f>PW!P134</f>
        <v>na</v>
      </c>
      <c r="J134" s="520" t="s">
        <v>232</v>
      </c>
      <c r="K134" s="970" t="s">
        <v>232</v>
      </c>
      <c r="M134" s="1367" t="str">
        <f t="shared" si="57"/>
        <v/>
      </c>
      <c r="N134" s="1368" t="str">
        <f t="shared" si="58"/>
        <v/>
      </c>
      <c r="O134" s="1368" t="str">
        <f t="shared" si="59"/>
        <v/>
      </c>
      <c r="P134" s="1368" t="str">
        <f t="shared" si="60"/>
        <v/>
      </c>
      <c r="Q134" s="1369" t="str">
        <f t="shared" si="61"/>
        <v/>
      </c>
      <c r="R134" s="1367" t="str">
        <f t="shared" si="62"/>
        <v/>
      </c>
      <c r="S134" s="1368" t="str">
        <f t="shared" si="63"/>
        <v/>
      </c>
      <c r="T134" s="1368" t="str">
        <f t="shared" si="64"/>
        <v/>
      </c>
      <c r="U134" s="1369" t="str">
        <f t="shared" si="65"/>
        <v/>
      </c>
      <c r="W134" s="1062"/>
    </row>
    <row r="135" spans="1:23" ht="13.9" customHeight="1" x14ac:dyDescent="0.25">
      <c r="A135" s="847">
        <f>Chem!A135</f>
        <v>133</v>
      </c>
      <c r="B135" s="951" t="str">
        <f>Chem!B135</f>
        <v>n-Nitrosodimethylamine</v>
      </c>
      <c r="C135" s="946">
        <f t="shared" si="46"/>
        <v>2.3000000000000001E-4</v>
      </c>
      <c r="D135" s="463">
        <f t="shared" si="47"/>
        <v>0.34</v>
      </c>
      <c r="E135" s="463"/>
      <c r="F135" s="501">
        <f>PW!O135</f>
        <v>2.3000000000000001E-4</v>
      </c>
      <c r="G135" s="511">
        <f>SW!R135</f>
        <v>0.34</v>
      </c>
      <c r="H135" s="222" t="str">
        <f>Partit!E135</f>
        <v>na</v>
      </c>
      <c r="I135" s="520" t="str">
        <f>PW!P135</f>
        <v>na</v>
      </c>
      <c r="J135" s="520" t="s">
        <v>232</v>
      </c>
      <c r="K135" s="970" t="s">
        <v>232</v>
      </c>
      <c r="M135" s="1367" t="str">
        <f t="shared" si="57"/>
        <v>X</v>
      </c>
      <c r="N135" s="1368" t="str">
        <f t="shared" si="58"/>
        <v/>
      </c>
      <c r="O135" s="1368" t="str">
        <f t="shared" si="59"/>
        <v/>
      </c>
      <c r="P135" s="1368" t="str">
        <f t="shared" si="60"/>
        <v/>
      </c>
      <c r="Q135" s="1369" t="str">
        <f t="shared" si="61"/>
        <v/>
      </c>
      <c r="R135" s="1367" t="str">
        <f t="shared" si="62"/>
        <v>X</v>
      </c>
      <c r="S135" s="1368" t="str">
        <f t="shared" si="63"/>
        <v/>
      </c>
      <c r="T135" s="1368" t="str">
        <f t="shared" si="64"/>
        <v/>
      </c>
      <c r="U135" s="1369" t="str">
        <f t="shared" si="65"/>
        <v/>
      </c>
      <c r="W135" s="1062"/>
    </row>
    <row r="136" spans="1:23" ht="13.9" customHeight="1" x14ac:dyDescent="0.25">
      <c r="A136" s="847">
        <f>Chem!A136</f>
        <v>134</v>
      </c>
      <c r="B136" s="951" t="str">
        <f>Chem!B136</f>
        <v>n-Nitrosodiphenylamine</v>
      </c>
      <c r="C136" s="946">
        <f t="shared" si="46"/>
        <v>0.55365575639146725</v>
      </c>
      <c r="D136" s="463">
        <f t="shared" si="47"/>
        <v>0.55365575639146725</v>
      </c>
      <c r="E136" s="463"/>
      <c r="F136" s="501">
        <f>PW!O136</f>
        <v>17.857142857142854</v>
      </c>
      <c r="G136" s="511">
        <f>SW!R136</f>
        <v>0.69</v>
      </c>
      <c r="H136" s="222">
        <f>Partit!E136</f>
        <v>0.55365575639146725</v>
      </c>
      <c r="I136" s="520" t="str">
        <f>PW!P136</f>
        <v>na</v>
      </c>
      <c r="J136" s="520" t="s">
        <v>232</v>
      </c>
      <c r="K136" s="970" t="s">
        <v>232</v>
      </c>
      <c r="M136" s="1367" t="str">
        <f t="shared" si="57"/>
        <v/>
      </c>
      <c r="N136" s="1368" t="str">
        <f t="shared" si="58"/>
        <v/>
      </c>
      <c r="O136" s="1368" t="str">
        <f t="shared" si="59"/>
        <v>X</v>
      </c>
      <c r="P136" s="1368" t="str">
        <f t="shared" si="60"/>
        <v/>
      </c>
      <c r="Q136" s="1369" t="str">
        <f t="shared" si="61"/>
        <v/>
      </c>
      <c r="R136" s="1367" t="str">
        <f t="shared" si="62"/>
        <v/>
      </c>
      <c r="S136" s="1368" t="str">
        <f t="shared" si="63"/>
        <v>X</v>
      </c>
      <c r="T136" s="1368" t="str">
        <f t="shared" si="64"/>
        <v/>
      </c>
      <c r="U136" s="1369" t="str">
        <f t="shared" si="65"/>
        <v/>
      </c>
      <c r="W136" s="1062"/>
    </row>
    <row r="137" spans="1:23" ht="13.9" customHeight="1" x14ac:dyDescent="0.25">
      <c r="A137" s="847">
        <f>Chem!A137</f>
        <v>135</v>
      </c>
      <c r="B137" s="951" t="str">
        <f>Chem!B137</f>
        <v>n-Nitrosodi-n-propylamine</v>
      </c>
      <c r="C137" s="946">
        <f t="shared" si="46"/>
        <v>1.2499999999999997E-2</v>
      </c>
      <c r="D137" s="463">
        <f t="shared" si="47"/>
        <v>5.8000000000000003E-2</v>
      </c>
      <c r="E137" s="463"/>
      <c r="F137" s="501">
        <f>PW!O137</f>
        <v>1.2499999999999997E-2</v>
      </c>
      <c r="G137" s="511">
        <f>SW!R137</f>
        <v>5.8000000000000003E-2</v>
      </c>
      <c r="H137" s="222" t="str">
        <f>Partit!E137</f>
        <v>na</v>
      </c>
      <c r="I137" s="520" t="str">
        <f>PW!P137</f>
        <v>na</v>
      </c>
      <c r="J137" s="520" t="s">
        <v>232</v>
      </c>
      <c r="K137" s="970" t="s">
        <v>232</v>
      </c>
      <c r="M137" s="1367" t="str">
        <f t="shared" si="57"/>
        <v>X</v>
      </c>
      <c r="N137" s="1368" t="str">
        <f t="shared" si="58"/>
        <v/>
      </c>
      <c r="O137" s="1368" t="str">
        <f t="shared" si="59"/>
        <v/>
      </c>
      <c r="P137" s="1368" t="str">
        <f t="shared" si="60"/>
        <v/>
      </c>
      <c r="Q137" s="1369" t="str">
        <f t="shared" si="61"/>
        <v/>
      </c>
      <c r="R137" s="1367" t="str">
        <f t="shared" si="62"/>
        <v>X</v>
      </c>
      <c r="S137" s="1368" t="str">
        <f t="shared" si="63"/>
        <v/>
      </c>
      <c r="T137" s="1368" t="str">
        <f t="shared" si="64"/>
        <v/>
      </c>
      <c r="U137" s="1369" t="str">
        <f t="shared" si="65"/>
        <v/>
      </c>
      <c r="W137" s="1062"/>
    </row>
    <row r="138" spans="1:23" ht="13.9" customHeight="1" x14ac:dyDescent="0.25">
      <c r="A138" s="847">
        <f>Chem!A138</f>
        <v>136</v>
      </c>
      <c r="B138" s="951" t="str">
        <f>Chem!B138</f>
        <v>Pentachlorophenol</v>
      </c>
      <c r="C138" s="946">
        <f t="shared" si="46"/>
        <v>2E-3</v>
      </c>
      <c r="D138" s="463">
        <f t="shared" si="47"/>
        <v>2E-3</v>
      </c>
      <c r="E138" s="463"/>
      <c r="F138" s="501">
        <f>PW!O138</f>
        <v>1</v>
      </c>
      <c r="G138" s="511">
        <f>SW!R138</f>
        <v>2E-3</v>
      </c>
      <c r="H138" s="222">
        <f>Partit!E138</f>
        <v>42.297448836557336</v>
      </c>
      <c r="I138" s="520" t="str">
        <f>PW!P138</f>
        <v>na</v>
      </c>
      <c r="J138" s="520" t="s">
        <v>232</v>
      </c>
      <c r="K138" s="970" t="s">
        <v>232</v>
      </c>
      <c r="M138" s="1367" t="str">
        <f t="shared" si="57"/>
        <v/>
      </c>
      <c r="N138" s="1368" t="str">
        <f t="shared" si="58"/>
        <v>X</v>
      </c>
      <c r="O138" s="1368" t="str">
        <f t="shared" si="59"/>
        <v/>
      </c>
      <c r="P138" s="1368" t="str">
        <f t="shared" si="60"/>
        <v/>
      </c>
      <c r="Q138" s="1369" t="str">
        <f t="shared" si="61"/>
        <v/>
      </c>
      <c r="R138" s="1367" t="str">
        <f t="shared" si="62"/>
        <v>X</v>
      </c>
      <c r="S138" s="1368" t="str">
        <f t="shared" si="63"/>
        <v/>
      </c>
      <c r="T138" s="1368" t="str">
        <f t="shared" si="64"/>
        <v/>
      </c>
      <c r="U138" s="1369" t="str">
        <f t="shared" si="65"/>
        <v/>
      </c>
      <c r="W138" s="1062"/>
    </row>
    <row r="139" spans="1:23" ht="13.9" customHeight="1" x14ac:dyDescent="0.25">
      <c r="A139" s="847">
        <f>Chem!A139</f>
        <v>137</v>
      </c>
      <c r="B139" s="951" t="str">
        <f>Chem!B139</f>
        <v>Phenol</v>
      </c>
      <c r="C139" s="946">
        <f t="shared" si="46"/>
        <v>101.06014069156842</v>
      </c>
      <c r="D139" s="463">
        <f t="shared" si="47"/>
        <v>101.06014069156842</v>
      </c>
      <c r="E139" s="463"/>
      <c r="F139" s="501">
        <f>PW!O139</f>
        <v>4800</v>
      </c>
      <c r="G139" s="511">
        <f>SW!R139</f>
        <v>70000</v>
      </c>
      <c r="H139" s="222">
        <f>Partit!E139</f>
        <v>101.06014069156842</v>
      </c>
      <c r="I139" s="520" t="str">
        <f>PW!P139</f>
        <v>na</v>
      </c>
      <c r="J139" s="520" t="s">
        <v>232</v>
      </c>
      <c r="K139" s="970" t="s">
        <v>232</v>
      </c>
      <c r="M139" s="1367" t="str">
        <f t="shared" si="57"/>
        <v/>
      </c>
      <c r="N139" s="1368" t="str">
        <f t="shared" si="58"/>
        <v/>
      </c>
      <c r="O139" s="1368" t="str">
        <f t="shared" si="59"/>
        <v>X</v>
      </c>
      <c r="P139" s="1368" t="str">
        <f t="shared" si="60"/>
        <v/>
      </c>
      <c r="Q139" s="1369" t="str">
        <f t="shared" si="61"/>
        <v/>
      </c>
      <c r="R139" s="1367" t="str">
        <f t="shared" si="62"/>
        <v/>
      </c>
      <c r="S139" s="1368" t="str">
        <f t="shared" si="63"/>
        <v>X</v>
      </c>
      <c r="T139" s="1368" t="str">
        <f t="shared" si="64"/>
        <v/>
      </c>
      <c r="U139" s="1369" t="str">
        <f t="shared" si="65"/>
        <v/>
      </c>
      <c r="W139" s="1062"/>
    </row>
    <row r="140" spans="1:23" ht="13.9" customHeight="1" x14ac:dyDescent="0.25">
      <c r="A140" s="847">
        <f>Chem!A140</f>
        <v>138</v>
      </c>
      <c r="B140" s="951" t="str">
        <f>Chem!B140</f>
        <v>Pyridine</v>
      </c>
      <c r="C140" s="946">
        <f t="shared" si="46"/>
        <v>8</v>
      </c>
      <c r="D140" s="463" t="str">
        <f t="shared" si="47"/>
        <v>na</v>
      </c>
      <c r="E140" s="463"/>
      <c r="F140" s="501">
        <f>PW!O140</f>
        <v>8</v>
      </c>
      <c r="G140" s="511" t="str">
        <f>SW!R140</f>
        <v>na</v>
      </c>
      <c r="H140" s="222" t="str">
        <f>Partit!E140</f>
        <v>na</v>
      </c>
      <c r="I140" s="520" t="str">
        <f>PW!P140</f>
        <v>na</v>
      </c>
      <c r="J140" s="520" t="s">
        <v>232</v>
      </c>
      <c r="K140" s="970" t="s">
        <v>232</v>
      </c>
      <c r="M140" s="1367" t="str">
        <f t="shared" si="57"/>
        <v>X</v>
      </c>
      <c r="N140" s="1368" t="str">
        <f t="shared" si="58"/>
        <v/>
      </c>
      <c r="O140" s="1368" t="str">
        <f t="shared" si="59"/>
        <v/>
      </c>
      <c r="P140" s="1368" t="str">
        <f t="shared" si="60"/>
        <v/>
      </c>
      <c r="Q140" s="1369" t="str">
        <f t="shared" si="61"/>
        <v/>
      </c>
      <c r="R140" s="1367" t="str">
        <f t="shared" si="62"/>
        <v/>
      </c>
      <c r="S140" s="1368" t="str">
        <f t="shared" si="63"/>
        <v/>
      </c>
      <c r="T140" s="1368" t="str">
        <f t="shared" si="64"/>
        <v/>
      </c>
      <c r="U140" s="1369" t="str">
        <f t="shared" si="65"/>
        <v/>
      </c>
      <c r="W140" s="1062"/>
    </row>
    <row r="141" spans="1:23" ht="13.9" customHeight="1" x14ac:dyDescent="0.25">
      <c r="A141" s="847">
        <f>Chem!A141</f>
        <v>139</v>
      </c>
      <c r="B141" s="951" t="str">
        <f>Chem!B141</f>
        <v>2,3,4,5-Tetrachlorophenol</v>
      </c>
      <c r="C141" s="946" t="str">
        <f t="shared" si="46"/>
        <v>na</v>
      </c>
      <c r="D141" s="463" t="str">
        <f t="shared" si="47"/>
        <v>na</v>
      </c>
      <c r="E141" s="463"/>
      <c r="F141" s="501" t="str">
        <f>PW!O141</f>
        <v>na</v>
      </c>
      <c r="G141" s="511" t="str">
        <f>SW!R141</f>
        <v>na</v>
      </c>
      <c r="H141" s="222" t="str">
        <f>Partit!E141</f>
        <v>na</v>
      </c>
      <c r="I141" s="520" t="str">
        <f>PW!P141</f>
        <v>na</v>
      </c>
      <c r="J141" s="520" t="s">
        <v>232</v>
      </c>
      <c r="K141" s="970" t="s">
        <v>232</v>
      </c>
      <c r="M141" s="1367" t="str">
        <f t="shared" si="57"/>
        <v/>
      </c>
      <c r="N141" s="1368" t="str">
        <f t="shared" si="58"/>
        <v/>
      </c>
      <c r="O141" s="1368" t="str">
        <f t="shared" si="59"/>
        <v/>
      </c>
      <c r="P141" s="1368" t="str">
        <f t="shared" si="60"/>
        <v/>
      </c>
      <c r="Q141" s="1369" t="str">
        <f t="shared" si="61"/>
        <v/>
      </c>
      <c r="R141" s="1367" t="str">
        <f t="shared" si="62"/>
        <v/>
      </c>
      <c r="S141" s="1368" t="str">
        <f t="shared" si="63"/>
        <v/>
      </c>
      <c r="T141" s="1368" t="str">
        <f t="shared" si="64"/>
        <v/>
      </c>
      <c r="U141" s="1369" t="str">
        <f t="shared" si="65"/>
        <v/>
      </c>
      <c r="W141" s="1062"/>
    </row>
    <row r="142" spans="1:23" ht="13.9" customHeight="1" x14ac:dyDescent="0.25">
      <c r="A142" s="847">
        <f>Chem!A142</f>
        <v>140</v>
      </c>
      <c r="B142" s="951" t="str">
        <f>Chem!B142</f>
        <v>2,3,4,6-Tetrachlorophenol</v>
      </c>
      <c r="C142" s="946">
        <f t="shared" si="46"/>
        <v>480</v>
      </c>
      <c r="D142" s="463" t="str">
        <f t="shared" si="47"/>
        <v>na</v>
      </c>
      <c r="E142" s="463"/>
      <c r="F142" s="501">
        <f>PW!O142</f>
        <v>480</v>
      </c>
      <c r="G142" s="511" t="str">
        <f>SW!R142</f>
        <v>na</v>
      </c>
      <c r="H142" s="222" t="str">
        <f>Partit!E142</f>
        <v>na</v>
      </c>
      <c r="I142" s="520" t="str">
        <f>PW!P142</f>
        <v>na</v>
      </c>
      <c r="J142" s="520" t="s">
        <v>232</v>
      </c>
      <c r="K142" s="970" t="s">
        <v>232</v>
      </c>
      <c r="M142" s="1367" t="str">
        <f t="shared" si="57"/>
        <v>X</v>
      </c>
      <c r="N142" s="1368" t="str">
        <f t="shared" si="58"/>
        <v/>
      </c>
      <c r="O142" s="1368" t="str">
        <f t="shared" si="59"/>
        <v/>
      </c>
      <c r="P142" s="1368" t="str">
        <f t="shared" si="60"/>
        <v/>
      </c>
      <c r="Q142" s="1369" t="str">
        <f t="shared" si="61"/>
        <v/>
      </c>
      <c r="R142" s="1367" t="str">
        <f t="shared" si="62"/>
        <v/>
      </c>
      <c r="S142" s="1368" t="str">
        <f t="shared" si="63"/>
        <v/>
      </c>
      <c r="T142" s="1368" t="str">
        <f t="shared" si="64"/>
        <v/>
      </c>
      <c r="U142" s="1369" t="str">
        <f t="shared" si="65"/>
        <v/>
      </c>
      <c r="W142" s="1062"/>
    </row>
    <row r="143" spans="1:23" ht="13.9" customHeight="1" x14ac:dyDescent="0.25">
      <c r="A143" s="847">
        <f>Chem!A143</f>
        <v>141</v>
      </c>
      <c r="B143" s="951" t="str">
        <f>Chem!B143</f>
        <v>1,2,4-Trichlorobenzene</v>
      </c>
      <c r="C143" s="946">
        <f t="shared" si="46"/>
        <v>3.6999999999999998E-2</v>
      </c>
      <c r="D143" s="463">
        <f t="shared" si="47"/>
        <v>3.6999999999999998E-2</v>
      </c>
      <c r="E143" s="463"/>
      <c r="F143" s="501">
        <f>PW!O143</f>
        <v>15.086206896551719</v>
      </c>
      <c r="G143" s="511">
        <f>SW!R143</f>
        <v>3.6999999999999998E-2</v>
      </c>
      <c r="H143" s="222">
        <f>Partit!E143</f>
        <v>0.96444192302765219</v>
      </c>
      <c r="I143" s="520">
        <f>PW!P143</f>
        <v>38.532432470614744</v>
      </c>
      <c r="J143" s="520" t="s">
        <v>232</v>
      </c>
      <c r="K143" s="970" t="s">
        <v>232</v>
      </c>
      <c r="M143" s="1367" t="str">
        <f t="shared" si="57"/>
        <v/>
      </c>
      <c r="N143" s="1368" t="str">
        <f t="shared" si="58"/>
        <v>X</v>
      </c>
      <c r="O143" s="1368" t="str">
        <f t="shared" si="59"/>
        <v/>
      </c>
      <c r="P143" s="1368" t="str">
        <f t="shared" si="60"/>
        <v/>
      </c>
      <c r="Q143" s="1369" t="str">
        <f t="shared" si="61"/>
        <v/>
      </c>
      <c r="R143" s="1367" t="str">
        <f t="shared" si="62"/>
        <v>X</v>
      </c>
      <c r="S143" s="1368" t="str">
        <f t="shared" si="63"/>
        <v/>
      </c>
      <c r="T143" s="1368" t="str">
        <f t="shared" si="64"/>
        <v/>
      </c>
      <c r="U143" s="1369" t="str">
        <f t="shared" si="65"/>
        <v/>
      </c>
      <c r="W143" s="1062"/>
    </row>
    <row r="144" spans="1:23" ht="13.9" customHeight="1" x14ac:dyDescent="0.25">
      <c r="A144" s="847">
        <f>Chem!A144</f>
        <v>142</v>
      </c>
      <c r="B144" s="951" t="str">
        <f>Chem!B144</f>
        <v>2,4,5-Trichlorophenol</v>
      </c>
      <c r="C144" s="946">
        <f t="shared" si="46"/>
        <v>600</v>
      </c>
      <c r="D144" s="463">
        <f t="shared" si="47"/>
        <v>600</v>
      </c>
      <c r="E144" s="463"/>
      <c r="F144" s="501">
        <f>PW!O144</f>
        <v>1600</v>
      </c>
      <c r="G144" s="511">
        <f>SW!R144</f>
        <v>600</v>
      </c>
      <c r="H144" s="222" t="str">
        <f>Partit!E144</f>
        <v>na</v>
      </c>
      <c r="I144" s="520" t="str">
        <f>PW!P144</f>
        <v>na</v>
      </c>
      <c r="J144" s="520" t="s">
        <v>232</v>
      </c>
      <c r="K144" s="970" t="s">
        <v>232</v>
      </c>
      <c r="M144" s="1367" t="str">
        <f t="shared" si="57"/>
        <v/>
      </c>
      <c r="N144" s="1368" t="str">
        <f t="shared" si="58"/>
        <v>X</v>
      </c>
      <c r="O144" s="1368" t="str">
        <f t="shared" si="59"/>
        <v/>
      </c>
      <c r="P144" s="1368" t="str">
        <f t="shared" si="60"/>
        <v/>
      </c>
      <c r="Q144" s="1369" t="str">
        <f t="shared" si="61"/>
        <v/>
      </c>
      <c r="R144" s="1367" t="str">
        <f t="shared" si="62"/>
        <v>X</v>
      </c>
      <c r="S144" s="1368" t="str">
        <f t="shared" si="63"/>
        <v/>
      </c>
      <c r="T144" s="1368" t="str">
        <f t="shared" si="64"/>
        <v/>
      </c>
      <c r="U144" s="1369" t="str">
        <f t="shared" si="65"/>
        <v/>
      </c>
      <c r="W144" s="1062"/>
    </row>
    <row r="145" spans="1:23" ht="13.9" customHeight="1" x14ac:dyDescent="0.25">
      <c r="A145" s="842">
        <f>Chem!A145</f>
        <v>143</v>
      </c>
      <c r="B145" s="951" t="str">
        <f>Chem!B145</f>
        <v>2,4,6-Trichlorophenol</v>
      </c>
      <c r="C145" s="946">
        <f t="shared" si="46"/>
        <v>0.28000000000000003</v>
      </c>
      <c r="D145" s="463">
        <f t="shared" si="47"/>
        <v>0.28000000000000003</v>
      </c>
      <c r="E145" s="463"/>
      <c r="F145" s="501">
        <f>PW!O145</f>
        <v>7.9545454545454533</v>
      </c>
      <c r="G145" s="511">
        <f>SW!R145</f>
        <v>0.28000000000000003</v>
      </c>
      <c r="H145" s="222" t="str">
        <f>Partit!E145</f>
        <v>na</v>
      </c>
      <c r="I145" s="520" t="str">
        <f>PW!P145</f>
        <v>na</v>
      </c>
      <c r="J145" s="520" t="s">
        <v>232</v>
      </c>
      <c r="K145" s="970" t="s">
        <v>232</v>
      </c>
      <c r="M145" s="1370" t="str">
        <f t="shared" si="57"/>
        <v/>
      </c>
      <c r="N145" s="1371" t="str">
        <f t="shared" si="58"/>
        <v>X</v>
      </c>
      <c r="O145" s="1371" t="str">
        <f t="shared" si="59"/>
        <v/>
      </c>
      <c r="P145" s="1371" t="str">
        <f t="shared" si="60"/>
        <v/>
      </c>
      <c r="Q145" s="1372" t="str">
        <f t="shared" si="61"/>
        <v/>
      </c>
      <c r="R145" s="1370" t="str">
        <f t="shared" si="62"/>
        <v>X</v>
      </c>
      <c r="S145" s="1371" t="str">
        <f t="shared" si="63"/>
        <v/>
      </c>
      <c r="T145" s="1371" t="str">
        <f t="shared" si="64"/>
        <v/>
      </c>
      <c r="U145" s="1372" t="str">
        <f t="shared" si="65"/>
        <v/>
      </c>
      <c r="W145" s="1062"/>
    </row>
    <row r="146" spans="1:23" ht="13.9" customHeight="1" x14ac:dyDescent="0.25">
      <c r="A146" s="1197">
        <f>Chem!A146</f>
        <v>144</v>
      </c>
      <c r="B146" s="953" t="str">
        <f>Chem!B146</f>
        <v>Volatile Organic Compounds</v>
      </c>
      <c r="C146" s="54"/>
      <c r="D146" s="54"/>
      <c r="E146" s="54"/>
      <c r="F146" s="54"/>
      <c r="G146" s="54"/>
      <c r="H146" s="29"/>
      <c r="I146" s="29"/>
      <c r="J146" s="29"/>
      <c r="K146" s="166"/>
      <c r="M146" s="122" t="str">
        <f>B146</f>
        <v>Volatile Organic Compounds</v>
      </c>
      <c r="N146" s="2333"/>
      <c r="O146" s="2333"/>
      <c r="P146" s="2333"/>
      <c r="Q146" s="2333"/>
      <c r="R146" s="2333"/>
      <c r="S146" s="2333"/>
      <c r="T146" s="2333"/>
      <c r="U146" s="2334"/>
      <c r="W146" s="1063"/>
    </row>
    <row r="147" spans="1:23" ht="13.9" customHeight="1" x14ac:dyDescent="0.25">
      <c r="A147" s="846">
        <f>Chem!A147</f>
        <v>145</v>
      </c>
      <c r="B147" s="951" t="str">
        <f>Chem!B147</f>
        <v>Acetone</v>
      </c>
      <c r="C147" s="946">
        <f t="shared" ref="C147:C215" si="66">IF(AND($F147="na",$G147="na",$H147="na",$I147="na"),"na",IF(AND(ISNUMBER($K147),MIN($F147:$I147)&lt;$K147),$K147,MIN($F147:$I147)))</f>
        <v>7200</v>
      </c>
      <c r="D147" s="463" t="str">
        <f t="shared" ref="D147:D215" si="67">IF(AND($G147="na",$H147="na",$I147="na"),"na",IF(AND(ISNUMBER($K147),MIN($G147:$I147)&lt;$K147),$K147,MIN($G147:$I147)))</f>
        <v>na</v>
      </c>
      <c r="E147" s="463"/>
      <c r="F147" s="501">
        <f>PW!O147</f>
        <v>7200</v>
      </c>
      <c r="G147" s="511" t="str">
        <f>SW!R147</f>
        <v>na</v>
      </c>
      <c r="H147" s="222" t="str">
        <f>Partit!E147</f>
        <v>na</v>
      </c>
      <c r="I147" s="520" t="str">
        <f>PW!P147</f>
        <v>na</v>
      </c>
      <c r="J147" s="520" t="s">
        <v>232</v>
      </c>
      <c r="K147" s="970" t="s">
        <v>232</v>
      </c>
      <c r="M147" s="1373" t="str">
        <f t="shared" ref="M147:M179" si="68">IF($C147="na","",IF($C147=$F147,"X",""))</f>
        <v>X</v>
      </c>
      <c r="N147" s="1374" t="str">
        <f t="shared" ref="N147:N179" si="69">IF($C147="na","",IF($C147=$G147,"X",""))</f>
        <v/>
      </c>
      <c r="O147" s="1374" t="str">
        <f t="shared" ref="O147:O179" si="70">IF($C147="na","",IF($C147=$H147,"X",""))</f>
        <v/>
      </c>
      <c r="P147" s="1374" t="str">
        <f t="shared" ref="P147:P179" si="71">IF($C147="na","",IF($C147=$I147,"X",""))</f>
        <v/>
      </c>
      <c r="Q147" s="1375" t="str">
        <f t="shared" ref="Q147:Q179" si="72">IF($C147="na","",IF($C147=$K147,"X",""))</f>
        <v/>
      </c>
      <c r="R147" s="1373" t="str">
        <f t="shared" ref="R147:R179" si="73">IF($D147="na","",IF($D147=$G147,"X",""))</f>
        <v/>
      </c>
      <c r="S147" s="1374" t="str">
        <f t="shared" ref="S147:S179" si="74">IF($D147="na","",IF($D147=$H147,"X",""))</f>
        <v/>
      </c>
      <c r="T147" s="1374" t="str">
        <f t="shared" ref="T147:T179" si="75">IF($D147="na","",IF($D147=$I147,"X",""))</f>
        <v/>
      </c>
      <c r="U147" s="1375" t="str">
        <f t="shared" ref="U147:U179" si="76">IF($D147="na","",IF($D147=$K147,"X",""))</f>
        <v/>
      </c>
      <c r="W147" s="1062"/>
    </row>
    <row r="148" spans="1:23" ht="13.9" customHeight="1" x14ac:dyDescent="0.25">
      <c r="A148" s="846">
        <f>Chem!A148</f>
        <v>146</v>
      </c>
      <c r="B148" s="951" t="str">
        <f>Chem!B148</f>
        <v>Acetaldehyde</v>
      </c>
      <c r="C148" s="946">
        <f t="shared" si="66"/>
        <v>622.53476670015914</v>
      </c>
      <c r="D148" s="463">
        <f t="shared" si="67"/>
        <v>622.53476670015914</v>
      </c>
      <c r="E148" s="463"/>
      <c r="F148" s="501" t="str">
        <f>PW!O148</f>
        <v>na</v>
      </c>
      <c r="G148" s="511" t="str">
        <f>SW!R148</f>
        <v>na</v>
      </c>
      <c r="H148" s="222" t="str">
        <f>Partit!E148</f>
        <v>na</v>
      </c>
      <c r="I148" s="520">
        <f>PW!P148</f>
        <v>622.53476670015914</v>
      </c>
      <c r="J148" s="520" t="s">
        <v>232</v>
      </c>
      <c r="K148" s="970" t="s">
        <v>232</v>
      </c>
      <c r="M148" s="1367" t="str">
        <f t="shared" si="68"/>
        <v/>
      </c>
      <c r="N148" s="1368" t="str">
        <f t="shared" si="69"/>
        <v/>
      </c>
      <c r="O148" s="1368" t="str">
        <f t="shared" si="70"/>
        <v/>
      </c>
      <c r="P148" s="1368" t="str">
        <f t="shared" si="71"/>
        <v>X</v>
      </c>
      <c r="Q148" s="1369" t="str">
        <f t="shared" si="72"/>
        <v/>
      </c>
      <c r="R148" s="1367" t="str">
        <f t="shared" si="73"/>
        <v/>
      </c>
      <c r="S148" s="1368" t="str">
        <f t="shared" si="74"/>
        <v/>
      </c>
      <c r="T148" s="1368" t="str">
        <f t="shared" si="75"/>
        <v>X</v>
      </c>
      <c r="U148" s="1369" t="str">
        <f t="shared" si="76"/>
        <v/>
      </c>
      <c r="W148" s="1062"/>
    </row>
    <row r="149" spans="1:23" ht="13.9" customHeight="1" x14ac:dyDescent="0.25">
      <c r="A149" s="846">
        <f>Chem!A149</f>
        <v>147</v>
      </c>
      <c r="B149" s="951" t="str">
        <f>Chem!B149</f>
        <v>Acrolein</v>
      </c>
      <c r="C149" s="946">
        <f t="shared" si="66"/>
        <v>1.1000000000000001</v>
      </c>
      <c r="D149" s="463">
        <f t="shared" si="67"/>
        <v>1.1000000000000001</v>
      </c>
      <c r="E149" s="463"/>
      <c r="F149" s="501">
        <f>PW!O149</f>
        <v>4</v>
      </c>
      <c r="G149" s="511">
        <f>SW!R149</f>
        <v>1.1000000000000001</v>
      </c>
      <c r="H149" s="222" t="str">
        <f>Partit!E149</f>
        <v>na</v>
      </c>
      <c r="I149" s="520">
        <f>PW!P149</f>
        <v>2.9432860684367737</v>
      </c>
      <c r="J149" s="520" t="s">
        <v>232</v>
      </c>
      <c r="K149" s="970" t="s">
        <v>232</v>
      </c>
      <c r="M149" s="1367" t="str">
        <f t="shared" si="68"/>
        <v/>
      </c>
      <c r="N149" s="1368" t="str">
        <f t="shared" si="69"/>
        <v>X</v>
      </c>
      <c r="O149" s="1368" t="str">
        <f t="shared" si="70"/>
        <v/>
      </c>
      <c r="P149" s="1368" t="str">
        <f t="shared" si="71"/>
        <v/>
      </c>
      <c r="Q149" s="1369" t="str">
        <f t="shared" si="72"/>
        <v/>
      </c>
      <c r="R149" s="1367" t="str">
        <f t="shared" si="73"/>
        <v>X</v>
      </c>
      <c r="S149" s="1368" t="str">
        <f t="shared" si="74"/>
        <v/>
      </c>
      <c r="T149" s="1368" t="str">
        <f t="shared" si="75"/>
        <v/>
      </c>
      <c r="U149" s="1369" t="str">
        <f t="shared" si="76"/>
        <v/>
      </c>
      <c r="W149" s="1062"/>
    </row>
    <row r="150" spans="1:23" ht="13.9" customHeight="1" x14ac:dyDescent="0.25">
      <c r="A150" s="846">
        <f>Chem!A150</f>
        <v>148</v>
      </c>
      <c r="B150" s="951" t="str">
        <f>Chem!B150</f>
        <v>Acrylonitrile</v>
      </c>
      <c r="C150" s="946">
        <f t="shared" si="66"/>
        <v>2.8000000000000001E-2</v>
      </c>
      <c r="D150" s="463">
        <f t="shared" si="67"/>
        <v>2.8000000000000001E-2</v>
      </c>
      <c r="E150" s="463"/>
      <c r="F150" s="501">
        <f>PW!O150</f>
        <v>8.101851851851849E-2</v>
      </c>
      <c r="G150" s="511">
        <f>SW!R150</f>
        <v>2.8000000000000001E-2</v>
      </c>
      <c r="H150" s="222" t="str">
        <f>Partit!E150</f>
        <v>na</v>
      </c>
      <c r="I150" s="520">
        <f>PW!P150</f>
        <v>11.554752426605909</v>
      </c>
      <c r="J150" s="520" t="s">
        <v>232</v>
      </c>
      <c r="K150" s="970" t="s">
        <v>232</v>
      </c>
      <c r="M150" s="1367" t="str">
        <f t="shared" si="68"/>
        <v/>
      </c>
      <c r="N150" s="1368" t="str">
        <f t="shared" si="69"/>
        <v>X</v>
      </c>
      <c r="O150" s="1368" t="str">
        <f t="shared" si="70"/>
        <v/>
      </c>
      <c r="P150" s="1368" t="str">
        <f t="shared" si="71"/>
        <v/>
      </c>
      <c r="Q150" s="1369" t="str">
        <f t="shared" si="72"/>
        <v/>
      </c>
      <c r="R150" s="1367" t="str">
        <f t="shared" si="73"/>
        <v>X</v>
      </c>
      <c r="S150" s="1368" t="str">
        <f t="shared" si="74"/>
        <v/>
      </c>
      <c r="T150" s="1368" t="str">
        <f t="shared" si="75"/>
        <v/>
      </c>
      <c r="U150" s="1369" t="str">
        <f t="shared" si="76"/>
        <v/>
      </c>
      <c r="W150" s="1062"/>
    </row>
    <row r="151" spans="1:23" ht="13.9" customHeight="1" x14ac:dyDescent="0.25">
      <c r="A151" s="846">
        <f>Chem!A151</f>
        <v>149</v>
      </c>
      <c r="B151" s="951" t="str">
        <f>Chem!B151</f>
        <v>Benzaldehyde</v>
      </c>
      <c r="C151" s="947">
        <f t="shared" si="66"/>
        <v>10.937499999999998</v>
      </c>
      <c r="D151" s="464" t="str">
        <f t="shared" si="67"/>
        <v>na</v>
      </c>
      <c r="E151" s="464"/>
      <c r="F151" s="505">
        <f>PW!O151</f>
        <v>10.937499999999998</v>
      </c>
      <c r="G151" s="515" t="str">
        <f>SW!R151</f>
        <v>na</v>
      </c>
      <c r="H151" s="226" t="str">
        <f>Partit!E151</f>
        <v>na</v>
      </c>
      <c r="I151" s="525" t="str">
        <f>PW!P151</f>
        <v>na</v>
      </c>
      <c r="J151" s="525" t="s">
        <v>232</v>
      </c>
      <c r="K151" s="970" t="s">
        <v>232</v>
      </c>
      <c r="M151" s="1367" t="str">
        <f t="shared" si="68"/>
        <v>X</v>
      </c>
      <c r="N151" s="1368" t="str">
        <f t="shared" si="69"/>
        <v/>
      </c>
      <c r="O151" s="1368" t="str">
        <f t="shared" si="70"/>
        <v/>
      </c>
      <c r="P151" s="1368" t="str">
        <f t="shared" si="71"/>
        <v/>
      </c>
      <c r="Q151" s="1369" t="str">
        <f t="shared" si="72"/>
        <v/>
      </c>
      <c r="R151" s="1367" t="str">
        <f t="shared" si="73"/>
        <v/>
      </c>
      <c r="S151" s="1368" t="str">
        <f t="shared" si="74"/>
        <v/>
      </c>
      <c r="T151" s="1368" t="str">
        <f t="shared" si="75"/>
        <v/>
      </c>
      <c r="U151" s="1369" t="str">
        <f t="shared" si="76"/>
        <v/>
      </c>
      <c r="W151" s="1062"/>
    </row>
    <row r="152" spans="1:23" ht="13.9" customHeight="1" x14ac:dyDescent="0.25">
      <c r="A152" s="846">
        <f>Chem!A152</f>
        <v>150</v>
      </c>
      <c r="B152" s="951" t="str">
        <f>Chem!B152</f>
        <v>Benzene</v>
      </c>
      <c r="C152" s="946">
        <f t="shared" si="66"/>
        <v>1.6</v>
      </c>
      <c r="D152" s="463">
        <f t="shared" si="67"/>
        <v>1.6</v>
      </c>
      <c r="E152" s="463"/>
      <c r="F152" s="501">
        <f>PW!O152</f>
        <v>5</v>
      </c>
      <c r="G152" s="511">
        <f>SW!R152</f>
        <v>1.6</v>
      </c>
      <c r="H152" s="222" t="str">
        <f>Partit!E152</f>
        <v>na</v>
      </c>
      <c r="I152" s="520">
        <f>PW!P152</f>
        <v>2.3930475332276453</v>
      </c>
      <c r="J152" s="520" t="s">
        <v>232</v>
      </c>
      <c r="K152" s="970" t="s">
        <v>232</v>
      </c>
      <c r="M152" s="1367" t="str">
        <f t="shared" si="68"/>
        <v/>
      </c>
      <c r="N152" s="1368" t="str">
        <f t="shared" si="69"/>
        <v>X</v>
      </c>
      <c r="O152" s="1368" t="str">
        <f t="shared" si="70"/>
        <v/>
      </c>
      <c r="P152" s="1368" t="str">
        <f t="shared" si="71"/>
        <v/>
      </c>
      <c r="Q152" s="1369" t="str">
        <f t="shared" si="72"/>
        <v/>
      </c>
      <c r="R152" s="1367" t="str">
        <f t="shared" si="73"/>
        <v>X</v>
      </c>
      <c r="S152" s="1368" t="str">
        <f t="shared" si="74"/>
        <v/>
      </c>
      <c r="T152" s="1368" t="str">
        <f t="shared" si="75"/>
        <v/>
      </c>
      <c r="U152" s="1369" t="str">
        <f t="shared" si="76"/>
        <v/>
      </c>
      <c r="W152" s="1062"/>
    </row>
    <row r="153" spans="1:23" ht="13.9" customHeight="1" x14ac:dyDescent="0.25">
      <c r="A153" s="846">
        <f>Chem!A153</f>
        <v>151</v>
      </c>
      <c r="B153" s="951" t="str">
        <f>Chem!B153</f>
        <v>Bromobenzene</v>
      </c>
      <c r="C153" s="954">
        <f t="shared" si="66"/>
        <v>64</v>
      </c>
      <c r="D153" s="496">
        <f t="shared" si="67"/>
        <v>634.49755406861038</v>
      </c>
      <c r="E153" s="496"/>
      <c r="F153" s="502">
        <f>PW!O153</f>
        <v>64</v>
      </c>
      <c r="G153" s="512" t="str">
        <f>SW!R153</f>
        <v>na</v>
      </c>
      <c r="H153" s="224" t="str">
        <f>Partit!E153</f>
        <v>na</v>
      </c>
      <c r="I153" s="522">
        <f>PW!P153</f>
        <v>634.49755406861038</v>
      </c>
      <c r="J153" s="522" t="s">
        <v>232</v>
      </c>
      <c r="K153" s="970" t="s">
        <v>232</v>
      </c>
      <c r="M153" s="1367" t="str">
        <f t="shared" si="68"/>
        <v>X</v>
      </c>
      <c r="N153" s="1368" t="str">
        <f t="shared" si="69"/>
        <v/>
      </c>
      <c r="O153" s="1368" t="str">
        <f t="shared" si="70"/>
        <v/>
      </c>
      <c r="P153" s="1368" t="str">
        <f t="shared" si="71"/>
        <v/>
      </c>
      <c r="Q153" s="1369" t="str">
        <f t="shared" si="72"/>
        <v/>
      </c>
      <c r="R153" s="1367" t="str">
        <f t="shared" si="73"/>
        <v/>
      </c>
      <c r="S153" s="1368" t="str">
        <f t="shared" si="74"/>
        <v/>
      </c>
      <c r="T153" s="1368" t="str">
        <f t="shared" si="75"/>
        <v>X</v>
      </c>
      <c r="U153" s="1369" t="str">
        <f t="shared" si="76"/>
        <v/>
      </c>
      <c r="W153" s="1062"/>
    </row>
    <row r="154" spans="1:23" ht="13.9" customHeight="1" x14ac:dyDescent="0.25">
      <c r="A154" s="846">
        <f>Chem!A154</f>
        <v>152</v>
      </c>
      <c r="B154" s="951" t="str">
        <f>Chem!B154</f>
        <v>Bromochloromethane</v>
      </c>
      <c r="C154" s="946" t="str">
        <f t="shared" si="66"/>
        <v>na</v>
      </c>
      <c r="D154" s="463" t="str">
        <f t="shared" si="67"/>
        <v>na</v>
      </c>
      <c r="E154" s="463"/>
      <c r="F154" s="501" t="str">
        <f>PW!O154</f>
        <v>na</v>
      </c>
      <c r="G154" s="511" t="str">
        <f>SW!R154</f>
        <v>na</v>
      </c>
      <c r="H154" s="222" t="str">
        <f>Partit!E154</f>
        <v>na</v>
      </c>
      <c r="I154" s="520" t="str">
        <f>PW!P154</f>
        <v>na</v>
      </c>
      <c r="J154" s="520" t="s">
        <v>232</v>
      </c>
      <c r="K154" s="970" t="s">
        <v>232</v>
      </c>
      <c r="M154" s="1367" t="str">
        <f t="shared" si="68"/>
        <v/>
      </c>
      <c r="N154" s="1368" t="str">
        <f t="shared" si="69"/>
        <v/>
      </c>
      <c r="O154" s="1368" t="str">
        <f t="shared" si="70"/>
        <v/>
      </c>
      <c r="P154" s="1368" t="str">
        <f t="shared" si="71"/>
        <v/>
      </c>
      <c r="Q154" s="1369" t="str">
        <f t="shared" si="72"/>
        <v/>
      </c>
      <c r="R154" s="1367" t="str">
        <f t="shared" si="73"/>
        <v/>
      </c>
      <c r="S154" s="1368" t="str">
        <f t="shared" si="74"/>
        <v/>
      </c>
      <c r="T154" s="1368" t="str">
        <f t="shared" si="75"/>
        <v/>
      </c>
      <c r="U154" s="1369" t="str">
        <f t="shared" si="76"/>
        <v/>
      </c>
      <c r="W154" s="1062"/>
    </row>
    <row r="155" spans="1:23" ht="13.9" customHeight="1" x14ac:dyDescent="0.25">
      <c r="A155" s="846">
        <f>Chem!A155</f>
        <v>153</v>
      </c>
      <c r="B155" s="951" t="str">
        <f>Chem!B155</f>
        <v>Bromoethane</v>
      </c>
      <c r="C155" s="956" t="str">
        <f t="shared" si="66"/>
        <v>na</v>
      </c>
      <c r="D155" s="497" t="str">
        <f t="shared" si="67"/>
        <v>na</v>
      </c>
      <c r="E155" s="497"/>
      <c r="F155" s="503" t="str">
        <f>PW!O155</f>
        <v>na</v>
      </c>
      <c r="G155" s="513" t="str">
        <f>SW!R155</f>
        <v>na</v>
      </c>
      <c r="H155" s="194" t="str">
        <f>Partit!E155</f>
        <v>na</v>
      </c>
      <c r="I155" s="523" t="str">
        <f>PW!P155</f>
        <v>na</v>
      </c>
      <c r="J155" s="523" t="s">
        <v>232</v>
      </c>
      <c r="K155" s="970" t="s">
        <v>232</v>
      </c>
      <c r="M155" s="1367" t="str">
        <f t="shared" si="68"/>
        <v/>
      </c>
      <c r="N155" s="1368" t="str">
        <f t="shared" si="69"/>
        <v/>
      </c>
      <c r="O155" s="1368" t="str">
        <f t="shared" si="70"/>
        <v/>
      </c>
      <c r="P155" s="1368" t="str">
        <f t="shared" si="71"/>
        <v/>
      </c>
      <c r="Q155" s="1369" t="str">
        <f t="shared" si="72"/>
        <v/>
      </c>
      <c r="R155" s="1367" t="str">
        <f t="shared" si="73"/>
        <v/>
      </c>
      <c r="S155" s="1368" t="str">
        <f t="shared" si="74"/>
        <v/>
      </c>
      <c r="T155" s="1368" t="str">
        <f t="shared" si="75"/>
        <v/>
      </c>
      <c r="U155" s="1369" t="str">
        <f t="shared" si="76"/>
        <v/>
      </c>
      <c r="W155" s="1062"/>
    </row>
    <row r="156" spans="1:23" ht="13.9" customHeight="1" x14ac:dyDescent="0.25">
      <c r="A156" s="846">
        <f>Chem!A156</f>
        <v>154</v>
      </c>
      <c r="B156" s="951" t="str">
        <f>Chem!B156</f>
        <v>Bromoform</v>
      </c>
      <c r="C156" s="946">
        <f t="shared" si="66"/>
        <v>12</v>
      </c>
      <c r="D156" s="463">
        <f t="shared" si="67"/>
        <v>12</v>
      </c>
      <c r="E156" s="463"/>
      <c r="F156" s="501">
        <f>PW!O156</f>
        <v>55.379746835443022</v>
      </c>
      <c r="G156" s="511">
        <f>SW!R156</f>
        <v>12</v>
      </c>
      <c r="H156" s="222" t="str">
        <f>Partit!E156</f>
        <v>na</v>
      </c>
      <c r="I156" s="520">
        <f>PW!P156</f>
        <v>216.58352898353243</v>
      </c>
      <c r="J156" s="520" t="s">
        <v>232</v>
      </c>
      <c r="K156" s="970" t="s">
        <v>232</v>
      </c>
      <c r="M156" s="1367" t="str">
        <f t="shared" si="68"/>
        <v/>
      </c>
      <c r="N156" s="1368" t="str">
        <f t="shared" si="69"/>
        <v>X</v>
      </c>
      <c r="O156" s="1368" t="str">
        <f t="shared" si="70"/>
        <v/>
      </c>
      <c r="P156" s="1368" t="str">
        <f t="shared" si="71"/>
        <v/>
      </c>
      <c r="Q156" s="1369" t="str">
        <f t="shared" si="72"/>
        <v/>
      </c>
      <c r="R156" s="1367" t="str">
        <f t="shared" si="73"/>
        <v>X</v>
      </c>
      <c r="S156" s="1368" t="str">
        <f t="shared" si="74"/>
        <v/>
      </c>
      <c r="T156" s="1368" t="str">
        <f t="shared" si="75"/>
        <v/>
      </c>
      <c r="U156" s="1369" t="str">
        <f t="shared" si="76"/>
        <v/>
      </c>
      <c r="W156" s="1062"/>
    </row>
    <row r="157" spans="1:23" ht="13.9" customHeight="1" x14ac:dyDescent="0.25">
      <c r="A157" s="846">
        <f>Chem!A157</f>
        <v>155</v>
      </c>
      <c r="B157" s="951" t="str">
        <f>Chem!B157</f>
        <v>Bromomethane</v>
      </c>
      <c r="C157" s="946">
        <f t="shared" si="66"/>
        <v>10.884793669261343</v>
      </c>
      <c r="D157" s="463">
        <f t="shared" si="67"/>
        <v>10.884793669261343</v>
      </c>
      <c r="E157" s="463"/>
      <c r="F157" s="501">
        <f>PW!O157</f>
        <v>11.2</v>
      </c>
      <c r="G157" s="511">
        <f>SW!R157</f>
        <v>268.03418803418805</v>
      </c>
      <c r="H157" s="222" t="str">
        <f>Partit!E157</f>
        <v>na</v>
      </c>
      <c r="I157" s="520">
        <f>PW!P157</f>
        <v>10.884793669261343</v>
      </c>
      <c r="J157" s="520" t="s">
        <v>232</v>
      </c>
      <c r="K157" s="970" t="s">
        <v>232</v>
      </c>
      <c r="M157" s="1367" t="str">
        <f t="shared" si="68"/>
        <v/>
      </c>
      <c r="N157" s="1368" t="str">
        <f t="shared" si="69"/>
        <v/>
      </c>
      <c r="O157" s="1368" t="str">
        <f t="shared" si="70"/>
        <v/>
      </c>
      <c r="P157" s="1368" t="str">
        <f t="shared" si="71"/>
        <v>X</v>
      </c>
      <c r="Q157" s="1369" t="str">
        <f t="shared" si="72"/>
        <v/>
      </c>
      <c r="R157" s="1367" t="str">
        <f t="shared" si="73"/>
        <v/>
      </c>
      <c r="S157" s="1368" t="str">
        <f t="shared" si="74"/>
        <v/>
      </c>
      <c r="T157" s="1368" t="str">
        <f t="shared" si="75"/>
        <v>X</v>
      </c>
      <c r="U157" s="1369" t="str">
        <f t="shared" si="76"/>
        <v/>
      </c>
      <c r="W157" s="1062"/>
    </row>
    <row r="158" spans="1:23" ht="13.9" customHeight="1" x14ac:dyDescent="0.25">
      <c r="A158" s="846">
        <f>Chem!A158</f>
        <v>156</v>
      </c>
      <c r="B158" s="951" t="str">
        <f>Chem!B158</f>
        <v>2-Butoxyethanol (EGBE)</v>
      </c>
      <c r="C158" s="946">
        <f t="shared" si="66"/>
        <v>1600</v>
      </c>
      <c r="D158" s="463" t="str">
        <f t="shared" si="67"/>
        <v>na</v>
      </c>
      <c r="E158" s="463"/>
      <c r="F158" s="501">
        <f>PW!O158</f>
        <v>1600</v>
      </c>
      <c r="G158" s="511" t="str">
        <f>SW!R158</f>
        <v>na</v>
      </c>
      <c r="H158" s="222" t="str">
        <f>Partit!E158</f>
        <v>na</v>
      </c>
      <c r="I158" s="520" t="str">
        <f>PW!P158</f>
        <v>na</v>
      </c>
      <c r="J158" s="520" t="s">
        <v>232</v>
      </c>
      <c r="K158" s="970" t="s">
        <v>232</v>
      </c>
      <c r="M158" s="1367" t="str">
        <f t="shared" si="68"/>
        <v>X</v>
      </c>
      <c r="N158" s="1368" t="str">
        <f t="shared" si="69"/>
        <v/>
      </c>
      <c r="O158" s="1368" t="str">
        <f t="shared" si="70"/>
        <v/>
      </c>
      <c r="P158" s="1368" t="str">
        <f t="shared" si="71"/>
        <v/>
      </c>
      <c r="Q158" s="1369" t="str">
        <f t="shared" si="72"/>
        <v/>
      </c>
      <c r="R158" s="1367" t="str">
        <f t="shared" si="73"/>
        <v/>
      </c>
      <c r="S158" s="1368" t="str">
        <f t="shared" si="74"/>
        <v/>
      </c>
      <c r="T158" s="1368" t="str">
        <f t="shared" si="75"/>
        <v/>
      </c>
      <c r="U158" s="1369" t="str">
        <f t="shared" si="76"/>
        <v/>
      </c>
      <c r="W158" s="1062"/>
    </row>
    <row r="159" spans="1:23" ht="13.9" customHeight="1" x14ac:dyDescent="0.25">
      <c r="A159" s="846">
        <f>Chem!A159</f>
        <v>157</v>
      </c>
      <c r="B159" s="951" t="str">
        <f>Chem!B159</f>
        <v>n-Butylbenzene</v>
      </c>
      <c r="C159" s="946">
        <f t="shared" si="66"/>
        <v>400</v>
      </c>
      <c r="D159" s="463" t="str">
        <f t="shared" si="67"/>
        <v>na</v>
      </c>
      <c r="E159" s="463"/>
      <c r="F159" s="501">
        <f>PW!O159</f>
        <v>400</v>
      </c>
      <c r="G159" s="511" t="str">
        <f>SW!R159</f>
        <v>na</v>
      </c>
      <c r="H159" s="222" t="str">
        <f>Partit!E159</f>
        <v>na</v>
      </c>
      <c r="I159" s="520" t="str">
        <f>PW!P159</f>
        <v>na</v>
      </c>
      <c r="J159" s="520" t="s">
        <v>232</v>
      </c>
      <c r="K159" s="970" t="s">
        <v>232</v>
      </c>
      <c r="M159" s="1367" t="str">
        <f t="shared" si="68"/>
        <v>X</v>
      </c>
      <c r="N159" s="1368" t="str">
        <f t="shared" si="69"/>
        <v/>
      </c>
      <c r="O159" s="1368" t="str">
        <f t="shared" si="70"/>
        <v/>
      </c>
      <c r="P159" s="1368" t="str">
        <f t="shared" si="71"/>
        <v/>
      </c>
      <c r="Q159" s="1369" t="str">
        <f t="shared" si="72"/>
        <v/>
      </c>
      <c r="R159" s="1367" t="str">
        <f t="shared" si="73"/>
        <v/>
      </c>
      <c r="S159" s="1368" t="str">
        <f t="shared" si="74"/>
        <v/>
      </c>
      <c r="T159" s="1368" t="str">
        <f t="shared" si="75"/>
        <v/>
      </c>
      <c r="U159" s="1369" t="str">
        <f t="shared" si="76"/>
        <v/>
      </c>
      <c r="W159" s="1062"/>
    </row>
    <row r="160" spans="1:23" ht="13.9" customHeight="1" x14ac:dyDescent="0.25">
      <c r="A160" s="846">
        <f>Chem!A160</f>
        <v>158</v>
      </c>
      <c r="B160" s="951" t="str">
        <f>Chem!B160</f>
        <v>sec-Butylbenzene</v>
      </c>
      <c r="C160" s="946">
        <f t="shared" si="66"/>
        <v>800</v>
      </c>
      <c r="D160" s="463" t="str">
        <f t="shared" si="67"/>
        <v>na</v>
      </c>
      <c r="E160" s="463"/>
      <c r="F160" s="501">
        <f>PW!O160</f>
        <v>800</v>
      </c>
      <c r="G160" s="511" t="str">
        <f>SW!R160</f>
        <v>na</v>
      </c>
      <c r="H160" s="222" t="str">
        <f>Partit!E160</f>
        <v>na</v>
      </c>
      <c r="I160" s="520" t="str">
        <f>PW!P160</f>
        <v>na</v>
      </c>
      <c r="J160" s="520" t="s">
        <v>232</v>
      </c>
      <c r="K160" s="970" t="s">
        <v>232</v>
      </c>
      <c r="M160" s="1367" t="str">
        <f t="shared" si="68"/>
        <v>X</v>
      </c>
      <c r="N160" s="1368" t="str">
        <f t="shared" si="69"/>
        <v/>
      </c>
      <c r="O160" s="1368" t="str">
        <f t="shared" si="70"/>
        <v/>
      </c>
      <c r="P160" s="1368" t="str">
        <f t="shared" si="71"/>
        <v/>
      </c>
      <c r="Q160" s="1369" t="str">
        <f t="shared" si="72"/>
        <v/>
      </c>
      <c r="R160" s="1367" t="str">
        <f t="shared" si="73"/>
        <v/>
      </c>
      <c r="S160" s="1368" t="str">
        <f t="shared" si="74"/>
        <v/>
      </c>
      <c r="T160" s="1368" t="str">
        <f t="shared" si="75"/>
        <v/>
      </c>
      <c r="U160" s="1369" t="str">
        <f t="shared" si="76"/>
        <v/>
      </c>
      <c r="W160" s="1062"/>
    </row>
    <row r="161" spans="1:23" ht="13.9" customHeight="1" x14ac:dyDescent="0.25">
      <c r="A161" s="846">
        <f>Chem!A161</f>
        <v>159</v>
      </c>
      <c r="B161" s="951" t="str">
        <f>Chem!B161</f>
        <v>tert-Butylbenzene</v>
      </c>
      <c r="C161" s="946">
        <f t="shared" si="66"/>
        <v>800</v>
      </c>
      <c r="D161" s="463" t="str">
        <f t="shared" si="67"/>
        <v>na</v>
      </c>
      <c r="E161" s="463"/>
      <c r="F161" s="501">
        <f>PW!O161</f>
        <v>800</v>
      </c>
      <c r="G161" s="511" t="str">
        <f>SW!R161</f>
        <v>na</v>
      </c>
      <c r="H161" s="222" t="str">
        <f>Partit!E161</f>
        <v>na</v>
      </c>
      <c r="I161" s="520" t="str">
        <f>PW!P161</f>
        <v>na</v>
      </c>
      <c r="J161" s="520" t="s">
        <v>232</v>
      </c>
      <c r="K161" s="970" t="s">
        <v>232</v>
      </c>
      <c r="M161" s="1367" t="str">
        <f t="shared" si="68"/>
        <v>X</v>
      </c>
      <c r="N161" s="1368" t="str">
        <f t="shared" si="69"/>
        <v/>
      </c>
      <c r="O161" s="1368" t="str">
        <f t="shared" si="70"/>
        <v/>
      </c>
      <c r="P161" s="1368" t="str">
        <f t="shared" si="71"/>
        <v/>
      </c>
      <c r="Q161" s="1369" t="str">
        <f t="shared" si="72"/>
        <v/>
      </c>
      <c r="R161" s="1367" t="str">
        <f t="shared" si="73"/>
        <v/>
      </c>
      <c r="S161" s="1368" t="str">
        <f t="shared" si="74"/>
        <v/>
      </c>
      <c r="T161" s="1368" t="str">
        <f t="shared" si="75"/>
        <v/>
      </c>
      <c r="U161" s="1369" t="str">
        <f t="shared" si="76"/>
        <v/>
      </c>
      <c r="W161" s="1062"/>
    </row>
    <row r="162" spans="1:23" ht="13.9" customHeight="1" x14ac:dyDescent="0.25">
      <c r="A162" s="846">
        <f>Chem!A162</f>
        <v>160</v>
      </c>
      <c r="B162" s="951" t="str">
        <f>Chem!B162</f>
        <v>Carbon disulfide</v>
      </c>
      <c r="C162" s="946">
        <f t="shared" si="66"/>
        <v>800</v>
      </c>
      <c r="D162" s="463">
        <f t="shared" si="67"/>
        <v>836.1064406410668</v>
      </c>
      <c r="E162" s="463"/>
      <c r="F162" s="501">
        <f>PW!O162</f>
        <v>800</v>
      </c>
      <c r="G162" s="511" t="str">
        <f>SW!R162</f>
        <v>na</v>
      </c>
      <c r="H162" s="222" t="str">
        <f>Partit!E162</f>
        <v>na</v>
      </c>
      <c r="I162" s="520">
        <f>PW!P162</f>
        <v>836.1064406410668</v>
      </c>
      <c r="J162" s="520" t="s">
        <v>232</v>
      </c>
      <c r="K162" s="970" t="s">
        <v>232</v>
      </c>
      <c r="M162" s="1367" t="str">
        <f t="shared" si="68"/>
        <v>X</v>
      </c>
      <c r="N162" s="1368" t="str">
        <f t="shared" si="69"/>
        <v/>
      </c>
      <c r="O162" s="1368" t="str">
        <f t="shared" si="70"/>
        <v/>
      </c>
      <c r="P162" s="1368" t="str">
        <f t="shared" si="71"/>
        <v/>
      </c>
      <c r="Q162" s="1369" t="str">
        <f t="shared" si="72"/>
        <v/>
      </c>
      <c r="R162" s="1367" t="str">
        <f t="shared" si="73"/>
        <v/>
      </c>
      <c r="S162" s="1368" t="str">
        <f t="shared" si="74"/>
        <v/>
      </c>
      <c r="T162" s="1368" t="str">
        <f t="shared" si="75"/>
        <v>X</v>
      </c>
      <c r="U162" s="1369" t="str">
        <f t="shared" si="76"/>
        <v/>
      </c>
      <c r="W162" s="1062"/>
    </row>
    <row r="163" spans="1:23" ht="13.9" customHeight="1" x14ac:dyDescent="0.25">
      <c r="A163" s="846">
        <f>Chem!A163</f>
        <v>161</v>
      </c>
      <c r="B163" s="951" t="str">
        <f>Chem!B163</f>
        <v>Carbon tetrachloride</v>
      </c>
      <c r="C163" s="946">
        <f t="shared" si="66"/>
        <v>0.35</v>
      </c>
      <c r="D163" s="463">
        <f t="shared" si="67"/>
        <v>0.35</v>
      </c>
      <c r="E163" s="463"/>
      <c r="F163" s="501">
        <f>PW!O163</f>
        <v>5</v>
      </c>
      <c r="G163" s="511">
        <f>SW!R163</f>
        <v>0.35</v>
      </c>
      <c r="H163" s="222" t="str">
        <f>Partit!E163</f>
        <v>na</v>
      </c>
      <c r="I163" s="520">
        <f>PW!P163</f>
        <v>0.61707928999612771</v>
      </c>
      <c r="J163" s="520" t="s">
        <v>232</v>
      </c>
      <c r="K163" s="970" t="s">
        <v>232</v>
      </c>
      <c r="M163" s="1367" t="str">
        <f t="shared" si="68"/>
        <v/>
      </c>
      <c r="N163" s="1368" t="str">
        <f t="shared" si="69"/>
        <v>X</v>
      </c>
      <c r="O163" s="1368" t="str">
        <f t="shared" si="70"/>
        <v/>
      </c>
      <c r="P163" s="1368" t="str">
        <f t="shared" si="71"/>
        <v/>
      </c>
      <c r="Q163" s="1369" t="str">
        <f t="shared" si="72"/>
        <v/>
      </c>
      <c r="R163" s="1367" t="str">
        <f t="shared" si="73"/>
        <v>X</v>
      </c>
      <c r="S163" s="1368" t="str">
        <f t="shared" si="74"/>
        <v/>
      </c>
      <c r="T163" s="1368" t="str">
        <f t="shared" si="75"/>
        <v/>
      </c>
      <c r="U163" s="1369" t="str">
        <f t="shared" si="76"/>
        <v/>
      </c>
      <c r="W163" s="1062"/>
    </row>
    <row r="164" spans="1:23" ht="13.9" customHeight="1" x14ac:dyDescent="0.25">
      <c r="A164" s="846">
        <f>Chem!A164</f>
        <v>162</v>
      </c>
      <c r="B164" s="951" t="str">
        <f>Chem!B164</f>
        <v>Chlorobenzene</v>
      </c>
      <c r="C164" s="946">
        <f t="shared" si="66"/>
        <v>100</v>
      </c>
      <c r="D164" s="463">
        <f t="shared" si="67"/>
        <v>200</v>
      </c>
      <c r="E164" s="463"/>
      <c r="F164" s="501">
        <f>PW!O164</f>
        <v>100</v>
      </c>
      <c r="G164" s="511">
        <f>SW!R164</f>
        <v>200</v>
      </c>
      <c r="H164" s="222" t="str">
        <f>Partit!E164</f>
        <v>na</v>
      </c>
      <c r="I164" s="520">
        <f>PW!P164</f>
        <v>344.7689091132645</v>
      </c>
      <c r="J164" s="520" t="s">
        <v>232</v>
      </c>
      <c r="K164" s="970" t="s">
        <v>232</v>
      </c>
      <c r="M164" s="1367" t="str">
        <f t="shared" si="68"/>
        <v>X</v>
      </c>
      <c r="N164" s="1368" t="str">
        <f t="shared" si="69"/>
        <v/>
      </c>
      <c r="O164" s="1368" t="str">
        <f t="shared" si="70"/>
        <v/>
      </c>
      <c r="P164" s="1368" t="str">
        <f t="shared" si="71"/>
        <v/>
      </c>
      <c r="Q164" s="1369" t="str">
        <f t="shared" si="72"/>
        <v/>
      </c>
      <c r="R164" s="1367" t="str">
        <f t="shared" si="73"/>
        <v>X</v>
      </c>
      <c r="S164" s="1368" t="str">
        <f t="shared" si="74"/>
        <v/>
      </c>
      <c r="T164" s="1368" t="str">
        <f t="shared" si="75"/>
        <v/>
      </c>
      <c r="U164" s="1369" t="str">
        <f t="shared" si="76"/>
        <v/>
      </c>
      <c r="W164" s="1062"/>
    </row>
    <row r="165" spans="1:23" ht="13.9" customHeight="1" x14ac:dyDescent="0.25">
      <c r="A165" s="846">
        <f>Chem!A165</f>
        <v>163</v>
      </c>
      <c r="B165" s="951" t="str">
        <f>Chem!B165</f>
        <v>Chloroethane</v>
      </c>
      <c r="C165" s="946">
        <f t="shared" si="66"/>
        <v>14665.672993108747</v>
      </c>
      <c r="D165" s="463">
        <f t="shared" si="67"/>
        <v>14665.672993108747</v>
      </c>
      <c r="E165" s="463"/>
      <c r="F165" s="501" t="str">
        <f>PW!O165</f>
        <v>na</v>
      </c>
      <c r="G165" s="511" t="str">
        <f>SW!R165</f>
        <v>na</v>
      </c>
      <c r="H165" s="222" t="str">
        <f>Partit!E165</f>
        <v>na</v>
      </c>
      <c r="I165" s="520">
        <f>PW!P165</f>
        <v>14665.672993108747</v>
      </c>
      <c r="J165" s="520" t="s">
        <v>232</v>
      </c>
      <c r="K165" s="970" t="s">
        <v>232</v>
      </c>
      <c r="M165" s="1367" t="str">
        <f t="shared" si="68"/>
        <v/>
      </c>
      <c r="N165" s="1368" t="str">
        <f t="shared" si="69"/>
        <v/>
      </c>
      <c r="O165" s="1368" t="str">
        <f t="shared" si="70"/>
        <v/>
      </c>
      <c r="P165" s="1368" t="str">
        <f t="shared" si="71"/>
        <v>X</v>
      </c>
      <c r="Q165" s="1369" t="str">
        <f t="shared" si="72"/>
        <v/>
      </c>
      <c r="R165" s="1367" t="str">
        <f t="shared" si="73"/>
        <v/>
      </c>
      <c r="S165" s="1368" t="str">
        <f t="shared" si="74"/>
        <v/>
      </c>
      <c r="T165" s="1368" t="str">
        <f t="shared" si="75"/>
        <v>X</v>
      </c>
      <c r="U165" s="1369" t="str">
        <f t="shared" si="76"/>
        <v/>
      </c>
      <c r="W165" s="1062"/>
    </row>
    <row r="166" spans="1:23" ht="13.9" customHeight="1" x14ac:dyDescent="0.25">
      <c r="A166" s="846">
        <f>Chem!A166</f>
        <v>164</v>
      </c>
      <c r="B166" s="951" t="str">
        <f>Chem!B166</f>
        <v>2-Chloroethyl vinyl ether</v>
      </c>
      <c r="C166" s="946" t="str">
        <f t="shared" si="66"/>
        <v>na</v>
      </c>
      <c r="D166" s="463" t="str">
        <f t="shared" si="67"/>
        <v>na</v>
      </c>
      <c r="E166" s="463"/>
      <c r="F166" s="501" t="str">
        <f>PW!O166</f>
        <v>na</v>
      </c>
      <c r="G166" s="511" t="str">
        <f>SW!R166</f>
        <v>na</v>
      </c>
      <c r="H166" s="222" t="str">
        <f>Partit!E166</f>
        <v>na</v>
      </c>
      <c r="I166" s="520" t="str">
        <f>PW!P166</f>
        <v>na</v>
      </c>
      <c r="J166" s="520" t="s">
        <v>232</v>
      </c>
      <c r="K166" s="970" t="s">
        <v>232</v>
      </c>
      <c r="M166" s="1367" t="str">
        <f t="shared" si="68"/>
        <v/>
      </c>
      <c r="N166" s="1368" t="str">
        <f t="shared" si="69"/>
        <v/>
      </c>
      <c r="O166" s="1368" t="str">
        <f t="shared" si="70"/>
        <v/>
      </c>
      <c r="P166" s="1368" t="str">
        <f t="shared" si="71"/>
        <v/>
      </c>
      <c r="Q166" s="1369" t="str">
        <f t="shared" si="72"/>
        <v/>
      </c>
      <c r="R166" s="1367" t="str">
        <f t="shared" si="73"/>
        <v/>
      </c>
      <c r="S166" s="1368" t="str">
        <f t="shared" si="74"/>
        <v/>
      </c>
      <c r="T166" s="1368" t="str">
        <f t="shared" si="75"/>
        <v/>
      </c>
      <c r="U166" s="1369" t="str">
        <f t="shared" si="76"/>
        <v/>
      </c>
      <c r="W166" s="1062"/>
    </row>
    <row r="167" spans="1:23" ht="13.9" customHeight="1" x14ac:dyDescent="0.25">
      <c r="A167" s="846">
        <f>Chem!A167</f>
        <v>165</v>
      </c>
      <c r="B167" s="951" t="str">
        <f>Chem!B167</f>
        <v>Chloroform</v>
      </c>
      <c r="C167" s="946">
        <f t="shared" si="66"/>
        <v>1.1846957377505782</v>
      </c>
      <c r="D167" s="463">
        <f t="shared" si="67"/>
        <v>1.1846957377505782</v>
      </c>
      <c r="E167" s="463"/>
      <c r="F167" s="501">
        <f>PW!O167</f>
        <v>14.112903225806448</v>
      </c>
      <c r="G167" s="511">
        <f>SW!R167</f>
        <v>154.39757375241246</v>
      </c>
      <c r="H167" s="222" t="str">
        <f>Partit!E167</f>
        <v>na</v>
      </c>
      <c r="I167" s="520">
        <f>PW!P167</f>
        <v>1.1846957377505782</v>
      </c>
      <c r="J167" s="520" t="s">
        <v>232</v>
      </c>
      <c r="K167" s="970" t="s">
        <v>232</v>
      </c>
      <c r="M167" s="1367" t="str">
        <f t="shared" si="68"/>
        <v/>
      </c>
      <c r="N167" s="1368" t="str">
        <f t="shared" si="69"/>
        <v/>
      </c>
      <c r="O167" s="1368" t="str">
        <f t="shared" si="70"/>
        <v/>
      </c>
      <c r="P167" s="1368" t="str">
        <f t="shared" si="71"/>
        <v>X</v>
      </c>
      <c r="Q167" s="1369" t="str">
        <f t="shared" si="72"/>
        <v/>
      </c>
      <c r="R167" s="1367" t="str">
        <f t="shared" si="73"/>
        <v/>
      </c>
      <c r="S167" s="1368" t="str">
        <f t="shared" si="74"/>
        <v/>
      </c>
      <c r="T167" s="1368" t="str">
        <f t="shared" si="75"/>
        <v>X</v>
      </c>
      <c r="U167" s="1369" t="str">
        <f t="shared" si="76"/>
        <v/>
      </c>
      <c r="W167" s="1062"/>
    </row>
    <row r="168" spans="1:23" ht="13.9" customHeight="1" x14ac:dyDescent="0.25">
      <c r="A168" s="846">
        <f>Chem!A168</f>
        <v>166</v>
      </c>
      <c r="B168" s="951" t="str">
        <f>Chem!B168</f>
        <v>Chloromethane</v>
      </c>
      <c r="C168" s="946">
        <f t="shared" si="66"/>
        <v>152.89049454899859</v>
      </c>
      <c r="D168" s="463">
        <f t="shared" si="67"/>
        <v>152.89049454899859</v>
      </c>
      <c r="E168" s="463"/>
      <c r="F168" s="501" t="str">
        <f>PW!O168</f>
        <v>na</v>
      </c>
      <c r="G168" s="511" t="str">
        <f>SW!R168</f>
        <v>na</v>
      </c>
      <c r="H168" s="222" t="str">
        <f>Partit!E168</f>
        <v>na</v>
      </c>
      <c r="I168" s="520">
        <f>PW!P168</f>
        <v>152.89049454899859</v>
      </c>
      <c r="J168" s="520" t="s">
        <v>232</v>
      </c>
      <c r="K168" s="970" t="s">
        <v>232</v>
      </c>
      <c r="M168" s="1367" t="str">
        <f t="shared" si="68"/>
        <v/>
      </c>
      <c r="N168" s="1368" t="str">
        <f t="shared" si="69"/>
        <v/>
      </c>
      <c r="O168" s="1368" t="str">
        <f t="shared" si="70"/>
        <v/>
      </c>
      <c r="P168" s="1368" t="str">
        <f t="shared" si="71"/>
        <v>X</v>
      </c>
      <c r="Q168" s="1369" t="str">
        <f t="shared" si="72"/>
        <v/>
      </c>
      <c r="R168" s="1367" t="str">
        <f t="shared" si="73"/>
        <v/>
      </c>
      <c r="S168" s="1368" t="str">
        <f t="shared" si="74"/>
        <v/>
      </c>
      <c r="T168" s="1368" t="str">
        <f t="shared" si="75"/>
        <v>X</v>
      </c>
      <c r="U168" s="1369" t="str">
        <f t="shared" si="76"/>
        <v/>
      </c>
      <c r="W168" s="1062"/>
    </row>
    <row r="169" spans="1:23" ht="13.9" customHeight="1" x14ac:dyDescent="0.25">
      <c r="A169" s="846">
        <f>Chem!A169</f>
        <v>167</v>
      </c>
      <c r="B169" s="951" t="str">
        <f>Chem!B169</f>
        <v>3-Chloro-1-propene (allyl chloride)</v>
      </c>
      <c r="C169" s="946">
        <f t="shared" si="66"/>
        <v>1.4913147037440477</v>
      </c>
      <c r="D169" s="463">
        <f t="shared" si="67"/>
        <v>1.4913147037440477</v>
      </c>
      <c r="E169" s="463"/>
      <c r="F169" s="501">
        <f>PW!O169</f>
        <v>2.0833333333333326</v>
      </c>
      <c r="G169" s="511" t="str">
        <f>SW!R169</f>
        <v>na</v>
      </c>
      <c r="H169" s="222" t="str">
        <f>Partit!E169</f>
        <v>na</v>
      </c>
      <c r="I169" s="520">
        <f>PW!P169</f>
        <v>1.4913147037440477</v>
      </c>
      <c r="J169" s="520" t="s">
        <v>232</v>
      </c>
      <c r="K169" s="970" t="s">
        <v>232</v>
      </c>
      <c r="M169" s="1367" t="str">
        <f t="shared" si="68"/>
        <v/>
      </c>
      <c r="N169" s="1368" t="str">
        <f t="shared" si="69"/>
        <v/>
      </c>
      <c r="O169" s="1368" t="str">
        <f t="shared" si="70"/>
        <v/>
      </c>
      <c r="P169" s="1368" t="str">
        <f t="shared" si="71"/>
        <v>X</v>
      </c>
      <c r="Q169" s="1369" t="str">
        <f t="shared" si="72"/>
        <v/>
      </c>
      <c r="R169" s="1367" t="str">
        <f t="shared" si="73"/>
        <v/>
      </c>
      <c r="S169" s="1368" t="str">
        <f t="shared" si="74"/>
        <v/>
      </c>
      <c r="T169" s="1368" t="str">
        <f t="shared" si="75"/>
        <v>X</v>
      </c>
      <c r="U169" s="1369" t="str">
        <f t="shared" si="76"/>
        <v/>
      </c>
      <c r="W169" s="1062"/>
    </row>
    <row r="170" spans="1:23" ht="13.9" customHeight="1" x14ac:dyDescent="0.25">
      <c r="A170" s="846">
        <f>Chem!A170</f>
        <v>168</v>
      </c>
      <c r="B170" s="951" t="str">
        <f>Chem!B170</f>
        <v>2-Chlorotoluene</v>
      </c>
      <c r="C170" s="946">
        <f t="shared" si="66"/>
        <v>160</v>
      </c>
      <c r="D170" s="463" t="str">
        <f t="shared" si="67"/>
        <v>na</v>
      </c>
      <c r="E170" s="463"/>
      <c r="F170" s="501">
        <f>PW!O170</f>
        <v>160</v>
      </c>
      <c r="G170" s="511" t="str">
        <f>SW!R170</f>
        <v>na</v>
      </c>
      <c r="H170" s="222" t="str">
        <f>Partit!E170</f>
        <v>na</v>
      </c>
      <c r="I170" s="520" t="str">
        <f>PW!P170</f>
        <v>na</v>
      </c>
      <c r="J170" s="520" t="s">
        <v>232</v>
      </c>
      <c r="K170" s="970" t="s">
        <v>232</v>
      </c>
      <c r="M170" s="1367" t="str">
        <f t="shared" si="68"/>
        <v>X</v>
      </c>
      <c r="N170" s="1368" t="str">
        <f t="shared" si="69"/>
        <v/>
      </c>
      <c r="O170" s="1368" t="str">
        <f t="shared" si="70"/>
        <v/>
      </c>
      <c r="P170" s="1368" t="str">
        <f t="shared" si="71"/>
        <v/>
      </c>
      <c r="Q170" s="1369" t="str">
        <f t="shared" si="72"/>
        <v/>
      </c>
      <c r="R170" s="1367" t="str">
        <f t="shared" si="73"/>
        <v/>
      </c>
      <c r="S170" s="1368" t="str">
        <f t="shared" si="74"/>
        <v/>
      </c>
      <c r="T170" s="1368" t="str">
        <f t="shared" si="75"/>
        <v/>
      </c>
      <c r="U170" s="1369" t="str">
        <f t="shared" si="76"/>
        <v/>
      </c>
      <c r="W170" s="1062"/>
    </row>
    <row r="171" spans="1:23" ht="13.9" customHeight="1" x14ac:dyDescent="0.25">
      <c r="A171" s="846">
        <f>Chem!A171</f>
        <v>169</v>
      </c>
      <c r="B171" s="951" t="str">
        <f>Chem!B171</f>
        <v>4-Chlorotoluene</v>
      </c>
      <c r="C171" s="946">
        <f t="shared" si="66"/>
        <v>160</v>
      </c>
      <c r="D171" s="463" t="str">
        <f t="shared" si="67"/>
        <v>na</v>
      </c>
      <c r="E171" s="463"/>
      <c r="F171" s="501">
        <f>PW!O171</f>
        <v>160</v>
      </c>
      <c r="G171" s="511" t="str">
        <f>SW!R171</f>
        <v>na</v>
      </c>
      <c r="H171" s="222" t="str">
        <f>Partit!E171</f>
        <v>na</v>
      </c>
      <c r="I171" s="520" t="str">
        <f>PW!P171</f>
        <v>na</v>
      </c>
      <c r="J171" s="520" t="s">
        <v>232</v>
      </c>
      <c r="K171" s="970" t="s">
        <v>232</v>
      </c>
      <c r="M171" s="1367" t="str">
        <f t="shared" si="68"/>
        <v>X</v>
      </c>
      <c r="N171" s="1368" t="str">
        <f t="shared" si="69"/>
        <v/>
      </c>
      <c r="O171" s="1368" t="str">
        <f t="shared" si="70"/>
        <v/>
      </c>
      <c r="P171" s="1368" t="str">
        <f t="shared" si="71"/>
        <v/>
      </c>
      <c r="Q171" s="1369" t="str">
        <f t="shared" si="72"/>
        <v/>
      </c>
      <c r="R171" s="1367" t="str">
        <f t="shared" si="73"/>
        <v/>
      </c>
      <c r="S171" s="1368" t="str">
        <f t="shared" si="74"/>
        <v/>
      </c>
      <c r="T171" s="1368" t="str">
        <f t="shared" si="75"/>
        <v/>
      </c>
      <c r="U171" s="1369" t="str">
        <f t="shared" si="76"/>
        <v/>
      </c>
      <c r="W171" s="1062"/>
    </row>
    <row r="172" spans="1:23" ht="13.9" customHeight="1" x14ac:dyDescent="0.25">
      <c r="A172" s="846">
        <f>Chem!A172</f>
        <v>170</v>
      </c>
      <c r="B172" s="951" t="str">
        <f>Chem!B172</f>
        <v>Dibromochloromethane</v>
      </c>
      <c r="C172" s="946">
        <f t="shared" si="66"/>
        <v>2.2000000000000002</v>
      </c>
      <c r="D172" s="463">
        <f t="shared" si="67"/>
        <v>2.2000000000000002</v>
      </c>
      <c r="E172" s="463"/>
      <c r="F172" s="501">
        <f>PW!O172</f>
        <v>5.2083333333333313</v>
      </c>
      <c r="G172" s="511">
        <f>SW!R172</f>
        <v>2.2000000000000002</v>
      </c>
      <c r="H172" s="222" t="str">
        <f>Partit!E172</f>
        <v>na</v>
      </c>
      <c r="I172" s="520" t="str">
        <f>PW!P172</f>
        <v>na</v>
      </c>
      <c r="J172" s="520" t="s">
        <v>232</v>
      </c>
      <c r="K172" s="970" t="s">
        <v>232</v>
      </c>
      <c r="M172" s="1367" t="str">
        <f t="shared" si="68"/>
        <v/>
      </c>
      <c r="N172" s="1368" t="str">
        <f t="shared" si="69"/>
        <v>X</v>
      </c>
      <c r="O172" s="1368" t="str">
        <f t="shared" si="70"/>
        <v/>
      </c>
      <c r="P172" s="1368" t="str">
        <f t="shared" si="71"/>
        <v/>
      </c>
      <c r="Q172" s="1369" t="str">
        <f t="shared" si="72"/>
        <v/>
      </c>
      <c r="R172" s="1367" t="str">
        <f t="shared" si="73"/>
        <v>X</v>
      </c>
      <c r="S172" s="1368" t="str">
        <f t="shared" si="74"/>
        <v/>
      </c>
      <c r="T172" s="1368" t="str">
        <f t="shared" si="75"/>
        <v/>
      </c>
      <c r="U172" s="1369" t="str">
        <f t="shared" si="76"/>
        <v/>
      </c>
      <c r="W172" s="1062"/>
    </row>
    <row r="173" spans="1:23" ht="13.9" customHeight="1" x14ac:dyDescent="0.25">
      <c r="A173" s="846">
        <f>Chem!A173</f>
        <v>171</v>
      </c>
      <c r="B173" s="951" t="str">
        <f>Chem!B173</f>
        <v>1,2-Dibromo-3-chloropropane</v>
      </c>
      <c r="C173" s="946">
        <f t="shared" si="66"/>
        <v>4.2236533199310915E-2</v>
      </c>
      <c r="D173" s="463">
        <f t="shared" si="67"/>
        <v>4.2236533199310915E-2</v>
      </c>
      <c r="E173" s="463"/>
      <c r="F173" s="501">
        <f>PW!O173</f>
        <v>0.14000000000000001</v>
      </c>
      <c r="G173" s="511" t="str">
        <f>SW!R173</f>
        <v>na</v>
      </c>
      <c r="H173" s="222" t="str">
        <f>Partit!E173</f>
        <v>na</v>
      </c>
      <c r="I173" s="520">
        <f>PW!P173</f>
        <v>4.2236533199310915E-2</v>
      </c>
      <c r="J173" s="520" t="s">
        <v>232</v>
      </c>
      <c r="K173" s="970" t="s">
        <v>232</v>
      </c>
      <c r="M173" s="1367" t="str">
        <f t="shared" si="68"/>
        <v/>
      </c>
      <c r="N173" s="1368" t="str">
        <f t="shared" si="69"/>
        <v/>
      </c>
      <c r="O173" s="1368" t="str">
        <f t="shared" si="70"/>
        <v/>
      </c>
      <c r="P173" s="1368" t="str">
        <f t="shared" si="71"/>
        <v>X</v>
      </c>
      <c r="Q173" s="1369" t="str">
        <f t="shared" si="72"/>
        <v/>
      </c>
      <c r="R173" s="1367" t="str">
        <f t="shared" si="73"/>
        <v/>
      </c>
      <c r="S173" s="1368" t="str">
        <f t="shared" si="74"/>
        <v/>
      </c>
      <c r="T173" s="1368" t="str">
        <f t="shared" si="75"/>
        <v>X</v>
      </c>
      <c r="U173" s="1369" t="str">
        <f t="shared" si="76"/>
        <v/>
      </c>
      <c r="W173" s="1062"/>
    </row>
    <row r="174" spans="1:23" ht="13.9" customHeight="1" x14ac:dyDescent="0.25">
      <c r="A174" s="846">
        <f>Chem!A174</f>
        <v>172</v>
      </c>
      <c r="B174" s="951" t="str">
        <f>Chem!B174</f>
        <v>Dibromomethane</v>
      </c>
      <c r="C174" s="946">
        <f t="shared" si="66"/>
        <v>80</v>
      </c>
      <c r="D174" s="463">
        <f t="shared" si="67"/>
        <v>96.644895539356071</v>
      </c>
      <c r="E174" s="463"/>
      <c r="F174" s="501">
        <f>PW!O174</f>
        <v>80</v>
      </c>
      <c r="G174" s="511" t="str">
        <f>SW!R174</f>
        <v>na</v>
      </c>
      <c r="H174" s="222" t="str">
        <f>Partit!E174</f>
        <v>na</v>
      </c>
      <c r="I174" s="520">
        <f>PW!P174</f>
        <v>96.644895539356071</v>
      </c>
      <c r="J174" s="520" t="s">
        <v>232</v>
      </c>
      <c r="K174" s="970" t="s">
        <v>232</v>
      </c>
      <c r="M174" s="1367" t="str">
        <f t="shared" si="68"/>
        <v>X</v>
      </c>
      <c r="N174" s="1368" t="str">
        <f t="shared" si="69"/>
        <v/>
      </c>
      <c r="O174" s="1368" t="str">
        <f t="shared" si="70"/>
        <v/>
      </c>
      <c r="P174" s="1368" t="str">
        <f t="shared" si="71"/>
        <v/>
      </c>
      <c r="Q174" s="1369" t="str">
        <f t="shared" si="72"/>
        <v/>
      </c>
      <c r="R174" s="1367" t="str">
        <f t="shared" si="73"/>
        <v/>
      </c>
      <c r="S174" s="1368" t="str">
        <f t="shared" si="74"/>
        <v/>
      </c>
      <c r="T174" s="1368" t="str">
        <f t="shared" si="75"/>
        <v>X</v>
      </c>
      <c r="U174" s="1369" t="str">
        <f t="shared" si="76"/>
        <v/>
      </c>
      <c r="W174" s="1062"/>
    </row>
    <row r="175" spans="1:23" ht="13.9" customHeight="1" x14ac:dyDescent="0.25">
      <c r="A175" s="846">
        <f>Chem!A175</f>
        <v>173</v>
      </c>
      <c r="B175" s="951" t="str">
        <f>Chem!B175</f>
        <v>Dichlorobromomethane</v>
      </c>
      <c r="C175" s="946">
        <f t="shared" si="66"/>
        <v>1.3792891031383101</v>
      </c>
      <c r="D175" s="463">
        <f t="shared" si="67"/>
        <v>1.3792891031383101</v>
      </c>
      <c r="E175" s="463"/>
      <c r="F175" s="501">
        <f>PW!O175</f>
        <v>7.0564516129032242</v>
      </c>
      <c r="G175" s="511">
        <f>SW!R175</f>
        <v>2.8</v>
      </c>
      <c r="H175" s="222" t="str">
        <f>Partit!E175</f>
        <v>na</v>
      </c>
      <c r="I175" s="520">
        <f>PW!P175</f>
        <v>1.3792891031383101</v>
      </c>
      <c r="J175" s="520" t="s">
        <v>232</v>
      </c>
      <c r="K175" s="970" t="s">
        <v>232</v>
      </c>
      <c r="M175" s="1367" t="str">
        <f t="shared" si="68"/>
        <v/>
      </c>
      <c r="N175" s="1368" t="str">
        <f t="shared" si="69"/>
        <v/>
      </c>
      <c r="O175" s="1368" t="str">
        <f t="shared" si="70"/>
        <v/>
      </c>
      <c r="P175" s="1368" t="str">
        <f t="shared" si="71"/>
        <v>X</v>
      </c>
      <c r="Q175" s="1369" t="str">
        <f t="shared" si="72"/>
        <v/>
      </c>
      <c r="R175" s="1367" t="str">
        <f t="shared" si="73"/>
        <v/>
      </c>
      <c r="S175" s="1368" t="str">
        <f t="shared" si="74"/>
        <v/>
      </c>
      <c r="T175" s="1368" t="str">
        <f t="shared" si="75"/>
        <v>X</v>
      </c>
      <c r="U175" s="1369" t="str">
        <f t="shared" si="76"/>
        <v/>
      </c>
      <c r="W175" s="1062"/>
    </row>
    <row r="176" spans="1:23" ht="13.9" customHeight="1" x14ac:dyDescent="0.25">
      <c r="A176" s="846">
        <f>Chem!A176</f>
        <v>174</v>
      </c>
      <c r="B176" s="951" t="str">
        <f>Chem!B176</f>
        <v>trans-1,4-Dichloro-2-butene</v>
      </c>
      <c r="C176" s="946" t="str">
        <f t="shared" si="66"/>
        <v>na</v>
      </c>
      <c r="D176" s="463" t="str">
        <f t="shared" si="67"/>
        <v>na</v>
      </c>
      <c r="E176" s="463"/>
      <c r="F176" s="501" t="str">
        <f>PW!O176</f>
        <v>na</v>
      </c>
      <c r="G176" s="511" t="str">
        <f>SW!R176</f>
        <v>na</v>
      </c>
      <c r="H176" s="222" t="str">
        <f>Partit!E176</f>
        <v>na</v>
      </c>
      <c r="I176" s="520" t="str">
        <f>PW!P176</f>
        <v>na</v>
      </c>
      <c r="J176" s="520" t="s">
        <v>232</v>
      </c>
      <c r="K176" s="970" t="s">
        <v>232</v>
      </c>
      <c r="M176" s="1367" t="str">
        <f t="shared" si="68"/>
        <v/>
      </c>
      <c r="N176" s="1368" t="str">
        <f t="shared" si="69"/>
        <v/>
      </c>
      <c r="O176" s="1368" t="str">
        <f t="shared" si="70"/>
        <v/>
      </c>
      <c r="P176" s="1368" t="str">
        <f t="shared" si="71"/>
        <v/>
      </c>
      <c r="Q176" s="1369" t="str">
        <f t="shared" si="72"/>
        <v/>
      </c>
      <c r="R176" s="1367" t="str">
        <f t="shared" si="73"/>
        <v/>
      </c>
      <c r="S176" s="1368" t="str">
        <f t="shared" si="74"/>
        <v/>
      </c>
      <c r="T176" s="1368" t="str">
        <f t="shared" si="75"/>
        <v/>
      </c>
      <c r="U176" s="1369" t="str">
        <f t="shared" si="76"/>
        <v/>
      </c>
      <c r="W176" s="1062"/>
    </row>
    <row r="177" spans="1:23" ht="13.9" customHeight="1" x14ac:dyDescent="0.25">
      <c r="A177" s="846">
        <f>Chem!A177</f>
        <v>175</v>
      </c>
      <c r="B177" s="951" t="str">
        <f>Chem!B177</f>
        <v>Dichlorodifluoromethane</v>
      </c>
      <c r="C177" s="947">
        <f t="shared" si="66"/>
        <v>4.2222428115176038</v>
      </c>
      <c r="D177" s="464">
        <f t="shared" si="67"/>
        <v>4.2222428115176038</v>
      </c>
      <c r="E177" s="464"/>
      <c r="F177" s="505">
        <f>PW!O177</f>
        <v>1600</v>
      </c>
      <c r="G177" s="515" t="str">
        <f>SW!R177</f>
        <v>na</v>
      </c>
      <c r="H177" s="226" t="str">
        <f>Partit!E177</f>
        <v>na</v>
      </c>
      <c r="I177" s="525">
        <f>PW!P177</f>
        <v>4.2222428115176038</v>
      </c>
      <c r="J177" s="525" t="s">
        <v>232</v>
      </c>
      <c r="K177" s="971" t="s">
        <v>232</v>
      </c>
      <c r="M177" s="1367" t="str">
        <f t="shared" si="68"/>
        <v/>
      </c>
      <c r="N177" s="1368" t="str">
        <f t="shared" si="69"/>
        <v/>
      </c>
      <c r="O177" s="1368" t="str">
        <f t="shared" si="70"/>
        <v/>
      </c>
      <c r="P177" s="1368" t="str">
        <f t="shared" si="71"/>
        <v>X</v>
      </c>
      <c r="Q177" s="1369" t="str">
        <f t="shared" si="72"/>
        <v/>
      </c>
      <c r="R177" s="1367" t="str">
        <f t="shared" si="73"/>
        <v/>
      </c>
      <c r="S177" s="1368" t="str">
        <f t="shared" si="74"/>
        <v/>
      </c>
      <c r="T177" s="1368" t="str">
        <f t="shared" si="75"/>
        <v>X</v>
      </c>
      <c r="U177" s="1369" t="str">
        <f t="shared" si="76"/>
        <v/>
      </c>
      <c r="W177" s="1062"/>
    </row>
    <row r="178" spans="1:23" ht="13.9" customHeight="1" x14ac:dyDescent="0.25">
      <c r="A178" s="846">
        <f>Chem!A178</f>
        <v>176</v>
      </c>
      <c r="B178" s="951" t="str">
        <f>Chem!B178</f>
        <v>1,1-Dichloroethane</v>
      </c>
      <c r="C178" s="946">
        <f t="shared" si="66"/>
        <v>7.675438596491226</v>
      </c>
      <c r="D178" s="463">
        <f t="shared" si="67"/>
        <v>11.036061321934328</v>
      </c>
      <c r="E178" s="463"/>
      <c r="F178" s="501">
        <f>PW!O178</f>
        <v>7.675438596491226</v>
      </c>
      <c r="G178" s="511" t="str">
        <f>SW!R178</f>
        <v>na</v>
      </c>
      <c r="H178" s="222" t="str">
        <f>Partit!E178</f>
        <v>na</v>
      </c>
      <c r="I178" s="520">
        <f>PW!P178</f>
        <v>11.036061321934328</v>
      </c>
      <c r="J178" s="520" t="s">
        <v>232</v>
      </c>
      <c r="K178" s="970" t="s">
        <v>232</v>
      </c>
      <c r="M178" s="1367" t="str">
        <f t="shared" si="68"/>
        <v>X</v>
      </c>
      <c r="N178" s="1368" t="str">
        <f t="shared" si="69"/>
        <v/>
      </c>
      <c r="O178" s="1368" t="str">
        <f t="shared" si="70"/>
        <v/>
      </c>
      <c r="P178" s="1368" t="str">
        <f t="shared" si="71"/>
        <v/>
      </c>
      <c r="Q178" s="1369" t="str">
        <f t="shared" si="72"/>
        <v/>
      </c>
      <c r="R178" s="1367" t="str">
        <f t="shared" si="73"/>
        <v/>
      </c>
      <c r="S178" s="1368" t="str">
        <f t="shared" si="74"/>
        <v/>
      </c>
      <c r="T178" s="1368" t="str">
        <f t="shared" si="75"/>
        <v>X</v>
      </c>
      <c r="U178" s="1369" t="str">
        <f t="shared" si="76"/>
        <v/>
      </c>
      <c r="W178" s="1062"/>
    </row>
    <row r="179" spans="1:23" ht="13.9" customHeight="1" x14ac:dyDescent="0.25">
      <c r="A179" s="846">
        <f>Chem!A179</f>
        <v>177</v>
      </c>
      <c r="B179" s="951" t="str">
        <f>Chem!B179</f>
        <v>1,2-Dichloroethane (EDC)</v>
      </c>
      <c r="C179" s="946">
        <f t="shared" si="66"/>
        <v>3.4895911432050868</v>
      </c>
      <c r="D179" s="463">
        <f t="shared" si="67"/>
        <v>3.4895911432050868</v>
      </c>
      <c r="E179" s="463"/>
      <c r="F179" s="501">
        <f>PW!O179</f>
        <v>4.8076923076923066</v>
      </c>
      <c r="G179" s="511">
        <f>SW!R179</f>
        <v>73</v>
      </c>
      <c r="H179" s="222" t="str">
        <f>Partit!E179</f>
        <v>na</v>
      </c>
      <c r="I179" s="520">
        <f>PW!P179</f>
        <v>3.4895911432050868</v>
      </c>
      <c r="J179" s="520" t="s">
        <v>232</v>
      </c>
      <c r="K179" s="970" t="s">
        <v>232</v>
      </c>
      <c r="M179" s="1367" t="str">
        <f t="shared" si="68"/>
        <v/>
      </c>
      <c r="N179" s="1368" t="str">
        <f t="shared" si="69"/>
        <v/>
      </c>
      <c r="O179" s="1368" t="str">
        <f t="shared" si="70"/>
        <v/>
      </c>
      <c r="P179" s="1368" t="str">
        <f t="shared" si="71"/>
        <v>X</v>
      </c>
      <c r="Q179" s="1369" t="str">
        <f t="shared" si="72"/>
        <v/>
      </c>
      <c r="R179" s="1367" t="str">
        <f t="shared" si="73"/>
        <v/>
      </c>
      <c r="S179" s="1368" t="str">
        <f t="shared" si="74"/>
        <v/>
      </c>
      <c r="T179" s="1368" t="str">
        <f t="shared" si="75"/>
        <v>X</v>
      </c>
      <c r="U179" s="1369" t="str">
        <f t="shared" si="76"/>
        <v/>
      </c>
      <c r="W179" s="1062"/>
    </row>
    <row r="180" spans="1:23" ht="13.9" customHeight="1" x14ac:dyDescent="0.25">
      <c r="A180" s="846">
        <f>Chem!A180</f>
        <v>178</v>
      </c>
      <c r="B180" s="951" t="str">
        <f>Chem!B180</f>
        <v>1,1-Dichloroethylene</v>
      </c>
      <c r="C180" s="946">
        <f t="shared" si="66"/>
        <v>7</v>
      </c>
      <c r="D180" s="463">
        <f t="shared" si="67"/>
        <v>130.05731580719569</v>
      </c>
      <c r="E180" s="463"/>
      <c r="F180" s="501">
        <f>PW!O180</f>
        <v>7</v>
      </c>
      <c r="G180" s="511">
        <f>SW!R180</f>
        <v>4000</v>
      </c>
      <c r="H180" s="222" t="str">
        <f>Partit!E180</f>
        <v>na</v>
      </c>
      <c r="I180" s="520">
        <f>PW!P180</f>
        <v>130.05731580719569</v>
      </c>
      <c r="J180" s="520" t="s">
        <v>232</v>
      </c>
      <c r="K180" s="970" t="s">
        <v>232</v>
      </c>
      <c r="M180" s="1367" t="str">
        <f t="shared" ref="M180:M214" si="77">IF($C180="na","",IF($C180=$F180,"X",""))</f>
        <v>X</v>
      </c>
      <c r="N180" s="1368" t="str">
        <f t="shared" ref="N180:N214" si="78">IF($C180="na","",IF($C180=$G180,"X",""))</f>
        <v/>
      </c>
      <c r="O180" s="1368" t="str">
        <f t="shared" ref="O180:O214" si="79">IF($C180="na","",IF($C180=$H180,"X",""))</f>
        <v/>
      </c>
      <c r="P180" s="1368" t="str">
        <f t="shared" ref="P180:P214" si="80">IF($C180="na","",IF($C180=$I180,"X",""))</f>
        <v/>
      </c>
      <c r="Q180" s="1369" t="str">
        <f t="shared" ref="Q180:Q214" si="81">IF($C180="na","",IF($C180=$K180,"X",""))</f>
        <v/>
      </c>
      <c r="R180" s="1367" t="str">
        <f t="shared" ref="R180:R214" si="82">IF($D180="na","",IF($D180=$G180,"X",""))</f>
        <v/>
      </c>
      <c r="S180" s="1368" t="str">
        <f t="shared" ref="S180:S214" si="83">IF($D180="na","",IF($D180=$H180,"X",""))</f>
        <v/>
      </c>
      <c r="T180" s="1368" t="str">
        <f t="shared" ref="T180:T214" si="84">IF($D180="na","",IF($D180=$I180,"X",""))</f>
        <v>X</v>
      </c>
      <c r="U180" s="1369" t="str">
        <f t="shared" ref="U180:U214" si="85">IF($D180="na","",IF($D180=$K180,"X",""))</f>
        <v/>
      </c>
      <c r="W180" s="1062"/>
    </row>
    <row r="181" spans="1:23" ht="13.9" customHeight="1" x14ac:dyDescent="0.25">
      <c r="A181" s="846">
        <f>Chem!A181</f>
        <v>179</v>
      </c>
      <c r="B181" s="951" t="str">
        <f>Chem!B181</f>
        <v>cis-1,2-Dichloroethylene</v>
      </c>
      <c r="C181" s="946">
        <f t="shared" si="66"/>
        <v>16</v>
      </c>
      <c r="D181" s="463">
        <f t="shared" si="67"/>
        <v>182.24780295288312</v>
      </c>
      <c r="E181" s="463"/>
      <c r="F181" s="501">
        <f>PW!O181</f>
        <v>16</v>
      </c>
      <c r="G181" s="511" t="str">
        <f>SW!R181</f>
        <v>na</v>
      </c>
      <c r="H181" s="222" t="str">
        <f>Partit!E181</f>
        <v>na</v>
      </c>
      <c r="I181" s="520">
        <f>PW!P181</f>
        <v>182.24780295288312</v>
      </c>
      <c r="J181" s="520" t="s">
        <v>232</v>
      </c>
      <c r="K181" s="970" t="s">
        <v>232</v>
      </c>
      <c r="M181" s="1367" t="str">
        <f t="shared" si="77"/>
        <v>X</v>
      </c>
      <c r="N181" s="1368" t="str">
        <f t="shared" si="78"/>
        <v/>
      </c>
      <c r="O181" s="1368" t="str">
        <f t="shared" si="79"/>
        <v/>
      </c>
      <c r="P181" s="1368" t="str">
        <f t="shared" si="80"/>
        <v/>
      </c>
      <c r="Q181" s="1369" t="str">
        <f t="shared" si="81"/>
        <v/>
      </c>
      <c r="R181" s="1367" t="str">
        <f t="shared" si="82"/>
        <v/>
      </c>
      <c r="S181" s="1368" t="str">
        <f t="shared" si="83"/>
        <v/>
      </c>
      <c r="T181" s="1368" t="str">
        <f t="shared" si="84"/>
        <v>X</v>
      </c>
      <c r="U181" s="1369" t="str">
        <f t="shared" si="85"/>
        <v/>
      </c>
      <c r="W181" s="1062"/>
    </row>
    <row r="182" spans="1:23" ht="13.9" customHeight="1" x14ac:dyDescent="0.25">
      <c r="A182" s="846">
        <f>Chem!A182</f>
        <v>180</v>
      </c>
      <c r="B182" s="951" t="str">
        <f>Chem!B182</f>
        <v>trans-1,2-Dichloroethylene</v>
      </c>
      <c r="C182" s="946">
        <f t="shared" si="66"/>
        <v>76.877635439212767</v>
      </c>
      <c r="D182" s="463">
        <f t="shared" si="67"/>
        <v>76.877635439212767</v>
      </c>
      <c r="E182" s="463"/>
      <c r="F182" s="501">
        <f>PW!O182</f>
        <v>100</v>
      </c>
      <c r="G182" s="511">
        <f>SW!R182</f>
        <v>1000</v>
      </c>
      <c r="H182" s="222" t="str">
        <f>Partit!E182</f>
        <v>na</v>
      </c>
      <c r="I182" s="520">
        <f>PW!P182</f>
        <v>76.877635439212767</v>
      </c>
      <c r="J182" s="520" t="s">
        <v>232</v>
      </c>
      <c r="K182" s="970" t="s">
        <v>232</v>
      </c>
      <c r="M182" s="1367" t="str">
        <f t="shared" si="77"/>
        <v/>
      </c>
      <c r="N182" s="1368" t="str">
        <f t="shared" si="78"/>
        <v/>
      </c>
      <c r="O182" s="1368" t="str">
        <f t="shared" si="79"/>
        <v/>
      </c>
      <c r="P182" s="1368" t="str">
        <f t="shared" si="80"/>
        <v>X</v>
      </c>
      <c r="Q182" s="1369" t="str">
        <f t="shared" si="81"/>
        <v/>
      </c>
      <c r="R182" s="1367" t="str">
        <f t="shared" si="82"/>
        <v/>
      </c>
      <c r="S182" s="1368" t="str">
        <f t="shared" si="83"/>
        <v/>
      </c>
      <c r="T182" s="1368" t="str">
        <f t="shared" si="84"/>
        <v>X</v>
      </c>
      <c r="U182" s="1369" t="str">
        <f t="shared" si="85"/>
        <v/>
      </c>
      <c r="W182" s="1062"/>
    </row>
    <row r="183" spans="1:23" ht="13.9" customHeight="1" x14ac:dyDescent="0.25">
      <c r="A183" s="846">
        <f>Chem!A183</f>
        <v>181</v>
      </c>
      <c r="B183" s="951" t="str">
        <f>Chem!B183</f>
        <v>1,2-Dichloroethylene (mixed isomers)</v>
      </c>
      <c r="C183" s="946" t="str">
        <f t="shared" si="66"/>
        <v>na</v>
      </c>
      <c r="D183" s="463" t="str">
        <f t="shared" si="67"/>
        <v>na</v>
      </c>
      <c r="E183" s="463"/>
      <c r="F183" s="501" t="str">
        <f>PW!O183</f>
        <v>na</v>
      </c>
      <c r="G183" s="511" t="str">
        <f>SW!R183</f>
        <v>na</v>
      </c>
      <c r="H183" s="222" t="str">
        <f>Partit!E183</f>
        <v>na</v>
      </c>
      <c r="I183" s="520" t="str">
        <f>PW!P183</f>
        <v>na</v>
      </c>
      <c r="J183" s="520" t="s">
        <v>232</v>
      </c>
      <c r="K183" s="970" t="s">
        <v>232</v>
      </c>
      <c r="M183" s="1367" t="str">
        <f t="shared" si="77"/>
        <v/>
      </c>
      <c r="N183" s="1368" t="str">
        <f t="shared" si="78"/>
        <v/>
      </c>
      <c r="O183" s="1368" t="str">
        <f t="shared" si="79"/>
        <v/>
      </c>
      <c r="P183" s="1368" t="str">
        <f t="shared" si="80"/>
        <v/>
      </c>
      <c r="Q183" s="1369" t="str">
        <f t="shared" si="81"/>
        <v/>
      </c>
      <c r="R183" s="1367" t="str">
        <f t="shared" si="82"/>
        <v/>
      </c>
      <c r="S183" s="1368" t="str">
        <f t="shared" si="83"/>
        <v/>
      </c>
      <c r="T183" s="1368" t="str">
        <f t="shared" si="84"/>
        <v/>
      </c>
      <c r="U183" s="1369" t="str">
        <f t="shared" si="85"/>
        <v/>
      </c>
      <c r="W183" s="1062"/>
    </row>
    <row r="184" spans="1:23" ht="13.9" customHeight="1" x14ac:dyDescent="0.25">
      <c r="A184" s="846">
        <f>Chem!A184</f>
        <v>182</v>
      </c>
      <c r="B184" s="951" t="str">
        <f>Chem!B184</f>
        <v>1,2-Dichloropropane</v>
      </c>
      <c r="C184" s="946">
        <f t="shared" si="66"/>
        <v>3.1</v>
      </c>
      <c r="D184" s="463">
        <f t="shared" si="67"/>
        <v>3.1</v>
      </c>
      <c r="E184" s="463"/>
      <c r="F184" s="501">
        <f>PW!O184</f>
        <v>5</v>
      </c>
      <c r="G184" s="511">
        <f>SW!R184</f>
        <v>3.1</v>
      </c>
      <c r="H184" s="222" t="str">
        <f>Partit!E184</f>
        <v>na</v>
      </c>
      <c r="I184" s="520">
        <f>PW!P184</f>
        <v>10.330396985983786</v>
      </c>
      <c r="J184" s="520" t="s">
        <v>232</v>
      </c>
      <c r="K184" s="970" t="s">
        <v>232</v>
      </c>
      <c r="M184" s="1367" t="str">
        <f t="shared" si="77"/>
        <v/>
      </c>
      <c r="N184" s="1368" t="str">
        <f t="shared" si="78"/>
        <v>X</v>
      </c>
      <c r="O184" s="1368" t="str">
        <f t="shared" si="79"/>
        <v/>
      </c>
      <c r="P184" s="1368" t="str">
        <f t="shared" si="80"/>
        <v/>
      </c>
      <c r="Q184" s="1369" t="str">
        <f t="shared" si="81"/>
        <v/>
      </c>
      <c r="R184" s="1367" t="str">
        <f t="shared" si="82"/>
        <v>X</v>
      </c>
      <c r="S184" s="1368" t="str">
        <f t="shared" si="83"/>
        <v/>
      </c>
      <c r="T184" s="1368" t="str">
        <f t="shared" si="84"/>
        <v/>
      </c>
      <c r="U184" s="1369" t="str">
        <f t="shared" si="85"/>
        <v/>
      </c>
      <c r="W184" s="1062"/>
    </row>
    <row r="185" spans="1:23" ht="13.9" customHeight="1" x14ac:dyDescent="0.25">
      <c r="A185" s="846">
        <f>Chem!A185</f>
        <v>183</v>
      </c>
      <c r="B185" s="951" t="str">
        <f>Chem!B185</f>
        <v>1,3-Dichloropropane</v>
      </c>
      <c r="C185" s="946">
        <f t="shared" si="66"/>
        <v>1.2</v>
      </c>
      <c r="D185" s="463">
        <f t="shared" si="67"/>
        <v>1.2</v>
      </c>
      <c r="E185" s="463"/>
      <c r="F185" s="501">
        <f>PW!O185</f>
        <v>160</v>
      </c>
      <c r="G185" s="511">
        <f>SW!R185</f>
        <v>1.2</v>
      </c>
      <c r="H185" s="222" t="str">
        <f>Partit!E185</f>
        <v>na</v>
      </c>
      <c r="I185" s="520" t="str">
        <f>PW!P185</f>
        <v>na</v>
      </c>
      <c r="J185" s="520" t="s">
        <v>232</v>
      </c>
      <c r="K185" s="970" t="s">
        <v>232</v>
      </c>
      <c r="M185" s="1367" t="str">
        <f t="shared" si="77"/>
        <v/>
      </c>
      <c r="N185" s="1368" t="str">
        <f t="shared" si="78"/>
        <v>X</v>
      </c>
      <c r="O185" s="1368" t="str">
        <f t="shared" si="79"/>
        <v/>
      </c>
      <c r="P185" s="1368" t="str">
        <f t="shared" si="80"/>
        <v/>
      </c>
      <c r="Q185" s="1369" t="str">
        <f t="shared" si="81"/>
        <v/>
      </c>
      <c r="R185" s="1367" t="str">
        <f t="shared" si="82"/>
        <v>X</v>
      </c>
      <c r="S185" s="1368" t="str">
        <f t="shared" si="83"/>
        <v/>
      </c>
      <c r="T185" s="1368" t="str">
        <f t="shared" si="84"/>
        <v/>
      </c>
      <c r="U185" s="1369" t="str">
        <f t="shared" si="85"/>
        <v/>
      </c>
      <c r="W185" s="1062"/>
    </row>
    <row r="186" spans="1:23" ht="13.9" customHeight="1" x14ac:dyDescent="0.25">
      <c r="A186" s="846">
        <f>Chem!A186</f>
        <v>184</v>
      </c>
      <c r="B186" s="951" t="str">
        <f>Chem!B186</f>
        <v>2,2-Dichloropropane</v>
      </c>
      <c r="C186" s="946" t="str">
        <f t="shared" si="66"/>
        <v>na</v>
      </c>
      <c r="D186" s="463" t="str">
        <f t="shared" si="67"/>
        <v>na</v>
      </c>
      <c r="E186" s="463"/>
      <c r="F186" s="501" t="str">
        <f>PW!O186</f>
        <v>na</v>
      </c>
      <c r="G186" s="511" t="str">
        <f>SW!R186</f>
        <v>na</v>
      </c>
      <c r="H186" s="222" t="str">
        <f>Partit!E186</f>
        <v>na</v>
      </c>
      <c r="I186" s="520" t="str">
        <f>PW!P186</f>
        <v>na</v>
      </c>
      <c r="J186" s="520" t="s">
        <v>232</v>
      </c>
      <c r="K186" s="970" t="s">
        <v>232</v>
      </c>
      <c r="M186" s="1367" t="str">
        <f t="shared" si="77"/>
        <v/>
      </c>
      <c r="N186" s="1368" t="str">
        <f t="shared" si="78"/>
        <v/>
      </c>
      <c r="O186" s="1368" t="str">
        <f t="shared" si="79"/>
        <v/>
      </c>
      <c r="P186" s="1368" t="str">
        <f t="shared" si="80"/>
        <v/>
      </c>
      <c r="Q186" s="1369" t="str">
        <f t="shared" si="81"/>
        <v/>
      </c>
      <c r="R186" s="1367" t="str">
        <f t="shared" si="82"/>
        <v/>
      </c>
      <c r="S186" s="1368" t="str">
        <f t="shared" si="83"/>
        <v/>
      </c>
      <c r="T186" s="1368" t="str">
        <f t="shared" si="84"/>
        <v/>
      </c>
      <c r="U186" s="1369" t="str">
        <f t="shared" si="85"/>
        <v/>
      </c>
      <c r="W186" s="1062"/>
    </row>
    <row r="187" spans="1:23" ht="13.9" customHeight="1" x14ac:dyDescent="0.25">
      <c r="A187" s="846">
        <f>Chem!A187</f>
        <v>185</v>
      </c>
      <c r="B187" s="951" t="str">
        <f>Chem!B187</f>
        <v>1,1-Dichloropropene</v>
      </c>
      <c r="C187" s="946" t="str">
        <f t="shared" si="66"/>
        <v>na</v>
      </c>
      <c r="D187" s="463" t="str">
        <f t="shared" si="67"/>
        <v>na</v>
      </c>
      <c r="E187" s="463"/>
      <c r="F187" s="501" t="str">
        <f>PW!O187</f>
        <v>na</v>
      </c>
      <c r="G187" s="511" t="str">
        <f>SW!R187</f>
        <v>na</v>
      </c>
      <c r="H187" s="222" t="str">
        <f>Partit!E187</f>
        <v>na</v>
      </c>
      <c r="I187" s="520" t="str">
        <f>PW!P187</f>
        <v>na</v>
      </c>
      <c r="J187" s="520" t="s">
        <v>232</v>
      </c>
      <c r="K187" s="970" t="s">
        <v>232</v>
      </c>
      <c r="M187" s="1367" t="str">
        <f t="shared" si="77"/>
        <v/>
      </c>
      <c r="N187" s="1368" t="str">
        <f t="shared" si="78"/>
        <v/>
      </c>
      <c r="O187" s="1368" t="str">
        <f t="shared" si="79"/>
        <v/>
      </c>
      <c r="P187" s="1368" t="str">
        <f t="shared" si="80"/>
        <v/>
      </c>
      <c r="Q187" s="1369" t="str">
        <f t="shared" si="81"/>
        <v/>
      </c>
      <c r="R187" s="1367" t="str">
        <f t="shared" si="82"/>
        <v/>
      </c>
      <c r="S187" s="1368" t="str">
        <f t="shared" si="83"/>
        <v/>
      </c>
      <c r="T187" s="1368" t="str">
        <f t="shared" si="84"/>
        <v/>
      </c>
      <c r="U187" s="1369" t="str">
        <f t="shared" si="85"/>
        <v/>
      </c>
      <c r="W187" s="1062"/>
    </row>
    <row r="188" spans="1:23" ht="13.9" customHeight="1" x14ac:dyDescent="0.25">
      <c r="A188" s="846">
        <f>Chem!A188</f>
        <v>186</v>
      </c>
      <c r="B188" s="951" t="str">
        <f>Chem!B188</f>
        <v>cis-1,3-Dichloropropene</v>
      </c>
      <c r="C188" s="946">
        <f t="shared" si="66"/>
        <v>0.43749999999999989</v>
      </c>
      <c r="D188" s="463">
        <f t="shared" si="67"/>
        <v>1.2</v>
      </c>
      <c r="E188" s="463"/>
      <c r="F188" s="501">
        <f>PW!O188</f>
        <v>0.43749999999999989</v>
      </c>
      <c r="G188" s="511">
        <f>SW!R188</f>
        <v>1.2</v>
      </c>
      <c r="H188" s="222" t="str">
        <f>Partit!E188</f>
        <v>na</v>
      </c>
      <c r="I188" s="520">
        <f>PW!P188</f>
        <v>7.9557148350215652</v>
      </c>
      <c r="J188" s="520" t="s">
        <v>232</v>
      </c>
      <c r="K188" s="970" t="s">
        <v>232</v>
      </c>
      <c r="M188" s="1367" t="str">
        <f t="shared" si="77"/>
        <v>X</v>
      </c>
      <c r="N188" s="1368" t="str">
        <f t="shared" si="78"/>
        <v/>
      </c>
      <c r="O188" s="1368" t="str">
        <f t="shared" si="79"/>
        <v/>
      </c>
      <c r="P188" s="1368" t="str">
        <f t="shared" si="80"/>
        <v/>
      </c>
      <c r="Q188" s="1369" t="str">
        <f t="shared" si="81"/>
        <v/>
      </c>
      <c r="R188" s="1367" t="str">
        <f t="shared" si="82"/>
        <v>X</v>
      </c>
      <c r="S188" s="1368" t="str">
        <f t="shared" si="83"/>
        <v/>
      </c>
      <c r="T188" s="1368" t="str">
        <f t="shared" si="84"/>
        <v/>
      </c>
      <c r="U188" s="1369" t="str">
        <f t="shared" si="85"/>
        <v/>
      </c>
      <c r="W188" s="1062"/>
    </row>
    <row r="189" spans="1:23" ht="13.9" customHeight="1" x14ac:dyDescent="0.25">
      <c r="A189" s="846">
        <f>Chem!A189</f>
        <v>187</v>
      </c>
      <c r="B189" s="951" t="str">
        <f>Chem!B189</f>
        <v>trans-1,3-Dichloropropene</v>
      </c>
      <c r="C189" s="946">
        <f t="shared" si="66"/>
        <v>0.43749999999999989</v>
      </c>
      <c r="D189" s="463">
        <f t="shared" si="67"/>
        <v>1.2</v>
      </c>
      <c r="E189" s="463"/>
      <c r="F189" s="501">
        <f>PW!O189</f>
        <v>0.43749999999999989</v>
      </c>
      <c r="G189" s="511">
        <f>SW!R189</f>
        <v>1.2</v>
      </c>
      <c r="H189" s="222" t="str">
        <f>Partit!E189</f>
        <v>na</v>
      </c>
      <c r="I189" s="520">
        <f>PW!P189</f>
        <v>7.9557148350215652</v>
      </c>
      <c r="J189" s="520" t="s">
        <v>232</v>
      </c>
      <c r="K189" s="970" t="s">
        <v>232</v>
      </c>
      <c r="M189" s="1367" t="str">
        <f t="shared" si="77"/>
        <v>X</v>
      </c>
      <c r="N189" s="1368" t="str">
        <f t="shared" si="78"/>
        <v/>
      </c>
      <c r="O189" s="1368" t="str">
        <f t="shared" si="79"/>
        <v/>
      </c>
      <c r="P189" s="1368" t="str">
        <f t="shared" si="80"/>
        <v/>
      </c>
      <c r="Q189" s="1369" t="str">
        <f t="shared" si="81"/>
        <v/>
      </c>
      <c r="R189" s="1367" t="str">
        <f t="shared" si="82"/>
        <v>X</v>
      </c>
      <c r="S189" s="1368" t="str">
        <f t="shared" si="83"/>
        <v/>
      </c>
      <c r="T189" s="1368" t="str">
        <f t="shared" si="84"/>
        <v/>
      </c>
      <c r="U189" s="1369" t="str">
        <f t="shared" si="85"/>
        <v/>
      </c>
      <c r="W189" s="1062"/>
    </row>
    <row r="190" spans="1:23" ht="13.9" customHeight="1" x14ac:dyDescent="0.25">
      <c r="A190" s="846">
        <f>Chem!A190</f>
        <v>188</v>
      </c>
      <c r="B190" s="951" t="str">
        <f>Chem!B190</f>
        <v>Diisopropyl ether</v>
      </c>
      <c r="C190" s="946" t="str">
        <f t="shared" si="66"/>
        <v>na</v>
      </c>
      <c r="D190" s="463" t="str">
        <f t="shared" si="67"/>
        <v>na</v>
      </c>
      <c r="E190" s="463"/>
      <c r="F190" s="501" t="str">
        <f>PW!O190</f>
        <v>na</v>
      </c>
      <c r="G190" s="511" t="str">
        <f>SW!R190</f>
        <v>na</v>
      </c>
      <c r="H190" s="222" t="str">
        <f>Partit!E190</f>
        <v>na</v>
      </c>
      <c r="I190" s="520" t="str">
        <f>PW!P190</f>
        <v>na</v>
      </c>
      <c r="J190" s="520" t="s">
        <v>232</v>
      </c>
      <c r="K190" s="970" t="s">
        <v>232</v>
      </c>
      <c r="M190" s="1367" t="str">
        <f t="shared" si="77"/>
        <v/>
      </c>
      <c r="N190" s="1368" t="str">
        <f t="shared" si="78"/>
        <v/>
      </c>
      <c r="O190" s="1368" t="str">
        <f t="shared" si="79"/>
        <v/>
      </c>
      <c r="P190" s="1368" t="str">
        <f t="shared" si="80"/>
        <v/>
      </c>
      <c r="Q190" s="1369" t="str">
        <f t="shared" si="81"/>
        <v/>
      </c>
      <c r="R190" s="1367" t="str">
        <f t="shared" si="82"/>
        <v/>
      </c>
      <c r="S190" s="1368" t="str">
        <f t="shared" si="83"/>
        <v/>
      </c>
      <c r="T190" s="1368" t="str">
        <f t="shared" si="84"/>
        <v/>
      </c>
      <c r="U190" s="1369" t="str">
        <f t="shared" si="85"/>
        <v/>
      </c>
      <c r="W190" s="1062"/>
    </row>
    <row r="191" spans="1:23" ht="13.9" customHeight="1" x14ac:dyDescent="0.25">
      <c r="A191" s="846">
        <f>Chem!A191</f>
        <v>189</v>
      </c>
      <c r="B191" s="951" t="str">
        <f>Chem!B191</f>
        <v>Ethane</v>
      </c>
      <c r="C191" s="947" t="str">
        <f t="shared" si="66"/>
        <v>na</v>
      </c>
      <c r="D191" s="464" t="str">
        <f t="shared" si="67"/>
        <v>na</v>
      </c>
      <c r="E191" s="464"/>
      <c r="F191" s="505" t="str">
        <f>PW!O191</f>
        <v>na</v>
      </c>
      <c r="G191" s="515" t="str">
        <f>SW!R191</f>
        <v>na</v>
      </c>
      <c r="H191" s="226" t="str">
        <f>Partit!E191</f>
        <v>na</v>
      </c>
      <c r="I191" s="525" t="str">
        <f>PW!P191</f>
        <v>na</v>
      </c>
      <c r="J191" s="525" t="s">
        <v>232</v>
      </c>
      <c r="K191" s="971" t="s">
        <v>232</v>
      </c>
      <c r="M191" s="1367" t="str">
        <f t="shared" si="77"/>
        <v/>
      </c>
      <c r="N191" s="1368" t="str">
        <f t="shared" si="78"/>
        <v/>
      </c>
      <c r="O191" s="1368" t="str">
        <f t="shared" si="79"/>
        <v/>
      </c>
      <c r="P191" s="1368" t="str">
        <f t="shared" si="80"/>
        <v/>
      </c>
      <c r="Q191" s="1369" t="str">
        <f t="shared" si="81"/>
        <v/>
      </c>
      <c r="R191" s="1367" t="str">
        <f t="shared" si="82"/>
        <v/>
      </c>
      <c r="S191" s="1368" t="str">
        <f t="shared" si="83"/>
        <v/>
      </c>
      <c r="T191" s="1368" t="str">
        <f t="shared" si="84"/>
        <v/>
      </c>
      <c r="U191" s="1369" t="str">
        <f t="shared" si="85"/>
        <v/>
      </c>
      <c r="W191" s="1062"/>
    </row>
    <row r="192" spans="1:23" ht="13.9" customHeight="1" x14ac:dyDescent="0.25">
      <c r="A192" s="846">
        <f>Chem!A192</f>
        <v>190</v>
      </c>
      <c r="B192" s="951" t="str">
        <f>Chem!B192</f>
        <v>Ethylbenzene</v>
      </c>
      <c r="C192" s="946">
        <f t="shared" si="66"/>
        <v>21</v>
      </c>
      <c r="D192" s="463">
        <f t="shared" si="67"/>
        <v>21</v>
      </c>
      <c r="E192" s="463"/>
      <c r="F192" s="501">
        <f>PW!O192</f>
        <v>700</v>
      </c>
      <c r="G192" s="511">
        <f>SW!R192</f>
        <v>21</v>
      </c>
      <c r="H192" s="222" t="str">
        <f>Partit!E192</f>
        <v>na</v>
      </c>
      <c r="I192" s="520">
        <f>PW!P192</f>
        <v>2781.9042006137147</v>
      </c>
      <c r="J192" s="520" t="s">
        <v>232</v>
      </c>
      <c r="K192" s="970" t="s">
        <v>232</v>
      </c>
      <c r="M192" s="1367" t="str">
        <f t="shared" si="77"/>
        <v/>
      </c>
      <c r="N192" s="1368" t="str">
        <f t="shared" si="78"/>
        <v>X</v>
      </c>
      <c r="O192" s="1368" t="str">
        <f t="shared" si="79"/>
        <v/>
      </c>
      <c r="P192" s="1368" t="str">
        <f t="shared" si="80"/>
        <v/>
      </c>
      <c r="Q192" s="1369" t="str">
        <f t="shared" si="81"/>
        <v/>
      </c>
      <c r="R192" s="1367" t="str">
        <f t="shared" si="82"/>
        <v>X</v>
      </c>
      <c r="S192" s="1368" t="str">
        <f t="shared" si="83"/>
        <v/>
      </c>
      <c r="T192" s="1368" t="str">
        <f t="shared" si="84"/>
        <v/>
      </c>
      <c r="U192" s="1369" t="str">
        <f t="shared" si="85"/>
        <v/>
      </c>
      <c r="W192" s="1062"/>
    </row>
    <row r="193" spans="1:23" ht="13.9" customHeight="1" x14ac:dyDescent="0.25">
      <c r="A193" s="846">
        <f>Chem!A193</f>
        <v>191</v>
      </c>
      <c r="B193" s="951" t="str">
        <f>Chem!B193</f>
        <v>Ethylene oxide</v>
      </c>
      <c r="C193" s="947">
        <f t="shared" si="66"/>
        <v>3.6999999999999998E-2</v>
      </c>
      <c r="D193" s="464">
        <f t="shared" si="67"/>
        <v>5.3667994076558659E-2</v>
      </c>
      <c r="E193" s="464"/>
      <c r="F193" s="505">
        <f>PW!O193</f>
        <v>3.6999999999999998E-2</v>
      </c>
      <c r="G193" s="515" t="str">
        <f>SW!R193</f>
        <v>na</v>
      </c>
      <c r="H193" s="226" t="str">
        <f>Partit!E193</f>
        <v>na</v>
      </c>
      <c r="I193" s="525">
        <f>PW!P193</f>
        <v>5.3667994076558659E-2</v>
      </c>
      <c r="J193" s="525" t="s">
        <v>232</v>
      </c>
      <c r="K193" s="971" t="s">
        <v>232</v>
      </c>
      <c r="M193" s="1367" t="str">
        <f t="shared" si="77"/>
        <v>X</v>
      </c>
      <c r="N193" s="1368" t="str">
        <f t="shared" si="78"/>
        <v/>
      </c>
      <c r="O193" s="1368" t="str">
        <f t="shared" si="79"/>
        <v/>
      </c>
      <c r="P193" s="1368" t="str">
        <f t="shared" si="80"/>
        <v/>
      </c>
      <c r="Q193" s="1369" t="str">
        <f t="shared" si="81"/>
        <v/>
      </c>
      <c r="R193" s="1367" t="str">
        <f t="shared" si="82"/>
        <v/>
      </c>
      <c r="S193" s="1368" t="str">
        <f t="shared" si="83"/>
        <v/>
      </c>
      <c r="T193" s="1368" t="str">
        <f t="shared" si="84"/>
        <v>X</v>
      </c>
      <c r="U193" s="1369" t="str">
        <f t="shared" si="85"/>
        <v/>
      </c>
      <c r="W193" s="1062"/>
    </row>
    <row r="194" spans="1:23" ht="13.9" customHeight="1" x14ac:dyDescent="0.25">
      <c r="A194" s="846">
        <f>Chem!A194</f>
        <v>192</v>
      </c>
      <c r="B194" s="951" t="str">
        <f>Chem!B194</f>
        <v>Ethyl ether</v>
      </c>
      <c r="C194" s="947">
        <f t="shared" si="66"/>
        <v>1600</v>
      </c>
      <c r="D194" s="464" t="str">
        <f t="shared" si="67"/>
        <v>na</v>
      </c>
      <c r="E194" s="464"/>
      <c r="F194" s="505">
        <f>PW!O194</f>
        <v>1600</v>
      </c>
      <c r="G194" s="515" t="str">
        <f>SW!R194</f>
        <v>na</v>
      </c>
      <c r="H194" s="226" t="str">
        <f>Partit!E194</f>
        <v>na</v>
      </c>
      <c r="I194" s="525" t="str">
        <f>PW!P194</f>
        <v>na</v>
      </c>
      <c r="J194" s="525" t="s">
        <v>232</v>
      </c>
      <c r="K194" s="971" t="s">
        <v>232</v>
      </c>
      <c r="M194" s="1367" t="str">
        <f t="shared" si="77"/>
        <v>X</v>
      </c>
      <c r="N194" s="1368" t="str">
        <f t="shared" si="78"/>
        <v/>
      </c>
      <c r="O194" s="1368" t="str">
        <f t="shared" si="79"/>
        <v/>
      </c>
      <c r="P194" s="1368" t="str">
        <f t="shared" si="80"/>
        <v/>
      </c>
      <c r="Q194" s="1369" t="str">
        <f t="shared" si="81"/>
        <v/>
      </c>
      <c r="R194" s="1367" t="str">
        <f t="shared" si="82"/>
        <v/>
      </c>
      <c r="S194" s="1368" t="str">
        <f t="shared" si="83"/>
        <v/>
      </c>
      <c r="T194" s="1368" t="str">
        <f t="shared" si="84"/>
        <v/>
      </c>
      <c r="U194" s="1369" t="str">
        <f t="shared" si="85"/>
        <v/>
      </c>
      <c r="W194" s="1062"/>
    </row>
    <row r="195" spans="1:23" ht="13.9" customHeight="1" x14ac:dyDescent="0.25">
      <c r="A195" s="846">
        <f>Chem!A195</f>
        <v>193</v>
      </c>
      <c r="B195" s="951" t="str">
        <f>Chem!B195</f>
        <v>Ethylene dibromide (EDB)</v>
      </c>
      <c r="C195" s="946">
        <f t="shared" si="66"/>
        <v>0.05</v>
      </c>
      <c r="D195" s="463">
        <f t="shared" si="67"/>
        <v>0.29534909428441325</v>
      </c>
      <c r="E195" s="463"/>
      <c r="F195" s="501">
        <f>PW!O195</f>
        <v>0.05</v>
      </c>
      <c r="G195" s="511" t="str">
        <f>SW!R195</f>
        <v>na</v>
      </c>
      <c r="H195" s="222" t="str">
        <f>Partit!E195</f>
        <v>na</v>
      </c>
      <c r="I195" s="520">
        <f>PW!P195</f>
        <v>0.29534909428441325</v>
      </c>
      <c r="J195" s="520" t="s">
        <v>232</v>
      </c>
      <c r="K195" s="970" t="s">
        <v>232</v>
      </c>
      <c r="M195" s="1367" t="str">
        <f t="shared" si="77"/>
        <v>X</v>
      </c>
      <c r="N195" s="1368" t="str">
        <f t="shared" si="78"/>
        <v/>
      </c>
      <c r="O195" s="1368" t="str">
        <f t="shared" si="79"/>
        <v/>
      </c>
      <c r="P195" s="1368" t="str">
        <f t="shared" si="80"/>
        <v/>
      </c>
      <c r="Q195" s="1369" t="str">
        <f t="shared" si="81"/>
        <v/>
      </c>
      <c r="R195" s="1367" t="str">
        <f t="shared" si="82"/>
        <v/>
      </c>
      <c r="S195" s="1368" t="str">
        <f t="shared" si="83"/>
        <v/>
      </c>
      <c r="T195" s="1368" t="str">
        <f t="shared" si="84"/>
        <v>X</v>
      </c>
      <c r="U195" s="1369" t="str">
        <f t="shared" si="85"/>
        <v/>
      </c>
      <c r="W195" s="1062"/>
    </row>
    <row r="196" spans="1:23" ht="13.9" customHeight="1" x14ac:dyDescent="0.25">
      <c r="A196" s="846">
        <f>Chem!A196</f>
        <v>194</v>
      </c>
      <c r="B196" s="951" t="str">
        <f>Chem!B196</f>
        <v>Formaldehyde</v>
      </c>
      <c r="C196" s="946">
        <f t="shared" si="66"/>
        <v>0.55000000000000004</v>
      </c>
      <c r="D196" s="463" t="str">
        <f t="shared" si="67"/>
        <v>na</v>
      </c>
      <c r="E196" s="463"/>
      <c r="F196" s="501">
        <f>PW!O196</f>
        <v>0.55000000000000004</v>
      </c>
      <c r="G196" s="511" t="str">
        <f>SW!R196</f>
        <v>na</v>
      </c>
      <c r="H196" s="222" t="str">
        <f>Partit!E196</f>
        <v>na</v>
      </c>
      <c r="I196" s="520" t="str">
        <f>PW!P196</f>
        <v>na</v>
      </c>
      <c r="J196" s="520" t="s">
        <v>232</v>
      </c>
      <c r="K196" s="970" t="s">
        <v>232</v>
      </c>
      <c r="M196" s="1367" t="str">
        <f t="shared" si="77"/>
        <v>X</v>
      </c>
      <c r="N196" s="1368" t="str">
        <f t="shared" si="78"/>
        <v/>
      </c>
      <c r="O196" s="1368" t="str">
        <f t="shared" si="79"/>
        <v/>
      </c>
      <c r="P196" s="1368" t="str">
        <f t="shared" si="80"/>
        <v/>
      </c>
      <c r="Q196" s="1369" t="str">
        <f t="shared" si="81"/>
        <v/>
      </c>
      <c r="R196" s="1367" t="str">
        <f t="shared" si="82"/>
        <v/>
      </c>
      <c r="S196" s="1368" t="str">
        <f t="shared" si="83"/>
        <v/>
      </c>
      <c r="T196" s="1368" t="str">
        <f t="shared" si="84"/>
        <v/>
      </c>
      <c r="U196" s="1369" t="str">
        <f t="shared" si="85"/>
        <v/>
      </c>
      <c r="W196" s="1062"/>
    </row>
    <row r="197" spans="1:23" ht="13.9" customHeight="1" x14ac:dyDescent="0.25">
      <c r="A197" s="846">
        <f>Chem!A197</f>
        <v>195</v>
      </c>
      <c r="B197" s="951" t="str">
        <f>Chem!B197</f>
        <v>n-Hexane</v>
      </c>
      <c r="C197" s="946">
        <f t="shared" si="66"/>
        <v>7.1623678730398064</v>
      </c>
      <c r="D197" s="463">
        <f t="shared" si="67"/>
        <v>7.1623678730398064</v>
      </c>
      <c r="E197" s="463"/>
      <c r="F197" s="501">
        <f>PW!O197</f>
        <v>480</v>
      </c>
      <c r="G197" s="511" t="str">
        <f>SW!R197</f>
        <v>na</v>
      </c>
      <c r="H197" s="222" t="str">
        <f>Partit!E197</f>
        <v>na</v>
      </c>
      <c r="I197" s="520">
        <f>PW!P197</f>
        <v>7.1623678730398064</v>
      </c>
      <c r="J197" s="520" t="s">
        <v>232</v>
      </c>
      <c r="K197" s="970" t="s">
        <v>232</v>
      </c>
      <c r="M197" s="1367" t="str">
        <f t="shared" si="77"/>
        <v/>
      </c>
      <c r="N197" s="1368" t="str">
        <f t="shared" si="78"/>
        <v/>
      </c>
      <c r="O197" s="1368" t="str">
        <f t="shared" si="79"/>
        <v/>
      </c>
      <c r="P197" s="1368" t="str">
        <f t="shared" si="80"/>
        <v>X</v>
      </c>
      <c r="Q197" s="1369" t="str">
        <f t="shared" si="81"/>
        <v/>
      </c>
      <c r="R197" s="1367" t="str">
        <f t="shared" si="82"/>
        <v/>
      </c>
      <c r="S197" s="1368" t="str">
        <f t="shared" si="83"/>
        <v/>
      </c>
      <c r="T197" s="1368" t="str">
        <f t="shared" si="84"/>
        <v>X</v>
      </c>
      <c r="U197" s="1369" t="str">
        <f t="shared" si="85"/>
        <v/>
      </c>
      <c r="W197" s="1062"/>
    </row>
    <row r="198" spans="1:23" ht="13.9" customHeight="1" x14ac:dyDescent="0.25">
      <c r="A198" s="846">
        <f>Chem!A198</f>
        <v>196</v>
      </c>
      <c r="B198" s="951" t="str">
        <f>Chem!B198</f>
        <v>2-Hexanone</v>
      </c>
      <c r="C198" s="946">
        <f t="shared" si="66"/>
        <v>40</v>
      </c>
      <c r="D198" s="463">
        <f t="shared" si="67"/>
        <v>7254.46475132668</v>
      </c>
      <c r="E198" s="463"/>
      <c r="F198" s="501">
        <f>PW!O198</f>
        <v>40</v>
      </c>
      <c r="G198" s="511" t="str">
        <f>SW!R198</f>
        <v>na</v>
      </c>
      <c r="H198" s="222" t="str">
        <f>Partit!E198</f>
        <v>na</v>
      </c>
      <c r="I198" s="520">
        <f>PW!P198</f>
        <v>7254.46475132668</v>
      </c>
      <c r="J198" s="520" t="s">
        <v>232</v>
      </c>
      <c r="K198" s="970" t="s">
        <v>232</v>
      </c>
      <c r="M198" s="1367" t="str">
        <f t="shared" si="77"/>
        <v>X</v>
      </c>
      <c r="N198" s="1368" t="str">
        <f t="shared" si="78"/>
        <v/>
      </c>
      <c r="O198" s="1368" t="str">
        <f t="shared" si="79"/>
        <v/>
      </c>
      <c r="P198" s="1368" t="str">
        <f t="shared" si="80"/>
        <v/>
      </c>
      <c r="Q198" s="1369" t="str">
        <f t="shared" si="81"/>
        <v/>
      </c>
      <c r="R198" s="1367" t="str">
        <f t="shared" si="82"/>
        <v/>
      </c>
      <c r="S198" s="1368" t="str">
        <f t="shared" si="83"/>
        <v/>
      </c>
      <c r="T198" s="1368" t="str">
        <f t="shared" si="84"/>
        <v>X</v>
      </c>
      <c r="U198" s="1369" t="str">
        <f t="shared" si="85"/>
        <v/>
      </c>
      <c r="W198" s="1062"/>
    </row>
    <row r="199" spans="1:23" ht="13.9" customHeight="1" x14ac:dyDescent="0.25">
      <c r="A199" s="846">
        <f>Chem!A199</f>
        <v>197</v>
      </c>
      <c r="B199" s="951" t="str">
        <f>Chem!B199</f>
        <v>Isopropylbenzene (cumene)</v>
      </c>
      <c r="C199" s="946">
        <f t="shared" si="66"/>
        <v>800</v>
      </c>
      <c r="D199" s="463">
        <f t="shared" si="67"/>
        <v>911.53855295541075</v>
      </c>
      <c r="E199" s="463"/>
      <c r="F199" s="501">
        <f>PW!O199</f>
        <v>800</v>
      </c>
      <c r="G199" s="511" t="str">
        <f>SW!R199</f>
        <v>na</v>
      </c>
      <c r="H199" s="222" t="str">
        <f>Partit!E199</f>
        <v>na</v>
      </c>
      <c r="I199" s="520">
        <f>PW!P199</f>
        <v>911.53855295541075</v>
      </c>
      <c r="J199" s="520" t="s">
        <v>232</v>
      </c>
      <c r="K199" s="970" t="s">
        <v>232</v>
      </c>
      <c r="M199" s="1367" t="str">
        <f t="shared" si="77"/>
        <v>X</v>
      </c>
      <c r="N199" s="1368" t="str">
        <f t="shared" si="78"/>
        <v/>
      </c>
      <c r="O199" s="1368" t="str">
        <f t="shared" si="79"/>
        <v/>
      </c>
      <c r="P199" s="1368" t="str">
        <f t="shared" si="80"/>
        <v/>
      </c>
      <c r="Q199" s="1369" t="str">
        <f t="shared" si="81"/>
        <v/>
      </c>
      <c r="R199" s="1367" t="str">
        <f t="shared" si="82"/>
        <v/>
      </c>
      <c r="S199" s="1368" t="str">
        <f t="shared" si="83"/>
        <v/>
      </c>
      <c r="T199" s="1368" t="str">
        <f t="shared" si="84"/>
        <v>X</v>
      </c>
      <c r="U199" s="1369" t="str">
        <f t="shared" si="85"/>
        <v/>
      </c>
      <c r="W199" s="1062"/>
    </row>
    <row r="200" spans="1:23" ht="13.9" customHeight="1" x14ac:dyDescent="0.25">
      <c r="A200" s="846">
        <f>Chem!A200</f>
        <v>198</v>
      </c>
      <c r="B200" s="951" t="str">
        <f>Chem!B200</f>
        <v>4-Isopropyltoluene (p-isopropyltoluene)</v>
      </c>
      <c r="C200" s="946">
        <f t="shared" si="66"/>
        <v>32</v>
      </c>
      <c r="D200" s="463">
        <f t="shared" si="67"/>
        <v>88.336783988957905</v>
      </c>
      <c r="E200" s="463"/>
      <c r="F200" s="501">
        <f>PW!O200</f>
        <v>32</v>
      </c>
      <c r="G200" s="511" t="str">
        <f>SW!R200</f>
        <v>na</v>
      </c>
      <c r="H200" s="222" t="str">
        <f>Partit!E200</f>
        <v>na</v>
      </c>
      <c r="I200" s="520">
        <f>PW!P200</f>
        <v>88.336783988957905</v>
      </c>
      <c r="J200" s="520" t="s">
        <v>232</v>
      </c>
      <c r="K200" s="970" t="s">
        <v>232</v>
      </c>
      <c r="M200" s="1367" t="str">
        <f t="shared" si="77"/>
        <v>X</v>
      </c>
      <c r="N200" s="1368" t="str">
        <f t="shared" si="78"/>
        <v/>
      </c>
      <c r="O200" s="1368" t="str">
        <f t="shared" si="79"/>
        <v/>
      </c>
      <c r="P200" s="1368" t="str">
        <f t="shared" si="80"/>
        <v/>
      </c>
      <c r="Q200" s="1369" t="str">
        <f t="shared" si="81"/>
        <v/>
      </c>
      <c r="R200" s="1367" t="str">
        <f t="shared" si="82"/>
        <v/>
      </c>
      <c r="S200" s="1368" t="str">
        <f t="shared" si="83"/>
        <v/>
      </c>
      <c r="T200" s="1368" t="str">
        <f t="shared" si="84"/>
        <v>X</v>
      </c>
      <c r="U200" s="1369" t="str">
        <f t="shared" si="85"/>
        <v/>
      </c>
      <c r="W200" s="1062"/>
    </row>
    <row r="201" spans="1:23" ht="13.9" customHeight="1" x14ac:dyDescent="0.25">
      <c r="A201" s="846">
        <f>Chem!A201</f>
        <v>199</v>
      </c>
      <c r="B201" s="951" t="str">
        <f>Chem!B201</f>
        <v>Methane</v>
      </c>
      <c r="C201" s="947" t="str">
        <f t="shared" si="66"/>
        <v>na</v>
      </c>
      <c r="D201" s="464" t="str">
        <f t="shared" si="67"/>
        <v>na</v>
      </c>
      <c r="E201" s="464"/>
      <c r="F201" s="505" t="str">
        <f>PW!O201</f>
        <v>na</v>
      </c>
      <c r="G201" s="515" t="str">
        <f>SW!R201</f>
        <v>na</v>
      </c>
      <c r="H201" s="226" t="str">
        <f>Partit!E201</f>
        <v>na</v>
      </c>
      <c r="I201" s="525" t="str">
        <f>PW!P201</f>
        <v>na</v>
      </c>
      <c r="J201" s="525" t="s">
        <v>232</v>
      </c>
      <c r="K201" s="971" t="s">
        <v>232</v>
      </c>
      <c r="M201" s="1367" t="str">
        <f t="shared" si="77"/>
        <v/>
      </c>
      <c r="N201" s="1368" t="str">
        <f t="shared" si="78"/>
        <v/>
      </c>
      <c r="O201" s="1368" t="str">
        <f t="shared" si="79"/>
        <v/>
      </c>
      <c r="P201" s="1368" t="str">
        <f t="shared" si="80"/>
        <v/>
      </c>
      <c r="Q201" s="1369" t="str">
        <f t="shared" si="81"/>
        <v/>
      </c>
      <c r="R201" s="1367" t="str">
        <f t="shared" si="82"/>
        <v/>
      </c>
      <c r="S201" s="1368" t="str">
        <f t="shared" si="83"/>
        <v/>
      </c>
      <c r="T201" s="1368" t="str">
        <f t="shared" si="84"/>
        <v/>
      </c>
      <c r="U201" s="1369" t="str">
        <f t="shared" si="85"/>
        <v/>
      </c>
      <c r="W201" s="1062"/>
    </row>
    <row r="202" spans="1:23" ht="13.9" customHeight="1" x14ac:dyDescent="0.25">
      <c r="A202" s="846">
        <f>Chem!A202</f>
        <v>200</v>
      </c>
      <c r="B202" s="951" t="str">
        <f>Chem!B202</f>
        <v>Methyl ethyl ketone (2-butanone)</v>
      </c>
      <c r="C202" s="946">
        <f t="shared" si="66"/>
        <v>4800</v>
      </c>
      <c r="D202" s="463">
        <f t="shared" si="67"/>
        <v>1707762.2649205618</v>
      </c>
      <c r="E202" s="463"/>
      <c r="F202" s="501">
        <f>PW!O202</f>
        <v>4800</v>
      </c>
      <c r="G202" s="511" t="str">
        <f>SW!R202</f>
        <v>na</v>
      </c>
      <c r="H202" s="222" t="str">
        <f>Partit!E202</f>
        <v>na</v>
      </c>
      <c r="I202" s="520">
        <f>PW!P202</f>
        <v>1707762.2649205618</v>
      </c>
      <c r="J202" s="520" t="s">
        <v>232</v>
      </c>
      <c r="K202" s="970" t="s">
        <v>232</v>
      </c>
      <c r="M202" s="1367" t="str">
        <f t="shared" si="77"/>
        <v>X</v>
      </c>
      <c r="N202" s="1368" t="str">
        <f t="shared" si="78"/>
        <v/>
      </c>
      <c r="O202" s="1368" t="str">
        <f t="shared" si="79"/>
        <v/>
      </c>
      <c r="P202" s="1368" t="str">
        <f t="shared" si="80"/>
        <v/>
      </c>
      <c r="Q202" s="1369" t="str">
        <f t="shared" si="81"/>
        <v/>
      </c>
      <c r="R202" s="1367" t="str">
        <f t="shared" si="82"/>
        <v/>
      </c>
      <c r="S202" s="1368" t="str">
        <f t="shared" si="83"/>
        <v/>
      </c>
      <c r="T202" s="1368" t="str">
        <f t="shared" si="84"/>
        <v>X</v>
      </c>
      <c r="U202" s="1369" t="str">
        <f t="shared" si="85"/>
        <v/>
      </c>
      <c r="W202" s="1062"/>
    </row>
    <row r="203" spans="1:23" ht="13.9" customHeight="1" x14ac:dyDescent="0.25">
      <c r="A203" s="846">
        <f>Chem!A203</f>
        <v>201</v>
      </c>
      <c r="B203" s="951" t="str">
        <f>Chem!B203</f>
        <v>Methyl iodide</v>
      </c>
      <c r="C203" s="946" t="str">
        <f t="shared" si="66"/>
        <v>na</v>
      </c>
      <c r="D203" s="463" t="str">
        <f t="shared" si="67"/>
        <v>na</v>
      </c>
      <c r="E203" s="463"/>
      <c r="F203" s="501" t="str">
        <f>PW!O203</f>
        <v>na</v>
      </c>
      <c r="G203" s="511" t="str">
        <f>SW!R203</f>
        <v>na</v>
      </c>
      <c r="H203" s="222" t="str">
        <f>Partit!E203</f>
        <v>na</v>
      </c>
      <c r="I203" s="520" t="str">
        <f>PW!P203</f>
        <v>na</v>
      </c>
      <c r="J203" s="520" t="s">
        <v>232</v>
      </c>
      <c r="K203" s="970" t="s">
        <v>232</v>
      </c>
      <c r="M203" s="1367" t="str">
        <f t="shared" si="77"/>
        <v/>
      </c>
      <c r="N203" s="1368" t="str">
        <f t="shared" si="78"/>
        <v/>
      </c>
      <c r="O203" s="1368" t="str">
        <f t="shared" si="79"/>
        <v/>
      </c>
      <c r="P203" s="1368" t="str">
        <f t="shared" si="80"/>
        <v/>
      </c>
      <c r="Q203" s="1369" t="str">
        <f t="shared" si="81"/>
        <v/>
      </c>
      <c r="R203" s="1367" t="str">
        <f t="shared" si="82"/>
        <v/>
      </c>
      <c r="S203" s="1368" t="str">
        <f t="shared" si="83"/>
        <v/>
      </c>
      <c r="T203" s="1368" t="str">
        <f t="shared" si="84"/>
        <v/>
      </c>
      <c r="U203" s="1369" t="str">
        <f t="shared" si="85"/>
        <v/>
      </c>
      <c r="W203" s="1062"/>
    </row>
    <row r="204" spans="1:23" ht="13.9" customHeight="1" x14ac:dyDescent="0.25">
      <c r="A204" s="846">
        <f>Chem!A204</f>
        <v>202</v>
      </c>
      <c r="B204" s="951" t="str">
        <f>Chem!B204</f>
        <v>Methyl isobutyl ketone</v>
      </c>
      <c r="C204" s="946">
        <f t="shared" si="66"/>
        <v>640</v>
      </c>
      <c r="D204" s="463">
        <f t="shared" si="67"/>
        <v>466297.95822366746</v>
      </c>
      <c r="E204" s="463"/>
      <c r="F204" s="501">
        <f>PW!O204</f>
        <v>640</v>
      </c>
      <c r="G204" s="511" t="str">
        <f>SW!R204</f>
        <v>na</v>
      </c>
      <c r="H204" s="222" t="str">
        <f>Partit!E204</f>
        <v>na</v>
      </c>
      <c r="I204" s="520">
        <f>PW!P204</f>
        <v>466297.95822366746</v>
      </c>
      <c r="J204" s="520" t="s">
        <v>232</v>
      </c>
      <c r="K204" s="970" t="s">
        <v>232</v>
      </c>
      <c r="M204" s="1367" t="str">
        <f t="shared" si="77"/>
        <v>X</v>
      </c>
      <c r="N204" s="1368" t="str">
        <f t="shared" si="78"/>
        <v/>
      </c>
      <c r="O204" s="1368" t="str">
        <f t="shared" si="79"/>
        <v/>
      </c>
      <c r="P204" s="1368" t="str">
        <f t="shared" si="80"/>
        <v/>
      </c>
      <c r="Q204" s="1369" t="str">
        <f t="shared" si="81"/>
        <v/>
      </c>
      <c r="R204" s="1367" t="str">
        <f t="shared" si="82"/>
        <v/>
      </c>
      <c r="S204" s="1368" t="str">
        <f t="shared" si="83"/>
        <v/>
      </c>
      <c r="T204" s="1368" t="str">
        <f t="shared" si="84"/>
        <v>X</v>
      </c>
      <c r="U204" s="1369" t="str">
        <f t="shared" si="85"/>
        <v/>
      </c>
      <c r="W204" s="1062"/>
    </row>
    <row r="205" spans="1:23" ht="13.9" customHeight="1" x14ac:dyDescent="0.25">
      <c r="A205" s="846">
        <f>Chem!A205</f>
        <v>203</v>
      </c>
      <c r="B205" s="951" t="str">
        <f>Chem!B205</f>
        <v>Methyl tert-butyl ether (MTBE)</v>
      </c>
      <c r="C205" s="946">
        <f t="shared" si="66"/>
        <v>24.30555555555555</v>
      </c>
      <c r="D205" s="463">
        <f t="shared" si="67"/>
        <v>857.02311794000889</v>
      </c>
      <c r="E205" s="463"/>
      <c r="F205" s="501">
        <f>PW!O205</f>
        <v>24.30555555555555</v>
      </c>
      <c r="G205" s="511" t="str">
        <f>SW!R205</f>
        <v>na</v>
      </c>
      <c r="H205" s="222" t="str">
        <f>Partit!E205</f>
        <v>na</v>
      </c>
      <c r="I205" s="520">
        <f>PW!P205</f>
        <v>857.02311794000889</v>
      </c>
      <c r="J205" s="520" t="s">
        <v>232</v>
      </c>
      <c r="K205" s="970" t="s">
        <v>232</v>
      </c>
      <c r="M205" s="1367" t="str">
        <f t="shared" si="77"/>
        <v>X</v>
      </c>
      <c r="N205" s="1368" t="str">
        <f t="shared" si="78"/>
        <v/>
      </c>
      <c r="O205" s="1368" t="str">
        <f t="shared" si="79"/>
        <v/>
      </c>
      <c r="P205" s="1368" t="str">
        <f t="shared" si="80"/>
        <v/>
      </c>
      <c r="Q205" s="1369" t="str">
        <f t="shared" si="81"/>
        <v/>
      </c>
      <c r="R205" s="1367" t="str">
        <f t="shared" si="82"/>
        <v/>
      </c>
      <c r="S205" s="1368" t="str">
        <f t="shared" si="83"/>
        <v/>
      </c>
      <c r="T205" s="1368" t="str">
        <f t="shared" si="84"/>
        <v>X</v>
      </c>
      <c r="U205" s="1369" t="str">
        <f t="shared" si="85"/>
        <v/>
      </c>
      <c r="W205" s="1062"/>
    </row>
    <row r="206" spans="1:23" ht="13.9" customHeight="1" x14ac:dyDescent="0.25">
      <c r="A206" s="846">
        <f>Chem!A206</f>
        <v>204</v>
      </c>
      <c r="B206" s="951" t="str">
        <f>Chem!B206</f>
        <v>Methylene chloride</v>
      </c>
      <c r="C206" s="946">
        <f t="shared" si="66"/>
        <v>5</v>
      </c>
      <c r="D206" s="463">
        <f t="shared" si="67"/>
        <v>100</v>
      </c>
      <c r="E206" s="463"/>
      <c r="F206" s="501">
        <f>PW!O206</f>
        <v>5</v>
      </c>
      <c r="G206" s="511">
        <f>SW!R206</f>
        <v>100</v>
      </c>
      <c r="H206" s="222" t="str">
        <f>Partit!E206</f>
        <v>na</v>
      </c>
      <c r="I206" s="520">
        <f>PW!P206</f>
        <v>783.19765248896817</v>
      </c>
      <c r="J206" s="520" t="s">
        <v>232</v>
      </c>
      <c r="K206" s="970" t="s">
        <v>232</v>
      </c>
      <c r="M206" s="1367" t="str">
        <f t="shared" si="77"/>
        <v>X</v>
      </c>
      <c r="N206" s="1368" t="str">
        <f t="shared" si="78"/>
        <v/>
      </c>
      <c r="O206" s="1368" t="str">
        <f t="shared" si="79"/>
        <v/>
      </c>
      <c r="P206" s="1368" t="str">
        <f t="shared" si="80"/>
        <v/>
      </c>
      <c r="Q206" s="1369" t="str">
        <f t="shared" si="81"/>
        <v/>
      </c>
      <c r="R206" s="1367" t="str">
        <f t="shared" si="82"/>
        <v>X</v>
      </c>
      <c r="S206" s="1368" t="str">
        <f t="shared" si="83"/>
        <v/>
      </c>
      <c r="T206" s="1368" t="str">
        <f t="shared" si="84"/>
        <v/>
      </c>
      <c r="U206" s="1369" t="str">
        <f t="shared" si="85"/>
        <v/>
      </c>
      <c r="W206" s="1062"/>
    </row>
    <row r="207" spans="1:23" ht="13.9" customHeight="1" x14ac:dyDescent="0.25">
      <c r="A207" s="846">
        <f>Chem!A207</f>
        <v>205</v>
      </c>
      <c r="B207" s="951" t="str">
        <f>Chem!B207</f>
        <v>2-Pentanone</v>
      </c>
      <c r="C207" s="946" t="str">
        <f t="shared" si="66"/>
        <v>na</v>
      </c>
      <c r="D207" s="463" t="str">
        <f t="shared" si="67"/>
        <v>na</v>
      </c>
      <c r="E207" s="463"/>
      <c r="F207" s="501" t="str">
        <f>PW!O207</f>
        <v>na</v>
      </c>
      <c r="G207" s="511" t="str">
        <f>SW!R207</f>
        <v>na</v>
      </c>
      <c r="H207" s="222" t="str">
        <f>Partit!E207</f>
        <v>na</v>
      </c>
      <c r="I207" s="520" t="str">
        <f>PW!P207</f>
        <v>na</v>
      </c>
      <c r="J207" s="520" t="s">
        <v>232</v>
      </c>
      <c r="K207" s="970" t="s">
        <v>232</v>
      </c>
      <c r="M207" s="1367" t="str">
        <f t="shared" si="77"/>
        <v/>
      </c>
      <c r="N207" s="1368" t="str">
        <f t="shared" si="78"/>
        <v/>
      </c>
      <c r="O207" s="1368" t="str">
        <f t="shared" si="79"/>
        <v/>
      </c>
      <c r="P207" s="1368" t="str">
        <f t="shared" si="80"/>
        <v/>
      </c>
      <c r="Q207" s="1369" t="str">
        <f t="shared" si="81"/>
        <v/>
      </c>
      <c r="R207" s="1367" t="str">
        <f t="shared" si="82"/>
        <v/>
      </c>
      <c r="S207" s="1368" t="str">
        <f t="shared" si="83"/>
        <v/>
      </c>
      <c r="T207" s="1368" t="str">
        <f t="shared" si="84"/>
        <v/>
      </c>
      <c r="U207" s="1369" t="str">
        <f t="shared" si="85"/>
        <v/>
      </c>
      <c r="W207" s="1062"/>
    </row>
    <row r="208" spans="1:23" ht="13.9" customHeight="1" x14ac:dyDescent="0.25">
      <c r="A208" s="846">
        <f>Chem!A208</f>
        <v>206</v>
      </c>
      <c r="B208" s="951" t="str">
        <f>Chem!B208</f>
        <v>n-Propylbenzene</v>
      </c>
      <c r="C208" s="946">
        <f t="shared" si="66"/>
        <v>800</v>
      </c>
      <c r="D208" s="463">
        <f t="shared" si="67"/>
        <v>2262.3798492969536</v>
      </c>
      <c r="E208" s="463"/>
      <c r="F208" s="501">
        <f>PW!O208</f>
        <v>800</v>
      </c>
      <c r="G208" s="511" t="str">
        <f>SW!R208</f>
        <v>na</v>
      </c>
      <c r="H208" s="222" t="str">
        <f>Partit!E208</f>
        <v>na</v>
      </c>
      <c r="I208" s="520">
        <f>PW!P208</f>
        <v>2262.3798492969536</v>
      </c>
      <c r="J208" s="520" t="s">
        <v>232</v>
      </c>
      <c r="K208" s="970" t="s">
        <v>232</v>
      </c>
      <c r="M208" s="1367" t="str">
        <f t="shared" si="77"/>
        <v>X</v>
      </c>
      <c r="N208" s="1368" t="str">
        <f t="shared" si="78"/>
        <v/>
      </c>
      <c r="O208" s="1368" t="str">
        <f t="shared" si="79"/>
        <v/>
      </c>
      <c r="P208" s="1368" t="str">
        <f t="shared" si="80"/>
        <v/>
      </c>
      <c r="Q208" s="1369" t="str">
        <f t="shared" si="81"/>
        <v/>
      </c>
      <c r="R208" s="1367" t="str">
        <f t="shared" si="82"/>
        <v/>
      </c>
      <c r="S208" s="1368" t="str">
        <f t="shared" si="83"/>
        <v/>
      </c>
      <c r="T208" s="1368" t="str">
        <f t="shared" si="84"/>
        <v>X</v>
      </c>
      <c r="U208" s="1369" t="str">
        <f t="shared" si="85"/>
        <v/>
      </c>
      <c r="W208" s="1062"/>
    </row>
    <row r="209" spans="1:23" ht="13.9" customHeight="1" x14ac:dyDescent="0.25">
      <c r="A209" s="846">
        <f>Chem!A209</f>
        <v>207</v>
      </c>
      <c r="B209" s="951" t="str">
        <f>Chem!B209</f>
        <v>Styrene</v>
      </c>
      <c r="C209" s="946">
        <f t="shared" si="66"/>
        <v>100</v>
      </c>
      <c r="D209" s="463">
        <f t="shared" si="67"/>
        <v>8527.504482864324</v>
      </c>
      <c r="E209" s="463"/>
      <c r="F209" s="501">
        <f>PW!O209</f>
        <v>100</v>
      </c>
      <c r="G209" s="511" t="str">
        <f>SW!R209</f>
        <v>na</v>
      </c>
      <c r="H209" s="222" t="str">
        <f>Partit!E209</f>
        <v>na</v>
      </c>
      <c r="I209" s="520">
        <f>PW!P209</f>
        <v>8527.504482864324</v>
      </c>
      <c r="J209" s="520" t="s">
        <v>232</v>
      </c>
      <c r="K209" s="970" t="s">
        <v>232</v>
      </c>
      <c r="M209" s="1367" t="str">
        <f t="shared" si="77"/>
        <v>X</v>
      </c>
      <c r="N209" s="1368" t="str">
        <f t="shared" si="78"/>
        <v/>
      </c>
      <c r="O209" s="1368" t="str">
        <f t="shared" si="79"/>
        <v/>
      </c>
      <c r="P209" s="1368" t="str">
        <f t="shared" si="80"/>
        <v/>
      </c>
      <c r="Q209" s="1369" t="str">
        <f t="shared" si="81"/>
        <v/>
      </c>
      <c r="R209" s="1367" t="str">
        <f t="shared" si="82"/>
        <v/>
      </c>
      <c r="S209" s="1368" t="str">
        <f t="shared" si="83"/>
        <v/>
      </c>
      <c r="T209" s="1368" t="str">
        <f t="shared" si="84"/>
        <v>X</v>
      </c>
      <c r="U209" s="1369" t="str">
        <f t="shared" si="85"/>
        <v/>
      </c>
      <c r="W209" s="1062"/>
    </row>
    <row r="210" spans="1:23" ht="13.9" customHeight="1" x14ac:dyDescent="0.25">
      <c r="A210" s="846">
        <f>Chem!A210</f>
        <v>208</v>
      </c>
      <c r="B210" s="951" t="str">
        <f>Chem!B210</f>
        <v>1,1,1,2-Tetrachloroethane</v>
      </c>
      <c r="C210" s="946">
        <f t="shared" si="66"/>
        <v>1.6826923076923075</v>
      </c>
      <c r="D210" s="463">
        <f t="shared" si="67"/>
        <v>7.1130692062393912</v>
      </c>
      <c r="E210" s="463"/>
      <c r="F210" s="501">
        <f>PW!O210</f>
        <v>1.6826923076923075</v>
      </c>
      <c r="G210" s="511" t="str">
        <f>SW!R210</f>
        <v>na</v>
      </c>
      <c r="H210" s="222" t="str">
        <f>Partit!E210</f>
        <v>na</v>
      </c>
      <c r="I210" s="520">
        <f>PW!P210</f>
        <v>7.1130692062393912</v>
      </c>
      <c r="J210" s="520" t="s">
        <v>232</v>
      </c>
      <c r="K210" s="970" t="s">
        <v>232</v>
      </c>
      <c r="M210" s="1367" t="str">
        <f t="shared" si="77"/>
        <v>X</v>
      </c>
      <c r="N210" s="1368" t="str">
        <f t="shared" si="78"/>
        <v/>
      </c>
      <c r="O210" s="1368" t="str">
        <f t="shared" si="79"/>
        <v/>
      </c>
      <c r="P210" s="1368" t="str">
        <f t="shared" si="80"/>
        <v/>
      </c>
      <c r="Q210" s="1369" t="str">
        <f t="shared" si="81"/>
        <v/>
      </c>
      <c r="R210" s="1367" t="str">
        <f t="shared" si="82"/>
        <v/>
      </c>
      <c r="S210" s="1368" t="str">
        <f t="shared" si="83"/>
        <v/>
      </c>
      <c r="T210" s="1368" t="str">
        <f t="shared" si="84"/>
        <v>X</v>
      </c>
      <c r="U210" s="1369" t="str">
        <f t="shared" si="85"/>
        <v/>
      </c>
      <c r="W210" s="1062"/>
    </row>
    <row r="211" spans="1:23" ht="13.9" customHeight="1" x14ac:dyDescent="0.25">
      <c r="A211" s="846">
        <f>Chem!A211</f>
        <v>209</v>
      </c>
      <c r="B211" s="951" t="str">
        <f>Chem!B211</f>
        <v>1,1,2,2-Tetrachloroethane</v>
      </c>
      <c r="C211" s="946">
        <f t="shared" si="66"/>
        <v>0.21874999999999994</v>
      </c>
      <c r="D211" s="463">
        <f t="shared" si="67"/>
        <v>0.3</v>
      </c>
      <c r="E211" s="463"/>
      <c r="F211" s="501">
        <f>PW!O211</f>
        <v>0.21874999999999994</v>
      </c>
      <c r="G211" s="511">
        <f>SW!R211</f>
        <v>0.3</v>
      </c>
      <c r="H211" s="222" t="str">
        <f>Partit!E211</f>
        <v>na</v>
      </c>
      <c r="I211" s="520">
        <f>PW!P211</f>
        <v>5.8682037964458607</v>
      </c>
      <c r="J211" s="520" t="s">
        <v>232</v>
      </c>
      <c r="K211" s="970" t="s">
        <v>232</v>
      </c>
      <c r="M211" s="1367" t="str">
        <f t="shared" si="77"/>
        <v>X</v>
      </c>
      <c r="N211" s="1368" t="str">
        <f t="shared" si="78"/>
        <v/>
      </c>
      <c r="O211" s="1368" t="str">
        <f t="shared" si="79"/>
        <v/>
      </c>
      <c r="P211" s="1368" t="str">
        <f t="shared" si="80"/>
        <v/>
      </c>
      <c r="Q211" s="1369" t="str">
        <f t="shared" si="81"/>
        <v/>
      </c>
      <c r="R211" s="1367" t="str">
        <f t="shared" si="82"/>
        <v>X</v>
      </c>
      <c r="S211" s="1368" t="str">
        <f t="shared" si="83"/>
        <v/>
      </c>
      <c r="T211" s="1368" t="str">
        <f t="shared" si="84"/>
        <v/>
      </c>
      <c r="U211" s="1369" t="str">
        <f t="shared" si="85"/>
        <v/>
      </c>
      <c r="W211" s="1062"/>
    </row>
    <row r="212" spans="1:23" ht="13.9" customHeight="1" x14ac:dyDescent="0.25">
      <c r="A212" s="846">
        <f>Chem!A212</f>
        <v>210</v>
      </c>
      <c r="B212" s="951" t="str">
        <f>Chem!B212</f>
        <v>Tetrachloroethylene (PCE)</v>
      </c>
      <c r="C212" s="946">
        <f t="shared" si="66"/>
        <v>2.9</v>
      </c>
      <c r="D212" s="463">
        <f t="shared" si="67"/>
        <v>2.9</v>
      </c>
      <c r="E212" s="463"/>
      <c r="F212" s="501">
        <f>PW!O212</f>
        <v>5</v>
      </c>
      <c r="G212" s="511">
        <f>SW!R212</f>
        <v>2.9</v>
      </c>
      <c r="H212" s="222" t="str">
        <f>Partit!E212</f>
        <v>na</v>
      </c>
      <c r="I212" s="520">
        <f>PW!P212</f>
        <v>25.040752726028533</v>
      </c>
      <c r="J212" s="520" t="s">
        <v>232</v>
      </c>
      <c r="K212" s="970" t="s">
        <v>232</v>
      </c>
      <c r="M212" s="1367" t="str">
        <f t="shared" si="77"/>
        <v/>
      </c>
      <c r="N212" s="1368" t="str">
        <f t="shared" si="78"/>
        <v>X</v>
      </c>
      <c r="O212" s="1368" t="str">
        <f t="shared" si="79"/>
        <v/>
      </c>
      <c r="P212" s="1368" t="str">
        <f t="shared" si="80"/>
        <v/>
      </c>
      <c r="Q212" s="1369" t="str">
        <f t="shared" si="81"/>
        <v/>
      </c>
      <c r="R212" s="1367" t="str">
        <f t="shared" si="82"/>
        <v>X</v>
      </c>
      <c r="S212" s="1368" t="str">
        <f t="shared" si="83"/>
        <v/>
      </c>
      <c r="T212" s="1368" t="str">
        <f t="shared" si="84"/>
        <v/>
      </c>
      <c r="U212" s="1369" t="str">
        <f t="shared" si="85"/>
        <v/>
      </c>
      <c r="W212" s="1062"/>
    </row>
    <row r="213" spans="1:23" ht="13.9" customHeight="1" x14ac:dyDescent="0.25">
      <c r="A213" s="846">
        <f>Chem!A213</f>
        <v>211</v>
      </c>
      <c r="B213" s="951" t="str">
        <f>Chem!B213</f>
        <v>Tetrahydrofuran</v>
      </c>
      <c r="C213" s="946">
        <f t="shared" si="66"/>
        <v>7200</v>
      </c>
      <c r="D213" s="463">
        <f t="shared" si="67"/>
        <v>525812.09224963328</v>
      </c>
      <c r="E213" s="463"/>
      <c r="F213" s="501">
        <f>PW!O213</f>
        <v>7200</v>
      </c>
      <c r="G213" s="511" t="str">
        <f>SW!R213</f>
        <v>na</v>
      </c>
      <c r="H213" s="222" t="str">
        <f>Partit!E213</f>
        <v>na</v>
      </c>
      <c r="I213" s="520">
        <f>PW!P213</f>
        <v>525812.09224963328</v>
      </c>
      <c r="J213" s="520" t="s">
        <v>232</v>
      </c>
      <c r="K213" s="970" t="s">
        <v>232</v>
      </c>
      <c r="M213" s="1367" t="str">
        <f t="shared" si="77"/>
        <v>X</v>
      </c>
      <c r="N213" s="1368" t="str">
        <f t="shared" si="78"/>
        <v/>
      </c>
      <c r="O213" s="1368" t="str">
        <f t="shared" si="79"/>
        <v/>
      </c>
      <c r="P213" s="1368" t="str">
        <f t="shared" si="80"/>
        <v/>
      </c>
      <c r="Q213" s="1369" t="str">
        <f t="shared" si="81"/>
        <v/>
      </c>
      <c r="R213" s="1367" t="str">
        <f t="shared" si="82"/>
        <v/>
      </c>
      <c r="S213" s="1368" t="str">
        <f t="shared" si="83"/>
        <v/>
      </c>
      <c r="T213" s="1368" t="str">
        <f t="shared" si="84"/>
        <v>X</v>
      </c>
      <c r="U213" s="1369" t="str">
        <f t="shared" si="85"/>
        <v/>
      </c>
      <c r="W213" s="1062"/>
    </row>
    <row r="214" spans="1:23" ht="13.9" customHeight="1" x14ac:dyDescent="0.25">
      <c r="A214" s="846">
        <f>Chem!A214</f>
        <v>212</v>
      </c>
      <c r="B214" s="951" t="str">
        <f>Chem!B214</f>
        <v>Toluene</v>
      </c>
      <c r="C214" s="946">
        <f t="shared" si="66"/>
        <v>102</v>
      </c>
      <c r="D214" s="463">
        <f t="shared" si="67"/>
        <v>102</v>
      </c>
      <c r="E214" s="463"/>
      <c r="F214" s="501">
        <f>PW!O214</f>
        <v>640</v>
      </c>
      <c r="G214" s="511">
        <f>SW!R214</f>
        <v>102</v>
      </c>
      <c r="H214" s="222" t="str">
        <f>Partit!E214</f>
        <v>na</v>
      </c>
      <c r="I214" s="520">
        <f>PW!P214</f>
        <v>15388.025616591203</v>
      </c>
      <c r="J214" s="520" t="s">
        <v>232</v>
      </c>
      <c r="K214" s="970" t="s">
        <v>232</v>
      </c>
      <c r="M214" s="1367" t="str">
        <f t="shared" si="77"/>
        <v/>
      </c>
      <c r="N214" s="1368" t="str">
        <f t="shared" si="78"/>
        <v>X</v>
      </c>
      <c r="O214" s="1368" t="str">
        <f t="shared" si="79"/>
        <v/>
      </c>
      <c r="P214" s="1368" t="str">
        <f t="shared" si="80"/>
        <v/>
      </c>
      <c r="Q214" s="1369" t="str">
        <f t="shared" si="81"/>
        <v/>
      </c>
      <c r="R214" s="1367" t="str">
        <f t="shared" si="82"/>
        <v>X</v>
      </c>
      <c r="S214" s="1368" t="str">
        <f t="shared" si="83"/>
        <v/>
      </c>
      <c r="T214" s="1368" t="str">
        <f t="shared" si="84"/>
        <v/>
      </c>
      <c r="U214" s="1369" t="str">
        <f t="shared" si="85"/>
        <v/>
      </c>
      <c r="W214" s="1062"/>
    </row>
    <row r="215" spans="1:23" ht="13.9" customHeight="1" x14ac:dyDescent="0.25">
      <c r="A215" s="846">
        <f>Chem!A215</f>
        <v>213</v>
      </c>
      <c r="B215" s="951" t="str">
        <f>Chem!B215</f>
        <v>1,2,3-Trichlorobenzene</v>
      </c>
      <c r="C215" s="946">
        <f t="shared" si="66"/>
        <v>6.4</v>
      </c>
      <c r="D215" s="463" t="str">
        <f t="shared" si="67"/>
        <v>na</v>
      </c>
      <c r="E215" s="463"/>
      <c r="F215" s="501">
        <f>PW!O215</f>
        <v>6.4</v>
      </c>
      <c r="G215" s="511" t="str">
        <f>SW!R215</f>
        <v>na</v>
      </c>
      <c r="H215" s="222" t="str">
        <f>Partit!E215</f>
        <v>na</v>
      </c>
      <c r="I215" s="520" t="str">
        <f>PW!P215</f>
        <v>na</v>
      </c>
      <c r="J215" s="520" t="s">
        <v>232</v>
      </c>
      <c r="K215" s="970" t="s">
        <v>232</v>
      </c>
      <c r="M215" s="1367" t="str">
        <f t="shared" ref="M215:M239" si="86">IF($C215="na","",IF($C215=$F215,"X",""))</f>
        <v>X</v>
      </c>
      <c r="N215" s="1368" t="str">
        <f t="shared" ref="N215:N239" si="87">IF($C215="na","",IF($C215=$G215,"X",""))</f>
        <v/>
      </c>
      <c r="O215" s="1368" t="str">
        <f t="shared" ref="O215:O239" si="88">IF($C215="na","",IF($C215=$H215,"X",""))</f>
        <v/>
      </c>
      <c r="P215" s="1368" t="str">
        <f t="shared" ref="P215:P239" si="89">IF($C215="na","",IF($C215=$I215,"X",""))</f>
        <v/>
      </c>
      <c r="Q215" s="1369" t="str">
        <f t="shared" ref="Q215:Q239" si="90">IF($C215="na","",IF($C215=$K215,"X",""))</f>
        <v/>
      </c>
      <c r="R215" s="1367" t="str">
        <f t="shared" ref="R215:R239" si="91">IF($D215="na","",IF($D215=$G215,"X",""))</f>
        <v/>
      </c>
      <c r="S215" s="1368" t="str">
        <f t="shared" ref="S215:S239" si="92">IF($D215="na","",IF($D215=$H215,"X",""))</f>
        <v/>
      </c>
      <c r="T215" s="1368" t="str">
        <f t="shared" ref="T215:T239" si="93">IF($D215="na","",IF($D215=$I215,"X",""))</f>
        <v/>
      </c>
      <c r="U215" s="1369" t="str">
        <f t="shared" ref="U215:U239" si="94">IF($D215="na","",IF($D215=$K215,"X",""))</f>
        <v/>
      </c>
      <c r="W215" s="1062"/>
    </row>
    <row r="216" spans="1:23" ht="13.9" customHeight="1" x14ac:dyDescent="0.25">
      <c r="A216" s="846">
        <f>Chem!A216</f>
        <v>214</v>
      </c>
      <c r="B216" s="951" t="str">
        <f>Chem!B216</f>
        <v>1,1,1-Trichloroethane</v>
      </c>
      <c r="C216" s="946">
        <f t="shared" ref="C216:C239" si="95">IF(AND($F216="na",$G216="na",$H216="na",$I216="na"),"na",IF(AND(ISNUMBER($K216),MIN($F216:$I216)&lt;$K216),$K216,MIN($F216:$I216)))</f>
        <v>200</v>
      </c>
      <c r="D216" s="463">
        <f t="shared" ref="D216:D239" si="96">IF(AND($G216="na",$H216="na",$I216="na"),"na",IF(AND(ISNUMBER($K216),MIN($G216:$I216)&lt;$K216),$K216,MIN($G216:$I216)))</f>
        <v>5440.4488231728646</v>
      </c>
      <c r="E216" s="463"/>
      <c r="F216" s="501">
        <f>PW!O216</f>
        <v>200</v>
      </c>
      <c r="G216" s="511">
        <f>SW!R216</f>
        <v>50000</v>
      </c>
      <c r="H216" s="222" t="str">
        <f>Partit!E216</f>
        <v>na</v>
      </c>
      <c r="I216" s="520">
        <f>PW!P216</f>
        <v>5440.4488231728646</v>
      </c>
      <c r="J216" s="520" t="s">
        <v>232</v>
      </c>
      <c r="K216" s="970" t="s">
        <v>232</v>
      </c>
      <c r="M216" s="1367" t="str">
        <f t="shared" si="86"/>
        <v>X</v>
      </c>
      <c r="N216" s="1368" t="str">
        <f t="shared" si="87"/>
        <v/>
      </c>
      <c r="O216" s="1368" t="str">
        <f t="shared" si="88"/>
        <v/>
      </c>
      <c r="P216" s="1368" t="str">
        <f t="shared" si="89"/>
        <v/>
      </c>
      <c r="Q216" s="1369" t="str">
        <f t="shared" si="90"/>
        <v/>
      </c>
      <c r="R216" s="1367" t="str">
        <f t="shared" si="91"/>
        <v/>
      </c>
      <c r="S216" s="1368" t="str">
        <f t="shared" si="92"/>
        <v/>
      </c>
      <c r="T216" s="1368" t="str">
        <f t="shared" si="93"/>
        <v>X</v>
      </c>
      <c r="U216" s="1369" t="str">
        <f t="shared" si="94"/>
        <v/>
      </c>
      <c r="W216" s="1062"/>
    </row>
    <row r="217" spans="1:23" ht="13.9" customHeight="1" x14ac:dyDescent="0.25">
      <c r="A217" s="846">
        <f>Chem!A217</f>
        <v>215</v>
      </c>
      <c r="B217" s="951" t="str">
        <f>Chem!B217</f>
        <v>1,1,2-Trichloroethane</v>
      </c>
      <c r="C217" s="946">
        <f t="shared" si="95"/>
        <v>0.9</v>
      </c>
      <c r="D217" s="463">
        <f t="shared" si="96"/>
        <v>0.9</v>
      </c>
      <c r="E217" s="463"/>
      <c r="F217" s="501">
        <f>PW!O217</f>
        <v>3</v>
      </c>
      <c r="G217" s="511">
        <f>SW!R217</f>
        <v>0.9</v>
      </c>
      <c r="H217" s="222" t="str">
        <f>Partit!E217</f>
        <v>na</v>
      </c>
      <c r="I217" s="520">
        <f>PW!P217</f>
        <v>5.1254927489772664</v>
      </c>
      <c r="J217" s="520" t="s">
        <v>232</v>
      </c>
      <c r="K217" s="970" t="s">
        <v>232</v>
      </c>
      <c r="M217" s="1367" t="str">
        <f t="shared" si="86"/>
        <v/>
      </c>
      <c r="N217" s="1368" t="str">
        <f t="shared" si="87"/>
        <v>X</v>
      </c>
      <c r="O217" s="1368" t="str">
        <f t="shared" si="88"/>
        <v/>
      </c>
      <c r="P217" s="1368" t="str">
        <f t="shared" si="89"/>
        <v/>
      </c>
      <c r="Q217" s="1369" t="str">
        <f t="shared" si="90"/>
        <v/>
      </c>
      <c r="R217" s="1367" t="str">
        <f t="shared" si="91"/>
        <v>X</v>
      </c>
      <c r="S217" s="1368" t="str">
        <f t="shared" si="92"/>
        <v/>
      </c>
      <c r="T217" s="1368" t="str">
        <f t="shared" si="93"/>
        <v/>
      </c>
      <c r="U217" s="1369" t="str">
        <f t="shared" si="94"/>
        <v/>
      </c>
      <c r="W217" s="1062"/>
    </row>
    <row r="218" spans="1:23" ht="13.9" customHeight="1" x14ac:dyDescent="0.25">
      <c r="A218" s="846">
        <f>Chem!A218</f>
        <v>216</v>
      </c>
      <c r="B218" s="951" t="str">
        <f>Chem!B218</f>
        <v>Trichloroethylene (TCE)</v>
      </c>
      <c r="C218" s="946">
        <f t="shared" si="95"/>
        <v>0.7</v>
      </c>
      <c r="D218" s="463">
        <f t="shared" si="96"/>
        <v>0.7</v>
      </c>
      <c r="E218" s="463"/>
      <c r="F218" s="501">
        <f>PW!O218</f>
        <v>4</v>
      </c>
      <c r="G218" s="511">
        <f>SW!R218</f>
        <v>0.7</v>
      </c>
      <c r="H218" s="222" t="str">
        <f>Partit!E218</f>
        <v>na</v>
      </c>
      <c r="I218" s="520">
        <f>PW!P218</f>
        <v>1.4201656950065091</v>
      </c>
      <c r="J218" s="520">
        <v>8</v>
      </c>
      <c r="K218" s="970" t="s">
        <v>232</v>
      </c>
      <c r="M218" s="1367" t="str">
        <f t="shared" si="86"/>
        <v/>
      </c>
      <c r="N218" s="1368" t="str">
        <f t="shared" si="87"/>
        <v>X</v>
      </c>
      <c r="O218" s="1368" t="str">
        <f t="shared" si="88"/>
        <v/>
      </c>
      <c r="P218" s="1368" t="str">
        <f t="shared" si="89"/>
        <v/>
      </c>
      <c r="Q218" s="1369" t="str">
        <f t="shared" si="90"/>
        <v/>
      </c>
      <c r="R218" s="1367" t="str">
        <f t="shared" si="91"/>
        <v>X</v>
      </c>
      <c r="S218" s="1368" t="str">
        <f t="shared" si="92"/>
        <v/>
      </c>
      <c r="T218" s="1368" t="str">
        <f t="shared" si="93"/>
        <v/>
      </c>
      <c r="U218" s="1369" t="str">
        <f t="shared" si="94"/>
        <v/>
      </c>
      <c r="W218" s="1062"/>
    </row>
    <row r="219" spans="1:23" ht="13.9" customHeight="1" x14ac:dyDescent="0.25">
      <c r="A219" s="846">
        <f>Chem!A219</f>
        <v>217</v>
      </c>
      <c r="B219" s="951" t="str">
        <f>Chem!B219</f>
        <v>Trichlorofluoroethane</v>
      </c>
      <c r="C219" s="946" t="str">
        <f t="shared" si="95"/>
        <v>na</v>
      </c>
      <c r="D219" s="463" t="str">
        <f t="shared" si="96"/>
        <v>na</v>
      </c>
      <c r="E219" s="463"/>
      <c r="F219" s="501" t="str">
        <f>PW!O219</f>
        <v>na</v>
      </c>
      <c r="G219" s="511" t="str">
        <f>SW!R219</f>
        <v>na</v>
      </c>
      <c r="H219" s="222" t="str">
        <f>Partit!E219</f>
        <v>na</v>
      </c>
      <c r="I219" s="520" t="str">
        <f>PW!P219</f>
        <v>na</v>
      </c>
      <c r="J219" s="520" t="s">
        <v>232</v>
      </c>
      <c r="K219" s="970" t="s">
        <v>232</v>
      </c>
      <c r="M219" s="1367" t="str">
        <f t="shared" si="86"/>
        <v/>
      </c>
      <c r="N219" s="1368" t="str">
        <f t="shared" si="87"/>
        <v/>
      </c>
      <c r="O219" s="1368" t="str">
        <f t="shared" si="88"/>
        <v/>
      </c>
      <c r="P219" s="1368" t="str">
        <f t="shared" si="89"/>
        <v/>
      </c>
      <c r="Q219" s="1369" t="str">
        <f t="shared" si="90"/>
        <v/>
      </c>
      <c r="R219" s="1367" t="str">
        <f t="shared" si="91"/>
        <v/>
      </c>
      <c r="S219" s="1368" t="str">
        <f t="shared" si="92"/>
        <v/>
      </c>
      <c r="T219" s="1368" t="str">
        <f t="shared" si="93"/>
        <v/>
      </c>
      <c r="U219" s="1369" t="str">
        <f t="shared" si="94"/>
        <v/>
      </c>
      <c r="W219" s="1062"/>
    </row>
    <row r="220" spans="1:23" ht="13.9" customHeight="1" x14ac:dyDescent="0.25">
      <c r="A220" s="846">
        <f>Chem!A220</f>
        <v>218</v>
      </c>
      <c r="B220" s="951" t="str">
        <f>Chem!B220</f>
        <v>Trichlorofluoromethane</v>
      </c>
      <c r="C220" s="946">
        <f t="shared" si="95"/>
        <v>119.50995316969475</v>
      </c>
      <c r="D220" s="463">
        <f t="shared" si="96"/>
        <v>119.50995316969475</v>
      </c>
      <c r="E220" s="463"/>
      <c r="F220" s="501">
        <f>PW!O220</f>
        <v>2400</v>
      </c>
      <c r="G220" s="511" t="str">
        <f>SW!R220</f>
        <v>na</v>
      </c>
      <c r="H220" s="222" t="str">
        <f>Partit!E220</f>
        <v>na</v>
      </c>
      <c r="I220" s="520">
        <f>PW!P220</f>
        <v>119.50995316969475</v>
      </c>
      <c r="J220" s="520" t="s">
        <v>232</v>
      </c>
      <c r="K220" s="970" t="s">
        <v>232</v>
      </c>
      <c r="M220" s="1367" t="str">
        <f t="shared" si="86"/>
        <v/>
      </c>
      <c r="N220" s="1368" t="str">
        <f t="shared" si="87"/>
        <v/>
      </c>
      <c r="O220" s="1368" t="str">
        <f t="shared" si="88"/>
        <v/>
      </c>
      <c r="P220" s="1368" t="str">
        <f t="shared" si="89"/>
        <v>X</v>
      </c>
      <c r="Q220" s="1369" t="str">
        <f t="shared" si="90"/>
        <v/>
      </c>
      <c r="R220" s="1367" t="str">
        <f t="shared" si="91"/>
        <v/>
      </c>
      <c r="S220" s="1368" t="str">
        <f t="shared" si="92"/>
        <v/>
      </c>
      <c r="T220" s="1368" t="str">
        <f t="shared" si="93"/>
        <v>X</v>
      </c>
      <c r="U220" s="1369" t="str">
        <f t="shared" si="94"/>
        <v/>
      </c>
      <c r="W220" s="1062"/>
    </row>
    <row r="221" spans="1:23" ht="13.9" customHeight="1" x14ac:dyDescent="0.25">
      <c r="A221" s="846">
        <f>Chem!A221</f>
        <v>219</v>
      </c>
      <c r="B221" s="951" t="str">
        <f>Chem!B221</f>
        <v>1,2,3-Trichloropropane</v>
      </c>
      <c r="C221" s="946">
        <f t="shared" si="95"/>
        <v>3.8000000000000002E-4</v>
      </c>
      <c r="D221" s="463">
        <f t="shared" si="96"/>
        <v>20.003161908423923</v>
      </c>
      <c r="E221" s="463"/>
      <c r="F221" s="501">
        <f>PW!O221</f>
        <v>3.8000000000000002E-4</v>
      </c>
      <c r="G221" s="511" t="str">
        <f>SW!R221</f>
        <v>na</v>
      </c>
      <c r="H221" s="222" t="str">
        <f>Partit!E221</f>
        <v>na</v>
      </c>
      <c r="I221" s="520">
        <f>PW!P221</f>
        <v>20.003161908423923</v>
      </c>
      <c r="J221" s="520" t="s">
        <v>232</v>
      </c>
      <c r="K221" s="970" t="s">
        <v>232</v>
      </c>
      <c r="M221" s="1367" t="str">
        <f t="shared" si="86"/>
        <v>X</v>
      </c>
      <c r="N221" s="1368" t="str">
        <f t="shared" si="87"/>
        <v/>
      </c>
      <c r="O221" s="1368" t="str">
        <f t="shared" si="88"/>
        <v/>
      </c>
      <c r="P221" s="1368" t="str">
        <f t="shared" si="89"/>
        <v/>
      </c>
      <c r="Q221" s="1369" t="str">
        <f t="shared" si="90"/>
        <v/>
      </c>
      <c r="R221" s="1367" t="str">
        <f t="shared" si="91"/>
        <v/>
      </c>
      <c r="S221" s="1368" t="str">
        <f t="shared" si="92"/>
        <v/>
      </c>
      <c r="T221" s="1368" t="str">
        <f t="shared" si="93"/>
        <v>X</v>
      </c>
      <c r="U221" s="1369" t="str">
        <f t="shared" si="94"/>
        <v/>
      </c>
      <c r="W221" s="1062"/>
    </row>
    <row r="222" spans="1:23" ht="13.9" customHeight="1" x14ac:dyDescent="0.25">
      <c r="A222" s="846">
        <f>Chem!A222</f>
        <v>220</v>
      </c>
      <c r="B222" s="951" t="str">
        <f>Chem!B222</f>
        <v>Trichlorotrifluoroethane</v>
      </c>
      <c r="C222" s="946">
        <f t="shared" si="95"/>
        <v>166.69061302426931</v>
      </c>
      <c r="D222" s="463">
        <f t="shared" si="96"/>
        <v>166.69061302426931</v>
      </c>
      <c r="E222" s="463"/>
      <c r="F222" s="501">
        <f>PW!O222</f>
        <v>240000</v>
      </c>
      <c r="G222" s="511" t="str">
        <f>SW!R222</f>
        <v>na</v>
      </c>
      <c r="H222" s="222" t="str">
        <f>Partit!E222</f>
        <v>na</v>
      </c>
      <c r="I222" s="520">
        <f>PW!P222</f>
        <v>166.69061302426931</v>
      </c>
      <c r="J222" s="520" t="s">
        <v>232</v>
      </c>
      <c r="K222" s="970" t="s">
        <v>232</v>
      </c>
      <c r="M222" s="1367" t="str">
        <f t="shared" si="86"/>
        <v/>
      </c>
      <c r="N222" s="1368" t="str">
        <f t="shared" si="87"/>
        <v/>
      </c>
      <c r="O222" s="1368" t="str">
        <f t="shared" si="88"/>
        <v/>
      </c>
      <c r="P222" s="1368" t="str">
        <f t="shared" si="89"/>
        <v>X</v>
      </c>
      <c r="Q222" s="1369" t="str">
        <f t="shared" si="90"/>
        <v/>
      </c>
      <c r="R222" s="1367" t="str">
        <f t="shared" si="91"/>
        <v/>
      </c>
      <c r="S222" s="1368" t="str">
        <f t="shared" si="92"/>
        <v/>
      </c>
      <c r="T222" s="1368" t="str">
        <f t="shared" si="93"/>
        <v>X</v>
      </c>
      <c r="U222" s="1369" t="str">
        <f t="shared" si="94"/>
        <v/>
      </c>
      <c r="W222" s="1062"/>
    </row>
    <row r="223" spans="1:23" ht="13.9" customHeight="1" x14ac:dyDescent="0.25">
      <c r="A223" s="846">
        <f>Chem!A223</f>
        <v>221</v>
      </c>
      <c r="B223" s="951" t="str">
        <f>Chem!B223</f>
        <v>1,2,3-Trimethylbenzene</v>
      </c>
      <c r="C223" s="947">
        <f t="shared" si="95"/>
        <v>80</v>
      </c>
      <c r="D223" s="464">
        <f t="shared" si="96"/>
        <v>414.06233185358838</v>
      </c>
      <c r="E223" s="464"/>
      <c r="F223" s="505">
        <f>PW!O223</f>
        <v>80</v>
      </c>
      <c r="G223" s="515" t="str">
        <f>SW!R223</f>
        <v>na</v>
      </c>
      <c r="H223" s="226" t="str">
        <f>Partit!E223</f>
        <v>na</v>
      </c>
      <c r="I223" s="525">
        <f>PW!P223</f>
        <v>414.06233185358838</v>
      </c>
      <c r="J223" s="525" t="s">
        <v>232</v>
      </c>
      <c r="K223" s="971" t="s">
        <v>232</v>
      </c>
      <c r="M223" s="1367" t="str">
        <f t="shared" si="86"/>
        <v>X</v>
      </c>
      <c r="N223" s="1368" t="str">
        <f t="shared" si="87"/>
        <v/>
      </c>
      <c r="O223" s="1368" t="str">
        <f t="shared" si="88"/>
        <v/>
      </c>
      <c r="P223" s="1368" t="str">
        <f t="shared" si="89"/>
        <v/>
      </c>
      <c r="Q223" s="1369" t="str">
        <f t="shared" si="90"/>
        <v/>
      </c>
      <c r="R223" s="1367" t="str">
        <f t="shared" si="91"/>
        <v/>
      </c>
      <c r="S223" s="1368" t="str">
        <f t="shared" si="92"/>
        <v/>
      </c>
      <c r="T223" s="1368" t="str">
        <f t="shared" si="93"/>
        <v>X</v>
      </c>
      <c r="U223" s="1369" t="str">
        <f t="shared" si="94"/>
        <v/>
      </c>
      <c r="W223" s="1062"/>
    </row>
    <row r="224" spans="1:23" ht="13.9" customHeight="1" x14ac:dyDescent="0.25">
      <c r="A224" s="846">
        <f>Chem!A224</f>
        <v>222</v>
      </c>
      <c r="B224" s="951" t="str">
        <f>Chem!B224</f>
        <v>1,2,4-Trimethylbenzene</v>
      </c>
      <c r="C224" s="946">
        <f t="shared" si="95"/>
        <v>80</v>
      </c>
      <c r="D224" s="463">
        <f t="shared" si="96"/>
        <v>238.75232280061539</v>
      </c>
      <c r="E224" s="463"/>
      <c r="F224" s="501">
        <f>PW!O224</f>
        <v>80</v>
      </c>
      <c r="G224" s="511" t="str">
        <f>SW!R224</f>
        <v>na</v>
      </c>
      <c r="H224" s="222" t="str">
        <f>Partit!E224</f>
        <v>na</v>
      </c>
      <c r="I224" s="520">
        <f>PW!P224</f>
        <v>238.75232280061539</v>
      </c>
      <c r="J224" s="520" t="s">
        <v>232</v>
      </c>
      <c r="K224" s="970" t="s">
        <v>232</v>
      </c>
      <c r="M224" s="1367" t="str">
        <f t="shared" si="86"/>
        <v>X</v>
      </c>
      <c r="N224" s="1368" t="str">
        <f t="shared" si="87"/>
        <v/>
      </c>
      <c r="O224" s="1368" t="str">
        <f t="shared" si="88"/>
        <v/>
      </c>
      <c r="P224" s="1368" t="str">
        <f t="shared" si="89"/>
        <v/>
      </c>
      <c r="Q224" s="1369" t="str">
        <f t="shared" si="90"/>
        <v/>
      </c>
      <c r="R224" s="1367" t="str">
        <f t="shared" si="91"/>
        <v/>
      </c>
      <c r="S224" s="1368" t="str">
        <f t="shared" si="92"/>
        <v/>
      </c>
      <c r="T224" s="1368" t="str">
        <f t="shared" si="93"/>
        <v>X</v>
      </c>
      <c r="U224" s="1369" t="str">
        <f t="shared" si="94"/>
        <v/>
      </c>
      <c r="W224" s="1062"/>
    </row>
    <row r="225" spans="1:23" ht="13.9" customHeight="1" x14ac:dyDescent="0.25">
      <c r="A225" s="846">
        <f>Chem!A225</f>
        <v>223</v>
      </c>
      <c r="B225" s="951" t="str">
        <f>Chem!B225</f>
        <v>1,3,5-Trimethylbenzene</v>
      </c>
      <c r="C225" s="946">
        <f t="shared" si="95"/>
        <v>80</v>
      </c>
      <c r="D225" s="463">
        <f t="shared" si="96"/>
        <v>167.4323552246066</v>
      </c>
      <c r="E225" s="463"/>
      <c r="F225" s="501">
        <f>PW!O225</f>
        <v>80</v>
      </c>
      <c r="G225" s="511" t="str">
        <f>SW!R225</f>
        <v>na</v>
      </c>
      <c r="H225" s="222" t="str">
        <f>Partit!E225</f>
        <v>na</v>
      </c>
      <c r="I225" s="520">
        <f>PW!P225</f>
        <v>167.4323552246066</v>
      </c>
      <c r="J225" s="520" t="s">
        <v>232</v>
      </c>
      <c r="K225" s="970" t="s">
        <v>232</v>
      </c>
      <c r="M225" s="1367" t="str">
        <f t="shared" si="86"/>
        <v>X</v>
      </c>
      <c r="N225" s="1368" t="str">
        <f t="shared" si="87"/>
        <v/>
      </c>
      <c r="O225" s="1368" t="str">
        <f t="shared" si="88"/>
        <v/>
      </c>
      <c r="P225" s="1368" t="str">
        <f t="shared" si="89"/>
        <v/>
      </c>
      <c r="Q225" s="1369" t="str">
        <f t="shared" si="90"/>
        <v/>
      </c>
      <c r="R225" s="1367" t="str">
        <f t="shared" si="91"/>
        <v/>
      </c>
      <c r="S225" s="1368" t="str">
        <f t="shared" si="92"/>
        <v/>
      </c>
      <c r="T225" s="1368" t="str">
        <f t="shared" si="93"/>
        <v>X</v>
      </c>
      <c r="U225" s="1369" t="str">
        <f t="shared" si="94"/>
        <v/>
      </c>
      <c r="W225" s="1062"/>
    </row>
    <row r="226" spans="1:23" ht="13.9" customHeight="1" x14ac:dyDescent="0.25">
      <c r="A226" s="846">
        <f>Chem!A226</f>
        <v>224</v>
      </c>
      <c r="B226" s="951" t="str">
        <f>Chem!B226</f>
        <v>Vinyl acetate</v>
      </c>
      <c r="C226" s="946">
        <f t="shared" si="95"/>
        <v>8000</v>
      </c>
      <c r="D226" s="463">
        <f t="shared" si="96"/>
        <v>8086.8301870494715</v>
      </c>
      <c r="E226" s="463"/>
      <c r="F226" s="501">
        <f>PW!O226</f>
        <v>8000</v>
      </c>
      <c r="G226" s="511" t="str">
        <f>SW!R226</f>
        <v>na</v>
      </c>
      <c r="H226" s="222" t="str">
        <f>Partit!E226</f>
        <v>na</v>
      </c>
      <c r="I226" s="520">
        <f>PW!P226</f>
        <v>8086.8301870494715</v>
      </c>
      <c r="J226" s="520" t="s">
        <v>232</v>
      </c>
      <c r="K226" s="970" t="s">
        <v>232</v>
      </c>
      <c r="M226" s="1367" t="str">
        <f t="shared" si="86"/>
        <v>X</v>
      </c>
      <c r="N226" s="1368" t="str">
        <f t="shared" si="87"/>
        <v/>
      </c>
      <c r="O226" s="1368" t="str">
        <f t="shared" si="88"/>
        <v/>
      </c>
      <c r="P226" s="1368" t="str">
        <f t="shared" si="89"/>
        <v/>
      </c>
      <c r="Q226" s="1369" t="str">
        <f t="shared" si="90"/>
        <v/>
      </c>
      <c r="R226" s="1367" t="str">
        <f t="shared" si="91"/>
        <v/>
      </c>
      <c r="S226" s="1368" t="str">
        <f t="shared" si="92"/>
        <v/>
      </c>
      <c r="T226" s="1368" t="str">
        <f t="shared" si="93"/>
        <v>X</v>
      </c>
      <c r="U226" s="1369" t="str">
        <f t="shared" si="94"/>
        <v/>
      </c>
      <c r="W226" s="1062"/>
    </row>
    <row r="227" spans="1:23" ht="13.9" customHeight="1" x14ac:dyDescent="0.25">
      <c r="A227" s="846">
        <f>Chem!A227</f>
        <v>225</v>
      </c>
      <c r="B227" s="951" t="str">
        <f>Chem!B227</f>
        <v>Vinyl chloride</v>
      </c>
      <c r="C227" s="946">
        <f t="shared" si="95"/>
        <v>0.18</v>
      </c>
      <c r="D227" s="463">
        <f t="shared" si="96"/>
        <v>0.18</v>
      </c>
      <c r="E227" s="463"/>
      <c r="F227" s="501">
        <f>PW!O227</f>
        <v>0.29166666666666663</v>
      </c>
      <c r="G227" s="511">
        <f>SW!R227</f>
        <v>0.18</v>
      </c>
      <c r="H227" s="222" t="str">
        <f>Partit!E227</f>
        <v>na</v>
      </c>
      <c r="I227" s="520">
        <f>PW!P227</f>
        <v>0.33438532579369951</v>
      </c>
      <c r="J227" s="520" t="s">
        <v>232</v>
      </c>
      <c r="K227" s="970" t="s">
        <v>232</v>
      </c>
      <c r="M227" s="1367" t="str">
        <f t="shared" si="86"/>
        <v/>
      </c>
      <c r="N227" s="1368" t="str">
        <f t="shared" si="87"/>
        <v>X</v>
      </c>
      <c r="O227" s="1368" t="str">
        <f t="shared" si="88"/>
        <v/>
      </c>
      <c r="P227" s="1368" t="str">
        <f t="shared" si="89"/>
        <v/>
      </c>
      <c r="Q227" s="1369" t="str">
        <f t="shared" si="90"/>
        <v/>
      </c>
      <c r="R227" s="1367" t="str">
        <f t="shared" si="91"/>
        <v>X</v>
      </c>
      <c r="S227" s="1368" t="str">
        <f t="shared" si="92"/>
        <v/>
      </c>
      <c r="T227" s="1368" t="str">
        <f t="shared" si="93"/>
        <v/>
      </c>
      <c r="U227" s="1369" t="str">
        <f t="shared" si="94"/>
        <v/>
      </c>
      <c r="W227" s="1062"/>
    </row>
    <row r="228" spans="1:23" ht="13.9" customHeight="1" x14ac:dyDescent="0.25">
      <c r="A228" s="1661">
        <f>Chem!A228</f>
        <v>226</v>
      </c>
      <c r="B228" s="951" t="str">
        <f>Chem!B228</f>
        <v>Total xylenes</v>
      </c>
      <c r="C228" s="955">
        <f t="shared" si="95"/>
        <v>106</v>
      </c>
      <c r="D228" s="499">
        <f t="shared" si="96"/>
        <v>106</v>
      </c>
      <c r="E228" s="499"/>
      <c r="F228" s="506">
        <f>PW!O228</f>
        <v>1600</v>
      </c>
      <c r="G228" s="516">
        <f>SW!R228</f>
        <v>106</v>
      </c>
      <c r="H228" s="227" t="str">
        <f>Partit!E228</f>
        <v>na</v>
      </c>
      <c r="I228" s="526">
        <f>PW!P228</f>
        <v>323.2107441502381</v>
      </c>
      <c r="J228" s="522" t="s">
        <v>232</v>
      </c>
      <c r="K228" s="970" t="s">
        <v>232</v>
      </c>
      <c r="M228" s="1370" t="str">
        <f t="shared" si="86"/>
        <v/>
      </c>
      <c r="N228" s="1371" t="str">
        <f t="shared" si="87"/>
        <v>X</v>
      </c>
      <c r="O228" s="1371" t="str">
        <f t="shared" si="88"/>
        <v/>
      </c>
      <c r="P228" s="1371" t="str">
        <f t="shared" si="89"/>
        <v/>
      </c>
      <c r="Q228" s="1372" t="str">
        <f t="shared" si="90"/>
        <v/>
      </c>
      <c r="R228" s="1370" t="str">
        <f t="shared" si="91"/>
        <v>X</v>
      </c>
      <c r="S228" s="1371" t="str">
        <f t="shared" si="92"/>
        <v/>
      </c>
      <c r="T228" s="1371" t="str">
        <f t="shared" si="93"/>
        <v/>
      </c>
      <c r="U228" s="1372" t="str">
        <f t="shared" si="94"/>
        <v/>
      </c>
      <c r="W228" s="1062"/>
    </row>
    <row r="229" spans="1:23" ht="13.9" customHeight="1" x14ac:dyDescent="0.25">
      <c r="A229" s="1197">
        <f>Chem!A229</f>
        <v>227</v>
      </c>
      <c r="B229" s="953" t="str">
        <f>Chem!B229</f>
        <v>PFAS</v>
      </c>
      <c r="C229" s="54"/>
      <c r="D229" s="54"/>
      <c r="E229" s="54"/>
      <c r="F229" s="54"/>
      <c r="G229" s="54"/>
      <c r="H229" s="29"/>
      <c r="I229" s="29"/>
      <c r="J229" s="29"/>
      <c r="K229" s="166"/>
      <c r="M229" s="122" t="str">
        <f>B229</f>
        <v>PFAS</v>
      </c>
      <c r="N229" s="2333"/>
      <c r="O229" s="2333"/>
      <c r="P229" s="2333"/>
      <c r="Q229" s="2333"/>
      <c r="R229" s="2333"/>
      <c r="S229" s="2333"/>
      <c r="T229" s="2333"/>
      <c r="U229" s="2334"/>
      <c r="W229" s="1063"/>
    </row>
    <row r="230" spans="1:23" s="1476" customFormat="1" ht="13.9" customHeight="1" x14ac:dyDescent="0.25">
      <c r="A230" s="2251">
        <f>Chem!A230</f>
        <v>228</v>
      </c>
      <c r="B230" s="2186" t="str">
        <f>Chem!B230</f>
        <v>6:2 Fluorotelomer sulfonic acid (6:2 FTS)</v>
      </c>
      <c r="C230" s="2193">
        <f t="shared" si="95"/>
        <v>3.2</v>
      </c>
      <c r="D230" s="2193" t="str">
        <f t="shared" si="96"/>
        <v>na</v>
      </c>
      <c r="E230" s="2193"/>
      <c r="F230" s="2194">
        <f>PW!O230</f>
        <v>3.2</v>
      </c>
      <c r="G230" s="2195" t="str">
        <f>SW!R230</f>
        <v>na</v>
      </c>
      <c r="H230" s="2190" t="str">
        <f>Partit!E230</f>
        <v>na</v>
      </c>
      <c r="I230" s="2196" t="str">
        <f>PW!P230</f>
        <v>na</v>
      </c>
      <c r="J230" s="2196" t="s">
        <v>232</v>
      </c>
      <c r="K230" s="2197" t="s">
        <v>232</v>
      </c>
      <c r="M230" s="2188"/>
      <c r="N230" s="2187"/>
      <c r="O230" s="2187"/>
      <c r="P230" s="2187"/>
      <c r="Q230" s="2289"/>
      <c r="R230" s="2293"/>
      <c r="S230" s="2187"/>
      <c r="T230" s="2187"/>
      <c r="U230" s="2192"/>
      <c r="V230" s="2185"/>
      <c r="W230" s="1987"/>
    </row>
    <row r="231" spans="1:23" ht="13.9" customHeight="1" x14ac:dyDescent="0.25">
      <c r="A231" s="846">
        <f>Chem!A231</f>
        <v>229</v>
      </c>
      <c r="B231" s="950" t="str">
        <f>Chem!B231</f>
        <v>GenX (HFPO-DA)</v>
      </c>
      <c r="C231" s="497">
        <f t="shared" si="95"/>
        <v>0.01</v>
      </c>
      <c r="D231" s="497" t="str">
        <f t="shared" si="96"/>
        <v>na</v>
      </c>
      <c r="E231" s="497"/>
      <c r="F231" s="503">
        <f>PW!O231</f>
        <v>0.01</v>
      </c>
      <c r="G231" s="233" t="str">
        <f>SW!R231</f>
        <v>na</v>
      </c>
      <c r="H231" s="475" t="str">
        <f>Partit!E231</f>
        <v>na</v>
      </c>
      <c r="I231" s="1629" t="str">
        <f>PW!P231</f>
        <v>na</v>
      </c>
      <c r="J231" s="1629" t="s">
        <v>232</v>
      </c>
      <c r="K231" s="975" t="s">
        <v>232</v>
      </c>
      <c r="M231" s="1377" t="str">
        <f t="shared" si="86"/>
        <v>X</v>
      </c>
      <c r="N231" s="1378" t="str">
        <f t="shared" si="87"/>
        <v/>
      </c>
      <c r="O231" s="1378" t="str">
        <f t="shared" si="88"/>
        <v/>
      </c>
      <c r="P231" s="1378" t="str">
        <f t="shared" si="89"/>
        <v/>
      </c>
      <c r="Q231" s="2290" t="str">
        <f t="shared" si="90"/>
        <v/>
      </c>
      <c r="R231" s="1377" t="str">
        <f t="shared" si="91"/>
        <v/>
      </c>
      <c r="S231" s="1378" t="str">
        <f t="shared" si="92"/>
        <v/>
      </c>
      <c r="T231" s="1378" t="str">
        <f t="shared" si="93"/>
        <v/>
      </c>
      <c r="U231" s="1379" t="str">
        <f t="shared" si="94"/>
        <v/>
      </c>
      <c r="W231" s="1062"/>
    </row>
    <row r="232" spans="1:23" ht="13.9" customHeight="1" x14ac:dyDescent="0.25">
      <c r="A232" s="846">
        <f>Chem!A232</f>
        <v>230</v>
      </c>
      <c r="B232" s="950" t="str">
        <f>Chem!B232</f>
        <v>Perfluorobutanoic acid (PFBA)</v>
      </c>
      <c r="C232" s="497">
        <f t="shared" si="95"/>
        <v>8</v>
      </c>
      <c r="D232" s="497" t="str">
        <f t="shared" si="96"/>
        <v>na</v>
      </c>
      <c r="E232" s="497"/>
      <c r="F232" s="503">
        <f>PW!O232</f>
        <v>8</v>
      </c>
      <c r="G232" s="233" t="str">
        <f>SW!R232</f>
        <v>na</v>
      </c>
      <c r="H232" s="475" t="str">
        <f>Partit!E232</f>
        <v>na</v>
      </c>
      <c r="I232" s="1629" t="str">
        <f>PW!P232</f>
        <v>na</v>
      </c>
      <c r="J232" s="1629" t="s">
        <v>232</v>
      </c>
      <c r="K232" s="975" t="s">
        <v>232</v>
      </c>
      <c r="M232" s="1377" t="str">
        <f t="shared" si="86"/>
        <v>X</v>
      </c>
      <c r="N232" s="1378" t="str">
        <f t="shared" si="87"/>
        <v/>
      </c>
      <c r="O232" s="1378" t="str">
        <f t="shared" si="88"/>
        <v/>
      </c>
      <c r="P232" s="1378" t="str">
        <f t="shared" si="89"/>
        <v/>
      </c>
      <c r="Q232" s="2290" t="str">
        <f t="shared" si="90"/>
        <v/>
      </c>
      <c r="R232" s="1377" t="str">
        <f t="shared" si="91"/>
        <v/>
      </c>
      <c r="S232" s="1378" t="str">
        <f t="shared" si="92"/>
        <v/>
      </c>
      <c r="T232" s="1378" t="str">
        <f t="shared" si="93"/>
        <v/>
      </c>
      <c r="U232" s="1379" t="str">
        <f t="shared" si="94"/>
        <v/>
      </c>
      <c r="W232" s="1062"/>
    </row>
    <row r="233" spans="1:23" ht="13.9" customHeight="1" x14ac:dyDescent="0.25">
      <c r="A233" s="846">
        <f>Chem!A233</f>
        <v>231</v>
      </c>
      <c r="B233" s="951" t="str">
        <f>Chem!B233</f>
        <v>Perfluorobutanesulfonic acid (PFBS)</v>
      </c>
      <c r="C233" s="463">
        <f t="shared" si="95"/>
        <v>4.8</v>
      </c>
      <c r="D233" s="463">
        <f t="shared" si="96"/>
        <v>127000</v>
      </c>
      <c r="E233" s="463"/>
      <c r="F233" s="501">
        <f>PW!O233</f>
        <v>4.8</v>
      </c>
      <c r="G233" s="231">
        <f>SW!R233</f>
        <v>127000</v>
      </c>
      <c r="H233" s="476" t="str">
        <f>Partit!E233</f>
        <v>na</v>
      </c>
      <c r="I233" s="1567" t="str">
        <f>PW!P233</f>
        <v>na</v>
      </c>
      <c r="J233" s="1567" t="s">
        <v>232</v>
      </c>
      <c r="K233" s="970" t="s">
        <v>232</v>
      </c>
      <c r="M233" s="1367" t="str">
        <f t="shared" si="86"/>
        <v>X</v>
      </c>
      <c r="N233" s="1368" t="str">
        <f t="shared" si="87"/>
        <v/>
      </c>
      <c r="O233" s="1368" t="str">
        <f t="shared" si="88"/>
        <v/>
      </c>
      <c r="P233" s="1368" t="str">
        <f t="shared" si="89"/>
        <v/>
      </c>
      <c r="Q233" s="2291" t="str">
        <f t="shared" si="90"/>
        <v/>
      </c>
      <c r="R233" s="1367" t="str">
        <f t="shared" si="91"/>
        <v>X</v>
      </c>
      <c r="S233" s="1368" t="str">
        <f t="shared" si="92"/>
        <v/>
      </c>
      <c r="T233" s="1368" t="str">
        <f t="shared" si="93"/>
        <v/>
      </c>
      <c r="U233" s="1369" t="str">
        <f t="shared" si="94"/>
        <v/>
      </c>
      <c r="W233" s="1062"/>
    </row>
    <row r="234" spans="1:23" ht="13.9" customHeight="1" x14ac:dyDescent="0.25">
      <c r="A234" s="846">
        <f>Chem!A234</f>
        <v>232</v>
      </c>
      <c r="B234" s="951" t="str">
        <f>Chem!B234</f>
        <v>Perfluorodecanoic acid (PFDA)</v>
      </c>
      <c r="C234" s="463">
        <f t="shared" si="95"/>
        <v>3.2000000000000005E-5</v>
      </c>
      <c r="D234" s="463">
        <f t="shared" si="96"/>
        <v>78</v>
      </c>
      <c r="E234" s="463"/>
      <c r="F234" s="501">
        <f>PW!O234</f>
        <v>3.2000000000000005E-5</v>
      </c>
      <c r="G234" s="231">
        <f>SW!R234</f>
        <v>78</v>
      </c>
      <c r="H234" s="476" t="str">
        <f>Partit!E234</f>
        <v>na</v>
      </c>
      <c r="I234" s="1567" t="str">
        <f>PW!P234</f>
        <v>na</v>
      </c>
      <c r="J234" s="1567" t="s">
        <v>232</v>
      </c>
      <c r="K234" s="970" t="s">
        <v>232</v>
      </c>
      <c r="M234" s="1367" t="str">
        <f t="shared" si="86"/>
        <v>X</v>
      </c>
      <c r="N234" s="1368" t="str">
        <f t="shared" si="87"/>
        <v/>
      </c>
      <c r="O234" s="1368" t="str">
        <f t="shared" si="88"/>
        <v/>
      </c>
      <c r="P234" s="1368" t="str">
        <f t="shared" si="89"/>
        <v/>
      </c>
      <c r="Q234" s="2291" t="str">
        <f t="shared" si="90"/>
        <v/>
      </c>
      <c r="R234" s="1367" t="str">
        <f t="shared" si="91"/>
        <v>X</v>
      </c>
      <c r="S234" s="1368" t="str">
        <f t="shared" si="92"/>
        <v/>
      </c>
      <c r="T234" s="1368" t="str">
        <f t="shared" si="93"/>
        <v/>
      </c>
      <c r="U234" s="1369" t="str">
        <f t="shared" si="94"/>
        <v/>
      </c>
      <c r="W234" s="1062"/>
    </row>
    <row r="235" spans="1:23" ht="13.9" customHeight="1" x14ac:dyDescent="0.25">
      <c r="A235" s="846">
        <f>Chem!A235</f>
        <v>233</v>
      </c>
      <c r="B235" s="951" t="str">
        <f>Chem!B235</f>
        <v>Perfluorohexanoic acid (PFHxA)</v>
      </c>
      <c r="C235" s="463">
        <f t="shared" si="95"/>
        <v>8</v>
      </c>
      <c r="D235" s="463" t="str">
        <f t="shared" si="96"/>
        <v>na</v>
      </c>
      <c r="E235" s="463"/>
      <c r="F235" s="501">
        <f>PW!O235</f>
        <v>8</v>
      </c>
      <c r="G235" s="231" t="str">
        <f>SW!R235</f>
        <v>na</v>
      </c>
      <c r="H235" s="476" t="str">
        <f>Partit!E235</f>
        <v>na</v>
      </c>
      <c r="I235" s="1567" t="str">
        <f>PW!P235</f>
        <v>na</v>
      </c>
      <c r="J235" s="1567" t="s">
        <v>232</v>
      </c>
      <c r="K235" s="970" t="s">
        <v>232</v>
      </c>
      <c r="M235" s="1367" t="str">
        <f t="shared" si="86"/>
        <v>X</v>
      </c>
      <c r="N235" s="1368" t="str">
        <f t="shared" si="87"/>
        <v/>
      </c>
      <c r="O235" s="1368" t="str">
        <f t="shared" si="88"/>
        <v/>
      </c>
      <c r="P235" s="1368" t="str">
        <f t="shared" si="89"/>
        <v/>
      </c>
      <c r="Q235" s="2291" t="str">
        <f t="shared" si="90"/>
        <v/>
      </c>
      <c r="R235" s="1367" t="str">
        <f t="shared" si="91"/>
        <v/>
      </c>
      <c r="S235" s="1368" t="str">
        <f t="shared" si="92"/>
        <v/>
      </c>
      <c r="T235" s="1368" t="str">
        <f t="shared" si="93"/>
        <v/>
      </c>
      <c r="U235" s="1369" t="str">
        <f t="shared" si="94"/>
        <v/>
      </c>
      <c r="W235" s="1062"/>
    </row>
    <row r="236" spans="1:23" ht="13.9" customHeight="1" x14ac:dyDescent="0.25">
      <c r="A236" s="846">
        <f>Chem!A236</f>
        <v>234</v>
      </c>
      <c r="B236" s="951" t="str">
        <f>Chem!B236</f>
        <v>Perfluorohexanesulfonic acid (PFHxS)</v>
      </c>
      <c r="C236" s="463">
        <f t="shared" si="95"/>
        <v>6.4000000000000006E-6</v>
      </c>
      <c r="D236" s="463" t="str">
        <f t="shared" si="96"/>
        <v>na</v>
      </c>
      <c r="E236" s="463"/>
      <c r="F236" s="501">
        <f>PW!O236</f>
        <v>6.4000000000000006E-6</v>
      </c>
      <c r="G236" s="231" t="str">
        <f>SW!R236</f>
        <v>na</v>
      </c>
      <c r="H236" s="476" t="str">
        <f>Partit!E236</f>
        <v>na</v>
      </c>
      <c r="I236" s="1567" t="str">
        <f>PW!P236</f>
        <v>na</v>
      </c>
      <c r="J236" s="1567" t="s">
        <v>232</v>
      </c>
      <c r="K236" s="970" t="s">
        <v>232</v>
      </c>
      <c r="M236" s="1367" t="str">
        <f t="shared" si="86"/>
        <v>X</v>
      </c>
      <c r="N236" s="1368" t="str">
        <f t="shared" si="87"/>
        <v/>
      </c>
      <c r="O236" s="1368" t="str">
        <f t="shared" si="88"/>
        <v/>
      </c>
      <c r="P236" s="1368" t="str">
        <f t="shared" si="89"/>
        <v/>
      </c>
      <c r="Q236" s="2291" t="str">
        <f t="shared" si="90"/>
        <v/>
      </c>
      <c r="R236" s="1367" t="str">
        <f t="shared" si="91"/>
        <v/>
      </c>
      <c r="S236" s="1368" t="str">
        <f t="shared" si="92"/>
        <v/>
      </c>
      <c r="T236" s="1368" t="str">
        <f t="shared" si="93"/>
        <v/>
      </c>
      <c r="U236" s="1369" t="str">
        <f t="shared" si="94"/>
        <v/>
      </c>
      <c r="W236" s="1062"/>
    </row>
    <row r="237" spans="1:23" ht="13.9" customHeight="1" x14ac:dyDescent="0.25">
      <c r="A237" s="846">
        <f>Chem!A237</f>
        <v>235</v>
      </c>
      <c r="B237" s="951" t="str">
        <f>Chem!B237</f>
        <v>Perfluorononanoic acid (PFNA)</v>
      </c>
      <c r="C237" s="463">
        <f t="shared" si="95"/>
        <v>0.01</v>
      </c>
      <c r="D237" s="463">
        <f t="shared" si="96"/>
        <v>10.4</v>
      </c>
      <c r="E237" s="463"/>
      <c r="F237" s="501">
        <f>PW!O237</f>
        <v>0.01</v>
      </c>
      <c r="G237" s="231">
        <f>SW!R237</f>
        <v>10.4</v>
      </c>
      <c r="H237" s="476" t="str">
        <f>Partit!E237</f>
        <v>na</v>
      </c>
      <c r="I237" s="1567" t="str">
        <f>PW!P237</f>
        <v>na</v>
      </c>
      <c r="J237" s="1567" t="s">
        <v>232</v>
      </c>
      <c r="K237" s="970" t="s">
        <v>232</v>
      </c>
      <c r="M237" s="1367" t="str">
        <f t="shared" si="86"/>
        <v>X</v>
      </c>
      <c r="N237" s="1368" t="str">
        <f t="shared" si="87"/>
        <v/>
      </c>
      <c r="O237" s="1368" t="str">
        <f t="shared" si="88"/>
        <v/>
      </c>
      <c r="P237" s="1368" t="str">
        <f t="shared" si="89"/>
        <v/>
      </c>
      <c r="Q237" s="2291" t="str">
        <f t="shared" si="90"/>
        <v/>
      </c>
      <c r="R237" s="1367" t="str">
        <f t="shared" si="91"/>
        <v>X</v>
      </c>
      <c r="S237" s="1368" t="str">
        <f t="shared" si="92"/>
        <v/>
      </c>
      <c r="T237" s="1368" t="str">
        <f t="shared" si="93"/>
        <v/>
      </c>
      <c r="U237" s="1369" t="str">
        <f t="shared" si="94"/>
        <v/>
      </c>
      <c r="W237" s="1062"/>
    </row>
    <row r="238" spans="1:23" ht="13.9" customHeight="1" x14ac:dyDescent="0.25">
      <c r="A238" s="846">
        <f>Chem!A238</f>
        <v>236</v>
      </c>
      <c r="B238" s="951" t="str">
        <f>Chem!B238</f>
        <v>Perfluorooctanesulfonic acid (PFOS)</v>
      </c>
      <c r="C238" s="463">
        <f t="shared" si="95"/>
        <v>4.0000000000000001E-3</v>
      </c>
      <c r="D238" s="463">
        <f t="shared" si="96"/>
        <v>1.1000000000000001</v>
      </c>
      <c r="E238" s="463"/>
      <c r="F238" s="501">
        <f>PW!O238</f>
        <v>4.0000000000000001E-3</v>
      </c>
      <c r="G238" s="231">
        <f>SW!R238</f>
        <v>1.1000000000000001</v>
      </c>
      <c r="H238" s="476" t="str">
        <f>Partit!E238</f>
        <v>na</v>
      </c>
      <c r="I238" s="1567" t="str">
        <f>PW!P238</f>
        <v>na</v>
      </c>
      <c r="J238" s="1567" t="s">
        <v>232</v>
      </c>
      <c r="K238" s="970" t="s">
        <v>232</v>
      </c>
      <c r="M238" s="1367" t="str">
        <f t="shared" si="86"/>
        <v>X</v>
      </c>
      <c r="N238" s="1368" t="str">
        <f t="shared" si="87"/>
        <v/>
      </c>
      <c r="O238" s="1368" t="str">
        <f t="shared" si="88"/>
        <v/>
      </c>
      <c r="P238" s="1368" t="str">
        <f t="shared" si="89"/>
        <v/>
      </c>
      <c r="Q238" s="2291" t="str">
        <f t="shared" si="90"/>
        <v/>
      </c>
      <c r="R238" s="1367" t="str">
        <f t="shared" si="91"/>
        <v>X</v>
      </c>
      <c r="S238" s="1368" t="str">
        <f t="shared" si="92"/>
        <v/>
      </c>
      <c r="T238" s="1368" t="str">
        <f t="shared" si="93"/>
        <v/>
      </c>
      <c r="U238" s="1369" t="str">
        <f t="shared" si="94"/>
        <v/>
      </c>
      <c r="W238" s="1062"/>
    </row>
    <row r="239" spans="1:23" ht="13.9" customHeight="1" x14ac:dyDescent="0.25">
      <c r="A239" s="1661">
        <f>Chem!A239</f>
        <v>237</v>
      </c>
      <c r="B239" s="1166" t="str">
        <f>Chem!B239</f>
        <v>Perfluorooctanoic acid (PFOA)</v>
      </c>
      <c r="C239" s="499">
        <f t="shared" si="95"/>
        <v>4.0000000000000001E-3</v>
      </c>
      <c r="D239" s="499">
        <f t="shared" si="96"/>
        <v>119</v>
      </c>
      <c r="E239" s="499"/>
      <c r="F239" s="506">
        <f>PW!O239</f>
        <v>4.0000000000000001E-3</v>
      </c>
      <c r="G239" s="470">
        <f>SW!R239</f>
        <v>119</v>
      </c>
      <c r="H239" s="477" t="str">
        <f>Partit!E239</f>
        <v>na</v>
      </c>
      <c r="I239" s="1568" t="str">
        <f>PW!P239</f>
        <v>na</v>
      </c>
      <c r="J239" s="1568" t="s">
        <v>232</v>
      </c>
      <c r="K239" s="1169" t="s">
        <v>232</v>
      </c>
      <c r="M239" s="1370" t="str">
        <f t="shared" si="86"/>
        <v>X</v>
      </c>
      <c r="N239" s="1371" t="str">
        <f t="shared" si="87"/>
        <v/>
      </c>
      <c r="O239" s="1371" t="str">
        <f t="shared" si="88"/>
        <v/>
      </c>
      <c r="P239" s="1371" t="str">
        <f t="shared" si="89"/>
        <v/>
      </c>
      <c r="Q239" s="2292" t="str">
        <f t="shared" si="90"/>
        <v/>
      </c>
      <c r="R239" s="1370" t="str">
        <f t="shared" si="91"/>
        <v>X</v>
      </c>
      <c r="S239" s="1371" t="str">
        <f t="shared" si="92"/>
        <v/>
      </c>
      <c r="T239" s="1371" t="str">
        <f t="shared" si="93"/>
        <v/>
      </c>
      <c r="U239" s="1372" t="str">
        <f t="shared" si="94"/>
        <v/>
      </c>
      <c r="W239" s="1062"/>
    </row>
    <row r="240" spans="1:23" ht="13.9" customHeight="1" x14ac:dyDescent="0.25">
      <c r="A240" s="1197">
        <f>Chem!A240</f>
        <v>238</v>
      </c>
      <c r="B240" s="953" t="str">
        <f>Chem!B240</f>
        <v>Petroleum Hydrocarbons</v>
      </c>
      <c r="C240" s="54"/>
      <c r="D240" s="54"/>
      <c r="E240" s="54"/>
      <c r="F240" s="54"/>
      <c r="G240" s="54"/>
      <c r="H240" s="29"/>
      <c r="I240" s="29"/>
      <c r="J240" s="29"/>
      <c r="K240" s="166"/>
      <c r="M240" s="122" t="str">
        <f>B240</f>
        <v>Petroleum Hydrocarbons</v>
      </c>
      <c r="N240" s="2333"/>
      <c r="O240" s="2333"/>
      <c r="P240" s="2333"/>
      <c r="Q240" s="2333"/>
      <c r="R240" s="2333"/>
      <c r="S240" s="2333"/>
      <c r="T240" s="2333"/>
      <c r="U240" s="2334"/>
      <c r="W240" s="1063"/>
    </row>
    <row r="241" spans="1:23" ht="13.9" customHeight="1" x14ac:dyDescent="0.25">
      <c r="A241" s="846">
        <f>Chem!A241</f>
        <v>239</v>
      </c>
      <c r="B241" s="951" t="str">
        <f>Chem!B241</f>
        <v>Gasoline range hydrocarbons, fresh</v>
      </c>
      <c r="C241" s="948">
        <f t="shared" ref="C241:C246" si="97">IF(AND($F241="na",$G241="na",$H241="na",$I241="na"),"na",IF(AND(ISNUMBER($K241),MIN($F241:$I241)&lt;$K241),$K241,MIN($F241:$I241)))</f>
        <v>800</v>
      </c>
      <c r="D241" s="465">
        <f t="shared" ref="D241:D246" si="98">IF(AND($G241="na",$H241="na",$I241="na"),"na",IF(AND(ISNUMBER($K241),MIN($G241:$I241)&lt;$K241),$K241,MIN($G241:$I241)))</f>
        <v>800</v>
      </c>
      <c r="E241" s="465"/>
      <c r="F241" s="507">
        <f>PW!O241</f>
        <v>800</v>
      </c>
      <c r="G241" s="517">
        <f>SW!R241</f>
        <v>800</v>
      </c>
      <c r="H241" s="228" t="str">
        <f>Partit!E241</f>
        <v>na</v>
      </c>
      <c r="I241" s="527" t="str">
        <f>PW!P241</f>
        <v>na</v>
      </c>
      <c r="J241" s="527" t="s">
        <v>232</v>
      </c>
      <c r="K241" s="970" t="s">
        <v>232</v>
      </c>
      <c r="M241" s="1373" t="str">
        <f t="shared" ref="M241:M246" si="99">IF($C241="na","",IF($C241=$F241,"X",""))</f>
        <v>X</v>
      </c>
      <c r="N241" s="1374" t="str">
        <f t="shared" ref="N241:N246" si="100">IF($C241="na","",IF($C241=$G241,"X",""))</f>
        <v>X</v>
      </c>
      <c r="O241" s="1374" t="str">
        <f t="shared" ref="O241:O246" si="101">IF($C241="na","",IF($C241=$H241,"X",""))</f>
        <v/>
      </c>
      <c r="P241" s="1374" t="str">
        <f t="shared" ref="P241:P246" si="102">IF($C241="na","",IF($C241=$I241,"X",""))</f>
        <v/>
      </c>
      <c r="Q241" s="1375" t="str">
        <f t="shared" ref="Q241:Q246" si="103">IF($C241="na","",IF($C241=$K241,"X",""))</f>
        <v/>
      </c>
      <c r="R241" s="1373" t="str">
        <f t="shared" ref="R241:R246" si="104">IF($D241="na","",IF($D241=$G241,"X",""))</f>
        <v>X</v>
      </c>
      <c r="S241" s="1374" t="str">
        <f t="shared" ref="S241:S246" si="105">IF($D241="na","",IF($D241=$H241,"X",""))</f>
        <v/>
      </c>
      <c r="T241" s="1374" t="str">
        <f t="shared" ref="T241:T246" si="106">IF($D241="na","",IF($D241=$I241,"X",""))</f>
        <v/>
      </c>
      <c r="U241" s="1375" t="str">
        <f t="shared" ref="U241:U246" si="107">IF($D241="na","",IF($D241=$K241,"X",""))</f>
        <v/>
      </c>
      <c r="W241" s="1062"/>
    </row>
    <row r="242" spans="1:23" ht="13.9" customHeight="1" x14ac:dyDescent="0.25">
      <c r="A242" s="846">
        <f>Chem!A242</f>
        <v>240</v>
      </c>
      <c r="B242" s="951" t="str">
        <f>Chem!B242</f>
        <v>Gasoline range hydrocarbons, weathered</v>
      </c>
      <c r="C242" s="948">
        <f t="shared" si="97"/>
        <v>1000</v>
      </c>
      <c r="D242" s="465">
        <f t="shared" si="98"/>
        <v>1000</v>
      </c>
      <c r="E242" s="465"/>
      <c r="F242" s="507">
        <f>PW!O242</f>
        <v>1000</v>
      </c>
      <c r="G242" s="517">
        <f>SW!R242</f>
        <v>1000</v>
      </c>
      <c r="H242" s="228" t="str">
        <f>Partit!E242</f>
        <v>na</v>
      </c>
      <c r="I242" s="527" t="str">
        <f>PW!P242</f>
        <v>na</v>
      </c>
      <c r="J242" s="527" t="s">
        <v>232</v>
      </c>
      <c r="K242" s="970" t="s">
        <v>232</v>
      </c>
      <c r="M242" s="1377" t="str">
        <f t="shared" si="99"/>
        <v>X</v>
      </c>
      <c r="N242" s="1378" t="str">
        <f t="shared" si="100"/>
        <v>X</v>
      </c>
      <c r="O242" s="1378" t="str">
        <f t="shared" si="101"/>
        <v/>
      </c>
      <c r="P242" s="1378" t="str">
        <f t="shared" si="102"/>
        <v/>
      </c>
      <c r="Q242" s="1379" t="str">
        <f t="shared" si="103"/>
        <v/>
      </c>
      <c r="R242" s="1377" t="str">
        <f t="shared" si="104"/>
        <v>X</v>
      </c>
      <c r="S242" s="1378" t="str">
        <f t="shared" si="105"/>
        <v/>
      </c>
      <c r="T242" s="1378" t="str">
        <f t="shared" si="106"/>
        <v/>
      </c>
      <c r="U242" s="1379" t="str">
        <f t="shared" si="107"/>
        <v/>
      </c>
      <c r="W242" s="1062"/>
    </row>
    <row r="243" spans="1:23" ht="13.9" customHeight="1" x14ac:dyDescent="0.25">
      <c r="A243" s="846">
        <f>Chem!A243</f>
        <v>241</v>
      </c>
      <c r="B243" s="951" t="str">
        <f>Chem!B243</f>
        <v>Diesel range hydrocarbons, fresh</v>
      </c>
      <c r="C243" s="948">
        <f t="shared" si="97"/>
        <v>50</v>
      </c>
      <c r="D243" s="465">
        <f t="shared" si="98"/>
        <v>50</v>
      </c>
      <c r="E243" s="465"/>
      <c r="F243" s="507">
        <f>PW!O243</f>
        <v>500</v>
      </c>
      <c r="G243" s="517">
        <f>SW!R243</f>
        <v>50</v>
      </c>
      <c r="H243" s="228" t="str">
        <f>Partit!E243</f>
        <v>na</v>
      </c>
      <c r="I243" s="527" t="str">
        <f>PW!P243</f>
        <v>na</v>
      </c>
      <c r="J243" s="527" t="s">
        <v>232</v>
      </c>
      <c r="K243" s="972" t="s">
        <v>232</v>
      </c>
      <c r="M243" s="1367" t="str">
        <f t="shared" si="99"/>
        <v/>
      </c>
      <c r="N243" s="1368" t="str">
        <f t="shared" si="100"/>
        <v>X</v>
      </c>
      <c r="O243" s="1368" t="str">
        <f t="shared" si="101"/>
        <v/>
      </c>
      <c r="P243" s="1368" t="str">
        <f t="shared" si="102"/>
        <v/>
      </c>
      <c r="Q243" s="1369" t="str">
        <f t="shared" si="103"/>
        <v/>
      </c>
      <c r="R243" s="1367" t="str">
        <f t="shared" si="104"/>
        <v>X</v>
      </c>
      <c r="S243" s="1368" t="str">
        <f t="shared" si="105"/>
        <v/>
      </c>
      <c r="T243" s="1368" t="str">
        <f t="shared" si="106"/>
        <v/>
      </c>
      <c r="U243" s="1369" t="str">
        <f t="shared" si="107"/>
        <v/>
      </c>
      <c r="W243" s="1062"/>
    </row>
    <row r="244" spans="1:23" ht="13.9" customHeight="1" x14ac:dyDescent="0.25">
      <c r="A244" s="846">
        <f>Chem!A244</f>
        <v>242</v>
      </c>
      <c r="B244" s="951" t="str">
        <f>Chem!B244</f>
        <v>Diesel range hydrocarbons, weathered</v>
      </c>
      <c r="C244" s="948">
        <f t="shared" si="97"/>
        <v>500</v>
      </c>
      <c r="D244" s="465">
        <f t="shared" si="98"/>
        <v>500</v>
      </c>
      <c r="E244" s="465"/>
      <c r="F244" s="507">
        <f>PW!O244</f>
        <v>500</v>
      </c>
      <c r="G244" s="517">
        <f>SW!R244</f>
        <v>500</v>
      </c>
      <c r="H244" s="228" t="str">
        <f>Partit!E244</f>
        <v>na</v>
      </c>
      <c r="I244" s="527" t="str">
        <f>PW!P244</f>
        <v>na</v>
      </c>
      <c r="J244" s="527" t="s">
        <v>232</v>
      </c>
      <c r="K244" s="972" t="s">
        <v>232</v>
      </c>
      <c r="M244" s="1367" t="str">
        <f t="shared" si="99"/>
        <v>X</v>
      </c>
      <c r="N244" s="1368" t="str">
        <f t="shared" si="100"/>
        <v>X</v>
      </c>
      <c r="O244" s="1368" t="str">
        <f t="shared" si="101"/>
        <v/>
      </c>
      <c r="P244" s="1368" t="str">
        <f t="shared" si="102"/>
        <v/>
      </c>
      <c r="Q244" s="1369" t="str">
        <f t="shared" si="103"/>
        <v/>
      </c>
      <c r="R244" s="1367" t="str">
        <f t="shared" si="104"/>
        <v>X</v>
      </c>
      <c r="S244" s="1368" t="str">
        <f t="shared" si="105"/>
        <v/>
      </c>
      <c r="T244" s="1368" t="str">
        <f t="shared" si="106"/>
        <v/>
      </c>
      <c r="U244" s="1369" t="str">
        <f t="shared" si="107"/>
        <v/>
      </c>
      <c r="W244" s="1062"/>
    </row>
    <row r="245" spans="1:23" ht="13.9" customHeight="1" x14ac:dyDescent="0.25">
      <c r="A245" s="846">
        <f>Chem!A245</f>
        <v>243</v>
      </c>
      <c r="B245" s="952" t="str">
        <f>Chem!B245</f>
        <v>Oil range hydrocarbons</v>
      </c>
      <c r="C245" s="958">
        <f t="shared" si="97"/>
        <v>500</v>
      </c>
      <c r="D245" s="500">
        <f t="shared" si="98"/>
        <v>500</v>
      </c>
      <c r="E245" s="500"/>
      <c r="F245" s="508">
        <f>PW!O245</f>
        <v>500</v>
      </c>
      <c r="G245" s="518">
        <f>SW!R245</f>
        <v>500</v>
      </c>
      <c r="H245" s="229" t="str">
        <f>Partit!E245</f>
        <v>na</v>
      </c>
      <c r="I245" s="528" t="str">
        <f>PW!P245</f>
        <v>na</v>
      </c>
      <c r="J245" s="528" t="s">
        <v>232</v>
      </c>
      <c r="K245" s="972" t="s">
        <v>232</v>
      </c>
      <c r="M245" s="1367" t="str">
        <f t="shared" si="99"/>
        <v>X</v>
      </c>
      <c r="N245" s="1368" t="str">
        <f t="shared" si="100"/>
        <v>X</v>
      </c>
      <c r="O245" s="1368" t="str">
        <f t="shared" si="101"/>
        <v/>
      </c>
      <c r="P245" s="1368" t="str">
        <f t="shared" si="102"/>
        <v/>
      </c>
      <c r="Q245" s="1369" t="str">
        <f t="shared" si="103"/>
        <v/>
      </c>
      <c r="R245" s="1367" t="str">
        <f t="shared" si="104"/>
        <v>X</v>
      </c>
      <c r="S245" s="1368" t="str">
        <f t="shared" si="105"/>
        <v/>
      </c>
      <c r="T245" s="1368" t="str">
        <f t="shared" si="106"/>
        <v/>
      </c>
      <c r="U245" s="1369" t="str">
        <f t="shared" si="107"/>
        <v/>
      </c>
      <c r="W245" s="1062"/>
    </row>
    <row r="246" spans="1:23" ht="13.9" customHeight="1" x14ac:dyDescent="0.25">
      <c r="A246" s="1661">
        <f>Chem!A246</f>
        <v>244</v>
      </c>
      <c r="B246" s="952" t="str">
        <f>Chem!B246</f>
        <v>Total diesel &amp; oil range hydrocarbons</v>
      </c>
      <c r="C246" s="958">
        <f t="shared" si="97"/>
        <v>500</v>
      </c>
      <c r="D246" s="500">
        <f t="shared" si="98"/>
        <v>500</v>
      </c>
      <c r="E246" s="500"/>
      <c r="F246" s="508">
        <f>PW!O246</f>
        <v>500</v>
      </c>
      <c r="G246" s="518">
        <f>SW!R246</f>
        <v>500</v>
      </c>
      <c r="H246" s="229" t="str">
        <f>Partit!E246</f>
        <v>na</v>
      </c>
      <c r="I246" s="528" t="str">
        <f>PW!P246</f>
        <v>na</v>
      </c>
      <c r="J246" s="528" t="s">
        <v>232</v>
      </c>
      <c r="K246" s="972" t="s">
        <v>232</v>
      </c>
      <c r="M246" s="1370" t="str">
        <f t="shared" si="99"/>
        <v>X</v>
      </c>
      <c r="N246" s="1371" t="str">
        <f t="shared" si="100"/>
        <v>X</v>
      </c>
      <c r="O246" s="1371" t="str">
        <f t="shared" si="101"/>
        <v/>
      </c>
      <c r="P246" s="1371" t="str">
        <f t="shared" si="102"/>
        <v/>
      </c>
      <c r="Q246" s="1372" t="str">
        <f t="shared" si="103"/>
        <v/>
      </c>
      <c r="R246" s="1370" t="str">
        <f t="shared" si="104"/>
        <v>X</v>
      </c>
      <c r="S246" s="1371" t="str">
        <f t="shared" si="105"/>
        <v/>
      </c>
      <c r="T246" s="1371" t="str">
        <f t="shared" si="106"/>
        <v/>
      </c>
      <c r="U246" s="1372" t="str">
        <f t="shared" si="107"/>
        <v/>
      </c>
      <c r="W246" s="1062"/>
    </row>
    <row r="247" spans="1:23" ht="13.9" customHeight="1" x14ac:dyDescent="0.25">
      <c r="A247" s="1197">
        <f>Chem!A247</f>
        <v>245</v>
      </c>
      <c r="B247" s="953" t="str">
        <f>Chem!B247</f>
        <v>Pesticides</v>
      </c>
      <c r="C247" s="54"/>
      <c r="D247" s="54"/>
      <c r="E247" s="54"/>
      <c r="F247" s="54"/>
      <c r="G247" s="54"/>
      <c r="H247" s="29"/>
      <c r="I247" s="29"/>
      <c r="J247" s="29"/>
      <c r="K247" s="166"/>
      <c r="M247" s="122" t="str">
        <f>B247</f>
        <v>Pesticides</v>
      </c>
      <c r="N247" s="2333"/>
      <c r="O247" s="2333"/>
      <c r="P247" s="2333"/>
      <c r="Q247" s="2333"/>
      <c r="R247" s="2333"/>
      <c r="S247" s="2333"/>
      <c r="T247" s="2333"/>
      <c r="U247" s="2334"/>
      <c r="W247" s="1063"/>
    </row>
    <row r="248" spans="1:23" ht="13.9" customHeight="1" x14ac:dyDescent="0.25">
      <c r="A248" s="846">
        <f>Chem!A248</f>
        <v>246</v>
      </c>
      <c r="B248" s="950" t="str">
        <f>Chem!B248</f>
        <v>Aldrin</v>
      </c>
      <c r="C248" s="956">
        <f t="shared" ref="C248:C291" si="108">IF(AND($F248="na",$G248="na",$H248="na",$I248="na"),"na",IF(AND(ISNUMBER($K248),MIN($F248:$I248)&lt;$K248),$K248,MIN($F248:$I248)))</f>
        <v>4.1000000000000003E-8</v>
      </c>
      <c r="D248" s="497">
        <f t="shared" ref="D248:D291" si="109">IF(AND($G248="na",$H248="na",$I248="na"),"na",IF(AND(ISNUMBER($K248),MIN($G248:$I248)&lt;$K248),$K248,MIN($G248:$I248)))</f>
        <v>4.1000000000000003E-8</v>
      </c>
      <c r="E248" s="497"/>
      <c r="F248" s="509">
        <f>PW!O248</f>
        <v>2.5735294117647054E-3</v>
      </c>
      <c r="G248" s="513">
        <f>SW!R248</f>
        <v>4.1000000000000003E-8</v>
      </c>
      <c r="H248" s="222">
        <f>Partit!E248</f>
        <v>1.0800268100772856E-4</v>
      </c>
      <c r="I248" s="520" t="str">
        <f>PW!P248</f>
        <v>na</v>
      </c>
      <c r="J248" s="520" t="s">
        <v>232</v>
      </c>
      <c r="K248" s="970" t="s">
        <v>232</v>
      </c>
      <c r="M248" s="1373" t="str">
        <f t="shared" ref="M248:M280" si="110">IF($C248="na","",IF($C248=$F248,"X",""))</f>
        <v/>
      </c>
      <c r="N248" s="1374" t="str">
        <f t="shared" ref="N248:N280" si="111">IF($C248="na","",IF($C248=$G248,"X",""))</f>
        <v>X</v>
      </c>
      <c r="O248" s="1374" t="str">
        <f t="shared" ref="O248:O280" si="112">IF($C248="na","",IF($C248=$H248,"X",""))</f>
        <v/>
      </c>
      <c r="P248" s="1374" t="str">
        <f t="shared" ref="P248:P280" si="113">IF($C248="na","",IF($C248=$I248,"X",""))</f>
        <v/>
      </c>
      <c r="Q248" s="1375" t="str">
        <f t="shared" ref="Q248:Q280" si="114">IF($C248="na","",IF($C248=$K248,"X",""))</f>
        <v/>
      </c>
      <c r="R248" s="1373" t="str">
        <f t="shared" ref="R248:R280" si="115">IF($D248="na","",IF($D248=$G248,"X",""))</f>
        <v>X</v>
      </c>
      <c r="S248" s="1374" t="str">
        <f t="shared" ref="S248:S280" si="116">IF($D248="na","",IF($D248=$H248,"X",""))</f>
        <v/>
      </c>
      <c r="T248" s="1374" t="str">
        <f t="shared" ref="T248:T280" si="117">IF($D248="na","",IF($D248=$I248,"X",""))</f>
        <v/>
      </c>
      <c r="U248" s="1375" t="str">
        <f t="shared" ref="U248:U280" si="118">IF($D248="na","",IF($D248=$K248,"X",""))</f>
        <v/>
      </c>
      <c r="W248" s="1062"/>
    </row>
    <row r="249" spans="1:23" ht="13.9" customHeight="1" x14ac:dyDescent="0.25">
      <c r="A249" s="846">
        <f>Chem!A249</f>
        <v>247</v>
      </c>
      <c r="B249" s="951" t="str">
        <f>Chem!B249</f>
        <v>alpha-BHC (alpha-HCH)</v>
      </c>
      <c r="C249" s="946">
        <f t="shared" si="108"/>
        <v>4.8000000000000001E-5</v>
      </c>
      <c r="D249" s="463">
        <f t="shared" si="109"/>
        <v>4.8000000000000001E-5</v>
      </c>
      <c r="E249" s="463"/>
      <c r="F249" s="501">
        <f>PW!O249</f>
        <v>1.3888888888888886E-2</v>
      </c>
      <c r="G249" s="511">
        <f>SW!R249</f>
        <v>4.8000000000000001E-5</v>
      </c>
      <c r="H249" s="222" t="str">
        <f>Partit!E249</f>
        <v>na</v>
      </c>
      <c r="I249" s="520" t="str">
        <f>PW!P249</f>
        <v>na</v>
      </c>
      <c r="J249" s="520" t="s">
        <v>232</v>
      </c>
      <c r="K249" s="970" t="s">
        <v>232</v>
      </c>
      <c r="M249" s="1367" t="str">
        <f t="shared" si="110"/>
        <v/>
      </c>
      <c r="N249" s="1368" t="str">
        <f t="shared" si="111"/>
        <v>X</v>
      </c>
      <c r="O249" s="1368" t="str">
        <f t="shared" si="112"/>
        <v/>
      </c>
      <c r="P249" s="1368" t="str">
        <f t="shared" si="113"/>
        <v/>
      </c>
      <c r="Q249" s="1369" t="str">
        <f t="shared" si="114"/>
        <v/>
      </c>
      <c r="R249" s="1367" t="str">
        <f t="shared" si="115"/>
        <v>X</v>
      </c>
      <c r="S249" s="1368" t="str">
        <f t="shared" si="116"/>
        <v/>
      </c>
      <c r="T249" s="1368" t="str">
        <f t="shared" si="117"/>
        <v/>
      </c>
      <c r="U249" s="1369" t="str">
        <f t="shared" si="118"/>
        <v/>
      </c>
      <c r="W249" s="1062"/>
    </row>
    <row r="250" spans="1:23" ht="13.9" customHeight="1" x14ac:dyDescent="0.25">
      <c r="A250" s="846">
        <f>Chem!A250</f>
        <v>248</v>
      </c>
      <c r="B250" s="951" t="str">
        <f>Chem!B250</f>
        <v>beta-BHC (beta-HCH)</v>
      </c>
      <c r="C250" s="946">
        <f t="shared" si="108"/>
        <v>1.4E-3</v>
      </c>
      <c r="D250" s="463">
        <f t="shared" si="109"/>
        <v>1.4E-3</v>
      </c>
      <c r="E250" s="463"/>
      <c r="F250" s="501">
        <f>PW!O250</f>
        <v>4.8611111111111098E-2</v>
      </c>
      <c r="G250" s="511">
        <f>SW!R250</f>
        <v>1.4E-3</v>
      </c>
      <c r="H250" s="222" t="str">
        <f>Partit!E250</f>
        <v>na</v>
      </c>
      <c r="I250" s="520" t="str">
        <f>PW!P250</f>
        <v>na</v>
      </c>
      <c r="J250" s="520" t="s">
        <v>232</v>
      </c>
      <c r="K250" s="970" t="s">
        <v>232</v>
      </c>
      <c r="M250" s="1367" t="str">
        <f t="shared" si="110"/>
        <v/>
      </c>
      <c r="N250" s="1368" t="str">
        <f t="shared" si="111"/>
        <v>X</v>
      </c>
      <c r="O250" s="1368" t="str">
        <f t="shared" si="112"/>
        <v/>
      </c>
      <c r="P250" s="1368" t="str">
        <f t="shared" si="113"/>
        <v/>
      </c>
      <c r="Q250" s="1369" t="str">
        <f t="shared" si="114"/>
        <v/>
      </c>
      <c r="R250" s="1367" t="str">
        <f t="shared" si="115"/>
        <v>X</v>
      </c>
      <c r="S250" s="1368" t="str">
        <f t="shared" si="116"/>
        <v/>
      </c>
      <c r="T250" s="1368" t="str">
        <f t="shared" si="117"/>
        <v/>
      </c>
      <c r="U250" s="1369" t="str">
        <f t="shared" si="118"/>
        <v/>
      </c>
      <c r="W250" s="1062"/>
    </row>
    <row r="251" spans="1:23" ht="13.9" customHeight="1" x14ac:dyDescent="0.25">
      <c r="A251" s="846">
        <f>Chem!A251</f>
        <v>249</v>
      </c>
      <c r="B251" s="951" t="str">
        <f>Chem!B251</f>
        <v>delta-BHC (delta-HCH)</v>
      </c>
      <c r="C251" s="946">
        <f t="shared" si="108"/>
        <v>9.5999999999999992E-4</v>
      </c>
      <c r="D251" s="463" t="str">
        <f t="shared" si="109"/>
        <v>na</v>
      </c>
      <c r="E251" s="463"/>
      <c r="F251" s="501">
        <f>PW!O251</f>
        <v>9.5999999999999992E-4</v>
      </c>
      <c r="G251" s="511" t="str">
        <f>SW!R251</f>
        <v>na</v>
      </c>
      <c r="H251" s="222" t="str">
        <f>Partit!E251</f>
        <v>na</v>
      </c>
      <c r="I251" s="520" t="str">
        <f>PW!P251</f>
        <v>na</v>
      </c>
      <c r="J251" s="520" t="s">
        <v>232</v>
      </c>
      <c r="K251" s="970" t="s">
        <v>232</v>
      </c>
      <c r="M251" s="1367" t="str">
        <f t="shared" si="110"/>
        <v>X</v>
      </c>
      <c r="N251" s="1368" t="str">
        <f t="shared" si="111"/>
        <v/>
      </c>
      <c r="O251" s="1368" t="str">
        <f t="shared" si="112"/>
        <v/>
      </c>
      <c r="P251" s="1368" t="str">
        <f t="shared" si="113"/>
        <v/>
      </c>
      <c r="Q251" s="1369" t="str">
        <f t="shared" si="114"/>
        <v/>
      </c>
      <c r="R251" s="1367" t="str">
        <f t="shared" si="115"/>
        <v/>
      </c>
      <c r="S251" s="1368" t="str">
        <f t="shared" si="116"/>
        <v/>
      </c>
      <c r="T251" s="1368" t="str">
        <f t="shared" si="117"/>
        <v/>
      </c>
      <c r="U251" s="1369" t="str">
        <f t="shared" si="118"/>
        <v/>
      </c>
      <c r="W251" s="1062"/>
    </row>
    <row r="252" spans="1:23" ht="13.9" customHeight="1" x14ac:dyDescent="0.25">
      <c r="A252" s="846">
        <f>Chem!A252</f>
        <v>250</v>
      </c>
      <c r="B252" s="951" t="str">
        <f>Chem!B252</f>
        <v>Carbaryl</v>
      </c>
      <c r="C252" s="946">
        <f t="shared" si="108"/>
        <v>1.6</v>
      </c>
      <c r="D252" s="463">
        <f t="shared" si="109"/>
        <v>1.6</v>
      </c>
      <c r="E252" s="463"/>
      <c r="F252" s="501">
        <f>PW!O252</f>
        <v>1600</v>
      </c>
      <c r="G252" s="511">
        <f>SW!R252</f>
        <v>1.6</v>
      </c>
      <c r="H252" s="222" t="str">
        <f>Partit!E252</f>
        <v>na</v>
      </c>
      <c r="I252" s="520" t="str">
        <f>PW!P252</f>
        <v>na</v>
      </c>
      <c r="J252" s="520" t="s">
        <v>232</v>
      </c>
      <c r="K252" s="970" t="s">
        <v>232</v>
      </c>
      <c r="M252" s="1367" t="str">
        <f t="shared" si="110"/>
        <v/>
      </c>
      <c r="N252" s="1368" t="str">
        <f t="shared" si="111"/>
        <v>X</v>
      </c>
      <c r="O252" s="1368" t="str">
        <f t="shared" si="112"/>
        <v/>
      </c>
      <c r="P252" s="1368" t="str">
        <f t="shared" si="113"/>
        <v/>
      </c>
      <c r="Q252" s="1369" t="str">
        <f t="shared" si="114"/>
        <v/>
      </c>
      <c r="R252" s="1367" t="str">
        <f t="shared" si="115"/>
        <v>X</v>
      </c>
      <c r="S252" s="1368" t="str">
        <f t="shared" si="116"/>
        <v/>
      </c>
      <c r="T252" s="1368" t="str">
        <f t="shared" si="117"/>
        <v/>
      </c>
      <c r="U252" s="1369" t="str">
        <f t="shared" si="118"/>
        <v/>
      </c>
      <c r="W252" s="1062"/>
    </row>
    <row r="253" spans="1:23" ht="13.9" customHeight="1" x14ac:dyDescent="0.25">
      <c r="A253" s="846">
        <f>Chem!A253</f>
        <v>251</v>
      </c>
      <c r="B253" s="951" t="str">
        <f>Chem!B253</f>
        <v>cis-Chlordane (alpha)</v>
      </c>
      <c r="C253" s="946">
        <f t="shared" si="108"/>
        <v>7.7936069500636102E-5</v>
      </c>
      <c r="D253" s="463">
        <f t="shared" si="109"/>
        <v>7.7936069500636102E-5</v>
      </c>
      <c r="E253" s="463"/>
      <c r="F253" s="501">
        <f>PW!O253</f>
        <v>4</v>
      </c>
      <c r="G253" s="511" t="str">
        <f>SW!R253</f>
        <v>na</v>
      </c>
      <c r="H253" s="222">
        <f>Partit!E253</f>
        <v>7.7936069500636102E-5</v>
      </c>
      <c r="I253" s="520" t="str">
        <f>PW!P253</f>
        <v>na</v>
      </c>
      <c r="J253" s="520" t="s">
        <v>232</v>
      </c>
      <c r="K253" s="970" t="s">
        <v>232</v>
      </c>
      <c r="M253" s="1367" t="str">
        <f t="shared" si="110"/>
        <v/>
      </c>
      <c r="N253" s="1368" t="str">
        <f t="shared" si="111"/>
        <v/>
      </c>
      <c r="O253" s="1368" t="str">
        <f t="shared" si="112"/>
        <v>X</v>
      </c>
      <c r="P253" s="1368" t="str">
        <f t="shared" si="113"/>
        <v/>
      </c>
      <c r="Q253" s="1369" t="str">
        <f t="shared" si="114"/>
        <v/>
      </c>
      <c r="R253" s="1367" t="str">
        <f t="shared" si="115"/>
        <v/>
      </c>
      <c r="S253" s="1368" t="str">
        <f t="shared" si="116"/>
        <v>X</v>
      </c>
      <c r="T253" s="1368" t="str">
        <f t="shared" si="117"/>
        <v/>
      </c>
      <c r="U253" s="1369" t="str">
        <f t="shared" si="118"/>
        <v/>
      </c>
      <c r="W253" s="1062"/>
    </row>
    <row r="254" spans="1:23" ht="13.9" customHeight="1" x14ac:dyDescent="0.25">
      <c r="A254" s="846">
        <f>Chem!A254</f>
        <v>252</v>
      </c>
      <c r="B254" s="951" t="str">
        <f>Chem!B254</f>
        <v>trans-Chlordane (gamma)</v>
      </c>
      <c r="C254" s="946">
        <f t="shared" si="108"/>
        <v>7.7936069500636102E-5</v>
      </c>
      <c r="D254" s="463">
        <f t="shared" si="109"/>
        <v>7.7936069500636102E-5</v>
      </c>
      <c r="E254" s="463"/>
      <c r="F254" s="501">
        <f>PW!O254</f>
        <v>4</v>
      </c>
      <c r="G254" s="511" t="str">
        <f>SW!R254</f>
        <v>na</v>
      </c>
      <c r="H254" s="222">
        <f>Partit!E254</f>
        <v>7.7936069500636102E-5</v>
      </c>
      <c r="I254" s="520" t="str">
        <f>PW!P254</f>
        <v>na</v>
      </c>
      <c r="J254" s="520" t="s">
        <v>232</v>
      </c>
      <c r="K254" s="970" t="s">
        <v>232</v>
      </c>
      <c r="M254" s="1367" t="str">
        <f t="shared" si="110"/>
        <v/>
      </c>
      <c r="N254" s="1368" t="str">
        <f t="shared" si="111"/>
        <v/>
      </c>
      <c r="O254" s="1368" t="str">
        <f t="shared" si="112"/>
        <v>X</v>
      </c>
      <c r="P254" s="1368" t="str">
        <f t="shared" si="113"/>
        <v/>
      </c>
      <c r="Q254" s="1369" t="str">
        <f t="shared" si="114"/>
        <v/>
      </c>
      <c r="R254" s="1367" t="str">
        <f t="shared" si="115"/>
        <v/>
      </c>
      <c r="S254" s="1368" t="str">
        <f t="shared" si="116"/>
        <v>X</v>
      </c>
      <c r="T254" s="1368" t="str">
        <f t="shared" si="117"/>
        <v/>
      </c>
      <c r="U254" s="1369" t="str">
        <f t="shared" si="118"/>
        <v/>
      </c>
      <c r="W254" s="1062"/>
    </row>
    <row r="255" spans="1:23" ht="13.9" customHeight="1" x14ac:dyDescent="0.25">
      <c r="A255" s="846">
        <f>Chem!A255</f>
        <v>253</v>
      </c>
      <c r="B255" s="951" t="str">
        <f>Chem!B255</f>
        <v>Chlordane</v>
      </c>
      <c r="C255" s="946">
        <f t="shared" si="108"/>
        <v>2.1999999999999999E-5</v>
      </c>
      <c r="D255" s="463">
        <f t="shared" si="109"/>
        <v>2.1999999999999999E-5</v>
      </c>
      <c r="E255" s="463"/>
      <c r="F255" s="501">
        <f>PW!O255</f>
        <v>1.2499999999999998</v>
      </c>
      <c r="G255" s="511">
        <f>SW!R255</f>
        <v>2.1999999999999999E-5</v>
      </c>
      <c r="H255" s="222">
        <f>Partit!E255</f>
        <v>5.7588917668763724</v>
      </c>
      <c r="I255" s="520" t="str">
        <f>PW!P255</f>
        <v>na</v>
      </c>
      <c r="J255" s="520" t="s">
        <v>232</v>
      </c>
      <c r="K255" s="970" t="s">
        <v>232</v>
      </c>
      <c r="M255" s="1367" t="str">
        <f t="shared" si="110"/>
        <v/>
      </c>
      <c r="N255" s="1368" t="str">
        <f t="shared" si="111"/>
        <v>X</v>
      </c>
      <c r="O255" s="1368" t="str">
        <f t="shared" si="112"/>
        <v/>
      </c>
      <c r="P255" s="1368" t="str">
        <f t="shared" si="113"/>
        <v/>
      </c>
      <c r="Q255" s="1369" t="str">
        <f t="shared" si="114"/>
        <v/>
      </c>
      <c r="R255" s="1367" t="str">
        <f t="shared" si="115"/>
        <v>X</v>
      </c>
      <c r="S255" s="1368" t="str">
        <f t="shared" si="116"/>
        <v/>
      </c>
      <c r="T255" s="1368" t="str">
        <f t="shared" si="117"/>
        <v/>
      </c>
      <c r="U255" s="1369" t="str">
        <f t="shared" si="118"/>
        <v/>
      </c>
      <c r="W255" s="1062"/>
    </row>
    <row r="256" spans="1:23" ht="13.9" customHeight="1" x14ac:dyDescent="0.25">
      <c r="A256" s="846">
        <f>Chem!A256</f>
        <v>254</v>
      </c>
      <c r="B256" s="951" t="str">
        <f>Chem!B256</f>
        <v>Chlorpyrifos</v>
      </c>
      <c r="C256" s="946">
        <f t="shared" si="108"/>
        <v>5.5999999999999999E-3</v>
      </c>
      <c r="D256" s="463">
        <f t="shared" si="109"/>
        <v>5.5999999999999999E-3</v>
      </c>
      <c r="E256" s="463"/>
      <c r="F256" s="501">
        <f>PW!O256</f>
        <v>16</v>
      </c>
      <c r="G256" s="511">
        <f>SW!R256</f>
        <v>5.5999999999999999E-3</v>
      </c>
      <c r="H256" s="222" t="str">
        <f>Partit!E256</f>
        <v>na</v>
      </c>
      <c r="I256" s="520" t="str">
        <f>PW!P256</f>
        <v>na</v>
      </c>
      <c r="J256" s="520" t="s">
        <v>232</v>
      </c>
      <c r="K256" s="970" t="s">
        <v>232</v>
      </c>
      <c r="M256" s="1367" t="str">
        <f t="shared" si="110"/>
        <v/>
      </c>
      <c r="N256" s="1368" t="str">
        <f t="shared" si="111"/>
        <v>X</v>
      </c>
      <c r="O256" s="1368" t="str">
        <f t="shared" si="112"/>
        <v/>
      </c>
      <c r="P256" s="1368" t="str">
        <f t="shared" si="113"/>
        <v/>
      </c>
      <c r="Q256" s="1369" t="str">
        <f t="shared" si="114"/>
        <v/>
      </c>
      <c r="R256" s="1367" t="str">
        <f t="shared" si="115"/>
        <v>X</v>
      </c>
      <c r="S256" s="1368" t="str">
        <f t="shared" si="116"/>
        <v/>
      </c>
      <c r="T256" s="1368" t="str">
        <f t="shared" si="117"/>
        <v/>
      </c>
      <c r="U256" s="1369" t="str">
        <f t="shared" si="118"/>
        <v/>
      </c>
      <c r="W256" s="1062"/>
    </row>
    <row r="257" spans="1:23" ht="13.9" customHeight="1" x14ac:dyDescent="0.25">
      <c r="A257" s="846">
        <f>Chem!A257</f>
        <v>255</v>
      </c>
      <c r="B257" s="951" t="str">
        <f>Chem!B257</f>
        <v>4,4'-DDD</v>
      </c>
      <c r="C257" s="946">
        <f t="shared" si="108"/>
        <v>7.9000000000000006E-6</v>
      </c>
      <c r="D257" s="463">
        <f t="shared" si="109"/>
        <v>7.9000000000000006E-6</v>
      </c>
      <c r="E257" s="463"/>
      <c r="F257" s="501">
        <f>PW!O257</f>
        <v>0.36458333333333326</v>
      </c>
      <c r="G257" s="511">
        <f>SW!R257</f>
        <v>7.9000000000000006E-6</v>
      </c>
      <c r="H257" s="222" t="str">
        <f>Partit!E257</f>
        <v>na</v>
      </c>
      <c r="I257" s="520" t="str">
        <f>PW!P257</f>
        <v>na</v>
      </c>
      <c r="J257" s="520" t="s">
        <v>232</v>
      </c>
      <c r="K257" s="970" t="s">
        <v>232</v>
      </c>
      <c r="M257" s="1367" t="str">
        <f t="shared" si="110"/>
        <v/>
      </c>
      <c r="N257" s="1368" t="str">
        <f t="shared" si="111"/>
        <v>X</v>
      </c>
      <c r="O257" s="1368" t="str">
        <f t="shared" si="112"/>
        <v/>
      </c>
      <c r="P257" s="1368" t="str">
        <f t="shared" si="113"/>
        <v/>
      </c>
      <c r="Q257" s="1369" t="str">
        <f t="shared" si="114"/>
        <v/>
      </c>
      <c r="R257" s="1367" t="str">
        <f t="shared" si="115"/>
        <v>X</v>
      </c>
      <c r="S257" s="1368" t="str">
        <f t="shared" si="116"/>
        <v/>
      </c>
      <c r="T257" s="1368" t="str">
        <f t="shared" si="117"/>
        <v/>
      </c>
      <c r="U257" s="1369" t="str">
        <f t="shared" si="118"/>
        <v/>
      </c>
      <c r="W257" s="1062"/>
    </row>
    <row r="258" spans="1:23" ht="13.9" customHeight="1" x14ac:dyDescent="0.25">
      <c r="A258" s="846">
        <f>Chem!A258</f>
        <v>256</v>
      </c>
      <c r="B258" s="951" t="str">
        <f>Chem!B258</f>
        <v>4,4'-DDE</v>
      </c>
      <c r="C258" s="946">
        <f t="shared" si="108"/>
        <v>8.8000000000000004E-7</v>
      </c>
      <c r="D258" s="463">
        <f t="shared" si="109"/>
        <v>8.8000000000000004E-7</v>
      </c>
      <c r="E258" s="463"/>
      <c r="F258" s="501">
        <f>PW!O258</f>
        <v>0.12867647058823525</v>
      </c>
      <c r="G258" s="511">
        <f>SW!R258</f>
        <v>8.8000000000000004E-7</v>
      </c>
      <c r="H258" s="222" t="str">
        <f>Partit!E258</f>
        <v>na</v>
      </c>
      <c r="I258" s="520" t="str">
        <f>PW!P258</f>
        <v>na</v>
      </c>
      <c r="J258" s="520" t="s">
        <v>232</v>
      </c>
      <c r="K258" s="970" t="s">
        <v>232</v>
      </c>
      <c r="M258" s="1367" t="str">
        <f t="shared" si="110"/>
        <v/>
      </c>
      <c r="N258" s="1368" t="str">
        <f t="shared" si="111"/>
        <v>X</v>
      </c>
      <c r="O258" s="1368" t="str">
        <f t="shared" si="112"/>
        <v/>
      </c>
      <c r="P258" s="1368" t="str">
        <f t="shared" si="113"/>
        <v/>
      </c>
      <c r="Q258" s="1369" t="str">
        <f t="shared" si="114"/>
        <v/>
      </c>
      <c r="R258" s="1367" t="str">
        <f t="shared" si="115"/>
        <v>X</v>
      </c>
      <c r="S258" s="1368" t="str">
        <f t="shared" si="116"/>
        <v/>
      </c>
      <c r="T258" s="1368" t="str">
        <f t="shared" si="117"/>
        <v/>
      </c>
      <c r="U258" s="1369" t="str">
        <f t="shared" si="118"/>
        <v/>
      </c>
      <c r="W258" s="1062"/>
    </row>
    <row r="259" spans="1:23" ht="13.9" customHeight="1" x14ac:dyDescent="0.25">
      <c r="A259" s="846">
        <f>Chem!A259</f>
        <v>257</v>
      </c>
      <c r="B259" s="951" t="str">
        <f>Chem!B259</f>
        <v>4,4'-DDT</v>
      </c>
      <c r="C259" s="946">
        <f t="shared" si="108"/>
        <v>1.1999999999999999E-6</v>
      </c>
      <c r="D259" s="463">
        <f t="shared" si="109"/>
        <v>1.1999999999999999E-6</v>
      </c>
      <c r="E259" s="463"/>
      <c r="F259" s="501">
        <f>PW!O259</f>
        <v>0.25735294117647051</v>
      </c>
      <c r="G259" s="511">
        <f>SW!R259</f>
        <v>1.1999999999999999E-6</v>
      </c>
      <c r="H259" s="222">
        <f>Partit!E259</f>
        <v>7.7624064373179981E-6</v>
      </c>
      <c r="I259" s="520" t="str">
        <f>PW!P259</f>
        <v>na</v>
      </c>
      <c r="J259" s="520" t="s">
        <v>232</v>
      </c>
      <c r="K259" s="970" t="s">
        <v>232</v>
      </c>
      <c r="M259" s="1367" t="str">
        <f t="shared" si="110"/>
        <v/>
      </c>
      <c r="N259" s="1368" t="str">
        <f t="shared" si="111"/>
        <v>X</v>
      </c>
      <c r="O259" s="1368" t="str">
        <f t="shared" si="112"/>
        <v/>
      </c>
      <c r="P259" s="1368" t="str">
        <f t="shared" si="113"/>
        <v/>
      </c>
      <c r="Q259" s="1369" t="str">
        <f t="shared" si="114"/>
        <v/>
      </c>
      <c r="R259" s="1367" t="str">
        <f t="shared" si="115"/>
        <v>X</v>
      </c>
      <c r="S259" s="1368" t="str">
        <f t="shared" si="116"/>
        <v/>
      </c>
      <c r="T259" s="1368" t="str">
        <f t="shared" si="117"/>
        <v/>
      </c>
      <c r="U259" s="1369" t="str">
        <f t="shared" si="118"/>
        <v/>
      </c>
      <c r="W259" s="1062"/>
    </row>
    <row r="260" spans="1:23" ht="13.9" customHeight="1" x14ac:dyDescent="0.25">
      <c r="A260" s="846">
        <f>Chem!A260</f>
        <v>258</v>
      </c>
      <c r="B260" s="951" t="str">
        <f>Chem!B260</f>
        <v xml:space="preserve">Total DDD </v>
      </c>
      <c r="C260" s="946">
        <f t="shared" si="108"/>
        <v>7.9000000000000006E-6</v>
      </c>
      <c r="D260" s="463">
        <f t="shared" si="109"/>
        <v>7.9000000000000006E-6</v>
      </c>
      <c r="E260" s="463"/>
      <c r="F260" s="501">
        <f>PW!O260</f>
        <v>0.36458333333333326</v>
      </c>
      <c r="G260" s="511">
        <f>SW!R260</f>
        <v>7.9000000000000006E-6</v>
      </c>
      <c r="H260" s="222" t="str">
        <f>Partit!E260</f>
        <v>na</v>
      </c>
      <c r="I260" s="520" t="str">
        <f>PW!P260</f>
        <v>na</v>
      </c>
      <c r="J260" s="520" t="s">
        <v>232</v>
      </c>
      <c r="K260" s="970" t="s">
        <v>232</v>
      </c>
      <c r="M260" s="1367" t="str">
        <f t="shared" si="110"/>
        <v/>
      </c>
      <c r="N260" s="1368" t="str">
        <f t="shared" si="111"/>
        <v>X</v>
      </c>
      <c r="O260" s="1368" t="str">
        <f t="shared" si="112"/>
        <v/>
      </c>
      <c r="P260" s="1368" t="str">
        <f t="shared" si="113"/>
        <v/>
      </c>
      <c r="Q260" s="1369" t="str">
        <f t="shared" si="114"/>
        <v/>
      </c>
      <c r="R260" s="1367" t="str">
        <f t="shared" si="115"/>
        <v>X</v>
      </c>
      <c r="S260" s="1368" t="str">
        <f t="shared" si="116"/>
        <v/>
      </c>
      <c r="T260" s="1368" t="str">
        <f t="shared" si="117"/>
        <v/>
      </c>
      <c r="U260" s="1369" t="str">
        <f t="shared" si="118"/>
        <v/>
      </c>
      <c r="W260" s="1062"/>
    </row>
    <row r="261" spans="1:23" ht="13.9" customHeight="1" x14ac:dyDescent="0.25">
      <c r="A261" s="846">
        <f>Chem!A261</f>
        <v>259</v>
      </c>
      <c r="B261" s="951" t="str">
        <f>Chem!B261</f>
        <v>Total DDE</v>
      </c>
      <c r="C261" s="946">
        <f t="shared" si="108"/>
        <v>8.8000000000000004E-7</v>
      </c>
      <c r="D261" s="463">
        <f t="shared" si="109"/>
        <v>8.8000000000000004E-7</v>
      </c>
      <c r="E261" s="463"/>
      <c r="F261" s="501">
        <f>PW!O261</f>
        <v>0.12867647058823525</v>
      </c>
      <c r="G261" s="511">
        <f>SW!R261</f>
        <v>8.8000000000000004E-7</v>
      </c>
      <c r="H261" s="222" t="str">
        <f>Partit!E261</f>
        <v>na</v>
      </c>
      <c r="I261" s="520" t="str">
        <f>PW!P261</f>
        <v>na</v>
      </c>
      <c r="J261" s="520" t="s">
        <v>232</v>
      </c>
      <c r="K261" s="970" t="s">
        <v>232</v>
      </c>
      <c r="M261" s="1367" t="str">
        <f t="shared" si="110"/>
        <v/>
      </c>
      <c r="N261" s="1368" t="str">
        <f t="shared" si="111"/>
        <v>X</v>
      </c>
      <c r="O261" s="1368" t="str">
        <f t="shared" si="112"/>
        <v/>
      </c>
      <c r="P261" s="1368" t="str">
        <f t="shared" si="113"/>
        <v/>
      </c>
      <c r="Q261" s="1369" t="str">
        <f t="shared" si="114"/>
        <v/>
      </c>
      <c r="R261" s="1367" t="str">
        <f t="shared" si="115"/>
        <v>X</v>
      </c>
      <c r="S261" s="1368" t="str">
        <f t="shared" si="116"/>
        <v/>
      </c>
      <c r="T261" s="1368" t="str">
        <f t="shared" si="117"/>
        <v/>
      </c>
      <c r="U261" s="1369" t="str">
        <f t="shared" si="118"/>
        <v/>
      </c>
      <c r="W261" s="1062"/>
    </row>
    <row r="262" spans="1:23" ht="13.9" customHeight="1" x14ac:dyDescent="0.25">
      <c r="A262" s="846">
        <f>Chem!A262</f>
        <v>260</v>
      </c>
      <c r="B262" s="951" t="str">
        <f>Chem!B262</f>
        <v>Total DDT</v>
      </c>
      <c r="C262" s="946">
        <f t="shared" si="108"/>
        <v>1.1999999999999999E-6</v>
      </c>
      <c r="D262" s="463">
        <f t="shared" si="109"/>
        <v>1.1999999999999999E-6</v>
      </c>
      <c r="E262" s="463"/>
      <c r="F262" s="501">
        <f>PW!O262</f>
        <v>0.25735294117647051</v>
      </c>
      <c r="G262" s="511">
        <f>SW!R262</f>
        <v>1.1999999999999999E-6</v>
      </c>
      <c r="H262" s="222">
        <f>Partit!E262</f>
        <v>0.48860627258792722</v>
      </c>
      <c r="I262" s="520" t="str">
        <f>PW!P262</f>
        <v>na</v>
      </c>
      <c r="J262" s="520" t="s">
        <v>232</v>
      </c>
      <c r="K262" s="970" t="s">
        <v>232</v>
      </c>
      <c r="M262" s="1367" t="str">
        <f t="shared" si="110"/>
        <v/>
      </c>
      <c r="N262" s="1368" t="str">
        <f t="shared" si="111"/>
        <v>X</v>
      </c>
      <c r="O262" s="1368" t="str">
        <f t="shared" si="112"/>
        <v/>
      </c>
      <c r="P262" s="1368" t="str">
        <f t="shared" si="113"/>
        <v/>
      </c>
      <c r="Q262" s="1369" t="str">
        <f t="shared" si="114"/>
        <v/>
      </c>
      <c r="R262" s="1367" t="str">
        <f t="shared" si="115"/>
        <v>X</v>
      </c>
      <c r="S262" s="1368" t="str">
        <f t="shared" si="116"/>
        <v/>
      </c>
      <c r="T262" s="1368" t="str">
        <f t="shared" si="117"/>
        <v/>
      </c>
      <c r="U262" s="1369" t="str">
        <f t="shared" si="118"/>
        <v/>
      </c>
      <c r="W262" s="1062"/>
    </row>
    <row r="263" spans="1:23" ht="13.9" customHeight="1" x14ac:dyDescent="0.25">
      <c r="A263" s="846">
        <f>Chem!A263</f>
        <v>261</v>
      </c>
      <c r="B263" s="951" t="str">
        <f>Chem!B263</f>
        <v>Diazinon</v>
      </c>
      <c r="C263" s="946">
        <f t="shared" si="108"/>
        <v>0.82</v>
      </c>
      <c r="D263" s="463">
        <f t="shared" si="109"/>
        <v>0.82</v>
      </c>
      <c r="E263" s="463"/>
      <c r="F263" s="501">
        <f>PW!O263</f>
        <v>11.2</v>
      </c>
      <c r="G263" s="511">
        <f>SW!R263</f>
        <v>0.82</v>
      </c>
      <c r="H263" s="222" t="str">
        <f>Partit!E263</f>
        <v>na</v>
      </c>
      <c r="I263" s="520" t="str">
        <f>PW!P263</f>
        <v>na</v>
      </c>
      <c r="J263" s="520" t="s">
        <v>232</v>
      </c>
      <c r="K263" s="970" t="s">
        <v>232</v>
      </c>
      <c r="M263" s="1367" t="str">
        <f t="shared" si="110"/>
        <v/>
      </c>
      <c r="N263" s="1368" t="str">
        <f t="shared" si="111"/>
        <v>X</v>
      </c>
      <c r="O263" s="1368" t="str">
        <f t="shared" si="112"/>
        <v/>
      </c>
      <c r="P263" s="1368" t="str">
        <f t="shared" si="113"/>
        <v/>
      </c>
      <c r="Q263" s="1369" t="str">
        <f t="shared" si="114"/>
        <v/>
      </c>
      <c r="R263" s="1367" t="str">
        <f t="shared" si="115"/>
        <v>X</v>
      </c>
      <c r="S263" s="1368" t="str">
        <f t="shared" si="116"/>
        <v/>
      </c>
      <c r="T263" s="1368" t="str">
        <f t="shared" si="117"/>
        <v/>
      </c>
      <c r="U263" s="1369" t="str">
        <f t="shared" si="118"/>
        <v/>
      </c>
      <c r="W263" s="1062"/>
    </row>
    <row r="264" spans="1:23" ht="13.9" customHeight="1" x14ac:dyDescent="0.25">
      <c r="A264" s="846">
        <f>Chem!A264</f>
        <v>262</v>
      </c>
      <c r="B264" s="951" t="str">
        <f>Chem!B264</f>
        <v>Dieldrin</v>
      </c>
      <c r="C264" s="946">
        <f t="shared" si="108"/>
        <v>7.0000000000000005E-8</v>
      </c>
      <c r="D264" s="463">
        <f t="shared" si="109"/>
        <v>7.0000000000000005E-8</v>
      </c>
      <c r="E264" s="463"/>
      <c r="F264" s="501">
        <f>PW!O264</f>
        <v>5.4687499999999988E-3</v>
      </c>
      <c r="G264" s="511">
        <f>SW!R264</f>
        <v>7.0000000000000005E-8</v>
      </c>
      <c r="H264" s="222">
        <f>Partit!E264</f>
        <v>2.0614181344165883E-4</v>
      </c>
      <c r="I264" s="520" t="str">
        <f>PW!P264</f>
        <v>na</v>
      </c>
      <c r="J264" s="520" t="s">
        <v>232</v>
      </c>
      <c r="K264" s="970" t="s">
        <v>232</v>
      </c>
      <c r="M264" s="1367" t="str">
        <f t="shared" si="110"/>
        <v/>
      </c>
      <c r="N264" s="1368" t="str">
        <f t="shared" si="111"/>
        <v>X</v>
      </c>
      <c r="O264" s="1368" t="str">
        <f t="shared" si="112"/>
        <v/>
      </c>
      <c r="P264" s="1368" t="str">
        <f t="shared" si="113"/>
        <v/>
      </c>
      <c r="Q264" s="1369" t="str">
        <f t="shared" si="114"/>
        <v/>
      </c>
      <c r="R264" s="1367" t="str">
        <f t="shared" si="115"/>
        <v>X</v>
      </c>
      <c r="S264" s="1368" t="str">
        <f t="shared" si="116"/>
        <v/>
      </c>
      <c r="T264" s="1368" t="str">
        <f t="shared" si="117"/>
        <v/>
      </c>
      <c r="U264" s="1369" t="str">
        <f t="shared" si="118"/>
        <v/>
      </c>
      <c r="W264" s="1062"/>
    </row>
    <row r="265" spans="1:23" ht="13.9" customHeight="1" x14ac:dyDescent="0.25">
      <c r="A265" s="846">
        <f>Chem!A265</f>
        <v>263</v>
      </c>
      <c r="B265" s="951" t="str">
        <f>Chem!B265</f>
        <v>alpha-Endosulfan</v>
      </c>
      <c r="C265" s="946">
        <f t="shared" si="108"/>
        <v>8.6999999999999994E-3</v>
      </c>
      <c r="D265" s="463">
        <f t="shared" si="109"/>
        <v>8.6999999999999994E-3</v>
      </c>
      <c r="E265" s="463"/>
      <c r="F265" s="501" t="str">
        <f>PW!O265</f>
        <v>na</v>
      </c>
      <c r="G265" s="511">
        <f>SW!R265</f>
        <v>8.6999999999999994E-3</v>
      </c>
      <c r="H265" s="222" t="str">
        <f>Partit!E265</f>
        <v>na</v>
      </c>
      <c r="I265" s="520" t="str">
        <f>PW!P265</f>
        <v>na</v>
      </c>
      <c r="J265" s="520" t="s">
        <v>232</v>
      </c>
      <c r="K265" s="970" t="s">
        <v>232</v>
      </c>
      <c r="M265" s="1367" t="str">
        <f t="shared" si="110"/>
        <v/>
      </c>
      <c r="N265" s="1368" t="str">
        <f t="shared" si="111"/>
        <v>X</v>
      </c>
      <c r="O265" s="1368" t="str">
        <f t="shared" si="112"/>
        <v/>
      </c>
      <c r="P265" s="1368" t="str">
        <f t="shared" si="113"/>
        <v/>
      </c>
      <c r="Q265" s="1369" t="str">
        <f t="shared" si="114"/>
        <v/>
      </c>
      <c r="R265" s="1367" t="str">
        <f t="shared" si="115"/>
        <v>X</v>
      </c>
      <c r="S265" s="1368" t="str">
        <f t="shared" si="116"/>
        <v/>
      </c>
      <c r="T265" s="1368" t="str">
        <f t="shared" si="117"/>
        <v/>
      </c>
      <c r="U265" s="1369" t="str">
        <f t="shared" si="118"/>
        <v/>
      </c>
      <c r="W265" s="1062"/>
    </row>
    <row r="266" spans="1:23" ht="13.9" customHeight="1" x14ac:dyDescent="0.25">
      <c r="A266" s="846">
        <f>Chem!A266</f>
        <v>264</v>
      </c>
      <c r="B266" s="951" t="str">
        <f>Chem!B266</f>
        <v>beta-Endosulfan</v>
      </c>
      <c r="C266" s="946">
        <f t="shared" si="108"/>
        <v>8.6999999999999994E-3</v>
      </c>
      <c r="D266" s="463">
        <f t="shared" si="109"/>
        <v>8.6999999999999994E-3</v>
      </c>
      <c r="E266" s="463"/>
      <c r="F266" s="501" t="str">
        <f>PW!O266</f>
        <v>na</v>
      </c>
      <c r="G266" s="511">
        <f>SW!R266</f>
        <v>8.6999999999999994E-3</v>
      </c>
      <c r="H266" s="222" t="str">
        <f>Partit!E266</f>
        <v>na</v>
      </c>
      <c r="I266" s="520" t="str">
        <f>PW!P266</f>
        <v>na</v>
      </c>
      <c r="J266" s="520" t="s">
        <v>232</v>
      </c>
      <c r="K266" s="970" t="s">
        <v>232</v>
      </c>
      <c r="M266" s="1367" t="str">
        <f t="shared" si="110"/>
        <v/>
      </c>
      <c r="N266" s="1368" t="str">
        <f t="shared" si="111"/>
        <v>X</v>
      </c>
      <c r="O266" s="1368" t="str">
        <f t="shared" si="112"/>
        <v/>
      </c>
      <c r="P266" s="1368" t="str">
        <f t="shared" si="113"/>
        <v/>
      </c>
      <c r="Q266" s="1369" t="str">
        <f t="shared" si="114"/>
        <v/>
      </c>
      <c r="R266" s="1367" t="str">
        <f t="shared" si="115"/>
        <v>X</v>
      </c>
      <c r="S266" s="1368" t="str">
        <f t="shared" si="116"/>
        <v/>
      </c>
      <c r="T266" s="1368" t="str">
        <f t="shared" si="117"/>
        <v/>
      </c>
      <c r="U266" s="1369" t="str">
        <f t="shared" si="118"/>
        <v/>
      </c>
      <c r="W266" s="1062"/>
    </row>
    <row r="267" spans="1:23" ht="13.9" customHeight="1" x14ac:dyDescent="0.25">
      <c r="A267" s="846">
        <f>Chem!A267</f>
        <v>265</v>
      </c>
      <c r="B267" s="951" t="str">
        <f>Chem!B267</f>
        <v>Sum of alpha and beta endosuflan</v>
      </c>
      <c r="C267" s="946">
        <f t="shared" si="108"/>
        <v>8.6999999999999994E-3</v>
      </c>
      <c r="D267" s="463">
        <f t="shared" si="109"/>
        <v>8.6999999999999994E-3</v>
      </c>
      <c r="E267" s="463"/>
      <c r="F267" s="501">
        <f>PW!O267</f>
        <v>48</v>
      </c>
      <c r="G267" s="511">
        <f>SW!R267</f>
        <v>8.6999999999999994E-3</v>
      </c>
      <c r="H267" s="222" t="str">
        <f>Partit!E267</f>
        <v>na</v>
      </c>
      <c r="I267" s="520" t="str">
        <f>PW!P267</f>
        <v>na</v>
      </c>
      <c r="J267" s="520" t="s">
        <v>232</v>
      </c>
      <c r="K267" s="970" t="s">
        <v>232</v>
      </c>
      <c r="M267" s="1367" t="str">
        <f t="shared" si="110"/>
        <v/>
      </c>
      <c r="N267" s="1368" t="str">
        <f t="shared" si="111"/>
        <v>X</v>
      </c>
      <c r="O267" s="1368" t="str">
        <f t="shared" si="112"/>
        <v/>
      </c>
      <c r="P267" s="1368" t="str">
        <f t="shared" si="113"/>
        <v/>
      </c>
      <c r="Q267" s="1369" t="str">
        <f t="shared" si="114"/>
        <v/>
      </c>
      <c r="R267" s="1367" t="str">
        <f t="shared" si="115"/>
        <v>X</v>
      </c>
      <c r="S267" s="1368" t="str">
        <f t="shared" si="116"/>
        <v/>
      </c>
      <c r="T267" s="1368" t="str">
        <f t="shared" si="117"/>
        <v/>
      </c>
      <c r="U267" s="1369" t="str">
        <f t="shared" si="118"/>
        <v/>
      </c>
      <c r="W267" s="1062"/>
    </row>
    <row r="268" spans="1:23" ht="13.9" customHeight="1" x14ac:dyDescent="0.25">
      <c r="A268" s="846">
        <f>Chem!A268</f>
        <v>266</v>
      </c>
      <c r="B268" s="951" t="str">
        <f>Chem!B268</f>
        <v>Endosulfan sulfate</v>
      </c>
      <c r="C268" s="946">
        <f t="shared" si="108"/>
        <v>10</v>
      </c>
      <c r="D268" s="463">
        <f t="shared" si="109"/>
        <v>10</v>
      </c>
      <c r="E268" s="463"/>
      <c r="F268" s="501">
        <f>PW!O268</f>
        <v>96</v>
      </c>
      <c r="G268" s="511">
        <f>SW!R268</f>
        <v>10</v>
      </c>
      <c r="H268" s="222" t="str">
        <f>Partit!E268</f>
        <v>na</v>
      </c>
      <c r="I268" s="520" t="str">
        <f>PW!P268</f>
        <v>na</v>
      </c>
      <c r="J268" s="520" t="s">
        <v>232</v>
      </c>
      <c r="K268" s="970" t="s">
        <v>232</v>
      </c>
      <c r="M268" s="1367" t="str">
        <f t="shared" si="110"/>
        <v/>
      </c>
      <c r="N268" s="1368" t="str">
        <f t="shared" si="111"/>
        <v>X</v>
      </c>
      <c r="O268" s="1368" t="str">
        <f t="shared" si="112"/>
        <v/>
      </c>
      <c r="P268" s="1368" t="str">
        <f t="shared" si="113"/>
        <v/>
      </c>
      <c r="Q268" s="1369" t="str">
        <f t="shared" si="114"/>
        <v/>
      </c>
      <c r="R268" s="1367" t="str">
        <f t="shared" si="115"/>
        <v>X</v>
      </c>
      <c r="S268" s="1368" t="str">
        <f t="shared" si="116"/>
        <v/>
      </c>
      <c r="T268" s="1368" t="str">
        <f t="shared" si="117"/>
        <v/>
      </c>
      <c r="U268" s="1369" t="str">
        <f t="shared" si="118"/>
        <v/>
      </c>
      <c r="W268" s="1062"/>
    </row>
    <row r="269" spans="1:23" ht="13.9" customHeight="1" x14ac:dyDescent="0.25">
      <c r="A269" s="846">
        <f>Chem!A269</f>
        <v>267</v>
      </c>
      <c r="B269" s="951" t="str">
        <f>Chem!B269</f>
        <v>Sum of alpha, beta, and endosulfan sulfate</v>
      </c>
      <c r="C269" s="946">
        <f t="shared" si="108"/>
        <v>15.954415954415953</v>
      </c>
      <c r="D269" s="463">
        <f t="shared" si="109"/>
        <v>15.954415954415953</v>
      </c>
      <c r="E269" s="463"/>
      <c r="F269" s="501">
        <f>PW!O269</f>
        <v>96</v>
      </c>
      <c r="G269" s="511">
        <f>SW!R269</f>
        <v>15.954415954415953</v>
      </c>
      <c r="H269" s="222" t="str">
        <f>Partit!E269</f>
        <v>na</v>
      </c>
      <c r="I269" s="520" t="str">
        <f>PW!P269</f>
        <v>na</v>
      </c>
      <c r="J269" s="520" t="s">
        <v>232</v>
      </c>
      <c r="K269" s="970" t="s">
        <v>232</v>
      </c>
      <c r="M269" s="1367" t="str">
        <f t="shared" si="110"/>
        <v/>
      </c>
      <c r="N269" s="1368" t="str">
        <f t="shared" si="111"/>
        <v>X</v>
      </c>
      <c r="O269" s="1368" t="str">
        <f t="shared" si="112"/>
        <v/>
      </c>
      <c r="P269" s="1368" t="str">
        <f t="shared" si="113"/>
        <v/>
      </c>
      <c r="Q269" s="1369" t="str">
        <f t="shared" si="114"/>
        <v/>
      </c>
      <c r="R269" s="1367" t="str">
        <f t="shared" si="115"/>
        <v>X</v>
      </c>
      <c r="S269" s="1368" t="str">
        <f t="shared" si="116"/>
        <v/>
      </c>
      <c r="T269" s="1368" t="str">
        <f t="shared" si="117"/>
        <v/>
      </c>
      <c r="U269" s="1369" t="str">
        <f t="shared" si="118"/>
        <v/>
      </c>
      <c r="W269" s="1062"/>
    </row>
    <row r="270" spans="1:23" ht="13.9" customHeight="1" x14ac:dyDescent="0.25">
      <c r="A270" s="846">
        <f>Chem!A270</f>
        <v>268</v>
      </c>
      <c r="B270" s="951" t="str">
        <f>Chem!B270</f>
        <v>Endrin</v>
      </c>
      <c r="C270" s="946">
        <f t="shared" si="108"/>
        <v>2E-3</v>
      </c>
      <c r="D270" s="463">
        <f t="shared" si="109"/>
        <v>2E-3</v>
      </c>
      <c r="E270" s="463"/>
      <c r="F270" s="501">
        <f>PW!O270</f>
        <v>2</v>
      </c>
      <c r="G270" s="511">
        <f>SW!R270</f>
        <v>2E-3</v>
      </c>
      <c r="H270" s="222" t="str">
        <f>Partit!E270</f>
        <v>na</v>
      </c>
      <c r="I270" s="520" t="str">
        <f>PW!P270</f>
        <v>na</v>
      </c>
      <c r="J270" s="520" t="s">
        <v>232</v>
      </c>
      <c r="K270" s="970" t="s">
        <v>232</v>
      </c>
      <c r="M270" s="1367" t="str">
        <f t="shared" si="110"/>
        <v/>
      </c>
      <c r="N270" s="1368" t="str">
        <f t="shared" si="111"/>
        <v>X</v>
      </c>
      <c r="O270" s="1368" t="str">
        <f t="shared" si="112"/>
        <v/>
      </c>
      <c r="P270" s="1368" t="str">
        <f t="shared" si="113"/>
        <v/>
      </c>
      <c r="Q270" s="1369" t="str">
        <f t="shared" si="114"/>
        <v/>
      </c>
      <c r="R270" s="1367" t="str">
        <f t="shared" si="115"/>
        <v>X</v>
      </c>
      <c r="S270" s="1368" t="str">
        <f t="shared" si="116"/>
        <v/>
      </c>
      <c r="T270" s="1368" t="str">
        <f t="shared" si="117"/>
        <v/>
      </c>
      <c r="U270" s="1369" t="str">
        <f t="shared" si="118"/>
        <v/>
      </c>
      <c r="W270" s="1062"/>
    </row>
    <row r="271" spans="1:23" ht="13.9" customHeight="1" x14ac:dyDescent="0.25">
      <c r="A271" s="846">
        <f>Chem!A271</f>
        <v>269</v>
      </c>
      <c r="B271" s="951" t="str">
        <f>Chem!B271</f>
        <v>Endrin aldehyde</v>
      </c>
      <c r="C271" s="946">
        <f t="shared" si="108"/>
        <v>3.5000000000000003E-2</v>
      </c>
      <c r="D271" s="463">
        <f t="shared" si="109"/>
        <v>3.5000000000000003E-2</v>
      </c>
      <c r="E271" s="463"/>
      <c r="F271" s="501" t="str">
        <f>PW!O271</f>
        <v>na</v>
      </c>
      <c r="G271" s="511">
        <f>SW!R271</f>
        <v>3.5000000000000003E-2</v>
      </c>
      <c r="H271" s="222" t="str">
        <f>Partit!E271</f>
        <v>na</v>
      </c>
      <c r="I271" s="520" t="str">
        <f>PW!P271</f>
        <v>na</v>
      </c>
      <c r="J271" s="520" t="s">
        <v>232</v>
      </c>
      <c r="K271" s="970" t="s">
        <v>232</v>
      </c>
      <c r="M271" s="1367" t="str">
        <f t="shared" si="110"/>
        <v/>
      </c>
      <c r="N271" s="1368" t="str">
        <f t="shared" si="111"/>
        <v>X</v>
      </c>
      <c r="O271" s="1368" t="str">
        <f t="shared" si="112"/>
        <v/>
      </c>
      <c r="P271" s="1368" t="str">
        <f t="shared" si="113"/>
        <v/>
      </c>
      <c r="Q271" s="1369" t="str">
        <f t="shared" si="114"/>
        <v/>
      </c>
      <c r="R271" s="1367" t="str">
        <f t="shared" si="115"/>
        <v>X</v>
      </c>
      <c r="S271" s="1368" t="str">
        <f t="shared" si="116"/>
        <v/>
      </c>
      <c r="T271" s="1368" t="str">
        <f t="shared" si="117"/>
        <v/>
      </c>
      <c r="U271" s="1369" t="str">
        <f t="shared" si="118"/>
        <v/>
      </c>
      <c r="W271" s="1062"/>
    </row>
    <row r="272" spans="1:23" ht="13.9" customHeight="1" x14ac:dyDescent="0.25">
      <c r="A272" s="846">
        <f>Chem!A272</f>
        <v>270</v>
      </c>
      <c r="B272" s="951" t="str">
        <f>Chem!B272</f>
        <v>Endrin ketone</v>
      </c>
      <c r="C272" s="946" t="str">
        <f t="shared" si="108"/>
        <v>na</v>
      </c>
      <c r="D272" s="463" t="str">
        <f t="shared" si="109"/>
        <v>na</v>
      </c>
      <c r="E272" s="463"/>
      <c r="F272" s="501" t="str">
        <f>PW!O272</f>
        <v>na</v>
      </c>
      <c r="G272" s="511" t="str">
        <f>SW!R272</f>
        <v>na</v>
      </c>
      <c r="H272" s="222" t="str">
        <f>Partit!E272</f>
        <v>na</v>
      </c>
      <c r="I272" s="520" t="str">
        <f>PW!P272</f>
        <v>na</v>
      </c>
      <c r="J272" s="520" t="s">
        <v>232</v>
      </c>
      <c r="K272" s="970" t="s">
        <v>232</v>
      </c>
      <c r="M272" s="1367" t="str">
        <f t="shared" si="110"/>
        <v/>
      </c>
      <c r="N272" s="1368" t="str">
        <f t="shared" si="111"/>
        <v/>
      </c>
      <c r="O272" s="1368" t="str">
        <f t="shared" si="112"/>
        <v/>
      </c>
      <c r="P272" s="1368" t="str">
        <f t="shared" si="113"/>
        <v/>
      </c>
      <c r="Q272" s="1369" t="str">
        <f t="shared" si="114"/>
        <v/>
      </c>
      <c r="R272" s="1367" t="str">
        <f t="shared" si="115"/>
        <v/>
      </c>
      <c r="S272" s="1368" t="str">
        <f t="shared" si="116"/>
        <v/>
      </c>
      <c r="T272" s="1368" t="str">
        <f t="shared" si="117"/>
        <v/>
      </c>
      <c r="U272" s="1369" t="str">
        <f t="shared" si="118"/>
        <v/>
      </c>
      <c r="W272" s="1062"/>
    </row>
    <row r="273" spans="1:23" ht="13.9" customHeight="1" x14ac:dyDescent="0.25">
      <c r="A273" s="846">
        <f>Chem!A273</f>
        <v>271</v>
      </c>
      <c r="B273" s="951" t="str">
        <f>Chem!B273</f>
        <v>Heptachlor</v>
      </c>
      <c r="C273" s="946">
        <f t="shared" si="108"/>
        <v>3.3999999999999997E-7</v>
      </c>
      <c r="D273" s="463">
        <f t="shared" si="109"/>
        <v>3.3999999999999997E-7</v>
      </c>
      <c r="E273" s="463"/>
      <c r="F273" s="501">
        <f>PW!O273</f>
        <v>9.722222222222221E-2</v>
      </c>
      <c r="G273" s="511">
        <f>SW!R273</f>
        <v>3.3999999999999997E-7</v>
      </c>
      <c r="H273" s="222">
        <f>Partit!E273</f>
        <v>5.5043970418722731E-4</v>
      </c>
      <c r="I273" s="520">
        <f>PW!P273</f>
        <v>0.51004123030361503</v>
      </c>
      <c r="J273" s="520" t="s">
        <v>232</v>
      </c>
      <c r="K273" s="970" t="s">
        <v>232</v>
      </c>
      <c r="M273" s="1367" t="str">
        <f t="shared" si="110"/>
        <v/>
      </c>
      <c r="N273" s="1368" t="str">
        <f t="shared" si="111"/>
        <v>X</v>
      </c>
      <c r="O273" s="1368" t="str">
        <f t="shared" si="112"/>
        <v/>
      </c>
      <c r="P273" s="1368" t="str">
        <f t="shared" si="113"/>
        <v/>
      </c>
      <c r="Q273" s="1369" t="str">
        <f t="shared" si="114"/>
        <v/>
      </c>
      <c r="R273" s="1367" t="str">
        <f t="shared" si="115"/>
        <v>X</v>
      </c>
      <c r="S273" s="1368" t="str">
        <f t="shared" si="116"/>
        <v/>
      </c>
      <c r="T273" s="1368" t="str">
        <f t="shared" si="117"/>
        <v/>
      </c>
      <c r="U273" s="1369" t="str">
        <f t="shared" si="118"/>
        <v/>
      </c>
      <c r="W273" s="1062"/>
    </row>
    <row r="274" spans="1:23" ht="13.9" customHeight="1" x14ac:dyDescent="0.25">
      <c r="A274" s="846">
        <f>Chem!A274</f>
        <v>272</v>
      </c>
      <c r="B274" s="951" t="str">
        <f>Chem!B274</f>
        <v>Heptachlor epoxide</v>
      </c>
      <c r="C274" s="946">
        <f t="shared" si="108"/>
        <v>2.3999999999999999E-6</v>
      </c>
      <c r="D274" s="463">
        <f t="shared" si="109"/>
        <v>2.3999999999999999E-6</v>
      </c>
      <c r="E274" s="463"/>
      <c r="F274" s="501">
        <f>PW!O274</f>
        <v>4.8076923076923073E-2</v>
      </c>
      <c r="G274" s="511">
        <f>SW!R274</f>
        <v>2.3999999999999999E-6</v>
      </c>
      <c r="H274" s="222">
        <f>Partit!E274</f>
        <v>1.664437338703679</v>
      </c>
      <c r="I274" s="520" t="str">
        <f>PW!P274</f>
        <v>na</v>
      </c>
      <c r="J274" s="520" t="s">
        <v>232</v>
      </c>
      <c r="K274" s="970" t="s">
        <v>232</v>
      </c>
      <c r="M274" s="1367" t="str">
        <f t="shared" si="110"/>
        <v/>
      </c>
      <c r="N274" s="1368" t="str">
        <f t="shared" si="111"/>
        <v>X</v>
      </c>
      <c r="O274" s="1368" t="str">
        <f t="shared" si="112"/>
        <v/>
      </c>
      <c r="P274" s="1368" t="str">
        <f t="shared" si="113"/>
        <v/>
      </c>
      <c r="Q274" s="1369" t="str">
        <f t="shared" si="114"/>
        <v/>
      </c>
      <c r="R274" s="1367" t="str">
        <f t="shared" si="115"/>
        <v>X</v>
      </c>
      <c r="S274" s="1368" t="str">
        <f t="shared" si="116"/>
        <v/>
      </c>
      <c r="T274" s="1368" t="str">
        <f t="shared" si="117"/>
        <v/>
      </c>
      <c r="U274" s="1369" t="str">
        <f t="shared" si="118"/>
        <v/>
      </c>
      <c r="W274" s="1062"/>
    </row>
    <row r="275" spans="1:23" ht="13.9" customHeight="1" x14ac:dyDescent="0.25">
      <c r="A275" s="846">
        <f>Chem!A275</f>
        <v>273</v>
      </c>
      <c r="B275" s="951" t="str">
        <f>Chem!B275</f>
        <v>Lindane (gamma-BHC)</v>
      </c>
      <c r="C275" s="946">
        <f t="shared" si="108"/>
        <v>0.12551551013089471</v>
      </c>
      <c r="D275" s="463">
        <f t="shared" si="109"/>
        <v>0.12551551013089471</v>
      </c>
      <c r="E275" s="463"/>
      <c r="F275" s="501">
        <f>PW!O275</f>
        <v>0.2</v>
      </c>
      <c r="G275" s="511">
        <f>SW!R275</f>
        <v>0.12551551013089471</v>
      </c>
      <c r="H275" s="222" t="str">
        <f>Partit!E275</f>
        <v>na</v>
      </c>
      <c r="I275" s="520" t="str">
        <f>PW!P275</f>
        <v>na</v>
      </c>
      <c r="J275" s="520" t="s">
        <v>232</v>
      </c>
      <c r="K275" s="970" t="s">
        <v>232</v>
      </c>
      <c r="M275" s="1367" t="str">
        <f t="shared" si="110"/>
        <v/>
      </c>
      <c r="N275" s="1368" t="str">
        <f t="shared" si="111"/>
        <v>X</v>
      </c>
      <c r="O275" s="1368" t="str">
        <f t="shared" si="112"/>
        <v/>
      </c>
      <c r="P275" s="1368" t="str">
        <f t="shared" si="113"/>
        <v/>
      </c>
      <c r="Q275" s="1369" t="str">
        <f t="shared" si="114"/>
        <v/>
      </c>
      <c r="R275" s="1367" t="str">
        <f t="shared" si="115"/>
        <v>X</v>
      </c>
      <c r="S275" s="1368" t="str">
        <f t="shared" si="116"/>
        <v/>
      </c>
      <c r="T275" s="1368" t="str">
        <f t="shared" si="117"/>
        <v/>
      </c>
      <c r="U275" s="1369" t="str">
        <f t="shared" si="118"/>
        <v/>
      </c>
      <c r="W275" s="1062"/>
    </row>
    <row r="276" spans="1:23" ht="13.9" customHeight="1" x14ac:dyDescent="0.25">
      <c r="A276" s="846">
        <f>Chem!A276</f>
        <v>274</v>
      </c>
      <c r="B276" s="951" t="str">
        <f>Chem!B276</f>
        <v>Malathion</v>
      </c>
      <c r="C276" s="954">
        <f t="shared" si="108"/>
        <v>0.1</v>
      </c>
      <c r="D276" s="496">
        <f t="shared" si="109"/>
        <v>0.1</v>
      </c>
      <c r="E276" s="496"/>
      <c r="F276" s="502">
        <f>PW!O276</f>
        <v>320</v>
      </c>
      <c r="G276" s="512">
        <f>SW!R276</f>
        <v>0.1</v>
      </c>
      <c r="H276" s="224" t="str">
        <f>Partit!E276</f>
        <v>na</v>
      </c>
      <c r="I276" s="522" t="str">
        <f>PW!P276</f>
        <v>na</v>
      </c>
      <c r="J276" s="522" t="s">
        <v>232</v>
      </c>
      <c r="K276" s="970" t="s">
        <v>232</v>
      </c>
      <c r="M276" s="1367" t="str">
        <f t="shared" si="110"/>
        <v/>
      </c>
      <c r="N276" s="1368" t="str">
        <f t="shared" si="111"/>
        <v>X</v>
      </c>
      <c r="O276" s="1368" t="str">
        <f t="shared" si="112"/>
        <v/>
      </c>
      <c r="P276" s="1368" t="str">
        <f t="shared" si="113"/>
        <v/>
      </c>
      <c r="Q276" s="1369" t="str">
        <f t="shared" si="114"/>
        <v/>
      </c>
      <c r="R276" s="1367" t="str">
        <f t="shared" si="115"/>
        <v>X</v>
      </c>
      <c r="S276" s="1368" t="str">
        <f t="shared" si="116"/>
        <v/>
      </c>
      <c r="T276" s="1368" t="str">
        <f t="shared" si="117"/>
        <v/>
      </c>
      <c r="U276" s="1369" t="str">
        <f t="shared" si="118"/>
        <v/>
      </c>
      <c r="W276" s="1062"/>
    </row>
    <row r="277" spans="1:23" ht="13.9" customHeight="1" x14ac:dyDescent="0.25">
      <c r="A277" s="846">
        <f>Chem!A277</f>
        <v>275</v>
      </c>
      <c r="B277" s="951" t="str">
        <f>Chem!B277</f>
        <v>Methoxychlor</v>
      </c>
      <c r="C277" s="954">
        <f t="shared" si="108"/>
        <v>0.02</v>
      </c>
      <c r="D277" s="496">
        <f t="shared" si="109"/>
        <v>0.02</v>
      </c>
      <c r="E277" s="496"/>
      <c r="F277" s="502">
        <f>PW!O277</f>
        <v>40</v>
      </c>
      <c r="G277" s="512">
        <f>SW!R277</f>
        <v>0.02</v>
      </c>
      <c r="H277" s="224" t="str">
        <f>Partit!E277</f>
        <v>na</v>
      </c>
      <c r="I277" s="522" t="str">
        <f>PW!P277</f>
        <v>na</v>
      </c>
      <c r="J277" s="522" t="s">
        <v>232</v>
      </c>
      <c r="K277" s="970" t="s">
        <v>232</v>
      </c>
      <c r="M277" s="1367" t="str">
        <f t="shared" si="110"/>
        <v/>
      </c>
      <c r="N277" s="1368" t="str">
        <f t="shared" si="111"/>
        <v>X</v>
      </c>
      <c r="O277" s="1368" t="str">
        <f t="shared" si="112"/>
        <v/>
      </c>
      <c r="P277" s="1368" t="str">
        <f t="shared" si="113"/>
        <v/>
      </c>
      <c r="Q277" s="1369" t="str">
        <f t="shared" si="114"/>
        <v/>
      </c>
      <c r="R277" s="1367" t="str">
        <f t="shared" si="115"/>
        <v>X</v>
      </c>
      <c r="S277" s="1368" t="str">
        <f t="shared" si="116"/>
        <v/>
      </c>
      <c r="T277" s="1368" t="str">
        <f t="shared" si="117"/>
        <v/>
      </c>
      <c r="U277" s="1369" t="str">
        <f t="shared" si="118"/>
        <v/>
      </c>
      <c r="W277" s="1062"/>
    </row>
    <row r="278" spans="1:23" ht="13.9" customHeight="1" x14ac:dyDescent="0.25">
      <c r="A278" s="846">
        <f>Chem!A278</f>
        <v>276</v>
      </c>
      <c r="B278" s="951" t="str">
        <f>Chem!B278</f>
        <v>Mirex</v>
      </c>
      <c r="C278" s="954">
        <f t="shared" si="108"/>
        <v>1E-3</v>
      </c>
      <c r="D278" s="496">
        <f t="shared" si="109"/>
        <v>1E-3</v>
      </c>
      <c r="E278" s="496"/>
      <c r="F278" s="502">
        <f>PW!O278</f>
        <v>2.4305555555555552E-3</v>
      </c>
      <c r="G278" s="512">
        <f>SW!R278</f>
        <v>1E-3</v>
      </c>
      <c r="H278" s="224" t="str">
        <f>Partit!E278</f>
        <v>na</v>
      </c>
      <c r="I278" s="522">
        <f>PW!P278</f>
        <v>1.4784458789681092E-2</v>
      </c>
      <c r="J278" s="522" t="s">
        <v>232</v>
      </c>
      <c r="K278" s="970" t="s">
        <v>232</v>
      </c>
      <c r="M278" s="1367" t="str">
        <f t="shared" si="110"/>
        <v/>
      </c>
      <c r="N278" s="1368" t="str">
        <f t="shared" si="111"/>
        <v>X</v>
      </c>
      <c r="O278" s="1368" t="str">
        <f t="shared" si="112"/>
        <v/>
      </c>
      <c r="P278" s="1368" t="str">
        <f t="shared" si="113"/>
        <v/>
      </c>
      <c r="Q278" s="1369" t="str">
        <f t="shared" si="114"/>
        <v/>
      </c>
      <c r="R278" s="1367" t="str">
        <f t="shared" si="115"/>
        <v>X</v>
      </c>
      <c r="S278" s="1368" t="str">
        <f t="shared" si="116"/>
        <v/>
      </c>
      <c r="T278" s="1368" t="str">
        <f t="shared" si="117"/>
        <v/>
      </c>
      <c r="U278" s="1369" t="str">
        <f t="shared" si="118"/>
        <v/>
      </c>
      <c r="W278" s="1062"/>
    </row>
    <row r="279" spans="1:23" ht="13.9" customHeight="1" x14ac:dyDescent="0.25">
      <c r="A279" s="846">
        <f>Chem!A279</f>
        <v>277</v>
      </c>
      <c r="B279" s="951" t="str">
        <f>Chem!B279</f>
        <v>Nonachlor</v>
      </c>
      <c r="C279" s="946" t="str">
        <f t="shared" si="108"/>
        <v>na</v>
      </c>
      <c r="D279" s="463" t="str">
        <f t="shared" si="109"/>
        <v>na</v>
      </c>
      <c r="E279" s="463"/>
      <c r="F279" s="501" t="str">
        <f>PW!O279</f>
        <v>na</v>
      </c>
      <c r="G279" s="511" t="str">
        <f>SW!R279</f>
        <v>na</v>
      </c>
      <c r="H279" s="222" t="str">
        <f>Partit!E279</f>
        <v>na</v>
      </c>
      <c r="I279" s="522" t="str">
        <f>PW!P279</f>
        <v>na</v>
      </c>
      <c r="J279" s="522" t="s">
        <v>232</v>
      </c>
      <c r="K279" s="970" t="s">
        <v>232</v>
      </c>
      <c r="M279" s="1367" t="str">
        <f t="shared" si="110"/>
        <v/>
      </c>
      <c r="N279" s="1368" t="str">
        <f t="shared" si="111"/>
        <v/>
      </c>
      <c r="O279" s="1368" t="str">
        <f t="shared" si="112"/>
        <v/>
      </c>
      <c r="P279" s="1368" t="str">
        <f t="shared" si="113"/>
        <v/>
      </c>
      <c r="Q279" s="1369" t="str">
        <f t="shared" si="114"/>
        <v/>
      </c>
      <c r="R279" s="1367" t="str">
        <f t="shared" si="115"/>
        <v/>
      </c>
      <c r="S279" s="1368" t="str">
        <f t="shared" si="116"/>
        <v/>
      </c>
      <c r="T279" s="1368" t="str">
        <f t="shared" si="117"/>
        <v/>
      </c>
      <c r="U279" s="1369" t="str">
        <f t="shared" si="118"/>
        <v/>
      </c>
      <c r="W279" s="1062"/>
    </row>
    <row r="280" spans="1:23" ht="13.9" customHeight="1" x14ac:dyDescent="0.25">
      <c r="A280" s="1661">
        <f>Chem!A280</f>
        <v>278</v>
      </c>
      <c r="B280" s="1166" t="str">
        <f>Chem!B280</f>
        <v>Toxaphene</v>
      </c>
      <c r="C280" s="955">
        <f t="shared" si="108"/>
        <v>3.1999999999999999E-5</v>
      </c>
      <c r="D280" s="499">
        <f t="shared" si="109"/>
        <v>3.1999999999999999E-5</v>
      </c>
      <c r="E280" s="499"/>
      <c r="F280" s="506">
        <f>PW!O280</f>
        <v>0.79545454545454519</v>
      </c>
      <c r="G280" s="516">
        <f>SW!R280</f>
        <v>3.1999999999999999E-5</v>
      </c>
      <c r="H280" s="227" t="str">
        <f>Partit!E280</f>
        <v>na</v>
      </c>
      <c r="I280" s="526" t="str">
        <f>PW!P280</f>
        <v>na</v>
      </c>
      <c r="J280" s="526" t="s">
        <v>232</v>
      </c>
      <c r="K280" s="1169" t="s">
        <v>232</v>
      </c>
      <c r="M280" s="1370" t="str">
        <f t="shared" si="110"/>
        <v/>
      </c>
      <c r="N280" s="1371" t="str">
        <f t="shared" si="111"/>
        <v>X</v>
      </c>
      <c r="O280" s="1371" t="str">
        <f t="shared" si="112"/>
        <v/>
      </c>
      <c r="P280" s="1371" t="str">
        <f t="shared" si="113"/>
        <v/>
      </c>
      <c r="Q280" s="1372" t="str">
        <f t="shared" si="114"/>
        <v/>
      </c>
      <c r="R280" s="1370" t="str">
        <f t="shared" si="115"/>
        <v>X</v>
      </c>
      <c r="S280" s="1371" t="str">
        <f t="shared" si="116"/>
        <v/>
      </c>
      <c r="T280" s="1371" t="str">
        <f t="shared" si="117"/>
        <v/>
      </c>
      <c r="U280" s="1372" t="str">
        <f t="shared" si="118"/>
        <v/>
      </c>
      <c r="W280" s="1137"/>
    </row>
    <row r="281" spans="1:23" ht="13.9" customHeight="1" x14ac:dyDescent="0.25">
      <c r="A281" s="1197">
        <f>Chem!A281</f>
        <v>279</v>
      </c>
      <c r="B281" s="1170" t="str">
        <f>Chem!B281</f>
        <v>Herbicides</v>
      </c>
      <c r="C281" s="2320"/>
      <c r="D281" s="2320"/>
      <c r="E281" s="2320"/>
      <c r="F281" s="2320"/>
      <c r="G281" s="2320"/>
      <c r="H281" s="2320"/>
      <c r="I281" s="2320"/>
      <c r="J281" s="2320"/>
      <c r="K281" s="2322"/>
      <c r="M281" s="1376" t="str">
        <f>B281</f>
        <v>Herbicides</v>
      </c>
      <c r="N281" s="2333"/>
      <c r="O281" s="2333"/>
      <c r="P281" s="2333"/>
      <c r="Q281" s="2333"/>
      <c r="R281" s="2333"/>
      <c r="S281" s="2333"/>
      <c r="T281" s="2333"/>
      <c r="U281" s="2334"/>
      <c r="W281" s="1063"/>
    </row>
    <row r="282" spans="1:23" ht="13.9" customHeight="1" x14ac:dyDescent="0.25">
      <c r="A282" s="846">
        <f>Chem!A282</f>
        <v>280</v>
      </c>
      <c r="B282" s="1689" t="str">
        <f>Chem!B282</f>
        <v>2,4-Dichlorophenoxyacetic acid (2,4-D)</v>
      </c>
      <c r="C282" s="1215">
        <f t="shared" si="108"/>
        <v>70</v>
      </c>
      <c r="D282" s="1192">
        <f t="shared" si="109"/>
        <v>12000</v>
      </c>
      <c r="E282" s="1217"/>
      <c r="F282" s="509">
        <f>PW!O282</f>
        <v>70</v>
      </c>
      <c r="G282" s="1226">
        <f>SW!R282</f>
        <v>12000</v>
      </c>
      <c r="H282" s="1227" t="str">
        <f>Partit!E282</f>
        <v>na</v>
      </c>
      <c r="I282" s="1228" t="str">
        <f>PW!P282</f>
        <v>na</v>
      </c>
      <c r="J282" s="1228" t="s">
        <v>232</v>
      </c>
      <c r="K282" s="1219" t="s">
        <v>232</v>
      </c>
      <c r="M282" s="1373" t="str">
        <f t="shared" ref="M282:M291" si="119">IF($C282="na","",IF($C282=$F282,"X",""))</f>
        <v>X</v>
      </c>
      <c r="N282" s="1374" t="str">
        <f t="shared" ref="N282:N291" si="120">IF($C282="na","",IF($C282=$G282,"X",""))</f>
        <v/>
      </c>
      <c r="O282" s="1374" t="str">
        <f t="shared" ref="O282:O291" si="121">IF($C282="na","",IF($C282=$H282,"X",""))</f>
        <v/>
      </c>
      <c r="P282" s="1374" t="str">
        <f t="shared" ref="P282:P291" si="122">IF($C282="na","",IF($C282=$I282,"X",""))</f>
        <v/>
      </c>
      <c r="Q282" s="1375" t="str">
        <f t="shared" ref="Q282:Q291" si="123">IF($C282="na","",IF($C282=$K282,"X",""))</f>
        <v/>
      </c>
      <c r="R282" s="1373" t="str">
        <f t="shared" ref="R282:R291" si="124">IF($D282="na","",IF($D282=$G282,"X",""))</f>
        <v>X</v>
      </c>
      <c r="S282" s="1374" t="str">
        <f t="shared" ref="S282:S291" si="125">IF($D282="na","",IF($D282=$H282,"X",""))</f>
        <v/>
      </c>
      <c r="T282" s="1374" t="str">
        <f t="shared" ref="T282:T291" si="126">IF($D282="na","",IF($D282=$I282,"X",""))</f>
        <v/>
      </c>
      <c r="U282" s="1375" t="str">
        <f t="shared" ref="U282:U291" si="127">IF($D282="na","",IF($D282=$K282,"X",""))</f>
        <v/>
      </c>
      <c r="W282" s="1062"/>
    </row>
    <row r="283" spans="1:23" ht="13.9" customHeight="1" x14ac:dyDescent="0.25">
      <c r="A283" s="846">
        <f>Chem!A283</f>
        <v>281</v>
      </c>
      <c r="B283" s="1578" t="str">
        <f>Chem!B283</f>
        <v>4-(2,4-Dichlorophenoxy)butanoic acid 2,4-DB</v>
      </c>
      <c r="C283" s="946" t="str">
        <f t="shared" si="108"/>
        <v>na</v>
      </c>
      <c r="D283" s="463" t="str">
        <f t="shared" si="109"/>
        <v>na</v>
      </c>
      <c r="E283" s="1221"/>
      <c r="F283" s="501" t="str">
        <f>PW!O283</f>
        <v>na</v>
      </c>
      <c r="G283" s="511" t="str">
        <f>SW!R283</f>
        <v>na</v>
      </c>
      <c r="H283" s="222" t="str">
        <f>Partit!E283</f>
        <v>na</v>
      </c>
      <c r="I283" s="520" t="str">
        <f>PW!P283</f>
        <v>na</v>
      </c>
      <c r="J283" s="520" t="s">
        <v>232</v>
      </c>
      <c r="K283" s="970" t="s">
        <v>232</v>
      </c>
      <c r="M283" s="1367" t="str">
        <f t="shared" si="119"/>
        <v/>
      </c>
      <c r="N283" s="1368" t="str">
        <f t="shared" si="120"/>
        <v/>
      </c>
      <c r="O283" s="1368" t="str">
        <f t="shared" si="121"/>
        <v/>
      </c>
      <c r="P283" s="1368" t="str">
        <f t="shared" si="122"/>
        <v/>
      </c>
      <c r="Q283" s="1369" t="str">
        <f t="shared" si="123"/>
        <v/>
      </c>
      <c r="R283" s="1367" t="str">
        <f t="shared" si="124"/>
        <v/>
      </c>
      <c r="S283" s="1368" t="str">
        <f t="shared" si="125"/>
        <v/>
      </c>
      <c r="T283" s="1368" t="str">
        <f t="shared" si="126"/>
        <v/>
      </c>
      <c r="U283" s="1369" t="str">
        <f t="shared" si="127"/>
        <v/>
      </c>
      <c r="W283" s="1062"/>
    </row>
    <row r="284" spans="1:23" ht="13.9" customHeight="1" x14ac:dyDescent="0.25">
      <c r="A284" s="846">
        <f>Chem!A284</f>
        <v>282</v>
      </c>
      <c r="B284" s="1578" t="str">
        <f>Chem!B284</f>
        <v>2-(2,4,5-Trichlorophenoxy)propionic acid (2,4,5-TP)</v>
      </c>
      <c r="C284" s="946">
        <f t="shared" si="108"/>
        <v>50</v>
      </c>
      <c r="D284" s="463">
        <f t="shared" si="109"/>
        <v>400</v>
      </c>
      <c r="E284" s="1221"/>
      <c r="F284" s="501">
        <f>PW!O284</f>
        <v>50</v>
      </c>
      <c r="G284" s="511">
        <f>SW!R284</f>
        <v>400</v>
      </c>
      <c r="H284" s="222" t="str">
        <f>Partit!E284</f>
        <v>na</v>
      </c>
      <c r="I284" s="520" t="str">
        <f>PW!P284</f>
        <v>na</v>
      </c>
      <c r="J284" s="520" t="s">
        <v>232</v>
      </c>
      <c r="K284" s="970" t="s">
        <v>232</v>
      </c>
      <c r="M284" s="1367" t="str">
        <f t="shared" si="119"/>
        <v>X</v>
      </c>
      <c r="N284" s="1368" t="str">
        <f t="shared" si="120"/>
        <v/>
      </c>
      <c r="O284" s="1368" t="str">
        <f t="shared" si="121"/>
        <v/>
      </c>
      <c r="P284" s="1368" t="str">
        <f t="shared" si="122"/>
        <v/>
      </c>
      <c r="Q284" s="1369" t="str">
        <f t="shared" si="123"/>
        <v/>
      </c>
      <c r="R284" s="1367" t="str">
        <f t="shared" si="124"/>
        <v>X</v>
      </c>
      <c r="S284" s="1368" t="str">
        <f t="shared" si="125"/>
        <v/>
      </c>
      <c r="T284" s="1368" t="str">
        <f t="shared" si="126"/>
        <v/>
      </c>
      <c r="U284" s="1369" t="str">
        <f t="shared" si="127"/>
        <v/>
      </c>
      <c r="W284" s="1062"/>
    </row>
    <row r="285" spans="1:23" ht="13.9" customHeight="1" x14ac:dyDescent="0.25">
      <c r="A285" s="846">
        <f>Chem!A285</f>
        <v>283</v>
      </c>
      <c r="B285" s="1578" t="str">
        <f>Chem!B285</f>
        <v>2,4,5-Trichlorophenoxyacetic acid (2,4,5-T)</v>
      </c>
      <c r="C285" s="946">
        <f t="shared" si="108"/>
        <v>160</v>
      </c>
      <c r="D285" s="463" t="str">
        <f t="shared" si="109"/>
        <v>na</v>
      </c>
      <c r="E285" s="1221"/>
      <c r="F285" s="501">
        <f>PW!O285</f>
        <v>160</v>
      </c>
      <c r="G285" s="511" t="str">
        <f>SW!R285</f>
        <v>na</v>
      </c>
      <c r="H285" s="222" t="str">
        <f>Partit!E285</f>
        <v>na</v>
      </c>
      <c r="I285" s="520" t="str">
        <f>PW!P285</f>
        <v>na</v>
      </c>
      <c r="J285" s="520" t="s">
        <v>232</v>
      </c>
      <c r="K285" s="970" t="s">
        <v>232</v>
      </c>
      <c r="M285" s="1367" t="str">
        <f t="shared" si="119"/>
        <v>X</v>
      </c>
      <c r="N285" s="1368" t="str">
        <f t="shared" si="120"/>
        <v/>
      </c>
      <c r="O285" s="1368" t="str">
        <f t="shared" si="121"/>
        <v/>
      </c>
      <c r="P285" s="1368" t="str">
        <f t="shared" si="122"/>
        <v/>
      </c>
      <c r="Q285" s="1369" t="str">
        <f t="shared" si="123"/>
        <v/>
      </c>
      <c r="R285" s="1367" t="str">
        <f t="shared" si="124"/>
        <v/>
      </c>
      <c r="S285" s="1368" t="str">
        <f t="shared" si="125"/>
        <v/>
      </c>
      <c r="T285" s="1368" t="str">
        <f t="shared" si="126"/>
        <v/>
      </c>
      <c r="U285" s="1369" t="str">
        <f t="shared" si="127"/>
        <v/>
      </c>
      <c r="W285" s="1062"/>
    </row>
    <row r="286" spans="1:23" ht="13.9" customHeight="1" x14ac:dyDescent="0.25">
      <c r="A286" s="846">
        <f>Chem!A286</f>
        <v>284</v>
      </c>
      <c r="B286" s="1578" t="str">
        <f>Chem!B286</f>
        <v>Dalapon</v>
      </c>
      <c r="C286" s="946">
        <f t="shared" si="108"/>
        <v>200</v>
      </c>
      <c r="D286" s="463" t="str">
        <f t="shared" si="109"/>
        <v>na</v>
      </c>
      <c r="E286" s="1221"/>
      <c r="F286" s="501">
        <f>PW!O286</f>
        <v>200</v>
      </c>
      <c r="G286" s="511" t="str">
        <f>SW!R286</f>
        <v>na</v>
      </c>
      <c r="H286" s="222" t="str">
        <f>Partit!E286</f>
        <v>na</v>
      </c>
      <c r="I286" s="520" t="str">
        <f>PW!P286</f>
        <v>na</v>
      </c>
      <c r="J286" s="520" t="s">
        <v>232</v>
      </c>
      <c r="K286" s="970" t="s">
        <v>232</v>
      </c>
      <c r="M286" s="1367" t="str">
        <f t="shared" si="119"/>
        <v>X</v>
      </c>
      <c r="N286" s="1368" t="str">
        <f t="shared" si="120"/>
        <v/>
      </c>
      <c r="O286" s="1368" t="str">
        <f t="shared" si="121"/>
        <v/>
      </c>
      <c r="P286" s="1368" t="str">
        <f t="shared" si="122"/>
        <v/>
      </c>
      <c r="Q286" s="1369" t="str">
        <f t="shared" si="123"/>
        <v/>
      </c>
      <c r="R286" s="1367" t="str">
        <f t="shared" si="124"/>
        <v/>
      </c>
      <c r="S286" s="1368" t="str">
        <f t="shared" si="125"/>
        <v/>
      </c>
      <c r="T286" s="1368" t="str">
        <f t="shared" si="126"/>
        <v/>
      </c>
      <c r="U286" s="1369" t="str">
        <f t="shared" si="127"/>
        <v/>
      </c>
      <c r="W286" s="1062"/>
    </row>
    <row r="287" spans="1:23" ht="13.9" customHeight="1" x14ac:dyDescent="0.25">
      <c r="A287" s="846">
        <f>Chem!A287</f>
        <v>285</v>
      </c>
      <c r="B287" s="1578" t="str">
        <f>Chem!B287</f>
        <v>Dicamba</v>
      </c>
      <c r="C287" s="946">
        <f t="shared" si="108"/>
        <v>480</v>
      </c>
      <c r="D287" s="463" t="str">
        <f t="shared" si="109"/>
        <v>na</v>
      </c>
      <c r="E287" s="1221"/>
      <c r="F287" s="501">
        <f>PW!O287</f>
        <v>480</v>
      </c>
      <c r="G287" s="511" t="str">
        <f>SW!R287</f>
        <v>na</v>
      </c>
      <c r="H287" s="222" t="str">
        <f>Partit!E287</f>
        <v>na</v>
      </c>
      <c r="I287" s="520" t="str">
        <f>PW!P287</f>
        <v>na</v>
      </c>
      <c r="J287" s="520" t="s">
        <v>232</v>
      </c>
      <c r="K287" s="970" t="s">
        <v>232</v>
      </c>
      <c r="M287" s="1367" t="str">
        <f t="shared" si="119"/>
        <v>X</v>
      </c>
      <c r="N287" s="1368" t="str">
        <f t="shared" si="120"/>
        <v/>
      </c>
      <c r="O287" s="1368" t="str">
        <f t="shared" si="121"/>
        <v/>
      </c>
      <c r="P287" s="1368" t="str">
        <f t="shared" si="122"/>
        <v/>
      </c>
      <c r="Q287" s="1369" t="str">
        <f t="shared" si="123"/>
        <v/>
      </c>
      <c r="R287" s="1367" t="str">
        <f t="shared" si="124"/>
        <v/>
      </c>
      <c r="S287" s="1368" t="str">
        <f t="shared" si="125"/>
        <v/>
      </c>
      <c r="T287" s="1368" t="str">
        <f t="shared" si="126"/>
        <v/>
      </c>
      <c r="U287" s="1369" t="str">
        <f t="shared" si="127"/>
        <v/>
      </c>
      <c r="W287" s="1062"/>
    </row>
    <row r="288" spans="1:23" ht="13.9" customHeight="1" x14ac:dyDescent="0.25">
      <c r="A288" s="846">
        <f>Chem!A288</f>
        <v>286</v>
      </c>
      <c r="B288" s="1578" t="str">
        <f>Chem!B288</f>
        <v>Dichloroprop</v>
      </c>
      <c r="C288" s="946" t="str">
        <f t="shared" si="108"/>
        <v>na</v>
      </c>
      <c r="D288" s="463" t="str">
        <f t="shared" si="109"/>
        <v>na</v>
      </c>
      <c r="E288" s="1221"/>
      <c r="F288" s="501" t="str">
        <f>PW!O288</f>
        <v>na</v>
      </c>
      <c r="G288" s="511" t="str">
        <f>SW!R288</f>
        <v>na</v>
      </c>
      <c r="H288" s="222" t="str">
        <f>Partit!E288</f>
        <v>na</v>
      </c>
      <c r="I288" s="520" t="str">
        <f>PW!P288</f>
        <v>na</v>
      </c>
      <c r="J288" s="520" t="s">
        <v>232</v>
      </c>
      <c r="K288" s="970" t="s">
        <v>232</v>
      </c>
      <c r="M288" s="1367" t="str">
        <f t="shared" si="119"/>
        <v/>
      </c>
      <c r="N288" s="1368" t="str">
        <f t="shared" si="120"/>
        <v/>
      </c>
      <c r="O288" s="1368" t="str">
        <f t="shared" si="121"/>
        <v/>
      </c>
      <c r="P288" s="1368" t="str">
        <f t="shared" si="122"/>
        <v/>
      </c>
      <c r="Q288" s="1369" t="str">
        <f t="shared" si="123"/>
        <v/>
      </c>
      <c r="R288" s="1367" t="str">
        <f t="shared" si="124"/>
        <v/>
      </c>
      <c r="S288" s="1368" t="str">
        <f t="shared" si="125"/>
        <v/>
      </c>
      <c r="T288" s="1368" t="str">
        <f t="shared" si="126"/>
        <v/>
      </c>
      <c r="U288" s="1369" t="str">
        <f t="shared" si="127"/>
        <v/>
      </c>
      <c r="W288" s="1062"/>
    </row>
    <row r="289" spans="1:23" ht="13.9" customHeight="1" x14ac:dyDescent="0.25">
      <c r="A289" s="846">
        <f>Chem!A289</f>
        <v>287</v>
      </c>
      <c r="B289" s="1578" t="str">
        <f>Chem!B289</f>
        <v>Dinoseb</v>
      </c>
      <c r="C289" s="946">
        <f t="shared" si="108"/>
        <v>7</v>
      </c>
      <c r="D289" s="463" t="str">
        <f t="shared" si="109"/>
        <v>na</v>
      </c>
      <c r="E289" s="1221"/>
      <c r="F289" s="501">
        <f>PW!O289</f>
        <v>7</v>
      </c>
      <c r="G289" s="511" t="str">
        <f>SW!R289</f>
        <v>na</v>
      </c>
      <c r="H289" s="222" t="str">
        <f>Partit!E289</f>
        <v>na</v>
      </c>
      <c r="I289" s="520" t="str">
        <f>PW!P289</f>
        <v>na</v>
      </c>
      <c r="J289" s="520" t="s">
        <v>232</v>
      </c>
      <c r="K289" s="970" t="s">
        <v>232</v>
      </c>
      <c r="M289" s="1367" t="str">
        <f t="shared" si="119"/>
        <v>X</v>
      </c>
      <c r="N289" s="1368" t="str">
        <f t="shared" si="120"/>
        <v/>
      </c>
      <c r="O289" s="1368" t="str">
        <f t="shared" si="121"/>
        <v/>
      </c>
      <c r="P289" s="1368" t="str">
        <f t="shared" si="122"/>
        <v/>
      </c>
      <c r="Q289" s="1369" t="str">
        <f t="shared" si="123"/>
        <v/>
      </c>
      <c r="R289" s="1367" t="str">
        <f t="shared" si="124"/>
        <v/>
      </c>
      <c r="S289" s="1368" t="str">
        <f t="shared" si="125"/>
        <v/>
      </c>
      <c r="T289" s="1368" t="str">
        <f t="shared" si="126"/>
        <v/>
      </c>
      <c r="U289" s="1369" t="str">
        <f t="shared" si="127"/>
        <v/>
      </c>
      <c r="W289" s="1062"/>
    </row>
    <row r="290" spans="1:23" ht="13.9" customHeight="1" x14ac:dyDescent="0.25">
      <c r="A290" s="846">
        <f>Chem!A290</f>
        <v>288</v>
      </c>
      <c r="B290" s="1578" t="str">
        <f>Chem!B290</f>
        <v>2-Methyl-4-chlorophenoxy acetic acid (MCPA)</v>
      </c>
      <c r="C290" s="946">
        <f t="shared" si="108"/>
        <v>8</v>
      </c>
      <c r="D290" s="463" t="str">
        <f t="shared" si="109"/>
        <v>na</v>
      </c>
      <c r="E290" s="1221"/>
      <c r="F290" s="501">
        <f>PW!O290</f>
        <v>8</v>
      </c>
      <c r="G290" s="511" t="str">
        <f>SW!R290</f>
        <v>na</v>
      </c>
      <c r="H290" s="222" t="str">
        <f>Partit!E290</f>
        <v>na</v>
      </c>
      <c r="I290" s="520" t="str">
        <f>PW!P290</f>
        <v>na</v>
      </c>
      <c r="J290" s="520" t="s">
        <v>232</v>
      </c>
      <c r="K290" s="970" t="s">
        <v>232</v>
      </c>
      <c r="M290" s="1367" t="str">
        <f t="shared" si="119"/>
        <v>X</v>
      </c>
      <c r="N290" s="1368" t="str">
        <f t="shared" si="120"/>
        <v/>
      </c>
      <c r="O290" s="1368" t="str">
        <f t="shared" si="121"/>
        <v/>
      </c>
      <c r="P290" s="1368" t="str">
        <f t="shared" si="122"/>
        <v/>
      </c>
      <c r="Q290" s="1369" t="str">
        <f t="shared" si="123"/>
        <v/>
      </c>
      <c r="R290" s="1367" t="str">
        <f t="shared" si="124"/>
        <v/>
      </c>
      <c r="S290" s="1368" t="str">
        <f t="shared" si="125"/>
        <v/>
      </c>
      <c r="T290" s="1368" t="str">
        <f t="shared" si="126"/>
        <v/>
      </c>
      <c r="U290" s="1369" t="str">
        <f t="shared" si="127"/>
        <v/>
      </c>
      <c r="W290" s="1062"/>
    </row>
    <row r="291" spans="1:23" ht="13.9" customHeight="1" thickBot="1" x14ac:dyDescent="0.3">
      <c r="A291" s="1662">
        <f>Chem!A291</f>
        <v>289</v>
      </c>
      <c r="B291" s="1579" t="str">
        <f>Chem!B291</f>
        <v>(2-Methyl-4-chlorophenol)2-propionic acid (MCPP)</v>
      </c>
      <c r="C291" s="949">
        <f t="shared" si="108"/>
        <v>16</v>
      </c>
      <c r="D291" s="466" t="str">
        <f t="shared" si="109"/>
        <v>na</v>
      </c>
      <c r="E291" s="1224"/>
      <c r="F291" s="510">
        <f>PW!O291</f>
        <v>16</v>
      </c>
      <c r="G291" s="519" t="str">
        <f>SW!R291</f>
        <v>na</v>
      </c>
      <c r="H291" s="230" t="str">
        <f>Partit!E291</f>
        <v>na</v>
      </c>
      <c r="I291" s="529" t="str">
        <f>PW!P291</f>
        <v>na</v>
      </c>
      <c r="J291" s="529" t="s">
        <v>232</v>
      </c>
      <c r="K291" s="973" t="s">
        <v>232</v>
      </c>
      <c r="M291" s="1370" t="str">
        <f t="shared" si="119"/>
        <v>X</v>
      </c>
      <c r="N291" s="1371" t="str">
        <f t="shared" si="120"/>
        <v/>
      </c>
      <c r="O291" s="1371" t="str">
        <f t="shared" si="121"/>
        <v/>
      </c>
      <c r="P291" s="1371" t="str">
        <f t="shared" si="122"/>
        <v/>
      </c>
      <c r="Q291" s="1372" t="str">
        <f t="shared" si="123"/>
        <v/>
      </c>
      <c r="R291" s="1370" t="str">
        <f t="shared" si="124"/>
        <v/>
      </c>
      <c r="S291" s="1371" t="str">
        <f t="shared" si="125"/>
        <v/>
      </c>
      <c r="T291" s="1371" t="str">
        <f t="shared" si="126"/>
        <v/>
      </c>
      <c r="U291" s="1372" t="str">
        <f t="shared" si="127"/>
        <v/>
      </c>
      <c r="W291" s="1065"/>
    </row>
    <row r="292" spans="1:23" s="192" customFormat="1" ht="13.9" customHeight="1" thickTop="1" x14ac:dyDescent="0.2">
      <c r="C292" s="193"/>
      <c r="D292" s="193"/>
      <c r="E292" s="193"/>
      <c r="K292" s="193"/>
      <c r="L292" s="828" t="s">
        <v>440</v>
      </c>
      <c r="M292" s="371">
        <f t="shared" ref="M292:U292" si="128">COUNTIF(M$3:M$291,"X")</f>
        <v>105</v>
      </c>
      <c r="N292" s="371">
        <f t="shared" si="128"/>
        <v>95</v>
      </c>
      <c r="O292" s="371">
        <f t="shared" si="128"/>
        <v>22</v>
      </c>
      <c r="P292" s="371">
        <f t="shared" si="128"/>
        <v>16</v>
      </c>
      <c r="Q292" s="371">
        <f t="shared" si="128"/>
        <v>1</v>
      </c>
      <c r="R292" s="371">
        <f t="shared" si="128"/>
        <v>121</v>
      </c>
      <c r="S292" s="371">
        <f t="shared" si="128"/>
        <v>22</v>
      </c>
      <c r="T292" s="371">
        <f t="shared" si="128"/>
        <v>41</v>
      </c>
      <c r="U292" s="371">
        <f t="shared" si="128"/>
        <v>1</v>
      </c>
      <c r="V292" s="199"/>
      <c r="W292" s="968">
        <f>COUNTA(W4:W291)</f>
        <v>0</v>
      </c>
    </row>
    <row r="293" spans="1:23" s="192" customFormat="1" ht="13.9" customHeight="1" x14ac:dyDescent="0.2">
      <c r="C293" s="193"/>
      <c r="D293" s="193"/>
      <c r="E293" s="193"/>
      <c r="K293" s="193"/>
      <c r="M293" s="371">
        <f>COUNTIF(M3:M292,"X")</f>
        <v>105</v>
      </c>
      <c r="N293" s="371"/>
      <c r="O293" s="371"/>
      <c r="P293" s="371"/>
      <c r="Q293" s="371"/>
      <c r="R293" s="968"/>
      <c r="S293" s="968"/>
      <c r="T293" s="199"/>
      <c r="U293" s="199"/>
      <c r="V293" s="199"/>
      <c r="W293" s="1066"/>
    </row>
    <row r="294" spans="1:23" s="192" customFormat="1" ht="13.9" customHeight="1" x14ac:dyDescent="0.2">
      <c r="C294" s="193"/>
      <c r="D294" s="193"/>
      <c r="E294" s="193"/>
      <c r="K294" s="193"/>
      <c r="M294" s="371"/>
      <c r="N294" s="371"/>
      <c r="O294" s="371"/>
      <c r="P294" s="371"/>
      <c r="Q294" s="371"/>
      <c r="R294" s="199"/>
      <c r="S294" s="199"/>
      <c r="T294" s="199"/>
      <c r="U294" s="199"/>
      <c r="V294" s="199"/>
      <c r="W294" s="1066"/>
    </row>
  </sheetData>
  <autoFilter ref="A2:W293" xr:uid="{00000000-0009-0000-0000-000003000000}"/>
  <mergeCells count="2">
    <mergeCell ref="M1:Q1"/>
    <mergeCell ref="R1:U1"/>
  </mergeCells>
  <printOptions horizontalCentered="1"/>
  <pageMargins left="0.7" right="0.7" top="0.75" bottom="0.75" header="0.3" footer="0.3"/>
  <pageSetup orientation="portrait" r:id="rId1"/>
  <headerFooter scaleWithDoc="0">
    <oddFooter>&amp;LDecember 1, 2018&amp;CLDW Ground Water PCUL Summary&amp;RPage &amp;P of &amp;N</oddFooter>
  </headerFooter>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5B3B-42AA-4067-983F-E75111F5B8BA}">
  <sheetPr>
    <tabColor theme="6" tint="0.39997558519241921"/>
  </sheetPr>
  <dimension ref="A1:AE292"/>
  <sheetViews>
    <sheetView workbookViewId="0">
      <pane xSplit="2" ySplit="2" topLeftCell="C265" activePane="bottomRight" state="frozen"/>
      <selection pane="topRight" activeCell="C1" sqref="C1"/>
      <selection pane="bottomLeft" activeCell="A3" sqref="A3"/>
      <selection pane="bottomRight" activeCell="C266" sqref="C266"/>
    </sheetView>
  </sheetViews>
  <sheetFormatPr defaultColWidth="8.85546875" defaultRowHeight="12" x14ac:dyDescent="0.2"/>
  <cols>
    <col min="1" max="1" width="6.140625" style="1951" customWidth="1"/>
    <col min="2" max="2" width="34.85546875" style="1930" customWidth="1"/>
    <col min="3" max="3" width="18.5703125" style="1930" customWidth="1"/>
    <col min="4" max="6" width="16.85546875" style="1930" customWidth="1"/>
    <col min="7" max="7" width="10.7109375" style="1930" customWidth="1"/>
    <col min="8" max="9" width="18.140625" style="1930" customWidth="1"/>
    <col min="10" max="10" width="18" style="1930" customWidth="1"/>
    <col min="11" max="11" width="17.85546875" style="1930" customWidth="1"/>
    <col min="12" max="12" width="17.7109375" style="1930" customWidth="1"/>
    <col min="13" max="13" width="15" style="1930" customWidth="1"/>
    <col min="14" max="14" width="15" style="164" customWidth="1"/>
    <col min="15" max="16" width="11.5703125" style="164" customWidth="1"/>
    <col min="17" max="17" width="3.28515625" style="1930" customWidth="1"/>
    <col min="18" max="23" width="4.140625" style="1948" customWidth="1"/>
    <col min="24" max="24" width="4.140625" style="164" customWidth="1"/>
    <col min="25" max="25" width="3.28515625" style="1930" customWidth="1"/>
    <col min="26" max="26" width="13" style="164" customWidth="1"/>
    <col min="27" max="16384" width="8.85546875" style="1930"/>
  </cols>
  <sheetData>
    <row r="1" spans="1:31" s="242" customFormat="1" ht="16.5" thickTop="1" thickBot="1" x14ac:dyDescent="0.25">
      <c r="A1" s="1949"/>
      <c r="B1" s="1926" t="s">
        <v>1687</v>
      </c>
      <c r="C1" s="2200"/>
      <c r="N1" s="243"/>
      <c r="O1" s="243"/>
      <c r="P1" s="243"/>
      <c r="R1" s="2648" t="s">
        <v>671</v>
      </c>
      <c r="S1" s="2649"/>
      <c r="T1" s="2649"/>
      <c r="U1" s="2649"/>
      <c r="V1" s="2649"/>
      <c r="W1" s="2649"/>
      <c r="X1" s="2650"/>
      <c r="Z1" s="243"/>
    </row>
    <row r="2" spans="1:31" s="242" customFormat="1" ht="88.5" customHeight="1" thickTop="1" thickBot="1" x14ac:dyDescent="0.25">
      <c r="A2" s="1906" t="s">
        <v>445</v>
      </c>
      <c r="B2" s="1714" t="s">
        <v>644</v>
      </c>
      <c r="C2" s="1712" t="s">
        <v>676</v>
      </c>
      <c r="D2" s="1726" t="s">
        <v>680</v>
      </c>
      <c r="E2" s="1726" t="s">
        <v>681</v>
      </c>
      <c r="F2" s="1712" t="s">
        <v>742</v>
      </c>
      <c r="G2" s="1712" t="s">
        <v>743</v>
      </c>
      <c r="H2" s="1726" t="s">
        <v>744</v>
      </c>
      <c r="I2" s="1726" t="s">
        <v>745</v>
      </c>
      <c r="J2" s="1726" t="s">
        <v>746</v>
      </c>
      <c r="K2" s="1726" t="s">
        <v>747</v>
      </c>
      <c r="L2" s="1712" t="s">
        <v>748</v>
      </c>
      <c r="M2" s="1712" t="s">
        <v>749</v>
      </c>
      <c r="N2" s="1712" t="s">
        <v>750</v>
      </c>
      <c r="O2" s="1726" t="s">
        <v>751</v>
      </c>
      <c r="P2" s="1728" t="s">
        <v>752</v>
      </c>
      <c r="R2" s="2043" t="s">
        <v>659</v>
      </c>
      <c r="S2" s="2044" t="s">
        <v>672</v>
      </c>
      <c r="T2" s="2044" t="s">
        <v>646</v>
      </c>
      <c r="U2" s="2044" t="s">
        <v>673</v>
      </c>
      <c r="V2" s="2044" t="s">
        <v>674</v>
      </c>
      <c r="W2" s="2044" t="s">
        <v>675</v>
      </c>
      <c r="X2" s="2045" t="s">
        <v>121</v>
      </c>
      <c r="Z2" s="1927" t="s">
        <v>465</v>
      </c>
      <c r="AE2" s="1729"/>
    </row>
    <row r="3" spans="1:31" ht="13.9" customHeight="1" thickTop="1" x14ac:dyDescent="0.25">
      <c r="A3" s="1907">
        <f>Chem!A3</f>
        <v>1</v>
      </c>
      <c r="B3" s="1928" t="str">
        <f>Chem!B3</f>
        <v>PCBs</v>
      </c>
      <c r="C3" s="208"/>
      <c r="D3" s="208"/>
      <c r="E3" s="208"/>
      <c r="F3" s="1929"/>
      <c r="G3" s="1929"/>
      <c r="H3" s="208"/>
      <c r="I3" s="208"/>
      <c r="J3" s="208"/>
      <c r="K3" s="208"/>
      <c r="L3" s="208"/>
      <c r="M3" s="208"/>
      <c r="N3" s="208"/>
      <c r="O3" s="208"/>
      <c r="P3" s="1761"/>
      <c r="R3" s="2040" t="str">
        <f>B3</f>
        <v>PCBs</v>
      </c>
      <c r="S3" s="2041"/>
      <c r="T3" s="2041"/>
      <c r="U3" s="2041"/>
      <c r="V3" s="2041"/>
      <c r="W3" s="2041"/>
      <c r="X3" s="2042"/>
      <c r="Z3" s="1931"/>
    </row>
    <row r="4" spans="1:31" ht="13.9" customHeight="1" x14ac:dyDescent="0.25">
      <c r="A4" s="1908">
        <f>Chem!A4</f>
        <v>2</v>
      </c>
      <c r="B4" s="1932" t="str">
        <f>Chem!B4</f>
        <v>Total PCB Aroclors</v>
      </c>
      <c r="C4" s="2011">
        <f>IF(ISNUMBER(L4),L4,IF(MIN(H4,I4)=0,"na",MAX(MIN(H4,I4),O4,P4)))</f>
        <v>2E-3</v>
      </c>
      <c r="D4" s="2012">
        <f>IF(ISNUMBER(M4),M4,IF(ISNUMBER(J4),J4,"na"))</f>
        <v>0.13</v>
      </c>
      <c r="E4" s="2012">
        <f t="shared" ref="E4:E6" si="0">IF(ISNUMBER(N4),N4,K4)</f>
        <v>12</v>
      </c>
      <c r="F4" s="2032">
        <f>'SD-Det'!Z4</f>
        <v>2E-3</v>
      </c>
      <c r="G4" s="2205" t="str">
        <f>'SD-Det'!C4</f>
        <v>YES</v>
      </c>
      <c r="H4" s="1813">
        <f>'SD-Det'!K4</f>
        <v>0.54171422715703033</v>
      </c>
      <c r="I4" s="1814">
        <f>'SD-Det'!M4</f>
        <v>1.2E-2</v>
      </c>
      <c r="J4" s="1762">
        <f>'SD-Det'!H4</f>
        <v>0.13</v>
      </c>
      <c r="K4" s="1762">
        <f>'SD-Det'!G4</f>
        <v>12</v>
      </c>
      <c r="L4" s="1861">
        <f>'SD-Det'!Y4</f>
        <v>2E-3</v>
      </c>
      <c r="M4" s="1861" t="str">
        <f>'SD-Det'!U4</f>
        <v>na</v>
      </c>
      <c r="N4" s="2214">
        <f>'SD-Det'!V4</f>
        <v>12</v>
      </c>
      <c r="O4" s="1877">
        <f>'SD-Det'!D4</f>
        <v>2E-3</v>
      </c>
      <c r="P4" s="2224">
        <f>'SD-Det'!F4</f>
        <v>1.2E-2</v>
      </c>
      <c r="R4" s="1933" t="str">
        <f>IF($F4="na","",IF($F4=H4,"X",""))</f>
        <v/>
      </c>
      <c r="S4" s="1934" t="str">
        <f t="shared" ref="S4:T4" si="1">IF($F4="na","",IF($F4=I4,"X",""))</f>
        <v/>
      </c>
      <c r="T4" s="1934" t="str">
        <f t="shared" si="1"/>
        <v/>
      </c>
      <c r="U4" s="1934" t="str">
        <f>IF($F4="na","",IF($F4=L4,"X",""))</f>
        <v>X</v>
      </c>
      <c r="V4" s="1934" t="str">
        <f>IF($F4="na","",IF($F4=M4,"X",""))</f>
        <v/>
      </c>
      <c r="W4" s="1934" t="str">
        <f>IF($F4="na","",IF($F4=O4,"X",""))</f>
        <v>X</v>
      </c>
      <c r="X4" s="1603" t="str">
        <f>IF($F4="na","",IF($F4=P4,"X",""))</f>
        <v/>
      </c>
      <c r="Z4" s="1935"/>
    </row>
    <row r="5" spans="1:31" ht="13.9" customHeight="1" x14ac:dyDescent="0.25">
      <c r="A5" s="1908">
        <f>Chem!A5</f>
        <v>3</v>
      </c>
      <c r="B5" s="1932" t="str">
        <f>Chem!B5</f>
        <v>Total PCB congeners</v>
      </c>
      <c r="C5" s="2013">
        <f>IF(ISNUMBER(L5),L5,IF(MIN(H5,I5)=0,"na",MAX(MIN(H5,I5),O5,P5)))</f>
        <v>3.5000000000000001E-3</v>
      </c>
      <c r="D5" s="2014">
        <f t="shared" ref="D5:D6" si="2">IF(ISNUMBER(M5),M5,IF(ISNUMBER(J5),J5,"na"))</f>
        <v>0.13</v>
      </c>
      <c r="E5" s="2014">
        <f t="shared" si="0"/>
        <v>12</v>
      </c>
      <c r="F5" s="2033">
        <f>'SD-Det'!Z5</f>
        <v>3.5000000000000001E-3</v>
      </c>
      <c r="G5" s="2206" t="str">
        <f>'SD-Det'!C5</f>
        <v>YES</v>
      </c>
      <c r="H5" s="1815">
        <f>'SD-Det'!K5</f>
        <v>0.54171422715703033</v>
      </c>
      <c r="I5" s="1826">
        <f>'SD-Det'!M5</f>
        <v>3.5000000000000001E-3</v>
      </c>
      <c r="J5" s="1763">
        <f>'SD-Det'!H5</f>
        <v>0.13</v>
      </c>
      <c r="K5" s="1763">
        <f>'SD-Det'!G5</f>
        <v>12</v>
      </c>
      <c r="L5" s="1866" t="str">
        <f>'SD-Det'!Y5</f>
        <v>na</v>
      </c>
      <c r="M5" s="1866" t="str">
        <f>'SD-Det'!U5</f>
        <v>na</v>
      </c>
      <c r="N5" s="2214" t="str">
        <f>'SD-Det'!V5</f>
        <v>na</v>
      </c>
      <c r="O5" s="1862">
        <f>'SD-Det'!D5</f>
        <v>3.5000000000000001E-3</v>
      </c>
      <c r="P5" s="2225" t="str">
        <f>'SD-Det'!F5</f>
        <v>na</v>
      </c>
      <c r="R5" s="1936" t="str">
        <f t="shared" ref="R5:R6" si="3">IF($F5="na","",IF($F5=H5,"X",""))</f>
        <v/>
      </c>
      <c r="S5" s="1937" t="str">
        <f t="shared" ref="S5:S6" si="4">IF($F5="na","",IF($F5=I5,"X",""))</f>
        <v>X</v>
      </c>
      <c r="T5" s="1937" t="str">
        <f t="shared" ref="T5:T6" si="5">IF($F5="na","",IF($F5=J5,"X",""))</f>
        <v/>
      </c>
      <c r="U5" s="1937" t="str">
        <f t="shared" ref="U5:U6" si="6">IF($F5="na","",IF($F5=L5,"X",""))</f>
        <v/>
      </c>
      <c r="V5" s="1937" t="str">
        <f t="shared" ref="V5:V6" si="7">IF($F5="na","",IF($F5=M5,"X",""))</f>
        <v/>
      </c>
      <c r="W5" s="1937" t="str">
        <f t="shared" ref="W5:W6" si="8">IF($F5="na","",IF($F5=O5,"X",""))</f>
        <v>X</v>
      </c>
      <c r="X5" s="1600" t="str">
        <f t="shared" ref="X5:X6" si="9">IF($F5="na","",IF($F5=P5,"X",""))</f>
        <v/>
      </c>
      <c r="Z5" s="1935"/>
    </row>
    <row r="6" spans="1:31" ht="13.9" customHeight="1" x14ac:dyDescent="0.25">
      <c r="A6" s="1908">
        <f>Chem!A6</f>
        <v>4</v>
      </c>
      <c r="B6" s="1932" t="str">
        <f>Chem!B6</f>
        <v>Total PCB TEQ</v>
      </c>
      <c r="C6" s="2013">
        <f>IF(ISNUMBER(L6),L6,IF(MIN(H6,I6)=0,"na",MAX(MIN(H6,I6),O6,P6)))</f>
        <v>6.9999999999999997E-7</v>
      </c>
      <c r="D6" s="2014" t="str">
        <f t="shared" si="2"/>
        <v>na</v>
      </c>
      <c r="E6" s="2014" t="str">
        <f t="shared" si="0"/>
        <v>na</v>
      </c>
      <c r="F6" s="2033">
        <f>'SD-Det'!Z6</f>
        <v>6.9999999999999997E-7</v>
      </c>
      <c r="G6" s="2206" t="str">
        <f>'SD-Det'!C6</f>
        <v>YES</v>
      </c>
      <c r="H6" s="1815">
        <f>'SD-Det'!K6</f>
        <v>2.3304900059546648E-5</v>
      </c>
      <c r="I6" s="1826">
        <f>'SD-Det'!M6</f>
        <v>6.9999999999999997E-7</v>
      </c>
      <c r="J6" s="1763" t="str">
        <f>'SD-Det'!H6</f>
        <v>na</v>
      </c>
      <c r="K6" s="1763" t="str">
        <f>'SD-Det'!G6</f>
        <v>na</v>
      </c>
      <c r="L6" s="1867" t="str">
        <f>'SD-Det'!Y6</f>
        <v>na</v>
      </c>
      <c r="M6" s="1867" t="str">
        <f>'SD-Det'!U6</f>
        <v>na</v>
      </c>
      <c r="N6" s="2214" t="str">
        <f>'SD-Det'!V6</f>
        <v>na</v>
      </c>
      <c r="O6" s="1862">
        <f>'SD-Det'!D6</f>
        <v>1.9999999999999999E-7</v>
      </c>
      <c r="P6" s="2225">
        <f>'SD-Det'!F6</f>
        <v>6.9999999999999997E-7</v>
      </c>
      <c r="R6" s="1938" t="str">
        <f t="shared" si="3"/>
        <v/>
      </c>
      <c r="S6" s="1939" t="str">
        <f t="shared" si="4"/>
        <v>X</v>
      </c>
      <c r="T6" s="1939" t="str">
        <f t="shared" si="5"/>
        <v/>
      </c>
      <c r="U6" s="1939" t="str">
        <f t="shared" si="6"/>
        <v/>
      </c>
      <c r="V6" s="1939" t="str">
        <f t="shared" si="7"/>
        <v/>
      </c>
      <c r="W6" s="1939" t="str">
        <f t="shared" si="8"/>
        <v/>
      </c>
      <c r="X6" s="1604" t="str">
        <f t="shared" si="9"/>
        <v>X</v>
      </c>
      <c r="Z6" s="1935"/>
    </row>
    <row r="7" spans="1:31" ht="13.9" customHeight="1" x14ac:dyDescent="0.25">
      <c r="A7" s="1909">
        <f>Chem!A7</f>
        <v>5</v>
      </c>
      <c r="B7" s="1928" t="str">
        <f>Chem!B7</f>
        <v xml:space="preserve">Dioxins/Furans </v>
      </c>
      <c r="C7" s="54"/>
      <c r="D7" s="54"/>
      <c r="E7" s="54"/>
      <c r="F7" s="2335"/>
      <c r="G7" s="2335"/>
      <c r="H7" s="54"/>
      <c r="I7" s="54"/>
      <c r="J7" s="54"/>
      <c r="K7" s="54"/>
      <c r="L7" s="54"/>
      <c r="M7" s="54"/>
      <c r="N7" s="54"/>
      <c r="O7" s="54"/>
      <c r="P7" s="1524"/>
      <c r="R7" s="2039" t="str">
        <f>B7</f>
        <v xml:space="preserve">Dioxins/Furans </v>
      </c>
      <c r="S7" s="2339"/>
      <c r="T7" s="2339"/>
      <c r="U7" s="2339"/>
      <c r="V7" s="2339"/>
      <c r="W7" s="2339"/>
      <c r="X7" s="2340"/>
      <c r="Z7" s="1940"/>
    </row>
    <row r="8" spans="1:31" ht="13.9" customHeight="1" x14ac:dyDescent="0.25">
      <c r="A8" s="1910">
        <f>Chem!A8</f>
        <v>6</v>
      </c>
      <c r="B8" s="1932" t="str">
        <f>Chem!B8</f>
        <v>Total dioxin/furan TEQ</v>
      </c>
      <c r="C8" s="2011">
        <f>IF(ISNUMBER(L8),L8,IF(MIN(H8,I8)=0,"na",MAX(MIN(H8,I8),O8,P8)))</f>
        <v>1.9999999999999999E-6</v>
      </c>
      <c r="D8" s="2015" t="str">
        <f t="shared" ref="D8:D11" si="10">IF(ISNUMBER(M8),M8,IF(ISNUMBER(J8),J8,"na"))</f>
        <v>na</v>
      </c>
      <c r="E8" s="2014" t="str">
        <f t="shared" ref="E8:E11" si="11">IF(ISNUMBER(N8),N8,K8)</f>
        <v>na</v>
      </c>
      <c r="F8" s="2032">
        <f>'SD-Det'!Z8</f>
        <v>1.9999999999999999E-6</v>
      </c>
      <c r="G8" s="2205" t="str">
        <f>'SD-Det'!C8</f>
        <v>YES</v>
      </c>
      <c r="H8" s="1816">
        <f>'SD-Det'!K8</f>
        <v>2.3304900059546648E-5</v>
      </c>
      <c r="I8" s="1827">
        <f>'SD-Det'!M8</f>
        <v>5.0000000000000004E-6</v>
      </c>
      <c r="J8" s="1764" t="str">
        <f>'SD-Det'!H8</f>
        <v>na</v>
      </c>
      <c r="K8" s="1764" t="str">
        <f>'SD-Det'!G8</f>
        <v>na</v>
      </c>
      <c r="L8" s="1868">
        <f>'SD-Det'!Y8</f>
        <v>1.9999999999999999E-6</v>
      </c>
      <c r="M8" s="1868" t="str">
        <f>'SD-Det'!U8</f>
        <v>na</v>
      </c>
      <c r="N8" s="2214" t="str">
        <f>'SD-Det'!V8</f>
        <v>na</v>
      </c>
      <c r="O8" s="1864">
        <f>'SD-Det'!D8</f>
        <v>1.9999999999999999E-6</v>
      </c>
      <c r="P8" s="2226">
        <f>'SD-Det'!F8</f>
        <v>5.0000000000000004E-6</v>
      </c>
      <c r="R8" s="1933" t="str">
        <f t="shared" ref="R8:R11" si="12">IF($F8="na","",IF($F8=H8,"X",""))</f>
        <v/>
      </c>
      <c r="S8" s="1934" t="str">
        <f t="shared" ref="S8:S11" si="13">IF($F8="na","",IF($F8=I8,"X",""))</f>
        <v/>
      </c>
      <c r="T8" s="1934" t="str">
        <f t="shared" ref="T8:T11" si="14">IF($F8="na","",IF($F8=J8,"X",""))</f>
        <v/>
      </c>
      <c r="U8" s="1934" t="str">
        <f t="shared" ref="U8:U11" si="15">IF($F8="na","",IF($F8=L8,"X",""))</f>
        <v>X</v>
      </c>
      <c r="V8" s="1934" t="str">
        <f t="shared" ref="V8:V11" si="16">IF($F8="na","",IF($F8=M8,"X",""))</f>
        <v/>
      </c>
      <c r="W8" s="1934" t="str">
        <f t="shared" ref="W8:W11" si="17">IF($F8="na","",IF($F8=O8,"X",""))</f>
        <v>X</v>
      </c>
      <c r="X8" s="1603" t="str">
        <f t="shared" ref="X8:X11" si="18">IF($F8="na","",IF($F8=P8,"X",""))</f>
        <v/>
      </c>
      <c r="Z8" s="1935"/>
    </row>
    <row r="9" spans="1:31" ht="13.9" customHeight="1" x14ac:dyDescent="0.25">
      <c r="A9" s="1911">
        <f>Chem!A9</f>
        <v>7</v>
      </c>
      <c r="B9" s="1932" t="str">
        <f>Chem!B9</f>
        <v>2,3,7,8-TCDD</v>
      </c>
      <c r="C9" s="2013">
        <f>IF(ISNUMBER(L9),L9,IF(MIN(H9,I9)=0,"na",MAX(MIN(H9,I9),O9,P9)))</f>
        <v>2.3304900059546648E-5</v>
      </c>
      <c r="D9" s="2014" t="str">
        <f t="shared" si="10"/>
        <v>na</v>
      </c>
      <c r="E9" s="2014" t="str">
        <f t="shared" si="11"/>
        <v>na</v>
      </c>
      <c r="F9" s="2033">
        <f>'SD-Det'!Z9</f>
        <v>2.3304900059546648E-5</v>
      </c>
      <c r="G9" s="2206" t="str">
        <f>'SD-Det'!C9</f>
        <v>YES</v>
      </c>
      <c r="H9" s="1815">
        <f>'SD-Det'!K9</f>
        <v>2.3304900059546648E-5</v>
      </c>
      <c r="I9" s="1826" t="str">
        <f>'SD-Det'!M9</f>
        <v>PQL</v>
      </c>
      <c r="J9" s="1763" t="str">
        <f>'SD-Det'!H9</f>
        <v>na</v>
      </c>
      <c r="K9" s="1763" t="str">
        <f>'SD-Det'!G9</f>
        <v>na</v>
      </c>
      <c r="L9" s="1867" t="str">
        <f>'SD-Det'!Y9</f>
        <v>na</v>
      </c>
      <c r="M9" s="1867" t="str">
        <f>'SD-Det'!U9</f>
        <v>na</v>
      </c>
      <c r="N9" s="2214" t="str">
        <f>'SD-Det'!V9</f>
        <v>na</v>
      </c>
      <c r="O9" s="1862" t="str">
        <f>'SD-Det'!D9</f>
        <v>na</v>
      </c>
      <c r="P9" s="2225" t="str">
        <f>'SD-Det'!F9</f>
        <v>na</v>
      </c>
      <c r="R9" s="1936" t="str">
        <f t="shared" si="12"/>
        <v>X</v>
      </c>
      <c r="S9" s="1937" t="str">
        <f t="shared" si="13"/>
        <v/>
      </c>
      <c r="T9" s="1937" t="str">
        <f t="shared" si="14"/>
        <v/>
      </c>
      <c r="U9" s="1937" t="str">
        <f t="shared" si="15"/>
        <v/>
      </c>
      <c r="V9" s="1937" t="str">
        <f t="shared" si="16"/>
        <v/>
      </c>
      <c r="W9" s="1937" t="str">
        <f t="shared" si="17"/>
        <v/>
      </c>
      <c r="X9" s="1600" t="str">
        <f t="shared" si="18"/>
        <v/>
      </c>
      <c r="Z9" s="1935"/>
    </row>
    <row r="10" spans="1:31" ht="13.9" customHeight="1" x14ac:dyDescent="0.2">
      <c r="A10" s="1911">
        <f>Chem!A10</f>
        <v>8</v>
      </c>
      <c r="B10" s="1932" t="str">
        <f>Chem!B10</f>
        <v>Total chlorinated dioxins</v>
      </c>
      <c r="C10" s="2013" t="str">
        <f>IF(ISNUMBER(L10),L10,IF(MIN(H10,I10)=0,"na",MAX(MIN(H10,I10),O10,P10)))</f>
        <v>na</v>
      </c>
      <c r="D10" s="2014" t="str">
        <f t="shared" si="10"/>
        <v>na</v>
      </c>
      <c r="E10" s="2014" t="str">
        <f t="shared" si="11"/>
        <v>na</v>
      </c>
      <c r="F10" s="2033" t="str">
        <f>'SD-Det'!Z10</f>
        <v>na</v>
      </c>
      <c r="G10" s="2206" t="str">
        <f>'SD-Det'!C10</f>
        <v>no</v>
      </c>
      <c r="H10" s="1815" t="str">
        <f>'SD-Det'!K10</f>
        <v>na</v>
      </c>
      <c r="I10" s="1826" t="str">
        <f>'SD-Det'!M10</f>
        <v>na</v>
      </c>
      <c r="J10" s="1763" t="str">
        <f>'SD-Det'!H10</f>
        <v>na</v>
      </c>
      <c r="K10" s="1763" t="str">
        <f>'SD-Det'!G10</f>
        <v>na</v>
      </c>
      <c r="L10" s="1867" t="str">
        <f>'SD-Det'!Y10</f>
        <v>na</v>
      </c>
      <c r="M10" s="1867" t="str">
        <f>'SD-Det'!U10</f>
        <v>na</v>
      </c>
      <c r="N10" s="2214" t="str">
        <f>'SD-Det'!V10</f>
        <v>na</v>
      </c>
      <c r="O10" s="1862" t="str">
        <f>'SD-Det'!D10</f>
        <v>na</v>
      </c>
      <c r="P10" s="2225" t="str">
        <f>'SD-Det'!F10</f>
        <v>na</v>
      </c>
      <c r="R10" s="1936" t="str">
        <f t="shared" si="12"/>
        <v/>
      </c>
      <c r="S10" s="1937" t="str">
        <f t="shared" si="13"/>
        <v/>
      </c>
      <c r="T10" s="1937" t="str">
        <f t="shared" si="14"/>
        <v/>
      </c>
      <c r="U10" s="1937" t="str">
        <f t="shared" si="15"/>
        <v/>
      </c>
      <c r="V10" s="1937" t="str">
        <f t="shared" si="16"/>
        <v/>
      </c>
      <c r="W10" s="1937" t="str">
        <f t="shared" si="17"/>
        <v/>
      </c>
      <c r="X10" s="1600" t="str">
        <f t="shared" si="18"/>
        <v/>
      </c>
      <c r="Z10" s="1941"/>
    </row>
    <row r="11" spans="1:31" ht="13.9" customHeight="1" x14ac:dyDescent="0.2">
      <c r="A11" s="1911">
        <f>Chem!A11</f>
        <v>9</v>
      </c>
      <c r="B11" s="1932" t="str">
        <f>Chem!B11</f>
        <v>Total chlorinated furans</v>
      </c>
      <c r="C11" s="2013" t="str">
        <f>IF(ISNUMBER(L11),L11,IF(MIN(H11,I11)=0,"na",MAX(MIN(H11,I11),O11,P11)))</f>
        <v>na</v>
      </c>
      <c r="D11" s="2014" t="str">
        <f t="shared" si="10"/>
        <v>na</v>
      </c>
      <c r="E11" s="2014" t="str">
        <f t="shared" si="11"/>
        <v>na</v>
      </c>
      <c r="F11" s="2033" t="str">
        <f>'SD-Det'!Z11</f>
        <v>na</v>
      </c>
      <c r="G11" s="2206" t="str">
        <f>'SD-Det'!C11</f>
        <v>no</v>
      </c>
      <c r="H11" s="1815" t="str">
        <f>'SD-Det'!K11</f>
        <v>na</v>
      </c>
      <c r="I11" s="1826" t="str">
        <f>'SD-Det'!M11</f>
        <v>na</v>
      </c>
      <c r="J11" s="1763" t="str">
        <f>'SD-Det'!H11</f>
        <v>na</v>
      </c>
      <c r="K11" s="1763" t="str">
        <f>'SD-Det'!G11</f>
        <v>na</v>
      </c>
      <c r="L11" s="1867" t="str">
        <f>'SD-Det'!Y11</f>
        <v>na</v>
      </c>
      <c r="M11" s="1867" t="str">
        <f>'SD-Det'!U11</f>
        <v>na</v>
      </c>
      <c r="N11" s="2214" t="str">
        <f>'SD-Det'!V11</f>
        <v>na</v>
      </c>
      <c r="O11" s="1862" t="str">
        <f>'SD-Det'!D11</f>
        <v>na</v>
      </c>
      <c r="P11" s="2225" t="str">
        <f>'SD-Det'!F11</f>
        <v>na</v>
      </c>
      <c r="R11" s="1938" t="str">
        <f t="shared" si="12"/>
        <v/>
      </c>
      <c r="S11" s="1939" t="str">
        <f t="shared" si="13"/>
        <v/>
      </c>
      <c r="T11" s="1939" t="str">
        <f t="shared" si="14"/>
        <v/>
      </c>
      <c r="U11" s="1939" t="str">
        <f t="shared" si="15"/>
        <v/>
      </c>
      <c r="V11" s="1939" t="str">
        <f t="shared" si="16"/>
        <v/>
      </c>
      <c r="W11" s="1939" t="str">
        <f t="shared" si="17"/>
        <v/>
      </c>
      <c r="X11" s="1604" t="str">
        <f t="shared" si="18"/>
        <v/>
      </c>
      <c r="Z11" s="1941"/>
    </row>
    <row r="12" spans="1:31" ht="13.9" customHeight="1" x14ac:dyDescent="0.25">
      <c r="A12" s="1909">
        <f>Chem!A12</f>
        <v>10</v>
      </c>
      <c r="B12" s="1928" t="str">
        <f>Chem!B12</f>
        <v>Inorganics</v>
      </c>
      <c r="C12" s="54"/>
      <c r="D12" s="54"/>
      <c r="E12" s="54"/>
      <c r="F12" s="2335"/>
      <c r="G12" s="2335"/>
      <c r="H12" s="54"/>
      <c r="I12" s="54"/>
      <c r="J12" s="54"/>
      <c r="K12" s="54"/>
      <c r="L12" s="54"/>
      <c r="M12" s="54"/>
      <c r="N12" s="54"/>
      <c r="O12" s="54"/>
      <c r="P12" s="1524"/>
      <c r="R12" s="2039" t="str">
        <f>B12</f>
        <v>Inorganics</v>
      </c>
      <c r="S12" s="2339"/>
      <c r="T12" s="2339"/>
      <c r="U12" s="2339"/>
      <c r="V12" s="2339"/>
      <c r="W12" s="2339"/>
      <c r="X12" s="2340"/>
      <c r="Z12" s="1940"/>
    </row>
    <row r="13" spans="1:31" s="242" customFormat="1" ht="13.9" customHeight="1" x14ac:dyDescent="0.25">
      <c r="A13" s="2163">
        <f>Chem!A13</f>
        <v>11</v>
      </c>
      <c r="B13" s="2164" t="str">
        <f>Chem!B13</f>
        <v>Ammonia</v>
      </c>
      <c r="C13" s="2158" t="str">
        <f t="shared" ref="C13:C20" si="19">IF(ISNUMBER(L13),L13,IF(MIN(H13,I13)=0,"na",MAX(MIN(H13,I13),O13,P13)))</f>
        <v>na</v>
      </c>
      <c r="D13" s="2158" t="str">
        <f t="shared" ref="D13:D20" si="20">IF(ISNUMBER(M13),M13,IF(ISNUMBER(J13),J13,"na"))</f>
        <v>na</v>
      </c>
      <c r="E13" s="2158" t="str">
        <f t="shared" ref="E13:E20" si="21">IF(ISNUMBER(N13),N13,K13)</f>
        <v>na</v>
      </c>
      <c r="F13" s="2179" t="str">
        <f>'SD-Det'!Z13</f>
        <v>na</v>
      </c>
      <c r="G13" s="2207" t="str">
        <f>'SD-Det'!C13</f>
        <v>no</v>
      </c>
      <c r="H13" s="2175" t="str">
        <f>'SD-Det'!K13</f>
        <v>na</v>
      </c>
      <c r="I13" s="2131" t="str">
        <f>'SD-Det'!M13</f>
        <v>na</v>
      </c>
      <c r="J13" s="2154" t="str">
        <f>'SD-Det'!H13</f>
        <v>na</v>
      </c>
      <c r="K13" s="2154" t="str">
        <f>'SD-Det'!G13</f>
        <v>na</v>
      </c>
      <c r="L13" s="2173" t="str">
        <f>'SD-Det'!Y13</f>
        <v>na</v>
      </c>
      <c r="M13" s="2173" t="str">
        <f>'SD-Det'!U13</f>
        <v>na</v>
      </c>
      <c r="N13" s="2215" t="str">
        <f>'SD-Det'!V13</f>
        <v>na</v>
      </c>
      <c r="O13" s="2177" t="str">
        <f>'SD-Det'!D13</f>
        <v>na</v>
      </c>
      <c r="P13" s="2150" t="str">
        <f>'SD-Det'!F13</f>
        <v>na</v>
      </c>
      <c r="R13" s="2167" t="str">
        <f t="shared" ref="R13:R20" si="22">IF($F13="na","",IF($F13=H13,"X",""))</f>
        <v/>
      </c>
      <c r="S13" s="2168" t="str">
        <f t="shared" ref="S13:S20" si="23">IF($F13="na","",IF($F13=I13,"X",""))</f>
        <v/>
      </c>
      <c r="T13" s="2168" t="str">
        <f t="shared" ref="T13:T20" si="24">IF($F13="na","",IF($F13=J13,"X",""))</f>
        <v/>
      </c>
      <c r="U13" s="2168" t="str">
        <f t="shared" ref="U13:U20" si="25">IF($F13="na","",IF($F13=L13,"X",""))</f>
        <v/>
      </c>
      <c r="V13" s="2168" t="str">
        <f t="shared" ref="V13:V20" si="26">IF($F13="na","",IF($F13=M13,"X",""))</f>
        <v/>
      </c>
      <c r="W13" s="2168" t="str">
        <f t="shared" ref="W13:W20" si="27">IF($F13="na","",IF($F13=O13,"X",""))</f>
        <v/>
      </c>
      <c r="X13" s="2169" t="str">
        <f t="shared" ref="X13:X20" si="28">IF($F13="na","",IF($F13=P13,"X",""))</f>
        <v/>
      </c>
      <c r="Z13" s="2162"/>
    </row>
    <row r="14" spans="1:31" s="242" customFormat="1" ht="13.9" customHeight="1" x14ac:dyDescent="0.25">
      <c r="A14" s="2165">
        <f>Chem!A14</f>
        <v>12</v>
      </c>
      <c r="B14" s="2166" t="str">
        <f>Chem!B14</f>
        <v>Chloride</v>
      </c>
      <c r="C14" s="2159" t="str">
        <f t="shared" si="19"/>
        <v>na</v>
      </c>
      <c r="D14" s="2159" t="str">
        <f t="shared" si="20"/>
        <v>na</v>
      </c>
      <c r="E14" s="2159" t="str">
        <f t="shared" si="21"/>
        <v>na</v>
      </c>
      <c r="F14" s="2180" t="str">
        <f>'SD-Det'!Z14</f>
        <v>na</v>
      </c>
      <c r="G14" s="2208" t="str">
        <f>'SD-Det'!C14</f>
        <v>no</v>
      </c>
      <c r="H14" s="2176" t="str">
        <f>'SD-Det'!K14</f>
        <v>na</v>
      </c>
      <c r="I14" s="2132" t="str">
        <f>'SD-Det'!M14</f>
        <v>na</v>
      </c>
      <c r="J14" s="2155" t="str">
        <f>'SD-Det'!H14</f>
        <v>na</v>
      </c>
      <c r="K14" s="2155" t="str">
        <f>'SD-Det'!G14</f>
        <v>na</v>
      </c>
      <c r="L14" s="2174" t="str">
        <f>'SD-Det'!Y14</f>
        <v>na</v>
      </c>
      <c r="M14" s="2174" t="str">
        <f>'SD-Det'!U14</f>
        <v>na</v>
      </c>
      <c r="N14" s="2216" t="str">
        <f>'SD-Det'!V14</f>
        <v>na</v>
      </c>
      <c r="O14" s="2178" t="str">
        <f>'SD-Det'!D14</f>
        <v>na</v>
      </c>
      <c r="P14" s="2151" t="str">
        <f>'SD-Det'!F14</f>
        <v>na</v>
      </c>
      <c r="R14" s="2170" t="str">
        <f t="shared" si="22"/>
        <v/>
      </c>
      <c r="S14" s="2171" t="str">
        <f t="shared" si="23"/>
        <v/>
      </c>
      <c r="T14" s="2171" t="str">
        <f t="shared" si="24"/>
        <v/>
      </c>
      <c r="U14" s="2171" t="str">
        <f t="shared" si="25"/>
        <v/>
      </c>
      <c r="V14" s="2171" t="str">
        <f t="shared" si="26"/>
        <v/>
      </c>
      <c r="W14" s="2171" t="str">
        <f t="shared" si="27"/>
        <v/>
      </c>
      <c r="X14" s="2172" t="str">
        <f t="shared" si="28"/>
        <v/>
      </c>
      <c r="Z14" s="2162"/>
    </row>
    <row r="15" spans="1:31" ht="13.9" customHeight="1" x14ac:dyDescent="0.2">
      <c r="A15" s="1912">
        <f>Chem!A15</f>
        <v>13</v>
      </c>
      <c r="B15" s="1943" t="str">
        <f>Chem!B15</f>
        <v>Cyanide (multiple forms, see notes)</v>
      </c>
      <c r="C15" s="2025" t="str">
        <f t="shared" si="19"/>
        <v>na</v>
      </c>
      <c r="D15" s="2015" t="str">
        <f t="shared" si="20"/>
        <v>na</v>
      </c>
      <c r="E15" s="2015" t="str">
        <f t="shared" si="21"/>
        <v>na</v>
      </c>
      <c r="F15" s="2032" t="str">
        <f>'SD-Det'!Z15</f>
        <v>na</v>
      </c>
      <c r="G15" s="2205" t="str">
        <f>'SD-Det'!C15</f>
        <v>no</v>
      </c>
      <c r="H15" s="1822" t="str">
        <f>'SD-Det'!K15</f>
        <v>na</v>
      </c>
      <c r="I15" s="1833" t="str">
        <f>'SD-Det'!M15</f>
        <v>na</v>
      </c>
      <c r="J15" s="1770" t="str">
        <f>'SD-Det'!H15</f>
        <v>na</v>
      </c>
      <c r="K15" s="1770" t="str">
        <f>'SD-Det'!G15</f>
        <v>na</v>
      </c>
      <c r="L15" s="1868" t="str">
        <f>'SD-Det'!Y15</f>
        <v>na</v>
      </c>
      <c r="M15" s="1868" t="str">
        <f>'SD-Det'!U15</f>
        <v>na</v>
      </c>
      <c r="N15" s="2217" t="str">
        <f>'SD-Det'!V15</f>
        <v>na</v>
      </c>
      <c r="O15" s="1865" t="str">
        <f>'SD-Det'!D15</f>
        <v>na</v>
      </c>
      <c r="P15" s="2226" t="str">
        <f>'SD-Det'!F15</f>
        <v>na</v>
      </c>
      <c r="R15" s="2160" t="str">
        <f t="shared" si="22"/>
        <v/>
      </c>
      <c r="S15" s="2161" t="str">
        <f t="shared" si="23"/>
        <v/>
      </c>
      <c r="T15" s="2161" t="str">
        <f t="shared" si="24"/>
        <v/>
      </c>
      <c r="U15" s="2161" t="str">
        <f t="shared" si="25"/>
        <v/>
      </c>
      <c r="V15" s="2161" t="str">
        <f t="shared" si="26"/>
        <v/>
      </c>
      <c r="W15" s="2161" t="str">
        <f t="shared" si="27"/>
        <v/>
      </c>
      <c r="X15" s="1602" t="str">
        <f t="shared" si="28"/>
        <v/>
      </c>
      <c r="Z15" s="1941"/>
    </row>
    <row r="16" spans="1:31" ht="13.9" customHeight="1" x14ac:dyDescent="0.2">
      <c r="A16" s="1912">
        <f>Chem!A16</f>
        <v>14</v>
      </c>
      <c r="B16" s="1932" t="str">
        <f>Chem!B16</f>
        <v>Fluoride</v>
      </c>
      <c r="C16" s="2025" t="str">
        <f t="shared" si="19"/>
        <v>na</v>
      </c>
      <c r="D16" s="2015" t="str">
        <f t="shared" si="20"/>
        <v>na</v>
      </c>
      <c r="E16" s="2014" t="str">
        <f t="shared" si="21"/>
        <v>na</v>
      </c>
      <c r="F16" s="2032" t="str">
        <f>'SD-Det'!Z16</f>
        <v>na</v>
      </c>
      <c r="G16" s="2205" t="str">
        <f>'SD-Det'!C16</f>
        <v>no</v>
      </c>
      <c r="H16" s="1822" t="str">
        <f>'SD-Det'!K16</f>
        <v>na</v>
      </c>
      <c r="I16" s="1833" t="str">
        <f>'SD-Det'!M16</f>
        <v>na</v>
      </c>
      <c r="J16" s="1770" t="str">
        <f>'SD-Det'!H16</f>
        <v>na</v>
      </c>
      <c r="K16" s="1770" t="str">
        <f>'SD-Det'!G16</f>
        <v>na</v>
      </c>
      <c r="L16" s="1868" t="str">
        <f>'SD-Det'!Y16</f>
        <v>na</v>
      </c>
      <c r="M16" s="1868" t="str">
        <f>'SD-Det'!U16</f>
        <v>na</v>
      </c>
      <c r="N16" s="2214" t="str">
        <f>'SD-Det'!V16</f>
        <v>na</v>
      </c>
      <c r="O16" s="1865" t="str">
        <f>'SD-Det'!D16</f>
        <v>na</v>
      </c>
      <c r="P16" s="2226" t="str">
        <f>'SD-Det'!F16</f>
        <v>na</v>
      </c>
      <c r="R16" s="2160" t="str">
        <f t="shared" si="22"/>
        <v/>
      </c>
      <c r="S16" s="2161" t="str">
        <f t="shared" si="23"/>
        <v/>
      </c>
      <c r="T16" s="2161" t="str">
        <f t="shared" si="24"/>
        <v/>
      </c>
      <c r="U16" s="2161" t="str">
        <f t="shared" si="25"/>
        <v/>
      </c>
      <c r="V16" s="2161" t="str">
        <f t="shared" si="26"/>
        <v/>
      </c>
      <c r="W16" s="2161" t="str">
        <f t="shared" si="27"/>
        <v/>
      </c>
      <c r="X16" s="1602" t="str">
        <f t="shared" si="28"/>
        <v/>
      </c>
      <c r="Z16" s="1941"/>
    </row>
    <row r="17" spans="1:26" ht="13.9" customHeight="1" x14ac:dyDescent="0.2">
      <c r="A17" s="1913">
        <f>Chem!A17</f>
        <v>15</v>
      </c>
      <c r="B17" s="1932" t="str">
        <f>Chem!B17</f>
        <v>Nitrate</v>
      </c>
      <c r="C17" s="2013" t="str">
        <f t="shared" si="19"/>
        <v>na</v>
      </c>
      <c r="D17" s="2014" t="str">
        <f t="shared" si="20"/>
        <v>na</v>
      </c>
      <c r="E17" s="2014" t="str">
        <f t="shared" si="21"/>
        <v>na</v>
      </c>
      <c r="F17" s="2033" t="str">
        <f>'SD-Det'!Z17</f>
        <v>na</v>
      </c>
      <c r="G17" s="2206" t="str">
        <f>'SD-Det'!C17</f>
        <v>no</v>
      </c>
      <c r="H17" s="1815" t="str">
        <f>'SD-Det'!K17</f>
        <v>na</v>
      </c>
      <c r="I17" s="1826" t="str">
        <f>'SD-Det'!M17</f>
        <v>na</v>
      </c>
      <c r="J17" s="1763" t="str">
        <f>'SD-Det'!H17</f>
        <v>na</v>
      </c>
      <c r="K17" s="1763" t="str">
        <f>'SD-Det'!G17</f>
        <v>na</v>
      </c>
      <c r="L17" s="1867" t="str">
        <f>'SD-Det'!Y17</f>
        <v>na</v>
      </c>
      <c r="M17" s="1867" t="str">
        <f>'SD-Det'!U17</f>
        <v>na</v>
      </c>
      <c r="N17" s="2214" t="str">
        <f>'SD-Det'!V17</f>
        <v>na</v>
      </c>
      <c r="O17" s="1862" t="str">
        <f>'SD-Det'!D17</f>
        <v>na</v>
      </c>
      <c r="P17" s="2225" t="str">
        <f>'SD-Det'!F17</f>
        <v>na</v>
      </c>
      <c r="R17" s="1936" t="str">
        <f t="shared" si="22"/>
        <v/>
      </c>
      <c r="S17" s="1937" t="str">
        <f t="shared" si="23"/>
        <v/>
      </c>
      <c r="T17" s="1937" t="str">
        <f t="shared" si="24"/>
        <v/>
      </c>
      <c r="U17" s="1937" t="str">
        <f t="shared" si="25"/>
        <v/>
      </c>
      <c r="V17" s="1937" t="str">
        <f t="shared" si="26"/>
        <v/>
      </c>
      <c r="W17" s="1937" t="str">
        <f t="shared" si="27"/>
        <v/>
      </c>
      <c r="X17" s="1600" t="str">
        <f t="shared" si="28"/>
        <v/>
      </c>
      <c r="Z17" s="1941"/>
    </row>
    <row r="18" spans="1:26" ht="13.9" customHeight="1" x14ac:dyDescent="0.2">
      <c r="A18" s="1910">
        <f>Chem!A18</f>
        <v>16</v>
      </c>
      <c r="B18" s="1932" t="str">
        <f>Chem!B18</f>
        <v>Nitrite</v>
      </c>
      <c r="C18" s="2013" t="str">
        <f t="shared" si="19"/>
        <v>na</v>
      </c>
      <c r="D18" s="2014" t="str">
        <f t="shared" si="20"/>
        <v>na</v>
      </c>
      <c r="E18" s="2014" t="str">
        <f t="shared" si="21"/>
        <v>na</v>
      </c>
      <c r="F18" s="2033" t="str">
        <f>'SD-Det'!Z18</f>
        <v>na</v>
      </c>
      <c r="G18" s="2206" t="str">
        <f>'SD-Det'!C18</f>
        <v>no</v>
      </c>
      <c r="H18" s="1815" t="str">
        <f>'SD-Det'!K18</f>
        <v>na</v>
      </c>
      <c r="I18" s="1826" t="str">
        <f>'SD-Det'!M18</f>
        <v>na</v>
      </c>
      <c r="J18" s="1763" t="str">
        <f>'SD-Det'!H18</f>
        <v>na</v>
      </c>
      <c r="K18" s="1763" t="str">
        <f>'SD-Det'!G18</f>
        <v>na</v>
      </c>
      <c r="L18" s="1867" t="str">
        <f>'SD-Det'!Y18</f>
        <v>na</v>
      </c>
      <c r="M18" s="1867" t="str">
        <f>'SD-Det'!U18</f>
        <v>na</v>
      </c>
      <c r="N18" s="2214" t="str">
        <f>'SD-Det'!V18</f>
        <v>na</v>
      </c>
      <c r="O18" s="1862" t="str">
        <f>'SD-Det'!D18</f>
        <v>na</v>
      </c>
      <c r="P18" s="2225" t="str">
        <f>'SD-Det'!F18</f>
        <v>na</v>
      </c>
      <c r="R18" s="1936" t="str">
        <f t="shared" si="22"/>
        <v/>
      </c>
      <c r="S18" s="1937" t="str">
        <f t="shared" si="23"/>
        <v/>
      </c>
      <c r="T18" s="1937" t="str">
        <f t="shared" si="24"/>
        <v/>
      </c>
      <c r="U18" s="1937" t="str">
        <f t="shared" si="25"/>
        <v/>
      </c>
      <c r="V18" s="1937" t="str">
        <f t="shared" si="26"/>
        <v/>
      </c>
      <c r="W18" s="1937" t="str">
        <f t="shared" si="27"/>
        <v/>
      </c>
      <c r="X18" s="1600" t="str">
        <f t="shared" si="28"/>
        <v/>
      </c>
      <c r="Z18" s="1941"/>
    </row>
    <row r="19" spans="1:26" ht="13.9" customHeight="1" x14ac:dyDescent="0.2">
      <c r="A19" s="1914">
        <f>Chem!A19</f>
        <v>17</v>
      </c>
      <c r="B19" s="1932" t="str">
        <f>Chem!B19</f>
        <v>Sulfate</v>
      </c>
      <c r="C19" s="2013" t="str">
        <f t="shared" si="19"/>
        <v>na</v>
      </c>
      <c r="D19" s="2013" t="str">
        <f t="shared" si="20"/>
        <v>na</v>
      </c>
      <c r="E19" s="2013" t="str">
        <f t="shared" si="21"/>
        <v>na</v>
      </c>
      <c r="F19" s="2033" t="str">
        <f>'SD-Det'!Z19</f>
        <v>na</v>
      </c>
      <c r="G19" s="2206" t="str">
        <f>'SD-Det'!C19</f>
        <v>no</v>
      </c>
      <c r="H19" s="1815" t="str">
        <f>'SD-Det'!K19</f>
        <v>na</v>
      </c>
      <c r="I19" s="1826" t="str">
        <f>'SD-Det'!M19</f>
        <v>na</v>
      </c>
      <c r="J19" s="1763" t="str">
        <f>'SD-Det'!H19</f>
        <v>na</v>
      </c>
      <c r="K19" s="1763" t="str">
        <f>'SD-Det'!G19</f>
        <v>na</v>
      </c>
      <c r="L19" s="1867" t="str">
        <f>'SD-Det'!Y19</f>
        <v>na</v>
      </c>
      <c r="M19" s="1867" t="str">
        <f>'SD-Det'!U19</f>
        <v>na</v>
      </c>
      <c r="N19" s="2214" t="str">
        <f>'SD-Det'!V19</f>
        <v>na</v>
      </c>
      <c r="O19" s="1862" t="str">
        <f>'SD-Det'!D19</f>
        <v>na</v>
      </c>
      <c r="P19" s="2227" t="str">
        <f>'SD-Det'!F19</f>
        <v>na</v>
      </c>
      <c r="R19" s="1936" t="str">
        <f t="shared" si="22"/>
        <v/>
      </c>
      <c r="S19" s="1937" t="str">
        <f t="shared" si="23"/>
        <v/>
      </c>
      <c r="T19" s="1937" t="str">
        <f t="shared" si="24"/>
        <v/>
      </c>
      <c r="U19" s="1937" t="str">
        <f t="shared" si="25"/>
        <v/>
      </c>
      <c r="V19" s="1937" t="str">
        <f t="shared" si="26"/>
        <v/>
      </c>
      <c r="W19" s="1937" t="str">
        <f t="shared" si="27"/>
        <v/>
      </c>
      <c r="X19" s="1600" t="str">
        <f t="shared" si="28"/>
        <v/>
      </c>
      <c r="Z19" s="1941"/>
    </row>
    <row r="20" spans="1:26" ht="13.9" customHeight="1" x14ac:dyDescent="0.2">
      <c r="A20" s="1915">
        <f>Chem!A20</f>
        <v>18</v>
      </c>
      <c r="B20" s="1942" t="str">
        <f>Chem!B20</f>
        <v>Sulfide</v>
      </c>
      <c r="C20" s="2016" t="str">
        <f t="shared" si="19"/>
        <v>na</v>
      </c>
      <c r="D20" s="2016" t="str">
        <f t="shared" si="20"/>
        <v>na</v>
      </c>
      <c r="E20" s="2016" t="str">
        <f t="shared" si="21"/>
        <v>na</v>
      </c>
      <c r="F20" s="2034" t="str">
        <f>'SD-Det'!Z20</f>
        <v>na</v>
      </c>
      <c r="G20" s="2209" t="str">
        <f>'SD-Det'!C20</f>
        <v>no</v>
      </c>
      <c r="H20" s="1817" t="str">
        <f>'SD-Det'!K20</f>
        <v>na</v>
      </c>
      <c r="I20" s="1828" t="str">
        <f>'SD-Det'!M20</f>
        <v>na</v>
      </c>
      <c r="J20" s="1765" t="str">
        <f>'SD-Det'!H20</f>
        <v>na</v>
      </c>
      <c r="K20" s="1765" t="str">
        <f>'SD-Det'!G20</f>
        <v>na</v>
      </c>
      <c r="L20" s="1869" t="str">
        <f>'SD-Det'!Y20</f>
        <v>na</v>
      </c>
      <c r="M20" s="1869" t="str">
        <f>'SD-Det'!U20</f>
        <v>na</v>
      </c>
      <c r="N20" s="2218" t="str">
        <f>'SD-Det'!V20</f>
        <v>na</v>
      </c>
      <c r="O20" s="1863" t="str">
        <f>'SD-Det'!D20</f>
        <v>na</v>
      </c>
      <c r="P20" s="2228" t="str">
        <f>'SD-Det'!F20</f>
        <v>na</v>
      </c>
      <c r="R20" s="1938" t="str">
        <f t="shared" si="22"/>
        <v/>
      </c>
      <c r="S20" s="1939" t="str">
        <f t="shared" si="23"/>
        <v/>
      </c>
      <c r="T20" s="1939" t="str">
        <f t="shared" si="24"/>
        <v/>
      </c>
      <c r="U20" s="1939" t="str">
        <f t="shared" si="25"/>
        <v/>
      </c>
      <c r="V20" s="1939" t="str">
        <f t="shared" si="26"/>
        <v/>
      </c>
      <c r="W20" s="1939" t="str">
        <f t="shared" si="27"/>
        <v/>
      </c>
      <c r="X20" s="1604" t="str">
        <f t="shared" si="28"/>
        <v/>
      </c>
      <c r="Z20" s="1941"/>
    </row>
    <row r="21" spans="1:26" ht="13.9" customHeight="1" x14ac:dyDescent="0.25">
      <c r="A21" s="1909">
        <f>Chem!A21</f>
        <v>19</v>
      </c>
      <c r="B21" s="1928" t="str">
        <f>Chem!B21</f>
        <v>Metals</v>
      </c>
      <c r="C21" s="54"/>
      <c r="D21" s="54"/>
      <c r="E21" s="54"/>
      <c r="F21" s="2335"/>
      <c r="G21" s="2335"/>
      <c r="H21" s="54"/>
      <c r="I21" s="54"/>
      <c r="J21" s="54"/>
      <c r="K21" s="54"/>
      <c r="L21" s="54"/>
      <c r="M21" s="54"/>
      <c r="N21" s="54"/>
      <c r="O21" s="54"/>
      <c r="P21" s="1524"/>
      <c r="R21" s="2039" t="str">
        <f>B21</f>
        <v>Metals</v>
      </c>
      <c r="S21" s="2339"/>
      <c r="T21" s="2339"/>
      <c r="U21" s="2339"/>
      <c r="V21" s="2339"/>
      <c r="W21" s="2339"/>
      <c r="X21" s="2340"/>
      <c r="Z21" s="1940"/>
    </row>
    <row r="22" spans="1:26" ht="13.9" customHeight="1" x14ac:dyDescent="0.25">
      <c r="A22" s="1916">
        <f>Chem!A22</f>
        <v>20</v>
      </c>
      <c r="B22" s="1932" t="str">
        <f>Chem!B22</f>
        <v>Aluminum</v>
      </c>
      <c r="C22" s="2011" t="str">
        <f t="shared" ref="C22:C45" si="29">IF(ISNUMBER(L22),L22,IF(MIN(H22,I22)=0,"na",MAX(MIN(H22,I22),O22,P22)))</f>
        <v>na</v>
      </c>
      <c r="D22" s="2015" t="str">
        <f t="shared" ref="D22:D45" si="30">IF(ISNUMBER(M22),M22,IF(ISNUMBER(J22),J22,"na"))</f>
        <v>na</v>
      </c>
      <c r="E22" s="2014" t="str">
        <f t="shared" ref="E22:E45" si="31">IF(ISNUMBER(N22),N22,K22)</f>
        <v>na</v>
      </c>
      <c r="F22" s="2032" t="str">
        <f>'SD-Det'!Z22</f>
        <v>na</v>
      </c>
      <c r="G22" s="2205" t="str">
        <f>'SD-Det'!C22</f>
        <v>no</v>
      </c>
      <c r="H22" s="1816" t="str">
        <f>'SD-Det'!K22</f>
        <v>na</v>
      </c>
      <c r="I22" s="1827" t="str">
        <f>'SD-Det'!M22</f>
        <v>na</v>
      </c>
      <c r="J22" s="1764" t="str">
        <f>'SD-Det'!H22</f>
        <v>na</v>
      </c>
      <c r="K22" s="1764" t="str">
        <f>'SD-Det'!G22</f>
        <v>na</v>
      </c>
      <c r="L22" s="1868" t="str">
        <f>'SD-Det'!Y22</f>
        <v>na</v>
      </c>
      <c r="M22" s="1868" t="str">
        <f>'SD-Det'!U22</f>
        <v>na</v>
      </c>
      <c r="N22" s="2219" t="str">
        <f>'SD-Det'!V22</f>
        <v>na</v>
      </c>
      <c r="O22" s="1864" t="str">
        <f>'SD-Det'!D22</f>
        <v>na</v>
      </c>
      <c r="P22" s="2226" t="str">
        <f>'SD-Det'!F22</f>
        <v>na</v>
      </c>
      <c r="R22" s="1933" t="str">
        <f t="shared" ref="R22:R45" si="32">IF($F22="na","",IF($F22=H22,"X",""))</f>
        <v/>
      </c>
      <c r="S22" s="1934" t="str">
        <f t="shared" ref="S22:S45" si="33">IF($F22="na","",IF($F22=I22,"X",""))</f>
        <v/>
      </c>
      <c r="T22" s="1934" t="str">
        <f t="shared" ref="T22:T45" si="34">IF($F22="na","",IF($F22=J22,"X",""))</f>
        <v/>
      </c>
      <c r="U22" s="1934" t="str">
        <f t="shared" ref="U22:U45" si="35">IF($F22="na","",IF($F22=L22,"X",""))</f>
        <v/>
      </c>
      <c r="V22" s="1934" t="str">
        <f t="shared" ref="V22:V45" si="36">IF($F22="na","",IF($F22=M22,"X",""))</f>
        <v/>
      </c>
      <c r="W22" s="1934" t="str">
        <f t="shared" ref="W22:W45" si="37">IF($F22="na","",IF($F22=O22,"X",""))</f>
        <v/>
      </c>
      <c r="X22" s="1603" t="str">
        <f t="shared" ref="X22:X45" si="38">IF($F22="na","",IF($F22=P22,"X",""))</f>
        <v/>
      </c>
      <c r="Z22" s="1935"/>
    </row>
    <row r="23" spans="1:26" ht="13.9" customHeight="1" x14ac:dyDescent="0.25">
      <c r="A23" s="1917">
        <f>Chem!A23</f>
        <v>21</v>
      </c>
      <c r="B23" s="1932" t="str">
        <f>Chem!B23</f>
        <v>Antimony</v>
      </c>
      <c r="C23" s="2013" t="str">
        <f t="shared" si="29"/>
        <v>na</v>
      </c>
      <c r="D23" s="2014" t="str">
        <f t="shared" si="30"/>
        <v>na</v>
      </c>
      <c r="E23" s="2014" t="str">
        <f t="shared" si="31"/>
        <v>na</v>
      </c>
      <c r="F23" s="2033" t="str">
        <f>'SD-Det'!Z23</f>
        <v>na</v>
      </c>
      <c r="G23" s="2206" t="str">
        <f>'SD-Det'!C23</f>
        <v>no</v>
      </c>
      <c r="H23" s="1815" t="str">
        <f>'SD-Det'!K23</f>
        <v>na</v>
      </c>
      <c r="I23" s="1826" t="str">
        <f>'SD-Det'!M23</f>
        <v>na</v>
      </c>
      <c r="J23" s="1763" t="str">
        <f>'SD-Det'!H23</f>
        <v>na</v>
      </c>
      <c r="K23" s="1763" t="str">
        <f>'SD-Det'!G23</f>
        <v>na</v>
      </c>
      <c r="L23" s="1867" t="str">
        <f>'SD-Det'!Y23</f>
        <v>na</v>
      </c>
      <c r="M23" s="1867" t="str">
        <f>'SD-Det'!U23</f>
        <v>na</v>
      </c>
      <c r="N23" s="2219" t="str">
        <f>'SD-Det'!V23</f>
        <v>na</v>
      </c>
      <c r="O23" s="1862" t="str">
        <f>'SD-Det'!D23</f>
        <v>na</v>
      </c>
      <c r="P23" s="2225">
        <f>'SD-Det'!F23</f>
        <v>0.5</v>
      </c>
      <c r="R23" s="1936" t="str">
        <f t="shared" si="32"/>
        <v/>
      </c>
      <c r="S23" s="1937" t="str">
        <f t="shared" si="33"/>
        <v/>
      </c>
      <c r="T23" s="1937" t="str">
        <f t="shared" si="34"/>
        <v/>
      </c>
      <c r="U23" s="1937" t="str">
        <f t="shared" si="35"/>
        <v/>
      </c>
      <c r="V23" s="1937" t="str">
        <f t="shared" si="36"/>
        <v/>
      </c>
      <c r="W23" s="1937" t="str">
        <f t="shared" si="37"/>
        <v/>
      </c>
      <c r="X23" s="1600" t="str">
        <f t="shared" si="38"/>
        <v/>
      </c>
      <c r="Z23" s="1935"/>
    </row>
    <row r="24" spans="1:26" ht="13.9" customHeight="1" x14ac:dyDescent="0.25">
      <c r="A24" s="1917">
        <f>Chem!A24</f>
        <v>22</v>
      </c>
      <c r="B24" s="1932" t="str">
        <f>Chem!B24</f>
        <v>Arsenic</v>
      </c>
      <c r="C24" s="2017">
        <f t="shared" si="29"/>
        <v>7</v>
      </c>
      <c r="D24" s="2018">
        <f t="shared" si="30"/>
        <v>57</v>
      </c>
      <c r="E24" s="2018" t="str">
        <f t="shared" si="31"/>
        <v>na</v>
      </c>
      <c r="F24" s="2033">
        <f>'SD-Det'!Z24</f>
        <v>7</v>
      </c>
      <c r="G24" s="2206" t="str">
        <f>'SD-Det'!C24</f>
        <v>YES</v>
      </c>
      <c r="H24" s="1818">
        <f>'SD-Det'!K24</f>
        <v>6.687928142088409E-2</v>
      </c>
      <c r="I24" s="1829">
        <f>'SD-Det'!M24</f>
        <v>7</v>
      </c>
      <c r="J24" s="1766">
        <f>'SD-Det'!H24</f>
        <v>57</v>
      </c>
      <c r="K24" s="1766" t="str">
        <f>'SD-Det'!G24</f>
        <v>na</v>
      </c>
      <c r="L24" s="1870">
        <f>'SD-Det'!Y24</f>
        <v>7</v>
      </c>
      <c r="M24" s="1870">
        <f>'SD-Det'!U24</f>
        <v>57</v>
      </c>
      <c r="N24" s="2219" t="str">
        <f>'SD-Det'!V24</f>
        <v>na</v>
      </c>
      <c r="O24" s="2004">
        <f>'SD-Det'!D24</f>
        <v>7</v>
      </c>
      <c r="P24" s="2229">
        <f>'SD-Det'!F24</f>
        <v>0.3</v>
      </c>
      <c r="R24" s="1936" t="str">
        <f t="shared" si="32"/>
        <v/>
      </c>
      <c r="S24" s="1937" t="str">
        <f t="shared" si="33"/>
        <v>X</v>
      </c>
      <c r="T24" s="1937" t="str">
        <f t="shared" si="34"/>
        <v/>
      </c>
      <c r="U24" s="1937" t="str">
        <f t="shared" si="35"/>
        <v>X</v>
      </c>
      <c r="V24" s="1937" t="str">
        <f t="shared" si="36"/>
        <v/>
      </c>
      <c r="W24" s="1937" t="str">
        <f t="shared" si="37"/>
        <v>X</v>
      </c>
      <c r="X24" s="1600" t="str">
        <f t="shared" si="38"/>
        <v/>
      </c>
      <c r="Z24" s="1935"/>
    </row>
    <row r="25" spans="1:26" ht="13.9" customHeight="1" x14ac:dyDescent="0.25">
      <c r="A25" s="1917">
        <f>Chem!A25</f>
        <v>23</v>
      </c>
      <c r="B25" s="1932" t="str">
        <f>Chem!B25</f>
        <v>Barium</v>
      </c>
      <c r="C25" s="2013" t="str">
        <f t="shared" si="29"/>
        <v>na</v>
      </c>
      <c r="D25" s="2014" t="str">
        <f t="shared" si="30"/>
        <v>na</v>
      </c>
      <c r="E25" s="2014" t="str">
        <f t="shared" si="31"/>
        <v>na</v>
      </c>
      <c r="F25" s="2033" t="str">
        <f>'SD-Det'!Z25</f>
        <v>na</v>
      </c>
      <c r="G25" s="2206" t="str">
        <f>'SD-Det'!C25</f>
        <v>no</v>
      </c>
      <c r="H25" s="1815" t="str">
        <f>'SD-Det'!K25</f>
        <v>na</v>
      </c>
      <c r="I25" s="1826" t="str">
        <f>'SD-Det'!M25</f>
        <v>na</v>
      </c>
      <c r="J25" s="1763" t="str">
        <f>'SD-Det'!H25</f>
        <v>na</v>
      </c>
      <c r="K25" s="1763" t="str">
        <f>'SD-Det'!G25</f>
        <v>na</v>
      </c>
      <c r="L25" s="1867" t="str">
        <f>'SD-Det'!Y25</f>
        <v>na</v>
      </c>
      <c r="M25" s="1867" t="str">
        <f>'SD-Det'!U25</f>
        <v>na</v>
      </c>
      <c r="N25" s="2219" t="str">
        <f>'SD-Det'!V25</f>
        <v>na</v>
      </c>
      <c r="O25" s="1862" t="str">
        <f>'SD-Det'!D25</f>
        <v>na</v>
      </c>
      <c r="P25" s="2225" t="str">
        <f>'SD-Det'!F25</f>
        <v>na</v>
      </c>
      <c r="R25" s="1936" t="str">
        <f t="shared" si="32"/>
        <v/>
      </c>
      <c r="S25" s="1937" t="str">
        <f t="shared" si="33"/>
        <v/>
      </c>
      <c r="T25" s="1937" t="str">
        <f t="shared" si="34"/>
        <v/>
      </c>
      <c r="U25" s="1937" t="str">
        <f t="shared" si="35"/>
        <v/>
      </c>
      <c r="V25" s="1937" t="str">
        <f t="shared" si="36"/>
        <v/>
      </c>
      <c r="W25" s="1937" t="str">
        <f t="shared" si="37"/>
        <v/>
      </c>
      <c r="X25" s="1600" t="str">
        <f t="shared" si="38"/>
        <v/>
      </c>
      <c r="Z25" s="1935"/>
    </row>
    <row r="26" spans="1:26" ht="13.9" customHeight="1" x14ac:dyDescent="0.25">
      <c r="A26" s="1917">
        <f>Chem!A26</f>
        <v>24</v>
      </c>
      <c r="B26" s="1932" t="str">
        <f>Chem!B26</f>
        <v>Beryllium</v>
      </c>
      <c r="C26" s="2017" t="str">
        <f t="shared" si="29"/>
        <v>na</v>
      </c>
      <c r="D26" s="2018" t="str">
        <f t="shared" si="30"/>
        <v>na</v>
      </c>
      <c r="E26" s="2018" t="str">
        <f t="shared" si="31"/>
        <v>na</v>
      </c>
      <c r="F26" s="2033" t="str">
        <f>'SD-Det'!Z26</f>
        <v>na</v>
      </c>
      <c r="G26" s="2206" t="str">
        <f>'SD-Det'!C26</f>
        <v>no</v>
      </c>
      <c r="H26" s="1818" t="str">
        <f>'SD-Det'!K26</f>
        <v>na</v>
      </c>
      <c r="I26" s="1829" t="str">
        <f>'SD-Det'!M26</f>
        <v>na</v>
      </c>
      <c r="J26" s="1766" t="str">
        <f>'SD-Det'!H26</f>
        <v>na</v>
      </c>
      <c r="K26" s="1766" t="str">
        <f>'SD-Det'!G26</f>
        <v>na</v>
      </c>
      <c r="L26" s="1870" t="str">
        <f>'SD-Det'!Y26</f>
        <v>na</v>
      </c>
      <c r="M26" s="1870" t="str">
        <f>'SD-Det'!U26</f>
        <v>na</v>
      </c>
      <c r="N26" s="2219" t="str">
        <f>'SD-Det'!V26</f>
        <v>na</v>
      </c>
      <c r="O26" s="2004" t="str">
        <f>'SD-Det'!D26</f>
        <v>na</v>
      </c>
      <c r="P26" s="2229" t="str">
        <f>'SD-Det'!F26</f>
        <v>na</v>
      </c>
      <c r="R26" s="1936" t="str">
        <f t="shared" si="32"/>
        <v/>
      </c>
      <c r="S26" s="1937" t="str">
        <f t="shared" si="33"/>
        <v/>
      </c>
      <c r="T26" s="1937" t="str">
        <f t="shared" si="34"/>
        <v/>
      </c>
      <c r="U26" s="1937" t="str">
        <f t="shared" si="35"/>
        <v/>
      </c>
      <c r="V26" s="1937" t="str">
        <f t="shared" si="36"/>
        <v/>
      </c>
      <c r="W26" s="1937" t="str">
        <f t="shared" si="37"/>
        <v/>
      </c>
      <c r="X26" s="1600" t="str">
        <f t="shared" si="38"/>
        <v/>
      </c>
      <c r="Z26" s="1935"/>
    </row>
    <row r="27" spans="1:26" ht="13.9" customHeight="1" x14ac:dyDescent="0.25">
      <c r="A27" s="1917">
        <f>Chem!A27</f>
        <v>25</v>
      </c>
      <c r="B27" s="1932" t="str">
        <f>Chem!B27</f>
        <v>Cadmium</v>
      </c>
      <c r="C27" s="2017" t="str">
        <f t="shared" si="29"/>
        <v>na</v>
      </c>
      <c r="D27" s="2018">
        <f t="shared" si="30"/>
        <v>5.0999999999999996</v>
      </c>
      <c r="E27" s="2018" t="str">
        <f t="shared" si="31"/>
        <v>na</v>
      </c>
      <c r="F27" s="2033">
        <f>'SD-Det'!Z27</f>
        <v>5.0999999999999996</v>
      </c>
      <c r="G27" s="2206" t="str">
        <f>'SD-Det'!C27</f>
        <v>no</v>
      </c>
      <c r="H27" s="1818" t="str">
        <f>'SD-Det'!K27</f>
        <v>na</v>
      </c>
      <c r="I27" s="1829" t="str">
        <f>'SD-Det'!M27</f>
        <v>na</v>
      </c>
      <c r="J27" s="1766">
        <f>'SD-Det'!H27</f>
        <v>5.0999999999999996</v>
      </c>
      <c r="K27" s="1766" t="str">
        <f>'SD-Det'!G27</f>
        <v>na</v>
      </c>
      <c r="L27" s="1870" t="str">
        <f>'SD-Det'!Y27</f>
        <v>na</v>
      </c>
      <c r="M27" s="1870">
        <f>'SD-Det'!U27</f>
        <v>5.0999999999999996</v>
      </c>
      <c r="N27" s="2219" t="str">
        <f>'SD-Det'!V27</f>
        <v>na</v>
      </c>
      <c r="O27" s="2004">
        <f>'SD-Det'!D27</f>
        <v>0.8</v>
      </c>
      <c r="P27" s="2229">
        <f>'SD-Det'!F27</f>
        <v>7.0000000000000007E-2</v>
      </c>
      <c r="R27" s="1936" t="str">
        <f t="shared" si="32"/>
        <v/>
      </c>
      <c r="S27" s="1937" t="str">
        <f t="shared" si="33"/>
        <v/>
      </c>
      <c r="T27" s="1937" t="str">
        <f t="shared" si="34"/>
        <v>X</v>
      </c>
      <c r="U27" s="1937" t="str">
        <f t="shared" si="35"/>
        <v/>
      </c>
      <c r="V27" s="1937" t="str">
        <f t="shared" si="36"/>
        <v>X</v>
      </c>
      <c r="W27" s="1937" t="str">
        <f t="shared" si="37"/>
        <v/>
      </c>
      <c r="X27" s="1600" t="str">
        <f t="shared" si="38"/>
        <v/>
      </c>
      <c r="Z27" s="1935"/>
    </row>
    <row r="28" spans="1:26" ht="13.9" customHeight="1" x14ac:dyDescent="0.25">
      <c r="A28" s="1917">
        <f>Chem!A28</f>
        <v>26</v>
      </c>
      <c r="B28" s="1932" t="str">
        <f>Chem!B28</f>
        <v>Chromium, total</v>
      </c>
      <c r="C28" s="2017" t="str">
        <f t="shared" si="29"/>
        <v>na</v>
      </c>
      <c r="D28" s="2018">
        <f t="shared" si="30"/>
        <v>260</v>
      </c>
      <c r="E28" s="2018" t="str">
        <f t="shared" si="31"/>
        <v>na</v>
      </c>
      <c r="F28" s="2033">
        <f>'SD-Det'!Z28</f>
        <v>260</v>
      </c>
      <c r="G28" s="2206" t="str">
        <f>'SD-Det'!C28</f>
        <v>no</v>
      </c>
      <c r="H28" s="1818" t="str">
        <f>'SD-Det'!K28</f>
        <v>na</v>
      </c>
      <c r="I28" s="1829" t="str">
        <f>'SD-Det'!M28</f>
        <v>na</v>
      </c>
      <c r="J28" s="1766">
        <f>'SD-Det'!H28</f>
        <v>260</v>
      </c>
      <c r="K28" s="1766" t="str">
        <f>'SD-Det'!G28</f>
        <v>na</v>
      </c>
      <c r="L28" s="1870" t="str">
        <f>'SD-Det'!Y28</f>
        <v>na</v>
      </c>
      <c r="M28" s="1870">
        <f>'SD-Det'!U28</f>
        <v>260</v>
      </c>
      <c r="N28" s="2219" t="str">
        <f>'SD-Det'!V28</f>
        <v>na</v>
      </c>
      <c r="O28" s="2004">
        <f>'SD-Det'!D28</f>
        <v>62</v>
      </c>
      <c r="P28" s="2229">
        <f>'SD-Det'!F28</f>
        <v>0.2</v>
      </c>
      <c r="R28" s="1936" t="str">
        <f t="shared" si="32"/>
        <v/>
      </c>
      <c r="S28" s="1937" t="str">
        <f t="shared" si="33"/>
        <v/>
      </c>
      <c r="T28" s="1937" t="str">
        <f t="shared" si="34"/>
        <v>X</v>
      </c>
      <c r="U28" s="1937" t="str">
        <f t="shared" si="35"/>
        <v/>
      </c>
      <c r="V28" s="1937" t="str">
        <f t="shared" si="36"/>
        <v>X</v>
      </c>
      <c r="W28" s="1937" t="str">
        <f t="shared" si="37"/>
        <v/>
      </c>
      <c r="X28" s="1600" t="str">
        <f t="shared" si="38"/>
        <v/>
      </c>
      <c r="Z28" s="1935"/>
    </row>
    <row r="29" spans="1:26" ht="13.9" customHeight="1" x14ac:dyDescent="0.25">
      <c r="A29" s="1917">
        <f>Chem!A29</f>
        <v>27</v>
      </c>
      <c r="B29" s="1932" t="str">
        <f>Chem!B29</f>
        <v>Chromium, trivalent</v>
      </c>
      <c r="C29" s="2013" t="str">
        <f t="shared" si="29"/>
        <v>na</v>
      </c>
      <c r="D29" s="2014" t="str">
        <f t="shared" si="30"/>
        <v>na</v>
      </c>
      <c r="E29" s="2014" t="str">
        <f t="shared" si="31"/>
        <v>na</v>
      </c>
      <c r="F29" s="2033" t="str">
        <f>'SD-Det'!Z29</f>
        <v>na</v>
      </c>
      <c r="G29" s="2206" t="str">
        <f>'SD-Det'!C29</f>
        <v>no</v>
      </c>
      <c r="H29" s="1815" t="str">
        <f>'SD-Det'!K29</f>
        <v>na</v>
      </c>
      <c r="I29" s="1826" t="str">
        <f>'SD-Det'!M29</f>
        <v>na</v>
      </c>
      <c r="J29" s="1763" t="str">
        <f>'SD-Det'!H29</f>
        <v>na</v>
      </c>
      <c r="K29" s="1763" t="str">
        <f>'SD-Det'!G29</f>
        <v>na</v>
      </c>
      <c r="L29" s="1867" t="str">
        <f>'SD-Det'!Y29</f>
        <v>na</v>
      </c>
      <c r="M29" s="1867" t="str">
        <f>'SD-Det'!U29</f>
        <v>na</v>
      </c>
      <c r="N29" s="2219" t="str">
        <f>'SD-Det'!V29</f>
        <v>na</v>
      </c>
      <c r="O29" s="1862" t="str">
        <f>'SD-Det'!D29</f>
        <v>na</v>
      </c>
      <c r="P29" s="2225" t="str">
        <f>'SD-Det'!F29</f>
        <v>na</v>
      </c>
      <c r="R29" s="1936" t="str">
        <f t="shared" si="32"/>
        <v/>
      </c>
      <c r="S29" s="1937" t="str">
        <f t="shared" si="33"/>
        <v/>
      </c>
      <c r="T29" s="1937" t="str">
        <f t="shared" si="34"/>
        <v/>
      </c>
      <c r="U29" s="1937" t="str">
        <f t="shared" si="35"/>
        <v/>
      </c>
      <c r="V29" s="1937" t="str">
        <f t="shared" si="36"/>
        <v/>
      </c>
      <c r="W29" s="1937" t="str">
        <f t="shared" si="37"/>
        <v/>
      </c>
      <c r="X29" s="1600" t="str">
        <f t="shared" si="38"/>
        <v/>
      </c>
      <c r="Z29" s="1935"/>
    </row>
    <row r="30" spans="1:26" ht="13.9" customHeight="1" x14ac:dyDescent="0.25">
      <c r="A30" s="1917">
        <f>Chem!A30</f>
        <v>28</v>
      </c>
      <c r="B30" s="1932" t="str">
        <f>Chem!B30</f>
        <v>Chromium, hexavalent</v>
      </c>
      <c r="C30" s="2017" t="str">
        <f t="shared" si="29"/>
        <v>na</v>
      </c>
      <c r="D30" s="2018" t="str">
        <f t="shared" si="30"/>
        <v>na</v>
      </c>
      <c r="E30" s="2018" t="str">
        <f t="shared" si="31"/>
        <v>na</v>
      </c>
      <c r="F30" s="2033" t="str">
        <f>'SD-Det'!Z30</f>
        <v>na</v>
      </c>
      <c r="G30" s="2206" t="str">
        <f>'SD-Det'!C30</f>
        <v>no</v>
      </c>
      <c r="H30" s="1818" t="str">
        <f>'SD-Det'!K30</f>
        <v>na</v>
      </c>
      <c r="I30" s="1829" t="str">
        <f>'SD-Det'!M30</f>
        <v>na</v>
      </c>
      <c r="J30" s="1766" t="str">
        <f>'SD-Det'!H30</f>
        <v>na</v>
      </c>
      <c r="K30" s="1766" t="str">
        <f>'SD-Det'!G30</f>
        <v>na</v>
      </c>
      <c r="L30" s="1870" t="str">
        <f>'SD-Det'!Y30</f>
        <v>na</v>
      </c>
      <c r="M30" s="1870" t="str">
        <f>'SD-Det'!U30</f>
        <v>na</v>
      </c>
      <c r="N30" s="2219" t="str">
        <f>'SD-Det'!V30</f>
        <v>na</v>
      </c>
      <c r="O30" s="2004" t="str">
        <f>'SD-Det'!D30</f>
        <v>na</v>
      </c>
      <c r="P30" s="2229" t="str">
        <f>'SD-Det'!F30</f>
        <v>na</v>
      </c>
      <c r="R30" s="1936" t="str">
        <f t="shared" si="32"/>
        <v/>
      </c>
      <c r="S30" s="1937" t="str">
        <f t="shared" si="33"/>
        <v/>
      </c>
      <c r="T30" s="1937" t="str">
        <f t="shared" si="34"/>
        <v/>
      </c>
      <c r="U30" s="1937" t="str">
        <f t="shared" si="35"/>
        <v/>
      </c>
      <c r="V30" s="1937" t="str">
        <f t="shared" si="36"/>
        <v/>
      </c>
      <c r="W30" s="1937" t="str">
        <f t="shared" si="37"/>
        <v/>
      </c>
      <c r="X30" s="1600" t="str">
        <f t="shared" si="38"/>
        <v/>
      </c>
      <c r="Z30" s="1935"/>
    </row>
    <row r="31" spans="1:26" ht="13.9" customHeight="1" x14ac:dyDescent="0.25">
      <c r="A31" s="1917">
        <f>Chem!A31</f>
        <v>29</v>
      </c>
      <c r="B31" s="1932" t="str">
        <f>Chem!B31</f>
        <v>Cobalt</v>
      </c>
      <c r="C31" s="2013" t="str">
        <f t="shared" si="29"/>
        <v>na</v>
      </c>
      <c r="D31" s="2014" t="str">
        <f t="shared" si="30"/>
        <v>na</v>
      </c>
      <c r="E31" s="2014" t="str">
        <f t="shared" si="31"/>
        <v>na</v>
      </c>
      <c r="F31" s="2033" t="str">
        <f>'SD-Det'!Z31</f>
        <v>na</v>
      </c>
      <c r="G31" s="2206" t="str">
        <f>'SD-Det'!C31</f>
        <v>no</v>
      </c>
      <c r="H31" s="1815" t="str">
        <f>'SD-Det'!K31</f>
        <v>na</v>
      </c>
      <c r="I31" s="1826" t="str">
        <f>'SD-Det'!M31</f>
        <v>na</v>
      </c>
      <c r="J31" s="1763" t="str">
        <f>'SD-Det'!H31</f>
        <v>na</v>
      </c>
      <c r="K31" s="1763" t="str">
        <f>'SD-Det'!G31</f>
        <v>na</v>
      </c>
      <c r="L31" s="1867" t="str">
        <f>'SD-Det'!Y31</f>
        <v>na</v>
      </c>
      <c r="M31" s="1867" t="str">
        <f>'SD-Det'!U31</f>
        <v>na</v>
      </c>
      <c r="N31" s="2219" t="str">
        <f>'SD-Det'!V31</f>
        <v>na</v>
      </c>
      <c r="O31" s="1862" t="str">
        <f>'SD-Det'!D31</f>
        <v>na</v>
      </c>
      <c r="P31" s="2225" t="str">
        <f>'SD-Det'!F31</f>
        <v>na</v>
      </c>
      <c r="R31" s="1936" t="str">
        <f t="shared" si="32"/>
        <v/>
      </c>
      <c r="S31" s="1937" t="str">
        <f t="shared" si="33"/>
        <v/>
      </c>
      <c r="T31" s="1937" t="str">
        <f t="shared" si="34"/>
        <v/>
      </c>
      <c r="U31" s="1937" t="str">
        <f t="shared" si="35"/>
        <v/>
      </c>
      <c r="V31" s="1937" t="str">
        <f t="shared" si="36"/>
        <v/>
      </c>
      <c r="W31" s="1937" t="str">
        <f t="shared" si="37"/>
        <v/>
      </c>
      <c r="X31" s="1600" t="str">
        <f t="shared" si="38"/>
        <v/>
      </c>
      <c r="Z31" s="1935"/>
    </row>
    <row r="32" spans="1:26" ht="13.9" customHeight="1" x14ac:dyDescent="0.25">
      <c r="A32" s="1917">
        <f>Chem!A32</f>
        <v>30</v>
      </c>
      <c r="B32" s="1932" t="str">
        <f>Chem!B32</f>
        <v>Copper</v>
      </c>
      <c r="C32" s="2013" t="str">
        <f t="shared" si="29"/>
        <v>na</v>
      </c>
      <c r="D32" s="2014">
        <f t="shared" si="30"/>
        <v>390</v>
      </c>
      <c r="E32" s="2014" t="str">
        <f t="shared" si="31"/>
        <v>na</v>
      </c>
      <c r="F32" s="2033">
        <f>'SD-Det'!Z32</f>
        <v>390</v>
      </c>
      <c r="G32" s="2206" t="str">
        <f>'SD-Det'!C32</f>
        <v>no</v>
      </c>
      <c r="H32" s="1815" t="str">
        <f>'SD-Det'!K32</f>
        <v>na</v>
      </c>
      <c r="I32" s="1826" t="str">
        <f>'SD-Det'!M32</f>
        <v>na</v>
      </c>
      <c r="J32" s="1763">
        <f>'SD-Det'!H32</f>
        <v>390</v>
      </c>
      <c r="K32" s="1763" t="str">
        <f>'SD-Det'!G32</f>
        <v>na</v>
      </c>
      <c r="L32" s="1867" t="str">
        <f>'SD-Det'!Y32</f>
        <v>na</v>
      </c>
      <c r="M32" s="1867">
        <f>'SD-Det'!U32</f>
        <v>390</v>
      </c>
      <c r="N32" s="2219" t="str">
        <f>'SD-Det'!V32</f>
        <v>na</v>
      </c>
      <c r="O32" s="1862">
        <f>'SD-Det'!D32</f>
        <v>45</v>
      </c>
      <c r="P32" s="2225">
        <f>'SD-Det'!F32</f>
        <v>0.1</v>
      </c>
      <c r="R32" s="1936" t="str">
        <f t="shared" si="32"/>
        <v/>
      </c>
      <c r="S32" s="1937" t="str">
        <f t="shared" si="33"/>
        <v/>
      </c>
      <c r="T32" s="1937" t="str">
        <f t="shared" si="34"/>
        <v>X</v>
      </c>
      <c r="U32" s="1937" t="str">
        <f t="shared" si="35"/>
        <v/>
      </c>
      <c r="V32" s="1937" t="str">
        <f t="shared" si="36"/>
        <v>X</v>
      </c>
      <c r="W32" s="1937" t="str">
        <f t="shared" si="37"/>
        <v/>
      </c>
      <c r="X32" s="1600" t="str">
        <f t="shared" si="38"/>
        <v/>
      </c>
      <c r="Z32" s="1935"/>
    </row>
    <row r="33" spans="1:26" ht="13.9" customHeight="1" x14ac:dyDescent="0.25">
      <c r="A33" s="1917">
        <f>Chem!A33</f>
        <v>31</v>
      </c>
      <c r="B33" s="1932" t="str">
        <f>Chem!B33</f>
        <v>Iron</v>
      </c>
      <c r="C33" s="2013" t="str">
        <f t="shared" si="29"/>
        <v>na</v>
      </c>
      <c r="D33" s="2014" t="str">
        <f t="shared" si="30"/>
        <v>na</v>
      </c>
      <c r="E33" s="2014" t="str">
        <f t="shared" si="31"/>
        <v>na</v>
      </c>
      <c r="F33" s="2033" t="str">
        <f>'SD-Det'!Z33</f>
        <v>na</v>
      </c>
      <c r="G33" s="2206" t="str">
        <f>'SD-Det'!C33</f>
        <v>no</v>
      </c>
      <c r="H33" s="1815" t="str">
        <f>'SD-Det'!K33</f>
        <v>na</v>
      </c>
      <c r="I33" s="1826" t="str">
        <f>'SD-Det'!M33</f>
        <v>na</v>
      </c>
      <c r="J33" s="1763" t="str">
        <f>'SD-Det'!H33</f>
        <v>na</v>
      </c>
      <c r="K33" s="1763" t="str">
        <f>'SD-Det'!G33</f>
        <v>na</v>
      </c>
      <c r="L33" s="1867" t="str">
        <f>'SD-Det'!Y33</f>
        <v>na</v>
      </c>
      <c r="M33" s="1867" t="str">
        <f>'SD-Det'!U33</f>
        <v>na</v>
      </c>
      <c r="N33" s="2219" t="str">
        <f>'SD-Det'!V33</f>
        <v>na</v>
      </c>
      <c r="O33" s="1862" t="str">
        <f>'SD-Det'!D33</f>
        <v>na</v>
      </c>
      <c r="P33" s="2225" t="str">
        <f>'SD-Det'!F33</f>
        <v>na</v>
      </c>
      <c r="R33" s="1936" t="str">
        <f t="shared" si="32"/>
        <v/>
      </c>
      <c r="S33" s="1937" t="str">
        <f t="shared" si="33"/>
        <v/>
      </c>
      <c r="T33" s="1937" t="str">
        <f t="shared" si="34"/>
        <v/>
      </c>
      <c r="U33" s="1937" t="str">
        <f t="shared" si="35"/>
        <v/>
      </c>
      <c r="V33" s="1937" t="str">
        <f t="shared" si="36"/>
        <v/>
      </c>
      <c r="W33" s="1937" t="str">
        <f t="shared" si="37"/>
        <v/>
      </c>
      <c r="X33" s="1600" t="str">
        <f t="shared" si="38"/>
        <v/>
      </c>
      <c r="Z33" s="1935"/>
    </row>
    <row r="34" spans="1:26" ht="13.9" customHeight="1" x14ac:dyDescent="0.25">
      <c r="A34" s="1917">
        <f>Chem!A34</f>
        <v>32</v>
      </c>
      <c r="B34" s="1932" t="str">
        <f>Chem!B34</f>
        <v>Lead</v>
      </c>
      <c r="C34" s="2013" t="str">
        <f t="shared" si="29"/>
        <v>na</v>
      </c>
      <c r="D34" s="2014">
        <f t="shared" si="30"/>
        <v>450</v>
      </c>
      <c r="E34" s="2014" t="str">
        <f t="shared" si="31"/>
        <v>na</v>
      </c>
      <c r="F34" s="2033">
        <f>'SD-Det'!Z34</f>
        <v>450</v>
      </c>
      <c r="G34" s="2206" t="str">
        <f>'SD-Det'!C34</f>
        <v>no</v>
      </c>
      <c r="H34" s="1815" t="str">
        <f>'SD-Det'!K34</f>
        <v>na</v>
      </c>
      <c r="I34" s="1826" t="str">
        <f>'SD-Det'!M34</f>
        <v>na</v>
      </c>
      <c r="J34" s="1763">
        <f>'SD-Det'!H34</f>
        <v>450</v>
      </c>
      <c r="K34" s="1763" t="str">
        <f>'SD-Det'!G34</f>
        <v>na</v>
      </c>
      <c r="L34" s="1867" t="str">
        <f>'SD-Det'!Y34</f>
        <v>na</v>
      </c>
      <c r="M34" s="1867">
        <f>'SD-Det'!U34</f>
        <v>450</v>
      </c>
      <c r="N34" s="2219" t="str">
        <f>'SD-Det'!V34</f>
        <v>na</v>
      </c>
      <c r="O34" s="1862">
        <f>'SD-Det'!D34</f>
        <v>21</v>
      </c>
      <c r="P34" s="2225">
        <f>'SD-Det'!F34</f>
        <v>0.1</v>
      </c>
      <c r="R34" s="1936" t="str">
        <f t="shared" si="32"/>
        <v/>
      </c>
      <c r="S34" s="1937" t="str">
        <f t="shared" si="33"/>
        <v/>
      </c>
      <c r="T34" s="1937" t="str">
        <f t="shared" si="34"/>
        <v>X</v>
      </c>
      <c r="U34" s="1937" t="str">
        <f t="shared" si="35"/>
        <v/>
      </c>
      <c r="V34" s="1937" t="str">
        <f t="shared" si="36"/>
        <v>X</v>
      </c>
      <c r="W34" s="1937" t="str">
        <f t="shared" si="37"/>
        <v/>
      </c>
      <c r="X34" s="1600" t="str">
        <f t="shared" si="38"/>
        <v/>
      </c>
      <c r="Z34" s="1935"/>
    </row>
    <row r="35" spans="1:26" ht="13.9" customHeight="1" x14ac:dyDescent="0.25">
      <c r="A35" s="1917">
        <f>Chem!A35</f>
        <v>33</v>
      </c>
      <c r="B35" s="1932" t="str">
        <f>Chem!B35</f>
        <v>Manganese</v>
      </c>
      <c r="C35" s="2013" t="str">
        <f t="shared" si="29"/>
        <v>na</v>
      </c>
      <c r="D35" s="2014" t="str">
        <f t="shared" si="30"/>
        <v>na</v>
      </c>
      <c r="E35" s="2014" t="str">
        <f t="shared" si="31"/>
        <v>na</v>
      </c>
      <c r="F35" s="2033" t="str">
        <f>'SD-Det'!Z35</f>
        <v>na</v>
      </c>
      <c r="G35" s="2206" t="str">
        <f>'SD-Det'!C35</f>
        <v>no</v>
      </c>
      <c r="H35" s="1815" t="str">
        <f>'SD-Det'!K35</f>
        <v>na</v>
      </c>
      <c r="I35" s="1826" t="str">
        <f>'SD-Det'!M35</f>
        <v>na</v>
      </c>
      <c r="J35" s="1763" t="str">
        <f>'SD-Det'!H35</f>
        <v>na</v>
      </c>
      <c r="K35" s="1763" t="str">
        <f>'SD-Det'!G35</f>
        <v>na</v>
      </c>
      <c r="L35" s="1867" t="str">
        <f>'SD-Det'!Y35</f>
        <v>na</v>
      </c>
      <c r="M35" s="1867" t="str">
        <f>'SD-Det'!U35</f>
        <v>na</v>
      </c>
      <c r="N35" s="2219" t="str">
        <f>'SD-Det'!V35</f>
        <v>na</v>
      </c>
      <c r="O35" s="1862" t="str">
        <f>'SD-Det'!D35</f>
        <v>na</v>
      </c>
      <c r="P35" s="2225" t="str">
        <f>'SD-Det'!F35</f>
        <v>na</v>
      </c>
      <c r="R35" s="1936" t="str">
        <f t="shared" si="32"/>
        <v/>
      </c>
      <c r="S35" s="1937" t="str">
        <f t="shared" si="33"/>
        <v/>
      </c>
      <c r="T35" s="1937" t="str">
        <f t="shared" si="34"/>
        <v/>
      </c>
      <c r="U35" s="1937" t="str">
        <f t="shared" si="35"/>
        <v/>
      </c>
      <c r="V35" s="1937" t="str">
        <f t="shared" si="36"/>
        <v/>
      </c>
      <c r="W35" s="1937" t="str">
        <f t="shared" si="37"/>
        <v/>
      </c>
      <c r="X35" s="1600" t="str">
        <f t="shared" si="38"/>
        <v/>
      </c>
      <c r="Z35" s="1935"/>
    </row>
    <row r="36" spans="1:26" ht="13.9" customHeight="1" x14ac:dyDescent="0.25">
      <c r="A36" s="1917">
        <f>Chem!A36</f>
        <v>34</v>
      </c>
      <c r="B36" s="1932" t="str">
        <f>Chem!B36</f>
        <v>Mercury, inorganic</v>
      </c>
      <c r="C36" s="2013">
        <f t="shared" si="29"/>
        <v>0.2</v>
      </c>
      <c r="D36" s="2014">
        <f t="shared" si="30"/>
        <v>0.41</v>
      </c>
      <c r="E36" s="2014" t="str">
        <f t="shared" si="31"/>
        <v>na</v>
      </c>
      <c r="F36" s="2033">
        <f>'SD-Det'!Z36</f>
        <v>0.41</v>
      </c>
      <c r="G36" s="2206" t="str">
        <f>'SD-Det'!C36</f>
        <v>YES</v>
      </c>
      <c r="H36" s="1815" t="str">
        <f>'SD-Det'!K36</f>
        <v>na</v>
      </c>
      <c r="I36" s="1826">
        <f>'SD-Det'!M36</f>
        <v>0.2</v>
      </c>
      <c r="J36" s="1763">
        <f>'SD-Det'!H36</f>
        <v>0.41</v>
      </c>
      <c r="K36" s="1763" t="str">
        <f>'SD-Det'!G36</f>
        <v>na</v>
      </c>
      <c r="L36" s="1867" t="str">
        <f>'SD-Det'!Y36</f>
        <v>na</v>
      </c>
      <c r="M36" s="1867">
        <f>'SD-Det'!U36</f>
        <v>0.41</v>
      </c>
      <c r="N36" s="2219" t="str">
        <f>'SD-Det'!V36</f>
        <v>na</v>
      </c>
      <c r="O36" s="1862">
        <f>'SD-Det'!D36</f>
        <v>0.2</v>
      </c>
      <c r="P36" s="2225">
        <f>'SD-Det'!F36</f>
        <v>0.02</v>
      </c>
      <c r="R36" s="1936" t="str">
        <f t="shared" si="32"/>
        <v/>
      </c>
      <c r="S36" s="1937" t="str">
        <f t="shared" si="33"/>
        <v/>
      </c>
      <c r="T36" s="1937" t="str">
        <f t="shared" si="34"/>
        <v>X</v>
      </c>
      <c r="U36" s="1937" t="str">
        <f t="shared" si="35"/>
        <v/>
      </c>
      <c r="V36" s="1937" t="str">
        <f t="shared" si="36"/>
        <v>X</v>
      </c>
      <c r="W36" s="1937" t="str">
        <f t="shared" si="37"/>
        <v/>
      </c>
      <c r="X36" s="1600" t="str">
        <f t="shared" si="38"/>
        <v/>
      </c>
      <c r="Z36" s="1935"/>
    </row>
    <row r="37" spans="1:26" ht="13.9" customHeight="1" x14ac:dyDescent="0.25">
      <c r="A37" s="1917">
        <f>Chem!A37</f>
        <v>35</v>
      </c>
      <c r="B37" s="1932" t="str">
        <f>Chem!B37</f>
        <v>Methylmercury</v>
      </c>
      <c r="C37" s="2013" t="str">
        <f t="shared" si="29"/>
        <v>na</v>
      </c>
      <c r="D37" s="2014" t="str">
        <f t="shared" si="30"/>
        <v>na</v>
      </c>
      <c r="E37" s="2014" t="str">
        <f t="shared" si="31"/>
        <v>na</v>
      </c>
      <c r="F37" s="2033" t="str">
        <f>'SD-Det'!Z37</f>
        <v>na</v>
      </c>
      <c r="G37" s="2206" t="str">
        <f>'SD-Det'!C37</f>
        <v>no</v>
      </c>
      <c r="H37" s="1815" t="str">
        <f>'SD-Det'!K37</f>
        <v>na</v>
      </c>
      <c r="I37" s="1826" t="str">
        <f>'SD-Det'!M37</f>
        <v>na</v>
      </c>
      <c r="J37" s="1763" t="str">
        <f>'SD-Det'!H37</f>
        <v>na</v>
      </c>
      <c r="K37" s="1763" t="str">
        <f>'SD-Det'!G37</f>
        <v>na</v>
      </c>
      <c r="L37" s="1867" t="str">
        <f>'SD-Det'!Y37</f>
        <v>na</v>
      </c>
      <c r="M37" s="1867" t="str">
        <f>'SD-Det'!U37</f>
        <v>na</v>
      </c>
      <c r="N37" s="2219" t="str">
        <f>'SD-Det'!V37</f>
        <v>na</v>
      </c>
      <c r="O37" s="1862" t="str">
        <f>'SD-Det'!D37</f>
        <v>na</v>
      </c>
      <c r="P37" s="2225" t="str">
        <f>'SD-Det'!F37</f>
        <v>na</v>
      </c>
      <c r="R37" s="1936" t="str">
        <f t="shared" si="32"/>
        <v/>
      </c>
      <c r="S37" s="1937" t="str">
        <f t="shared" si="33"/>
        <v/>
      </c>
      <c r="T37" s="1937" t="str">
        <f t="shared" si="34"/>
        <v/>
      </c>
      <c r="U37" s="1937" t="str">
        <f t="shared" si="35"/>
        <v/>
      </c>
      <c r="V37" s="1937" t="str">
        <f t="shared" si="36"/>
        <v/>
      </c>
      <c r="W37" s="1937" t="str">
        <f t="shared" si="37"/>
        <v/>
      </c>
      <c r="X37" s="1600" t="str">
        <f t="shared" si="38"/>
        <v/>
      </c>
      <c r="Z37" s="1935"/>
    </row>
    <row r="38" spans="1:26" ht="13.9" customHeight="1" x14ac:dyDescent="0.25">
      <c r="A38" s="1917">
        <f>Chem!A38</f>
        <v>36</v>
      </c>
      <c r="B38" s="1932" t="str">
        <f>Chem!B38</f>
        <v>Molybdenum</v>
      </c>
      <c r="C38" s="2013" t="str">
        <f t="shared" si="29"/>
        <v>na</v>
      </c>
      <c r="D38" s="2014" t="str">
        <f t="shared" si="30"/>
        <v>na</v>
      </c>
      <c r="E38" s="2014" t="str">
        <f t="shared" si="31"/>
        <v>na</v>
      </c>
      <c r="F38" s="2033" t="str">
        <f>'SD-Det'!Z38</f>
        <v>na</v>
      </c>
      <c r="G38" s="2206" t="str">
        <f>'SD-Det'!C38</f>
        <v>no</v>
      </c>
      <c r="H38" s="1815" t="str">
        <f>'SD-Det'!K38</f>
        <v>na</v>
      </c>
      <c r="I38" s="1826" t="str">
        <f>'SD-Det'!M38</f>
        <v>na</v>
      </c>
      <c r="J38" s="1763" t="str">
        <f>'SD-Det'!H38</f>
        <v>na</v>
      </c>
      <c r="K38" s="1763" t="str">
        <f>'SD-Det'!G38</f>
        <v>na</v>
      </c>
      <c r="L38" s="1867" t="str">
        <f>'SD-Det'!Y38</f>
        <v>na</v>
      </c>
      <c r="M38" s="1867" t="str">
        <f>'SD-Det'!U38</f>
        <v>na</v>
      </c>
      <c r="N38" s="2219" t="str">
        <f>'SD-Det'!V38</f>
        <v>na</v>
      </c>
      <c r="O38" s="1862" t="str">
        <f>'SD-Det'!D38</f>
        <v>na</v>
      </c>
      <c r="P38" s="2225" t="str">
        <f>'SD-Det'!F38</f>
        <v>na</v>
      </c>
      <c r="R38" s="1936" t="str">
        <f t="shared" si="32"/>
        <v/>
      </c>
      <c r="S38" s="1937" t="str">
        <f t="shared" si="33"/>
        <v/>
      </c>
      <c r="T38" s="1937" t="str">
        <f t="shared" si="34"/>
        <v/>
      </c>
      <c r="U38" s="1937" t="str">
        <f t="shared" si="35"/>
        <v/>
      </c>
      <c r="V38" s="1937" t="str">
        <f t="shared" si="36"/>
        <v/>
      </c>
      <c r="W38" s="1937" t="str">
        <f t="shared" si="37"/>
        <v/>
      </c>
      <c r="X38" s="1600" t="str">
        <f t="shared" si="38"/>
        <v/>
      </c>
      <c r="Z38" s="1935"/>
    </row>
    <row r="39" spans="1:26" ht="13.9" customHeight="1" x14ac:dyDescent="0.25">
      <c r="A39" s="1917">
        <f>Chem!A39</f>
        <v>37</v>
      </c>
      <c r="B39" s="1932" t="str">
        <f>Chem!B39</f>
        <v>Nickel</v>
      </c>
      <c r="C39" s="2017" t="str">
        <f t="shared" si="29"/>
        <v>na</v>
      </c>
      <c r="D39" s="2018" t="str">
        <f t="shared" si="30"/>
        <v>na</v>
      </c>
      <c r="E39" s="2018" t="str">
        <f t="shared" si="31"/>
        <v>na</v>
      </c>
      <c r="F39" s="2033" t="str">
        <f>'SD-Det'!Z39</f>
        <v>na</v>
      </c>
      <c r="G39" s="2206" t="str">
        <f>'SD-Det'!C39</f>
        <v>no</v>
      </c>
      <c r="H39" s="1818" t="str">
        <f>'SD-Det'!K39</f>
        <v>na</v>
      </c>
      <c r="I39" s="1829" t="str">
        <f>'SD-Det'!M39</f>
        <v>na</v>
      </c>
      <c r="J39" s="1766" t="str">
        <f>'SD-Det'!H39</f>
        <v>na</v>
      </c>
      <c r="K39" s="1766" t="str">
        <f>'SD-Det'!G39</f>
        <v>na</v>
      </c>
      <c r="L39" s="1870" t="str">
        <f>'SD-Det'!Y39</f>
        <v>na</v>
      </c>
      <c r="M39" s="1870" t="str">
        <f>'SD-Det'!U39</f>
        <v>na</v>
      </c>
      <c r="N39" s="2219" t="str">
        <f>'SD-Det'!V39</f>
        <v>na</v>
      </c>
      <c r="O39" s="2004">
        <f>'SD-Det'!D39</f>
        <v>50</v>
      </c>
      <c r="P39" s="2229">
        <f>'SD-Det'!F39</f>
        <v>0.2</v>
      </c>
      <c r="R39" s="1936" t="str">
        <f t="shared" si="32"/>
        <v/>
      </c>
      <c r="S39" s="1937" t="str">
        <f t="shared" si="33"/>
        <v/>
      </c>
      <c r="T39" s="1937" t="str">
        <f t="shared" si="34"/>
        <v/>
      </c>
      <c r="U39" s="1937" t="str">
        <f t="shared" si="35"/>
        <v/>
      </c>
      <c r="V39" s="1937" t="str">
        <f t="shared" si="36"/>
        <v/>
      </c>
      <c r="W39" s="1937" t="str">
        <f t="shared" si="37"/>
        <v/>
      </c>
      <c r="X39" s="1600" t="str">
        <f t="shared" si="38"/>
        <v/>
      </c>
      <c r="Z39" s="1935"/>
    </row>
    <row r="40" spans="1:26" ht="13.9" customHeight="1" x14ac:dyDescent="0.25">
      <c r="A40" s="1917">
        <f>Chem!A40</f>
        <v>38</v>
      </c>
      <c r="B40" s="1932" t="str">
        <f>Chem!B40</f>
        <v>Selenium</v>
      </c>
      <c r="C40" s="2013" t="str">
        <f t="shared" si="29"/>
        <v>na</v>
      </c>
      <c r="D40" s="2014" t="str">
        <f t="shared" si="30"/>
        <v>na</v>
      </c>
      <c r="E40" s="2014" t="str">
        <f t="shared" si="31"/>
        <v>na</v>
      </c>
      <c r="F40" s="2033" t="str">
        <f>'SD-Det'!Z40</f>
        <v>na</v>
      </c>
      <c r="G40" s="2206" t="str">
        <f>'SD-Det'!C40</f>
        <v>no</v>
      </c>
      <c r="H40" s="1815" t="str">
        <f>'SD-Det'!K40</f>
        <v>na</v>
      </c>
      <c r="I40" s="1826" t="str">
        <f>'SD-Det'!M40</f>
        <v>na</v>
      </c>
      <c r="J40" s="1763" t="str">
        <f>'SD-Det'!H40</f>
        <v>na</v>
      </c>
      <c r="K40" s="1763" t="str">
        <f>'SD-Det'!G40</f>
        <v>na</v>
      </c>
      <c r="L40" s="1867" t="str">
        <f>'SD-Det'!Y40</f>
        <v>na</v>
      </c>
      <c r="M40" s="1867" t="str">
        <f>'SD-Det'!U40</f>
        <v>na</v>
      </c>
      <c r="N40" s="2219" t="str">
        <f>'SD-Det'!V40</f>
        <v>na</v>
      </c>
      <c r="O40" s="1862" t="str">
        <f>'SD-Det'!D40</f>
        <v>na</v>
      </c>
      <c r="P40" s="2225">
        <f>'SD-Det'!F40</f>
        <v>0.1</v>
      </c>
      <c r="R40" s="1936" t="str">
        <f t="shared" si="32"/>
        <v/>
      </c>
      <c r="S40" s="1937" t="str">
        <f t="shared" si="33"/>
        <v/>
      </c>
      <c r="T40" s="1937" t="str">
        <f t="shared" si="34"/>
        <v/>
      </c>
      <c r="U40" s="1937" t="str">
        <f t="shared" si="35"/>
        <v/>
      </c>
      <c r="V40" s="1937" t="str">
        <f t="shared" si="36"/>
        <v/>
      </c>
      <c r="W40" s="1937" t="str">
        <f t="shared" si="37"/>
        <v/>
      </c>
      <c r="X40" s="1600" t="str">
        <f t="shared" si="38"/>
        <v/>
      </c>
      <c r="Z40" s="1935"/>
    </row>
    <row r="41" spans="1:26" ht="13.9" customHeight="1" x14ac:dyDescent="0.25">
      <c r="A41" s="1917">
        <f>Chem!A41</f>
        <v>39</v>
      </c>
      <c r="B41" s="1932" t="str">
        <f>Chem!B41</f>
        <v>Silver</v>
      </c>
      <c r="C41" s="2013" t="str">
        <f t="shared" si="29"/>
        <v>na</v>
      </c>
      <c r="D41" s="2014">
        <f t="shared" si="30"/>
        <v>6.1</v>
      </c>
      <c r="E41" s="2014" t="str">
        <f t="shared" si="31"/>
        <v>na</v>
      </c>
      <c r="F41" s="2033">
        <f>'SD-Det'!Z41</f>
        <v>6.1</v>
      </c>
      <c r="G41" s="2206" t="str">
        <f>'SD-Det'!C41</f>
        <v>no</v>
      </c>
      <c r="H41" s="1815" t="str">
        <f>'SD-Det'!K41</f>
        <v>na</v>
      </c>
      <c r="I41" s="1826" t="str">
        <f>'SD-Det'!M41</f>
        <v>na</v>
      </c>
      <c r="J41" s="1763">
        <f>'SD-Det'!H41</f>
        <v>6.1</v>
      </c>
      <c r="K41" s="1763" t="str">
        <f>'SD-Det'!G41</f>
        <v>na</v>
      </c>
      <c r="L41" s="1867" t="str">
        <f>'SD-Det'!Y41</f>
        <v>na</v>
      </c>
      <c r="M41" s="1867">
        <f>'SD-Det'!U41</f>
        <v>6.1</v>
      </c>
      <c r="N41" s="2219" t="str">
        <f>'SD-Det'!V41</f>
        <v>na</v>
      </c>
      <c r="O41" s="1862">
        <f>'SD-Det'!D41</f>
        <v>0.24</v>
      </c>
      <c r="P41" s="2225">
        <f>'SD-Det'!F41</f>
        <v>0.1</v>
      </c>
      <c r="R41" s="1936" t="str">
        <f t="shared" si="32"/>
        <v/>
      </c>
      <c r="S41" s="1937" t="str">
        <f t="shared" si="33"/>
        <v/>
      </c>
      <c r="T41" s="1937" t="str">
        <f t="shared" si="34"/>
        <v>X</v>
      </c>
      <c r="U41" s="1937" t="str">
        <f t="shared" si="35"/>
        <v/>
      </c>
      <c r="V41" s="1937" t="str">
        <f t="shared" si="36"/>
        <v>X</v>
      </c>
      <c r="W41" s="1937" t="str">
        <f t="shared" si="37"/>
        <v/>
      </c>
      <c r="X41" s="1600" t="str">
        <f t="shared" si="38"/>
        <v/>
      </c>
      <c r="Z41" s="1935"/>
    </row>
    <row r="42" spans="1:26" ht="13.9" customHeight="1" x14ac:dyDescent="0.25">
      <c r="A42" s="1917">
        <f>Chem!A42</f>
        <v>40</v>
      </c>
      <c r="B42" s="1932" t="str">
        <f>Chem!B42</f>
        <v>Thallium</v>
      </c>
      <c r="C42" s="2013" t="str">
        <f t="shared" si="29"/>
        <v>na</v>
      </c>
      <c r="D42" s="2014" t="str">
        <f t="shared" si="30"/>
        <v>na</v>
      </c>
      <c r="E42" s="2014" t="str">
        <f t="shared" si="31"/>
        <v>na</v>
      </c>
      <c r="F42" s="2033" t="str">
        <f>'SD-Det'!Z42</f>
        <v>na</v>
      </c>
      <c r="G42" s="2206" t="str">
        <f>'SD-Det'!C42</f>
        <v>no</v>
      </c>
      <c r="H42" s="1815" t="str">
        <f>'SD-Det'!K42</f>
        <v>na</v>
      </c>
      <c r="I42" s="1826" t="str">
        <f>'SD-Det'!M42</f>
        <v>na</v>
      </c>
      <c r="J42" s="1763" t="str">
        <f>'SD-Det'!H42</f>
        <v>na</v>
      </c>
      <c r="K42" s="1763" t="str">
        <f>'SD-Det'!G42</f>
        <v>na</v>
      </c>
      <c r="L42" s="1867" t="str">
        <f>'SD-Det'!Y42</f>
        <v>na</v>
      </c>
      <c r="M42" s="1867" t="str">
        <f>'SD-Det'!U42</f>
        <v>na</v>
      </c>
      <c r="N42" s="2219" t="str">
        <f>'SD-Det'!V42</f>
        <v>na</v>
      </c>
      <c r="O42" s="1862" t="str">
        <f>'SD-Det'!D42</f>
        <v>na</v>
      </c>
      <c r="P42" s="2225" t="str">
        <f>'SD-Det'!F42</f>
        <v>na</v>
      </c>
      <c r="R42" s="1936" t="str">
        <f t="shared" si="32"/>
        <v/>
      </c>
      <c r="S42" s="1937" t="str">
        <f t="shared" si="33"/>
        <v/>
      </c>
      <c r="T42" s="1937" t="str">
        <f t="shared" si="34"/>
        <v/>
      </c>
      <c r="U42" s="1937" t="str">
        <f t="shared" si="35"/>
        <v/>
      </c>
      <c r="V42" s="1937" t="str">
        <f t="shared" si="36"/>
        <v/>
      </c>
      <c r="W42" s="1937" t="str">
        <f t="shared" si="37"/>
        <v/>
      </c>
      <c r="X42" s="1600" t="str">
        <f t="shared" si="38"/>
        <v/>
      </c>
      <c r="Z42" s="1935"/>
    </row>
    <row r="43" spans="1:26" ht="13.9" customHeight="1" x14ac:dyDescent="0.25">
      <c r="A43" s="1917">
        <f>Chem!A43</f>
        <v>41</v>
      </c>
      <c r="B43" s="1932" t="str">
        <f>Chem!B43</f>
        <v>Tin</v>
      </c>
      <c r="C43" s="2013" t="str">
        <f t="shared" si="29"/>
        <v>na</v>
      </c>
      <c r="D43" s="2014" t="str">
        <f t="shared" si="30"/>
        <v>na</v>
      </c>
      <c r="E43" s="2014" t="str">
        <f t="shared" si="31"/>
        <v>na</v>
      </c>
      <c r="F43" s="2033" t="str">
        <f>'SD-Det'!Z43</f>
        <v>na</v>
      </c>
      <c r="G43" s="2206" t="str">
        <f>'SD-Det'!C43</f>
        <v>no</v>
      </c>
      <c r="H43" s="1815" t="str">
        <f>'SD-Det'!K43</f>
        <v>na</v>
      </c>
      <c r="I43" s="1826" t="str">
        <f>'SD-Det'!M43</f>
        <v>na</v>
      </c>
      <c r="J43" s="1763" t="str">
        <f>'SD-Det'!H43</f>
        <v>na</v>
      </c>
      <c r="K43" s="1763" t="str">
        <f>'SD-Det'!G43</f>
        <v>na</v>
      </c>
      <c r="L43" s="1867" t="str">
        <f>'SD-Det'!Y43</f>
        <v>na</v>
      </c>
      <c r="M43" s="1867" t="str">
        <f>'SD-Det'!U43</f>
        <v>na</v>
      </c>
      <c r="N43" s="2219" t="str">
        <f>'SD-Det'!V43</f>
        <v>na</v>
      </c>
      <c r="O43" s="1862" t="str">
        <f>'SD-Det'!D43</f>
        <v>na</v>
      </c>
      <c r="P43" s="2225" t="str">
        <f>'SD-Det'!F43</f>
        <v>na</v>
      </c>
      <c r="R43" s="1936" t="str">
        <f t="shared" si="32"/>
        <v/>
      </c>
      <c r="S43" s="1937" t="str">
        <f t="shared" si="33"/>
        <v/>
      </c>
      <c r="T43" s="1937" t="str">
        <f t="shared" si="34"/>
        <v/>
      </c>
      <c r="U43" s="1937" t="str">
        <f t="shared" si="35"/>
        <v/>
      </c>
      <c r="V43" s="1937" t="str">
        <f t="shared" si="36"/>
        <v/>
      </c>
      <c r="W43" s="1937" t="str">
        <f t="shared" si="37"/>
        <v/>
      </c>
      <c r="X43" s="1600" t="str">
        <f t="shared" si="38"/>
        <v/>
      </c>
      <c r="Z43" s="1935"/>
    </row>
    <row r="44" spans="1:26" ht="13.9" customHeight="1" x14ac:dyDescent="0.25">
      <c r="A44" s="1917">
        <f>Chem!A44</f>
        <v>42</v>
      </c>
      <c r="B44" s="1932" t="str">
        <f>Chem!B44</f>
        <v>Vanadium</v>
      </c>
      <c r="C44" s="2013" t="str">
        <f t="shared" si="29"/>
        <v>na</v>
      </c>
      <c r="D44" s="2014" t="str">
        <f t="shared" si="30"/>
        <v>na</v>
      </c>
      <c r="E44" s="2014" t="str">
        <f t="shared" si="31"/>
        <v>na</v>
      </c>
      <c r="F44" s="2033" t="str">
        <f>'SD-Det'!Z44</f>
        <v>na</v>
      </c>
      <c r="G44" s="2206" t="str">
        <f>'SD-Det'!C44</f>
        <v>no</v>
      </c>
      <c r="H44" s="1815" t="str">
        <f>'SD-Det'!K44</f>
        <v>na</v>
      </c>
      <c r="I44" s="1826" t="str">
        <f>'SD-Det'!M44</f>
        <v>na</v>
      </c>
      <c r="J44" s="1763" t="str">
        <f>'SD-Det'!H44</f>
        <v>na</v>
      </c>
      <c r="K44" s="1763" t="str">
        <f>'SD-Det'!G44</f>
        <v>na</v>
      </c>
      <c r="L44" s="1867" t="str">
        <f>'SD-Det'!Y44</f>
        <v>na</v>
      </c>
      <c r="M44" s="1867" t="str">
        <f>'SD-Det'!U44</f>
        <v>na</v>
      </c>
      <c r="N44" s="2219" t="str">
        <f>'SD-Det'!V44</f>
        <v>na</v>
      </c>
      <c r="O44" s="1862" t="str">
        <f>'SD-Det'!D44</f>
        <v>na</v>
      </c>
      <c r="P44" s="2225" t="str">
        <f>'SD-Det'!F44</f>
        <v>na</v>
      </c>
      <c r="R44" s="1936" t="str">
        <f t="shared" si="32"/>
        <v/>
      </c>
      <c r="S44" s="1937" t="str">
        <f t="shared" si="33"/>
        <v/>
      </c>
      <c r="T44" s="1937" t="str">
        <f t="shared" si="34"/>
        <v/>
      </c>
      <c r="U44" s="1937" t="str">
        <f t="shared" si="35"/>
        <v/>
      </c>
      <c r="V44" s="1937" t="str">
        <f t="shared" si="36"/>
        <v/>
      </c>
      <c r="W44" s="1937" t="str">
        <f t="shared" si="37"/>
        <v/>
      </c>
      <c r="X44" s="1600" t="str">
        <f t="shared" si="38"/>
        <v/>
      </c>
      <c r="Z44" s="1935"/>
    </row>
    <row r="45" spans="1:26" ht="13.9" customHeight="1" x14ac:dyDescent="0.25">
      <c r="A45" s="1910">
        <f>Chem!A45</f>
        <v>43</v>
      </c>
      <c r="B45" s="1932" t="str">
        <f>Chem!B45</f>
        <v>Zinc</v>
      </c>
      <c r="C45" s="2013" t="str">
        <f t="shared" si="29"/>
        <v>na</v>
      </c>
      <c r="D45" s="2014">
        <f t="shared" si="30"/>
        <v>410</v>
      </c>
      <c r="E45" s="2014" t="str">
        <f t="shared" si="31"/>
        <v>na</v>
      </c>
      <c r="F45" s="2033">
        <f>'SD-Det'!Z45</f>
        <v>410</v>
      </c>
      <c r="G45" s="2206" t="str">
        <f>'SD-Det'!C45</f>
        <v>no</v>
      </c>
      <c r="H45" s="1815" t="str">
        <f>'SD-Det'!K45</f>
        <v>na</v>
      </c>
      <c r="I45" s="1826" t="str">
        <f>'SD-Det'!M45</f>
        <v>na</v>
      </c>
      <c r="J45" s="1763">
        <f>'SD-Det'!H45</f>
        <v>410</v>
      </c>
      <c r="K45" s="1763" t="str">
        <f>'SD-Det'!G45</f>
        <v>na</v>
      </c>
      <c r="L45" s="1867" t="str">
        <f>'SD-Det'!Y45</f>
        <v>na</v>
      </c>
      <c r="M45" s="1867">
        <f>'SD-Det'!U45</f>
        <v>410</v>
      </c>
      <c r="N45" s="2219" t="str">
        <f>'SD-Det'!V45</f>
        <v>na</v>
      </c>
      <c r="O45" s="1862">
        <f>'SD-Det'!D45</f>
        <v>93</v>
      </c>
      <c r="P45" s="2225">
        <f>'SD-Det'!F45</f>
        <v>1</v>
      </c>
      <c r="R45" s="1938" t="str">
        <f t="shared" si="32"/>
        <v/>
      </c>
      <c r="S45" s="1939" t="str">
        <f t="shared" si="33"/>
        <v/>
      </c>
      <c r="T45" s="1939" t="str">
        <f t="shared" si="34"/>
        <v>X</v>
      </c>
      <c r="U45" s="1939" t="str">
        <f t="shared" si="35"/>
        <v/>
      </c>
      <c r="V45" s="1939" t="str">
        <f t="shared" si="36"/>
        <v>X</v>
      </c>
      <c r="W45" s="1939" t="str">
        <f t="shared" si="37"/>
        <v/>
      </c>
      <c r="X45" s="1604" t="str">
        <f t="shared" si="38"/>
        <v/>
      </c>
      <c r="Z45" s="1935"/>
    </row>
    <row r="46" spans="1:26" ht="13.9" customHeight="1" x14ac:dyDescent="0.25">
      <c r="A46" s="1909">
        <f>Chem!A46</f>
        <v>44</v>
      </c>
      <c r="B46" s="1928" t="str">
        <f>Chem!B46</f>
        <v>Metals - Butyltins</v>
      </c>
      <c r="C46" s="54"/>
      <c r="D46" s="54"/>
      <c r="E46" s="54"/>
      <c r="F46" s="2335"/>
      <c r="G46" s="2335"/>
      <c r="H46" s="54"/>
      <c r="I46" s="54"/>
      <c r="J46" s="54"/>
      <c r="K46" s="54"/>
      <c r="L46" s="54"/>
      <c r="M46" s="54"/>
      <c r="N46" s="54"/>
      <c r="O46" s="54"/>
      <c r="P46" s="1524"/>
      <c r="R46" s="2039" t="str">
        <f>B46</f>
        <v>Metals - Butyltins</v>
      </c>
      <c r="S46" s="2339"/>
      <c r="T46" s="2339"/>
      <c r="U46" s="2339"/>
      <c r="V46" s="2339"/>
      <c r="W46" s="2339"/>
      <c r="X46" s="2340"/>
      <c r="Z46" s="1940"/>
    </row>
    <row r="47" spans="1:26" ht="13.9" customHeight="1" x14ac:dyDescent="0.25">
      <c r="A47" s="1917">
        <f>Chem!A47</f>
        <v>45</v>
      </c>
      <c r="B47" s="1932" t="str">
        <f>Chem!B47</f>
        <v>Monobutyltin</v>
      </c>
      <c r="C47" s="2011" t="str">
        <f>IF(ISNUMBER(L47),L47,IF(MIN(H47,I47)=0,"na",MAX(MIN(H47,I47),O47,P47)))</f>
        <v>na</v>
      </c>
      <c r="D47" s="2015" t="str">
        <f t="shared" ref="D47:D51" si="39">IF(ISNUMBER(M47),M47,IF(ISNUMBER(J47),J47,"na"))</f>
        <v>na</v>
      </c>
      <c r="E47" s="2014" t="str">
        <f t="shared" ref="E47:E51" si="40">IF(ISNUMBER(N47),N47,K47)</f>
        <v>na</v>
      </c>
      <c r="F47" s="2032" t="str">
        <f>'SD-Det'!Z47</f>
        <v>na</v>
      </c>
      <c r="G47" s="2205" t="str">
        <f>'SD-Det'!C47</f>
        <v>no</v>
      </c>
      <c r="H47" s="1816" t="str">
        <f>'SD-Det'!K47</f>
        <v>na</v>
      </c>
      <c r="I47" s="1827" t="str">
        <f>'SD-Det'!M47</f>
        <v>na</v>
      </c>
      <c r="J47" s="1764" t="str">
        <f>'SD-Det'!H47</f>
        <v>na</v>
      </c>
      <c r="K47" s="1764" t="str">
        <f>'SD-Det'!G47</f>
        <v>na</v>
      </c>
      <c r="L47" s="1868" t="str">
        <f>'SD-Det'!Y47</f>
        <v>na</v>
      </c>
      <c r="M47" s="1868" t="str">
        <f>'SD-Det'!U47</f>
        <v>na</v>
      </c>
      <c r="N47" s="2219" t="str">
        <f>'SD-Det'!V47</f>
        <v>na</v>
      </c>
      <c r="O47" s="1864" t="str">
        <f>'SD-Det'!D47</f>
        <v>na</v>
      </c>
      <c r="P47" s="2226" t="str">
        <f>'SD-Det'!F47</f>
        <v>na</v>
      </c>
      <c r="R47" s="1933" t="str">
        <f t="shared" ref="R47:R51" si="41">IF($F47="na","",IF($F47=H47,"X",""))</f>
        <v/>
      </c>
      <c r="S47" s="1934" t="str">
        <f t="shared" ref="S47:S51" si="42">IF($F47="na","",IF($F47=I47,"X",""))</f>
        <v/>
      </c>
      <c r="T47" s="1934" t="str">
        <f t="shared" ref="T47:T51" si="43">IF($F47="na","",IF($F47=J47,"X",""))</f>
        <v/>
      </c>
      <c r="U47" s="1934" t="str">
        <f t="shared" ref="U47:U51" si="44">IF($F47="na","",IF($F47=L47,"X",""))</f>
        <v/>
      </c>
      <c r="V47" s="1934" t="str">
        <f t="shared" ref="V47:V51" si="45">IF($F47="na","",IF($F47=M47,"X",""))</f>
        <v/>
      </c>
      <c r="W47" s="1934" t="str">
        <f t="shared" ref="W47:W51" si="46">IF($F47="na","",IF($F47=O47,"X",""))</f>
        <v/>
      </c>
      <c r="X47" s="1603" t="str">
        <f t="shared" ref="X47:X51" si="47">IF($F47="na","",IF($F47=P47,"X",""))</f>
        <v/>
      </c>
      <c r="Z47" s="1935"/>
    </row>
    <row r="48" spans="1:26" ht="13.9" customHeight="1" x14ac:dyDescent="0.25">
      <c r="A48" s="1917">
        <f>Chem!A48</f>
        <v>46</v>
      </c>
      <c r="B48" s="1932" t="str">
        <f>Chem!B48</f>
        <v>Dibutyltin</v>
      </c>
      <c r="C48" s="2013" t="str">
        <f>IF(ISNUMBER(L48),L48,IF(MIN(H48,I48)=0,"na",MAX(MIN(H48,I48),O48,P48)))</f>
        <v>na</v>
      </c>
      <c r="D48" s="2014" t="str">
        <f t="shared" si="39"/>
        <v>na</v>
      </c>
      <c r="E48" s="2014" t="str">
        <f t="shared" si="40"/>
        <v>na</v>
      </c>
      <c r="F48" s="2033" t="str">
        <f>'SD-Det'!Z48</f>
        <v>na</v>
      </c>
      <c r="G48" s="2206" t="str">
        <f>'SD-Det'!C48</f>
        <v>no</v>
      </c>
      <c r="H48" s="1815" t="str">
        <f>'SD-Det'!K48</f>
        <v>na</v>
      </c>
      <c r="I48" s="1826" t="str">
        <f>'SD-Det'!M48</f>
        <v>na</v>
      </c>
      <c r="J48" s="1763" t="str">
        <f>'SD-Det'!H48</f>
        <v>na</v>
      </c>
      <c r="K48" s="1763" t="str">
        <f>'SD-Det'!G48</f>
        <v>na</v>
      </c>
      <c r="L48" s="1867" t="str">
        <f>'SD-Det'!Y48</f>
        <v>na</v>
      </c>
      <c r="M48" s="1867" t="str">
        <f>'SD-Det'!U48</f>
        <v>na</v>
      </c>
      <c r="N48" s="2219" t="str">
        <f>'SD-Det'!V48</f>
        <v>na</v>
      </c>
      <c r="O48" s="1862" t="str">
        <f>'SD-Det'!D48</f>
        <v>na</v>
      </c>
      <c r="P48" s="2225" t="str">
        <f>'SD-Det'!F48</f>
        <v>na</v>
      </c>
      <c r="R48" s="1936" t="str">
        <f t="shared" si="41"/>
        <v/>
      </c>
      <c r="S48" s="1937" t="str">
        <f t="shared" si="42"/>
        <v/>
      </c>
      <c r="T48" s="1937" t="str">
        <f t="shared" si="43"/>
        <v/>
      </c>
      <c r="U48" s="1937" t="str">
        <f t="shared" si="44"/>
        <v/>
      </c>
      <c r="V48" s="1937" t="str">
        <f t="shared" si="45"/>
        <v/>
      </c>
      <c r="W48" s="1937" t="str">
        <f t="shared" si="46"/>
        <v/>
      </c>
      <c r="X48" s="1600" t="str">
        <f t="shared" si="47"/>
        <v/>
      </c>
      <c r="Z48" s="1935"/>
    </row>
    <row r="49" spans="1:26" ht="13.9" customHeight="1" x14ac:dyDescent="0.25">
      <c r="A49" s="1917">
        <f>Chem!A49</f>
        <v>47</v>
      </c>
      <c r="B49" s="1932" t="str">
        <f>Chem!B49</f>
        <v>Tributyl tin</v>
      </c>
      <c r="C49" s="2013" t="str">
        <f>IF(ISNUMBER(L49),L49,IF(MIN(H49,I49)=0,"na",MAX(MIN(H49,I49),O49,P49)))</f>
        <v>na</v>
      </c>
      <c r="D49" s="2014" t="str">
        <f t="shared" si="39"/>
        <v>na</v>
      </c>
      <c r="E49" s="2014" t="str">
        <f t="shared" ref="E49" si="48">IF(ISNUMBER(N49),N49,K49)</f>
        <v>na</v>
      </c>
      <c r="F49" s="2033" t="str">
        <f>'SD-Det'!Z49</f>
        <v>na</v>
      </c>
      <c r="G49" s="2206" t="str">
        <f>'SD-Det'!C49</f>
        <v>no</v>
      </c>
      <c r="H49" s="1815" t="str">
        <f>'SD-Det'!K49</f>
        <v>na</v>
      </c>
      <c r="I49" s="1826" t="str">
        <f>'SD-Det'!M49</f>
        <v>na</v>
      </c>
      <c r="J49" s="1763" t="str">
        <f>'SD-Det'!H49</f>
        <v>na</v>
      </c>
      <c r="K49" s="1763" t="str">
        <f>'SD-Det'!G49</f>
        <v>na</v>
      </c>
      <c r="L49" s="1867" t="str">
        <f>'SD-Det'!Y49</f>
        <v>na</v>
      </c>
      <c r="M49" s="1867" t="str">
        <f>'SD-Det'!U49</f>
        <v>na</v>
      </c>
      <c r="N49" s="2219" t="str">
        <f>'SD-Det'!V49</f>
        <v>na</v>
      </c>
      <c r="O49" s="1862" t="str">
        <f>'SD-Det'!D49</f>
        <v>na</v>
      </c>
      <c r="P49" s="2225" t="str">
        <f>'SD-Det'!F49</f>
        <v>na</v>
      </c>
      <c r="R49" s="1936" t="str">
        <f t="shared" si="41"/>
        <v/>
      </c>
      <c r="S49" s="1937" t="str">
        <f t="shared" si="42"/>
        <v/>
      </c>
      <c r="T49" s="1937" t="str">
        <f t="shared" si="43"/>
        <v/>
      </c>
      <c r="U49" s="1937" t="str">
        <f t="shared" si="44"/>
        <v/>
      </c>
      <c r="V49" s="1937" t="str">
        <f t="shared" si="45"/>
        <v/>
      </c>
      <c r="W49" s="1937" t="str">
        <f t="shared" si="46"/>
        <v/>
      </c>
      <c r="X49" s="1600" t="str">
        <f t="shared" si="47"/>
        <v/>
      </c>
      <c r="Z49" s="1935"/>
    </row>
    <row r="50" spans="1:26" ht="13.9" customHeight="1" x14ac:dyDescent="0.25">
      <c r="A50" s="1917">
        <f>Chem!A50</f>
        <v>48</v>
      </c>
      <c r="B50" s="1932" t="str">
        <f>Chem!B50</f>
        <v>Tributyltin oxide</v>
      </c>
      <c r="C50" s="2013">
        <f>IF(ISNUMBER(L50),L50,IF(MIN(H50,I50)=0,"na",MAX(MIN(H50,I50),O50,P50)))</f>
        <v>2.0999999999999999E-3</v>
      </c>
      <c r="D50" s="2014" t="str">
        <f t="shared" si="39"/>
        <v>na</v>
      </c>
      <c r="E50" s="2014" t="str">
        <f t="shared" si="40"/>
        <v>na</v>
      </c>
      <c r="F50" s="2033">
        <f>'SD-Det'!Z50</f>
        <v>2.0999999999999999E-3</v>
      </c>
      <c r="G50" s="2206" t="str">
        <f>'SD-Det'!C50</f>
        <v>YES</v>
      </c>
      <c r="H50" s="1815">
        <f>'SD-Det'!K50</f>
        <v>59.836065573770476</v>
      </c>
      <c r="I50" s="1826">
        <f>'SD-Det'!M50</f>
        <v>2.0999999999999999E-3</v>
      </c>
      <c r="J50" s="1763" t="str">
        <f>'SD-Det'!H50</f>
        <v>na</v>
      </c>
      <c r="K50" s="1763" t="str">
        <f>'SD-Det'!G50</f>
        <v>na</v>
      </c>
      <c r="L50" s="1867" t="str">
        <f>'SD-Det'!Y50</f>
        <v>na</v>
      </c>
      <c r="M50" s="1867" t="str">
        <f>'SD-Det'!U50</f>
        <v>na</v>
      </c>
      <c r="N50" s="2219" t="str">
        <f>'SD-Det'!V50</f>
        <v>na</v>
      </c>
      <c r="O50" s="1862" t="str">
        <f>'SD-Det'!D50</f>
        <v>na</v>
      </c>
      <c r="P50" s="2225">
        <f>'SD-Det'!F50</f>
        <v>2.0999999999999999E-3</v>
      </c>
      <c r="R50" s="1936" t="str">
        <f t="shared" si="41"/>
        <v/>
      </c>
      <c r="S50" s="1937" t="str">
        <f t="shared" si="42"/>
        <v>X</v>
      </c>
      <c r="T50" s="1937" t="str">
        <f t="shared" si="43"/>
        <v/>
      </c>
      <c r="U50" s="1937" t="str">
        <f t="shared" si="44"/>
        <v/>
      </c>
      <c r="V50" s="1937" t="str">
        <f t="shared" si="45"/>
        <v/>
      </c>
      <c r="W50" s="1937" t="str">
        <f t="shared" si="46"/>
        <v/>
      </c>
      <c r="X50" s="1600" t="str">
        <f t="shared" si="47"/>
        <v>X</v>
      </c>
      <c r="Z50" s="1935"/>
    </row>
    <row r="51" spans="1:26" ht="13.9" customHeight="1" x14ac:dyDescent="0.25">
      <c r="A51" s="1917">
        <f>Chem!A51</f>
        <v>49</v>
      </c>
      <c r="B51" s="1932" t="str">
        <f>Chem!B51</f>
        <v>Tetrabutyltin</v>
      </c>
      <c r="C51" s="2013" t="str">
        <f>IF(ISNUMBER(L51),L51,IF(MIN(H51,I51)=0,"na",MAX(MIN(H51,I51),O51,P51)))</f>
        <v>na</v>
      </c>
      <c r="D51" s="2014" t="str">
        <f t="shared" si="39"/>
        <v>na</v>
      </c>
      <c r="E51" s="2014" t="str">
        <f t="shared" si="40"/>
        <v>na</v>
      </c>
      <c r="F51" s="2033" t="str">
        <f>'SD-Det'!Z51</f>
        <v>na</v>
      </c>
      <c r="G51" s="2206" t="str">
        <f>'SD-Det'!C51</f>
        <v>no</v>
      </c>
      <c r="H51" s="1815" t="str">
        <f>'SD-Det'!K51</f>
        <v>na</v>
      </c>
      <c r="I51" s="1826" t="str">
        <f>'SD-Det'!M51</f>
        <v>na</v>
      </c>
      <c r="J51" s="1763" t="str">
        <f>'SD-Det'!H51</f>
        <v>na</v>
      </c>
      <c r="K51" s="1763" t="str">
        <f>'SD-Det'!G51</f>
        <v>na</v>
      </c>
      <c r="L51" s="1867" t="str">
        <f>'SD-Det'!Y51</f>
        <v>na</v>
      </c>
      <c r="M51" s="1867" t="str">
        <f>'SD-Det'!U51</f>
        <v>na</v>
      </c>
      <c r="N51" s="2219" t="str">
        <f>'SD-Det'!V51</f>
        <v>na</v>
      </c>
      <c r="O51" s="1862" t="str">
        <f>'SD-Det'!D51</f>
        <v>na</v>
      </c>
      <c r="P51" s="2225" t="str">
        <f>'SD-Det'!F51</f>
        <v>na</v>
      </c>
      <c r="R51" s="1938" t="str">
        <f t="shared" si="41"/>
        <v/>
      </c>
      <c r="S51" s="1939" t="str">
        <f t="shared" si="42"/>
        <v/>
      </c>
      <c r="T51" s="1939" t="str">
        <f t="shared" si="43"/>
        <v/>
      </c>
      <c r="U51" s="1939" t="str">
        <f t="shared" si="44"/>
        <v/>
      </c>
      <c r="V51" s="1939" t="str">
        <f t="shared" si="45"/>
        <v/>
      </c>
      <c r="W51" s="1939" t="str">
        <f t="shared" si="46"/>
        <v/>
      </c>
      <c r="X51" s="1604" t="str">
        <f t="shared" si="47"/>
        <v/>
      </c>
      <c r="Z51" s="1935"/>
    </row>
    <row r="52" spans="1:26" ht="13.9" customHeight="1" x14ac:dyDescent="0.25">
      <c r="A52" s="1909">
        <f>Chem!A52</f>
        <v>50</v>
      </c>
      <c r="B52" s="1928" t="str">
        <f>Chem!B52</f>
        <v>SVOCs - PAHs</v>
      </c>
      <c r="C52" s="54"/>
      <c r="D52" s="54"/>
      <c r="E52" s="54"/>
      <c r="F52" s="2335"/>
      <c r="G52" s="2335"/>
      <c r="H52" s="54"/>
      <c r="I52" s="54"/>
      <c r="J52" s="54"/>
      <c r="K52" s="54"/>
      <c r="L52" s="54"/>
      <c r="M52" s="54"/>
      <c r="N52" s="54"/>
      <c r="O52" s="54"/>
      <c r="P52" s="1524"/>
      <c r="R52" s="2039" t="str">
        <f>B52</f>
        <v>SVOCs - PAHs</v>
      </c>
      <c r="S52" s="2339"/>
      <c r="T52" s="2339"/>
      <c r="U52" s="2339"/>
      <c r="V52" s="2339"/>
      <c r="W52" s="2339"/>
      <c r="X52" s="2340"/>
      <c r="Z52" s="1940"/>
    </row>
    <row r="53" spans="1:26" ht="13.9" customHeight="1" x14ac:dyDescent="0.25">
      <c r="A53" s="1916">
        <f>Chem!A53</f>
        <v>51</v>
      </c>
      <c r="B53" s="1932" t="str">
        <f>Chem!B53</f>
        <v>Acenaphthene</v>
      </c>
      <c r="C53" s="2011" t="str">
        <f t="shared" ref="C53:C77" si="49">IF(ISNUMBER(L53),L53,IF(MIN(H53,I53)=0,"na",MAX(MIN(H53,I53),O53,P53)))</f>
        <v>na</v>
      </c>
      <c r="D53" s="2015">
        <f t="shared" ref="D53:D77" si="50">IF(ISNUMBER(M53),M53,IF(ISNUMBER(J53),J53,"na"))</f>
        <v>0.5</v>
      </c>
      <c r="E53" s="2014">
        <f t="shared" ref="E53:E77" si="51">IF(ISNUMBER(N53),N53,K53)</f>
        <v>16</v>
      </c>
      <c r="F53" s="2032">
        <f>'SD-Det'!Z53</f>
        <v>0.5</v>
      </c>
      <c r="G53" s="2205" t="str">
        <f>'SD-Det'!C53</f>
        <v>no</v>
      </c>
      <c r="H53" s="1816" t="str">
        <f>'SD-Det'!K53</f>
        <v>na</v>
      </c>
      <c r="I53" s="1827" t="str">
        <f>'SD-Det'!M53</f>
        <v>na</v>
      </c>
      <c r="J53" s="1764">
        <f>'SD-Det'!H53</f>
        <v>0.5</v>
      </c>
      <c r="K53" s="1764">
        <f>'SD-Det'!G53</f>
        <v>16</v>
      </c>
      <c r="L53" s="1868" t="str">
        <f>'SD-Det'!Y53</f>
        <v>na</v>
      </c>
      <c r="M53" s="1868" t="str">
        <f>'SD-Det'!U53</f>
        <v>na</v>
      </c>
      <c r="N53" s="2219">
        <f>'SD-Det'!V53</f>
        <v>16</v>
      </c>
      <c r="O53" s="1864" t="str">
        <f>'SD-Det'!D53</f>
        <v>na</v>
      </c>
      <c r="P53" s="2226">
        <f>'SD-Det'!F53</f>
        <v>5.0000000000000001E-3</v>
      </c>
      <c r="R53" s="1933" t="str">
        <f t="shared" ref="R53:R77" si="52">IF($F53="na","",IF($F53=H53,"X",""))</f>
        <v/>
      </c>
      <c r="S53" s="1934" t="str">
        <f t="shared" ref="S53:S77" si="53">IF($F53="na","",IF($F53=I53,"X",""))</f>
        <v/>
      </c>
      <c r="T53" s="1934" t="str">
        <f t="shared" ref="T53:T77" si="54">IF($F53="na","",IF($F53=J53,"X",""))</f>
        <v>X</v>
      </c>
      <c r="U53" s="1934" t="str">
        <f t="shared" ref="U53:U77" si="55">IF($F53="na","",IF($F53=L53,"X",""))</f>
        <v/>
      </c>
      <c r="V53" s="1934" t="str">
        <f t="shared" ref="V53:V77" si="56">IF($F53="na","",IF($F53=M53,"X",""))</f>
        <v/>
      </c>
      <c r="W53" s="1934" t="str">
        <f t="shared" ref="W53:W77" si="57">IF($F53="na","",IF($F53=O53,"X",""))</f>
        <v/>
      </c>
      <c r="X53" s="1603" t="str">
        <f t="shared" ref="X53:X77" si="58">IF($F53="na","",IF($F53=P53,"X",""))</f>
        <v/>
      </c>
      <c r="Z53" s="1935"/>
    </row>
    <row r="54" spans="1:26" ht="13.9" customHeight="1" x14ac:dyDescent="0.25">
      <c r="A54" s="1917">
        <f>Chem!A54</f>
        <v>52</v>
      </c>
      <c r="B54" s="1932" t="str">
        <f>Chem!B54</f>
        <v>Acenaphthylene</v>
      </c>
      <c r="C54" s="2013" t="str">
        <f t="shared" si="49"/>
        <v>na</v>
      </c>
      <c r="D54" s="2014">
        <f t="shared" si="50"/>
        <v>1.3</v>
      </c>
      <c r="E54" s="2014">
        <f t="shared" si="51"/>
        <v>66</v>
      </c>
      <c r="F54" s="2033">
        <f>'SD-Det'!Z54</f>
        <v>1.3</v>
      </c>
      <c r="G54" s="2206" t="str">
        <f>'SD-Det'!C54</f>
        <v>no</v>
      </c>
      <c r="H54" s="1815" t="str">
        <f>'SD-Det'!K54</f>
        <v>na</v>
      </c>
      <c r="I54" s="1826" t="str">
        <f>'SD-Det'!M54</f>
        <v>na</v>
      </c>
      <c r="J54" s="1763">
        <f>'SD-Det'!H54</f>
        <v>1.3</v>
      </c>
      <c r="K54" s="1763">
        <f>'SD-Det'!G54</f>
        <v>66</v>
      </c>
      <c r="L54" s="1867" t="str">
        <f>'SD-Det'!Y54</f>
        <v>na</v>
      </c>
      <c r="M54" s="1867" t="str">
        <f>'SD-Det'!U54</f>
        <v>na</v>
      </c>
      <c r="N54" s="2214" t="str">
        <f>'SD-Det'!V54</f>
        <v>na</v>
      </c>
      <c r="O54" s="1862" t="str">
        <f>'SD-Det'!D54</f>
        <v>na</v>
      </c>
      <c r="P54" s="2225">
        <f>'SD-Det'!F54</f>
        <v>5.0000000000000001E-3</v>
      </c>
      <c r="R54" s="1936" t="str">
        <f t="shared" si="52"/>
        <v/>
      </c>
      <c r="S54" s="1937" t="str">
        <f t="shared" si="53"/>
        <v/>
      </c>
      <c r="T54" s="1937" t="str">
        <f t="shared" si="54"/>
        <v>X</v>
      </c>
      <c r="U54" s="1937" t="str">
        <f t="shared" si="55"/>
        <v/>
      </c>
      <c r="V54" s="1937" t="str">
        <f t="shared" si="56"/>
        <v/>
      </c>
      <c r="W54" s="1937" t="str">
        <f t="shared" si="57"/>
        <v/>
      </c>
      <c r="X54" s="1600" t="str">
        <f t="shared" si="58"/>
        <v/>
      </c>
      <c r="Z54" s="1935"/>
    </row>
    <row r="55" spans="1:26" ht="13.9" customHeight="1" x14ac:dyDescent="0.25">
      <c r="A55" s="1917">
        <f>Chem!A55</f>
        <v>53</v>
      </c>
      <c r="B55" s="1932" t="str">
        <f>Chem!B55</f>
        <v>Anthracene</v>
      </c>
      <c r="C55" s="2013" t="str">
        <f t="shared" si="49"/>
        <v>na</v>
      </c>
      <c r="D55" s="2014">
        <f t="shared" si="50"/>
        <v>0.96</v>
      </c>
      <c r="E55" s="2014">
        <f t="shared" si="51"/>
        <v>220</v>
      </c>
      <c r="F55" s="2033">
        <f>'SD-Det'!Z55</f>
        <v>0.96</v>
      </c>
      <c r="G55" s="2206" t="str">
        <f>'SD-Det'!C55</f>
        <v>no</v>
      </c>
      <c r="H55" s="1815" t="str">
        <f>'SD-Det'!K55</f>
        <v>na</v>
      </c>
      <c r="I55" s="1826" t="str">
        <f>'SD-Det'!M55</f>
        <v>na</v>
      </c>
      <c r="J55" s="1763">
        <f>'SD-Det'!H55</f>
        <v>0.96</v>
      </c>
      <c r="K55" s="1763">
        <f>'SD-Det'!G55</f>
        <v>220</v>
      </c>
      <c r="L55" s="1867" t="str">
        <f>'SD-Det'!Y55</f>
        <v>na</v>
      </c>
      <c r="M55" s="1867" t="str">
        <f>'SD-Det'!U55</f>
        <v>na</v>
      </c>
      <c r="N55" s="2219">
        <f>'SD-Det'!V55</f>
        <v>220</v>
      </c>
      <c r="O55" s="1862" t="str">
        <f>'SD-Det'!D55</f>
        <v>na</v>
      </c>
      <c r="P55" s="2225">
        <f>'SD-Det'!F55</f>
        <v>5.0000000000000001E-3</v>
      </c>
      <c r="R55" s="1936" t="str">
        <f t="shared" si="52"/>
        <v/>
      </c>
      <c r="S55" s="1937" t="str">
        <f t="shared" si="53"/>
        <v/>
      </c>
      <c r="T55" s="1937" t="str">
        <f t="shared" si="54"/>
        <v>X</v>
      </c>
      <c r="U55" s="1937" t="str">
        <f t="shared" si="55"/>
        <v/>
      </c>
      <c r="V55" s="1937" t="str">
        <f t="shared" si="56"/>
        <v/>
      </c>
      <c r="W55" s="1937" t="str">
        <f t="shared" si="57"/>
        <v/>
      </c>
      <c r="X55" s="1600" t="str">
        <f t="shared" si="58"/>
        <v/>
      </c>
      <c r="Z55" s="1935"/>
    </row>
    <row r="56" spans="1:26" ht="13.9" customHeight="1" x14ac:dyDescent="0.25">
      <c r="A56" s="1917">
        <f>Chem!A56</f>
        <v>54</v>
      </c>
      <c r="B56" s="1932" t="str">
        <f>Chem!B56</f>
        <v>Benzo(a)anthracene</v>
      </c>
      <c r="C56" s="2013" t="str">
        <f t="shared" si="49"/>
        <v>na</v>
      </c>
      <c r="D56" s="2014">
        <f t="shared" si="50"/>
        <v>1.3</v>
      </c>
      <c r="E56" s="2014">
        <f t="shared" si="51"/>
        <v>110</v>
      </c>
      <c r="F56" s="2033">
        <f>'SD-Det'!Z56</f>
        <v>1.3</v>
      </c>
      <c r="G56" s="2206" t="str">
        <f>'SD-Det'!C56</f>
        <v>no</v>
      </c>
      <c r="H56" s="1815" t="str">
        <f>'SD-Det'!K56</f>
        <v>na</v>
      </c>
      <c r="I56" s="1826" t="str">
        <f>'SD-Det'!M56</f>
        <v>na</v>
      </c>
      <c r="J56" s="1763">
        <f>'SD-Det'!H56</f>
        <v>1.3</v>
      </c>
      <c r="K56" s="1763">
        <f>'SD-Det'!G56</f>
        <v>110</v>
      </c>
      <c r="L56" s="1867" t="str">
        <f>'SD-Det'!Y56</f>
        <v>na</v>
      </c>
      <c r="M56" s="1867" t="str">
        <f>'SD-Det'!U56</f>
        <v>na</v>
      </c>
      <c r="N56" s="2219">
        <f>'SD-Det'!V56</f>
        <v>110</v>
      </c>
      <c r="O56" s="1862" t="str">
        <f>'SD-Det'!D56</f>
        <v>na</v>
      </c>
      <c r="P56" s="2225">
        <f>'SD-Det'!F56</f>
        <v>8.9999999999999993E-3</v>
      </c>
      <c r="R56" s="1936" t="str">
        <f t="shared" si="52"/>
        <v/>
      </c>
      <c r="S56" s="1937" t="str">
        <f t="shared" si="53"/>
        <v/>
      </c>
      <c r="T56" s="1937" t="str">
        <f t="shared" si="54"/>
        <v>X</v>
      </c>
      <c r="U56" s="1937" t="str">
        <f t="shared" si="55"/>
        <v/>
      </c>
      <c r="V56" s="1937" t="str">
        <f t="shared" si="56"/>
        <v/>
      </c>
      <c r="W56" s="1937" t="str">
        <f t="shared" si="57"/>
        <v/>
      </c>
      <c r="X56" s="1600" t="str">
        <f t="shared" si="58"/>
        <v/>
      </c>
      <c r="Z56" s="1935"/>
    </row>
    <row r="57" spans="1:26" ht="13.9" customHeight="1" x14ac:dyDescent="0.25">
      <c r="A57" s="1917">
        <f>Chem!A57</f>
        <v>55</v>
      </c>
      <c r="B57" s="1932" t="str">
        <f>Chem!B57</f>
        <v>Benzo(b)fluoranthene</v>
      </c>
      <c r="C57" s="2013" t="str">
        <f t="shared" si="49"/>
        <v>na</v>
      </c>
      <c r="D57" s="2014" t="str">
        <f t="shared" si="50"/>
        <v>na</v>
      </c>
      <c r="E57" s="2014" t="str">
        <f t="shared" si="51"/>
        <v>na</v>
      </c>
      <c r="F57" s="2033" t="str">
        <f>'SD-Det'!Z57</f>
        <v>na</v>
      </c>
      <c r="G57" s="2206" t="str">
        <f>'SD-Det'!C57</f>
        <v>no</v>
      </c>
      <c r="H57" s="1815" t="str">
        <f>'SD-Det'!K57</f>
        <v>na</v>
      </c>
      <c r="I57" s="1826" t="str">
        <f>'SD-Det'!M57</f>
        <v>na</v>
      </c>
      <c r="J57" s="1763" t="str">
        <f>'SD-Det'!H57</f>
        <v>na</v>
      </c>
      <c r="K57" s="1763" t="str">
        <f>'SD-Det'!G57</f>
        <v>na</v>
      </c>
      <c r="L57" s="1867" t="str">
        <f>'SD-Det'!Y57</f>
        <v>na</v>
      </c>
      <c r="M57" s="1867" t="str">
        <f>'SD-Det'!U57</f>
        <v>na</v>
      </c>
      <c r="N57" s="2214" t="str">
        <f>'SD-Det'!V57</f>
        <v>na</v>
      </c>
      <c r="O57" s="1862" t="str">
        <f>'SD-Det'!D57</f>
        <v>na</v>
      </c>
      <c r="P57" s="2225">
        <f>'SD-Det'!F57</f>
        <v>8.9999999999999993E-3</v>
      </c>
      <c r="R57" s="1936" t="str">
        <f t="shared" si="52"/>
        <v/>
      </c>
      <c r="S57" s="1937" t="str">
        <f t="shared" si="53"/>
        <v/>
      </c>
      <c r="T57" s="1937" t="str">
        <f t="shared" si="54"/>
        <v/>
      </c>
      <c r="U57" s="1937" t="str">
        <f t="shared" si="55"/>
        <v/>
      </c>
      <c r="V57" s="1937" t="str">
        <f t="shared" si="56"/>
        <v/>
      </c>
      <c r="W57" s="1937" t="str">
        <f t="shared" si="57"/>
        <v/>
      </c>
      <c r="X57" s="1600" t="str">
        <f t="shared" si="58"/>
        <v/>
      </c>
      <c r="Z57" s="1935"/>
    </row>
    <row r="58" spans="1:26" ht="13.9" customHeight="1" x14ac:dyDescent="0.25">
      <c r="A58" s="1917">
        <f>Chem!A58</f>
        <v>56</v>
      </c>
      <c r="B58" s="1932" t="str">
        <f>Chem!B58</f>
        <v>Benzo(k)fluoranthene</v>
      </c>
      <c r="C58" s="2013" t="str">
        <f t="shared" si="49"/>
        <v>na</v>
      </c>
      <c r="D58" s="2014" t="str">
        <f t="shared" si="50"/>
        <v>na</v>
      </c>
      <c r="E58" s="2014" t="str">
        <f t="shared" si="51"/>
        <v>na</v>
      </c>
      <c r="F58" s="2033" t="str">
        <f>'SD-Det'!Z58</f>
        <v>na</v>
      </c>
      <c r="G58" s="2206" t="str">
        <f>'SD-Det'!C58</f>
        <v>no</v>
      </c>
      <c r="H58" s="1815" t="str">
        <f>'SD-Det'!K58</f>
        <v>na</v>
      </c>
      <c r="I58" s="1826" t="str">
        <f>'SD-Det'!M58</f>
        <v>na</v>
      </c>
      <c r="J58" s="1763" t="str">
        <f>'SD-Det'!H58</f>
        <v>na</v>
      </c>
      <c r="K58" s="1763" t="str">
        <f>'SD-Det'!G58</f>
        <v>na</v>
      </c>
      <c r="L58" s="1867" t="str">
        <f>'SD-Det'!Y58</f>
        <v>na</v>
      </c>
      <c r="M58" s="1867" t="str">
        <f>'SD-Det'!U58</f>
        <v>na</v>
      </c>
      <c r="N58" s="2214" t="str">
        <f>'SD-Det'!V58</f>
        <v>na</v>
      </c>
      <c r="O58" s="1862" t="str">
        <f>'SD-Det'!D58</f>
        <v>na</v>
      </c>
      <c r="P58" s="2225">
        <f>'SD-Det'!F58</f>
        <v>8.9999999999999993E-3</v>
      </c>
      <c r="R58" s="1936" t="str">
        <f t="shared" si="52"/>
        <v/>
      </c>
      <c r="S58" s="1937" t="str">
        <f t="shared" si="53"/>
        <v/>
      </c>
      <c r="T58" s="1937" t="str">
        <f t="shared" si="54"/>
        <v/>
      </c>
      <c r="U58" s="1937" t="str">
        <f t="shared" si="55"/>
        <v/>
      </c>
      <c r="V58" s="1937" t="str">
        <f t="shared" si="56"/>
        <v/>
      </c>
      <c r="W58" s="1937" t="str">
        <f t="shared" si="57"/>
        <v/>
      </c>
      <c r="X58" s="1600" t="str">
        <f t="shared" si="58"/>
        <v/>
      </c>
      <c r="Z58" s="1935"/>
    </row>
    <row r="59" spans="1:26" ht="13.9" customHeight="1" x14ac:dyDescent="0.25">
      <c r="A59" s="1917">
        <f>Chem!A59</f>
        <v>57</v>
      </c>
      <c r="B59" s="1932" t="str">
        <f>Chem!B59</f>
        <v>Total benzofluoranthenes</v>
      </c>
      <c r="C59" s="2013" t="str">
        <f t="shared" si="49"/>
        <v>na</v>
      </c>
      <c r="D59" s="2014">
        <f t="shared" si="50"/>
        <v>3.2</v>
      </c>
      <c r="E59" s="2014">
        <f t="shared" si="51"/>
        <v>230</v>
      </c>
      <c r="F59" s="2033">
        <f>'SD-Det'!Z59</f>
        <v>3.2</v>
      </c>
      <c r="G59" s="2206" t="str">
        <f>'SD-Det'!C59</f>
        <v>no</v>
      </c>
      <c r="H59" s="1815" t="str">
        <f>'SD-Det'!K59</f>
        <v>na</v>
      </c>
      <c r="I59" s="1826" t="str">
        <f>'SD-Det'!M59</f>
        <v>na</v>
      </c>
      <c r="J59" s="1763">
        <f>'SD-Det'!H59</f>
        <v>3.2</v>
      </c>
      <c r="K59" s="1763">
        <f>'SD-Det'!G59</f>
        <v>230</v>
      </c>
      <c r="L59" s="1867" t="str">
        <f>'SD-Det'!Y59</f>
        <v>na</v>
      </c>
      <c r="M59" s="1867" t="str">
        <f>'SD-Det'!U59</f>
        <v>na</v>
      </c>
      <c r="N59" s="2219">
        <f>'SD-Det'!V59</f>
        <v>230</v>
      </c>
      <c r="O59" s="1862" t="str">
        <f>'SD-Det'!D59</f>
        <v>na</v>
      </c>
      <c r="P59" s="2225">
        <f>'SD-Det'!F59</f>
        <v>1.2E-2</v>
      </c>
      <c r="R59" s="1936" t="str">
        <f t="shared" si="52"/>
        <v/>
      </c>
      <c r="S59" s="1937" t="str">
        <f t="shared" si="53"/>
        <v/>
      </c>
      <c r="T59" s="1937" t="str">
        <f t="shared" si="54"/>
        <v>X</v>
      </c>
      <c r="U59" s="1937" t="str">
        <f t="shared" si="55"/>
        <v/>
      </c>
      <c r="V59" s="1937" t="str">
        <f t="shared" si="56"/>
        <v/>
      </c>
      <c r="W59" s="1937" t="str">
        <f t="shared" si="57"/>
        <v/>
      </c>
      <c r="X59" s="1600" t="str">
        <f t="shared" si="58"/>
        <v/>
      </c>
      <c r="Z59" s="1935"/>
    </row>
    <row r="60" spans="1:26" ht="13.9" customHeight="1" x14ac:dyDescent="0.25">
      <c r="A60" s="1917">
        <f>Chem!A60</f>
        <v>58</v>
      </c>
      <c r="B60" s="1932" t="str">
        <f>Chem!B60</f>
        <v>Benzo(g,h,i)perylene</v>
      </c>
      <c r="C60" s="2013" t="str">
        <f t="shared" si="49"/>
        <v>na</v>
      </c>
      <c r="D60" s="2014">
        <f t="shared" si="50"/>
        <v>0.67</v>
      </c>
      <c r="E60" s="2014">
        <f t="shared" si="51"/>
        <v>31</v>
      </c>
      <c r="F60" s="2033">
        <f>'SD-Det'!Z60</f>
        <v>0.67</v>
      </c>
      <c r="G60" s="2206" t="str">
        <f>'SD-Det'!C60</f>
        <v>no</v>
      </c>
      <c r="H60" s="1815" t="str">
        <f>'SD-Det'!K60</f>
        <v>na</v>
      </c>
      <c r="I60" s="1826" t="str">
        <f>'SD-Det'!M60</f>
        <v>na</v>
      </c>
      <c r="J60" s="1763">
        <f>'SD-Det'!H60</f>
        <v>0.67</v>
      </c>
      <c r="K60" s="1763">
        <f>'SD-Det'!G60</f>
        <v>31</v>
      </c>
      <c r="L60" s="1867" t="str">
        <f>'SD-Det'!Y60</f>
        <v>na</v>
      </c>
      <c r="M60" s="1867" t="str">
        <f>'SD-Det'!U60</f>
        <v>na</v>
      </c>
      <c r="N60" s="2219">
        <f>'SD-Det'!V60</f>
        <v>31</v>
      </c>
      <c r="O60" s="1862" t="str">
        <f>'SD-Det'!D60</f>
        <v>na</v>
      </c>
      <c r="P60" s="2225">
        <f>'SD-Det'!F60</f>
        <v>5.0000000000000001E-3</v>
      </c>
      <c r="R60" s="1936" t="str">
        <f t="shared" si="52"/>
        <v/>
      </c>
      <c r="S60" s="1937" t="str">
        <f t="shared" si="53"/>
        <v/>
      </c>
      <c r="T60" s="1937" t="str">
        <f t="shared" si="54"/>
        <v>X</v>
      </c>
      <c r="U60" s="1937" t="str">
        <f t="shared" si="55"/>
        <v/>
      </c>
      <c r="V60" s="1937" t="str">
        <f t="shared" si="56"/>
        <v/>
      </c>
      <c r="W60" s="1937" t="str">
        <f t="shared" si="57"/>
        <v/>
      </c>
      <c r="X60" s="1600" t="str">
        <f t="shared" si="58"/>
        <v/>
      </c>
      <c r="Z60" s="1935"/>
    </row>
    <row r="61" spans="1:26" ht="13.9" customHeight="1" x14ac:dyDescent="0.25">
      <c r="A61" s="1917">
        <f>Chem!A61</f>
        <v>59</v>
      </c>
      <c r="B61" s="1932" t="str">
        <f>Chem!B61</f>
        <v>Benzo(a)pyrene</v>
      </c>
      <c r="C61" s="2013" t="str">
        <f t="shared" si="49"/>
        <v>na</v>
      </c>
      <c r="D61" s="2014">
        <f t="shared" si="50"/>
        <v>1.6</v>
      </c>
      <c r="E61" s="2014">
        <f t="shared" si="51"/>
        <v>99</v>
      </c>
      <c r="F61" s="2033">
        <f>'SD-Det'!Z61</f>
        <v>1.6</v>
      </c>
      <c r="G61" s="2206" t="str">
        <f>'SD-Det'!C61</f>
        <v>no</v>
      </c>
      <c r="H61" s="1815" t="str">
        <f>'SD-Det'!K61</f>
        <v>na</v>
      </c>
      <c r="I61" s="1826" t="str">
        <f>'SD-Det'!M61</f>
        <v>na</v>
      </c>
      <c r="J61" s="1763">
        <f>'SD-Det'!H61</f>
        <v>1.6</v>
      </c>
      <c r="K61" s="1763">
        <f>'SD-Det'!G61</f>
        <v>99</v>
      </c>
      <c r="L61" s="1867" t="str">
        <f>'SD-Det'!Y61</f>
        <v>na</v>
      </c>
      <c r="M61" s="1867" t="str">
        <f>'SD-Det'!U61</f>
        <v>na</v>
      </c>
      <c r="N61" s="2219">
        <f>'SD-Det'!V61</f>
        <v>99</v>
      </c>
      <c r="O61" s="1862" t="str">
        <f>'SD-Det'!D61</f>
        <v>na</v>
      </c>
      <c r="P61" s="2225">
        <f>'SD-Det'!F61</f>
        <v>8.9999999999999993E-3</v>
      </c>
      <c r="R61" s="1936" t="str">
        <f t="shared" si="52"/>
        <v/>
      </c>
      <c r="S61" s="1937" t="str">
        <f t="shared" si="53"/>
        <v/>
      </c>
      <c r="T61" s="1937" t="str">
        <f t="shared" si="54"/>
        <v>X</v>
      </c>
      <c r="U61" s="1937" t="str">
        <f t="shared" si="55"/>
        <v/>
      </c>
      <c r="V61" s="1937" t="str">
        <f t="shared" si="56"/>
        <v/>
      </c>
      <c r="W61" s="1937" t="str">
        <f t="shared" si="57"/>
        <v/>
      </c>
      <c r="X61" s="1600" t="str">
        <f t="shared" si="58"/>
        <v/>
      </c>
      <c r="Z61" s="1935"/>
    </row>
    <row r="62" spans="1:26" ht="13.9" customHeight="1" x14ac:dyDescent="0.25">
      <c r="A62" s="1917">
        <f>Chem!A62</f>
        <v>60</v>
      </c>
      <c r="B62" s="1932" t="str">
        <f>Chem!B62</f>
        <v>Chrysene</v>
      </c>
      <c r="C62" s="2013" t="str">
        <f t="shared" si="49"/>
        <v>na</v>
      </c>
      <c r="D62" s="2014">
        <f t="shared" si="50"/>
        <v>1.4</v>
      </c>
      <c r="E62" s="2014">
        <f t="shared" si="51"/>
        <v>110</v>
      </c>
      <c r="F62" s="2033">
        <f>'SD-Det'!Z62</f>
        <v>1.4</v>
      </c>
      <c r="G62" s="2206" t="str">
        <f>'SD-Det'!C62</f>
        <v>no</v>
      </c>
      <c r="H62" s="1815" t="str">
        <f>'SD-Det'!K62</f>
        <v>na</v>
      </c>
      <c r="I62" s="1826" t="str">
        <f>'SD-Det'!M62</f>
        <v>na</v>
      </c>
      <c r="J62" s="1763">
        <f>'SD-Det'!H62</f>
        <v>1.4</v>
      </c>
      <c r="K62" s="1763">
        <f>'SD-Det'!G62</f>
        <v>110</v>
      </c>
      <c r="L62" s="1867" t="str">
        <f>'SD-Det'!Y62</f>
        <v>na</v>
      </c>
      <c r="M62" s="1867" t="str">
        <f>'SD-Det'!U62</f>
        <v>na</v>
      </c>
      <c r="N62" s="2219">
        <f>'SD-Det'!V62</f>
        <v>110</v>
      </c>
      <c r="O62" s="1862" t="str">
        <f>'SD-Det'!D62</f>
        <v>na</v>
      </c>
      <c r="P62" s="2225">
        <f>'SD-Det'!F62</f>
        <v>8.9999999999999993E-3</v>
      </c>
      <c r="R62" s="1936" t="str">
        <f t="shared" si="52"/>
        <v/>
      </c>
      <c r="S62" s="1937" t="str">
        <f t="shared" si="53"/>
        <v/>
      </c>
      <c r="T62" s="1937" t="str">
        <f t="shared" si="54"/>
        <v>X</v>
      </c>
      <c r="U62" s="1937" t="str">
        <f t="shared" si="55"/>
        <v/>
      </c>
      <c r="V62" s="1937" t="str">
        <f t="shared" si="56"/>
        <v/>
      </c>
      <c r="W62" s="1937" t="str">
        <f t="shared" si="57"/>
        <v/>
      </c>
      <c r="X62" s="1600" t="str">
        <f t="shared" si="58"/>
        <v/>
      </c>
      <c r="Z62" s="1935"/>
    </row>
    <row r="63" spans="1:26" ht="13.9" customHeight="1" x14ac:dyDescent="0.25">
      <c r="A63" s="1917">
        <f>Chem!A63</f>
        <v>61</v>
      </c>
      <c r="B63" s="1932" t="str">
        <f>Chem!B63</f>
        <v>Dibenz(a,h)anthracene</v>
      </c>
      <c r="C63" s="2013" t="str">
        <f t="shared" si="49"/>
        <v>na</v>
      </c>
      <c r="D63" s="2014">
        <f t="shared" si="50"/>
        <v>0.23</v>
      </c>
      <c r="E63" s="2014">
        <f t="shared" si="51"/>
        <v>12</v>
      </c>
      <c r="F63" s="2033">
        <f>'SD-Det'!Z63</f>
        <v>0.23</v>
      </c>
      <c r="G63" s="2206" t="str">
        <f>'SD-Det'!C63</f>
        <v>no</v>
      </c>
      <c r="H63" s="1815" t="str">
        <f>'SD-Det'!K63</f>
        <v>na</v>
      </c>
      <c r="I63" s="1826" t="str">
        <f>'SD-Det'!M63</f>
        <v>na</v>
      </c>
      <c r="J63" s="1763">
        <f>'SD-Det'!H63</f>
        <v>0.23</v>
      </c>
      <c r="K63" s="1763">
        <f>'SD-Det'!G63</f>
        <v>12</v>
      </c>
      <c r="L63" s="1867" t="str">
        <f>'SD-Det'!Y63</f>
        <v>na</v>
      </c>
      <c r="M63" s="1867" t="str">
        <f>'SD-Det'!U63</f>
        <v>na</v>
      </c>
      <c r="N63" s="2219">
        <f>'SD-Det'!V63</f>
        <v>12</v>
      </c>
      <c r="O63" s="1862" t="str">
        <f>'SD-Det'!D63</f>
        <v>na</v>
      </c>
      <c r="P63" s="2225">
        <f>'SD-Det'!F63</f>
        <v>8.9999999999999993E-3</v>
      </c>
      <c r="R63" s="1936" t="str">
        <f t="shared" si="52"/>
        <v/>
      </c>
      <c r="S63" s="1937" t="str">
        <f t="shared" si="53"/>
        <v/>
      </c>
      <c r="T63" s="1937" t="str">
        <f t="shared" si="54"/>
        <v>X</v>
      </c>
      <c r="U63" s="1937" t="str">
        <f t="shared" si="55"/>
        <v/>
      </c>
      <c r="V63" s="1937" t="str">
        <f t="shared" si="56"/>
        <v/>
      </c>
      <c r="W63" s="1937" t="str">
        <f t="shared" si="57"/>
        <v/>
      </c>
      <c r="X63" s="1600" t="str">
        <f t="shared" si="58"/>
        <v/>
      </c>
      <c r="Z63" s="1935"/>
    </row>
    <row r="64" spans="1:26" ht="13.9" customHeight="1" x14ac:dyDescent="0.25">
      <c r="A64" s="1917">
        <f>Chem!A64</f>
        <v>62</v>
      </c>
      <c r="B64" s="1932" t="str">
        <f>Chem!B64</f>
        <v>Dibenzofuran</v>
      </c>
      <c r="C64" s="2013" t="str">
        <f t="shared" si="49"/>
        <v>na</v>
      </c>
      <c r="D64" s="2014">
        <f t="shared" si="50"/>
        <v>0.54</v>
      </c>
      <c r="E64" s="2014">
        <f t="shared" si="51"/>
        <v>15</v>
      </c>
      <c r="F64" s="2033">
        <f>'SD-Det'!Z64</f>
        <v>0.54</v>
      </c>
      <c r="G64" s="2206" t="str">
        <f>'SD-Det'!C64</f>
        <v>no</v>
      </c>
      <c r="H64" s="1815" t="str">
        <f>'SD-Det'!K64</f>
        <v>na</v>
      </c>
      <c r="I64" s="1826" t="str">
        <f>'SD-Det'!M64</f>
        <v>na</v>
      </c>
      <c r="J64" s="1763">
        <f>'SD-Det'!H64</f>
        <v>0.54</v>
      </c>
      <c r="K64" s="1763">
        <f>'SD-Det'!G64</f>
        <v>15</v>
      </c>
      <c r="L64" s="1867" t="str">
        <f>'SD-Det'!Y64</f>
        <v>na</v>
      </c>
      <c r="M64" s="1867" t="str">
        <f>'SD-Det'!U64</f>
        <v>na</v>
      </c>
      <c r="N64" s="2219">
        <f>'SD-Det'!V64</f>
        <v>15</v>
      </c>
      <c r="O64" s="1862" t="str">
        <f>'SD-Det'!D64</f>
        <v>na</v>
      </c>
      <c r="P64" s="2225">
        <f>'SD-Det'!F64</f>
        <v>6.8000000000000005E-2</v>
      </c>
      <c r="R64" s="1936" t="str">
        <f t="shared" si="52"/>
        <v/>
      </c>
      <c r="S64" s="1937" t="str">
        <f t="shared" si="53"/>
        <v/>
      </c>
      <c r="T64" s="1937" t="str">
        <f t="shared" si="54"/>
        <v>X</v>
      </c>
      <c r="U64" s="1937" t="str">
        <f t="shared" si="55"/>
        <v/>
      </c>
      <c r="V64" s="1937" t="str">
        <f t="shared" si="56"/>
        <v/>
      </c>
      <c r="W64" s="1937" t="str">
        <f t="shared" si="57"/>
        <v/>
      </c>
      <c r="X64" s="1600" t="str">
        <f t="shared" si="58"/>
        <v/>
      </c>
      <c r="Z64" s="1935"/>
    </row>
    <row r="65" spans="1:26" ht="13.9" customHeight="1" x14ac:dyDescent="0.25">
      <c r="A65" s="1917">
        <f>Chem!A65</f>
        <v>63</v>
      </c>
      <c r="B65" s="1932" t="str">
        <f>Chem!B65</f>
        <v>Fluoranthene</v>
      </c>
      <c r="C65" s="2013" t="str">
        <f t="shared" si="49"/>
        <v>na</v>
      </c>
      <c r="D65" s="2014">
        <f t="shared" si="50"/>
        <v>1.7</v>
      </c>
      <c r="E65" s="2014">
        <f t="shared" si="51"/>
        <v>160</v>
      </c>
      <c r="F65" s="2033">
        <f>'SD-Det'!Z65</f>
        <v>1.7</v>
      </c>
      <c r="G65" s="2206" t="str">
        <f>'SD-Det'!C65</f>
        <v>no</v>
      </c>
      <c r="H65" s="1815" t="str">
        <f>'SD-Det'!K65</f>
        <v>na</v>
      </c>
      <c r="I65" s="1826" t="str">
        <f>'SD-Det'!M65</f>
        <v>na</v>
      </c>
      <c r="J65" s="1763">
        <f>'SD-Det'!H65</f>
        <v>1.7</v>
      </c>
      <c r="K65" s="1763">
        <f>'SD-Det'!G65</f>
        <v>160</v>
      </c>
      <c r="L65" s="1867" t="str">
        <f>'SD-Det'!Y65</f>
        <v>na</v>
      </c>
      <c r="M65" s="1867" t="str">
        <f>'SD-Det'!U65</f>
        <v>na</v>
      </c>
      <c r="N65" s="2219">
        <f>'SD-Det'!V65</f>
        <v>160</v>
      </c>
      <c r="O65" s="1862" t="str">
        <f>'SD-Det'!D65</f>
        <v>na</v>
      </c>
      <c r="P65" s="2225">
        <f>'SD-Det'!F65</f>
        <v>5.0000000000000001E-3</v>
      </c>
      <c r="R65" s="1936" t="str">
        <f t="shared" si="52"/>
        <v/>
      </c>
      <c r="S65" s="1937" t="str">
        <f t="shared" si="53"/>
        <v/>
      </c>
      <c r="T65" s="1937" t="str">
        <f t="shared" si="54"/>
        <v>X</v>
      </c>
      <c r="U65" s="1937" t="str">
        <f t="shared" si="55"/>
        <v/>
      </c>
      <c r="V65" s="1937" t="str">
        <f t="shared" si="56"/>
        <v/>
      </c>
      <c r="W65" s="1937" t="str">
        <f t="shared" si="57"/>
        <v/>
      </c>
      <c r="X65" s="1600" t="str">
        <f t="shared" si="58"/>
        <v/>
      </c>
      <c r="Z65" s="1935"/>
    </row>
    <row r="66" spans="1:26" ht="13.9" customHeight="1" x14ac:dyDescent="0.25">
      <c r="A66" s="1917">
        <f>Chem!A66</f>
        <v>64</v>
      </c>
      <c r="B66" s="1932" t="str">
        <f>Chem!B66</f>
        <v>Fluorene</v>
      </c>
      <c r="C66" s="2013" t="str">
        <f t="shared" si="49"/>
        <v>na</v>
      </c>
      <c r="D66" s="2014">
        <f t="shared" si="50"/>
        <v>0.54</v>
      </c>
      <c r="E66" s="2014">
        <f t="shared" si="51"/>
        <v>23</v>
      </c>
      <c r="F66" s="2033">
        <f>'SD-Det'!Z66</f>
        <v>0.54</v>
      </c>
      <c r="G66" s="2206" t="str">
        <f>'SD-Det'!C66</f>
        <v>no</v>
      </c>
      <c r="H66" s="1815" t="str">
        <f>'SD-Det'!K66</f>
        <v>na</v>
      </c>
      <c r="I66" s="1826" t="str">
        <f>'SD-Det'!M66</f>
        <v>na</v>
      </c>
      <c r="J66" s="1763">
        <f>'SD-Det'!H66</f>
        <v>0.54</v>
      </c>
      <c r="K66" s="1763">
        <f>'SD-Det'!G66</f>
        <v>23</v>
      </c>
      <c r="L66" s="1867" t="str">
        <f>'SD-Det'!Y66</f>
        <v>na</v>
      </c>
      <c r="M66" s="1867" t="str">
        <f>'SD-Det'!U66</f>
        <v>na</v>
      </c>
      <c r="N66" s="2219">
        <f>'SD-Det'!V66</f>
        <v>23</v>
      </c>
      <c r="O66" s="1862" t="str">
        <f>'SD-Det'!D66</f>
        <v>na</v>
      </c>
      <c r="P66" s="2225">
        <f>'SD-Det'!F66</f>
        <v>5.0000000000000001E-3</v>
      </c>
      <c r="R66" s="1936" t="str">
        <f t="shared" si="52"/>
        <v/>
      </c>
      <c r="S66" s="1937" t="str">
        <f t="shared" si="53"/>
        <v/>
      </c>
      <c r="T66" s="1937" t="str">
        <f t="shared" si="54"/>
        <v>X</v>
      </c>
      <c r="U66" s="1937" t="str">
        <f t="shared" si="55"/>
        <v/>
      </c>
      <c r="V66" s="1937" t="str">
        <f t="shared" si="56"/>
        <v/>
      </c>
      <c r="W66" s="1937" t="str">
        <f t="shared" si="57"/>
        <v/>
      </c>
      <c r="X66" s="1600" t="str">
        <f t="shared" si="58"/>
        <v/>
      </c>
      <c r="Z66" s="1935"/>
    </row>
    <row r="67" spans="1:26" ht="13.9" customHeight="1" x14ac:dyDescent="0.25">
      <c r="A67" s="1917">
        <f>Chem!A67</f>
        <v>65</v>
      </c>
      <c r="B67" s="1932" t="str">
        <f>Chem!B67</f>
        <v>Indeno(1,2,3-cd)pyrene</v>
      </c>
      <c r="C67" s="2013" t="str">
        <f t="shared" si="49"/>
        <v>na</v>
      </c>
      <c r="D67" s="2014">
        <f t="shared" si="50"/>
        <v>0.6</v>
      </c>
      <c r="E67" s="2014">
        <f t="shared" si="51"/>
        <v>34</v>
      </c>
      <c r="F67" s="2033">
        <f>'SD-Det'!Z67</f>
        <v>0.6</v>
      </c>
      <c r="G67" s="2206" t="str">
        <f>'SD-Det'!C67</f>
        <v>no</v>
      </c>
      <c r="H67" s="1815" t="str">
        <f>'SD-Det'!K67</f>
        <v>na</v>
      </c>
      <c r="I67" s="1826" t="str">
        <f>'SD-Det'!M67</f>
        <v>na</v>
      </c>
      <c r="J67" s="1763">
        <f>'SD-Det'!H67</f>
        <v>0.6</v>
      </c>
      <c r="K67" s="1763">
        <f>'SD-Det'!G67</f>
        <v>34</v>
      </c>
      <c r="L67" s="1867" t="str">
        <f>'SD-Det'!Y67</f>
        <v>na</v>
      </c>
      <c r="M67" s="1867" t="str">
        <f>'SD-Det'!U67</f>
        <v>na</v>
      </c>
      <c r="N67" s="2219">
        <f>'SD-Det'!V67</f>
        <v>34</v>
      </c>
      <c r="O67" s="1862" t="str">
        <f>'SD-Det'!D67</f>
        <v>na</v>
      </c>
      <c r="P67" s="2225">
        <f>'SD-Det'!F67</f>
        <v>8.9999999999999993E-3</v>
      </c>
      <c r="R67" s="1936" t="str">
        <f t="shared" si="52"/>
        <v/>
      </c>
      <c r="S67" s="1937" t="str">
        <f t="shared" si="53"/>
        <v/>
      </c>
      <c r="T67" s="1937" t="str">
        <f t="shared" si="54"/>
        <v>X</v>
      </c>
      <c r="U67" s="1937" t="str">
        <f t="shared" si="55"/>
        <v/>
      </c>
      <c r="V67" s="1937" t="str">
        <f t="shared" si="56"/>
        <v/>
      </c>
      <c r="W67" s="1937" t="str">
        <f t="shared" si="57"/>
        <v/>
      </c>
      <c r="X67" s="1600" t="str">
        <f t="shared" si="58"/>
        <v/>
      </c>
      <c r="Z67" s="1935"/>
    </row>
    <row r="68" spans="1:26" ht="13.9" customHeight="1" x14ac:dyDescent="0.25">
      <c r="A68" s="1917">
        <f>Chem!A68</f>
        <v>66</v>
      </c>
      <c r="B68" s="1932" t="str">
        <f>Chem!B68</f>
        <v>Methyl isopropyl phenanthrene (retene)</v>
      </c>
      <c r="C68" s="2013" t="str">
        <f t="shared" si="49"/>
        <v>na</v>
      </c>
      <c r="D68" s="2014" t="str">
        <f t="shared" si="50"/>
        <v>na</v>
      </c>
      <c r="E68" s="2014" t="str">
        <f t="shared" si="51"/>
        <v>na</v>
      </c>
      <c r="F68" s="2033" t="str">
        <f>'SD-Det'!Z68</f>
        <v>na</v>
      </c>
      <c r="G68" s="2206" t="str">
        <f>'SD-Det'!C68</f>
        <v>no</v>
      </c>
      <c r="H68" s="1815" t="str">
        <f>'SD-Det'!K68</f>
        <v>na</v>
      </c>
      <c r="I68" s="1826" t="str">
        <f>'SD-Det'!M68</f>
        <v>na</v>
      </c>
      <c r="J68" s="1763" t="str">
        <f>'SD-Det'!H68</f>
        <v>na</v>
      </c>
      <c r="K68" s="1763" t="str">
        <f>'SD-Det'!G68</f>
        <v>na</v>
      </c>
      <c r="L68" s="1867" t="str">
        <f>'SD-Det'!Y68</f>
        <v>na</v>
      </c>
      <c r="M68" s="1867" t="str">
        <f>'SD-Det'!U68</f>
        <v>na</v>
      </c>
      <c r="N68" s="2214" t="str">
        <f>'SD-Det'!V68</f>
        <v>na</v>
      </c>
      <c r="O68" s="1862" t="str">
        <f>'SD-Det'!D68</f>
        <v>na</v>
      </c>
      <c r="P68" s="2225" t="str">
        <f>'SD-Det'!F68</f>
        <v>na</v>
      </c>
      <c r="R68" s="1936" t="str">
        <f t="shared" si="52"/>
        <v/>
      </c>
      <c r="S68" s="1937" t="str">
        <f t="shared" si="53"/>
        <v/>
      </c>
      <c r="T68" s="1937" t="str">
        <f t="shared" si="54"/>
        <v/>
      </c>
      <c r="U68" s="1937" t="str">
        <f t="shared" si="55"/>
        <v/>
      </c>
      <c r="V68" s="1937" t="str">
        <f t="shared" si="56"/>
        <v/>
      </c>
      <c r="W68" s="1937" t="str">
        <f t="shared" si="57"/>
        <v/>
      </c>
      <c r="X68" s="1600" t="str">
        <f t="shared" si="58"/>
        <v/>
      </c>
      <c r="Z68" s="1935"/>
    </row>
    <row r="69" spans="1:26" ht="13.9" customHeight="1" x14ac:dyDescent="0.25">
      <c r="A69" s="1917">
        <f>Chem!A69</f>
        <v>67</v>
      </c>
      <c r="B69" s="1932" t="str">
        <f>Chem!B69</f>
        <v>1-Methylnaphthalene</v>
      </c>
      <c r="C69" s="2013" t="str">
        <f t="shared" si="49"/>
        <v>na</v>
      </c>
      <c r="D69" s="2014" t="str">
        <f t="shared" si="50"/>
        <v>na</v>
      </c>
      <c r="E69" s="2014" t="str">
        <f t="shared" si="51"/>
        <v>na</v>
      </c>
      <c r="F69" s="2033" t="str">
        <f>'SD-Det'!Z69</f>
        <v>na</v>
      </c>
      <c r="G69" s="2206" t="str">
        <f>'SD-Det'!C69</f>
        <v>no</v>
      </c>
      <c r="H69" s="1815" t="str">
        <f>'SD-Det'!K69</f>
        <v>na</v>
      </c>
      <c r="I69" s="1826" t="str">
        <f>'SD-Det'!M69</f>
        <v>na</v>
      </c>
      <c r="J69" s="1763" t="str">
        <f>'SD-Det'!H69</f>
        <v>na</v>
      </c>
      <c r="K69" s="1763" t="str">
        <f>'SD-Det'!G69</f>
        <v>na</v>
      </c>
      <c r="L69" s="1867" t="str">
        <f>'SD-Det'!Y69</f>
        <v>na</v>
      </c>
      <c r="M69" s="1867" t="str">
        <f>'SD-Det'!U69</f>
        <v>na</v>
      </c>
      <c r="N69" s="2214" t="str">
        <f>'SD-Det'!V69</f>
        <v>na</v>
      </c>
      <c r="O69" s="1862" t="str">
        <f>'SD-Det'!D69</f>
        <v>na</v>
      </c>
      <c r="P69" s="2225" t="str">
        <f>'SD-Det'!F69</f>
        <v>na</v>
      </c>
      <c r="R69" s="1936" t="str">
        <f t="shared" si="52"/>
        <v/>
      </c>
      <c r="S69" s="1937" t="str">
        <f t="shared" si="53"/>
        <v/>
      </c>
      <c r="T69" s="1937" t="str">
        <f t="shared" si="54"/>
        <v/>
      </c>
      <c r="U69" s="1937" t="str">
        <f t="shared" si="55"/>
        <v/>
      </c>
      <c r="V69" s="1937" t="str">
        <f t="shared" si="56"/>
        <v/>
      </c>
      <c r="W69" s="1937" t="str">
        <f t="shared" si="57"/>
        <v/>
      </c>
      <c r="X69" s="1600" t="str">
        <f t="shared" si="58"/>
        <v/>
      </c>
      <c r="Z69" s="1935"/>
    </row>
    <row r="70" spans="1:26" ht="13.9" customHeight="1" x14ac:dyDescent="0.25">
      <c r="A70" s="1917">
        <f>Chem!A70</f>
        <v>68</v>
      </c>
      <c r="B70" s="1932" t="str">
        <f>Chem!B70</f>
        <v>2-Methylnaphthalene</v>
      </c>
      <c r="C70" s="2013" t="str">
        <f t="shared" si="49"/>
        <v>na</v>
      </c>
      <c r="D70" s="2014">
        <f t="shared" si="50"/>
        <v>0.67</v>
      </c>
      <c r="E70" s="2014">
        <f t="shared" si="51"/>
        <v>38</v>
      </c>
      <c r="F70" s="2033">
        <f>'SD-Det'!Z70</f>
        <v>0.67</v>
      </c>
      <c r="G70" s="2206" t="str">
        <f>'SD-Det'!C70</f>
        <v>no</v>
      </c>
      <c r="H70" s="1815" t="str">
        <f>'SD-Det'!K70</f>
        <v>na</v>
      </c>
      <c r="I70" s="1826" t="str">
        <f>'SD-Det'!M70</f>
        <v>na</v>
      </c>
      <c r="J70" s="1763">
        <f>'SD-Det'!H70</f>
        <v>0.67</v>
      </c>
      <c r="K70" s="1763">
        <f>'SD-Det'!G70</f>
        <v>38</v>
      </c>
      <c r="L70" s="1867" t="str">
        <f>'SD-Det'!Y70</f>
        <v>na</v>
      </c>
      <c r="M70" s="1867" t="str">
        <f>'SD-Det'!U70</f>
        <v>na</v>
      </c>
      <c r="N70" s="2219">
        <f>'SD-Det'!V70</f>
        <v>38</v>
      </c>
      <c r="O70" s="1862" t="str">
        <f>'SD-Det'!D70</f>
        <v>na</v>
      </c>
      <c r="P70" s="2225">
        <f>'SD-Det'!F70</f>
        <v>7.0000000000000001E-3</v>
      </c>
      <c r="R70" s="1936" t="str">
        <f t="shared" si="52"/>
        <v/>
      </c>
      <c r="S70" s="1937" t="str">
        <f t="shared" si="53"/>
        <v/>
      </c>
      <c r="T70" s="1937" t="str">
        <f t="shared" si="54"/>
        <v>X</v>
      </c>
      <c r="U70" s="1937" t="str">
        <f t="shared" si="55"/>
        <v/>
      </c>
      <c r="V70" s="1937" t="str">
        <f t="shared" si="56"/>
        <v/>
      </c>
      <c r="W70" s="1937" t="str">
        <f t="shared" si="57"/>
        <v/>
      </c>
      <c r="X70" s="1600" t="str">
        <f t="shared" si="58"/>
        <v/>
      </c>
      <c r="Z70" s="1935"/>
    </row>
    <row r="71" spans="1:26" ht="13.9" customHeight="1" x14ac:dyDescent="0.25">
      <c r="A71" s="1917">
        <f>Chem!A71</f>
        <v>69</v>
      </c>
      <c r="B71" s="1932" t="str">
        <f>Chem!B71</f>
        <v>Naphthalene</v>
      </c>
      <c r="C71" s="2017" t="str">
        <f t="shared" si="49"/>
        <v>na</v>
      </c>
      <c r="D71" s="2018">
        <f t="shared" si="50"/>
        <v>2.1</v>
      </c>
      <c r="E71" s="2018">
        <f t="shared" si="51"/>
        <v>99</v>
      </c>
      <c r="F71" s="2033">
        <f>'SD-Det'!Z71</f>
        <v>2.1</v>
      </c>
      <c r="G71" s="2206" t="str">
        <f>'SD-Det'!C71</f>
        <v>no</v>
      </c>
      <c r="H71" s="1818" t="str">
        <f>'SD-Det'!K71</f>
        <v>na</v>
      </c>
      <c r="I71" s="1829" t="str">
        <f>'SD-Det'!M71</f>
        <v>na</v>
      </c>
      <c r="J71" s="1766">
        <f>'SD-Det'!H71</f>
        <v>2.1</v>
      </c>
      <c r="K71" s="1766">
        <f>'SD-Det'!G71</f>
        <v>99</v>
      </c>
      <c r="L71" s="1870" t="str">
        <f>'SD-Det'!Y71</f>
        <v>na</v>
      </c>
      <c r="M71" s="1870" t="str">
        <f>'SD-Det'!U71</f>
        <v>na</v>
      </c>
      <c r="N71" s="2219">
        <f>'SD-Det'!V71</f>
        <v>99</v>
      </c>
      <c r="O71" s="2004" t="str">
        <f>'SD-Det'!D71</f>
        <v>na</v>
      </c>
      <c r="P71" s="2229">
        <f>'SD-Det'!F71</f>
        <v>6.0000000000000001E-3</v>
      </c>
      <c r="R71" s="1936" t="str">
        <f t="shared" si="52"/>
        <v/>
      </c>
      <c r="S71" s="1937" t="str">
        <f t="shared" si="53"/>
        <v/>
      </c>
      <c r="T71" s="1937" t="str">
        <f t="shared" si="54"/>
        <v>X</v>
      </c>
      <c r="U71" s="1937" t="str">
        <f t="shared" si="55"/>
        <v/>
      </c>
      <c r="V71" s="1937" t="str">
        <f t="shared" si="56"/>
        <v/>
      </c>
      <c r="W71" s="1937" t="str">
        <f t="shared" si="57"/>
        <v/>
      </c>
      <c r="X71" s="1600" t="str">
        <f t="shared" si="58"/>
        <v/>
      </c>
      <c r="Z71" s="1935"/>
    </row>
    <row r="72" spans="1:26" ht="13.9" customHeight="1" x14ac:dyDescent="0.25">
      <c r="A72" s="1917">
        <f>Chem!A72</f>
        <v>70</v>
      </c>
      <c r="B72" s="1932" t="str">
        <f>Chem!B72</f>
        <v>Phenanthrene</v>
      </c>
      <c r="C72" s="2013" t="str">
        <f t="shared" si="49"/>
        <v>na</v>
      </c>
      <c r="D72" s="2014">
        <f t="shared" si="50"/>
        <v>1.5</v>
      </c>
      <c r="E72" s="2014">
        <f t="shared" si="51"/>
        <v>100</v>
      </c>
      <c r="F72" s="2033">
        <f>'SD-Det'!Z72</f>
        <v>1.5</v>
      </c>
      <c r="G72" s="2206" t="str">
        <f>'SD-Det'!C72</f>
        <v>no</v>
      </c>
      <c r="H72" s="1815" t="str">
        <f>'SD-Det'!K72</f>
        <v>na</v>
      </c>
      <c r="I72" s="1826" t="str">
        <f>'SD-Det'!M72</f>
        <v>na</v>
      </c>
      <c r="J72" s="1763">
        <f>'SD-Det'!H72</f>
        <v>1.5</v>
      </c>
      <c r="K72" s="1763">
        <f>'SD-Det'!G72</f>
        <v>100</v>
      </c>
      <c r="L72" s="1867" t="str">
        <f>'SD-Det'!Y72</f>
        <v>na</v>
      </c>
      <c r="M72" s="1867" t="str">
        <f>'SD-Det'!U72</f>
        <v>na</v>
      </c>
      <c r="N72" s="2219">
        <f>'SD-Det'!V72</f>
        <v>100</v>
      </c>
      <c r="O72" s="1862" t="str">
        <f>'SD-Det'!D72</f>
        <v>na</v>
      </c>
      <c r="P72" s="2225">
        <f>'SD-Det'!F72</f>
        <v>5.0000000000000001E-3</v>
      </c>
      <c r="R72" s="1936" t="str">
        <f t="shared" si="52"/>
        <v/>
      </c>
      <c r="S72" s="1937" t="str">
        <f t="shared" si="53"/>
        <v/>
      </c>
      <c r="T72" s="1937" t="str">
        <f t="shared" si="54"/>
        <v>X</v>
      </c>
      <c r="U72" s="1937" t="str">
        <f t="shared" si="55"/>
        <v/>
      </c>
      <c r="V72" s="1937" t="str">
        <f t="shared" si="56"/>
        <v/>
      </c>
      <c r="W72" s="1937" t="str">
        <f t="shared" si="57"/>
        <v/>
      </c>
      <c r="X72" s="1600" t="str">
        <f t="shared" si="58"/>
        <v/>
      </c>
      <c r="Z72" s="1935"/>
    </row>
    <row r="73" spans="1:26" ht="13.9" customHeight="1" x14ac:dyDescent="0.25">
      <c r="A73" s="1917">
        <f>Chem!A73</f>
        <v>71</v>
      </c>
      <c r="B73" s="1932" t="str">
        <f>Chem!B73</f>
        <v>Pyrene</v>
      </c>
      <c r="C73" s="2013" t="str">
        <f t="shared" si="49"/>
        <v>na</v>
      </c>
      <c r="D73" s="2014">
        <f t="shared" si="50"/>
        <v>2.6</v>
      </c>
      <c r="E73" s="2014">
        <f t="shared" si="51"/>
        <v>1000</v>
      </c>
      <c r="F73" s="2033">
        <f>'SD-Det'!Z73</f>
        <v>2.6</v>
      </c>
      <c r="G73" s="2206" t="str">
        <f>'SD-Det'!C73</f>
        <v>no</v>
      </c>
      <c r="H73" s="1815" t="str">
        <f>'SD-Det'!K73</f>
        <v>na</v>
      </c>
      <c r="I73" s="1826" t="str">
        <f>'SD-Det'!M73</f>
        <v>na</v>
      </c>
      <c r="J73" s="1763">
        <f>'SD-Det'!H73</f>
        <v>2.6</v>
      </c>
      <c r="K73" s="1763">
        <f>'SD-Det'!G73</f>
        <v>1000</v>
      </c>
      <c r="L73" s="1867" t="str">
        <f>'SD-Det'!Y73</f>
        <v>na</v>
      </c>
      <c r="M73" s="1867" t="str">
        <f>'SD-Det'!U73</f>
        <v>na</v>
      </c>
      <c r="N73" s="2219">
        <f>'SD-Det'!V73</f>
        <v>1000</v>
      </c>
      <c r="O73" s="1862" t="str">
        <f>'SD-Det'!D73</f>
        <v>na</v>
      </c>
      <c r="P73" s="2225">
        <f>'SD-Det'!F73</f>
        <v>5.0000000000000001E-3</v>
      </c>
      <c r="R73" s="1936" t="str">
        <f t="shared" si="52"/>
        <v/>
      </c>
      <c r="S73" s="1937" t="str">
        <f t="shared" si="53"/>
        <v/>
      </c>
      <c r="T73" s="1937" t="str">
        <f t="shared" si="54"/>
        <v>X</v>
      </c>
      <c r="U73" s="1937" t="str">
        <f t="shared" si="55"/>
        <v/>
      </c>
      <c r="V73" s="1937" t="str">
        <f t="shared" si="56"/>
        <v/>
      </c>
      <c r="W73" s="1937" t="str">
        <f t="shared" si="57"/>
        <v/>
      </c>
      <c r="X73" s="1600" t="str">
        <f t="shared" si="58"/>
        <v/>
      </c>
      <c r="Z73" s="1935"/>
    </row>
    <row r="74" spans="1:26" ht="13.9" customHeight="1" x14ac:dyDescent="0.25">
      <c r="A74" s="1917">
        <f>Chem!A74</f>
        <v>72</v>
      </c>
      <c r="B74" s="1932" t="str">
        <f>Chem!B74</f>
        <v>Total LPAHs</v>
      </c>
      <c r="C74" s="2013" t="str">
        <f t="shared" si="49"/>
        <v>na</v>
      </c>
      <c r="D74" s="2014">
        <f t="shared" si="50"/>
        <v>5.2</v>
      </c>
      <c r="E74" s="2014">
        <f t="shared" si="51"/>
        <v>370</v>
      </c>
      <c r="F74" s="2033">
        <f>'SD-Det'!Z74</f>
        <v>5.2</v>
      </c>
      <c r="G74" s="2206" t="str">
        <f>'SD-Det'!C74</f>
        <v>no</v>
      </c>
      <c r="H74" s="1815" t="str">
        <f>'SD-Det'!K74</f>
        <v>na</v>
      </c>
      <c r="I74" s="1826" t="str">
        <f>'SD-Det'!M74</f>
        <v>na</v>
      </c>
      <c r="J74" s="1763">
        <f>'SD-Det'!H74</f>
        <v>5.2</v>
      </c>
      <c r="K74" s="1763">
        <f>'SD-Det'!G74</f>
        <v>370</v>
      </c>
      <c r="L74" s="1867" t="str">
        <f>'SD-Det'!Y74</f>
        <v>na</v>
      </c>
      <c r="M74" s="1867" t="str">
        <f>'SD-Det'!U74</f>
        <v>na</v>
      </c>
      <c r="N74" s="2219">
        <f>'SD-Det'!V74</f>
        <v>370</v>
      </c>
      <c r="O74" s="1862" t="str">
        <f>'SD-Det'!D74</f>
        <v>na</v>
      </c>
      <c r="P74" s="2225" t="str">
        <f>'SD-Det'!F74</f>
        <v>na</v>
      </c>
      <c r="R74" s="1936" t="str">
        <f t="shared" si="52"/>
        <v/>
      </c>
      <c r="S74" s="1937" t="str">
        <f t="shared" si="53"/>
        <v/>
      </c>
      <c r="T74" s="1937" t="str">
        <f t="shared" si="54"/>
        <v>X</v>
      </c>
      <c r="U74" s="1937" t="str">
        <f t="shared" si="55"/>
        <v/>
      </c>
      <c r="V74" s="1937" t="str">
        <f t="shared" si="56"/>
        <v/>
      </c>
      <c r="W74" s="1937" t="str">
        <f t="shared" si="57"/>
        <v/>
      </c>
      <c r="X74" s="1600" t="str">
        <f t="shared" si="58"/>
        <v/>
      </c>
      <c r="Z74" s="1935"/>
    </row>
    <row r="75" spans="1:26" ht="13.9" customHeight="1" x14ac:dyDescent="0.25">
      <c r="A75" s="1917">
        <f>Chem!A75</f>
        <v>73</v>
      </c>
      <c r="B75" s="1932" t="str">
        <f>Chem!B75</f>
        <v>Total HPAHs</v>
      </c>
      <c r="C75" s="2013" t="str">
        <f t="shared" si="49"/>
        <v>na</v>
      </c>
      <c r="D75" s="2014">
        <f t="shared" si="50"/>
        <v>12</v>
      </c>
      <c r="E75" s="2014">
        <f t="shared" si="51"/>
        <v>960</v>
      </c>
      <c r="F75" s="2033">
        <f>'SD-Det'!Z75</f>
        <v>12</v>
      </c>
      <c r="G75" s="2206" t="str">
        <f>'SD-Det'!C75</f>
        <v>no</v>
      </c>
      <c r="H75" s="1815" t="str">
        <f>'SD-Det'!K75</f>
        <v>na</v>
      </c>
      <c r="I75" s="1826" t="str">
        <f>'SD-Det'!M75</f>
        <v>na</v>
      </c>
      <c r="J75" s="1763">
        <f>'SD-Det'!H75</f>
        <v>12</v>
      </c>
      <c r="K75" s="1763">
        <f>'SD-Det'!G75</f>
        <v>960</v>
      </c>
      <c r="L75" s="1867" t="str">
        <f>'SD-Det'!Y75</f>
        <v>na</v>
      </c>
      <c r="M75" s="1867" t="str">
        <f>'SD-Det'!U75</f>
        <v>na</v>
      </c>
      <c r="N75" s="2219">
        <f>'SD-Det'!V75</f>
        <v>960</v>
      </c>
      <c r="O75" s="1862" t="str">
        <f>'SD-Det'!D75</f>
        <v>na</v>
      </c>
      <c r="P75" s="2225" t="str">
        <f>'SD-Det'!F75</f>
        <v>na</v>
      </c>
      <c r="R75" s="1936" t="str">
        <f t="shared" si="52"/>
        <v/>
      </c>
      <c r="S75" s="1937" t="str">
        <f t="shared" si="53"/>
        <v/>
      </c>
      <c r="T75" s="1937" t="str">
        <f t="shared" si="54"/>
        <v>X</v>
      </c>
      <c r="U75" s="1937" t="str">
        <f t="shared" si="55"/>
        <v/>
      </c>
      <c r="V75" s="1937" t="str">
        <f t="shared" si="56"/>
        <v/>
      </c>
      <c r="W75" s="1937" t="str">
        <f t="shared" si="57"/>
        <v/>
      </c>
      <c r="X75" s="1600" t="str">
        <f t="shared" si="58"/>
        <v/>
      </c>
      <c r="Z75" s="1935"/>
    </row>
    <row r="76" spans="1:26" ht="13.9" customHeight="1" x14ac:dyDescent="0.25">
      <c r="A76" s="1908">
        <f>Chem!A76</f>
        <v>74</v>
      </c>
      <c r="B76" s="1932" t="str">
        <f>Chem!B76</f>
        <v>Total PAHs</v>
      </c>
      <c r="C76" s="2013" t="str">
        <f t="shared" si="49"/>
        <v>na</v>
      </c>
      <c r="D76" s="2014" t="str">
        <f t="shared" si="50"/>
        <v>na</v>
      </c>
      <c r="E76" s="2014" t="str">
        <f t="shared" si="51"/>
        <v>na</v>
      </c>
      <c r="F76" s="2033" t="str">
        <f>'SD-Det'!Z76</f>
        <v>na</v>
      </c>
      <c r="G76" s="2206" t="str">
        <f>'SD-Det'!C76</f>
        <v>no</v>
      </c>
      <c r="H76" s="1815" t="str">
        <f>'SD-Det'!K76</f>
        <v>na</v>
      </c>
      <c r="I76" s="1826" t="str">
        <f>'SD-Det'!M76</f>
        <v>na</v>
      </c>
      <c r="J76" s="1763" t="str">
        <f>'SD-Det'!H76</f>
        <v>na</v>
      </c>
      <c r="K76" s="1763" t="str">
        <f>'SD-Det'!G76</f>
        <v>na</v>
      </c>
      <c r="L76" s="1867" t="str">
        <f>'SD-Det'!Y76</f>
        <v>na</v>
      </c>
      <c r="M76" s="1867" t="str">
        <f>'SD-Det'!U76</f>
        <v>na</v>
      </c>
      <c r="N76" s="2214" t="str">
        <f>'SD-Det'!V76</f>
        <v>na</v>
      </c>
      <c r="O76" s="1862" t="str">
        <f>'SD-Det'!D76</f>
        <v>na</v>
      </c>
      <c r="P76" s="2225" t="str">
        <f>'SD-Det'!F76</f>
        <v>na</v>
      </c>
      <c r="R76" s="1936" t="str">
        <f t="shared" si="52"/>
        <v/>
      </c>
      <c r="S76" s="1937" t="str">
        <f t="shared" si="53"/>
        <v/>
      </c>
      <c r="T76" s="1937" t="str">
        <f t="shared" si="54"/>
        <v/>
      </c>
      <c r="U76" s="1937" t="str">
        <f t="shared" si="55"/>
        <v/>
      </c>
      <c r="V76" s="1937" t="str">
        <f t="shared" si="56"/>
        <v/>
      </c>
      <c r="W76" s="1937" t="str">
        <f t="shared" si="57"/>
        <v/>
      </c>
      <c r="X76" s="1600" t="str">
        <f t="shared" si="58"/>
        <v/>
      </c>
      <c r="Z76" s="1935"/>
    </row>
    <row r="77" spans="1:26" ht="13.9" customHeight="1" x14ac:dyDescent="0.25">
      <c r="A77" s="1910">
        <f>Chem!A77</f>
        <v>75</v>
      </c>
      <c r="B77" s="1932" t="str">
        <f>Chem!B77</f>
        <v>Total cPAH TEQ</v>
      </c>
      <c r="C77" s="2013">
        <f t="shared" si="49"/>
        <v>0.59</v>
      </c>
      <c r="D77" s="2014" t="str">
        <f t="shared" si="50"/>
        <v>na</v>
      </c>
      <c r="E77" s="2014" t="str">
        <f t="shared" si="51"/>
        <v>na</v>
      </c>
      <c r="F77" s="2033">
        <f>'SD-Det'!Z77</f>
        <v>0.59</v>
      </c>
      <c r="G77" s="2206" t="str">
        <f>'SD-Det'!C77</f>
        <v>YES</v>
      </c>
      <c r="H77" s="1815">
        <f>'SD-Det'!K77</f>
        <v>0.44347783825816495</v>
      </c>
      <c r="I77" s="1826">
        <f>'SD-Det'!M77</f>
        <v>2.1000000000000001E-2</v>
      </c>
      <c r="J77" s="1763" t="str">
        <f>'SD-Det'!H77</f>
        <v>na</v>
      </c>
      <c r="K77" s="1763" t="str">
        <f>'SD-Det'!G77</f>
        <v>na</v>
      </c>
      <c r="L77" s="1867">
        <f>'SD-Det'!Y77</f>
        <v>0.59</v>
      </c>
      <c r="M77" s="1867" t="str">
        <f>'SD-Det'!U77</f>
        <v>na</v>
      </c>
      <c r="N77" s="2214" t="str">
        <f>'SD-Det'!V77</f>
        <v>na</v>
      </c>
      <c r="O77" s="1862">
        <f>'SD-Det'!D77</f>
        <v>2.1000000000000001E-2</v>
      </c>
      <c r="P77" s="2225">
        <f>'SD-Det'!F77</f>
        <v>8.9999999999999993E-3</v>
      </c>
      <c r="R77" s="1938" t="str">
        <f t="shared" si="52"/>
        <v/>
      </c>
      <c r="S77" s="1939" t="str">
        <f t="shared" si="53"/>
        <v/>
      </c>
      <c r="T77" s="1939" t="str">
        <f t="shared" si="54"/>
        <v/>
      </c>
      <c r="U77" s="1939" t="str">
        <f t="shared" si="55"/>
        <v>X</v>
      </c>
      <c r="V77" s="1939" t="str">
        <f t="shared" si="56"/>
        <v/>
      </c>
      <c r="W77" s="1939" t="str">
        <f t="shared" si="57"/>
        <v/>
      </c>
      <c r="X77" s="1604" t="str">
        <f t="shared" si="58"/>
        <v/>
      </c>
      <c r="Z77" s="1935"/>
    </row>
    <row r="78" spans="1:26" ht="13.9" customHeight="1" x14ac:dyDescent="0.25">
      <c r="A78" s="1909">
        <f>Chem!A78</f>
        <v>76</v>
      </c>
      <c r="B78" s="1928" t="str">
        <f>Chem!B78</f>
        <v>Other SVOCs</v>
      </c>
      <c r="C78" s="54"/>
      <c r="D78" s="54"/>
      <c r="E78" s="54"/>
      <c r="F78" s="2335"/>
      <c r="G78" s="2335"/>
      <c r="H78" s="54"/>
      <c r="I78" s="54"/>
      <c r="J78" s="54"/>
      <c r="K78" s="54"/>
      <c r="L78" s="54"/>
      <c r="M78" s="54"/>
      <c r="N78" s="54"/>
      <c r="O78" s="54"/>
      <c r="P78" s="1524"/>
      <c r="R78" s="2039" t="str">
        <f>B78</f>
        <v>Other SVOCs</v>
      </c>
      <c r="S78" s="2339"/>
      <c r="T78" s="2339"/>
      <c r="U78" s="2339"/>
      <c r="V78" s="2339"/>
      <c r="W78" s="2339"/>
      <c r="X78" s="2340"/>
      <c r="Z78" s="1940"/>
    </row>
    <row r="79" spans="1:26" ht="13.9" customHeight="1" x14ac:dyDescent="0.25">
      <c r="A79" s="1916">
        <f>Chem!A79</f>
        <v>77</v>
      </c>
      <c r="B79" s="1932" t="str">
        <f>Chem!B79</f>
        <v>Aniline</v>
      </c>
      <c r="C79" s="2019" t="str">
        <f t="shared" ref="C79:C110" si="59">IF(ISNUMBER(L79),L79,IF(MIN(H79,I79)=0,"na",MAX(MIN(H79,I79),O79,P79)))</f>
        <v>na</v>
      </c>
      <c r="D79" s="2020" t="str">
        <f t="shared" ref="D79:D142" si="60">IF(ISNUMBER(M79),M79,IF(ISNUMBER(J79),J79,"na"))</f>
        <v>na</v>
      </c>
      <c r="E79" s="2018" t="str">
        <f t="shared" ref="E79:E110" si="61">IF(ISNUMBER(N79),N79,K79)</f>
        <v>na</v>
      </c>
      <c r="F79" s="2032" t="str">
        <f>'SD-Det'!Z79</f>
        <v>na</v>
      </c>
      <c r="G79" s="2205" t="str">
        <f>'SD-Det'!C79</f>
        <v>no</v>
      </c>
      <c r="H79" s="1819" t="str">
        <f>'SD-Det'!K79</f>
        <v>na</v>
      </c>
      <c r="I79" s="1830" t="str">
        <f>'SD-Det'!M79</f>
        <v>na</v>
      </c>
      <c r="J79" s="1767" t="str">
        <f>'SD-Det'!H79</f>
        <v>na</v>
      </c>
      <c r="K79" s="1767" t="str">
        <f>'SD-Det'!G79</f>
        <v>na</v>
      </c>
      <c r="L79" s="1871" t="str">
        <f>'SD-Det'!Y79</f>
        <v>na</v>
      </c>
      <c r="M79" s="1871" t="str">
        <f>'SD-Det'!U79</f>
        <v>na</v>
      </c>
      <c r="N79" s="2214" t="str">
        <f>'SD-Det'!V79</f>
        <v>na</v>
      </c>
      <c r="O79" s="2005" t="str">
        <f>'SD-Det'!D79</f>
        <v>na</v>
      </c>
      <c r="P79" s="2230" t="str">
        <f>'SD-Det'!F79</f>
        <v>na</v>
      </c>
      <c r="R79" s="1933" t="str">
        <f t="shared" ref="R79:R142" si="62">IF($F79="na","",IF($F79=H79,"X",""))</f>
        <v/>
      </c>
      <c r="S79" s="1934" t="str">
        <f t="shared" ref="S79:S142" si="63">IF($F79="na","",IF($F79=I79,"X",""))</f>
        <v/>
      </c>
      <c r="T79" s="1934" t="str">
        <f t="shared" ref="T79:T142" si="64">IF($F79="na","",IF($F79=J79,"X",""))</f>
        <v/>
      </c>
      <c r="U79" s="1934" t="str">
        <f t="shared" ref="U79:U142" si="65">IF($F79="na","",IF($F79=L79,"X",""))</f>
        <v/>
      </c>
      <c r="V79" s="1934" t="str">
        <f t="shared" ref="V79:V142" si="66">IF($F79="na","",IF($F79=M79,"X",""))</f>
        <v/>
      </c>
      <c r="W79" s="1934" t="str">
        <f t="shared" ref="W79:W142" si="67">IF($F79="na","",IF($F79=O79,"X",""))</f>
        <v/>
      </c>
      <c r="X79" s="1603" t="str">
        <f t="shared" ref="X79:X142" si="68">IF($F79="na","",IF($F79=P79,"X",""))</f>
        <v/>
      </c>
      <c r="Z79" s="1935"/>
    </row>
    <row r="80" spans="1:26" ht="13.9" customHeight="1" x14ac:dyDescent="0.25">
      <c r="A80" s="1917">
        <f>Chem!A80</f>
        <v>78</v>
      </c>
      <c r="B80" s="1932" t="str">
        <f>Chem!B80</f>
        <v>Azobenzene</v>
      </c>
      <c r="C80" s="2013" t="str">
        <f t="shared" si="59"/>
        <v>na</v>
      </c>
      <c r="D80" s="2014" t="str">
        <f t="shared" si="60"/>
        <v>na</v>
      </c>
      <c r="E80" s="2014" t="str">
        <f t="shared" si="61"/>
        <v>na</v>
      </c>
      <c r="F80" s="2033" t="str">
        <f>'SD-Det'!Z80</f>
        <v>na</v>
      </c>
      <c r="G80" s="2206" t="str">
        <f>'SD-Det'!C80</f>
        <v>no</v>
      </c>
      <c r="H80" s="1815" t="str">
        <f>'SD-Det'!K80</f>
        <v>na</v>
      </c>
      <c r="I80" s="1826" t="str">
        <f>'SD-Det'!M80</f>
        <v>na</v>
      </c>
      <c r="J80" s="1763" t="str">
        <f>'SD-Det'!H80</f>
        <v>na</v>
      </c>
      <c r="K80" s="1763" t="str">
        <f>'SD-Det'!G80</f>
        <v>na</v>
      </c>
      <c r="L80" s="1867" t="str">
        <f>'SD-Det'!Y80</f>
        <v>na</v>
      </c>
      <c r="M80" s="1867" t="str">
        <f>'SD-Det'!U80</f>
        <v>na</v>
      </c>
      <c r="N80" s="2214" t="str">
        <f>'SD-Det'!V80</f>
        <v>na</v>
      </c>
      <c r="O80" s="1862" t="str">
        <f>'SD-Det'!D80</f>
        <v>na</v>
      </c>
      <c r="P80" s="2225" t="str">
        <f>'SD-Det'!F80</f>
        <v>na</v>
      </c>
      <c r="R80" s="1936" t="str">
        <f t="shared" si="62"/>
        <v/>
      </c>
      <c r="S80" s="1937" t="str">
        <f t="shared" si="63"/>
        <v/>
      </c>
      <c r="T80" s="1937" t="str">
        <f t="shared" si="64"/>
        <v/>
      </c>
      <c r="U80" s="1937" t="str">
        <f t="shared" si="65"/>
        <v/>
      </c>
      <c r="V80" s="1937" t="str">
        <f t="shared" si="66"/>
        <v/>
      </c>
      <c r="W80" s="1937" t="str">
        <f t="shared" si="67"/>
        <v/>
      </c>
      <c r="X80" s="1600" t="str">
        <f t="shared" si="68"/>
        <v/>
      </c>
      <c r="Z80" s="1935"/>
    </row>
    <row r="81" spans="1:26" ht="13.9" customHeight="1" x14ac:dyDescent="0.25">
      <c r="A81" s="1917">
        <f>Chem!A81</f>
        <v>79</v>
      </c>
      <c r="B81" s="1932" t="str">
        <f>Chem!B81</f>
        <v>Benzidine</v>
      </c>
      <c r="C81" s="2017" t="str">
        <f t="shared" si="59"/>
        <v>na</v>
      </c>
      <c r="D81" s="2018" t="str">
        <f t="shared" si="60"/>
        <v>na</v>
      </c>
      <c r="E81" s="2018" t="str">
        <f t="shared" si="61"/>
        <v>na</v>
      </c>
      <c r="F81" s="2033" t="str">
        <f>'SD-Det'!Z81</f>
        <v>na</v>
      </c>
      <c r="G81" s="2206" t="str">
        <f>'SD-Det'!C81</f>
        <v>no</v>
      </c>
      <c r="H81" s="1818" t="str">
        <f>'SD-Det'!K81</f>
        <v>na</v>
      </c>
      <c r="I81" s="1829" t="str">
        <f>'SD-Det'!M81</f>
        <v>na</v>
      </c>
      <c r="J81" s="1766" t="str">
        <f>'SD-Det'!H81</f>
        <v>na</v>
      </c>
      <c r="K81" s="1766" t="str">
        <f>'SD-Det'!G81</f>
        <v>na</v>
      </c>
      <c r="L81" s="1870" t="str">
        <f>'SD-Det'!Y81</f>
        <v>na</v>
      </c>
      <c r="M81" s="1870" t="str">
        <f>'SD-Det'!U81</f>
        <v>na</v>
      </c>
      <c r="N81" s="2214" t="str">
        <f>'SD-Det'!V81</f>
        <v>na</v>
      </c>
      <c r="O81" s="2004" t="str">
        <f>'SD-Det'!D81</f>
        <v>na</v>
      </c>
      <c r="P81" s="2229" t="str">
        <f>'SD-Det'!F81</f>
        <v>na</v>
      </c>
      <c r="R81" s="1936" t="str">
        <f t="shared" si="62"/>
        <v/>
      </c>
      <c r="S81" s="1937" t="str">
        <f t="shared" si="63"/>
        <v/>
      </c>
      <c r="T81" s="1937" t="str">
        <f t="shared" si="64"/>
        <v/>
      </c>
      <c r="U81" s="1937" t="str">
        <f t="shared" si="65"/>
        <v/>
      </c>
      <c r="V81" s="1937" t="str">
        <f t="shared" si="66"/>
        <v/>
      </c>
      <c r="W81" s="1937" t="str">
        <f t="shared" si="67"/>
        <v/>
      </c>
      <c r="X81" s="1600" t="str">
        <f t="shared" si="68"/>
        <v/>
      </c>
      <c r="Z81" s="1935"/>
    </row>
    <row r="82" spans="1:26" ht="13.9" customHeight="1" x14ac:dyDescent="0.25">
      <c r="A82" s="1917">
        <f>Chem!A82</f>
        <v>80</v>
      </c>
      <c r="B82" s="1932" t="str">
        <f>Chem!B82</f>
        <v>Benzoic acid</v>
      </c>
      <c r="C82" s="2017" t="str">
        <f t="shared" si="59"/>
        <v>na</v>
      </c>
      <c r="D82" s="2018">
        <f t="shared" si="60"/>
        <v>0.65</v>
      </c>
      <c r="E82" s="2018" t="str">
        <f t="shared" si="61"/>
        <v>na</v>
      </c>
      <c r="F82" s="2033">
        <f>'SD-Det'!Z82</f>
        <v>0.65</v>
      </c>
      <c r="G82" s="2206" t="str">
        <f>'SD-Det'!C82</f>
        <v>no</v>
      </c>
      <c r="H82" s="1818" t="str">
        <f>'SD-Det'!K82</f>
        <v>na</v>
      </c>
      <c r="I82" s="1829" t="str">
        <f>'SD-Det'!M82</f>
        <v>na</v>
      </c>
      <c r="J82" s="1766">
        <f>'SD-Det'!H82</f>
        <v>0.65</v>
      </c>
      <c r="K82" s="1766" t="str">
        <f>'SD-Det'!G82</f>
        <v>na</v>
      </c>
      <c r="L82" s="1870" t="str">
        <f>'SD-Det'!Y82</f>
        <v>na</v>
      </c>
      <c r="M82" s="1870">
        <f>'SD-Det'!U82</f>
        <v>0.65</v>
      </c>
      <c r="N82" s="2214" t="str">
        <f>'SD-Det'!V82</f>
        <v>na</v>
      </c>
      <c r="O82" s="2004" t="str">
        <f>'SD-Det'!D82</f>
        <v>na</v>
      </c>
      <c r="P82" s="2229">
        <f>'SD-Det'!F82</f>
        <v>0.503</v>
      </c>
      <c r="R82" s="1936" t="str">
        <f t="shared" si="62"/>
        <v/>
      </c>
      <c r="S82" s="1937" t="str">
        <f t="shared" si="63"/>
        <v/>
      </c>
      <c r="T82" s="1937" t="str">
        <f t="shared" si="64"/>
        <v>X</v>
      </c>
      <c r="U82" s="1937" t="str">
        <f t="shared" si="65"/>
        <v/>
      </c>
      <c r="V82" s="1937" t="str">
        <f t="shared" si="66"/>
        <v>X</v>
      </c>
      <c r="W82" s="1937" t="str">
        <f t="shared" si="67"/>
        <v/>
      </c>
      <c r="X82" s="1600" t="str">
        <f t="shared" si="68"/>
        <v/>
      </c>
      <c r="Z82" s="1935"/>
    </row>
    <row r="83" spans="1:26" ht="13.9" customHeight="1" x14ac:dyDescent="0.25">
      <c r="A83" s="1917">
        <f>Chem!A83</f>
        <v>81</v>
      </c>
      <c r="B83" s="1932" t="str">
        <f>Chem!B83</f>
        <v>Benzyl alcohol</v>
      </c>
      <c r="C83" s="2017" t="str">
        <f t="shared" si="59"/>
        <v>na</v>
      </c>
      <c r="D83" s="2018">
        <f t="shared" si="60"/>
        <v>5.7000000000000002E-2</v>
      </c>
      <c r="E83" s="2018" t="str">
        <f t="shared" si="61"/>
        <v>na</v>
      </c>
      <c r="F83" s="2033">
        <f>'SD-Det'!Z83</f>
        <v>5.7000000000000002E-2</v>
      </c>
      <c r="G83" s="2206" t="str">
        <f>'SD-Det'!C83</f>
        <v>no</v>
      </c>
      <c r="H83" s="1818" t="str">
        <f>'SD-Det'!K83</f>
        <v>na</v>
      </c>
      <c r="I83" s="1829" t="str">
        <f>'SD-Det'!M83</f>
        <v>na</v>
      </c>
      <c r="J83" s="1766">
        <f>'SD-Det'!H83</f>
        <v>5.7000000000000002E-2</v>
      </c>
      <c r="K83" s="1766" t="str">
        <f>'SD-Det'!G83</f>
        <v>na</v>
      </c>
      <c r="L83" s="1870" t="str">
        <f>'SD-Det'!Y83</f>
        <v>na</v>
      </c>
      <c r="M83" s="1870">
        <f>'SD-Det'!U83</f>
        <v>5.7000000000000002E-2</v>
      </c>
      <c r="N83" s="2214" t="str">
        <f>'SD-Det'!V83</f>
        <v>na</v>
      </c>
      <c r="O83" s="2004" t="str">
        <f>'SD-Det'!D83</f>
        <v>na</v>
      </c>
      <c r="P83" s="2229">
        <f>'SD-Det'!F83</f>
        <v>0.14099999999999999</v>
      </c>
      <c r="R83" s="1936" t="str">
        <f t="shared" si="62"/>
        <v/>
      </c>
      <c r="S83" s="1937" t="str">
        <f t="shared" si="63"/>
        <v/>
      </c>
      <c r="T83" s="1937" t="str">
        <f t="shared" si="64"/>
        <v>X</v>
      </c>
      <c r="U83" s="1937" t="str">
        <f t="shared" si="65"/>
        <v/>
      </c>
      <c r="V83" s="1937" t="str">
        <f t="shared" si="66"/>
        <v>X</v>
      </c>
      <c r="W83" s="1937" t="str">
        <f t="shared" si="67"/>
        <v/>
      </c>
      <c r="X83" s="1600" t="str">
        <f t="shared" si="68"/>
        <v/>
      </c>
      <c r="Z83" s="1935"/>
    </row>
    <row r="84" spans="1:26" ht="13.9" customHeight="1" x14ac:dyDescent="0.25">
      <c r="A84" s="1917">
        <f>Chem!A84</f>
        <v>82</v>
      </c>
      <c r="B84" s="1932" t="str">
        <f>Chem!B84</f>
        <v>Bis(2-chloroethoxy)methane</v>
      </c>
      <c r="C84" s="2021" t="str">
        <f t="shared" si="59"/>
        <v>na</v>
      </c>
      <c r="D84" s="2022" t="str">
        <f t="shared" si="60"/>
        <v>na</v>
      </c>
      <c r="E84" s="2022" t="str">
        <f t="shared" si="61"/>
        <v>na</v>
      </c>
      <c r="F84" s="2033" t="str">
        <f>'SD-Det'!Z84</f>
        <v>na</v>
      </c>
      <c r="G84" s="2206" t="str">
        <f>'SD-Det'!C84</f>
        <v>no</v>
      </c>
      <c r="H84" s="1820" t="str">
        <f>'SD-Det'!K84</f>
        <v>na</v>
      </c>
      <c r="I84" s="1831" t="str">
        <f>'SD-Det'!M84</f>
        <v>na</v>
      </c>
      <c r="J84" s="1768" t="str">
        <f>'SD-Det'!H84</f>
        <v>na</v>
      </c>
      <c r="K84" s="1768" t="str">
        <f>'SD-Det'!G84</f>
        <v>na</v>
      </c>
      <c r="L84" s="1872" t="str">
        <f>'SD-Det'!Y84</f>
        <v>na</v>
      </c>
      <c r="M84" s="1872" t="str">
        <f>'SD-Det'!U84</f>
        <v>na</v>
      </c>
      <c r="N84" s="2214" t="str">
        <f>'SD-Det'!V84</f>
        <v>na</v>
      </c>
      <c r="O84" s="2006" t="str">
        <f>'SD-Det'!D84</f>
        <v>na</v>
      </c>
      <c r="P84" s="2231" t="str">
        <f>'SD-Det'!F84</f>
        <v>na</v>
      </c>
      <c r="R84" s="1936" t="str">
        <f t="shared" si="62"/>
        <v/>
      </c>
      <c r="S84" s="1937" t="str">
        <f t="shared" si="63"/>
        <v/>
      </c>
      <c r="T84" s="1937" t="str">
        <f t="shared" si="64"/>
        <v/>
      </c>
      <c r="U84" s="1937" t="str">
        <f t="shared" si="65"/>
        <v/>
      </c>
      <c r="V84" s="1937" t="str">
        <f t="shared" si="66"/>
        <v/>
      </c>
      <c r="W84" s="1937" t="str">
        <f t="shared" si="67"/>
        <v/>
      </c>
      <c r="X84" s="1600" t="str">
        <f t="shared" si="68"/>
        <v/>
      </c>
      <c r="Z84" s="1935"/>
    </row>
    <row r="85" spans="1:26" ht="13.9" customHeight="1" x14ac:dyDescent="0.25">
      <c r="A85" s="1917">
        <f>Chem!A85</f>
        <v>83</v>
      </c>
      <c r="B85" s="1932" t="str">
        <f>Chem!B85</f>
        <v>Bis(2-chloroethyl)ether</v>
      </c>
      <c r="C85" s="2023" t="str">
        <f t="shared" si="59"/>
        <v>na</v>
      </c>
      <c r="D85" s="2024" t="str">
        <f t="shared" si="60"/>
        <v>na</v>
      </c>
      <c r="E85" s="2024" t="str">
        <f t="shared" si="61"/>
        <v>na</v>
      </c>
      <c r="F85" s="2033" t="str">
        <f>'SD-Det'!Z85</f>
        <v>na</v>
      </c>
      <c r="G85" s="2206" t="str">
        <f>'SD-Det'!C85</f>
        <v>no</v>
      </c>
      <c r="H85" s="1821" t="str">
        <f>'SD-Det'!K85</f>
        <v>na</v>
      </c>
      <c r="I85" s="1832" t="str">
        <f>'SD-Det'!M85</f>
        <v>na</v>
      </c>
      <c r="J85" s="1769" t="str">
        <f>'SD-Det'!H85</f>
        <v>na</v>
      </c>
      <c r="K85" s="1769" t="str">
        <f>'SD-Det'!G85</f>
        <v>na</v>
      </c>
      <c r="L85" s="1873" t="str">
        <f>'SD-Det'!Y85</f>
        <v>na</v>
      </c>
      <c r="M85" s="1873" t="str">
        <f>'SD-Det'!U85</f>
        <v>na</v>
      </c>
      <c r="N85" s="2214" t="str">
        <f>'SD-Det'!V85</f>
        <v>na</v>
      </c>
      <c r="O85" s="2007" t="str">
        <f>'SD-Det'!D85</f>
        <v>na</v>
      </c>
      <c r="P85" s="2232" t="str">
        <f>'SD-Det'!F85</f>
        <v>na</v>
      </c>
      <c r="R85" s="1936" t="str">
        <f t="shared" si="62"/>
        <v/>
      </c>
      <c r="S85" s="1937" t="str">
        <f t="shared" si="63"/>
        <v/>
      </c>
      <c r="T85" s="1937" t="str">
        <f t="shared" si="64"/>
        <v/>
      </c>
      <c r="U85" s="1937" t="str">
        <f t="shared" si="65"/>
        <v/>
      </c>
      <c r="V85" s="1937" t="str">
        <f t="shared" si="66"/>
        <v/>
      </c>
      <c r="W85" s="1937" t="str">
        <f t="shared" si="67"/>
        <v/>
      </c>
      <c r="X85" s="1600" t="str">
        <f t="shared" si="68"/>
        <v/>
      </c>
      <c r="Z85" s="1935"/>
    </row>
    <row r="86" spans="1:26" ht="13.9" customHeight="1" x14ac:dyDescent="0.25">
      <c r="A86" s="1917">
        <f>Chem!A86</f>
        <v>84</v>
      </c>
      <c r="B86" s="1932" t="str">
        <f>Chem!B86</f>
        <v>Bis(chloromethyl)ether</v>
      </c>
      <c r="C86" s="2023" t="str">
        <f t="shared" si="59"/>
        <v>na</v>
      </c>
      <c r="D86" s="2024" t="str">
        <f t="shared" si="60"/>
        <v>na</v>
      </c>
      <c r="E86" s="2024" t="str">
        <f t="shared" si="61"/>
        <v>na</v>
      </c>
      <c r="F86" s="2033" t="str">
        <f>'SD-Det'!Z86</f>
        <v>na</v>
      </c>
      <c r="G86" s="2206" t="str">
        <f>'SD-Det'!C86</f>
        <v>no</v>
      </c>
      <c r="H86" s="1821" t="str">
        <f>'SD-Det'!K86</f>
        <v>na</v>
      </c>
      <c r="I86" s="1832" t="str">
        <f>'SD-Det'!M86</f>
        <v>na</v>
      </c>
      <c r="J86" s="1769" t="str">
        <f>'SD-Det'!H86</f>
        <v>na</v>
      </c>
      <c r="K86" s="1769" t="str">
        <f>'SD-Det'!G86</f>
        <v>na</v>
      </c>
      <c r="L86" s="1873" t="str">
        <f>'SD-Det'!Y86</f>
        <v>na</v>
      </c>
      <c r="M86" s="1873" t="str">
        <f>'SD-Det'!U86</f>
        <v>na</v>
      </c>
      <c r="N86" s="2214" t="str">
        <f>'SD-Det'!V86</f>
        <v>na</v>
      </c>
      <c r="O86" s="2007" t="str">
        <f>'SD-Det'!D86</f>
        <v>na</v>
      </c>
      <c r="P86" s="2232" t="str">
        <f>'SD-Det'!F86</f>
        <v>na</v>
      </c>
      <c r="R86" s="1936" t="str">
        <f t="shared" si="62"/>
        <v/>
      </c>
      <c r="S86" s="1937" t="str">
        <f t="shared" si="63"/>
        <v/>
      </c>
      <c r="T86" s="1937" t="str">
        <f t="shared" si="64"/>
        <v/>
      </c>
      <c r="U86" s="1937" t="str">
        <f t="shared" si="65"/>
        <v/>
      </c>
      <c r="V86" s="1937" t="str">
        <f t="shared" si="66"/>
        <v/>
      </c>
      <c r="W86" s="1937" t="str">
        <f t="shared" si="67"/>
        <v/>
      </c>
      <c r="X86" s="1600" t="str">
        <f t="shared" si="68"/>
        <v/>
      </c>
      <c r="Z86" s="1935"/>
    </row>
    <row r="87" spans="1:26" ht="13.9" customHeight="1" x14ac:dyDescent="0.25">
      <c r="A87" s="1917">
        <f>Chem!A87</f>
        <v>85</v>
      </c>
      <c r="B87" s="1932" t="str">
        <f>Chem!B87</f>
        <v xml:space="preserve">Bis(2-chloro-1-methylethyl)ether </v>
      </c>
      <c r="C87" s="2017" t="str">
        <f t="shared" si="59"/>
        <v>na</v>
      </c>
      <c r="D87" s="2018" t="str">
        <f t="shared" si="60"/>
        <v>na</v>
      </c>
      <c r="E87" s="2018" t="str">
        <f t="shared" si="61"/>
        <v>na</v>
      </c>
      <c r="F87" s="2033" t="str">
        <f>'SD-Det'!Z87</f>
        <v>na</v>
      </c>
      <c r="G87" s="2206" t="str">
        <f>'SD-Det'!C87</f>
        <v>no</v>
      </c>
      <c r="H87" s="1818" t="str">
        <f>'SD-Det'!K87</f>
        <v>na</v>
      </c>
      <c r="I87" s="1829" t="str">
        <f>'SD-Det'!M87</f>
        <v>na</v>
      </c>
      <c r="J87" s="1766" t="str">
        <f>'SD-Det'!H87</f>
        <v>na</v>
      </c>
      <c r="K87" s="1766" t="str">
        <f>'SD-Det'!G87</f>
        <v>na</v>
      </c>
      <c r="L87" s="1870" t="str">
        <f>'SD-Det'!Y87</f>
        <v>na</v>
      </c>
      <c r="M87" s="1870" t="str">
        <f>'SD-Det'!U87</f>
        <v>na</v>
      </c>
      <c r="N87" s="2214" t="str">
        <f>'SD-Det'!V87</f>
        <v>na</v>
      </c>
      <c r="O87" s="2004" t="str">
        <f>'SD-Det'!D87</f>
        <v>na</v>
      </c>
      <c r="P87" s="2229" t="str">
        <f>'SD-Det'!F87</f>
        <v>na</v>
      </c>
      <c r="R87" s="1936" t="str">
        <f t="shared" si="62"/>
        <v/>
      </c>
      <c r="S87" s="1937" t="str">
        <f t="shared" si="63"/>
        <v/>
      </c>
      <c r="T87" s="1937" t="str">
        <f t="shared" si="64"/>
        <v/>
      </c>
      <c r="U87" s="1937" t="str">
        <f t="shared" si="65"/>
        <v/>
      </c>
      <c r="V87" s="1937" t="str">
        <f t="shared" si="66"/>
        <v/>
      </c>
      <c r="W87" s="1937" t="str">
        <f t="shared" si="67"/>
        <v/>
      </c>
      <c r="X87" s="1600" t="str">
        <f t="shared" si="68"/>
        <v/>
      </c>
      <c r="Z87" s="1935"/>
    </row>
    <row r="88" spans="1:26" ht="13.9" customHeight="1" x14ac:dyDescent="0.25">
      <c r="A88" s="1917">
        <f>Chem!A88</f>
        <v>86</v>
      </c>
      <c r="B88" s="1932" t="str">
        <f>Chem!B88</f>
        <v>2,6-Bis(1,1-dimethylethyl) phenol</v>
      </c>
      <c r="C88" s="2021" t="str">
        <f t="shared" si="59"/>
        <v>na</v>
      </c>
      <c r="D88" s="2022" t="str">
        <f t="shared" si="60"/>
        <v>na</v>
      </c>
      <c r="E88" s="2022" t="str">
        <f t="shared" si="61"/>
        <v>na</v>
      </c>
      <c r="F88" s="2033" t="str">
        <f>'SD-Det'!Z88</f>
        <v>na</v>
      </c>
      <c r="G88" s="2206" t="str">
        <f>'SD-Det'!C88</f>
        <v>no</v>
      </c>
      <c r="H88" s="1820" t="str">
        <f>'SD-Det'!K88</f>
        <v>na</v>
      </c>
      <c r="I88" s="1831" t="str">
        <f>'SD-Det'!M88</f>
        <v>na</v>
      </c>
      <c r="J88" s="1768" t="str">
        <f>'SD-Det'!H88</f>
        <v>na</v>
      </c>
      <c r="K88" s="1768" t="str">
        <f>'SD-Det'!G88</f>
        <v>na</v>
      </c>
      <c r="L88" s="1872" t="str">
        <f>'SD-Det'!Y88</f>
        <v>na</v>
      </c>
      <c r="M88" s="1872" t="str">
        <f>'SD-Det'!U88</f>
        <v>na</v>
      </c>
      <c r="N88" s="2214" t="str">
        <f>'SD-Det'!V88</f>
        <v>na</v>
      </c>
      <c r="O88" s="2006" t="str">
        <f>'SD-Det'!D88</f>
        <v>na</v>
      </c>
      <c r="P88" s="2231" t="str">
        <f>'SD-Det'!F88</f>
        <v>na</v>
      </c>
      <c r="R88" s="1936" t="str">
        <f t="shared" si="62"/>
        <v/>
      </c>
      <c r="S88" s="1937" t="str">
        <f t="shared" si="63"/>
        <v/>
      </c>
      <c r="T88" s="1937" t="str">
        <f t="shared" si="64"/>
        <v/>
      </c>
      <c r="U88" s="1937" t="str">
        <f t="shared" si="65"/>
        <v/>
      </c>
      <c r="V88" s="1937" t="str">
        <f t="shared" si="66"/>
        <v/>
      </c>
      <c r="W88" s="1937" t="str">
        <f t="shared" si="67"/>
        <v/>
      </c>
      <c r="X88" s="1600" t="str">
        <f t="shared" si="68"/>
        <v/>
      </c>
      <c r="Z88" s="1935"/>
    </row>
    <row r="89" spans="1:26" ht="13.9" customHeight="1" x14ac:dyDescent="0.25">
      <c r="A89" s="1917">
        <f>Chem!A89</f>
        <v>87</v>
      </c>
      <c r="B89" s="1932" t="str">
        <f>Chem!B89</f>
        <v>Bis(2-ethylhexyl) phthalate</v>
      </c>
      <c r="C89" s="2017" t="str">
        <f t="shared" si="59"/>
        <v>na</v>
      </c>
      <c r="D89" s="2018">
        <f t="shared" si="60"/>
        <v>1.3</v>
      </c>
      <c r="E89" s="2018">
        <f t="shared" si="61"/>
        <v>47</v>
      </c>
      <c r="F89" s="2033">
        <f>'SD-Det'!Z89</f>
        <v>1.3</v>
      </c>
      <c r="G89" s="2206" t="str">
        <f>'SD-Det'!C89</f>
        <v>no</v>
      </c>
      <c r="H89" s="1818" t="str">
        <f>'SD-Det'!K89</f>
        <v>na</v>
      </c>
      <c r="I89" s="1829" t="str">
        <f>'SD-Det'!M89</f>
        <v>na</v>
      </c>
      <c r="J89" s="1766">
        <f>'SD-Det'!H89</f>
        <v>1.3</v>
      </c>
      <c r="K89" s="1766">
        <f>'SD-Det'!G89</f>
        <v>47</v>
      </c>
      <c r="L89" s="1866" t="str">
        <f>'SD-Det'!Y89</f>
        <v>na</v>
      </c>
      <c r="M89" s="1866" t="str">
        <f>'SD-Det'!U89</f>
        <v>na</v>
      </c>
      <c r="N89" s="2219">
        <f>'SD-Det'!V89</f>
        <v>47</v>
      </c>
      <c r="O89" s="2004" t="str">
        <f>'SD-Det'!D89</f>
        <v>na</v>
      </c>
      <c r="P89" s="2229">
        <f>'SD-Det'!F89</f>
        <v>0.11899999999999999</v>
      </c>
      <c r="R89" s="1936" t="str">
        <f t="shared" si="62"/>
        <v/>
      </c>
      <c r="S89" s="1937" t="str">
        <f t="shared" si="63"/>
        <v/>
      </c>
      <c r="T89" s="1937" t="str">
        <f t="shared" si="64"/>
        <v>X</v>
      </c>
      <c r="U89" s="1937" t="str">
        <f t="shared" si="65"/>
        <v/>
      </c>
      <c r="V89" s="1937" t="str">
        <f t="shared" si="66"/>
        <v/>
      </c>
      <c r="W89" s="1937" t="str">
        <f t="shared" si="67"/>
        <v/>
      </c>
      <c r="X89" s="1600" t="str">
        <f t="shared" si="68"/>
        <v/>
      </c>
      <c r="Z89" s="1935"/>
    </row>
    <row r="90" spans="1:26" ht="13.9" customHeight="1" x14ac:dyDescent="0.25">
      <c r="A90" s="1917">
        <f>Chem!A90</f>
        <v>88</v>
      </c>
      <c r="B90" s="1932" t="str">
        <f>Chem!B90</f>
        <v>4-Bromophenyl phenyl ether</v>
      </c>
      <c r="C90" s="2021" t="str">
        <f t="shared" si="59"/>
        <v>na</v>
      </c>
      <c r="D90" s="2022" t="str">
        <f t="shared" si="60"/>
        <v>na</v>
      </c>
      <c r="E90" s="2022" t="str">
        <f t="shared" si="61"/>
        <v>na</v>
      </c>
      <c r="F90" s="2033" t="str">
        <f>'SD-Det'!Z90</f>
        <v>na</v>
      </c>
      <c r="G90" s="2206" t="str">
        <f>'SD-Det'!C90</f>
        <v>no</v>
      </c>
      <c r="H90" s="1820" t="str">
        <f>'SD-Det'!K90</f>
        <v>na</v>
      </c>
      <c r="I90" s="1831" t="str">
        <f>'SD-Det'!M90</f>
        <v>na</v>
      </c>
      <c r="J90" s="1768" t="str">
        <f>'SD-Det'!H90</f>
        <v>na</v>
      </c>
      <c r="K90" s="1768" t="str">
        <f>'SD-Det'!G90</f>
        <v>na</v>
      </c>
      <c r="L90" s="1872" t="str">
        <f>'SD-Det'!Y90</f>
        <v>na</v>
      </c>
      <c r="M90" s="1872" t="str">
        <f>'SD-Det'!U90</f>
        <v>na</v>
      </c>
      <c r="N90" s="2214" t="str">
        <f>'SD-Det'!V90</f>
        <v>na</v>
      </c>
      <c r="O90" s="2006" t="str">
        <f>'SD-Det'!D90</f>
        <v>na</v>
      </c>
      <c r="P90" s="2231" t="str">
        <f>'SD-Det'!F90</f>
        <v>na</v>
      </c>
      <c r="R90" s="1936" t="str">
        <f t="shared" si="62"/>
        <v/>
      </c>
      <c r="S90" s="1937" t="str">
        <f t="shared" si="63"/>
        <v/>
      </c>
      <c r="T90" s="1937" t="str">
        <f t="shared" si="64"/>
        <v/>
      </c>
      <c r="U90" s="1937" t="str">
        <f t="shared" si="65"/>
        <v/>
      </c>
      <c r="V90" s="1937" t="str">
        <f t="shared" si="66"/>
        <v/>
      </c>
      <c r="W90" s="1937" t="str">
        <f t="shared" si="67"/>
        <v/>
      </c>
      <c r="X90" s="1600" t="str">
        <f t="shared" si="68"/>
        <v/>
      </c>
      <c r="Z90" s="1935"/>
    </row>
    <row r="91" spans="1:26" ht="13.9" customHeight="1" x14ac:dyDescent="0.25">
      <c r="A91" s="1917">
        <f>Chem!A91</f>
        <v>89</v>
      </c>
      <c r="B91" s="1932" t="str">
        <f>Chem!B91</f>
        <v>Butyl benzyl phthalate</v>
      </c>
      <c r="C91" s="2017" t="str">
        <f t="shared" si="59"/>
        <v>na</v>
      </c>
      <c r="D91" s="2018">
        <f t="shared" si="60"/>
        <v>6.3E-2</v>
      </c>
      <c r="E91" s="2018">
        <f t="shared" si="61"/>
        <v>4.9000000000000004</v>
      </c>
      <c r="F91" s="2033">
        <f>'SD-Det'!Z91</f>
        <v>6.3E-2</v>
      </c>
      <c r="G91" s="2206" t="str">
        <f>'SD-Det'!C91</f>
        <v>no</v>
      </c>
      <c r="H91" s="1818" t="str">
        <f>'SD-Det'!K91</f>
        <v>na</v>
      </c>
      <c r="I91" s="1829" t="str">
        <f>'SD-Det'!M91</f>
        <v>na</v>
      </c>
      <c r="J91" s="1766">
        <f>'SD-Det'!H91</f>
        <v>6.3E-2</v>
      </c>
      <c r="K91" s="1766">
        <f>'SD-Det'!G91</f>
        <v>4.9000000000000004</v>
      </c>
      <c r="L91" s="1866" t="str">
        <f>'SD-Det'!Y91</f>
        <v>na</v>
      </c>
      <c r="M91" s="1866" t="str">
        <f>'SD-Det'!U91</f>
        <v>na</v>
      </c>
      <c r="N91" s="2219">
        <f>'SD-Det'!V91</f>
        <v>4.9000000000000004</v>
      </c>
      <c r="O91" s="2004" t="str">
        <f>'SD-Det'!D91</f>
        <v>na</v>
      </c>
      <c r="P91" s="2229">
        <f>'SD-Det'!F91</f>
        <v>8.1000000000000003E-2</v>
      </c>
      <c r="R91" s="1936" t="str">
        <f t="shared" si="62"/>
        <v/>
      </c>
      <c r="S91" s="1937" t="str">
        <f t="shared" si="63"/>
        <v/>
      </c>
      <c r="T91" s="1937" t="str">
        <f t="shared" si="64"/>
        <v>X</v>
      </c>
      <c r="U91" s="1937" t="str">
        <f t="shared" si="65"/>
        <v/>
      </c>
      <c r="V91" s="1937" t="str">
        <f t="shared" si="66"/>
        <v/>
      </c>
      <c r="W91" s="1937" t="str">
        <f t="shared" si="67"/>
        <v/>
      </c>
      <c r="X91" s="1600" t="str">
        <f t="shared" si="68"/>
        <v/>
      </c>
      <c r="Z91" s="1935"/>
    </row>
    <row r="92" spans="1:26" ht="13.9" customHeight="1" x14ac:dyDescent="0.25">
      <c r="A92" s="1917">
        <f>Chem!A92</f>
        <v>90</v>
      </c>
      <c r="B92" s="1932" t="str">
        <f>Chem!B92</f>
        <v>Butyl diphenyl phosphate</v>
      </c>
      <c r="C92" s="2021" t="str">
        <f t="shared" si="59"/>
        <v>na</v>
      </c>
      <c r="D92" s="2022" t="str">
        <f t="shared" si="60"/>
        <v>na</v>
      </c>
      <c r="E92" s="2022" t="str">
        <f t="shared" si="61"/>
        <v>na</v>
      </c>
      <c r="F92" s="2033" t="str">
        <f>'SD-Det'!Z92</f>
        <v>na</v>
      </c>
      <c r="G92" s="2206" t="str">
        <f>'SD-Det'!C92</f>
        <v>no</v>
      </c>
      <c r="H92" s="1820" t="str">
        <f>'SD-Det'!K92</f>
        <v>na</v>
      </c>
      <c r="I92" s="1831" t="str">
        <f>'SD-Det'!M92</f>
        <v>na</v>
      </c>
      <c r="J92" s="1768" t="str">
        <f>'SD-Det'!H92</f>
        <v>na</v>
      </c>
      <c r="K92" s="1768" t="str">
        <f>'SD-Det'!G92</f>
        <v>na</v>
      </c>
      <c r="L92" s="1872" t="str">
        <f>'SD-Det'!Y92</f>
        <v>na</v>
      </c>
      <c r="M92" s="1872" t="str">
        <f>'SD-Det'!U92</f>
        <v>na</v>
      </c>
      <c r="N92" s="2214" t="str">
        <f>'SD-Det'!V92</f>
        <v>na</v>
      </c>
      <c r="O92" s="2006" t="str">
        <f>'SD-Det'!D92</f>
        <v>na</v>
      </c>
      <c r="P92" s="2231" t="str">
        <f>'SD-Det'!F92</f>
        <v>na</v>
      </c>
      <c r="R92" s="1936" t="str">
        <f t="shared" si="62"/>
        <v/>
      </c>
      <c r="S92" s="1937" t="str">
        <f t="shared" si="63"/>
        <v/>
      </c>
      <c r="T92" s="1937" t="str">
        <f t="shared" si="64"/>
        <v/>
      </c>
      <c r="U92" s="1937" t="str">
        <f t="shared" si="65"/>
        <v/>
      </c>
      <c r="V92" s="1937" t="str">
        <f t="shared" si="66"/>
        <v/>
      </c>
      <c r="W92" s="1937" t="str">
        <f t="shared" si="67"/>
        <v/>
      </c>
      <c r="X92" s="1600" t="str">
        <f t="shared" si="68"/>
        <v/>
      </c>
      <c r="Z92" s="1935"/>
    </row>
    <row r="93" spans="1:26" ht="13.9" customHeight="1" x14ac:dyDescent="0.25">
      <c r="A93" s="1917">
        <f>Chem!A93</f>
        <v>91</v>
      </c>
      <c r="B93" s="1932" t="str">
        <f>Chem!B93</f>
        <v>Carbazole</v>
      </c>
      <c r="C93" s="2023" t="str">
        <f t="shared" si="59"/>
        <v>na</v>
      </c>
      <c r="D93" s="2024" t="str">
        <f t="shared" si="60"/>
        <v>na</v>
      </c>
      <c r="E93" s="2024" t="str">
        <f t="shared" si="61"/>
        <v>na</v>
      </c>
      <c r="F93" s="2033" t="str">
        <f>'SD-Det'!Z93</f>
        <v>na</v>
      </c>
      <c r="G93" s="2206" t="str">
        <f>'SD-Det'!C93</f>
        <v>no</v>
      </c>
      <c r="H93" s="1821" t="str">
        <f>'SD-Det'!K93</f>
        <v>na</v>
      </c>
      <c r="I93" s="1832" t="str">
        <f>'SD-Det'!M93</f>
        <v>na</v>
      </c>
      <c r="J93" s="1769" t="str">
        <f>'SD-Det'!H93</f>
        <v>na</v>
      </c>
      <c r="K93" s="1769" t="str">
        <f>'SD-Det'!G93</f>
        <v>na</v>
      </c>
      <c r="L93" s="1873" t="str">
        <f>'SD-Det'!Y93</f>
        <v>na</v>
      </c>
      <c r="M93" s="1873" t="str">
        <f>'SD-Det'!U93</f>
        <v>na</v>
      </c>
      <c r="N93" s="2214" t="str">
        <f>'SD-Det'!V93</f>
        <v>na</v>
      </c>
      <c r="O93" s="2007" t="str">
        <f>'SD-Det'!D93</f>
        <v>na</v>
      </c>
      <c r="P93" s="2232" t="str">
        <f>'SD-Det'!F93</f>
        <v>na</v>
      </c>
      <c r="R93" s="1936" t="str">
        <f t="shared" si="62"/>
        <v/>
      </c>
      <c r="S93" s="1937" t="str">
        <f t="shared" si="63"/>
        <v/>
      </c>
      <c r="T93" s="1937" t="str">
        <f t="shared" si="64"/>
        <v/>
      </c>
      <c r="U93" s="1937" t="str">
        <f t="shared" si="65"/>
        <v/>
      </c>
      <c r="V93" s="1937" t="str">
        <f t="shared" si="66"/>
        <v/>
      </c>
      <c r="W93" s="1937" t="str">
        <f t="shared" si="67"/>
        <v/>
      </c>
      <c r="X93" s="1600" t="str">
        <f t="shared" si="68"/>
        <v/>
      </c>
      <c r="Z93" s="1935"/>
    </row>
    <row r="94" spans="1:26" ht="13.9" customHeight="1" x14ac:dyDescent="0.25">
      <c r="A94" s="1917">
        <f>Chem!A94</f>
        <v>92</v>
      </c>
      <c r="B94" s="1932" t="str">
        <f>Chem!B94</f>
        <v>4-Chloroaniline</v>
      </c>
      <c r="C94" s="2017" t="str">
        <f t="shared" si="59"/>
        <v>na</v>
      </c>
      <c r="D94" s="2018" t="str">
        <f t="shared" si="60"/>
        <v>na</v>
      </c>
      <c r="E94" s="2018" t="str">
        <f t="shared" si="61"/>
        <v>na</v>
      </c>
      <c r="F94" s="2033" t="str">
        <f>'SD-Det'!Z94</f>
        <v>na</v>
      </c>
      <c r="G94" s="2206" t="str">
        <f>'SD-Det'!C94</f>
        <v>no</v>
      </c>
      <c r="H94" s="1818" t="str">
        <f>'SD-Det'!K94</f>
        <v>na</v>
      </c>
      <c r="I94" s="1829" t="str">
        <f>'SD-Det'!M94</f>
        <v>na</v>
      </c>
      <c r="J94" s="1766" t="str">
        <f>'SD-Det'!H94</f>
        <v>na</v>
      </c>
      <c r="K94" s="1766" t="str">
        <f>'SD-Det'!G94</f>
        <v>na</v>
      </c>
      <c r="L94" s="1870" t="str">
        <f>'SD-Det'!Y94</f>
        <v>na</v>
      </c>
      <c r="M94" s="1870" t="str">
        <f>'SD-Det'!U94</f>
        <v>na</v>
      </c>
      <c r="N94" s="2214" t="str">
        <f>'SD-Det'!V94</f>
        <v>na</v>
      </c>
      <c r="O94" s="2004" t="str">
        <f>'SD-Det'!D94</f>
        <v>na</v>
      </c>
      <c r="P94" s="2229" t="str">
        <f>'SD-Det'!F94</f>
        <v>na</v>
      </c>
      <c r="R94" s="1936" t="str">
        <f t="shared" si="62"/>
        <v/>
      </c>
      <c r="S94" s="1937" t="str">
        <f t="shared" si="63"/>
        <v/>
      </c>
      <c r="T94" s="1937" t="str">
        <f t="shared" si="64"/>
        <v/>
      </c>
      <c r="U94" s="1937" t="str">
        <f t="shared" si="65"/>
        <v/>
      </c>
      <c r="V94" s="1937" t="str">
        <f t="shared" si="66"/>
        <v/>
      </c>
      <c r="W94" s="1937" t="str">
        <f t="shared" si="67"/>
        <v/>
      </c>
      <c r="X94" s="1600" t="str">
        <f t="shared" si="68"/>
        <v/>
      </c>
      <c r="Z94" s="1935"/>
    </row>
    <row r="95" spans="1:26" ht="13.9" customHeight="1" x14ac:dyDescent="0.25">
      <c r="A95" s="1917">
        <f>Chem!A95</f>
        <v>93</v>
      </c>
      <c r="B95" s="1932" t="str">
        <f>Chem!B95</f>
        <v>4-Chloro-3-methylphenol (chlorocresol)</v>
      </c>
      <c r="C95" s="2021" t="str">
        <f t="shared" si="59"/>
        <v>na</v>
      </c>
      <c r="D95" s="2022" t="str">
        <f t="shared" si="60"/>
        <v>na</v>
      </c>
      <c r="E95" s="2022" t="str">
        <f t="shared" si="61"/>
        <v>na</v>
      </c>
      <c r="F95" s="2033" t="str">
        <f>'SD-Det'!Z95</f>
        <v>na</v>
      </c>
      <c r="G95" s="2206" t="str">
        <f>'SD-Det'!C95</f>
        <v>no</v>
      </c>
      <c r="H95" s="1820" t="str">
        <f>'SD-Det'!K95</f>
        <v>na</v>
      </c>
      <c r="I95" s="1831" t="str">
        <f>'SD-Det'!M95</f>
        <v>na</v>
      </c>
      <c r="J95" s="1768" t="str">
        <f>'SD-Det'!H95</f>
        <v>na</v>
      </c>
      <c r="K95" s="1768" t="str">
        <f>'SD-Det'!G95</f>
        <v>na</v>
      </c>
      <c r="L95" s="1872" t="str">
        <f>'SD-Det'!Y95</f>
        <v>na</v>
      </c>
      <c r="M95" s="1872" t="str">
        <f>'SD-Det'!U95</f>
        <v>na</v>
      </c>
      <c r="N95" s="2214" t="str">
        <f>'SD-Det'!V95</f>
        <v>na</v>
      </c>
      <c r="O95" s="2006" t="str">
        <f>'SD-Det'!D95</f>
        <v>na</v>
      </c>
      <c r="P95" s="2231" t="str">
        <f>'SD-Det'!F95</f>
        <v>na</v>
      </c>
      <c r="R95" s="1936" t="str">
        <f t="shared" si="62"/>
        <v/>
      </c>
      <c r="S95" s="1937" t="str">
        <f t="shared" si="63"/>
        <v/>
      </c>
      <c r="T95" s="1937" t="str">
        <f t="shared" si="64"/>
        <v/>
      </c>
      <c r="U95" s="1937" t="str">
        <f t="shared" si="65"/>
        <v/>
      </c>
      <c r="V95" s="1937" t="str">
        <f t="shared" si="66"/>
        <v/>
      </c>
      <c r="W95" s="1937" t="str">
        <f t="shared" si="67"/>
        <v/>
      </c>
      <c r="X95" s="1600" t="str">
        <f t="shared" si="68"/>
        <v/>
      </c>
      <c r="Z95" s="1935"/>
    </row>
    <row r="96" spans="1:26" ht="13.9" customHeight="1" x14ac:dyDescent="0.25">
      <c r="A96" s="1917">
        <f>Chem!A96</f>
        <v>94</v>
      </c>
      <c r="B96" s="1932" t="str">
        <f>Chem!B96</f>
        <v>2-Chloronaphthalene (beta-)</v>
      </c>
      <c r="C96" s="2017" t="str">
        <f t="shared" si="59"/>
        <v>na</v>
      </c>
      <c r="D96" s="2018" t="str">
        <f t="shared" si="60"/>
        <v>na</v>
      </c>
      <c r="E96" s="2018" t="str">
        <f t="shared" si="61"/>
        <v>na</v>
      </c>
      <c r="F96" s="2033" t="str">
        <f>'SD-Det'!Z96</f>
        <v>na</v>
      </c>
      <c r="G96" s="2206" t="str">
        <f>'SD-Det'!C96</f>
        <v>no</v>
      </c>
      <c r="H96" s="1818" t="str">
        <f>'SD-Det'!K96</f>
        <v>na</v>
      </c>
      <c r="I96" s="1829" t="str">
        <f>'SD-Det'!M96</f>
        <v>na</v>
      </c>
      <c r="J96" s="1766" t="str">
        <f>'SD-Det'!H96</f>
        <v>na</v>
      </c>
      <c r="K96" s="1766" t="str">
        <f>'SD-Det'!G96</f>
        <v>na</v>
      </c>
      <c r="L96" s="1870" t="str">
        <f>'SD-Det'!Y96</f>
        <v>na</v>
      </c>
      <c r="M96" s="1870" t="str">
        <f>'SD-Det'!U96</f>
        <v>na</v>
      </c>
      <c r="N96" s="2214" t="str">
        <f>'SD-Det'!V96</f>
        <v>na</v>
      </c>
      <c r="O96" s="2004" t="str">
        <f>'SD-Det'!D96</f>
        <v>na</v>
      </c>
      <c r="P96" s="2229" t="str">
        <f>'SD-Det'!F96</f>
        <v>na</v>
      </c>
      <c r="R96" s="1936" t="str">
        <f t="shared" si="62"/>
        <v/>
      </c>
      <c r="S96" s="1937" t="str">
        <f t="shared" si="63"/>
        <v/>
      </c>
      <c r="T96" s="1937" t="str">
        <f t="shared" si="64"/>
        <v/>
      </c>
      <c r="U96" s="1937" t="str">
        <f t="shared" si="65"/>
        <v/>
      </c>
      <c r="V96" s="1937" t="str">
        <f t="shared" si="66"/>
        <v/>
      </c>
      <c r="W96" s="1937" t="str">
        <f t="shared" si="67"/>
        <v/>
      </c>
      <c r="X96" s="1600" t="str">
        <f t="shared" si="68"/>
        <v/>
      </c>
      <c r="Z96" s="1935"/>
    </row>
    <row r="97" spans="1:26" ht="13.9" customHeight="1" x14ac:dyDescent="0.25">
      <c r="A97" s="1917">
        <f>Chem!A97</f>
        <v>95</v>
      </c>
      <c r="B97" s="1932" t="str">
        <f>Chem!B97</f>
        <v>2-Chlorophenol</v>
      </c>
      <c r="C97" s="2017" t="str">
        <f t="shared" si="59"/>
        <v>na</v>
      </c>
      <c r="D97" s="2018" t="str">
        <f t="shared" si="60"/>
        <v>na</v>
      </c>
      <c r="E97" s="2018" t="str">
        <f t="shared" si="61"/>
        <v>na</v>
      </c>
      <c r="F97" s="2033" t="str">
        <f>'SD-Det'!Z97</f>
        <v>na</v>
      </c>
      <c r="G97" s="2206" t="str">
        <f>'SD-Det'!C97</f>
        <v>no</v>
      </c>
      <c r="H97" s="1818" t="str">
        <f>'SD-Det'!K97</f>
        <v>na</v>
      </c>
      <c r="I97" s="1829" t="str">
        <f>'SD-Det'!M97</f>
        <v>na</v>
      </c>
      <c r="J97" s="1766" t="str">
        <f>'SD-Det'!H97</f>
        <v>na</v>
      </c>
      <c r="K97" s="1766" t="str">
        <f>'SD-Det'!G97</f>
        <v>na</v>
      </c>
      <c r="L97" s="1870" t="str">
        <f>'SD-Det'!Y97</f>
        <v>na</v>
      </c>
      <c r="M97" s="1870" t="str">
        <f>'SD-Det'!U97</f>
        <v>na</v>
      </c>
      <c r="N97" s="2214" t="str">
        <f>'SD-Det'!V97</f>
        <v>na</v>
      </c>
      <c r="O97" s="2004" t="str">
        <f>'SD-Det'!D97</f>
        <v>na</v>
      </c>
      <c r="P97" s="2229" t="str">
        <f>'SD-Det'!F97</f>
        <v>na</v>
      </c>
      <c r="R97" s="1936" t="str">
        <f t="shared" si="62"/>
        <v/>
      </c>
      <c r="S97" s="1937" t="str">
        <f t="shared" si="63"/>
        <v/>
      </c>
      <c r="T97" s="1937" t="str">
        <f t="shared" si="64"/>
        <v/>
      </c>
      <c r="U97" s="1937" t="str">
        <f t="shared" si="65"/>
        <v/>
      </c>
      <c r="V97" s="1937" t="str">
        <f t="shared" si="66"/>
        <v/>
      </c>
      <c r="W97" s="1937" t="str">
        <f t="shared" si="67"/>
        <v/>
      </c>
      <c r="X97" s="1600" t="str">
        <f t="shared" si="68"/>
        <v/>
      </c>
      <c r="Z97" s="1935"/>
    </row>
    <row r="98" spans="1:26" ht="13.9" customHeight="1" x14ac:dyDescent="0.25">
      <c r="A98" s="1917">
        <f>Chem!A98</f>
        <v>96</v>
      </c>
      <c r="B98" s="1932" t="str">
        <f>Chem!B98</f>
        <v>4-Chlorophenyl phenyl ether</v>
      </c>
      <c r="C98" s="2021" t="str">
        <f t="shared" si="59"/>
        <v>na</v>
      </c>
      <c r="D98" s="2022" t="str">
        <f t="shared" si="60"/>
        <v>na</v>
      </c>
      <c r="E98" s="2022" t="str">
        <f t="shared" si="61"/>
        <v>na</v>
      </c>
      <c r="F98" s="2033" t="str">
        <f>'SD-Det'!Z98</f>
        <v>na</v>
      </c>
      <c r="G98" s="2206" t="str">
        <f>'SD-Det'!C98</f>
        <v>no</v>
      </c>
      <c r="H98" s="1820" t="str">
        <f>'SD-Det'!K98</f>
        <v>na</v>
      </c>
      <c r="I98" s="1831" t="str">
        <f>'SD-Det'!M98</f>
        <v>na</v>
      </c>
      <c r="J98" s="1768" t="str">
        <f>'SD-Det'!H98</f>
        <v>na</v>
      </c>
      <c r="K98" s="1768" t="str">
        <f>'SD-Det'!G98</f>
        <v>na</v>
      </c>
      <c r="L98" s="1872" t="str">
        <f>'SD-Det'!Y98</f>
        <v>na</v>
      </c>
      <c r="M98" s="1872" t="str">
        <f>'SD-Det'!U98</f>
        <v>na</v>
      </c>
      <c r="N98" s="2214" t="str">
        <f>'SD-Det'!V98</f>
        <v>na</v>
      </c>
      <c r="O98" s="2006" t="str">
        <f>'SD-Det'!D98</f>
        <v>na</v>
      </c>
      <c r="P98" s="2231" t="str">
        <f>'SD-Det'!F98</f>
        <v>na</v>
      </c>
      <c r="R98" s="1936" t="str">
        <f t="shared" si="62"/>
        <v/>
      </c>
      <c r="S98" s="1937" t="str">
        <f t="shared" si="63"/>
        <v/>
      </c>
      <c r="T98" s="1937" t="str">
        <f t="shared" si="64"/>
        <v/>
      </c>
      <c r="U98" s="1937" t="str">
        <f t="shared" si="65"/>
        <v/>
      </c>
      <c r="V98" s="1937" t="str">
        <f t="shared" si="66"/>
        <v/>
      </c>
      <c r="W98" s="1937" t="str">
        <f t="shared" si="67"/>
        <v/>
      </c>
      <c r="X98" s="1600" t="str">
        <f t="shared" si="68"/>
        <v/>
      </c>
      <c r="Z98" s="1935"/>
    </row>
    <row r="99" spans="1:26" ht="13.9" customHeight="1" x14ac:dyDescent="0.25">
      <c r="A99" s="1917">
        <f>Chem!A99</f>
        <v>97</v>
      </c>
      <c r="B99" s="1932" t="str">
        <f>Chem!B99</f>
        <v>Dibutyl phthalate</v>
      </c>
      <c r="C99" s="2017" t="str">
        <f t="shared" si="59"/>
        <v>na</v>
      </c>
      <c r="D99" s="2018">
        <f t="shared" si="60"/>
        <v>1.4</v>
      </c>
      <c r="E99" s="2018">
        <f t="shared" si="61"/>
        <v>220</v>
      </c>
      <c r="F99" s="2033">
        <f>'SD-Det'!Z99</f>
        <v>1.4</v>
      </c>
      <c r="G99" s="2206" t="str">
        <f>'SD-Det'!C99</f>
        <v>no</v>
      </c>
      <c r="H99" s="1818" t="str">
        <f>'SD-Det'!K99</f>
        <v>na</v>
      </c>
      <c r="I99" s="1829" t="str">
        <f>'SD-Det'!M99</f>
        <v>na</v>
      </c>
      <c r="J99" s="1766">
        <f>'SD-Det'!H99</f>
        <v>1.4</v>
      </c>
      <c r="K99" s="1766">
        <f>'SD-Det'!G99</f>
        <v>220</v>
      </c>
      <c r="L99" s="1870" t="str">
        <f>'SD-Det'!Y99</f>
        <v>na</v>
      </c>
      <c r="M99" s="1870" t="str">
        <f>'SD-Det'!U99</f>
        <v>na</v>
      </c>
      <c r="N99" s="2214" t="str">
        <f>'SD-Det'!V99</f>
        <v>na</v>
      </c>
      <c r="O99" s="2004" t="str">
        <f>'SD-Det'!D99</f>
        <v>na</v>
      </c>
      <c r="P99" s="2229">
        <f>'SD-Det'!F99</f>
        <v>7.5999999999999998E-2</v>
      </c>
      <c r="R99" s="1936" t="str">
        <f t="shared" si="62"/>
        <v/>
      </c>
      <c r="S99" s="1937" t="str">
        <f t="shared" si="63"/>
        <v/>
      </c>
      <c r="T99" s="1937" t="str">
        <f t="shared" si="64"/>
        <v>X</v>
      </c>
      <c r="U99" s="1937" t="str">
        <f t="shared" si="65"/>
        <v/>
      </c>
      <c r="V99" s="1937" t="str">
        <f t="shared" si="66"/>
        <v/>
      </c>
      <c r="W99" s="1937" t="str">
        <f t="shared" si="67"/>
        <v/>
      </c>
      <c r="X99" s="1600" t="str">
        <f t="shared" si="68"/>
        <v/>
      </c>
      <c r="Z99" s="1935"/>
    </row>
    <row r="100" spans="1:26" ht="13.9" customHeight="1" x14ac:dyDescent="0.25">
      <c r="A100" s="1917">
        <f>Chem!A100</f>
        <v>98</v>
      </c>
      <c r="B100" s="1932" t="str">
        <f>Chem!B100</f>
        <v>Dibutyl phenyl phosphate</v>
      </c>
      <c r="C100" s="2021" t="str">
        <f t="shared" si="59"/>
        <v>na</v>
      </c>
      <c r="D100" s="2022" t="str">
        <f t="shared" si="60"/>
        <v>na</v>
      </c>
      <c r="E100" s="2022" t="str">
        <f t="shared" si="61"/>
        <v>na</v>
      </c>
      <c r="F100" s="2033" t="str">
        <f>'SD-Det'!Z100</f>
        <v>na</v>
      </c>
      <c r="G100" s="2206" t="str">
        <f>'SD-Det'!C100</f>
        <v>no</v>
      </c>
      <c r="H100" s="1820" t="str">
        <f>'SD-Det'!K100</f>
        <v>na</v>
      </c>
      <c r="I100" s="1831" t="str">
        <f>'SD-Det'!M100</f>
        <v>na</v>
      </c>
      <c r="J100" s="1768" t="str">
        <f>'SD-Det'!H100</f>
        <v>na</v>
      </c>
      <c r="K100" s="1768" t="str">
        <f>'SD-Det'!G100</f>
        <v>na</v>
      </c>
      <c r="L100" s="1872" t="str">
        <f>'SD-Det'!Y100</f>
        <v>na</v>
      </c>
      <c r="M100" s="1872" t="str">
        <f>'SD-Det'!U100</f>
        <v>na</v>
      </c>
      <c r="N100" s="2214" t="str">
        <f>'SD-Det'!V100</f>
        <v>na</v>
      </c>
      <c r="O100" s="2006" t="str">
        <f>'SD-Det'!D100</f>
        <v>na</v>
      </c>
      <c r="P100" s="2231" t="str">
        <f>'SD-Det'!F100</f>
        <v>na</v>
      </c>
      <c r="R100" s="1936" t="str">
        <f t="shared" si="62"/>
        <v/>
      </c>
      <c r="S100" s="1937" t="str">
        <f t="shared" si="63"/>
        <v/>
      </c>
      <c r="T100" s="1937" t="str">
        <f t="shared" si="64"/>
        <v/>
      </c>
      <c r="U100" s="1937" t="str">
        <f t="shared" si="65"/>
        <v/>
      </c>
      <c r="V100" s="1937" t="str">
        <f t="shared" si="66"/>
        <v/>
      </c>
      <c r="W100" s="1937" t="str">
        <f t="shared" si="67"/>
        <v/>
      </c>
      <c r="X100" s="1600" t="str">
        <f t="shared" si="68"/>
        <v/>
      </c>
      <c r="Z100" s="1935"/>
    </row>
    <row r="101" spans="1:26" ht="13.9" customHeight="1" x14ac:dyDescent="0.25">
      <c r="A101" s="1917">
        <f>Chem!A101</f>
        <v>99</v>
      </c>
      <c r="B101" s="1932" t="str">
        <f>Chem!B101</f>
        <v>1,2-Dichlorobenzene</v>
      </c>
      <c r="C101" s="2013" t="str">
        <f t="shared" si="59"/>
        <v>na</v>
      </c>
      <c r="D101" s="2014">
        <f t="shared" si="60"/>
        <v>3.5000000000000003E-2</v>
      </c>
      <c r="E101" s="2014">
        <f t="shared" si="61"/>
        <v>2.2999999999999998</v>
      </c>
      <c r="F101" s="2033">
        <f>'SD-Det'!Z101</f>
        <v>3.5000000000000003E-2</v>
      </c>
      <c r="G101" s="2206" t="str">
        <f>'SD-Det'!C101</f>
        <v>no</v>
      </c>
      <c r="H101" s="1815" t="str">
        <f>'SD-Det'!K101</f>
        <v>na</v>
      </c>
      <c r="I101" s="1826" t="str">
        <f>'SD-Det'!M101</f>
        <v>na</v>
      </c>
      <c r="J101" s="1763">
        <f>'SD-Det'!H101</f>
        <v>3.5000000000000003E-2</v>
      </c>
      <c r="K101" s="1763">
        <f>'SD-Det'!G101</f>
        <v>2.2999999999999998</v>
      </c>
      <c r="L101" s="1866" t="str">
        <f>'SD-Det'!Y101</f>
        <v>na</v>
      </c>
      <c r="M101" s="1866" t="str">
        <f>'SD-Det'!U101</f>
        <v>na</v>
      </c>
      <c r="N101" s="2219">
        <f>'SD-Det'!V101</f>
        <v>2.2999999999999998</v>
      </c>
      <c r="O101" s="1862" t="str">
        <f>'SD-Det'!D101</f>
        <v>na</v>
      </c>
      <c r="P101" s="2225">
        <f>'SD-Det'!F101</f>
        <v>6.8000000000000005E-2</v>
      </c>
      <c r="R101" s="1936" t="str">
        <f t="shared" si="62"/>
        <v/>
      </c>
      <c r="S101" s="1937" t="str">
        <f t="shared" si="63"/>
        <v/>
      </c>
      <c r="T101" s="1937" t="str">
        <f t="shared" si="64"/>
        <v>X</v>
      </c>
      <c r="U101" s="1937" t="str">
        <f t="shared" si="65"/>
        <v/>
      </c>
      <c r="V101" s="1937" t="str">
        <f t="shared" si="66"/>
        <v/>
      </c>
      <c r="W101" s="1937" t="str">
        <f t="shared" si="67"/>
        <v/>
      </c>
      <c r="X101" s="1600" t="str">
        <f t="shared" si="68"/>
        <v/>
      </c>
      <c r="Z101" s="1935"/>
    </row>
    <row r="102" spans="1:26" ht="13.9" customHeight="1" x14ac:dyDescent="0.25">
      <c r="A102" s="1917">
        <f>Chem!A102</f>
        <v>100</v>
      </c>
      <c r="B102" s="1932" t="str">
        <f>Chem!B102</f>
        <v>1,3-Dichlorobenzene</v>
      </c>
      <c r="C102" s="2013" t="str">
        <f t="shared" si="59"/>
        <v>na</v>
      </c>
      <c r="D102" s="2014" t="str">
        <f t="shared" si="60"/>
        <v>na</v>
      </c>
      <c r="E102" s="2014" t="str">
        <f t="shared" si="61"/>
        <v>na</v>
      </c>
      <c r="F102" s="2033" t="str">
        <f>'SD-Det'!Z102</f>
        <v>na</v>
      </c>
      <c r="G102" s="2206" t="str">
        <f>'SD-Det'!C102</f>
        <v>no</v>
      </c>
      <c r="H102" s="1815" t="str">
        <f>'SD-Det'!K102</f>
        <v>na</v>
      </c>
      <c r="I102" s="1826" t="str">
        <f>'SD-Det'!M102</f>
        <v>na</v>
      </c>
      <c r="J102" s="1763" t="str">
        <f>'SD-Det'!H102</f>
        <v>na</v>
      </c>
      <c r="K102" s="1763" t="str">
        <f>'SD-Det'!G102</f>
        <v>na</v>
      </c>
      <c r="L102" s="1867" t="str">
        <f>'SD-Det'!Y102</f>
        <v>na</v>
      </c>
      <c r="M102" s="1867" t="str">
        <f>'SD-Det'!U102</f>
        <v>na</v>
      </c>
      <c r="N102" s="2214" t="str">
        <f>'SD-Det'!V102</f>
        <v>na</v>
      </c>
      <c r="O102" s="1862" t="str">
        <f>'SD-Det'!D102</f>
        <v>na</v>
      </c>
      <c r="P102" s="2225">
        <f>'SD-Det'!F102</f>
        <v>6.8000000000000005E-2</v>
      </c>
      <c r="R102" s="1936" t="str">
        <f t="shared" si="62"/>
        <v/>
      </c>
      <c r="S102" s="1937" t="str">
        <f t="shared" si="63"/>
        <v/>
      </c>
      <c r="T102" s="1937" t="str">
        <f t="shared" si="64"/>
        <v/>
      </c>
      <c r="U102" s="1937" t="str">
        <f t="shared" si="65"/>
        <v/>
      </c>
      <c r="V102" s="1937" t="str">
        <f t="shared" si="66"/>
        <v/>
      </c>
      <c r="W102" s="1937" t="str">
        <f t="shared" si="67"/>
        <v/>
      </c>
      <c r="X102" s="1600" t="str">
        <f t="shared" si="68"/>
        <v/>
      </c>
      <c r="Z102" s="1935"/>
    </row>
    <row r="103" spans="1:26" ht="13.9" customHeight="1" x14ac:dyDescent="0.25">
      <c r="A103" s="1917">
        <f>Chem!A103</f>
        <v>101</v>
      </c>
      <c r="B103" s="1932" t="str">
        <f>Chem!B103</f>
        <v>1,4-Dichlorobenzene</v>
      </c>
      <c r="C103" s="2017" t="str">
        <f t="shared" si="59"/>
        <v>na</v>
      </c>
      <c r="D103" s="2018">
        <f t="shared" si="60"/>
        <v>0.11</v>
      </c>
      <c r="E103" s="2018">
        <f t="shared" si="61"/>
        <v>3.1</v>
      </c>
      <c r="F103" s="2033">
        <f>'SD-Det'!Z103</f>
        <v>0.11</v>
      </c>
      <c r="G103" s="2206" t="str">
        <f>'SD-Det'!C103</f>
        <v>no</v>
      </c>
      <c r="H103" s="1818" t="str">
        <f>'SD-Det'!K103</f>
        <v>na</v>
      </c>
      <c r="I103" s="1829" t="str">
        <f>'SD-Det'!M103</f>
        <v>na</v>
      </c>
      <c r="J103" s="1766">
        <f>'SD-Det'!H103</f>
        <v>0.11</v>
      </c>
      <c r="K103" s="1766">
        <f>'SD-Det'!G103</f>
        <v>3.1</v>
      </c>
      <c r="L103" s="1866" t="str">
        <f>'SD-Det'!Y103</f>
        <v>na</v>
      </c>
      <c r="M103" s="1866" t="str">
        <f>'SD-Det'!U103</f>
        <v>na</v>
      </c>
      <c r="N103" s="2219">
        <f>'SD-Det'!V103</f>
        <v>3.1</v>
      </c>
      <c r="O103" s="2004" t="str">
        <f>'SD-Det'!D103</f>
        <v>na</v>
      </c>
      <c r="P103" s="2229">
        <f>'SD-Det'!F103</f>
        <v>6.8000000000000005E-2</v>
      </c>
      <c r="R103" s="1936" t="str">
        <f t="shared" si="62"/>
        <v/>
      </c>
      <c r="S103" s="1937" t="str">
        <f t="shared" si="63"/>
        <v/>
      </c>
      <c r="T103" s="1937" t="str">
        <f t="shared" si="64"/>
        <v>X</v>
      </c>
      <c r="U103" s="1937" t="str">
        <f t="shared" si="65"/>
        <v/>
      </c>
      <c r="V103" s="1937" t="str">
        <f t="shared" si="66"/>
        <v/>
      </c>
      <c r="W103" s="1937" t="str">
        <f t="shared" si="67"/>
        <v/>
      </c>
      <c r="X103" s="1600" t="str">
        <f t="shared" si="68"/>
        <v/>
      </c>
      <c r="Z103" s="1935"/>
    </row>
    <row r="104" spans="1:26" ht="13.9" customHeight="1" x14ac:dyDescent="0.25">
      <c r="A104" s="1917">
        <f>Chem!A104</f>
        <v>102</v>
      </c>
      <c r="B104" s="1932" t="str">
        <f>Chem!B104</f>
        <v>3,3'-Dichlorobenzidine</v>
      </c>
      <c r="C104" s="2013" t="str">
        <f t="shared" si="59"/>
        <v>na</v>
      </c>
      <c r="D104" s="2014" t="str">
        <f t="shared" si="60"/>
        <v>na</v>
      </c>
      <c r="E104" s="2014" t="str">
        <f t="shared" si="61"/>
        <v>na</v>
      </c>
      <c r="F104" s="2033" t="str">
        <f>'SD-Det'!Z104</f>
        <v>na</v>
      </c>
      <c r="G104" s="2206" t="str">
        <f>'SD-Det'!C104</f>
        <v>no</v>
      </c>
      <c r="H104" s="1815" t="str">
        <f>'SD-Det'!K104</f>
        <v>na</v>
      </c>
      <c r="I104" s="1826" t="str">
        <f>'SD-Det'!M104</f>
        <v>na</v>
      </c>
      <c r="J104" s="1763" t="str">
        <f>'SD-Det'!H104</f>
        <v>na</v>
      </c>
      <c r="K104" s="1763" t="str">
        <f>'SD-Det'!G104</f>
        <v>na</v>
      </c>
      <c r="L104" s="1867" t="str">
        <f>'SD-Det'!Y104</f>
        <v>na</v>
      </c>
      <c r="M104" s="1867" t="str">
        <f>'SD-Det'!U104</f>
        <v>na</v>
      </c>
      <c r="N104" s="2214" t="str">
        <f>'SD-Det'!V104</f>
        <v>na</v>
      </c>
      <c r="O104" s="1862" t="str">
        <f>'SD-Det'!D104</f>
        <v>na</v>
      </c>
      <c r="P104" s="2225" t="str">
        <f>'SD-Det'!F104</f>
        <v>na</v>
      </c>
      <c r="R104" s="1936" t="str">
        <f t="shared" si="62"/>
        <v/>
      </c>
      <c r="S104" s="1937" t="str">
        <f t="shared" si="63"/>
        <v/>
      </c>
      <c r="T104" s="1937" t="str">
        <f t="shared" si="64"/>
        <v/>
      </c>
      <c r="U104" s="1937" t="str">
        <f t="shared" si="65"/>
        <v/>
      </c>
      <c r="V104" s="1937" t="str">
        <f t="shared" si="66"/>
        <v/>
      </c>
      <c r="W104" s="1937" t="str">
        <f t="shared" si="67"/>
        <v/>
      </c>
      <c r="X104" s="1600" t="str">
        <f t="shared" si="68"/>
        <v/>
      </c>
      <c r="Z104" s="1935"/>
    </row>
    <row r="105" spans="1:26" ht="13.9" customHeight="1" x14ac:dyDescent="0.25">
      <c r="A105" s="1917">
        <f>Chem!A105</f>
        <v>103</v>
      </c>
      <c r="B105" s="1932" t="str">
        <f>Chem!B105</f>
        <v>2,4-Dichlorophenol</v>
      </c>
      <c r="C105" s="2013" t="str">
        <f t="shared" si="59"/>
        <v>na</v>
      </c>
      <c r="D105" s="2014" t="str">
        <f t="shared" si="60"/>
        <v>na</v>
      </c>
      <c r="E105" s="2014" t="str">
        <f t="shared" si="61"/>
        <v>na</v>
      </c>
      <c r="F105" s="2033" t="str">
        <f>'SD-Det'!Z105</f>
        <v>na</v>
      </c>
      <c r="G105" s="2206" t="str">
        <f>'SD-Det'!C105</f>
        <v>no</v>
      </c>
      <c r="H105" s="1815" t="str">
        <f>'SD-Det'!K105</f>
        <v>na</v>
      </c>
      <c r="I105" s="1826" t="str">
        <f>'SD-Det'!M105</f>
        <v>na</v>
      </c>
      <c r="J105" s="1763" t="str">
        <f>'SD-Det'!H105</f>
        <v>na</v>
      </c>
      <c r="K105" s="1763" t="str">
        <f>'SD-Det'!G105</f>
        <v>na</v>
      </c>
      <c r="L105" s="1867" t="str">
        <f>'SD-Det'!Y105</f>
        <v>na</v>
      </c>
      <c r="M105" s="1867" t="str">
        <f>'SD-Det'!U105</f>
        <v>na</v>
      </c>
      <c r="N105" s="2214" t="str">
        <f>'SD-Det'!V105</f>
        <v>na</v>
      </c>
      <c r="O105" s="1862" t="str">
        <f>'SD-Det'!D105</f>
        <v>na</v>
      </c>
      <c r="P105" s="2225" t="str">
        <f>'SD-Det'!F105</f>
        <v>na</v>
      </c>
      <c r="R105" s="1936" t="str">
        <f t="shared" si="62"/>
        <v/>
      </c>
      <c r="S105" s="1937" t="str">
        <f t="shared" si="63"/>
        <v/>
      </c>
      <c r="T105" s="1937" t="str">
        <f t="shared" si="64"/>
        <v/>
      </c>
      <c r="U105" s="1937" t="str">
        <f t="shared" si="65"/>
        <v/>
      </c>
      <c r="V105" s="1937" t="str">
        <f t="shared" si="66"/>
        <v/>
      </c>
      <c r="W105" s="1937" t="str">
        <f t="shared" si="67"/>
        <v/>
      </c>
      <c r="X105" s="1600" t="str">
        <f t="shared" si="68"/>
        <v/>
      </c>
      <c r="Z105" s="1935"/>
    </row>
    <row r="106" spans="1:26" ht="13.9" customHeight="1" x14ac:dyDescent="0.25">
      <c r="A106" s="1916">
        <f>Chem!A106</f>
        <v>104</v>
      </c>
      <c r="B106" s="1932" t="str">
        <f>Chem!B106</f>
        <v>Di(2-ethylhexyl)adipate</v>
      </c>
      <c r="C106" s="2013" t="str">
        <f t="shared" si="59"/>
        <v>na</v>
      </c>
      <c r="D106" s="2014" t="str">
        <f t="shared" si="60"/>
        <v>na</v>
      </c>
      <c r="E106" s="2014" t="str">
        <f t="shared" si="61"/>
        <v>na</v>
      </c>
      <c r="F106" s="2033" t="str">
        <f>'SD-Det'!Z106</f>
        <v>na</v>
      </c>
      <c r="G106" s="2206" t="str">
        <f>'SD-Det'!C106</f>
        <v>no</v>
      </c>
      <c r="H106" s="1815" t="str">
        <f>'SD-Det'!K106</f>
        <v>na</v>
      </c>
      <c r="I106" s="1826" t="str">
        <f>'SD-Det'!M106</f>
        <v>na</v>
      </c>
      <c r="J106" s="1763" t="str">
        <f>'SD-Det'!H106</f>
        <v>na</v>
      </c>
      <c r="K106" s="1763" t="str">
        <f>'SD-Det'!G106</f>
        <v>na</v>
      </c>
      <c r="L106" s="1867" t="str">
        <f>'SD-Det'!Y106</f>
        <v>na</v>
      </c>
      <c r="M106" s="1867" t="str">
        <f>'SD-Det'!U106</f>
        <v>na</v>
      </c>
      <c r="N106" s="2214" t="str">
        <f>'SD-Det'!V106</f>
        <v>na</v>
      </c>
      <c r="O106" s="1862" t="str">
        <f>'SD-Det'!D106</f>
        <v>na</v>
      </c>
      <c r="P106" s="2225" t="str">
        <f>'SD-Det'!F106</f>
        <v>na</v>
      </c>
      <c r="R106" s="1936" t="str">
        <f t="shared" si="62"/>
        <v/>
      </c>
      <c r="S106" s="1937" t="str">
        <f t="shared" si="63"/>
        <v/>
      </c>
      <c r="T106" s="1937" t="str">
        <f t="shared" si="64"/>
        <v/>
      </c>
      <c r="U106" s="1937" t="str">
        <f t="shared" si="65"/>
        <v/>
      </c>
      <c r="V106" s="1937" t="str">
        <f t="shared" si="66"/>
        <v/>
      </c>
      <c r="W106" s="1937" t="str">
        <f t="shared" si="67"/>
        <v/>
      </c>
      <c r="X106" s="1600" t="str">
        <f t="shared" si="68"/>
        <v/>
      </c>
      <c r="Z106" s="1935"/>
    </row>
    <row r="107" spans="1:26" ht="13.9" customHeight="1" x14ac:dyDescent="0.25">
      <c r="A107" s="1916">
        <f>Chem!A107</f>
        <v>105</v>
      </c>
      <c r="B107" s="1932" t="str">
        <f>Chem!B107</f>
        <v>Diethyl phthalate</v>
      </c>
      <c r="C107" s="2013" t="str">
        <f t="shared" si="59"/>
        <v>na</v>
      </c>
      <c r="D107" s="2014">
        <f t="shared" si="60"/>
        <v>0.2</v>
      </c>
      <c r="E107" s="2014">
        <f t="shared" si="61"/>
        <v>61</v>
      </c>
      <c r="F107" s="2033">
        <f>'SD-Det'!Z107</f>
        <v>0.2</v>
      </c>
      <c r="G107" s="2206" t="str">
        <f>'SD-Det'!C107</f>
        <v>no</v>
      </c>
      <c r="H107" s="1815" t="str">
        <f>'SD-Det'!K107</f>
        <v>na</v>
      </c>
      <c r="I107" s="1826" t="str">
        <f>'SD-Det'!M107</f>
        <v>na</v>
      </c>
      <c r="J107" s="1763">
        <f>'SD-Det'!H107</f>
        <v>0.2</v>
      </c>
      <c r="K107" s="1763">
        <f>'SD-Det'!G107</f>
        <v>61</v>
      </c>
      <c r="L107" s="1867" t="str">
        <f>'SD-Det'!Y107</f>
        <v>na</v>
      </c>
      <c r="M107" s="1867" t="str">
        <f>'SD-Det'!U107</f>
        <v>na</v>
      </c>
      <c r="N107" s="2214" t="str">
        <f>'SD-Det'!V107</f>
        <v>na</v>
      </c>
      <c r="O107" s="1862" t="str">
        <f>'SD-Det'!D107</f>
        <v>na</v>
      </c>
      <c r="P107" s="2225">
        <f>'SD-Det'!F107</f>
        <v>9.2999999999999999E-2</v>
      </c>
      <c r="R107" s="1936" t="str">
        <f t="shared" si="62"/>
        <v/>
      </c>
      <c r="S107" s="1937" t="str">
        <f t="shared" si="63"/>
        <v/>
      </c>
      <c r="T107" s="1937" t="str">
        <f t="shared" si="64"/>
        <v>X</v>
      </c>
      <c r="U107" s="1937" t="str">
        <f t="shared" si="65"/>
        <v/>
      </c>
      <c r="V107" s="1937" t="str">
        <f t="shared" si="66"/>
        <v/>
      </c>
      <c r="W107" s="1937" t="str">
        <f t="shared" si="67"/>
        <v/>
      </c>
      <c r="X107" s="1600" t="str">
        <f t="shared" si="68"/>
        <v/>
      </c>
      <c r="Z107" s="1935"/>
    </row>
    <row r="108" spans="1:26" ht="13.9" customHeight="1" x14ac:dyDescent="0.25">
      <c r="A108" s="1917">
        <f>Chem!A108</f>
        <v>106</v>
      </c>
      <c r="B108" s="1932" t="str">
        <f>Chem!B108</f>
        <v>Dimethyl phthalate</v>
      </c>
      <c r="C108" s="2013" t="str">
        <f t="shared" si="59"/>
        <v>na</v>
      </c>
      <c r="D108" s="2014">
        <f t="shared" si="60"/>
        <v>7.0999999999999994E-2</v>
      </c>
      <c r="E108" s="2014">
        <f t="shared" si="61"/>
        <v>53</v>
      </c>
      <c r="F108" s="2033">
        <f>'SD-Det'!Z108</f>
        <v>7.0999999999999994E-2</v>
      </c>
      <c r="G108" s="2206" t="str">
        <f>'SD-Det'!C108</f>
        <v>no</v>
      </c>
      <c r="H108" s="1815" t="str">
        <f>'SD-Det'!K108</f>
        <v>na</v>
      </c>
      <c r="I108" s="1826" t="str">
        <f>'SD-Det'!M108</f>
        <v>na</v>
      </c>
      <c r="J108" s="1763">
        <f>'SD-Det'!H108</f>
        <v>7.0999999999999994E-2</v>
      </c>
      <c r="K108" s="1763">
        <f>'SD-Det'!G108</f>
        <v>53</v>
      </c>
      <c r="L108" s="1866" t="str">
        <f>'SD-Det'!Y108</f>
        <v>na</v>
      </c>
      <c r="M108" s="1866" t="str">
        <f>'SD-Det'!U108</f>
        <v>na</v>
      </c>
      <c r="N108" s="2219">
        <f>'SD-Det'!V108</f>
        <v>53</v>
      </c>
      <c r="O108" s="1862" t="str">
        <f>'SD-Det'!D108</f>
        <v>na</v>
      </c>
      <c r="P108" s="2225">
        <f>'SD-Det'!F108</f>
        <v>6.6000000000000003E-2</v>
      </c>
      <c r="R108" s="1936" t="str">
        <f t="shared" si="62"/>
        <v/>
      </c>
      <c r="S108" s="1937" t="str">
        <f t="shared" si="63"/>
        <v/>
      </c>
      <c r="T108" s="1937" t="str">
        <f t="shared" si="64"/>
        <v>X</v>
      </c>
      <c r="U108" s="1937" t="str">
        <f t="shared" si="65"/>
        <v/>
      </c>
      <c r="V108" s="1937" t="str">
        <f t="shared" si="66"/>
        <v/>
      </c>
      <c r="W108" s="1937" t="str">
        <f t="shared" si="67"/>
        <v/>
      </c>
      <c r="X108" s="1600" t="str">
        <f t="shared" si="68"/>
        <v/>
      </c>
      <c r="Z108" s="1935"/>
    </row>
    <row r="109" spans="1:26" ht="13.9" customHeight="1" x14ac:dyDescent="0.25">
      <c r="A109" s="1917">
        <f>Chem!A109</f>
        <v>107</v>
      </c>
      <c r="B109" s="1932" t="str">
        <f>Chem!B109</f>
        <v>2,4-Dimethylphenol</v>
      </c>
      <c r="C109" s="2013" t="str">
        <f t="shared" si="59"/>
        <v>na</v>
      </c>
      <c r="D109" s="2014">
        <f t="shared" si="60"/>
        <v>2.9000000000000001E-2</v>
      </c>
      <c r="E109" s="2014" t="str">
        <f t="shared" si="61"/>
        <v>na</v>
      </c>
      <c r="F109" s="2033">
        <f>'SD-Det'!Z109</f>
        <v>2.9000000000000001E-2</v>
      </c>
      <c r="G109" s="2206" t="str">
        <f>'SD-Det'!C109</f>
        <v>no</v>
      </c>
      <c r="H109" s="1815" t="str">
        <f>'SD-Det'!K109</f>
        <v>na</v>
      </c>
      <c r="I109" s="1826" t="str">
        <f>'SD-Det'!M109</f>
        <v>na</v>
      </c>
      <c r="J109" s="1763">
        <f>'SD-Det'!H109</f>
        <v>2.9000000000000001E-2</v>
      </c>
      <c r="K109" s="1763" t="str">
        <f>'SD-Det'!G109</f>
        <v>na</v>
      </c>
      <c r="L109" s="1867" t="str">
        <f>'SD-Det'!Y109</f>
        <v>na</v>
      </c>
      <c r="M109" s="1867">
        <f>'SD-Det'!U109</f>
        <v>2.9000000000000001E-2</v>
      </c>
      <c r="N109" s="2219" t="str">
        <f>'SD-Det'!V109</f>
        <v>na</v>
      </c>
      <c r="O109" s="1862" t="str">
        <f>'SD-Det'!D109</f>
        <v>na</v>
      </c>
      <c r="P109" s="2225">
        <f>'SD-Det'!F109</f>
        <v>0.21</v>
      </c>
      <c r="R109" s="1936" t="str">
        <f t="shared" si="62"/>
        <v/>
      </c>
      <c r="S109" s="1937" t="str">
        <f t="shared" si="63"/>
        <v/>
      </c>
      <c r="T109" s="1937" t="str">
        <f t="shared" si="64"/>
        <v>X</v>
      </c>
      <c r="U109" s="1937" t="str">
        <f t="shared" si="65"/>
        <v/>
      </c>
      <c r="V109" s="1937" t="str">
        <f t="shared" si="66"/>
        <v>X</v>
      </c>
      <c r="W109" s="1937" t="str">
        <f t="shared" si="67"/>
        <v/>
      </c>
      <c r="X109" s="1600" t="str">
        <f t="shared" si="68"/>
        <v/>
      </c>
      <c r="Z109" s="1935"/>
    </row>
    <row r="110" spans="1:26" ht="13.9" customHeight="1" x14ac:dyDescent="0.25">
      <c r="A110" s="1917">
        <f>Chem!A110</f>
        <v>108</v>
      </c>
      <c r="B110" s="1932" t="str">
        <f>Chem!B110</f>
        <v>1,2-Dinitrobenzene</v>
      </c>
      <c r="C110" s="2013" t="str">
        <f t="shared" si="59"/>
        <v>na</v>
      </c>
      <c r="D110" s="2014" t="str">
        <f t="shared" si="60"/>
        <v>na</v>
      </c>
      <c r="E110" s="2014" t="str">
        <f t="shared" si="61"/>
        <v>na</v>
      </c>
      <c r="F110" s="2033" t="str">
        <f>'SD-Det'!Z110</f>
        <v>na</v>
      </c>
      <c r="G110" s="2206" t="str">
        <f>'SD-Det'!C110</f>
        <v>no</v>
      </c>
      <c r="H110" s="1815" t="str">
        <f>'SD-Det'!K110</f>
        <v>na</v>
      </c>
      <c r="I110" s="1826" t="str">
        <f>'SD-Det'!M110</f>
        <v>na</v>
      </c>
      <c r="J110" s="1763" t="str">
        <f>'SD-Det'!H110</f>
        <v>na</v>
      </c>
      <c r="K110" s="1763" t="str">
        <f>'SD-Det'!G110</f>
        <v>na</v>
      </c>
      <c r="L110" s="1867" t="str">
        <f>'SD-Det'!Y110</f>
        <v>na</v>
      </c>
      <c r="M110" s="1867" t="str">
        <f>'SD-Det'!U110</f>
        <v>na</v>
      </c>
      <c r="N110" s="2219" t="str">
        <f>'SD-Det'!V110</f>
        <v>na</v>
      </c>
      <c r="O110" s="1862" t="str">
        <f>'SD-Det'!D110</f>
        <v>na</v>
      </c>
      <c r="P110" s="2225" t="str">
        <f>'SD-Det'!F110</f>
        <v>na</v>
      </c>
      <c r="R110" s="1936" t="str">
        <f t="shared" si="62"/>
        <v/>
      </c>
      <c r="S110" s="1937" t="str">
        <f t="shared" si="63"/>
        <v/>
      </c>
      <c r="T110" s="1937" t="str">
        <f t="shared" si="64"/>
        <v/>
      </c>
      <c r="U110" s="1937" t="str">
        <f t="shared" si="65"/>
        <v/>
      </c>
      <c r="V110" s="1937" t="str">
        <f t="shared" si="66"/>
        <v/>
      </c>
      <c r="W110" s="1937" t="str">
        <f t="shared" si="67"/>
        <v/>
      </c>
      <c r="X110" s="1600" t="str">
        <f t="shared" si="68"/>
        <v/>
      </c>
      <c r="Z110" s="1935"/>
    </row>
    <row r="111" spans="1:26" ht="13.9" customHeight="1" x14ac:dyDescent="0.25">
      <c r="A111" s="1917">
        <f>Chem!A111</f>
        <v>109</v>
      </c>
      <c r="B111" s="1932" t="str">
        <f>Chem!B111</f>
        <v>1,3-Dinitrobenzene</v>
      </c>
      <c r="C111" s="2013" t="str">
        <f t="shared" ref="C111:C145" si="69">IF(ISNUMBER(L111),L111,IF(MIN(H111,I111)=0,"na",MAX(MIN(H111,I111),O111,P111)))</f>
        <v>na</v>
      </c>
      <c r="D111" s="2014" t="str">
        <f t="shared" si="60"/>
        <v>na</v>
      </c>
      <c r="E111" s="2014" t="str">
        <f t="shared" ref="E111:E145" si="70">IF(ISNUMBER(N111),N111,K111)</f>
        <v>na</v>
      </c>
      <c r="F111" s="2033" t="str">
        <f>'SD-Det'!Z111</f>
        <v>na</v>
      </c>
      <c r="G111" s="2206" t="str">
        <f>'SD-Det'!C111</f>
        <v>no</v>
      </c>
      <c r="H111" s="1815" t="str">
        <f>'SD-Det'!K111</f>
        <v>na</v>
      </c>
      <c r="I111" s="1826" t="str">
        <f>'SD-Det'!M111</f>
        <v>na</v>
      </c>
      <c r="J111" s="1763" t="str">
        <f>'SD-Det'!H111</f>
        <v>na</v>
      </c>
      <c r="K111" s="1763" t="str">
        <f>'SD-Det'!G111</f>
        <v>na</v>
      </c>
      <c r="L111" s="1867" t="str">
        <f>'SD-Det'!Y111</f>
        <v>na</v>
      </c>
      <c r="M111" s="1867" t="str">
        <f>'SD-Det'!U111</f>
        <v>na</v>
      </c>
      <c r="N111" s="2219" t="str">
        <f>'SD-Det'!V111</f>
        <v>na</v>
      </c>
      <c r="O111" s="1862" t="str">
        <f>'SD-Det'!D111</f>
        <v>na</v>
      </c>
      <c r="P111" s="2225" t="str">
        <f>'SD-Det'!F111</f>
        <v>na</v>
      </c>
      <c r="R111" s="1936" t="str">
        <f t="shared" si="62"/>
        <v/>
      </c>
      <c r="S111" s="1937" t="str">
        <f t="shared" si="63"/>
        <v/>
      </c>
      <c r="T111" s="1937" t="str">
        <f t="shared" si="64"/>
        <v/>
      </c>
      <c r="U111" s="1937" t="str">
        <f t="shared" si="65"/>
        <v/>
      </c>
      <c r="V111" s="1937" t="str">
        <f t="shared" si="66"/>
        <v/>
      </c>
      <c r="W111" s="1937" t="str">
        <f t="shared" si="67"/>
        <v/>
      </c>
      <c r="X111" s="1600" t="str">
        <f t="shared" si="68"/>
        <v/>
      </c>
      <c r="Z111" s="1935"/>
    </row>
    <row r="112" spans="1:26" ht="13.9" customHeight="1" x14ac:dyDescent="0.25">
      <c r="A112" s="1917">
        <f>Chem!A112</f>
        <v>110</v>
      </c>
      <c r="B112" s="1932" t="str">
        <f>Chem!B112</f>
        <v>1,4-Dinitrobenzene</v>
      </c>
      <c r="C112" s="2013" t="str">
        <f t="shared" si="69"/>
        <v>na</v>
      </c>
      <c r="D112" s="2014" t="str">
        <f t="shared" si="60"/>
        <v>na</v>
      </c>
      <c r="E112" s="2014" t="str">
        <f t="shared" si="70"/>
        <v>na</v>
      </c>
      <c r="F112" s="2033" t="str">
        <f>'SD-Det'!Z112</f>
        <v>na</v>
      </c>
      <c r="G112" s="2206" t="str">
        <f>'SD-Det'!C112</f>
        <v>no</v>
      </c>
      <c r="H112" s="1815" t="str">
        <f>'SD-Det'!K112</f>
        <v>na</v>
      </c>
      <c r="I112" s="1826" t="str">
        <f>'SD-Det'!M112</f>
        <v>na</v>
      </c>
      <c r="J112" s="1763" t="str">
        <f>'SD-Det'!H112</f>
        <v>na</v>
      </c>
      <c r="K112" s="1763" t="str">
        <f>'SD-Det'!G112</f>
        <v>na</v>
      </c>
      <c r="L112" s="1867" t="str">
        <f>'SD-Det'!Y112</f>
        <v>na</v>
      </c>
      <c r="M112" s="1867" t="str">
        <f>'SD-Det'!U112</f>
        <v>na</v>
      </c>
      <c r="N112" s="2219" t="str">
        <f>'SD-Det'!V112</f>
        <v>na</v>
      </c>
      <c r="O112" s="1862" t="str">
        <f>'SD-Det'!D112</f>
        <v>na</v>
      </c>
      <c r="P112" s="2225" t="str">
        <f>'SD-Det'!F112</f>
        <v>na</v>
      </c>
      <c r="R112" s="1936" t="str">
        <f t="shared" si="62"/>
        <v/>
      </c>
      <c r="S112" s="1937" t="str">
        <f t="shared" si="63"/>
        <v/>
      </c>
      <c r="T112" s="1937" t="str">
        <f t="shared" si="64"/>
        <v/>
      </c>
      <c r="U112" s="1937" t="str">
        <f t="shared" si="65"/>
        <v/>
      </c>
      <c r="V112" s="1937" t="str">
        <f t="shared" si="66"/>
        <v/>
      </c>
      <c r="W112" s="1937" t="str">
        <f t="shared" si="67"/>
        <v/>
      </c>
      <c r="X112" s="1600" t="str">
        <f t="shared" si="68"/>
        <v/>
      </c>
      <c r="Z112" s="1935"/>
    </row>
    <row r="113" spans="1:26" ht="13.9" customHeight="1" x14ac:dyDescent="0.25">
      <c r="A113" s="1917">
        <f>Chem!A113</f>
        <v>111</v>
      </c>
      <c r="B113" s="1932" t="str">
        <f>Chem!B113</f>
        <v>4,6-Dinitro-o-cresol (DNOC)</v>
      </c>
      <c r="C113" s="2013" t="str">
        <f t="shared" si="69"/>
        <v>na</v>
      </c>
      <c r="D113" s="2014" t="str">
        <f t="shared" si="60"/>
        <v>na</v>
      </c>
      <c r="E113" s="2014" t="str">
        <f t="shared" si="70"/>
        <v>na</v>
      </c>
      <c r="F113" s="2033" t="str">
        <f>'SD-Det'!Z113</f>
        <v>na</v>
      </c>
      <c r="G113" s="2206" t="str">
        <f>'SD-Det'!C113</f>
        <v>no</v>
      </c>
      <c r="H113" s="1815" t="str">
        <f>'SD-Det'!K113</f>
        <v>na</v>
      </c>
      <c r="I113" s="1826" t="str">
        <f>'SD-Det'!M113</f>
        <v>na</v>
      </c>
      <c r="J113" s="1763" t="str">
        <f>'SD-Det'!H113</f>
        <v>na</v>
      </c>
      <c r="K113" s="1763" t="str">
        <f>'SD-Det'!G113</f>
        <v>na</v>
      </c>
      <c r="L113" s="1867" t="str">
        <f>'SD-Det'!Y113</f>
        <v>na</v>
      </c>
      <c r="M113" s="1867" t="str">
        <f>'SD-Det'!U113</f>
        <v>na</v>
      </c>
      <c r="N113" s="2219" t="str">
        <f>'SD-Det'!V113</f>
        <v>na</v>
      </c>
      <c r="O113" s="1862" t="str">
        <f>'SD-Det'!D113</f>
        <v>na</v>
      </c>
      <c r="P113" s="2225" t="str">
        <f>'SD-Det'!F113</f>
        <v>na</v>
      </c>
      <c r="R113" s="1936" t="str">
        <f t="shared" si="62"/>
        <v/>
      </c>
      <c r="S113" s="1937" t="str">
        <f t="shared" si="63"/>
        <v/>
      </c>
      <c r="T113" s="1937" t="str">
        <f t="shared" si="64"/>
        <v/>
      </c>
      <c r="U113" s="1937" t="str">
        <f t="shared" si="65"/>
        <v/>
      </c>
      <c r="V113" s="1937" t="str">
        <f t="shared" si="66"/>
        <v/>
      </c>
      <c r="W113" s="1937" t="str">
        <f t="shared" si="67"/>
        <v/>
      </c>
      <c r="X113" s="1600" t="str">
        <f t="shared" si="68"/>
        <v/>
      </c>
      <c r="Z113" s="1935"/>
    </row>
    <row r="114" spans="1:26" ht="13.9" customHeight="1" x14ac:dyDescent="0.25">
      <c r="A114" s="1917">
        <f>Chem!A114</f>
        <v>112</v>
      </c>
      <c r="B114" s="1932" t="str">
        <f>Chem!B114</f>
        <v>2,4-Dinitrophenol</v>
      </c>
      <c r="C114" s="2013" t="str">
        <f t="shared" si="69"/>
        <v>na</v>
      </c>
      <c r="D114" s="2014" t="str">
        <f t="shared" si="60"/>
        <v>na</v>
      </c>
      <c r="E114" s="2014" t="str">
        <f t="shared" si="70"/>
        <v>na</v>
      </c>
      <c r="F114" s="2033" t="str">
        <f>'SD-Det'!Z114</f>
        <v>na</v>
      </c>
      <c r="G114" s="2206" t="str">
        <f>'SD-Det'!C114</f>
        <v>no</v>
      </c>
      <c r="H114" s="1815" t="str">
        <f>'SD-Det'!K114</f>
        <v>na</v>
      </c>
      <c r="I114" s="1826" t="str">
        <f>'SD-Det'!M114</f>
        <v>na</v>
      </c>
      <c r="J114" s="1763" t="str">
        <f>'SD-Det'!H114</f>
        <v>na</v>
      </c>
      <c r="K114" s="1763" t="str">
        <f>'SD-Det'!G114</f>
        <v>na</v>
      </c>
      <c r="L114" s="1867" t="str">
        <f>'SD-Det'!Y114</f>
        <v>na</v>
      </c>
      <c r="M114" s="1867" t="str">
        <f>'SD-Det'!U114</f>
        <v>na</v>
      </c>
      <c r="N114" s="2219" t="str">
        <f>'SD-Det'!V114</f>
        <v>na</v>
      </c>
      <c r="O114" s="1862" t="str">
        <f>'SD-Det'!D114</f>
        <v>na</v>
      </c>
      <c r="P114" s="2225" t="str">
        <f>'SD-Det'!F114</f>
        <v>na</v>
      </c>
      <c r="R114" s="1936" t="str">
        <f t="shared" si="62"/>
        <v/>
      </c>
      <c r="S114" s="1937" t="str">
        <f t="shared" si="63"/>
        <v/>
      </c>
      <c r="T114" s="1937" t="str">
        <f t="shared" si="64"/>
        <v/>
      </c>
      <c r="U114" s="1937" t="str">
        <f t="shared" si="65"/>
        <v/>
      </c>
      <c r="V114" s="1937" t="str">
        <f t="shared" si="66"/>
        <v/>
      </c>
      <c r="W114" s="1937" t="str">
        <f t="shared" si="67"/>
        <v/>
      </c>
      <c r="X114" s="1600" t="str">
        <f t="shared" si="68"/>
        <v/>
      </c>
      <c r="Z114" s="1935"/>
    </row>
    <row r="115" spans="1:26" ht="13.9" customHeight="1" x14ac:dyDescent="0.25">
      <c r="A115" s="1917">
        <f>Chem!A115</f>
        <v>113</v>
      </c>
      <c r="B115" s="1932" t="str">
        <f>Chem!B115</f>
        <v>2,4-Dinitrotoluene</v>
      </c>
      <c r="C115" s="2013" t="str">
        <f t="shared" si="69"/>
        <v>na</v>
      </c>
      <c r="D115" s="2014" t="str">
        <f t="shared" si="60"/>
        <v>na</v>
      </c>
      <c r="E115" s="2014" t="str">
        <f t="shared" si="70"/>
        <v>na</v>
      </c>
      <c r="F115" s="2033" t="str">
        <f>'SD-Det'!Z115</f>
        <v>na</v>
      </c>
      <c r="G115" s="2206" t="str">
        <f>'SD-Det'!C115</f>
        <v>no</v>
      </c>
      <c r="H115" s="1815" t="str">
        <f>'SD-Det'!K115</f>
        <v>na</v>
      </c>
      <c r="I115" s="1826" t="str">
        <f>'SD-Det'!M115</f>
        <v>na</v>
      </c>
      <c r="J115" s="1763" t="str">
        <f>'SD-Det'!H115</f>
        <v>na</v>
      </c>
      <c r="K115" s="1763" t="str">
        <f>'SD-Det'!G115</f>
        <v>na</v>
      </c>
      <c r="L115" s="1867" t="str">
        <f>'SD-Det'!Y115</f>
        <v>na</v>
      </c>
      <c r="M115" s="1867" t="str">
        <f>'SD-Det'!U115</f>
        <v>na</v>
      </c>
      <c r="N115" s="2219" t="str">
        <f>'SD-Det'!V115</f>
        <v>na</v>
      </c>
      <c r="O115" s="1862" t="str">
        <f>'SD-Det'!D115</f>
        <v>na</v>
      </c>
      <c r="P115" s="2225" t="str">
        <f>'SD-Det'!F115</f>
        <v>na</v>
      </c>
      <c r="R115" s="1936" t="str">
        <f t="shared" si="62"/>
        <v/>
      </c>
      <c r="S115" s="1937" t="str">
        <f t="shared" si="63"/>
        <v/>
      </c>
      <c r="T115" s="1937" t="str">
        <f t="shared" si="64"/>
        <v/>
      </c>
      <c r="U115" s="1937" t="str">
        <f t="shared" si="65"/>
        <v/>
      </c>
      <c r="V115" s="1937" t="str">
        <f t="shared" si="66"/>
        <v/>
      </c>
      <c r="W115" s="1937" t="str">
        <f t="shared" si="67"/>
        <v/>
      </c>
      <c r="X115" s="1600" t="str">
        <f t="shared" si="68"/>
        <v/>
      </c>
      <c r="Z115" s="1935"/>
    </row>
    <row r="116" spans="1:26" ht="13.9" customHeight="1" x14ac:dyDescent="0.25">
      <c r="A116" s="1908">
        <f>Chem!A116</f>
        <v>114</v>
      </c>
      <c r="B116" s="1932" t="str">
        <f>Chem!B116</f>
        <v>2,6-Dinitrotoluene</v>
      </c>
      <c r="C116" s="2013" t="str">
        <f t="shared" si="69"/>
        <v>na</v>
      </c>
      <c r="D116" s="2014" t="str">
        <f t="shared" si="60"/>
        <v>na</v>
      </c>
      <c r="E116" s="2014" t="str">
        <f t="shared" si="70"/>
        <v>na</v>
      </c>
      <c r="F116" s="2033" t="str">
        <f>'SD-Det'!Z116</f>
        <v>na</v>
      </c>
      <c r="G116" s="2206" t="str">
        <f>'SD-Det'!C116</f>
        <v>no</v>
      </c>
      <c r="H116" s="1815" t="str">
        <f>'SD-Det'!K116</f>
        <v>na</v>
      </c>
      <c r="I116" s="1826" t="str">
        <f>'SD-Det'!M116</f>
        <v>na</v>
      </c>
      <c r="J116" s="1763" t="str">
        <f>'SD-Det'!H116</f>
        <v>na</v>
      </c>
      <c r="K116" s="1763" t="str">
        <f>'SD-Det'!G116</f>
        <v>na</v>
      </c>
      <c r="L116" s="1867" t="str">
        <f>'SD-Det'!Y116</f>
        <v>na</v>
      </c>
      <c r="M116" s="1867" t="str">
        <f>'SD-Det'!U116</f>
        <v>na</v>
      </c>
      <c r="N116" s="2219" t="str">
        <f>'SD-Det'!V116</f>
        <v>na</v>
      </c>
      <c r="O116" s="1862" t="str">
        <f>'SD-Det'!D116</f>
        <v>na</v>
      </c>
      <c r="P116" s="2225" t="str">
        <f>'SD-Det'!F116</f>
        <v>na</v>
      </c>
      <c r="R116" s="1936" t="str">
        <f t="shared" si="62"/>
        <v/>
      </c>
      <c r="S116" s="1937" t="str">
        <f t="shared" si="63"/>
        <v/>
      </c>
      <c r="T116" s="1937" t="str">
        <f t="shared" si="64"/>
        <v/>
      </c>
      <c r="U116" s="1937" t="str">
        <f t="shared" si="65"/>
        <v/>
      </c>
      <c r="V116" s="1937" t="str">
        <f t="shared" si="66"/>
        <v/>
      </c>
      <c r="W116" s="1937" t="str">
        <f t="shared" si="67"/>
        <v/>
      </c>
      <c r="X116" s="1600" t="str">
        <f t="shared" si="68"/>
        <v/>
      </c>
      <c r="Z116" s="1935"/>
    </row>
    <row r="117" spans="1:26" ht="13.9" customHeight="1" x14ac:dyDescent="0.25">
      <c r="A117" s="1917">
        <f>Chem!A117</f>
        <v>115</v>
      </c>
      <c r="B117" s="1932" t="str">
        <f>Chem!B117</f>
        <v>Di-n-octyl phthalate</v>
      </c>
      <c r="C117" s="2013" t="str">
        <f t="shared" si="69"/>
        <v>na</v>
      </c>
      <c r="D117" s="2014">
        <f t="shared" si="60"/>
        <v>6.2</v>
      </c>
      <c r="E117" s="2014">
        <f t="shared" si="70"/>
        <v>58</v>
      </c>
      <c r="F117" s="2033">
        <f>'SD-Det'!Z117</f>
        <v>6.2</v>
      </c>
      <c r="G117" s="2206" t="str">
        <f>'SD-Det'!C117</f>
        <v>no</v>
      </c>
      <c r="H117" s="1815" t="str">
        <f>'SD-Det'!K117</f>
        <v>na</v>
      </c>
      <c r="I117" s="1826" t="str">
        <f>'SD-Det'!M117</f>
        <v>na</v>
      </c>
      <c r="J117" s="1763">
        <f>'SD-Det'!H117</f>
        <v>6.2</v>
      </c>
      <c r="K117" s="1763">
        <f>'SD-Det'!G117</f>
        <v>58</v>
      </c>
      <c r="L117" s="1867" t="str">
        <f>'SD-Det'!Y117</f>
        <v>na</v>
      </c>
      <c r="M117" s="1867" t="str">
        <f>'SD-Det'!U117</f>
        <v>na</v>
      </c>
      <c r="N117" s="2219" t="str">
        <f>'SD-Det'!V117</f>
        <v>na</v>
      </c>
      <c r="O117" s="1862" t="str">
        <f>'SD-Det'!D117</f>
        <v>na</v>
      </c>
      <c r="P117" s="2225">
        <f>'SD-Det'!F117</f>
        <v>0.13700000000000001</v>
      </c>
      <c r="R117" s="1936" t="str">
        <f t="shared" si="62"/>
        <v/>
      </c>
      <c r="S117" s="1937" t="str">
        <f t="shared" si="63"/>
        <v/>
      </c>
      <c r="T117" s="1937" t="str">
        <f t="shared" si="64"/>
        <v>X</v>
      </c>
      <c r="U117" s="1937" t="str">
        <f t="shared" si="65"/>
        <v/>
      </c>
      <c r="V117" s="1937" t="str">
        <f t="shared" si="66"/>
        <v/>
      </c>
      <c r="W117" s="1937" t="str">
        <f t="shared" si="67"/>
        <v/>
      </c>
      <c r="X117" s="1600" t="str">
        <f t="shared" si="68"/>
        <v/>
      </c>
      <c r="Z117" s="1935"/>
    </row>
    <row r="118" spans="1:26" ht="13.9" customHeight="1" x14ac:dyDescent="0.25">
      <c r="A118" s="1918">
        <f>Chem!A118</f>
        <v>116</v>
      </c>
      <c r="B118" s="1932" t="str">
        <f>Chem!B118</f>
        <v>1,4-Dioxane</v>
      </c>
      <c r="C118" s="2017" t="str">
        <f t="shared" si="69"/>
        <v>na</v>
      </c>
      <c r="D118" s="2018" t="str">
        <f t="shared" si="60"/>
        <v>na</v>
      </c>
      <c r="E118" s="2018" t="str">
        <f t="shared" si="70"/>
        <v>na</v>
      </c>
      <c r="F118" s="2033" t="str">
        <f>'SD-Det'!Z118</f>
        <v>na</v>
      </c>
      <c r="G118" s="2206" t="str">
        <f>'SD-Det'!C118</f>
        <v>no</v>
      </c>
      <c r="H118" s="1818" t="str">
        <f>'SD-Det'!K118</f>
        <v>na</v>
      </c>
      <c r="I118" s="1829" t="str">
        <f>'SD-Det'!M118</f>
        <v>na</v>
      </c>
      <c r="J118" s="1766" t="str">
        <f>'SD-Det'!H118</f>
        <v>na</v>
      </c>
      <c r="K118" s="1766" t="str">
        <f>'SD-Det'!G118</f>
        <v>na</v>
      </c>
      <c r="L118" s="1870" t="str">
        <f>'SD-Det'!Y118</f>
        <v>na</v>
      </c>
      <c r="M118" s="1870" t="str">
        <f>'SD-Det'!U118</f>
        <v>na</v>
      </c>
      <c r="N118" s="2219" t="str">
        <f>'SD-Det'!V118</f>
        <v>na</v>
      </c>
      <c r="O118" s="2004" t="str">
        <f>'SD-Det'!D118</f>
        <v>na</v>
      </c>
      <c r="P118" s="2229" t="str">
        <f>'SD-Det'!F118</f>
        <v>na</v>
      </c>
      <c r="R118" s="1936" t="str">
        <f t="shared" si="62"/>
        <v/>
      </c>
      <c r="S118" s="1937" t="str">
        <f t="shared" si="63"/>
        <v/>
      </c>
      <c r="T118" s="1937" t="str">
        <f t="shared" si="64"/>
        <v/>
      </c>
      <c r="U118" s="1937" t="str">
        <f t="shared" si="65"/>
        <v/>
      </c>
      <c r="V118" s="1937" t="str">
        <f t="shared" si="66"/>
        <v/>
      </c>
      <c r="W118" s="1937" t="str">
        <f t="shared" si="67"/>
        <v/>
      </c>
      <c r="X118" s="1600" t="str">
        <f t="shared" si="68"/>
        <v/>
      </c>
      <c r="Z118" s="1935"/>
    </row>
    <row r="119" spans="1:26" ht="13.9" customHeight="1" x14ac:dyDescent="0.25">
      <c r="A119" s="1918">
        <f>Chem!A119</f>
        <v>117</v>
      </c>
      <c r="B119" s="1932" t="str">
        <f>Chem!B119</f>
        <v>1,2-Diphenylhydrazine</v>
      </c>
      <c r="C119" s="2013" t="str">
        <f t="shared" si="69"/>
        <v>na</v>
      </c>
      <c r="D119" s="2014" t="str">
        <f t="shared" si="60"/>
        <v>na</v>
      </c>
      <c r="E119" s="2014" t="str">
        <f t="shared" si="70"/>
        <v>na</v>
      </c>
      <c r="F119" s="2033" t="str">
        <f>'SD-Det'!Z119</f>
        <v>na</v>
      </c>
      <c r="G119" s="2206" t="str">
        <f>'SD-Det'!C119</f>
        <v>no</v>
      </c>
      <c r="H119" s="1815" t="str">
        <f>'SD-Det'!K119</f>
        <v>na</v>
      </c>
      <c r="I119" s="1826" t="str">
        <f>'SD-Det'!M119</f>
        <v>na</v>
      </c>
      <c r="J119" s="1763" t="str">
        <f>'SD-Det'!H119</f>
        <v>na</v>
      </c>
      <c r="K119" s="1763" t="str">
        <f>'SD-Det'!G119</f>
        <v>na</v>
      </c>
      <c r="L119" s="1867" t="str">
        <f>'SD-Det'!Y119</f>
        <v>na</v>
      </c>
      <c r="M119" s="1867" t="str">
        <f>'SD-Det'!U119</f>
        <v>na</v>
      </c>
      <c r="N119" s="2219" t="str">
        <f>'SD-Det'!V119</f>
        <v>na</v>
      </c>
      <c r="O119" s="1862" t="str">
        <f>'SD-Det'!D119</f>
        <v>na</v>
      </c>
      <c r="P119" s="2225" t="str">
        <f>'SD-Det'!F119</f>
        <v>na</v>
      </c>
      <c r="R119" s="1936" t="str">
        <f t="shared" si="62"/>
        <v/>
      </c>
      <c r="S119" s="1937" t="str">
        <f t="shared" si="63"/>
        <v/>
      </c>
      <c r="T119" s="1937" t="str">
        <f t="shared" si="64"/>
        <v/>
      </c>
      <c r="U119" s="1937" t="str">
        <f t="shared" si="65"/>
        <v/>
      </c>
      <c r="V119" s="1937" t="str">
        <f t="shared" si="66"/>
        <v/>
      </c>
      <c r="W119" s="1937" t="str">
        <f t="shared" si="67"/>
        <v/>
      </c>
      <c r="X119" s="1600" t="str">
        <f t="shared" si="68"/>
        <v/>
      </c>
      <c r="Z119" s="1935"/>
    </row>
    <row r="120" spans="1:26" ht="13.9" customHeight="1" x14ac:dyDescent="0.25">
      <c r="A120" s="1917">
        <f>Chem!A120</f>
        <v>118</v>
      </c>
      <c r="B120" s="1932" t="str">
        <f>Chem!B120</f>
        <v>Hexachlorobenzene</v>
      </c>
      <c r="C120" s="2013">
        <f t="shared" si="69"/>
        <v>1E-3</v>
      </c>
      <c r="D120" s="2014">
        <f t="shared" si="60"/>
        <v>2.1999999999999999E-2</v>
      </c>
      <c r="E120" s="2014">
        <f t="shared" si="70"/>
        <v>0.38</v>
      </c>
      <c r="F120" s="2033">
        <f>'SD-Det'!Z120</f>
        <v>2.1999999999999999E-2</v>
      </c>
      <c r="G120" s="2206" t="str">
        <f>'SD-Det'!C120</f>
        <v>YES</v>
      </c>
      <c r="H120" s="1815">
        <f>'SD-Det'!K120</f>
        <v>1.82232666015625</v>
      </c>
      <c r="I120" s="1826">
        <f>'SD-Det'!M120</f>
        <v>1E-3</v>
      </c>
      <c r="J120" s="1763">
        <f>'SD-Det'!H120</f>
        <v>2.1999999999999999E-2</v>
      </c>
      <c r="K120" s="1763">
        <f>'SD-Det'!G120</f>
        <v>0.38</v>
      </c>
      <c r="L120" s="1867" t="str">
        <f>'SD-Det'!Y120</f>
        <v>na</v>
      </c>
      <c r="M120" s="1867" t="str">
        <f>'SD-Det'!U120</f>
        <v>na</v>
      </c>
      <c r="N120" s="2219">
        <f>'SD-Det'!V120</f>
        <v>0.38</v>
      </c>
      <c r="O120" s="1862" t="str">
        <f>'SD-Det'!D120</f>
        <v>na</v>
      </c>
      <c r="P120" s="2225">
        <f>'SD-Det'!F120</f>
        <v>1E-3</v>
      </c>
      <c r="R120" s="1936" t="str">
        <f t="shared" si="62"/>
        <v/>
      </c>
      <c r="S120" s="1937" t="str">
        <f t="shared" si="63"/>
        <v/>
      </c>
      <c r="T120" s="1937" t="str">
        <f t="shared" si="64"/>
        <v>X</v>
      </c>
      <c r="U120" s="1937" t="str">
        <f t="shared" si="65"/>
        <v/>
      </c>
      <c r="V120" s="1937" t="str">
        <f t="shared" si="66"/>
        <v/>
      </c>
      <c r="W120" s="1937" t="str">
        <f t="shared" si="67"/>
        <v/>
      </c>
      <c r="X120" s="1600" t="str">
        <f t="shared" si="68"/>
        <v/>
      </c>
      <c r="Z120" s="1935"/>
    </row>
    <row r="121" spans="1:26" ht="13.9" customHeight="1" x14ac:dyDescent="0.25">
      <c r="A121" s="1917">
        <f>Chem!A121</f>
        <v>119</v>
      </c>
      <c r="B121" s="1932" t="str">
        <f>Chem!B121</f>
        <v>Hexachlorobutadiene</v>
      </c>
      <c r="C121" s="2013" t="str">
        <f t="shared" si="69"/>
        <v>na</v>
      </c>
      <c r="D121" s="2014">
        <f t="shared" si="60"/>
        <v>1.0999999999999999E-2</v>
      </c>
      <c r="E121" s="2014">
        <f t="shared" si="70"/>
        <v>3.9</v>
      </c>
      <c r="F121" s="2033">
        <f>'SD-Det'!Z121</f>
        <v>1.0999999999999999E-2</v>
      </c>
      <c r="G121" s="2206" t="str">
        <f>'SD-Det'!C121</f>
        <v>no</v>
      </c>
      <c r="H121" s="1815" t="str">
        <f>'SD-Det'!K121</f>
        <v>na</v>
      </c>
      <c r="I121" s="1826" t="str">
        <f>'SD-Det'!M121</f>
        <v>na</v>
      </c>
      <c r="J121" s="1763">
        <f>'SD-Det'!H121</f>
        <v>1.0999999999999999E-2</v>
      </c>
      <c r="K121" s="1763">
        <f>'SD-Det'!G121</f>
        <v>3.9</v>
      </c>
      <c r="L121" s="1867" t="str">
        <f>'SD-Det'!Y121</f>
        <v>na</v>
      </c>
      <c r="M121" s="1867" t="str">
        <f>'SD-Det'!U121</f>
        <v>na</v>
      </c>
      <c r="N121" s="2219" t="str">
        <f>'SD-Det'!V121</f>
        <v>na</v>
      </c>
      <c r="O121" s="1862" t="str">
        <f>'SD-Det'!D121</f>
        <v>na</v>
      </c>
      <c r="P121" s="2225">
        <f>'SD-Det'!F121</f>
        <v>2.9999999999999997E-4</v>
      </c>
      <c r="R121" s="1936" t="str">
        <f t="shared" si="62"/>
        <v/>
      </c>
      <c r="S121" s="1937" t="str">
        <f t="shared" si="63"/>
        <v/>
      </c>
      <c r="T121" s="1937" t="str">
        <f t="shared" si="64"/>
        <v>X</v>
      </c>
      <c r="U121" s="1937" t="str">
        <f t="shared" si="65"/>
        <v/>
      </c>
      <c r="V121" s="1937" t="str">
        <f t="shared" si="66"/>
        <v/>
      </c>
      <c r="W121" s="1937" t="str">
        <f t="shared" si="67"/>
        <v/>
      </c>
      <c r="X121" s="1600" t="str">
        <f t="shared" si="68"/>
        <v/>
      </c>
      <c r="Z121" s="1935"/>
    </row>
    <row r="122" spans="1:26" ht="13.9" customHeight="1" x14ac:dyDescent="0.25">
      <c r="A122" s="1917">
        <f>Chem!A122</f>
        <v>120</v>
      </c>
      <c r="B122" s="1932" t="str">
        <f>Chem!B122</f>
        <v>Hexachlorocyclopentadiene</v>
      </c>
      <c r="C122" s="2013" t="str">
        <f t="shared" si="69"/>
        <v>na</v>
      </c>
      <c r="D122" s="2014" t="str">
        <f t="shared" si="60"/>
        <v>na</v>
      </c>
      <c r="E122" s="2014" t="str">
        <f t="shared" si="70"/>
        <v>na</v>
      </c>
      <c r="F122" s="2033" t="str">
        <f>'SD-Det'!Z122</f>
        <v>na</v>
      </c>
      <c r="G122" s="2206" t="str">
        <f>'SD-Det'!C122</f>
        <v>no</v>
      </c>
      <c r="H122" s="1815" t="str">
        <f>'SD-Det'!K122</f>
        <v>na</v>
      </c>
      <c r="I122" s="1826" t="str">
        <f>'SD-Det'!M122</f>
        <v>na</v>
      </c>
      <c r="J122" s="1763" t="str">
        <f>'SD-Det'!H122</f>
        <v>na</v>
      </c>
      <c r="K122" s="1763" t="str">
        <f>'SD-Det'!G122</f>
        <v>na</v>
      </c>
      <c r="L122" s="1867" t="str">
        <f>'SD-Det'!Y122</f>
        <v>na</v>
      </c>
      <c r="M122" s="1867" t="str">
        <f>'SD-Det'!U122</f>
        <v>na</v>
      </c>
      <c r="N122" s="2219" t="str">
        <f>'SD-Det'!V122</f>
        <v>na</v>
      </c>
      <c r="O122" s="1862" t="str">
        <f>'SD-Det'!D122</f>
        <v>na</v>
      </c>
      <c r="P122" s="2225" t="str">
        <f>'SD-Det'!F122</f>
        <v>na</v>
      </c>
      <c r="R122" s="1936" t="str">
        <f t="shared" si="62"/>
        <v/>
      </c>
      <c r="S122" s="1937" t="str">
        <f t="shared" si="63"/>
        <v/>
      </c>
      <c r="T122" s="1937" t="str">
        <f t="shared" si="64"/>
        <v/>
      </c>
      <c r="U122" s="1937" t="str">
        <f t="shared" si="65"/>
        <v/>
      </c>
      <c r="V122" s="1937" t="str">
        <f t="shared" si="66"/>
        <v/>
      </c>
      <c r="W122" s="1937" t="str">
        <f t="shared" si="67"/>
        <v/>
      </c>
      <c r="X122" s="1600" t="str">
        <f t="shared" si="68"/>
        <v/>
      </c>
      <c r="Z122" s="1935"/>
    </row>
    <row r="123" spans="1:26" ht="13.9" customHeight="1" x14ac:dyDescent="0.25">
      <c r="A123" s="1917">
        <f>Chem!A123</f>
        <v>121</v>
      </c>
      <c r="B123" s="1932" t="str">
        <f>Chem!B123</f>
        <v>Hexachloroethane</v>
      </c>
      <c r="C123" s="2017" t="str">
        <f t="shared" si="69"/>
        <v>na</v>
      </c>
      <c r="D123" s="2018" t="str">
        <f t="shared" si="60"/>
        <v>na</v>
      </c>
      <c r="E123" s="2018" t="str">
        <f t="shared" si="70"/>
        <v>na</v>
      </c>
      <c r="F123" s="2033" t="str">
        <f>'SD-Det'!Z123</f>
        <v>na</v>
      </c>
      <c r="G123" s="2206" t="str">
        <f>'SD-Det'!C123</f>
        <v>no</v>
      </c>
      <c r="H123" s="1818" t="str">
        <f>'SD-Det'!K123</f>
        <v>na</v>
      </c>
      <c r="I123" s="1829" t="str">
        <f>'SD-Det'!M123</f>
        <v>na</v>
      </c>
      <c r="J123" s="1766" t="str">
        <f>'SD-Det'!H123</f>
        <v>na</v>
      </c>
      <c r="K123" s="1766" t="str">
        <f>'SD-Det'!G123</f>
        <v>na</v>
      </c>
      <c r="L123" s="1870" t="str">
        <f>'SD-Det'!Y123</f>
        <v>na</v>
      </c>
      <c r="M123" s="1870" t="str">
        <f>'SD-Det'!U123</f>
        <v>na</v>
      </c>
      <c r="N123" s="2219" t="str">
        <f>'SD-Det'!V123</f>
        <v>na</v>
      </c>
      <c r="O123" s="2004" t="str">
        <f>'SD-Det'!D123</f>
        <v>na</v>
      </c>
      <c r="P123" s="2229">
        <f>'SD-Det'!F123</f>
        <v>1E-3</v>
      </c>
      <c r="R123" s="1936" t="str">
        <f t="shared" si="62"/>
        <v/>
      </c>
      <c r="S123" s="1937" t="str">
        <f t="shared" si="63"/>
        <v/>
      </c>
      <c r="T123" s="1937" t="str">
        <f t="shared" si="64"/>
        <v/>
      </c>
      <c r="U123" s="1937" t="str">
        <f t="shared" si="65"/>
        <v/>
      </c>
      <c r="V123" s="1937" t="str">
        <f t="shared" si="66"/>
        <v/>
      </c>
      <c r="W123" s="1937" t="str">
        <f t="shared" si="67"/>
        <v/>
      </c>
      <c r="X123" s="1600" t="str">
        <f t="shared" si="68"/>
        <v/>
      </c>
      <c r="Z123" s="1935"/>
    </row>
    <row r="124" spans="1:26" ht="13.9" customHeight="1" x14ac:dyDescent="0.25">
      <c r="A124" s="1917">
        <f>Chem!A124</f>
        <v>122</v>
      </c>
      <c r="B124" s="1932" t="str">
        <f>Chem!B124</f>
        <v>Isophorone</v>
      </c>
      <c r="C124" s="2013" t="str">
        <f t="shared" si="69"/>
        <v>na</v>
      </c>
      <c r="D124" s="2014" t="str">
        <f t="shared" si="60"/>
        <v>na</v>
      </c>
      <c r="E124" s="2014" t="str">
        <f t="shared" si="70"/>
        <v>na</v>
      </c>
      <c r="F124" s="2033" t="str">
        <f>'SD-Det'!Z124</f>
        <v>na</v>
      </c>
      <c r="G124" s="2206" t="str">
        <f>'SD-Det'!C124</f>
        <v>no</v>
      </c>
      <c r="H124" s="1815" t="str">
        <f>'SD-Det'!K124</f>
        <v>na</v>
      </c>
      <c r="I124" s="1826" t="str">
        <f>'SD-Det'!M124</f>
        <v>na</v>
      </c>
      <c r="J124" s="1763" t="str">
        <f>'SD-Det'!H124</f>
        <v>na</v>
      </c>
      <c r="K124" s="1763" t="str">
        <f>'SD-Det'!G124</f>
        <v>na</v>
      </c>
      <c r="L124" s="1867" t="str">
        <f>'SD-Det'!Y124</f>
        <v>na</v>
      </c>
      <c r="M124" s="1867" t="str">
        <f>'SD-Det'!U124</f>
        <v>na</v>
      </c>
      <c r="N124" s="2219" t="str">
        <f>'SD-Det'!V124</f>
        <v>na</v>
      </c>
      <c r="O124" s="1862" t="str">
        <f>'SD-Det'!D124</f>
        <v>na</v>
      </c>
      <c r="P124" s="2225" t="str">
        <f>'SD-Det'!F124</f>
        <v>na</v>
      </c>
      <c r="R124" s="1936" t="str">
        <f t="shared" si="62"/>
        <v/>
      </c>
      <c r="S124" s="1937" t="str">
        <f t="shared" si="63"/>
        <v/>
      </c>
      <c r="T124" s="1937" t="str">
        <f t="shared" si="64"/>
        <v/>
      </c>
      <c r="U124" s="1937" t="str">
        <f t="shared" si="65"/>
        <v/>
      </c>
      <c r="V124" s="1937" t="str">
        <f t="shared" si="66"/>
        <v/>
      </c>
      <c r="W124" s="1937" t="str">
        <f t="shared" si="67"/>
        <v/>
      </c>
      <c r="X124" s="1600" t="str">
        <f t="shared" si="68"/>
        <v/>
      </c>
      <c r="Z124" s="1935"/>
    </row>
    <row r="125" spans="1:26" ht="13.9" customHeight="1" x14ac:dyDescent="0.25">
      <c r="A125" s="1917">
        <f>Chem!A125</f>
        <v>123</v>
      </c>
      <c r="B125" s="1932" t="str">
        <f>Chem!B125</f>
        <v>2-Methoxynaphthalene</v>
      </c>
      <c r="C125" s="2013" t="str">
        <f t="shared" si="69"/>
        <v>na</v>
      </c>
      <c r="D125" s="2014" t="str">
        <f t="shared" si="60"/>
        <v>na</v>
      </c>
      <c r="E125" s="2014" t="str">
        <f t="shared" si="70"/>
        <v>na</v>
      </c>
      <c r="F125" s="2033" t="str">
        <f>'SD-Det'!Z125</f>
        <v>na</v>
      </c>
      <c r="G125" s="2206" t="str">
        <f>'SD-Det'!C125</f>
        <v>no</v>
      </c>
      <c r="H125" s="1815" t="str">
        <f>'SD-Det'!K125</f>
        <v>na</v>
      </c>
      <c r="I125" s="1826" t="str">
        <f>'SD-Det'!M125</f>
        <v>na</v>
      </c>
      <c r="J125" s="1763" t="str">
        <f>'SD-Det'!H125</f>
        <v>na</v>
      </c>
      <c r="K125" s="1763" t="str">
        <f>'SD-Det'!G125</f>
        <v>na</v>
      </c>
      <c r="L125" s="1867" t="str">
        <f>'SD-Det'!Y125</f>
        <v>na</v>
      </c>
      <c r="M125" s="1867" t="str">
        <f>'SD-Det'!U125</f>
        <v>na</v>
      </c>
      <c r="N125" s="2219" t="str">
        <f>'SD-Det'!V125</f>
        <v>na</v>
      </c>
      <c r="O125" s="1862" t="str">
        <f>'SD-Det'!D125</f>
        <v>na</v>
      </c>
      <c r="P125" s="2225" t="str">
        <f>'SD-Det'!F125</f>
        <v>na</v>
      </c>
      <c r="R125" s="1936" t="str">
        <f t="shared" si="62"/>
        <v/>
      </c>
      <c r="S125" s="1937" t="str">
        <f t="shared" si="63"/>
        <v/>
      </c>
      <c r="T125" s="1937" t="str">
        <f t="shared" si="64"/>
        <v/>
      </c>
      <c r="U125" s="1937" t="str">
        <f t="shared" si="65"/>
        <v/>
      </c>
      <c r="V125" s="1937" t="str">
        <f t="shared" si="66"/>
        <v/>
      </c>
      <c r="W125" s="1937" t="str">
        <f t="shared" si="67"/>
        <v/>
      </c>
      <c r="X125" s="1600" t="str">
        <f t="shared" si="68"/>
        <v/>
      </c>
      <c r="Z125" s="1935"/>
    </row>
    <row r="126" spans="1:26" ht="13.9" customHeight="1" x14ac:dyDescent="0.25">
      <c r="A126" s="1917">
        <f>Chem!A126</f>
        <v>124</v>
      </c>
      <c r="B126" s="1932" t="str">
        <f>Chem!B126</f>
        <v>2-Methylphenol (o-cresol)</v>
      </c>
      <c r="C126" s="2013" t="str">
        <f t="shared" si="69"/>
        <v>na</v>
      </c>
      <c r="D126" s="2014">
        <f t="shared" si="60"/>
        <v>6.3E-2</v>
      </c>
      <c r="E126" s="2014" t="str">
        <f t="shared" si="70"/>
        <v>na</v>
      </c>
      <c r="F126" s="2033">
        <f>'SD-Det'!Z126</f>
        <v>6.3E-2</v>
      </c>
      <c r="G126" s="2206" t="str">
        <f>'SD-Det'!C126</f>
        <v>no</v>
      </c>
      <c r="H126" s="1815" t="str">
        <f>'SD-Det'!K126</f>
        <v>na</v>
      </c>
      <c r="I126" s="1826" t="str">
        <f>'SD-Det'!M126</f>
        <v>na</v>
      </c>
      <c r="J126" s="1763">
        <f>'SD-Det'!H126</f>
        <v>6.3E-2</v>
      </c>
      <c r="K126" s="1763" t="str">
        <f>'SD-Det'!G126</f>
        <v>na</v>
      </c>
      <c r="L126" s="1867" t="str">
        <f>'SD-Det'!Y126</f>
        <v>na</v>
      </c>
      <c r="M126" s="1867" t="str">
        <f>'SD-Det'!U126</f>
        <v>na</v>
      </c>
      <c r="N126" s="2219" t="str">
        <f>'SD-Det'!V126</f>
        <v>na</v>
      </c>
      <c r="O126" s="1862" t="str">
        <f>'SD-Det'!D126</f>
        <v>na</v>
      </c>
      <c r="P126" s="2225">
        <f>'SD-Det'!F126</f>
        <v>6.9000000000000006E-2</v>
      </c>
      <c r="R126" s="1936" t="str">
        <f t="shared" si="62"/>
        <v/>
      </c>
      <c r="S126" s="1937" t="str">
        <f t="shared" si="63"/>
        <v/>
      </c>
      <c r="T126" s="1937" t="str">
        <f t="shared" si="64"/>
        <v>X</v>
      </c>
      <c r="U126" s="1937" t="str">
        <f t="shared" si="65"/>
        <v/>
      </c>
      <c r="V126" s="1937" t="str">
        <f t="shared" si="66"/>
        <v/>
      </c>
      <c r="W126" s="1937" t="str">
        <f t="shared" si="67"/>
        <v/>
      </c>
      <c r="X126" s="1600" t="str">
        <f t="shared" si="68"/>
        <v/>
      </c>
      <c r="Z126" s="1935"/>
    </row>
    <row r="127" spans="1:26" ht="13.9" customHeight="1" x14ac:dyDescent="0.25">
      <c r="A127" s="1917">
        <f>Chem!A127</f>
        <v>125</v>
      </c>
      <c r="B127" s="1932" t="str">
        <f>Chem!B127</f>
        <v>3-Methylphenol (m-cresol)</v>
      </c>
      <c r="C127" s="2013" t="str">
        <f t="shared" si="69"/>
        <v>na</v>
      </c>
      <c r="D127" s="2014" t="str">
        <f t="shared" si="60"/>
        <v>na</v>
      </c>
      <c r="E127" s="2014" t="str">
        <f t="shared" si="70"/>
        <v>na</v>
      </c>
      <c r="F127" s="2033" t="str">
        <f>'SD-Det'!Z127</f>
        <v>na</v>
      </c>
      <c r="G127" s="2206" t="str">
        <f>'SD-Det'!C127</f>
        <v>no</v>
      </c>
      <c r="H127" s="1815" t="str">
        <f>'SD-Det'!K127</f>
        <v>na</v>
      </c>
      <c r="I127" s="1826" t="str">
        <f>'SD-Det'!M127</f>
        <v>na</v>
      </c>
      <c r="J127" s="1763" t="str">
        <f>'SD-Det'!H127</f>
        <v>na</v>
      </c>
      <c r="K127" s="1763" t="str">
        <f>'SD-Det'!G127</f>
        <v>na</v>
      </c>
      <c r="L127" s="1867" t="str">
        <f>'SD-Det'!Y127</f>
        <v>na</v>
      </c>
      <c r="M127" s="1867" t="str">
        <f>'SD-Det'!U127</f>
        <v>na</v>
      </c>
      <c r="N127" s="2219" t="str">
        <f>'SD-Det'!V127</f>
        <v>na</v>
      </c>
      <c r="O127" s="1862" t="str">
        <f>'SD-Det'!D127</f>
        <v>na</v>
      </c>
      <c r="P127" s="2225">
        <f>'SD-Det'!F127</f>
        <v>0.18099999999999999</v>
      </c>
      <c r="R127" s="1936" t="str">
        <f t="shared" si="62"/>
        <v/>
      </c>
      <c r="S127" s="1937" t="str">
        <f t="shared" si="63"/>
        <v/>
      </c>
      <c r="T127" s="1937" t="str">
        <f t="shared" si="64"/>
        <v/>
      </c>
      <c r="U127" s="1937" t="str">
        <f t="shared" si="65"/>
        <v/>
      </c>
      <c r="V127" s="1937" t="str">
        <f t="shared" si="66"/>
        <v/>
      </c>
      <c r="W127" s="1937" t="str">
        <f t="shared" si="67"/>
        <v/>
      </c>
      <c r="X127" s="1600" t="str">
        <f t="shared" si="68"/>
        <v/>
      </c>
      <c r="Z127" s="1935"/>
    </row>
    <row r="128" spans="1:26" ht="13.9" customHeight="1" x14ac:dyDescent="0.25">
      <c r="A128" s="1917">
        <f>Chem!A128</f>
        <v>126</v>
      </c>
      <c r="B128" s="1932" t="str">
        <f>Chem!B128</f>
        <v>4-Methylphenol (p-cresol)</v>
      </c>
      <c r="C128" s="2013" t="str">
        <f t="shared" si="69"/>
        <v>na</v>
      </c>
      <c r="D128" s="2014">
        <f t="shared" si="60"/>
        <v>0.67</v>
      </c>
      <c r="E128" s="2014" t="str">
        <f t="shared" si="70"/>
        <v>na</v>
      </c>
      <c r="F128" s="2033">
        <f>'SD-Det'!Z128</f>
        <v>0.67</v>
      </c>
      <c r="G128" s="2206" t="str">
        <f>'SD-Det'!C128</f>
        <v>no</v>
      </c>
      <c r="H128" s="1815" t="str">
        <f>'SD-Det'!K128</f>
        <v>na</v>
      </c>
      <c r="I128" s="1826" t="str">
        <f>'SD-Det'!M128</f>
        <v>na</v>
      </c>
      <c r="J128" s="1763">
        <f>'SD-Det'!H128</f>
        <v>0.67</v>
      </c>
      <c r="K128" s="1763" t="str">
        <f>'SD-Det'!G128</f>
        <v>na</v>
      </c>
      <c r="L128" s="1867" t="str">
        <f>'SD-Det'!Y128</f>
        <v>na</v>
      </c>
      <c r="M128" s="1867">
        <f>'SD-Det'!U128</f>
        <v>0.67</v>
      </c>
      <c r="N128" s="2219" t="str">
        <f>'SD-Det'!V128</f>
        <v>na</v>
      </c>
      <c r="O128" s="1862" t="str">
        <f>'SD-Det'!D128</f>
        <v>na</v>
      </c>
      <c r="P128" s="2225">
        <f>'SD-Det'!F128</f>
        <v>1.4999999999999999E-2</v>
      </c>
      <c r="R128" s="1936" t="str">
        <f t="shared" si="62"/>
        <v/>
      </c>
      <c r="S128" s="1937" t="str">
        <f t="shared" si="63"/>
        <v/>
      </c>
      <c r="T128" s="1937" t="str">
        <f t="shared" si="64"/>
        <v>X</v>
      </c>
      <c r="U128" s="1937" t="str">
        <f t="shared" si="65"/>
        <v/>
      </c>
      <c r="V128" s="1937" t="str">
        <f t="shared" si="66"/>
        <v>X</v>
      </c>
      <c r="W128" s="1937" t="str">
        <f t="shared" si="67"/>
        <v/>
      </c>
      <c r="X128" s="1600" t="str">
        <f t="shared" si="68"/>
        <v/>
      </c>
      <c r="Z128" s="1935"/>
    </row>
    <row r="129" spans="1:26" ht="13.9" customHeight="1" x14ac:dyDescent="0.25">
      <c r="A129" s="1917">
        <f>Chem!A129</f>
        <v>127</v>
      </c>
      <c r="B129" s="1932" t="str">
        <f>Chem!B129</f>
        <v>2-Nitroaniline</v>
      </c>
      <c r="C129" s="2013" t="str">
        <f t="shared" si="69"/>
        <v>na</v>
      </c>
      <c r="D129" s="2014" t="str">
        <f t="shared" si="60"/>
        <v>na</v>
      </c>
      <c r="E129" s="2014" t="str">
        <f t="shared" si="70"/>
        <v>na</v>
      </c>
      <c r="F129" s="2033" t="str">
        <f>'SD-Det'!Z129</f>
        <v>na</v>
      </c>
      <c r="G129" s="2206" t="str">
        <f>'SD-Det'!C129</f>
        <v>no</v>
      </c>
      <c r="H129" s="1815" t="str">
        <f>'SD-Det'!K129</f>
        <v>na</v>
      </c>
      <c r="I129" s="1826" t="str">
        <f>'SD-Det'!M129</f>
        <v>na</v>
      </c>
      <c r="J129" s="1763" t="str">
        <f>'SD-Det'!H129</f>
        <v>na</v>
      </c>
      <c r="K129" s="1763" t="str">
        <f>'SD-Det'!G129</f>
        <v>na</v>
      </c>
      <c r="L129" s="1867" t="str">
        <f>'SD-Det'!Y129</f>
        <v>na</v>
      </c>
      <c r="M129" s="1867" t="str">
        <f>'SD-Det'!U129</f>
        <v>na</v>
      </c>
      <c r="N129" s="2219" t="str">
        <f>'SD-Det'!V129</f>
        <v>na</v>
      </c>
      <c r="O129" s="1862" t="str">
        <f>'SD-Det'!D129</f>
        <v>na</v>
      </c>
      <c r="P129" s="2225" t="str">
        <f>'SD-Det'!F129</f>
        <v>na</v>
      </c>
      <c r="R129" s="1936" t="str">
        <f t="shared" si="62"/>
        <v/>
      </c>
      <c r="S129" s="1937" t="str">
        <f t="shared" si="63"/>
        <v/>
      </c>
      <c r="T129" s="1937" t="str">
        <f t="shared" si="64"/>
        <v/>
      </c>
      <c r="U129" s="1937" t="str">
        <f t="shared" si="65"/>
        <v/>
      </c>
      <c r="V129" s="1937" t="str">
        <f t="shared" si="66"/>
        <v/>
      </c>
      <c r="W129" s="1937" t="str">
        <f t="shared" si="67"/>
        <v/>
      </c>
      <c r="X129" s="1600" t="str">
        <f t="shared" si="68"/>
        <v/>
      </c>
      <c r="Z129" s="1935"/>
    </row>
    <row r="130" spans="1:26" ht="13.9" customHeight="1" x14ac:dyDescent="0.25">
      <c r="A130" s="1917">
        <f>Chem!A130</f>
        <v>128</v>
      </c>
      <c r="B130" s="1932" t="str">
        <f>Chem!B130</f>
        <v>3-Nitroaniline</v>
      </c>
      <c r="C130" s="2013" t="str">
        <f t="shared" si="69"/>
        <v>na</v>
      </c>
      <c r="D130" s="2014" t="str">
        <f t="shared" si="60"/>
        <v>na</v>
      </c>
      <c r="E130" s="2014" t="str">
        <f t="shared" si="70"/>
        <v>na</v>
      </c>
      <c r="F130" s="2033" t="str">
        <f>'SD-Det'!Z130</f>
        <v>na</v>
      </c>
      <c r="G130" s="2206" t="str">
        <f>'SD-Det'!C130</f>
        <v>no</v>
      </c>
      <c r="H130" s="1815" t="str">
        <f>'SD-Det'!K130</f>
        <v>na</v>
      </c>
      <c r="I130" s="1826" t="str">
        <f>'SD-Det'!M130</f>
        <v>na</v>
      </c>
      <c r="J130" s="1763" t="str">
        <f>'SD-Det'!H130</f>
        <v>na</v>
      </c>
      <c r="K130" s="1763" t="str">
        <f>'SD-Det'!G130</f>
        <v>na</v>
      </c>
      <c r="L130" s="1867" t="str">
        <f>'SD-Det'!Y130</f>
        <v>na</v>
      </c>
      <c r="M130" s="1867" t="str">
        <f>'SD-Det'!U130</f>
        <v>na</v>
      </c>
      <c r="N130" s="2219" t="str">
        <f>'SD-Det'!V130</f>
        <v>na</v>
      </c>
      <c r="O130" s="1862" t="str">
        <f>'SD-Det'!D130</f>
        <v>na</v>
      </c>
      <c r="P130" s="2225" t="str">
        <f>'SD-Det'!F130</f>
        <v>na</v>
      </c>
      <c r="R130" s="1936" t="str">
        <f t="shared" si="62"/>
        <v/>
      </c>
      <c r="S130" s="1937" t="str">
        <f t="shared" si="63"/>
        <v/>
      </c>
      <c r="T130" s="1937" t="str">
        <f t="shared" si="64"/>
        <v/>
      </c>
      <c r="U130" s="1937" t="str">
        <f t="shared" si="65"/>
        <v/>
      </c>
      <c r="V130" s="1937" t="str">
        <f t="shared" si="66"/>
        <v/>
      </c>
      <c r="W130" s="1937" t="str">
        <f t="shared" si="67"/>
        <v/>
      </c>
      <c r="X130" s="1600" t="str">
        <f t="shared" si="68"/>
        <v/>
      </c>
      <c r="Z130" s="1935"/>
    </row>
    <row r="131" spans="1:26" ht="13.9" customHeight="1" x14ac:dyDescent="0.25">
      <c r="A131" s="1917">
        <f>Chem!A131</f>
        <v>129</v>
      </c>
      <c r="B131" s="1932" t="str">
        <f>Chem!B131</f>
        <v>4-Nitroaniline</v>
      </c>
      <c r="C131" s="2013" t="str">
        <f t="shared" si="69"/>
        <v>na</v>
      </c>
      <c r="D131" s="2014" t="str">
        <f t="shared" si="60"/>
        <v>na</v>
      </c>
      <c r="E131" s="2014" t="str">
        <f t="shared" si="70"/>
        <v>na</v>
      </c>
      <c r="F131" s="2033" t="str">
        <f>'SD-Det'!Z131</f>
        <v>na</v>
      </c>
      <c r="G131" s="2206" t="str">
        <f>'SD-Det'!C131</f>
        <v>no</v>
      </c>
      <c r="H131" s="1815" t="str">
        <f>'SD-Det'!K131</f>
        <v>na</v>
      </c>
      <c r="I131" s="1826" t="str">
        <f>'SD-Det'!M131</f>
        <v>na</v>
      </c>
      <c r="J131" s="1763" t="str">
        <f>'SD-Det'!H131</f>
        <v>na</v>
      </c>
      <c r="K131" s="1763" t="str">
        <f>'SD-Det'!G131</f>
        <v>na</v>
      </c>
      <c r="L131" s="1867" t="str">
        <f>'SD-Det'!Y131</f>
        <v>na</v>
      </c>
      <c r="M131" s="1867" t="str">
        <f>'SD-Det'!U131</f>
        <v>na</v>
      </c>
      <c r="N131" s="2219" t="str">
        <f>'SD-Det'!V131</f>
        <v>na</v>
      </c>
      <c r="O131" s="1862" t="str">
        <f>'SD-Det'!D131</f>
        <v>na</v>
      </c>
      <c r="P131" s="2225" t="str">
        <f>'SD-Det'!F131</f>
        <v>na</v>
      </c>
      <c r="R131" s="1936" t="str">
        <f t="shared" si="62"/>
        <v/>
      </c>
      <c r="S131" s="1937" t="str">
        <f t="shared" si="63"/>
        <v/>
      </c>
      <c r="T131" s="1937" t="str">
        <f t="shared" si="64"/>
        <v/>
      </c>
      <c r="U131" s="1937" t="str">
        <f t="shared" si="65"/>
        <v/>
      </c>
      <c r="V131" s="1937" t="str">
        <f t="shared" si="66"/>
        <v/>
      </c>
      <c r="W131" s="1937" t="str">
        <f t="shared" si="67"/>
        <v/>
      </c>
      <c r="X131" s="1600" t="str">
        <f t="shared" si="68"/>
        <v/>
      </c>
      <c r="Z131" s="1935"/>
    </row>
    <row r="132" spans="1:26" ht="13.9" customHeight="1" x14ac:dyDescent="0.25">
      <c r="A132" s="1917">
        <f>Chem!A132</f>
        <v>130</v>
      </c>
      <c r="B132" s="1932" t="str">
        <f>Chem!B132</f>
        <v>Nitrobenzene</v>
      </c>
      <c r="C132" s="2017" t="str">
        <f t="shared" si="69"/>
        <v>na</v>
      </c>
      <c r="D132" s="2018" t="str">
        <f t="shared" si="60"/>
        <v>na</v>
      </c>
      <c r="E132" s="2018" t="str">
        <f t="shared" si="70"/>
        <v>na</v>
      </c>
      <c r="F132" s="2033" t="str">
        <f>'SD-Det'!Z132</f>
        <v>na</v>
      </c>
      <c r="G132" s="2206" t="str">
        <f>'SD-Det'!C132</f>
        <v>no</v>
      </c>
      <c r="H132" s="1818" t="str">
        <f>'SD-Det'!K132</f>
        <v>na</v>
      </c>
      <c r="I132" s="1829" t="str">
        <f>'SD-Det'!M132</f>
        <v>na</v>
      </c>
      <c r="J132" s="1766" t="str">
        <f>'SD-Det'!H132</f>
        <v>na</v>
      </c>
      <c r="K132" s="1766" t="str">
        <f>'SD-Det'!G132</f>
        <v>na</v>
      </c>
      <c r="L132" s="1870" t="str">
        <f>'SD-Det'!Y132</f>
        <v>na</v>
      </c>
      <c r="M132" s="1870" t="str">
        <f>'SD-Det'!U132</f>
        <v>na</v>
      </c>
      <c r="N132" s="2219" t="str">
        <f>'SD-Det'!V132</f>
        <v>na</v>
      </c>
      <c r="O132" s="2004" t="str">
        <f>'SD-Det'!D132</f>
        <v>na</v>
      </c>
      <c r="P132" s="2229" t="str">
        <f>'SD-Det'!F132</f>
        <v>na</v>
      </c>
      <c r="R132" s="1936" t="str">
        <f t="shared" si="62"/>
        <v/>
      </c>
      <c r="S132" s="1937" t="str">
        <f t="shared" si="63"/>
        <v/>
      </c>
      <c r="T132" s="1937" t="str">
        <f t="shared" si="64"/>
        <v/>
      </c>
      <c r="U132" s="1937" t="str">
        <f t="shared" si="65"/>
        <v/>
      </c>
      <c r="V132" s="1937" t="str">
        <f t="shared" si="66"/>
        <v/>
      </c>
      <c r="W132" s="1937" t="str">
        <f t="shared" si="67"/>
        <v/>
      </c>
      <c r="X132" s="1600" t="str">
        <f t="shared" si="68"/>
        <v/>
      </c>
      <c r="Z132" s="1935"/>
    </row>
    <row r="133" spans="1:26" ht="13.9" customHeight="1" x14ac:dyDescent="0.25">
      <c r="A133" s="1917">
        <f>Chem!A133</f>
        <v>131</v>
      </c>
      <c r="B133" s="1932" t="str">
        <f>Chem!B133</f>
        <v>2-Nitrophenol</v>
      </c>
      <c r="C133" s="2013" t="str">
        <f t="shared" si="69"/>
        <v>na</v>
      </c>
      <c r="D133" s="2014" t="str">
        <f t="shared" si="60"/>
        <v>na</v>
      </c>
      <c r="E133" s="2014" t="str">
        <f t="shared" si="70"/>
        <v>na</v>
      </c>
      <c r="F133" s="2033" t="str">
        <f>'SD-Det'!Z133</f>
        <v>na</v>
      </c>
      <c r="G133" s="2206" t="str">
        <f>'SD-Det'!C133</f>
        <v>no</v>
      </c>
      <c r="H133" s="1815" t="str">
        <f>'SD-Det'!K133</f>
        <v>na</v>
      </c>
      <c r="I133" s="1826" t="str">
        <f>'SD-Det'!M133</f>
        <v>na</v>
      </c>
      <c r="J133" s="1763" t="str">
        <f>'SD-Det'!H133</f>
        <v>na</v>
      </c>
      <c r="K133" s="1763" t="str">
        <f>'SD-Det'!G133</f>
        <v>na</v>
      </c>
      <c r="L133" s="1867" t="str">
        <f>'SD-Det'!Y133</f>
        <v>na</v>
      </c>
      <c r="M133" s="1867" t="str">
        <f>'SD-Det'!U133</f>
        <v>na</v>
      </c>
      <c r="N133" s="2219" t="str">
        <f>'SD-Det'!V133</f>
        <v>na</v>
      </c>
      <c r="O133" s="1862" t="str">
        <f>'SD-Det'!D133</f>
        <v>na</v>
      </c>
      <c r="P133" s="2225" t="str">
        <f>'SD-Det'!F133</f>
        <v>na</v>
      </c>
      <c r="R133" s="1936" t="str">
        <f t="shared" si="62"/>
        <v/>
      </c>
      <c r="S133" s="1937" t="str">
        <f t="shared" si="63"/>
        <v/>
      </c>
      <c r="T133" s="1937" t="str">
        <f t="shared" si="64"/>
        <v/>
      </c>
      <c r="U133" s="1937" t="str">
        <f t="shared" si="65"/>
        <v/>
      </c>
      <c r="V133" s="1937" t="str">
        <f t="shared" si="66"/>
        <v/>
      </c>
      <c r="W133" s="1937" t="str">
        <f t="shared" si="67"/>
        <v/>
      </c>
      <c r="X133" s="1600" t="str">
        <f t="shared" si="68"/>
        <v/>
      </c>
      <c r="Z133" s="1935"/>
    </row>
    <row r="134" spans="1:26" ht="13.9" customHeight="1" x14ac:dyDescent="0.25">
      <c r="A134" s="1917">
        <f>Chem!A134</f>
        <v>132</v>
      </c>
      <c r="B134" s="1932" t="str">
        <f>Chem!B134</f>
        <v>4-Nitrophenol</v>
      </c>
      <c r="C134" s="2013" t="str">
        <f t="shared" si="69"/>
        <v>na</v>
      </c>
      <c r="D134" s="2014" t="str">
        <f t="shared" si="60"/>
        <v>na</v>
      </c>
      <c r="E134" s="2014" t="str">
        <f t="shared" si="70"/>
        <v>na</v>
      </c>
      <c r="F134" s="2033" t="str">
        <f>'SD-Det'!Z134</f>
        <v>na</v>
      </c>
      <c r="G134" s="2206" t="str">
        <f>'SD-Det'!C134</f>
        <v>no</v>
      </c>
      <c r="H134" s="1815" t="str">
        <f>'SD-Det'!K134</f>
        <v>na</v>
      </c>
      <c r="I134" s="1826" t="str">
        <f>'SD-Det'!M134</f>
        <v>na</v>
      </c>
      <c r="J134" s="1763" t="str">
        <f>'SD-Det'!H134</f>
        <v>na</v>
      </c>
      <c r="K134" s="1763" t="str">
        <f>'SD-Det'!G134</f>
        <v>na</v>
      </c>
      <c r="L134" s="1867" t="str">
        <f>'SD-Det'!Y134</f>
        <v>na</v>
      </c>
      <c r="M134" s="1867" t="str">
        <f>'SD-Det'!U134</f>
        <v>na</v>
      </c>
      <c r="N134" s="2219" t="str">
        <f>'SD-Det'!V134</f>
        <v>na</v>
      </c>
      <c r="O134" s="1862" t="str">
        <f>'SD-Det'!D134</f>
        <v>na</v>
      </c>
      <c r="P134" s="2225" t="str">
        <f>'SD-Det'!F134</f>
        <v>na</v>
      </c>
      <c r="R134" s="1936" t="str">
        <f t="shared" si="62"/>
        <v/>
      </c>
      <c r="S134" s="1937" t="str">
        <f t="shared" si="63"/>
        <v/>
      </c>
      <c r="T134" s="1937" t="str">
        <f t="shared" si="64"/>
        <v/>
      </c>
      <c r="U134" s="1937" t="str">
        <f t="shared" si="65"/>
        <v/>
      </c>
      <c r="V134" s="1937" t="str">
        <f t="shared" si="66"/>
        <v/>
      </c>
      <c r="W134" s="1937" t="str">
        <f t="shared" si="67"/>
        <v/>
      </c>
      <c r="X134" s="1600" t="str">
        <f t="shared" si="68"/>
        <v/>
      </c>
      <c r="Z134" s="1935"/>
    </row>
    <row r="135" spans="1:26" ht="13.9" customHeight="1" x14ac:dyDescent="0.25">
      <c r="A135" s="1917">
        <f>Chem!A135</f>
        <v>133</v>
      </c>
      <c r="B135" s="1932" t="str">
        <f>Chem!B135</f>
        <v>n-Nitrosodimethylamine</v>
      </c>
      <c r="C135" s="2017" t="str">
        <f t="shared" si="69"/>
        <v>na</v>
      </c>
      <c r="D135" s="2018" t="str">
        <f t="shared" si="60"/>
        <v>na</v>
      </c>
      <c r="E135" s="2018" t="str">
        <f t="shared" si="70"/>
        <v>na</v>
      </c>
      <c r="F135" s="2033" t="str">
        <f>'SD-Det'!Z135</f>
        <v>na</v>
      </c>
      <c r="G135" s="2206" t="str">
        <f>'SD-Det'!C135</f>
        <v>no</v>
      </c>
      <c r="H135" s="1818" t="str">
        <f>'SD-Det'!K135</f>
        <v>na</v>
      </c>
      <c r="I135" s="1829" t="str">
        <f>'SD-Det'!M135</f>
        <v>na</v>
      </c>
      <c r="J135" s="1766" t="str">
        <f>'SD-Det'!H135</f>
        <v>na</v>
      </c>
      <c r="K135" s="1766" t="str">
        <f>'SD-Det'!G135</f>
        <v>na</v>
      </c>
      <c r="L135" s="1870" t="str">
        <f>'SD-Det'!Y135</f>
        <v>na</v>
      </c>
      <c r="M135" s="1870" t="str">
        <f>'SD-Det'!U135</f>
        <v>na</v>
      </c>
      <c r="N135" s="2219" t="str">
        <f>'SD-Det'!V135</f>
        <v>na</v>
      </c>
      <c r="O135" s="2004" t="str">
        <f>'SD-Det'!D135</f>
        <v>na</v>
      </c>
      <c r="P135" s="2229" t="str">
        <f>'SD-Det'!F135</f>
        <v>na</v>
      </c>
      <c r="R135" s="1936" t="str">
        <f t="shared" si="62"/>
        <v/>
      </c>
      <c r="S135" s="1937" t="str">
        <f t="shared" si="63"/>
        <v/>
      </c>
      <c r="T135" s="1937" t="str">
        <f t="shared" si="64"/>
        <v/>
      </c>
      <c r="U135" s="1937" t="str">
        <f t="shared" si="65"/>
        <v/>
      </c>
      <c r="V135" s="1937" t="str">
        <f t="shared" si="66"/>
        <v/>
      </c>
      <c r="W135" s="1937" t="str">
        <f t="shared" si="67"/>
        <v/>
      </c>
      <c r="X135" s="1600" t="str">
        <f t="shared" si="68"/>
        <v/>
      </c>
      <c r="Z135" s="1935"/>
    </row>
    <row r="136" spans="1:26" ht="13.9" customHeight="1" x14ac:dyDescent="0.25">
      <c r="A136" s="1917">
        <f>Chem!A136</f>
        <v>134</v>
      </c>
      <c r="B136" s="1932" t="str">
        <f>Chem!B136</f>
        <v>n-Nitrosodiphenylamine</v>
      </c>
      <c r="C136" s="2013" t="str">
        <f t="shared" si="69"/>
        <v>na</v>
      </c>
      <c r="D136" s="2014">
        <f t="shared" si="60"/>
        <v>2.8000000000000001E-2</v>
      </c>
      <c r="E136" s="2014">
        <f t="shared" si="70"/>
        <v>11</v>
      </c>
      <c r="F136" s="2033">
        <f>'SD-Det'!Z136</f>
        <v>2.8000000000000001E-2</v>
      </c>
      <c r="G136" s="2206" t="str">
        <f>'SD-Det'!C136</f>
        <v>no</v>
      </c>
      <c r="H136" s="1815" t="str">
        <f>'SD-Det'!K136</f>
        <v>na</v>
      </c>
      <c r="I136" s="1826" t="str">
        <f>'SD-Det'!M136</f>
        <v>na</v>
      </c>
      <c r="J136" s="1763">
        <f>'SD-Det'!H136</f>
        <v>2.8000000000000001E-2</v>
      </c>
      <c r="K136" s="1763">
        <f>'SD-Det'!G136</f>
        <v>11</v>
      </c>
      <c r="L136" s="1867" t="str">
        <f>'SD-Det'!Y136</f>
        <v>na</v>
      </c>
      <c r="M136" s="1867" t="str">
        <f>'SD-Det'!U136</f>
        <v>na</v>
      </c>
      <c r="N136" s="2219">
        <f>'SD-Det'!V136</f>
        <v>11</v>
      </c>
      <c r="O136" s="1862" t="str">
        <f>'SD-Det'!D136</f>
        <v>na</v>
      </c>
      <c r="P136" s="2225">
        <f>'SD-Det'!F136</f>
        <v>6.8000000000000005E-2</v>
      </c>
      <c r="R136" s="1936" t="str">
        <f t="shared" si="62"/>
        <v/>
      </c>
      <c r="S136" s="1937" t="str">
        <f t="shared" si="63"/>
        <v/>
      </c>
      <c r="T136" s="1937" t="str">
        <f t="shared" si="64"/>
        <v>X</v>
      </c>
      <c r="U136" s="1937" t="str">
        <f t="shared" si="65"/>
        <v/>
      </c>
      <c r="V136" s="1937" t="str">
        <f t="shared" si="66"/>
        <v/>
      </c>
      <c r="W136" s="1937" t="str">
        <f t="shared" si="67"/>
        <v/>
      </c>
      <c r="X136" s="1600" t="str">
        <f t="shared" si="68"/>
        <v/>
      </c>
      <c r="Z136" s="1935"/>
    </row>
    <row r="137" spans="1:26" ht="13.9" customHeight="1" x14ac:dyDescent="0.25">
      <c r="A137" s="1917">
        <f>Chem!A137</f>
        <v>135</v>
      </c>
      <c r="B137" s="1932" t="str">
        <f>Chem!B137</f>
        <v>n-Nitrosodi-n-propylamine</v>
      </c>
      <c r="C137" s="2013" t="str">
        <f t="shared" si="69"/>
        <v>na</v>
      </c>
      <c r="D137" s="2014" t="str">
        <f t="shared" si="60"/>
        <v>na</v>
      </c>
      <c r="E137" s="2014" t="str">
        <f t="shared" si="70"/>
        <v>na</v>
      </c>
      <c r="F137" s="2033" t="str">
        <f>'SD-Det'!Z137</f>
        <v>na</v>
      </c>
      <c r="G137" s="2206" t="str">
        <f>'SD-Det'!C137</f>
        <v>no</v>
      </c>
      <c r="H137" s="1815" t="str">
        <f>'SD-Det'!K137</f>
        <v>na</v>
      </c>
      <c r="I137" s="1826" t="str">
        <f>'SD-Det'!M137</f>
        <v>na</v>
      </c>
      <c r="J137" s="1763" t="str">
        <f>'SD-Det'!H137</f>
        <v>na</v>
      </c>
      <c r="K137" s="1763" t="str">
        <f>'SD-Det'!G137</f>
        <v>na</v>
      </c>
      <c r="L137" s="1867" t="str">
        <f>'SD-Det'!Y137</f>
        <v>na</v>
      </c>
      <c r="M137" s="1867" t="str">
        <f>'SD-Det'!U137</f>
        <v>na</v>
      </c>
      <c r="N137" s="2219" t="str">
        <f>'SD-Det'!V137</f>
        <v>na</v>
      </c>
      <c r="O137" s="1862" t="str">
        <f>'SD-Det'!D137</f>
        <v>na</v>
      </c>
      <c r="P137" s="2225" t="str">
        <f>'SD-Det'!F137</f>
        <v>na</v>
      </c>
      <c r="R137" s="1936" t="str">
        <f t="shared" si="62"/>
        <v/>
      </c>
      <c r="S137" s="1937" t="str">
        <f t="shared" si="63"/>
        <v/>
      </c>
      <c r="T137" s="1937" t="str">
        <f t="shared" si="64"/>
        <v/>
      </c>
      <c r="U137" s="1937" t="str">
        <f t="shared" si="65"/>
        <v/>
      </c>
      <c r="V137" s="1937" t="str">
        <f t="shared" si="66"/>
        <v/>
      </c>
      <c r="W137" s="1937" t="str">
        <f t="shared" si="67"/>
        <v/>
      </c>
      <c r="X137" s="1600" t="str">
        <f t="shared" si="68"/>
        <v/>
      </c>
      <c r="Z137" s="1935"/>
    </row>
    <row r="138" spans="1:26" ht="13.9" customHeight="1" x14ac:dyDescent="0.25">
      <c r="A138" s="1917">
        <f>Chem!A138</f>
        <v>136</v>
      </c>
      <c r="B138" s="1932" t="str">
        <f>Chem!B138</f>
        <v>Pentachlorophenol</v>
      </c>
      <c r="C138" s="2013">
        <f t="shared" si="69"/>
        <v>0.35499999999999998</v>
      </c>
      <c r="D138" s="2014">
        <f t="shared" si="60"/>
        <v>0.36</v>
      </c>
      <c r="E138" s="2014" t="str">
        <f t="shared" si="70"/>
        <v>na</v>
      </c>
      <c r="F138" s="2033">
        <f>'SD-Det'!Z138</f>
        <v>0.35499999999999998</v>
      </c>
      <c r="G138" s="2206" t="str">
        <f>'SD-Det'!C138</f>
        <v>YES</v>
      </c>
      <c r="H138" s="1815">
        <f>'SD-Det'!K138</f>
        <v>1.8132603583644278</v>
      </c>
      <c r="I138" s="1826">
        <f>'SD-Det'!M138</f>
        <v>0.35499999999999998</v>
      </c>
      <c r="J138" s="1763">
        <f>'SD-Det'!H138</f>
        <v>0.36</v>
      </c>
      <c r="K138" s="1763" t="str">
        <f>'SD-Det'!G138</f>
        <v>na</v>
      </c>
      <c r="L138" s="1867" t="str">
        <f>'SD-Det'!Y138</f>
        <v>na</v>
      </c>
      <c r="M138" s="1867" t="str">
        <f>'SD-Det'!U138</f>
        <v>na</v>
      </c>
      <c r="N138" s="2219" t="str">
        <f>'SD-Det'!V138</f>
        <v>na</v>
      </c>
      <c r="O138" s="1862" t="str">
        <f>'SD-Det'!D138</f>
        <v>na</v>
      </c>
      <c r="P138" s="2225">
        <f>'SD-Det'!F138</f>
        <v>0.35499999999999998</v>
      </c>
      <c r="R138" s="1936" t="str">
        <f t="shared" si="62"/>
        <v/>
      </c>
      <c r="S138" s="1937" t="str">
        <f t="shared" si="63"/>
        <v>X</v>
      </c>
      <c r="T138" s="1937" t="str">
        <f t="shared" si="64"/>
        <v/>
      </c>
      <c r="U138" s="1937" t="str">
        <f t="shared" si="65"/>
        <v/>
      </c>
      <c r="V138" s="1937" t="str">
        <f t="shared" si="66"/>
        <v/>
      </c>
      <c r="W138" s="1937" t="str">
        <f t="shared" si="67"/>
        <v/>
      </c>
      <c r="X138" s="1600" t="str">
        <f t="shared" si="68"/>
        <v>X</v>
      </c>
      <c r="Z138" s="1935"/>
    </row>
    <row r="139" spans="1:26" ht="13.9" customHeight="1" x14ac:dyDescent="0.25">
      <c r="A139" s="1917">
        <f>Chem!A139</f>
        <v>137</v>
      </c>
      <c r="B139" s="1932" t="str">
        <f>Chem!B139</f>
        <v>Phenol</v>
      </c>
      <c r="C139" s="2013" t="str">
        <f t="shared" si="69"/>
        <v>na</v>
      </c>
      <c r="D139" s="2014">
        <f t="shared" si="60"/>
        <v>0.42</v>
      </c>
      <c r="E139" s="2014" t="str">
        <f t="shared" si="70"/>
        <v>na</v>
      </c>
      <c r="F139" s="2033">
        <f>'SD-Det'!Z139</f>
        <v>0.42</v>
      </c>
      <c r="G139" s="2206" t="str">
        <f>'SD-Det'!C139</f>
        <v>no</v>
      </c>
      <c r="H139" s="1815" t="str">
        <f>'SD-Det'!K139</f>
        <v>na</v>
      </c>
      <c r="I139" s="1826" t="str">
        <f>'SD-Det'!M139</f>
        <v>na</v>
      </c>
      <c r="J139" s="1763">
        <f>'SD-Det'!H139</f>
        <v>0.42</v>
      </c>
      <c r="K139" s="1763" t="str">
        <f>'SD-Det'!G139</f>
        <v>na</v>
      </c>
      <c r="L139" s="1867" t="str">
        <f>'SD-Det'!Y139</f>
        <v>na</v>
      </c>
      <c r="M139" s="1867">
        <f>'SD-Det'!U139</f>
        <v>0.42</v>
      </c>
      <c r="N139" s="2219" t="str">
        <f>'SD-Det'!V139</f>
        <v>na</v>
      </c>
      <c r="O139" s="1862" t="str">
        <f>'SD-Det'!D139</f>
        <v>na</v>
      </c>
      <c r="P139" s="2225">
        <f>'SD-Det'!F139</f>
        <v>7.1999999999999995E-2</v>
      </c>
      <c r="R139" s="1936" t="str">
        <f t="shared" si="62"/>
        <v/>
      </c>
      <c r="S139" s="1937" t="str">
        <f t="shared" si="63"/>
        <v/>
      </c>
      <c r="T139" s="1937" t="str">
        <f t="shared" si="64"/>
        <v>X</v>
      </c>
      <c r="U139" s="1937" t="str">
        <f t="shared" si="65"/>
        <v/>
      </c>
      <c r="V139" s="1937" t="str">
        <f t="shared" si="66"/>
        <v>X</v>
      </c>
      <c r="W139" s="1937" t="str">
        <f t="shared" si="67"/>
        <v/>
      </c>
      <c r="X139" s="1600" t="str">
        <f t="shared" si="68"/>
        <v/>
      </c>
      <c r="Z139" s="1935"/>
    </row>
    <row r="140" spans="1:26" ht="13.9" customHeight="1" x14ac:dyDescent="0.25">
      <c r="A140" s="1917">
        <f>Chem!A140</f>
        <v>138</v>
      </c>
      <c r="B140" s="1932" t="str">
        <f>Chem!B140</f>
        <v>Pyridine</v>
      </c>
      <c r="C140" s="2013" t="str">
        <f t="shared" si="69"/>
        <v>na</v>
      </c>
      <c r="D140" s="2014" t="str">
        <f t="shared" si="60"/>
        <v>na</v>
      </c>
      <c r="E140" s="2014" t="str">
        <f t="shared" si="70"/>
        <v>na</v>
      </c>
      <c r="F140" s="2033" t="str">
        <f>'SD-Det'!Z140</f>
        <v>na</v>
      </c>
      <c r="G140" s="2206" t="str">
        <f>'SD-Det'!C140</f>
        <v>no</v>
      </c>
      <c r="H140" s="1815" t="str">
        <f>'SD-Det'!K140</f>
        <v>na</v>
      </c>
      <c r="I140" s="1826" t="str">
        <f>'SD-Det'!M140</f>
        <v>na</v>
      </c>
      <c r="J140" s="1763" t="str">
        <f>'SD-Det'!H140</f>
        <v>na</v>
      </c>
      <c r="K140" s="1763" t="str">
        <f>'SD-Det'!G140</f>
        <v>na</v>
      </c>
      <c r="L140" s="1867" t="str">
        <f>'SD-Det'!Y140</f>
        <v>na</v>
      </c>
      <c r="M140" s="1867" t="str">
        <f>'SD-Det'!U140</f>
        <v>na</v>
      </c>
      <c r="N140" s="2219" t="str">
        <f>'SD-Det'!V140</f>
        <v>na</v>
      </c>
      <c r="O140" s="1862" t="str">
        <f>'SD-Det'!D140</f>
        <v>na</v>
      </c>
      <c r="P140" s="2225" t="str">
        <f>'SD-Det'!F140</f>
        <v>na</v>
      </c>
      <c r="R140" s="1936" t="str">
        <f t="shared" si="62"/>
        <v/>
      </c>
      <c r="S140" s="1937" t="str">
        <f t="shared" si="63"/>
        <v/>
      </c>
      <c r="T140" s="1937" t="str">
        <f t="shared" si="64"/>
        <v/>
      </c>
      <c r="U140" s="1937" t="str">
        <f t="shared" si="65"/>
        <v/>
      </c>
      <c r="V140" s="1937" t="str">
        <f t="shared" si="66"/>
        <v/>
      </c>
      <c r="W140" s="1937" t="str">
        <f t="shared" si="67"/>
        <v/>
      </c>
      <c r="X140" s="1600" t="str">
        <f t="shared" si="68"/>
        <v/>
      </c>
      <c r="Z140" s="1935"/>
    </row>
    <row r="141" spans="1:26" ht="13.9" customHeight="1" x14ac:dyDescent="0.25">
      <c r="A141" s="1917">
        <f>Chem!A141</f>
        <v>139</v>
      </c>
      <c r="B141" s="1932" t="str">
        <f>Chem!B141</f>
        <v>2,3,4,5-Tetrachlorophenol</v>
      </c>
      <c r="C141" s="2013" t="str">
        <f t="shared" si="69"/>
        <v>na</v>
      </c>
      <c r="D141" s="2014" t="str">
        <f t="shared" si="60"/>
        <v>na</v>
      </c>
      <c r="E141" s="2014" t="str">
        <f t="shared" si="70"/>
        <v>na</v>
      </c>
      <c r="F141" s="2033" t="str">
        <f>'SD-Det'!Z141</f>
        <v>na</v>
      </c>
      <c r="G141" s="2206" t="str">
        <f>'SD-Det'!C141</f>
        <v>no</v>
      </c>
      <c r="H141" s="1815" t="str">
        <f>'SD-Det'!K141</f>
        <v>na</v>
      </c>
      <c r="I141" s="1826" t="str">
        <f>'SD-Det'!M141</f>
        <v>na</v>
      </c>
      <c r="J141" s="1763" t="str">
        <f>'SD-Det'!H141</f>
        <v>na</v>
      </c>
      <c r="K141" s="1763" t="str">
        <f>'SD-Det'!G141</f>
        <v>na</v>
      </c>
      <c r="L141" s="1867" t="str">
        <f>'SD-Det'!Y141</f>
        <v>na</v>
      </c>
      <c r="M141" s="1867" t="str">
        <f>'SD-Det'!U141</f>
        <v>na</v>
      </c>
      <c r="N141" s="2219" t="str">
        <f>'SD-Det'!V141</f>
        <v>na</v>
      </c>
      <c r="O141" s="1862" t="str">
        <f>'SD-Det'!D141</f>
        <v>na</v>
      </c>
      <c r="P141" s="2225" t="str">
        <f>'SD-Det'!F141</f>
        <v>na</v>
      </c>
      <c r="R141" s="1936" t="str">
        <f t="shared" si="62"/>
        <v/>
      </c>
      <c r="S141" s="1937" t="str">
        <f t="shared" si="63"/>
        <v/>
      </c>
      <c r="T141" s="1937" t="str">
        <f t="shared" si="64"/>
        <v/>
      </c>
      <c r="U141" s="1937" t="str">
        <f t="shared" si="65"/>
        <v/>
      </c>
      <c r="V141" s="1937" t="str">
        <f t="shared" si="66"/>
        <v/>
      </c>
      <c r="W141" s="1937" t="str">
        <f t="shared" si="67"/>
        <v/>
      </c>
      <c r="X141" s="1600" t="str">
        <f t="shared" si="68"/>
        <v/>
      </c>
      <c r="Z141" s="1935"/>
    </row>
    <row r="142" spans="1:26" ht="13.9" customHeight="1" x14ac:dyDescent="0.25">
      <c r="A142" s="1917">
        <f>Chem!A142</f>
        <v>140</v>
      </c>
      <c r="B142" s="1932" t="str">
        <f>Chem!B142</f>
        <v>2,3,4,6-Tetrachlorophenol</v>
      </c>
      <c r="C142" s="2013" t="str">
        <f t="shared" si="69"/>
        <v>na</v>
      </c>
      <c r="D142" s="2014" t="str">
        <f t="shared" si="60"/>
        <v>na</v>
      </c>
      <c r="E142" s="2014" t="str">
        <f t="shared" si="70"/>
        <v>na</v>
      </c>
      <c r="F142" s="2033" t="str">
        <f>'SD-Det'!Z142</f>
        <v>na</v>
      </c>
      <c r="G142" s="2206" t="str">
        <f>'SD-Det'!C142</f>
        <v>no</v>
      </c>
      <c r="H142" s="1815" t="str">
        <f>'SD-Det'!K142</f>
        <v>na</v>
      </c>
      <c r="I142" s="1826" t="str">
        <f>'SD-Det'!M142</f>
        <v>na</v>
      </c>
      <c r="J142" s="1763" t="str">
        <f>'SD-Det'!H142</f>
        <v>na</v>
      </c>
      <c r="K142" s="1763" t="str">
        <f>'SD-Det'!G142</f>
        <v>na</v>
      </c>
      <c r="L142" s="1867" t="str">
        <f>'SD-Det'!Y142</f>
        <v>na</v>
      </c>
      <c r="M142" s="1867" t="str">
        <f>'SD-Det'!U142</f>
        <v>na</v>
      </c>
      <c r="N142" s="2219" t="str">
        <f>'SD-Det'!V142</f>
        <v>na</v>
      </c>
      <c r="O142" s="1862" t="str">
        <f>'SD-Det'!D142</f>
        <v>na</v>
      </c>
      <c r="P142" s="2225" t="str">
        <f>'SD-Det'!F142</f>
        <v>na</v>
      </c>
      <c r="R142" s="1936" t="str">
        <f t="shared" si="62"/>
        <v/>
      </c>
      <c r="S142" s="1937" t="str">
        <f t="shared" si="63"/>
        <v/>
      </c>
      <c r="T142" s="1937" t="str">
        <f t="shared" si="64"/>
        <v/>
      </c>
      <c r="U142" s="1937" t="str">
        <f t="shared" si="65"/>
        <v/>
      </c>
      <c r="V142" s="1937" t="str">
        <f t="shared" si="66"/>
        <v/>
      </c>
      <c r="W142" s="1937" t="str">
        <f t="shared" si="67"/>
        <v/>
      </c>
      <c r="X142" s="1600" t="str">
        <f t="shared" si="68"/>
        <v/>
      </c>
      <c r="Z142" s="1935"/>
    </row>
    <row r="143" spans="1:26" ht="13.9" customHeight="1" x14ac:dyDescent="0.25">
      <c r="A143" s="1917">
        <f>Chem!A143</f>
        <v>141</v>
      </c>
      <c r="B143" s="1932" t="str">
        <f>Chem!B143</f>
        <v>1,2,4-Trichlorobenzene</v>
      </c>
      <c r="C143" s="2013" t="str">
        <f t="shared" si="69"/>
        <v>na</v>
      </c>
      <c r="D143" s="2014">
        <f t="shared" ref="D143:D145" si="71">IF(ISNUMBER(M143),M143,IF(ISNUMBER(J143),J143,"na"))</f>
        <v>3.1E-2</v>
      </c>
      <c r="E143" s="2014">
        <f t="shared" si="70"/>
        <v>0.81</v>
      </c>
      <c r="F143" s="2033">
        <f>'SD-Det'!Z143</f>
        <v>3.1E-2</v>
      </c>
      <c r="G143" s="2206" t="str">
        <f>'SD-Det'!C143</f>
        <v>no</v>
      </c>
      <c r="H143" s="1815" t="str">
        <f>'SD-Det'!K143</f>
        <v>na</v>
      </c>
      <c r="I143" s="1826" t="str">
        <f>'SD-Det'!M143</f>
        <v>na</v>
      </c>
      <c r="J143" s="1763">
        <f>'SD-Det'!H143</f>
        <v>3.1E-2</v>
      </c>
      <c r="K143" s="1763">
        <f>'SD-Det'!G143</f>
        <v>0.81</v>
      </c>
      <c r="L143" s="1867" t="str">
        <f>'SD-Det'!Y143</f>
        <v>na</v>
      </c>
      <c r="M143" s="1867" t="str">
        <f>'SD-Det'!U143</f>
        <v>na</v>
      </c>
      <c r="N143" s="2219">
        <f>'SD-Det'!V143</f>
        <v>0.81</v>
      </c>
      <c r="O143" s="1862" t="str">
        <f>'SD-Det'!D143</f>
        <v>na</v>
      </c>
      <c r="P143" s="2225">
        <f>'SD-Det'!F143</f>
        <v>6.8000000000000005E-2</v>
      </c>
      <c r="R143" s="1936" t="str">
        <f t="shared" ref="R143:R145" si="72">IF($F143="na","",IF($F143=H143,"X",""))</f>
        <v/>
      </c>
      <c r="S143" s="1937" t="str">
        <f t="shared" ref="S143:S145" si="73">IF($F143="na","",IF($F143=I143,"X",""))</f>
        <v/>
      </c>
      <c r="T143" s="1937" t="str">
        <f t="shared" ref="T143:T145" si="74">IF($F143="na","",IF($F143=J143,"X",""))</f>
        <v>X</v>
      </c>
      <c r="U143" s="1937" t="str">
        <f t="shared" ref="U143:U145" si="75">IF($F143="na","",IF($F143=L143,"X",""))</f>
        <v/>
      </c>
      <c r="V143" s="1937" t="str">
        <f t="shared" ref="V143:V145" si="76">IF($F143="na","",IF($F143=M143,"X",""))</f>
        <v/>
      </c>
      <c r="W143" s="1937" t="str">
        <f t="shared" ref="W143:W145" si="77">IF($F143="na","",IF($F143=O143,"X",""))</f>
        <v/>
      </c>
      <c r="X143" s="1600" t="str">
        <f t="shared" ref="X143:X145" si="78">IF($F143="na","",IF($F143=P143,"X",""))</f>
        <v/>
      </c>
      <c r="Z143" s="1935"/>
    </row>
    <row r="144" spans="1:26" ht="13.9" customHeight="1" x14ac:dyDescent="0.25">
      <c r="A144" s="1917">
        <f>Chem!A144</f>
        <v>142</v>
      </c>
      <c r="B144" s="1932" t="str">
        <f>Chem!B144</f>
        <v>2,4,5-Trichlorophenol</v>
      </c>
      <c r="C144" s="2013" t="str">
        <f t="shared" si="69"/>
        <v>na</v>
      </c>
      <c r="D144" s="2014" t="str">
        <f t="shared" si="71"/>
        <v>na</v>
      </c>
      <c r="E144" s="2014" t="str">
        <f t="shared" si="70"/>
        <v>na</v>
      </c>
      <c r="F144" s="2033" t="str">
        <f>'SD-Det'!Z144</f>
        <v>na</v>
      </c>
      <c r="G144" s="2206" t="str">
        <f>'SD-Det'!C144</f>
        <v>no</v>
      </c>
      <c r="H144" s="1815" t="str">
        <f>'SD-Det'!K144</f>
        <v>na</v>
      </c>
      <c r="I144" s="1826" t="str">
        <f>'SD-Det'!M144</f>
        <v>na</v>
      </c>
      <c r="J144" s="1763" t="str">
        <f>'SD-Det'!H144</f>
        <v>na</v>
      </c>
      <c r="K144" s="1763" t="str">
        <f>'SD-Det'!G144</f>
        <v>na</v>
      </c>
      <c r="L144" s="1867" t="str">
        <f>'SD-Det'!Y144</f>
        <v>na</v>
      </c>
      <c r="M144" s="1867" t="str">
        <f>'SD-Det'!U144</f>
        <v>na</v>
      </c>
      <c r="N144" s="2219" t="str">
        <f>'SD-Det'!V144</f>
        <v>na</v>
      </c>
      <c r="O144" s="1862" t="str">
        <f>'SD-Det'!D144</f>
        <v>na</v>
      </c>
      <c r="P144" s="2225" t="str">
        <f>'SD-Det'!F144</f>
        <v>na</v>
      </c>
      <c r="R144" s="1936" t="str">
        <f t="shared" si="72"/>
        <v/>
      </c>
      <c r="S144" s="1937" t="str">
        <f t="shared" si="73"/>
        <v/>
      </c>
      <c r="T144" s="1937" t="str">
        <f t="shared" si="74"/>
        <v/>
      </c>
      <c r="U144" s="1937" t="str">
        <f t="shared" si="75"/>
        <v/>
      </c>
      <c r="V144" s="1937" t="str">
        <f t="shared" si="76"/>
        <v/>
      </c>
      <c r="W144" s="1937" t="str">
        <f t="shared" si="77"/>
        <v/>
      </c>
      <c r="X144" s="1600" t="str">
        <f t="shared" si="78"/>
        <v/>
      </c>
      <c r="Z144" s="1935"/>
    </row>
    <row r="145" spans="1:26" ht="13.9" customHeight="1" x14ac:dyDescent="0.25">
      <c r="A145" s="1908">
        <f>Chem!A145</f>
        <v>143</v>
      </c>
      <c r="B145" s="1932" t="str">
        <f>Chem!B145</f>
        <v>2,4,6-Trichlorophenol</v>
      </c>
      <c r="C145" s="2013" t="str">
        <f t="shared" si="69"/>
        <v>na</v>
      </c>
      <c r="D145" s="2014" t="str">
        <f t="shared" si="71"/>
        <v>na</v>
      </c>
      <c r="E145" s="2014" t="str">
        <f t="shared" si="70"/>
        <v>na</v>
      </c>
      <c r="F145" s="2033" t="str">
        <f>'SD-Det'!Z145</f>
        <v>na</v>
      </c>
      <c r="G145" s="2206" t="str">
        <f>'SD-Det'!C145</f>
        <v>no</v>
      </c>
      <c r="H145" s="1815" t="str">
        <f>'SD-Det'!K145</f>
        <v>na</v>
      </c>
      <c r="I145" s="1826" t="str">
        <f>'SD-Det'!M145</f>
        <v>na</v>
      </c>
      <c r="J145" s="1763" t="str">
        <f>'SD-Det'!H145</f>
        <v>na</v>
      </c>
      <c r="K145" s="1763" t="str">
        <f>'SD-Det'!G145</f>
        <v>na</v>
      </c>
      <c r="L145" s="1867" t="str">
        <f>'SD-Det'!Y145</f>
        <v>na</v>
      </c>
      <c r="M145" s="1867" t="str">
        <f>'SD-Det'!U145</f>
        <v>na</v>
      </c>
      <c r="N145" s="2219" t="str">
        <f>'SD-Det'!V145</f>
        <v>na</v>
      </c>
      <c r="O145" s="1862" t="str">
        <f>'SD-Det'!D145</f>
        <v>na</v>
      </c>
      <c r="P145" s="2225" t="str">
        <f>'SD-Det'!F145</f>
        <v>na</v>
      </c>
      <c r="R145" s="1938" t="str">
        <f t="shared" si="72"/>
        <v/>
      </c>
      <c r="S145" s="1939" t="str">
        <f t="shared" si="73"/>
        <v/>
      </c>
      <c r="T145" s="1939" t="str">
        <f t="shared" si="74"/>
        <v/>
      </c>
      <c r="U145" s="1939" t="str">
        <f t="shared" si="75"/>
        <v/>
      </c>
      <c r="V145" s="1939" t="str">
        <f t="shared" si="76"/>
        <v/>
      </c>
      <c r="W145" s="1939" t="str">
        <f t="shared" si="77"/>
        <v/>
      </c>
      <c r="X145" s="1604" t="str">
        <f t="shared" si="78"/>
        <v/>
      </c>
      <c r="Z145" s="1935"/>
    </row>
    <row r="146" spans="1:26" ht="13.9" customHeight="1" x14ac:dyDescent="0.25">
      <c r="A146" s="1919">
        <f>Chem!A146</f>
        <v>144</v>
      </c>
      <c r="B146" s="1928" t="str">
        <f>Chem!B146</f>
        <v>Volatile Organic Compounds</v>
      </c>
      <c r="C146" s="54"/>
      <c r="D146" s="54"/>
      <c r="E146" s="54"/>
      <c r="F146" s="2335"/>
      <c r="G146" s="2335"/>
      <c r="H146" s="54"/>
      <c r="I146" s="54"/>
      <c r="J146" s="54"/>
      <c r="K146" s="54"/>
      <c r="L146" s="54"/>
      <c r="M146" s="54"/>
      <c r="N146" s="54"/>
      <c r="O146" s="54"/>
      <c r="P146" s="1524"/>
      <c r="R146" s="2039" t="str">
        <f>B146</f>
        <v>Volatile Organic Compounds</v>
      </c>
      <c r="S146" s="2339"/>
      <c r="T146" s="2339"/>
      <c r="U146" s="2339"/>
      <c r="V146" s="2339"/>
      <c r="W146" s="2339"/>
      <c r="X146" s="2340"/>
      <c r="Z146" s="1940"/>
    </row>
    <row r="147" spans="1:26" ht="13.9" customHeight="1" x14ac:dyDescent="0.25">
      <c r="A147" s="1916">
        <f>Chem!A147</f>
        <v>145</v>
      </c>
      <c r="B147" s="1932" t="str">
        <f>Chem!B147</f>
        <v>Acetone</v>
      </c>
      <c r="C147" s="2011" t="str">
        <f t="shared" ref="C147:C178" si="79">IF(ISNUMBER(L147),L147,IF(MIN(H147,I147)=0,"na",MAX(MIN(H147,I147),O147,P147)))</f>
        <v>na</v>
      </c>
      <c r="D147" s="2015" t="str">
        <f t="shared" ref="D147:D210" si="80">IF(ISNUMBER(M147),M147,IF(ISNUMBER(J147),J147,"na"))</f>
        <v>na</v>
      </c>
      <c r="E147" s="2014" t="str">
        <f t="shared" ref="E147:E178" si="81">IF(ISNUMBER(N147),N147,K147)</f>
        <v>na</v>
      </c>
      <c r="F147" s="2032" t="str">
        <f>'SD-Det'!Z147</f>
        <v>na</v>
      </c>
      <c r="G147" s="2205" t="str">
        <f>'SD-Det'!C147</f>
        <v>no</v>
      </c>
      <c r="H147" s="1816" t="str">
        <f>'SD-Det'!K147</f>
        <v>na</v>
      </c>
      <c r="I147" s="1827" t="str">
        <f>'SD-Det'!M147</f>
        <v>na</v>
      </c>
      <c r="J147" s="1764" t="str">
        <f>'SD-Det'!H147</f>
        <v>na</v>
      </c>
      <c r="K147" s="1764" t="str">
        <f>'SD-Det'!G147</f>
        <v>na</v>
      </c>
      <c r="L147" s="1868" t="str">
        <f>'SD-Det'!Y147</f>
        <v>na</v>
      </c>
      <c r="M147" s="1868" t="str">
        <f>'SD-Det'!U147</f>
        <v>na</v>
      </c>
      <c r="N147" s="2219" t="str">
        <f>'SD-Det'!V147</f>
        <v>na</v>
      </c>
      <c r="O147" s="1864" t="str">
        <f>'SD-Det'!D147</f>
        <v>na</v>
      </c>
      <c r="P147" s="2226" t="str">
        <f>'SD-Det'!F147</f>
        <v>na</v>
      </c>
      <c r="R147" s="1933" t="str">
        <f t="shared" ref="R147:R210" si="82">IF($F147="na","",IF($F147=H147,"X",""))</f>
        <v/>
      </c>
      <c r="S147" s="1934" t="str">
        <f t="shared" ref="S147:S210" si="83">IF($F147="na","",IF($F147=I147,"X",""))</f>
        <v/>
      </c>
      <c r="T147" s="1934" t="str">
        <f t="shared" ref="T147:T210" si="84">IF($F147="na","",IF($F147=J147,"X",""))</f>
        <v/>
      </c>
      <c r="U147" s="1934" t="str">
        <f t="shared" ref="U147:U210" si="85">IF($F147="na","",IF($F147=L147,"X",""))</f>
        <v/>
      </c>
      <c r="V147" s="1934" t="str">
        <f t="shared" ref="V147:V210" si="86">IF($F147="na","",IF($F147=M147,"X",""))</f>
        <v/>
      </c>
      <c r="W147" s="1934" t="str">
        <f t="shared" ref="W147:W210" si="87">IF($F147="na","",IF($F147=O147,"X",""))</f>
        <v/>
      </c>
      <c r="X147" s="1603" t="str">
        <f t="shared" ref="X147:X210" si="88">IF($F147="na","",IF($F147=P147,"X",""))</f>
        <v/>
      </c>
      <c r="Z147" s="1935"/>
    </row>
    <row r="148" spans="1:26" ht="13.9" customHeight="1" x14ac:dyDescent="0.25">
      <c r="A148" s="1916">
        <f>Chem!A148</f>
        <v>146</v>
      </c>
      <c r="B148" s="1932" t="str">
        <f>Chem!B148</f>
        <v>Acetaldehyde</v>
      </c>
      <c r="C148" s="2013" t="str">
        <f t="shared" si="79"/>
        <v>na</v>
      </c>
      <c r="D148" s="2014" t="str">
        <f t="shared" si="80"/>
        <v>na</v>
      </c>
      <c r="E148" s="2014" t="str">
        <f t="shared" si="81"/>
        <v>na</v>
      </c>
      <c r="F148" s="2033" t="str">
        <f>'SD-Det'!Z148</f>
        <v>na</v>
      </c>
      <c r="G148" s="2206" t="str">
        <f>'SD-Det'!C148</f>
        <v>no</v>
      </c>
      <c r="H148" s="1815" t="str">
        <f>'SD-Det'!K148</f>
        <v>na</v>
      </c>
      <c r="I148" s="1826" t="str">
        <f>'SD-Det'!M148</f>
        <v>na</v>
      </c>
      <c r="J148" s="1763" t="str">
        <f>'SD-Det'!H148</f>
        <v>na</v>
      </c>
      <c r="K148" s="1763" t="str">
        <f>'SD-Det'!G148</f>
        <v>na</v>
      </c>
      <c r="L148" s="1867" t="str">
        <f>'SD-Det'!Y148</f>
        <v>na</v>
      </c>
      <c r="M148" s="1867" t="str">
        <f>'SD-Det'!U148</f>
        <v>na</v>
      </c>
      <c r="N148" s="2219" t="str">
        <f>'SD-Det'!V148</f>
        <v>na</v>
      </c>
      <c r="O148" s="1862" t="str">
        <f>'SD-Det'!D148</f>
        <v>na</v>
      </c>
      <c r="P148" s="2225" t="str">
        <f>'SD-Det'!F148</f>
        <v>na</v>
      </c>
      <c r="R148" s="1936" t="str">
        <f t="shared" si="82"/>
        <v/>
      </c>
      <c r="S148" s="1937" t="str">
        <f t="shared" si="83"/>
        <v/>
      </c>
      <c r="T148" s="1937" t="str">
        <f t="shared" si="84"/>
        <v/>
      </c>
      <c r="U148" s="1937" t="str">
        <f t="shared" si="85"/>
        <v/>
      </c>
      <c r="V148" s="1937" t="str">
        <f t="shared" si="86"/>
        <v/>
      </c>
      <c r="W148" s="1937" t="str">
        <f t="shared" si="87"/>
        <v/>
      </c>
      <c r="X148" s="1600" t="str">
        <f t="shared" si="88"/>
        <v/>
      </c>
      <c r="Z148" s="1935"/>
    </row>
    <row r="149" spans="1:26" ht="13.9" customHeight="1" x14ac:dyDescent="0.25">
      <c r="A149" s="1916">
        <f>Chem!A149</f>
        <v>147</v>
      </c>
      <c r="B149" s="1932" t="str">
        <f>Chem!B149</f>
        <v>Acrolein</v>
      </c>
      <c r="C149" s="2013" t="str">
        <f t="shared" si="79"/>
        <v>na</v>
      </c>
      <c r="D149" s="2014" t="str">
        <f t="shared" si="80"/>
        <v>na</v>
      </c>
      <c r="E149" s="2014" t="str">
        <f t="shared" si="81"/>
        <v>na</v>
      </c>
      <c r="F149" s="2033" t="str">
        <f>'SD-Det'!Z149</f>
        <v>na</v>
      </c>
      <c r="G149" s="2206" t="str">
        <f>'SD-Det'!C149</f>
        <v>no</v>
      </c>
      <c r="H149" s="1815" t="str">
        <f>'SD-Det'!K149</f>
        <v>na</v>
      </c>
      <c r="I149" s="1826" t="str">
        <f>'SD-Det'!M149</f>
        <v>na</v>
      </c>
      <c r="J149" s="1763" t="str">
        <f>'SD-Det'!H149</f>
        <v>na</v>
      </c>
      <c r="K149" s="1763" t="str">
        <f>'SD-Det'!G149</f>
        <v>na</v>
      </c>
      <c r="L149" s="1867" t="str">
        <f>'SD-Det'!Y149</f>
        <v>na</v>
      </c>
      <c r="M149" s="1867" t="str">
        <f>'SD-Det'!U149</f>
        <v>na</v>
      </c>
      <c r="N149" s="2219" t="str">
        <f>'SD-Det'!V149</f>
        <v>na</v>
      </c>
      <c r="O149" s="1862" t="str">
        <f>'SD-Det'!D149</f>
        <v>na</v>
      </c>
      <c r="P149" s="2225" t="str">
        <f>'SD-Det'!F149</f>
        <v>na</v>
      </c>
      <c r="R149" s="1936" t="str">
        <f t="shared" si="82"/>
        <v/>
      </c>
      <c r="S149" s="1937" t="str">
        <f t="shared" si="83"/>
        <v/>
      </c>
      <c r="T149" s="1937" t="str">
        <f t="shared" si="84"/>
        <v/>
      </c>
      <c r="U149" s="1937" t="str">
        <f t="shared" si="85"/>
        <v/>
      </c>
      <c r="V149" s="1937" t="str">
        <f t="shared" si="86"/>
        <v/>
      </c>
      <c r="W149" s="1937" t="str">
        <f t="shared" si="87"/>
        <v/>
      </c>
      <c r="X149" s="1600" t="str">
        <f t="shared" si="88"/>
        <v/>
      </c>
      <c r="Z149" s="1935"/>
    </row>
    <row r="150" spans="1:26" ht="13.9" customHeight="1" x14ac:dyDescent="0.25">
      <c r="A150" s="1916">
        <f>Chem!A150</f>
        <v>148</v>
      </c>
      <c r="B150" s="1932" t="str">
        <f>Chem!B150</f>
        <v>Acrylonitrile</v>
      </c>
      <c r="C150" s="2017" t="str">
        <f t="shared" si="79"/>
        <v>na</v>
      </c>
      <c r="D150" s="2018" t="str">
        <f t="shared" si="80"/>
        <v>na</v>
      </c>
      <c r="E150" s="2018" t="str">
        <f t="shared" si="81"/>
        <v>na</v>
      </c>
      <c r="F150" s="2033" t="str">
        <f>'SD-Det'!Z150</f>
        <v>na</v>
      </c>
      <c r="G150" s="2206" t="str">
        <f>'SD-Det'!C150</f>
        <v>no</v>
      </c>
      <c r="H150" s="1818" t="str">
        <f>'SD-Det'!K150</f>
        <v>na</v>
      </c>
      <c r="I150" s="1829" t="str">
        <f>'SD-Det'!M150</f>
        <v>na</v>
      </c>
      <c r="J150" s="1766" t="str">
        <f>'SD-Det'!H150</f>
        <v>na</v>
      </c>
      <c r="K150" s="1766" t="str">
        <f>'SD-Det'!G150</f>
        <v>na</v>
      </c>
      <c r="L150" s="1870" t="str">
        <f>'SD-Det'!Y150</f>
        <v>na</v>
      </c>
      <c r="M150" s="1870" t="str">
        <f>'SD-Det'!U150</f>
        <v>na</v>
      </c>
      <c r="N150" s="2219" t="str">
        <f>'SD-Det'!V150</f>
        <v>na</v>
      </c>
      <c r="O150" s="2004" t="str">
        <f>'SD-Det'!D150</f>
        <v>na</v>
      </c>
      <c r="P150" s="2229" t="str">
        <f>'SD-Det'!F150</f>
        <v>na</v>
      </c>
      <c r="R150" s="1936" t="str">
        <f t="shared" si="82"/>
        <v/>
      </c>
      <c r="S150" s="1937" t="str">
        <f t="shared" si="83"/>
        <v/>
      </c>
      <c r="T150" s="1937" t="str">
        <f t="shared" si="84"/>
        <v/>
      </c>
      <c r="U150" s="1937" t="str">
        <f t="shared" si="85"/>
        <v/>
      </c>
      <c r="V150" s="1937" t="str">
        <f t="shared" si="86"/>
        <v/>
      </c>
      <c r="W150" s="1937" t="str">
        <f t="shared" si="87"/>
        <v/>
      </c>
      <c r="X150" s="1600" t="str">
        <f t="shared" si="88"/>
        <v/>
      </c>
      <c r="Z150" s="1935"/>
    </row>
    <row r="151" spans="1:26" ht="13.9" customHeight="1" x14ac:dyDescent="0.25">
      <c r="A151" s="1916">
        <f>Chem!A151</f>
        <v>149</v>
      </c>
      <c r="B151" s="1932" t="str">
        <f>Chem!B151</f>
        <v>Benzaldehyde</v>
      </c>
      <c r="C151" s="2013" t="str">
        <f t="shared" si="79"/>
        <v>na</v>
      </c>
      <c r="D151" s="2014" t="str">
        <f t="shared" si="80"/>
        <v>na</v>
      </c>
      <c r="E151" s="2014" t="str">
        <f t="shared" si="81"/>
        <v>na</v>
      </c>
      <c r="F151" s="2033" t="str">
        <f>'SD-Det'!Z151</f>
        <v>na</v>
      </c>
      <c r="G151" s="2206" t="str">
        <f>'SD-Det'!C151</f>
        <v>no</v>
      </c>
      <c r="H151" s="1815" t="str">
        <f>'SD-Det'!K151</f>
        <v>na</v>
      </c>
      <c r="I151" s="1826" t="str">
        <f>'SD-Det'!M151</f>
        <v>na</v>
      </c>
      <c r="J151" s="1763" t="str">
        <f>'SD-Det'!H151</f>
        <v>na</v>
      </c>
      <c r="K151" s="1763" t="str">
        <f>'SD-Det'!G151</f>
        <v>na</v>
      </c>
      <c r="L151" s="1867" t="str">
        <f>'SD-Det'!Y151</f>
        <v>na</v>
      </c>
      <c r="M151" s="1867" t="str">
        <f>'SD-Det'!U151</f>
        <v>na</v>
      </c>
      <c r="N151" s="2219" t="str">
        <f>'SD-Det'!V151</f>
        <v>na</v>
      </c>
      <c r="O151" s="1862" t="str">
        <f>'SD-Det'!D151</f>
        <v>na</v>
      </c>
      <c r="P151" s="2225" t="str">
        <f>'SD-Det'!F151</f>
        <v>na</v>
      </c>
      <c r="R151" s="1936" t="str">
        <f t="shared" si="82"/>
        <v/>
      </c>
      <c r="S151" s="1937" t="str">
        <f t="shared" si="83"/>
        <v/>
      </c>
      <c r="T151" s="1937" t="str">
        <f t="shared" si="84"/>
        <v/>
      </c>
      <c r="U151" s="1937" t="str">
        <f t="shared" si="85"/>
        <v/>
      </c>
      <c r="V151" s="1937" t="str">
        <f t="shared" si="86"/>
        <v/>
      </c>
      <c r="W151" s="1937" t="str">
        <f t="shared" si="87"/>
        <v/>
      </c>
      <c r="X151" s="1600" t="str">
        <f t="shared" si="88"/>
        <v/>
      </c>
      <c r="Z151" s="1935"/>
    </row>
    <row r="152" spans="1:26" ht="13.9" customHeight="1" x14ac:dyDescent="0.25">
      <c r="A152" s="1916">
        <f>Chem!A152</f>
        <v>150</v>
      </c>
      <c r="B152" s="1932" t="str">
        <f>Chem!B152</f>
        <v>Benzene</v>
      </c>
      <c r="C152" s="2017" t="str">
        <f t="shared" si="79"/>
        <v>na</v>
      </c>
      <c r="D152" s="2018" t="str">
        <f t="shared" si="80"/>
        <v>na</v>
      </c>
      <c r="E152" s="2018" t="str">
        <f t="shared" si="81"/>
        <v>na</v>
      </c>
      <c r="F152" s="2033" t="str">
        <f>'SD-Det'!Z152</f>
        <v>na</v>
      </c>
      <c r="G152" s="2206" t="str">
        <f>'SD-Det'!C152</f>
        <v>no</v>
      </c>
      <c r="H152" s="1818" t="str">
        <f>'SD-Det'!K152</f>
        <v>na</v>
      </c>
      <c r="I152" s="1829" t="str">
        <f>'SD-Det'!M152</f>
        <v>na</v>
      </c>
      <c r="J152" s="1766" t="str">
        <f>'SD-Det'!H152</f>
        <v>na</v>
      </c>
      <c r="K152" s="1766" t="str">
        <f>'SD-Det'!G152</f>
        <v>na</v>
      </c>
      <c r="L152" s="1870" t="str">
        <f>'SD-Det'!Y152</f>
        <v>na</v>
      </c>
      <c r="M152" s="1870" t="str">
        <f>'SD-Det'!U152</f>
        <v>na</v>
      </c>
      <c r="N152" s="2219" t="str">
        <f>'SD-Det'!V152</f>
        <v>na</v>
      </c>
      <c r="O152" s="2004" t="str">
        <f>'SD-Det'!D152</f>
        <v>na</v>
      </c>
      <c r="P152" s="2229">
        <f>'SD-Det'!F152</f>
        <v>4.1000000000000003E-3</v>
      </c>
      <c r="R152" s="1936" t="str">
        <f t="shared" si="82"/>
        <v/>
      </c>
      <c r="S152" s="1937" t="str">
        <f t="shared" si="83"/>
        <v/>
      </c>
      <c r="T152" s="1937" t="str">
        <f t="shared" si="84"/>
        <v/>
      </c>
      <c r="U152" s="1937" t="str">
        <f t="shared" si="85"/>
        <v/>
      </c>
      <c r="V152" s="1937" t="str">
        <f t="shared" si="86"/>
        <v/>
      </c>
      <c r="W152" s="1937" t="str">
        <f t="shared" si="87"/>
        <v/>
      </c>
      <c r="X152" s="1600" t="str">
        <f t="shared" si="88"/>
        <v/>
      </c>
      <c r="Z152" s="1935"/>
    </row>
    <row r="153" spans="1:26" ht="13.9" customHeight="1" x14ac:dyDescent="0.25">
      <c r="A153" s="1916">
        <f>Chem!A153</f>
        <v>151</v>
      </c>
      <c r="B153" s="1932" t="str">
        <f>Chem!B153</f>
        <v>Bromobenzene</v>
      </c>
      <c r="C153" s="2013" t="str">
        <f t="shared" si="79"/>
        <v>na</v>
      </c>
      <c r="D153" s="2014" t="str">
        <f t="shared" si="80"/>
        <v>na</v>
      </c>
      <c r="E153" s="2014" t="str">
        <f t="shared" si="81"/>
        <v>na</v>
      </c>
      <c r="F153" s="2033" t="str">
        <f>'SD-Det'!Z153</f>
        <v>na</v>
      </c>
      <c r="G153" s="2206" t="str">
        <f>'SD-Det'!C153</f>
        <v>no</v>
      </c>
      <c r="H153" s="1815" t="str">
        <f>'SD-Det'!K153</f>
        <v>na</v>
      </c>
      <c r="I153" s="1826" t="str">
        <f>'SD-Det'!M153</f>
        <v>na</v>
      </c>
      <c r="J153" s="1763" t="str">
        <f>'SD-Det'!H153</f>
        <v>na</v>
      </c>
      <c r="K153" s="1763" t="str">
        <f>'SD-Det'!G153</f>
        <v>na</v>
      </c>
      <c r="L153" s="1867" t="str">
        <f>'SD-Det'!Y153</f>
        <v>na</v>
      </c>
      <c r="M153" s="1867" t="str">
        <f>'SD-Det'!U153</f>
        <v>na</v>
      </c>
      <c r="N153" s="2219" t="str">
        <f>'SD-Det'!V153</f>
        <v>na</v>
      </c>
      <c r="O153" s="1862" t="str">
        <f>'SD-Det'!D153</f>
        <v>na</v>
      </c>
      <c r="P153" s="2225" t="str">
        <f>'SD-Det'!F153</f>
        <v>na</v>
      </c>
      <c r="R153" s="1936" t="str">
        <f t="shared" si="82"/>
        <v/>
      </c>
      <c r="S153" s="1937" t="str">
        <f t="shared" si="83"/>
        <v/>
      </c>
      <c r="T153" s="1937" t="str">
        <f t="shared" si="84"/>
        <v/>
      </c>
      <c r="U153" s="1937" t="str">
        <f t="shared" si="85"/>
        <v/>
      </c>
      <c r="V153" s="1937" t="str">
        <f t="shared" si="86"/>
        <v/>
      </c>
      <c r="W153" s="1937" t="str">
        <f t="shared" si="87"/>
        <v/>
      </c>
      <c r="X153" s="1600" t="str">
        <f t="shared" si="88"/>
        <v/>
      </c>
      <c r="Z153" s="1935"/>
    </row>
    <row r="154" spans="1:26" ht="13.9" customHeight="1" x14ac:dyDescent="0.25">
      <c r="A154" s="1916">
        <f>Chem!A154</f>
        <v>152</v>
      </c>
      <c r="B154" s="1932" t="str">
        <f>Chem!B154</f>
        <v>Bromochloromethane</v>
      </c>
      <c r="C154" s="2013" t="str">
        <f t="shared" si="79"/>
        <v>na</v>
      </c>
      <c r="D154" s="2014" t="str">
        <f t="shared" si="80"/>
        <v>na</v>
      </c>
      <c r="E154" s="2014" t="str">
        <f t="shared" si="81"/>
        <v>na</v>
      </c>
      <c r="F154" s="2033" t="str">
        <f>'SD-Det'!Z154</f>
        <v>na</v>
      </c>
      <c r="G154" s="2206" t="str">
        <f>'SD-Det'!C154</f>
        <v>no</v>
      </c>
      <c r="H154" s="1815" t="str">
        <f>'SD-Det'!K154</f>
        <v>na</v>
      </c>
      <c r="I154" s="1826" t="str">
        <f>'SD-Det'!M154</f>
        <v>na</v>
      </c>
      <c r="J154" s="1763" t="str">
        <f>'SD-Det'!H154</f>
        <v>na</v>
      </c>
      <c r="K154" s="1763" t="str">
        <f>'SD-Det'!G154</f>
        <v>na</v>
      </c>
      <c r="L154" s="1867" t="str">
        <f>'SD-Det'!Y154</f>
        <v>na</v>
      </c>
      <c r="M154" s="1867" t="str">
        <f>'SD-Det'!U154</f>
        <v>na</v>
      </c>
      <c r="N154" s="2219" t="str">
        <f>'SD-Det'!V154</f>
        <v>na</v>
      </c>
      <c r="O154" s="1862" t="str">
        <f>'SD-Det'!D154</f>
        <v>na</v>
      </c>
      <c r="P154" s="2225" t="str">
        <f>'SD-Det'!F154</f>
        <v>na</v>
      </c>
      <c r="R154" s="1936" t="str">
        <f t="shared" si="82"/>
        <v/>
      </c>
      <c r="S154" s="1937" t="str">
        <f t="shared" si="83"/>
        <v/>
      </c>
      <c r="T154" s="1937" t="str">
        <f t="shared" si="84"/>
        <v/>
      </c>
      <c r="U154" s="1937" t="str">
        <f t="shared" si="85"/>
        <v/>
      </c>
      <c r="V154" s="1937" t="str">
        <f t="shared" si="86"/>
        <v/>
      </c>
      <c r="W154" s="1937" t="str">
        <f t="shared" si="87"/>
        <v/>
      </c>
      <c r="X154" s="1600" t="str">
        <f t="shared" si="88"/>
        <v/>
      </c>
      <c r="Z154" s="1935"/>
    </row>
    <row r="155" spans="1:26" ht="13.9" customHeight="1" x14ac:dyDescent="0.25">
      <c r="A155" s="1916">
        <f>Chem!A155</f>
        <v>153</v>
      </c>
      <c r="B155" s="1932" t="str">
        <f>Chem!B155</f>
        <v>Bromoethane</v>
      </c>
      <c r="C155" s="2013" t="str">
        <f t="shared" si="79"/>
        <v>na</v>
      </c>
      <c r="D155" s="2014" t="str">
        <f t="shared" si="80"/>
        <v>na</v>
      </c>
      <c r="E155" s="2014" t="str">
        <f t="shared" si="81"/>
        <v>na</v>
      </c>
      <c r="F155" s="2033" t="str">
        <f>'SD-Det'!Z155</f>
        <v>na</v>
      </c>
      <c r="G155" s="2206" t="str">
        <f>'SD-Det'!C155</f>
        <v>no</v>
      </c>
      <c r="H155" s="1815" t="str">
        <f>'SD-Det'!K155</f>
        <v>na</v>
      </c>
      <c r="I155" s="1826" t="str">
        <f>'SD-Det'!M155</f>
        <v>na</v>
      </c>
      <c r="J155" s="1763" t="str">
        <f>'SD-Det'!H155</f>
        <v>na</v>
      </c>
      <c r="K155" s="1763" t="str">
        <f>'SD-Det'!G155</f>
        <v>na</v>
      </c>
      <c r="L155" s="1867" t="str">
        <f>'SD-Det'!Y155</f>
        <v>na</v>
      </c>
      <c r="M155" s="1867" t="str">
        <f>'SD-Det'!U155</f>
        <v>na</v>
      </c>
      <c r="N155" s="2219" t="str">
        <f>'SD-Det'!V155</f>
        <v>na</v>
      </c>
      <c r="O155" s="1862" t="str">
        <f>'SD-Det'!D155</f>
        <v>na</v>
      </c>
      <c r="P155" s="2225" t="str">
        <f>'SD-Det'!F155</f>
        <v>na</v>
      </c>
      <c r="R155" s="1936" t="str">
        <f t="shared" si="82"/>
        <v/>
      </c>
      <c r="S155" s="1937" t="str">
        <f t="shared" si="83"/>
        <v/>
      </c>
      <c r="T155" s="1937" t="str">
        <f t="shared" si="84"/>
        <v/>
      </c>
      <c r="U155" s="1937" t="str">
        <f t="shared" si="85"/>
        <v/>
      </c>
      <c r="V155" s="1937" t="str">
        <f t="shared" si="86"/>
        <v/>
      </c>
      <c r="W155" s="1937" t="str">
        <f t="shared" si="87"/>
        <v/>
      </c>
      <c r="X155" s="1600" t="str">
        <f t="shared" si="88"/>
        <v/>
      </c>
      <c r="Z155" s="1935"/>
    </row>
    <row r="156" spans="1:26" ht="13.9" customHeight="1" x14ac:dyDescent="0.25">
      <c r="A156" s="1916">
        <f>Chem!A156</f>
        <v>154</v>
      </c>
      <c r="B156" s="1932" t="str">
        <f>Chem!B156</f>
        <v>Bromoform</v>
      </c>
      <c r="C156" s="2013" t="str">
        <f t="shared" si="79"/>
        <v>na</v>
      </c>
      <c r="D156" s="2014" t="str">
        <f t="shared" si="80"/>
        <v>na</v>
      </c>
      <c r="E156" s="2014" t="str">
        <f t="shared" si="81"/>
        <v>na</v>
      </c>
      <c r="F156" s="2033" t="str">
        <f>'SD-Det'!Z156</f>
        <v>na</v>
      </c>
      <c r="G156" s="2206" t="str">
        <f>'SD-Det'!C156</f>
        <v>no</v>
      </c>
      <c r="H156" s="1815" t="str">
        <f>'SD-Det'!K156</f>
        <v>na</v>
      </c>
      <c r="I156" s="1826" t="str">
        <f>'SD-Det'!M156</f>
        <v>na</v>
      </c>
      <c r="J156" s="1763" t="str">
        <f>'SD-Det'!H156</f>
        <v>na</v>
      </c>
      <c r="K156" s="1763" t="str">
        <f>'SD-Det'!G156</f>
        <v>na</v>
      </c>
      <c r="L156" s="1867" t="str">
        <f>'SD-Det'!Y156</f>
        <v>na</v>
      </c>
      <c r="M156" s="1867" t="str">
        <f>'SD-Det'!U156</f>
        <v>na</v>
      </c>
      <c r="N156" s="2219" t="str">
        <f>'SD-Det'!V156</f>
        <v>na</v>
      </c>
      <c r="O156" s="1862" t="str">
        <f>'SD-Det'!D156</f>
        <v>na</v>
      </c>
      <c r="P156" s="2225" t="str">
        <f>'SD-Det'!F156</f>
        <v>na</v>
      </c>
      <c r="R156" s="1936" t="str">
        <f t="shared" si="82"/>
        <v/>
      </c>
      <c r="S156" s="1937" t="str">
        <f t="shared" si="83"/>
        <v/>
      </c>
      <c r="T156" s="1937" t="str">
        <f t="shared" si="84"/>
        <v/>
      </c>
      <c r="U156" s="1937" t="str">
        <f t="shared" si="85"/>
        <v/>
      </c>
      <c r="V156" s="1937" t="str">
        <f t="shared" si="86"/>
        <v/>
      </c>
      <c r="W156" s="1937" t="str">
        <f t="shared" si="87"/>
        <v/>
      </c>
      <c r="X156" s="1600" t="str">
        <f t="shared" si="88"/>
        <v/>
      </c>
      <c r="Z156" s="1935"/>
    </row>
    <row r="157" spans="1:26" ht="13.9" customHeight="1" x14ac:dyDescent="0.25">
      <c r="A157" s="1916">
        <f>Chem!A157</f>
        <v>155</v>
      </c>
      <c r="B157" s="1932" t="str">
        <f>Chem!B157</f>
        <v>Bromomethane</v>
      </c>
      <c r="C157" s="2013" t="str">
        <f t="shared" si="79"/>
        <v>na</v>
      </c>
      <c r="D157" s="2014" t="str">
        <f t="shared" si="80"/>
        <v>na</v>
      </c>
      <c r="E157" s="2014" t="str">
        <f t="shared" si="81"/>
        <v>na</v>
      </c>
      <c r="F157" s="2033" t="str">
        <f>'SD-Det'!Z157</f>
        <v>na</v>
      </c>
      <c r="G157" s="2206" t="str">
        <f>'SD-Det'!C157</f>
        <v>no</v>
      </c>
      <c r="H157" s="1815" t="str">
        <f>'SD-Det'!K157</f>
        <v>na</v>
      </c>
      <c r="I157" s="1826" t="str">
        <f>'SD-Det'!M157</f>
        <v>na</v>
      </c>
      <c r="J157" s="1763" t="str">
        <f>'SD-Det'!H157</f>
        <v>na</v>
      </c>
      <c r="K157" s="1763" t="str">
        <f>'SD-Det'!G157</f>
        <v>na</v>
      </c>
      <c r="L157" s="1867" t="str">
        <f>'SD-Det'!Y157</f>
        <v>na</v>
      </c>
      <c r="M157" s="1867" t="str">
        <f>'SD-Det'!U157</f>
        <v>na</v>
      </c>
      <c r="N157" s="2219" t="str">
        <f>'SD-Det'!V157</f>
        <v>na</v>
      </c>
      <c r="O157" s="1862" t="str">
        <f>'SD-Det'!D157</f>
        <v>na</v>
      </c>
      <c r="P157" s="2225" t="str">
        <f>'SD-Det'!F157</f>
        <v>na</v>
      </c>
      <c r="R157" s="1936" t="str">
        <f t="shared" si="82"/>
        <v/>
      </c>
      <c r="S157" s="1937" t="str">
        <f t="shared" si="83"/>
        <v/>
      </c>
      <c r="T157" s="1937" t="str">
        <f t="shared" si="84"/>
        <v/>
      </c>
      <c r="U157" s="1937" t="str">
        <f t="shared" si="85"/>
        <v/>
      </c>
      <c r="V157" s="1937" t="str">
        <f t="shared" si="86"/>
        <v/>
      </c>
      <c r="W157" s="1937" t="str">
        <f t="shared" si="87"/>
        <v/>
      </c>
      <c r="X157" s="1600" t="str">
        <f t="shared" si="88"/>
        <v/>
      </c>
      <c r="Z157" s="1935"/>
    </row>
    <row r="158" spans="1:26" ht="13.9" customHeight="1" x14ac:dyDescent="0.25">
      <c r="A158" s="1916">
        <f>Chem!A158</f>
        <v>156</v>
      </c>
      <c r="B158" s="1932" t="str">
        <f>Chem!B158</f>
        <v>2-Butoxyethanol (EGBE)</v>
      </c>
      <c r="C158" s="2013" t="str">
        <f t="shared" si="79"/>
        <v>na</v>
      </c>
      <c r="D158" s="2014" t="str">
        <f t="shared" si="80"/>
        <v>na</v>
      </c>
      <c r="E158" s="2014" t="str">
        <f t="shared" si="81"/>
        <v>na</v>
      </c>
      <c r="F158" s="2033" t="str">
        <f>'SD-Det'!Z158</f>
        <v>na</v>
      </c>
      <c r="G158" s="2206" t="str">
        <f>'SD-Det'!C158</f>
        <v>no</v>
      </c>
      <c r="H158" s="1815" t="str">
        <f>'SD-Det'!K158</f>
        <v>na</v>
      </c>
      <c r="I158" s="1826" t="str">
        <f>'SD-Det'!M158</f>
        <v>na</v>
      </c>
      <c r="J158" s="1763" t="str">
        <f>'SD-Det'!H158</f>
        <v>na</v>
      </c>
      <c r="K158" s="1763" t="str">
        <f>'SD-Det'!G158</f>
        <v>na</v>
      </c>
      <c r="L158" s="1867" t="str">
        <f>'SD-Det'!Y158</f>
        <v>na</v>
      </c>
      <c r="M158" s="1867" t="str">
        <f>'SD-Det'!U158</f>
        <v>na</v>
      </c>
      <c r="N158" s="2219" t="str">
        <f>'SD-Det'!V158</f>
        <v>na</v>
      </c>
      <c r="O158" s="1862" t="str">
        <f>'SD-Det'!D158</f>
        <v>na</v>
      </c>
      <c r="P158" s="2225" t="str">
        <f>'SD-Det'!F158</f>
        <v>na</v>
      </c>
      <c r="R158" s="1936" t="str">
        <f t="shared" si="82"/>
        <v/>
      </c>
      <c r="S158" s="1937" t="str">
        <f t="shared" si="83"/>
        <v/>
      </c>
      <c r="T158" s="1937" t="str">
        <f t="shared" si="84"/>
        <v/>
      </c>
      <c r="U158" s="1937" t="str">
        <f t="shared" si="85"/>
        <v/>
      </c>
      <c r="V158" s="1937" t="str">
        <f t="shared" si="86"/>
        <v/>
      </c>
      <c r="W158" s="1937" t="str">
        <f t="shared" si="87"/>
        <v/>
      </c>
      <c r="X158" s="1600" t="str">
        <f t="shared" si="88"/>
        <v/>
      </c>
      <c r="Z158" s="1935"/>
    </row>
    <row r="159" spans="1:26" ht="13.9" customHeight="1" x14ac:dyDescent="0.25">
      <c r="A159" s="1916">
        <f>Chem!A159</f>
        <v>157</v>
      </c>
      <c r="B159" s="1932" t="str">
        <f>Chem!B159</f>
        <v>n-Butylbenzene</v>
      </c>
      <c r="C159" s="2013" t="str">
        <f t="shared" si="79"/>
        <v>na</v>
      </c>
      <c r="D159" s="2014" t="str">
        <f t="shared" si="80"/>
        <v>na</v>
      </c>
      <c r="E159" s="2014" t="str">
        <f t="shared" si="81"/>
        <v>na</v>
      </c>
      <c r="F159" s="2033" t="str">
        <f>'SD-Det'!Z159</f>
        <v>na</v>
      </c>
      <c r="G159" s="2206" t="str">
        <f>'SD-Det'!C159</f>
        <v>no</v>
      </c>
      <c r="H159" s="1815" t="str">
        <f>'SD-Det'!K159</f>
        <v>na</v>
      </c>
      <c r="I159" s="1826" t="str">
        <f>'SD-Det'!M159</f>
        <v>na</v>
      </c>
      <c r="J159" s="1763" t="str">
        <f>'SD-Det'!H159</f>
        <v>na</v>
      </c>
      <c r="K159" s="1763" t="str">
        <f>'SD-Det'!G159</f>
        <v>na</v>
      </c>
      <c r="L159" s="1867" t="str">
        <f>'SD-Det'!Y159</f>
        <v>na</v>
      </c>
      <c r="M159" s="1867" t="str">
        <f>'SD-Det'!U159</f>
        <v>na</v>
      </c>
      <c r="N159" s="2219" t="str">
        <f>'SD-Det'!V159</f>
        <v>na</v>
      </c>
      <c r="O159" s="1862" t="str">
        <f>'SD-Det'!D159</f>
        <v>na</v>
      </c>
      <c r="P159" s="2225" t="str">
        <f>'SD-Det'!F159</f>
        <v>na</v>
      </c>
      <c r="R159" s="1936" t="str">
        <f t="shared" si="82"/>
        <v/>
      </c>
      <c r="S159" s="1937" t="str">
        <f t="shared" si="83"/>
        <v/>
      </c>
      <c r="T159" s="1937" t="str">
        <f t="shared" si="84"/>
        <v/>
      </c>
      <c r="U159" s="1937" t="str">
        <f t="shared" si="85"/>
        <v/>
      </c>
      <c r="V159" s="1937" t="str">
        <f t="shared" si="86"/>
        <v/>
      </c>
      <c r="W159" s="1937" t="str">
        <f t="shared" si="87"/>
        <v/>
      </c>
      <c r="X159" s="1600" t="str">
        <f t="shared" si="88"/>
        <v/>
      </c>
      <c r="Z159" s="1935"/>
    </row>
    <row r="160" spans="1:26" ht="13.9" customHeight="1" x14ac:dyDescent="0.25">
      <c r="A160" s="1916">
        <f>Chem!A160</f>
        <v>158</v>
      </c>
      <c r="B160" s="1932" t="str">
        <f>Chem!B160</f>
        <v>sec-Butylbenzene</v>
      </c>
      <c r="C160" s="2013" t="str">
        <f t="shared" si="79"/>
        <v>na</v>
      </c>
      <c r="D160" s="2014" t="str">
        <f t="shared" si="80"/>
        <v>na</v>
      </c>
      <c r="E160" s="2014" t="str">
        <f t="shared" si="81"/>
        <v>na</v>
      </c>
      <c r="F160" s="2033" t="str">
        <f>'SD-Det'!Z160</f>
        <v>na</v>
      </c>
      <c r="G160" s="2206" t="str">
        <f>'SD-Det'!C160</f>
        <v>no</v>
      </c>
      <c r="H160" s="1815" t="str">
        <f>'SD-Det'!K160</f>
        <v>na</v>
      </c>
      <c r="I160" s="1826" t="str">
        <f>'SD-Det'!M160</f>
        <v>na</v>
      </c>
      <c r="J160" s="1763" t="str">
        <f>'SD-Det'!H160</f>
        <v>na</v>
      </c>
      <c r="K160" s="1763" t="str">
        <f>'SD-Det'!G160</f>
        <v>na</v>
      </c>
      <c r="L160" s="1867" t="str">
        <f>'SD-Det'!Y160</f>
        <v>na</v>
      </c>
      <c r="M160" s="1867" t="str">
        <f>'SD-Det'!U160</f>
        <v>na</v>
      </c>
      <c r="N160" s="2219" t="str">
        <f>'SD-Det'!V160</f>
        <v>na</v>
      </c>
      <c r="O160" s="1862" t="str">
        <f>'SD-Det'!D160</f>
        <v>na</v>
      </c>
      <c r="P160" s="2225" t="str">
        <f>'SD-Det'!F160</f>
        <v>na</v>
      </c>
      <c r="R160" s="1936" t="str">
        <f t="shared" si="82"/>
        <v/>
      </c>
      <c r="S160" s="1937" t="str">
        <f t="shared" si="83"/>
        <v/>
      </c>
      <c r="T160" s="1937" t="str">
        <f t="shared" si="84"/>
        <v/>
      </c>
      <c r="U160" s="1937" t="str">
        <f t="shared" si="85"/>
        <v/>
      </c>
      <c r="V160" s="1937" t="str">
        <f t="shared" si="86"/>
        <v/>
      </c>
      <c r="W160" s="1937" t="str">
        <f t="shared" si="87"/>
        <v/>
      </c>
      <c r="X160" s="1600" t="str">
        <f t="shared" si="88"/>
        <v/>
      </c>
      <c r="Z160" s="1935"/>
    </row>
    <row r="161" spans="1:26" ht="13.9" customHeight="1" x14ac:dyDescent="0.25">
      <c r="A161" s="1916">
        <f>Chem!A161</f>
        <v>159</v>
      </c>
      <c r="B161" s="1932" t="str">
        <f>Chem!B161</f>
        <v>tert-Butylbenzene</v>
      </c>
      <c r="C161" s="2013" t="str">
        <f t="shared" si="79"/>
        <v>na</v>
      </c>
      <c r="D161" s="2014" t="str">
        <f t="shared" si="80"/>
        <v>na</v>
      </c>
      <c r="E161" s="2014" t="str">
        <f t="shared" si="81"/>
        <v>na</v>
      </c>
      <c r="F161" s="2033" t="str">
        <f>'SD-Det'!Z161</f>
        <v>na</v>
      </c>
      <c r="G161" s="2206" t="str">
        <f>'SD-Det'!C161</f>
        <v>no</v>
      </c>
      <c r="H161" s="1815" t="str">
        <f>'SD-Det'!K161</f>
        <v>na</v>
      </c>
      <c r="I161" s="1826" t="str">
        <f>'SD-Det'!M161</f>
        <v>na</v>
      </c>
      <c r="J161" s="1763" t="str">
        <f>'SD-Det'!H161</f>
        <v>na</v>
      </c>
      <c r="K161" s="1763" t="str">
        <f>'SD-Det'!G161</f>
        <v>na</v>
      </c>
      <c r="L161" s="1867" t="str">
        <f>'SD-Det'!Y161</f>
        <v>na</v>
      </c>
      <c r="M161" s="1867" t="str">
        <f>'SD-Det'!U161</f>
        <v>na</v>
      </c>
      <c r="N161" s="2219" t="str">
        <f>'SD-Det'!V161</f>
        <v>na</v>
      </c>
      <c r="O161" s="1862" t="str">
        <f>'SD-Det'!D161</f>
        <v>na</v>
      </c>
      <c r="P161" s="2225" t="str">
        <f>'SD-Det'!F161</f>
        <v>na</v>
      </c>
      <c r="R161" s="1936" t="str">
        <f t="shared" si="82"/>
        <v/>
      </c>
      <c r="S161" s="1937" t="str">
        <f t="shared" si="83"/>
        <v/>
      </c>
      <c r="T161" s="1937" t="str">
        <f t="shared" si="84"/>
        <v/>
      </c>
      <c r="U161" s="1937" t="str">
        <f t="shared" si="85"/>
        <v/>
      </c>
      <c r="V161" s="1937" t="str">
        <f t="shared" si="86"/>
        <v/>
      </c>
      <c r="W161" s="1937" t="str">
        <f t="shared" si="87"/>
        <v/>
      </c>
      <c r="X161" s="1600" t="str">
        <f t="shared" si="88"/>
        <v/>
      </c>
      <c r="Z161" s="1935"/>
    </row>
    <row r="162" spans="1:26" ht="13.9" customHeight="1" x14ac:dyDescent="0.25">
      <c r="A162" s="1916">
        <f>Chem!A162</f>
        <v>160</v>
      </c>
      <c r="B162" s="1932" t="str">
        <f>Chem!B162</f>
        <v>Carbon disulfide</v>
      </c>
      <c r="C162" s="2013" t="str">
        <f t="shared" si="79"/>
        <v>na</v>
      </c>
      <c r="D162" s="2014" t="str">
        <f t="shared" si="80"/>
        <v>na</v>
      </c>
      <c r="E162" s="2014" t="str">
        <f t="shared" si="81"/>
        <v>na</v>
      </c>
      <c r="F162" s="2033" t="str">
        <f>'SD-Det'!Z162</f>
        <v>na</v>
      </c>
      <c r="G162" s="2206" t="str">
        <f>'SD-Det'!C162</f>
        <v>no</v>
      </c>
      <c r="H162" s="1815" t="str">
        <f>'SD-Det'!K162</f>
        <v>na</v>
      </c>
      <c r="I162" s="1826" t="str">
        <f>'SD-Det'!M162</f>
        <v>na</v>
      </c>
      <c r="J162" s="1763" t="str">
        <f>'SD-Det'!H162</f>
        <v>na</v>
      </c>
      <c r="K162" s="1763" t="str">
        <f>'SD-Det'!G162</f>
        <v>na</v>
      </c>
      <c r="L162" s="1867" t="str">
        <f>'SD-Det'!Y162</f>
        <v>na</v>
      </c>
      <c r="M162" s="1867" t="str">
        <f>'SD-Det'!U162</f>
        <v>na</v>
      </c>
      <c r="N162" s="2219" t="str">
        <f>'SD-Det'!V162</f>
        <v>na</v>
      </c>
      <c r="O162" s="1862" t="str">
        <f>'SD-Det'!D162</f>
        <v>na</v>
      </c>
      <c r="P162" s="2225" t="str">
        <f>'SD-Det'!F162</f>
        <v>na</v>
      </c>
      <c r="R162" s="1936" t="str">
        <f t="shared" si="82"/>
        <v/>
      </c>
      <c r="S162" s="1937" t="str">
        <f t="shared" si="83"/>
        <v/>
      </c>
      <c r="T162" s="1937" t="str">
        <f t="shared" si="84"/>
        <v/>
      </c>
      <c r="U162" s="1937" t="str">
        <f t="shared" si="85"/>
        <v/>
      </c>
      <c r="V162" s="1937" t="str">
        <f t="shared" si="86"/>
        <v/>
      </c>
      <c r="W162" s="1937" t="str">
        <f t="shared" si="87"/>
        <v/>
      </c>
      <c r="X162" s="1600" t="str">
        <f t="shared" si="88"/>
        <v/>
      </c>
      <c r="Z162" s="1935"/>
    </row>
    <row r="163" spans="1:26" ht="13.9" customHeight="1" x14ac:dyDescent="0.25">
      <c r="A163" s="1916">
        <f>Chem!A163</f>
        <v>161</v>
      </c>
      <c r="B163" s="1932" t="str">
        <f>Chem!B163</f>
        <v>Carbon tetrachloride</v>
      </c>
      <c r="C163" s="2017" t="str">
        <f t="shared" si="79"/>
        <v>na</v>
      </c>
      <c r="D163" s="2018" t="str">
        <f t="shared" si="80"/>
        <v>na</v>
      </c>
      <c r="E163" s="2018" t="str">
        <f t="shared" si="81"/>
        <v>na</v>
      </c>
      <c r="F163" s="2033" t="str">
        <f>'SD-Det'!Z163</f>
        <v>na</v>
      </c>
      <c r="G163" s="2206" t="str">
        <f>'SD-Det'!C163</f>
        <v>no</v>
      </c>
      <c r="H163" s="1818" t="str">
        <f>'SD-Det'!K163</f>
        <v>na</v>
      </c>
      <c r="I163" s="1829" t="str">
        <f>'SD-Det'!M163</f>
        <v>na</v>
      </c>
      <c r="J163" s="1766" t="str">
        <f>'SD-Det'!H163</f>
        <v>na</v>
      </c>
      <c r="K163" s="1766" t="str">
        <f>'SD-Det'!G163</f>
        <v>na</v>
      </c>
      <c r="L163" s="1870" t="str">
        <f>'SD-Det'!Y163</f>
        <v>na</v>
      </c>
      <c r="M163" s="1870" t="str">
        <f>'SD-Det'!U163</f>
        <v>na</v>
      </c>
      <c r="N163" s="2219" t="str">
        <f>'SD-Det'!V163</f>
        <v>na</v>
      </c>
      <c r="O163" s="2004" t="str">
        <f>'SD-Det'!D163</f>
        <v>na</v>
      </c>
      <c r="P163" s="2229" t="str">
        <f>'SD-Det'!F163</f>
        <v>na</v>
      </c>
      <c r="R163" s="1936" t="str">
        <f t="shared" si="82"/>
        <v/>
      </c>
      <c r="S163" s="1937" t="str">
        <f t="shared" si="83"/>
        <v/>
      </c>
      <c r="T163" s="1937" t="str">
        <f t="shared" si="84"/>
        <v/>
      </c>
      <c r="U163" s="1937" t="str">
        <f t="shared" si="85"/>
        <v/>
      </c>
      <c r="V163" s="1937" t="str">
        <f t="shared" si="86"/>
        <v/>
      </c>
      <c r="W163" s="1937" t="str">
        <f t="shared" si="87"/>
        <v/>
      </c>
      <c r="X163" s="1600" t="str">
        <f t="shared" si="88"/>
        <v/>
      </c>
      <c r="Z163" s="1935"/>
    </row>
    <row r="164" spans="1:26" ht="13.9" customHeight="1" x14ac:dyDescent="0.25">
      <c r="A164" s="1916">
        <f>Chem!A164</f>
        <v>162</v>
      </c>
      <c r="B164" s="1932" t="str">
        <f>Chem!B164</f>
        <v>Chlorobenzene</v>
      </c>
      <c r="C164" s="2013" t="str">
        <f t="shared" si="79"/>
        <v>na</v>
      </c>
      <c r="D164" s="2014" t="str">
        <f t="shared" si="80"/>
        <v>na</v>
      </c>
      <c r="E164" s="2014" t="str">
        <f t="shared" si="81"/>
        <v>na</v>
      </c>
      <c r="F164" s="2033" t="str">
        <f>'SD-Det'!Z164</f>
        <v>na</v>
      </c>
      <c r="G164" s="2206" t="str">
        <f>'SD-Det'!C164</f>
        <v>no</v>
      </c>
      <c r="H164" s="1815" t="str">
        <f>'SD-Det'!K164</f>
        <v>na</v>
      </c>
      <c r="I164" s="1826" t="str">
        <f>'SD-Det'!M164</f>
        <v>na</v>
      </c>
      <c r="J164" s="1763" t="str">
        <f>'SD-Det'!H164</f>
        <v>na</v>
      </c>
      <c r="K164" s="1763" t="str">
        <f>'SD-Det'!G164</f>
        <v>na</v>
      </c>
      <c r="L164" s="1867" t="str">
        <f>'SD-Det'!Y164</f>
        <v>na</v>
      </c>
      <c r="M164" s="1867" t="str">
        <f>'SD-Det'!U164</f>
        <v>na</v>
      </c>
      <c r="N164" s="2219" t="str">
        <f>'SD-Det'!V164</f>
        <v>na</v>
      </c>
      <c r="O164" s="1862" t="str">
        <f>'SD-Det'!D164</f>
        <v>na</v>
      </c>
      <c r="P164" s="2225" t="str">
        <f>'SD-Det'!F164</f>
        <v>na</v>
      </c>
      <c r="R164" s="1936" t="str">
        <f t="shared" si="82"/>
        <v/>
      </c>
      <c r="S164" s="1937" t="str">
        <f t="shared" si="83"/>
        <v/>
      </c>
      <c r="T164" s="1937" t="str">
        <f t="shared" si="84"/>
        <v/>
      </c>
      <c r="U164" s="1937" t="str">
        <f t="shared" si="85"/>
        <v/>
      </c>
      <c r="V164" s="1937" t="str">
        <f t="shared" si="86"/>
        <v/>
      </c>
      <c r="W164" s="1937" t="str">
        <f t="shared" si="87"/>
        <v/>
      </c>
      <c r="X164" s="1600" t="str">
        <f t="shared" si="88"/>
        <v/>
      </c>
      <c r="Z164" s="1935"/>
    </row>
    <row r="165" spans="1:26" ht="13.9" customHeight="1" x14ac:dyDescent="0.25">
      <c r="A165" s="1916">
        <f>Chem!A165</f>
        <v>163</v>
      </c>
      <c r="B165" s="1932" t="str">
        <f>Chem!B165</f>
        <v>Chloroethane</v>
      </c>
      <c r="C165" s="2013" t="str">
        <f t="shared" si="79"/>
        <v>na</v>
      </c>
      <c r="D165" s="2014" t="str">
        <f t="shared" si="80"/>
        <v>na</v>
      </c>
      <c r="E165" s="2014" t="str">
        <f t="shared" si="81"/>
        <v>na</v>
      </c>
      <c r="F165" s="2033" t="str">
        <f>'SD-Det'!Z165</f>
        <v>na</v>
      </c>
      <c r="G165" s="2206" t="str">
        <f>'SD-Det'!C165</f>
        <v>no</v>
      </c>
      <c r="H165" s="1815" t="str">
        <f>'SD-Det'!K165</f>
        <v>na</v>
      </c>
      <c r="I165" s="1826" t="str">
        <f>'SD-Det'!M165</f>
        <v>na</v>
      </c>
      <c r="J165" s="1763" t="str">
        <f>'SD-Det'!H165</f>
        <v>na</v>
      </c>
      <c r="K165" s="1763" t="str">
        <f>'SD-Det'!G165</f>
        <v>na</v>
      </c>
      <c r="L165" s="1867" t="str">
        <f>'SD-Det'!Y165</f>
        <v>na</v>
      </c>
      <c r="M165" s="1867" t="str">
        <f>'SD-Det'!U165</f>
        <v>na</v>
      </c>
      <c r="N165" s="2219" t="str">
        <f>'SD-Det'!V165</f>
        <v>na</v>
      </c>
      <c r="O165" s="1862" t="str">
        <f>'SD-Det'!D165</f>
        <v>na</v>
      </c>
      <c r="P165" s="2225" t="str">
        <f>'SD-Det'!F165</f>
        <v>na</v>
      </c>
      <c r="R165" s="1936" t="str">
        <f t="shared" si="82"/>
        <v/>
      </c>
      <c r="S165" s="1937" t="str">
        <f t="shared" si="83"/>
        <v/>
      </c>
      <c r="T165" s="1937" t="str">
        <f t="shared" si="84"/>
        <v/>
      </c>
      <c r="U165" s="1937" t="str">
        <f t="shared" si="85"/>
        <v/>
      </c>
      <c r="V165" s="1937" t="str">
        <f t="shared" si="86"/>
        <v/>
      </c>
      <c r="W165" s="1937" t="str">
        <f t="shared" si="87"/>
        <v/>
      </c>
      <c r="X165" s="1600" t="str">
        <f t="shared" si="88"/>
        <v/>
      </c>
      <c r="Z165" s="1935"/>
    </row>
    <row r="166" spans="1:26" ht="13.9" customHeight="1" x14ac:dyDescent="0.25">
      <c r="A166" s="1916">
        <f>Chem!A166</f>
        <v>164</v>
      </c>
      <c r="B166" s="1932" t="str">
        <f>Chem!B166</f>
        <v>2-Chloroethyl vinyl ether</v>
      </c>
      <c r="C166" s="2013" t="str">
        <f t="shared" si="79"/>
        <v>na</v>
      </c>
      <c r="D166" s="2014" t="str">
        <f t="shared" si="80"/>
        <v>na</v>
      </c>
      <c r="E166" s="2014" t="str">
        <f t="shared" si="81"/>
        <v>na</v>
      </c>
      <c r="F166" s="2033" t="str">
        <f>'SD-Det'!Z166</f>
        <v>na</v>
      </c>
      <c r="G166" s="2206" t="str">
        <f>'SD-Det'!C166</f>
        <v>no</v>
      </c>
      <c r="H166" s="1815" t="str">
        <f>'SD-Det'!K166</f>
        <v>na</v>
      </c>
      <c r="I166" s="1826" t="str">
        <f>'SD-Det'!M166</f>
        <v>na</v>
      </c>
      <c r="J166" s="1763" t="str">
        <f>'SD-Det'!H166</f>
        <v>na</v>
      </c>
      <c r="K166" s="1763" t="str">
        <f>'SD-Det'!G166</f>
        <v>na</v>
      </c>
      <c r="L166" s="1867" t="str">
        <f>'SD-Det'!Y166</f>
        <v>na</v>
      </c>
      <c r="M166" s="1867" t="str">
        <f>'SD-Det'!U166</f>
        <v>na</v>
      </c>
      <c r="N166" s="2219" t="str">
        <f>'SD-Det'!V166</f>
        <v>na</v>
      </c>
      <c r="O166" s="1862" t="str">
        <f>'SD-Det'!D166</f>
        <v>na</v>
      </c>
      <c r="P166" s="2225" t="str">
        <f>'SD-Det'!F166</f>
        <v>na</v>
      </c>
      <c r="R166" s="1936" t="str">
        <f t="shared" si="82"/>
        <v/>
      </c>
      <c r="S166" s="1937" t="str">
        <f t="shared" si="83"/>
        <v/>
      </c>
      <c r="T166" s="1937" t="str">
        <f t="shared" si="84"/>
        <v/>
      </c>
      <c r="U166" s="1937" t="str">
        <f t="shared" si="85"/>
        <v/>
      </c>
      <c r="V166" s="1937" t="str">
        <f t="shared" si="86"/>
        <v/>
      </c>
      <c r="W166" s="1937" t="str">
        <f t="shared" si="87"/>
        <v/>
      </c>
      <c r="X166" s="1600" t="str">
        <f t="shared" si="88"/>
        <v/>
      </c>
      <c r="Z166" s="1935"/>
    </row>
    <row r="167" spans="1:26" ht="13.9" customHeight="1" x14ac:dyDescent="0.25">
      <c r="A167" s="1916">
        <f>Chem!A167</f>
        <v>165</v>
      </c>
      <c r="B167" s="1932" t="str">
        <f>Chem!B167</f>
        <v>Chloroform</v>
      </c>
      <c r="C167" s="2017" t="str">
        <f t="shared" si="79"/>
        <v>na</v>
      </c>
      <c r="D167" s="2018" t="str">
        <f t="shared" si="80"/>
        <v>na</v>
      </c>
      <c r="E167" s="2018" t="str">
        <f t="shared" si="81"/>
        <v>na</v>
      </c>
      <c r="F167" s="2033" t="str">
        <f>'SD-Det'!Z167</f>
        <v>na</v>
      </c>
      <c r="G167" s="2206" t="str">
        <f>'SD-Det'!C167</f>
        <v>no</v>
      </c>
      <c r="H167" s="1818" t="str">
        <f>'SD-Det'!K167</f>
        <v>na</v>
      </c>
      <c r="I167" s="1829" t="str">
        <f>'SD-Det'!M167</f>
        <v>na</v>
      </c>
      <c r="J167" s="1766" t="str">
        <f>'SD-Det'!H167</f>
        <v>na</v>
      </c>
      <c r="K167" s="1766" t="str">
        <f>'SD-Det'!G167</f>
        <v>na</v>
      </c>
      <c r="L167" s="1870" t="str">
        <f>'SD-Det'!Y167</f>
        <v>na</v>
      </c>
      <c r="M167" s="1870" t="str">
        <f>'SD-Det'!U167</f>
        <v>na</v>
      </c>
      <c r="N167" s="2219" t="str">
        <f>'SD-Det'!V167</f>
        <v>na</v>
      </c>
      <c r="O167" s="2004" t="str">
        <f>'SD-Det'!D167</f>
        <v>na</v>
      </c>
      <c r="P167" s="2229" t="str">
        <f>'SD-Det'!F167</f>
        <v>na</v>
      </c>
      <c r="R167" s="1936" t="str">
        <f t="shared" si="82"/>
        <v/>
      </c>
      <c r="S167" s="1937" t="str">
        <f t="shared" si="83"/>
        <v/>
      </c>
      <c r="T167" s="1937" t="str">
        <f t="shared" si="84"/>
        <v/>
      </c>
      <c r="U167" s="1937" t="str">
        <f t="shared" si="85"/>
        <v/>
      </c>
      <c r="V167" s="1937" t="str">
        <f t="shared" si="86"/>
        <v/>
      </c>
      <c r="W167" s="1937" t="str">
        <f t="shared" si="87"/>
        <v/>
      </c>
      <c r="X167" s="1600" t="str">
        <f t="shared" si="88"/>
        <v/>
      </c>
      <c r="Z167" s="1935"/>
    </row>
    <row r="168" spans="1:26" ht="13.9" customHeight="1" x14ac:dyDescent="0.25">
      <c r="A168" s="1916">
        <f>Chem!A168</f>
        <v>166</v>
      </c>
      <c r="B168" s="1932" t="str">
        <f>Chem!B168</f>
        <v>Chloromethane</v>
      </c>
      <c r="C168" s="2013" t="str">
        <f t="shared" si="79"/>
        <v>na</v>
      </c>
      <c r="D168" s="2014" t="str">
        <f t="shared" si="80"/>
        <v>na</v>
      </c>
      <c r="E168" s="2014" t="str">
        <f t="shared" si="81"/>
        <v>na</v>
      </c>
      <c r="F168" s="2033" t="str">
        <f>'SD-Det'!Z168</f>
        <v>na</v>
      </c>
      <c r="G168" s="2206" t="str">
        <f>'SD-Det'!C168</f>
        <v>no</v>
      </c>
      <c r="H168" s="1815" t="str">
        <f>'SD-Det'!K168</f>
        <v>na</v>
      </c>
      <c r="I168" s="1826" t="str">
        <f>'SD-Det'!M168</f>
        <v>na</v>
      </c>
      <c r="J168" s="1763" t="str">
        <f>'SD-Det'!H168</f>
        <v>na</v>
      </c>
      <c r="K168" s="1763" t="str">
        <f>'SD-Det'!G168</f>
        <v>na</v>
      </c>
      <c r="L168" s="1867" t="str">
        <f>'SD-Det'!Y168</f>
        <v>na</v>
      </c>
      <c r="M168" s="1867" t="str">
        <f>'SD-Det'!U168</f>
        <v>na</v>
      </c>
      <c r="N168" s="2219" t="str">
        <f>'SD-Det'!V168</f>
        <v>na</v>
      </c>
      <c r="O168" s="1862" t="str">
        <f>'SD-Det'!D168</f>
        <v>na</v>
      </c>
      <c r="P168" s="2225" t="str">
        <f>'SD-Det'!F168</f>
        <v>na</v>
      </c>
      <c r="R168" s="1936" t="str">
        <f t="shared" si="82"/>
        <v/>
      </c>
      <c r="S168" s="1937" t="str">
        <f t="shared" si="83"/>
        <v/>
      </c>
      <c r="T168" s="1937" t="str">
        <f t="shared" si="84"/>
        <v/>
      </c>
      <c r="U168" s="1937" t="str">
        <f t="shared" si="85"/>
        <v/>
      </c>
      <c r="V168" s="1937" t="str">
        <f t="shared" si="86"/>
        <v/>
      </c>
      <c r="W168" s="1937" t="str">
        <f t="shared" si="87"/>
        <v/>
      </c>
      <c r="X168" s="1600" t="str">
        <f t="shared" si="88"/>
        <v/>
      </c>
      <c r="Z168" s="1935"/>
    </row>
    <row r="169" spans="1:26" ht="13.9" customHeight="1" x14ac:dyDescent="0.25">
      <c r="A169" s="1916">
        <f>Chem!A169</f>
        <v>167</v>
      </c>
      <c r="B169" s="1932" t="str">
        <f>Chem!B169</f>
        <v>3-Chloro-1-propene (allyl chloride)</v>
      </c>
      <c r="C169" s="2021" t="str">
        <f t="shared" si="79"/>
        <v>na</v>
      </c>
      <c r="D169" s="2022" t="str">
        <f t="shared" si="80"/>
        <v>na</v>
      </c>
      <c r="E169" s="2022" t="str">
        <f t="shared" si="81"/>
        <v>na</v>
      </c>
      <c r="F169" s="2033" t="str">
        <f>'SD-Det'!Z169</f>
        <v>na</v>
      </c>
      <c r="G169" s="2206" t="str">
        <f>'SD-Det'!C169</f>
        <v>no</v>
      </c>
      <c r="H169" s="1820" t="str">
        <f>'SD-Det'!K169</f>
        <v>na</v>
      </c>
      <c r="I169" s="1831" t="str">
        <f>'SD-Det'!M169</f>
        <v>na</v>
      </c>
      <c r="J169" s="1768" t="str">
        <f>'SD-Det'!H169</f>
        <v>na</v>
      </c>
      <c r="K169" s="1768" t="str">
        <f>'SD-Det'!G169</f>
        <v>na</v>
      </c>
      <c r="L169" s="1872" t="str">
        <f>'SD-Det'!Y169</f>
        <v>na</v>
      </c>
      <c r="M169" s="1872" t="str">
        <f>'SD-Det'!U169</f>
        <v>na</v>
      </c>
      <c r="N169" s="2219" t="str">
        <f>'SD-Det'!V169</f>
        <v>na</v>
      </c>
      <c r="O169" s="2006" t="str">
        <f>'SD-Det'!D169</f>
        <v>na</v>
      </c>
      <c r="P169" s="2231" t="str">
        <f>'SD-Det'!F169</f>
        <v>na</v>
      </c>
      <c r="R169" s="1936" t="str">
        <f t="shared" si="82"/>
        <v/>
      </c>
      <c r="S169" s="1937" t="str">
        <f t="shared" si="83"/>
        <v/>
      </c>
      <c r="T169" s="1937" t="str">
        <f t="shared" si="84"/>
        <v/>
      </c>
      <c r="U169" s="1937" t="str">
        <f t="shared" si="85"/>
        <v/>
      </c>
      <c r="V169" s="1937" t="str">
        <f t="shared" si="86"/>
        <v/>
      </c>
      <c r="W169" s="1937" t="str">
        <f t="shared" si="87"/>
        <v/>
      </c>
      <c r="X169" s="1600" t="str">
        <f t="shared" si="88"/>
        <v/>
      </c>
      <c r="Z169" s="1935"/>
    </row>
    <row r="170" spans="1:26" ht="13.9" customHeight="1" x14ac:dyDescent="0.25">
      <c r="A170" s="1916">
        <f>Chem!A170</f>
        <v>168</v>
      </c>
      <c r="B170" s="1932" t="str">
        <f>Chem!B170</f>
        <v>2-Chlorotoluene</v>
      </c>
      <c r="C170" s="2013" t="str">
        <f t="shared" si="79"/>
        <v>na</v>
      </c>
      <c r="D170" s="2014" t="str">
        <f t="shared" si="80"/>
        <v>na</v>
      </c>
      <c r="E170" s="2014" t="str">
        <f t="shared" si="81"/>
        <v>na</v>
      </c>
      <c r="F170" s="2033" t="str">
        <f>'SD-Det'!Z170</f>
        <v>na</v>
      </c>
      <c r="G170" s="2206" t="str">
        <f>'SD-Det'!C170</f>
        <v>no</v>
      </c>
      <c r="H170" s="1815" t="str">
        <f>'SD-Det'!K170</f>
        <v>na</v>
      </c>
      <c r="I170" s="1826" t="str">
        <f>'SD-Det'!M170</f>
        <v>na</v>
      </c>
      <c r="J170" s="1763" t="str">
        <f>'SD-Det'!H170</f>
        <v>na</v>
      </c>
      <c r="K170" s="1763" t="str">
        <f>'SD-Det'!G170</f>
        <v>na</v>
      </c>
      <c r="L170" s="1867" t="str">
        <f>'SD-Det'!Y170</f>
        <v>na</v>
      </c>
      <c r="M170" s="1867" t="str">
        <f>'SD-Det'!U170</f>
        <v>na</v>
      </c>
      <c r="N170" s="2219" t="str">
        <f>'SD-Det'!V170</f>
        <v>na</v>
      </c>
      <c r="O170" s="1862" t="str">
        <f>'SD-Det'!D170</f>
        <v>na</v>
      </c>
      <c r="P170" s="2225" t="str">
        <f>'SD-Det'!F170</f>
        <v>na</v>
      </c>
      <c r="R170" s="1936" t="str">
        <f t="shared" si="82"/>
        <v/>
      </c>
      <c r="S170" s="1937" t="str">
        <f t="shared" si="83"/>
        <v/>
      </c>
      <c r="T170" s="1937" t="str">
        <f t="shared" si="84"/>
        <v/>
      </c>
      <c r="U170" s="1937" t="str">
        <f t="shared" si="85"/>
        <v/>
      </c>
      <c r="V170" s="1937" t="str">
        <f t="shared" si="86"/>
        <v/>
      </c>
      <c r="W170" s="1937" t="str">
        <f t="shared" si="87"/>
        <v/>
      </c>
      <c r="X170" s="1600" t="str">
        <f t="shared" si="88"/>
        <v/>
      </c>
      <c r="Z170" s="1935"/>
    </row>
    <row r="171" spans="1:26" ht="13.9" customHeight="1" x14ac:dyDescent="0.25">
      <c r="A171" s="1916">
        <f>Chem!A171</f>
        <v>169</v>
      </c>
      <c r="B171" s="1932" t="str">
        <f>Chem!B171</f>
        <v>4-Chlorotoluene</v>
      </c>
      <c r="C171" s="2013" t="str">
        <f t="shared" si="79"/>
        <v>na</v>
      </c>
      <c r="D171" s="2014" t="str">
        <f t="shared" si="80"/>
        <v>na</v>
      </c>
      <c r="E171" s="2014" t="str">
        <f t="shared" si="81"/>
        <v>na</v>
      </c>
      <c r="F171" s="2033" t="str">
        <f>'SD-Det'!Z171</f>
        <v>na</v>
      </c>
      <c r="G171" s="2206" t="str">
        <f>'SD-Det'!C171</f>
        <v>no</v>
      </c>
      <c r="H171" s="1815" t="str">
        <f>'SD-Det'!K171</f>
        <v>na</v>
      </c>
      <c r="I171" s="1826" t="str">
        <f>'SD-Det'!M171</f>
        <v>na</v>
      </c>
      <c r="J171" s="1763" t="str">
        <f>'SD-Det'!H171</f>
        <v>na</v>
      </c>
      <c r="K171" s="1763" t="str">
        <f>'SD-Det'!G171</f>
        <v>na</v>
      </c>
      <c r="L171" s="1867" t="str">
        <f>'SD-Det'!Y171</f>
        <v>na</v>
      </c>
      <c r="M171" s="1867" t="str">
        <f>'SD-Det'!U171</f>
        <v>na</v>
      </c>
      <c r="N171" s="2219" t="str">
        <f>'SD-Det'!V171</f>
        <v>na</v>
      </c>
      <c r="O171" s="1862" t="str">
        <f>'SD-Det'!D171</f>
        <v>na</v>
      </c>
      <c r="P171" s="2225" t="str">
        <f>'SD-Det'!F171</f>
        <v>na</v>
      </c>
      <c r="R171" s="1936" t="str">
        <f t="shared" si="82"/>
        <v/>
      </c>
      <c r="S171" s="1937" t="str">
        <f t="shared" si="83"/>
        <v/>
      </c>
      <c r="T171" s="1937" t="str">
        <f t="shared" si="84"/>
        <v/>
      </c>
      <c r="U171" s="1937" t="str">
        <f t="shared" si="85"/>
        <v/>
      </c>
      <c r="V171" s="1937" t="str">
        <f t="shared" si="86"/>
        <v/>
      </c>
      <c r="W171" s="1937" t="str">
        <f t="shared" si="87"/>
        <v/>
      </c>
      <c r="X171" s="1600" t="str">
        <f t="shared" si="88"/>
        <v/>
      </c>
      <c r="Z171" s="1935"/>
    </row>
    <row r="172" spans="1:26" ht="13.9" customHeight="1" x14ac:dyDescent="0.25">
      <c r="A172" s="1916">
        <f>Chem!A172</f>
        <v>170</v>
      </c>
      <c r="B172" s="1932" t="str">
        <f>Chem!B172</f>
        <v>Dibromochloromethane</v>
      </c>
      <c r="C172" s="2013" t="str">
        <f t="shared" si="79"/>
        <v>na</v>
      </c>
      <c r="D172" s="2014" t="str">
        <f t="shared" si="80"/>
        <v>na</v>
      </c>
      <c r="E172" s="2014" t="str">
        <f t="shared" si="81"/>
        <v>na</v>
      </c>
      <c r="F172" s="2033" t="str">
        <f>'SD-Det'!Z172</f>
        <v>na</v>
      </c>
      <c r="G172" s="2206" t="str">
        <f>'SD-Det'!C172</f>
        <v>no</v>
      </c>
      <c r="H172" s="1815" t="str">
        <f>'SD-Det'!K172</f>
        <v>na</v>
      </c>
      <c r="I172" s="1826" t="str">
        <f>'SD-Det'!M172</f>
        <v>na</v>
      </c>
      <c r="J172" s="1763" t="str">
        <f>'SD-Det'!H172</f>
        <v>na</v>
      </c>
      <c r="K172" s="1763" t="str">
        <f>'SD-Det'!G172</f>
        <v>na</v>
      </c>
      <c r="L172" s="1867" t="str">
        <f>'SD-Det'!Y172</f>
        <v>na</v>
      </c>
      <c r="M172" s="1867" t="str">
        <f>'SD-Det'!U172</f>
        <v>na</v>
      </c>
      <c r="N172" s="2219" t="str">
        <f>'SD-Det'!V172</f>
        <v>na</v>
      </c>
      <c r="O172" s="1862" t="str">
        <f>'SD-Det'!D172</f>
        <v>na</v>
      </c>
      <c r="P172" s="2225" t="str">
        <f>'SD-Det'!F172</f>
        <v>na</v>
      </c>
      <c r="R172" s="1936" t="str">
        <f t="shared" si="82"/>
        <v/>
      </c>
      <c r="S172" s="1937" t="str">
        <f t="shared" si="83"/>
        <v/>
      </c>
      <c r="T172" s="1937" t="str">
        <f t="shared" si="84"/>
        <v/>
      </c>
      <c r="U172" s="1937" t="str">
        <f t="shared" si="85"/>
        <v/>
      </c>
      <c r="V172" s="1937" t="str">
        <f t="shared" si="86"/>
        <v/>
      </c>
      <c r="W172" s="1937" t="str">
        <f t="shared" si="87"/>
        <v/>
      </c>
      <c r="X172" s="1600" t="str">
        <f t="shared" si="88"/>
        <v/>
      </c>
      <c r="Z172" s="1935"/>
    </row>
    <row r="173" spans="1:26" ht="13.9" customHeight="1" x14ac:dyDescent="0.25">
      <c r="A173" s="1916">
        <f>Chem!A173</f>
        <v>171</v>
      </c>
      <c r="B173" s="1932" t="str">
        <f>Chem!B173</f>
        <v>1,2-Dibromo-3-chloropropane</v>
      </c>
      <c r="C173" s="2017" t="str">
        <f t="shared" si="79"/>
        <v>na</v>
      </c>
      <c r="D173" s="2018" t="str">
        <f t="shared" si="80"/>
        <v>na</v>
      </c>
      <c r="E173" s="2018" t="str">
        <f t="shared" si="81"/>
        <v>na</v>
      </c>
      <c r="F173" s="2033" t="str">
        <f>'SD-Det'!Z173</f>
        <v>na</v>
      </c>
      <c r="G173" s="2206" t="str">
        <f>'SD-Det'!C173</f>
        <v>no</v>
      </c>
      <c r="H173" s="1818" t="str">
        <f>'SD-Det'!K173</f>
        <v>na</v>
      </c>
      <c r="I173" s="1829" t="str">
        <f>'SD-Det'!M173</f>
        <v>na</v>
      </c>
      <c r="J173" s="1766" t="str">
        <f>'SD-Det'!H173</f>
        <v>na</v>
      </c>
      <c r="K173" s="1766" t="str">
        <f>'SD-Det'!G173</f>
        <v>na</v>
      </c>
      <c r="L173" s="1870" t="str">
        <f>'SD-Det'!Y173</f>
        <v>na</v>
      </c>
      <c r="M173" s="1870" t="str">
        <f>'SD-Det'!U173</f>
        <v>na</v>
      </c>
      <c r="N173" s="2219" t="str">
        <f>'SD-Det'!V173</f>
        <v>na</v>
      </c>
      <c r="O173" s="2004" t="str">
        <f>'SD-Det'!D173</f>
        <v>na</v>
      </c>
      <c r="P173" s="2229" t="str">
        <f>'SD-Det'!F173</f>
        <v>na</v>
      </c>
      <c r="R173" s="1936" t="str">
        <f t="shared" si="82"/>
        <v/>
      </c>
      <c r="S173" s="1937" t="str">
        <f t="shared" si="83"/>
        <v/>
      </c>
      <c r="T173" s="1937" t="str">
        <f t="shared" si="84"/>
        <v/>
      </c>
      <c r="U173" s="1937" t="str">
        <f t="shared" si="85"/>
        <v/>
      </c>
      <c r="V173" s="1937" t="str">
        <f t="shared" si="86"/>
        <v/>
      </c>
      <c r="W173" s="1937" t="str">
        <f t="shared" si="87"/>
        <v/>
      </c>
      <c r="X173" s="1600" t="str">
        <f t="shared" si="88"/>
        <v/>
      </c>
      <c r="Z173" s="1935"/>
    </row>
    <row r="174" spans="1:26" ht="13.9" customHeight="1" x14ac:dyDescent="0.25">
      <c r="A174" s="1916">
        <f>Chem!A174</f>
        <v>172</v>
      </c>
      <c r="B174" s="1932" t="str">
        <f>Chem!B174</f>
        <v>Dibromomethane</v>
      </c>
      <c r="C174" s="2013" t="str">
        <f t="shared" si="79"/>
        <v>na</v>
      </c>
      <c r="D174" s="2014" t="str">
        <f t="shared" si="80"/>
        <v>na</v>
      </c>
      <c r="E174" s="2014" t="str">
        <f t="shared" si="81"/>
        <v>na</v>
      </c>
      <c r="F174" s="2033" t="str">
        <f>'SD-Det'!Z174</f>
        <v>na</v>
      </c>
      <c r="G174" s="2206" t="str">
        <f>'SD-Det'!C174</f>
        <v>no</v>
      </c>
      <c r="H174" s="1815" t="str">
        <f>'SD-Det'!K174</f>
        <v>na</v>
      </c>
      <c r="I174" s="1826" t="str">
        <f>'SD-Det'!M174</f>
        <v>na</v>
      </c>
      <c r="J174" s="1763" t="str">
        <f>'SD-Det'!H174</f>
        <v>na</v>
      </c>
      <c r="K174" s="1763" t="str">
        <f>'SD-Det'!G174</f>
        <v>na</v>
      </c>
      <c r="L174" s="1867" t="str">
        <f>'SD-Det'!Y174</f>
        <v>na</v>
      </c>
      <c r="M174" s="1867" t="str">
        <f>'SD-Det'!U174</f>
        <v>na</v>
      </c>
      <c r="N174" s="2219" t="str">
        <f>'SD-Det'!V174</f>
        <v>na</v>
      </c>
      <c r="O174" s="1862" t="str">
        <f>'SD-Det'!D174</f>
        <v>na</v>
      </c>
      <c r="P174" s="2225" t="str">
        <f>'SD-Det'!F174</f>
        <v>na</v>
      </c>
      <c r="R174" s="1936" t="str">
        <f t="shared" si="82"/>
        <v/>
      </c>
      <c r="S174" s="1937" t="str">
        <f t="shared" si="83"/>
        <v/>
      </c>
      <c r="T174" s="1937" t="str">
        <f t="shared" si="84"/>
        <v/>
      </c>
      <c r="U174" s="1937" t="str">
        <f t="shared" si="85"/>
        <v/>
      </c>
      <c r="V174" s="1937" t="str">
        <f t="shared" si="86"/>
        <v/>
      </c>
      <c r="W174" s="1937" t="str">
        <f t="shared" si="87"/>
        <v/>
      </c>
      <c r="X174" s="1600" t="str">
        <f t="shared" si="88"/>
        <v/>
      </c>
      <c r="Z174" s="1935"/>
    </row>
    <row r="175" spans="1:26" ht="13.9" customHeight="1" x14ac:dyDescent="0.25">
      <c r="A175" s="1916">
        <f>Chem!A175</f>
        <v>173</v>
      </c>
      <c r="B175" s="1932" t="str">
        <f>Chem!B175</f>
        <v>Dichlorobromomethane</v>
      </c>
      <c r="C175" s="2013" t="str">
        <f t="shared" si="79"/>
        <v>na</v>
      </c>
      <c r="D175" s="2014" t="str">
        <f t="shared" si="80"/>
        <v>na</v>
      </c>
      <c r="E175" s="2014" t="str">
        <f t="shared" si="81"/>
        <v>na</v>
      </c>
      <c r="F175" s="2033" t="str">
        <f>'SD-Det'!Z175</f>
        <v>na</v>
      </c>
      <c r="G175" s="2206" t="str">
        <f>'SD-Det'!C175</f>
        <v>no</v>
      </c>
      <c r="H175" s="1815" t="str">
        <f>'SD-Det'!K175</f>
        <v>na</v>
      </c>
      <c r="I175" s="1826" t="str">
        <f>'SD-Det'!M175</f>
        <v>na</v>
      </c>
      <c r="J175" s="1763" t="str">
        <f>'SD-Det'!H175</f>
        <v>na</v>
      </c>
      <c r="K175" s="1763" t="str">
        <f>'SD-Det'!G175</f>
        <v>na</v>
      </c>
      <c r="L175" s="1867" t="str">
        <f>'SD-Det'!Y175</f>
        <v>na</v>
      </c>
      <c r="M175" s="1867" t="str">
        <f>'SD-Det'!U175</f>
        <v>na</v>
      </c>
      <c r="N175" s="2219" t="str">
        <f>'SD-Det'!V175</f>
        <v>na</v>
      </c>
      <c r="O175" s="1862" t="str">
        <f>'SD-Det'!D175</f>
        <v>na</v>
      </c>
      <c r="P175" s="2225" t="str">
        <f>'SD-Det'!F175</f>
        <v>na</v>
      </c>
      <c r="R175" s="1936" t="str">
        <f t="shared" si="82"/>
        <v/>
      </c>
      <c r="S175" s="1937" t="str">
        <f t="shared" si="83"/>
        <v/>
      </c>
      <c r="T175" s="1937" t="str">
        <f t="shared" si="84"/>
        <v/>
      </c>
      <c r="U175" s="1937" t="str">
        <f t="shared" si="85"/>
        <v/>
      </c>
      <c r="V175" s="1937" t="str">
        <f t="shared" si="86"/>
        <v/>
      </c>
      <c r="W175" s="1937" t="str">
        <f t="shared" si="87"/>
        <v/>
      </c>
      <c r="X175" s="1600" t="str">
        <f t="shared" si="88"/>
        <v/>
      </c>
      <c r="Z175" s="1935"/>
    </row>
    <row r="176" spans="1:26" ht="13.9" customHeight="1" x14ac:dyDescent="0.25">
      <c r="A176" s="1916">
        <f>Chem!A176</f>
        <v>174</v>
      </c>
      <c r="B176" s="1932" t="str">
        <f>Chem!B176</f>
        <v>trans-1,4-Dichloro-2-butene</v>
      </c>
      <c r="C176" s="2013" t="str">
        <f t="shared" si="79"/>
        <v>na</v>
      </c>
      <c r="D176" s="2014" t="str">
        <f t="shared" si="80"/>
        <v>na</v>
      </c>
      <c r="E176" s="2014" t="str">
        <f t="shared" si="81"/>
        <v>na</v>
      </c>
      <c r="F176" s="2033" t="str">
        <f>'SD-Det'!Z176</f>
        <v>na</v>
      </c>
      <c r="G176" s="2206" t="str">
        <f>'SD-Det'!C176</f>
        <v>no</v>
      </c>
      <c r="H176" s="1815" t="str">
        <f>'SD-Det'!K176</f>
        <v>na</v>
      </c>
      <c r="I176" s="1826" t="str">
        <f>'SD-Det'!M176</f>
        <v>na</v>
      </c>
      <c r="J176" s="1763" t="str">
        <f>'SD-Det'!H176</f>
        <v>na</v>
      </c>
      <c r="K176" s="1763" t="str">
        <f>'SD-Det'!G176</f>
        <v>na</v>
      </c>
      <c r="L176" s="1867" t="str">
        <f>'SD-Det'!Y176</f>
        <v>na</v>
      </c>
      <c r="M176" s="1867" t="str">
        <f>'SD-Det'!U176</f>
        <v>na</v>
      </c>
      <c r="N176" s="2219" t="str">
        <f>'SD-Det'!V176</f>
        <v>na</v>
      </c>
      <c r="O176" s="1862" t="str">
        <f>'SD-Det'!D176</f>
        <v>na</v>
      </c>
      <c r="P176" s="2225" t="str">
        <f>'SD-Det'!F176</f>
        <v>na</v>
      </c>
      <c r="R176" s="1936" t="str">
        <f t="shared" si="82"/>
        <v/>
      </c>
      <c r="S176" s="1937" t="str">
        <f t="shared" si="83"/>
        <v/>
      </c>
      <c r="T176" s="1937" t="str">
        <f t="shared" si="84"/>
        <v/>
      </c>
      <c r="U176" s="1937" t="str">
        <f t="shared" si="85"/>
        <v/>
      </c>
      <c r="V176" s="1937" t="str">
        <f t="shared" si="86"/>
        <v/>
      </c>
      <c r="W176" s="1937" t="str">
        <f t="shared" si="87"/>
        <v/>
      </c>
      <c r="X176" s="1600" t="str">
        <f t="shared" si="88"/>
        <v/>
      </c>
      <c r="Z176" s="1935"/>
    </row>
    <row r="177" spans="1:26" ht="13.9" customHeight="1" x14ac:dyDescent="0.25">
      <c r="A177" s="1916">
        <f>Chem!A177</f>
        <v>175</v>
      </c>
      <c r="B177" s="1932" t="str">
        <f>Chem!B177</f>
        <v>Dichlorodifluoromethane</v>
      </c>
      <c r="C177" s="2013" t="str">
        <f t="shared" si="79"/>
        <v>na</v>
      </c>
      <c r="D177" s="2014" t="str">
        <f t="shared" si="80"/>
        <v>na</v>
      </c>
      <c r="E177" s="2014" t="str">
        <f t="shared" si="81"/>
        <v>na</v>
      </c>
      <c r="F177" s="2033" t="str">
        <f>'SD-Det'!Z177</f>
        <v>na</v>
      </c>
      <c r="G177" s="2206" t="str">
        <f>'SD-Det'!C177</f>
        <v>no</v>
      </c>
      <c r="H177" s="1815" t="str">
        <f>'SD-Det'!K177</f>
        <v>na</v>
      </c>
      <c r="I177" s="1826" t="str">
        <f>'SD-Det'!M177</f>
        <v>na</v>
      </c>
      <c r="J177" s="1763" t="str">
        <f>'SD-Det'!H177</f>
        <v>na</v>
      </c>
      <c r="K177" s="1763" t="str">
        <f>'SD-Det'!G177</f>
        <v>na</v>
      </c>
      <c r="L177" s="1867" t="str">
        <f>'SD-Det'!Y177</f>
        <v>na</v>
      </c>
      <c r="M177" s="1867" t="str">
        <f>'SD-Det'!U177</f>
        <v>na</v>
      </c>
      <c r="N177" s="2219" t="str">
        <f>'SD-Det'!V177</f>
        <v>na</v>
      </c>
      <c r="O177" s="1862" t="str">
        <f>'SD-Det'!D177</f>
        <v>na</v>
      </c>
      <c r="P177" s="2225" t="str">
        <f>'SD-Det'!F177</f>
        <v>na</v>
      </c>
      <c r="R177" s="1936" t="str">
        <f t="shared" si="82"/>
        <v/>
      </c>
      <c r="S177" s="1937" t="str">
        <f t="shared" si="83"/>
        <v/>
      </c>
      <c r="T177" s="1937" t="str">
        <f t="shared" si="84"/>
        <v/>
      </c>
      <c r="U177" s="1937" t="str">
        <f t="shared" si="85"/>
        <v/>
      </c>
      <c r="V177" s="1937" t="str">
        <f t="shared" si="86"/>
        <v/>
      </c>
      <c r="W177" s="1937" t="str">
        <f t="shared" si="87"/>
        <v/>
      </c>
      <c r="X177" s="1600" t="str">
        <f t="shared" si="88"/>
        <v/>
      </c>
      <c r="Z177" s="1935"/>
    </row>
    <row r="178" spans="1:26" ht="13.9" customHeight="1" x14ac:dyDescent="0.25">
      <c r="A178" s="1916">
        <f>Chem!A178</f>
        <v>176</v>
      </c>
      <c r="B178" s="1932" t="str">
        <f>Chem!B178</f>
        <v>1,1-Dichloroethane</v>
      </c>
      <c r="C178" s="2013" t="str">
        <f t="shared" si="79"/>
        <v>na</v>
      </c>
      <c r="D178" s="2014" t="str">
        <f t="shared" si="80"/>
        <v>na</v>
      </c>
      <c r="E178" s="2014" t="str">
        <f t="shared" si="81"/>
        <v>na</v>
      </c>
      <c r="F178" s="2033" t="str">
        <f>'SD-Det'!Z178</f>
        <v>na</v>
      </c>
      <c r="G178" s="2206" t="str">
        <f>'SD-Det'!C178</f>
        <v>no</v>
      </c>
      <c r="H178" s="1815" t="str">
        <f>'SD-Det'!K178</f>
        <v>na</v>
      </c>
      <c r="I178" s="1826" t="str">
        <f>'SD-Det'!M178</f>
        <v>na</v>
      </c>
      <c r="J178" s="1763" t="str">
        <f>'SD-Det'!H178</f>
        <v>na</v>
      </c>
      <c r="K178" s="1763" t="str">
        <f>'SD-Det'!G178</f>
        <v>na</v>
      </c>
      <c r="L178" s="1867" t="str">
        <f>'SD-Det'!Y178</f>
        <v>na</v>
      </c>
      <c r="M178" s="1867" t="str">
        <f>'SD-Det'!U178</f>
        <v>na</v>
      </c>
      <c r="N178" s="2219" t="str">
        <f>'SD-Det'!V178</f>
        <v>na</v>
      </c>
      <c r="O178" s="1862" t="str">
        <f>'SD-Det'!D178</f>
        <v>na</v>
      </c>
      <c r="P178" s="2225" t="str">
        <f>'SD-Det'!F178</f>
        <v>na</v>
      </c>
      <c r="R178" s="1936" t="str">
        <f t="shared" si="82"/>
        <v/>
      </c>
      <c r="S178" s="1937" t="str">
        <f t="shared" si="83"/>
        <v/>
      </c>
      <c r="T178" s="1937" t="str">
        <f t="shared" si="84"/>
        <v/>
      </c>
      <c r="U178" s="1937" t="str">
        <f t="shared" si="85"/>
        <v/>
      </c>
      <c r="V178" s="1937" t="str">
        <f t="shared" si="86"/>
        <v/>
      </c>
      <c r="W178" s="1937" t="str">
        <f t="shared" si="87"/>
        <v/>
      </c>
      <c r="X178" s="1600" t="str">
        <f t="shared" si="88"/>
        <v/>
      </c>
      <c r="Z178" s="1935"/>
    </row>
    <row r="179" spans="1:26" ht="13.9" customHeight="1" x14ac:dyDescent="0.25">
      <c r="A179" s="1916">
        <f>Chem!A179</f>
        <v>177</v>
      </c>
      <c r="B179" s="1932" t="str">
        <f>Chem!B179</f>
        <v>1,2-Dichloroethane (EDC)</v>
      </c>
      <c r="C179" s="2017" t="str">
        <f t="shared" ref="C179:C210" si="89">IF(ISNUMBER(L179),L179,IF(MIN(H179,I179)=0,"na",MAX(MIN(H179,I179),O179,P179)))</f>
        <v>na</v>
      </c>
      <c r="D179" s="2018" t="str">
        <f t="shared" si="80"/>
        <v>na</v>
      </c>
      <c r="E179" s="2018" t="str">
        <f t="shared" ref="E179:E210" si="90">IF(ISNUMBER(N179),N179,K179)</f>
        <v>na</v>
      </c>
      <c r="F179" s="2033" t="str">
        <f>'SD-Det'!Z179</f>
        <v>na</v>
      </c>
      <c r="G179" s="2206" t="str">
        <f>'SD-Det'!C179</f>
        <v>no</v>
      </c>
      <c r="H179" s="1818" t="str">
        <f>'SD-Det'!K179</f>
        <v>na</v>
      </c>
      <c r="I179" s="1829" t="str">
        <f>'SD-Det'!M179</f>
        <v>na</v>
      </c>
      <c r="J179" s="1766" t="str">
        <f>'SD-Det'!H179</f>
        <v>na</v>
      </c>
      <c r="K179" s="1766" t="str">
        <f>'SD-Det'!G179</f>
        <v>na</v>
      </c>
      <c r="L179" s="1870" t="str">
        <f>'SD-Det'!Y179</f>
        <v>na</v>
      </c>
      <c r="M179" s="1870" t="str">
        <f>'SD-Det'!U179</f>
        <v>na</v>
      </c>
      <c r="N179" s="2219" t="str">
        <f>'SD-Det'!V179</f>
        <v>na</v>
      </c>
      <c r="O179" s="2004" t="str">
        <f>'SD-Det'!D179</f>
        <v>na</v>
      </c>
      <c r="P179" s="2229" t="str">
        <f>'SD-Det'!F179</f>
        <v>na</v>
      </c>
      <c r="R179" s="1936" t="str">
        <f t="shared" si="82"/>
        <v/>
      </c>
      <c r="S179" s="1937" t="str">
        <f t="shared" si="83"/>
        <v/>
      </c>
      <c r="T179" s="1937" t="str">
        <f t="shared" si="84"/>
        <v/>
      </c>
      <c r="U179" s="1937" t="str">
        <f t="shared" si="85"/>
        <v/>
      </c>
      <c r="V179" s="1937" t="str">
        <f t="shared" si="86"/>
        <v/>
      </c>
      <c r="W179" s="1937" t="str">
        <f t="shared" si="87"/>
        <v/>
      </c>
      <c r="X179" s="1600" t="str">
        <f t="shared" si="88"/>
        <v/>
      </c>
      <c r="Z179" s="1935"/>
    </row>
    <row r="180" spans="1:26" ht="13.9" customHeight="1" x14ac:dyDescent="0.25">
      <c r="A180" s="1916">
        <f>Chem!A180</f>
        <v>178</v>
      </c>
      <c r="B180" s="1932" t="str">
        <f>Chem!B180</f>
        <v>1,1-Dichloroethylene</v>
      </c>
      <c r="C180" s="2013" t="str">
        <f t="shared" si="89"/>
        <v>na</v>
      </c>
      <c r="D180" s="2014" t="str">
        <f t="shared" si="80"/>
        <v>na</v>
      </c>
      <c r="E180" s="2014" t="str">
        <f t="shared" si="90"/>
        <v>na</v>
      </c>
      <c r="F180" s="2033" t="str">
        <f>'SD-Det'!Z180</f>
        <v>na</v>
      </c>
      <c r="G180" s="2206" t="str">
        <f>'SD-Det'!C180</f>
        <v>no</v>
      </c>
      <c r="H180" s="1815" t="str">
        <f>'SD-Det'!K180</f>
        <v>na</v>
      </c>
      <c r="I180" s="1826" t="str">
        <f>'SD-Det'!M180</f>
        <v>na</v>
      </c>
      <c r="J180" s="1763" t="str">
        <f>'SD-Det'!H180</f>
        <v>na</v>
      </c>
      <c r="K180" s="1763" t="str">
        <f>'SD-Det'!G180</f>
        <v>na</v>
      </c>
      <c r="L180" s="1867" t="str">
        <f>'SD-Det'!Y180</f>
        <v>na</v>
      </c>
      <c r="M180" s="1867" t="str">
        <f>'SD-Det'!U180</f>
        <v>na</v>
      </c>
      <c r="N180" s="2219" t="str">
        <f>'SD-Det'!V180</f>
        <v>na</v>
      </c>
      <c r="O180" s="1862" t="str">
        <f>'SD-Det'!D180</f>
        <v>na</v>
      </c>
      <c r="P180" s="2225" t="str">
        <f>'SD-Det'!F180</f>
        <v>na</v>
      </c>
      <c r="R180" s="1936" t="str">
        <f t="shared" si="82"/>
        <v/>
      </c>
      <c r="S180" s="1937" t="str">
        <f t="shared" si="83"/>
        <v/>
      </c>
      <c r="T180" s="1937" t="str">
        <f t="shared" si="84"/>
        <v/>
      </c>
      <c r="U180" s="1937" t="str">
        <f t="shared" si="85"/>
        <v/>
      </c>
      <c r="V180" s="1937" t="str">
        <f t="shared" si="86"/>
        <v/>
      </c>
      <c r="W180" s="1937" t="str">
        <f t="shared" si="87"/>
        <v/>
      </c>
      <c r="X180" s="1600" t="str">
        <f t="shared" si="88"/>
        <v/>
      </c>
      <c r="Z180" s="1935"/>
    </row>
    <row r="181" spans="1:26" ht="13.9" customHeight="1" x14ac:dyDescent="0.25">
      <c r="A181" s="1916">
        <f>Chem!A181</f>
        <v>179</v>
      </c>
      <c r="B181" s="1932" t="str">
        <f>Chem!B181</f>
        <v>cis-1,2-Dichloroethylene</v>
      </c>
      <c r="C181" s="2013" t="str">
        <f t="shared" si="89"/>
        <v>na</v>
      </c>
      <c r="D181" s="2014" t="str">
        <f t="shared" si="80"/>
        <v>na</v>
      </c>
      <c r="E181" s="2014" t="str">
        <f t="shared" si="90"/>
        <v>na</v>
      </c>
      <c r="F181" s="2033" t="str">
        <f>'SD-Det'!Z181</f>
        <v>na</v>
      </c>
      <c r="G181" s="2206" t="str">
        <f>'SD-Det'!C181</f>
        <v>no</v>
      </c>
      <c r="H181" s="1815" t="str">
        <f>'SD-Det'!K181</f>
        <v>na</v>
      </c>
      <c r="I181" s="1826" t="str">
        <f>'SD-Det'!M181</f>
        <v>na</v>
      </c>
      <c r="J181" s="1763" t="str">
        <f>'SD-Det'!H181</f>
        <v>na</v>
      </c>
      <c r="K181" s="1763" t="str">
        <f>'SD-Det'!G181</f>
        <v>na</v>
      </c>
      <c r="L181" s="1867" t="str">
        <f>'SD-Det'!Y181</f>
        <v>na</v>
      </c>
      <c r="M181" s="1867" t="str">
        <f>'SD-Det'!U181</f>
        <v>na</v>
      </c>
      <c r="N181" s="2219" t="str">
        <f>'SD-Det'!V181</f>
        <v>na</v>
      </c>
      <c r="O181" s="1862" t="str">
        <f>'SD-Det'!D181</f>
        <v>na</v>
      </c>
      <c r="P181" s="2225" t="str">
        <f>'SD-Det'!F181</f>
        <v>na</v>
      </c>
      <c r="R181" s="1936" t="str">
        <f t="shared" si="82"/>
        <v/>
      </c>
      <c r="S181" s="1937" t="str">
        <f t="shared" si="83"/>
        <v/>
      </c>
      <c r="T181" s="1937" t="str">
        <f t="shared" si="84"/>
        <v/>
      </c>
      <c r="U181" s="1937" t="str">
        <f t="shared" si="85"/>
        <v/>
      </c>
      <c r="V181" s="1937" t="str">
        <f t="shared" si="86"/>
        <v/>
      </c>
      <c r="W181" s="1937" t="str">
        <f t="shared" si="87"/>
        <v/>
      </c>
      <c r="X181" s="1600" t="str">
        <f t="shared" si="88"/>
        <v/>
      </c>
      <c r="Z181" s="1935"/>
    </row>
    <row r="182" spans="1:26" ht="13.9" customHeight="1" x14ac:dyDescent="0.25">
      <c r="A182" s="1916">
        <f>Chem!A182</f>
        <v>180</v>
      </c>
      <c r="B182" s="1932" t="str">
        <f>Chem!B182</f>
        <v>trans-1,2-Dichloroethylene</v>
      </c>
      <c r="C182" s="2013" t="str">
        <f t="shared" si="89"/>
        <v>na</v>
      </c>
      <c r="D182" s="2014" t="str">
        <f t="shared" si="80"/>
        <v>na</v>
      </c>
      <c r="E182" s="2014" t="str">
        <f t="shared" si="90"/>
        <v>na</v>
      </c>
      <c r="F182" s="2033" t="str">
        <f>'SD-Det'!Z182</f>
        <v>na</v>
      </c>
      <c r="G182" s="2206" t="str">
        <f>'SD-Det'!C182</f>
        <v>no</v>
      </c>
      <c r="H182" s="1815" t="str">
        <f>'SD-Det'!K182</f>
        <v>na</v>
      </c>
      <c r="I182" s="1826" t="str">
        <f>'SD-Det'!M182</f>
        <v>na</v>
      </c>
      <c r="J182" s="1763" t="str">
        <f>'SD-Det'!H182</f>
        <v>na</v>
      </c>
      <c r="K182" s="1763" t="str">
        <f>'SD-Det'!G182</f>
        <v>na</v>
      </c>
      <c r="L182" s="1867" t="str">
        <f>'SD-Det'!Y182</f>
        <v>na</v>
      </c>
      <c r="M182" s="1867" t="str">
        <f>'SD-Det'!U182</f>
        <v>na</v>
      </c>
      <c r="N182" s="2219" t="str">
        <f>'SD-Det'!V182</f>
        <v>na</v>
      </c>
      <c r="O182" s="1862" t="str">
        <f>'SD-Det'!D182</f>
        <v>na</v>
      </c>
      <c r="P182" s="2225" t="str">
        <f>'SD-Det'!F182</f>
        <v>na</v>
      </c>
      <c r="R182" s="1936" t="str">
        <f t="shared" si="82"/>
        <v/>
      </c>
      <c r="S182" s="1937" t="str">
        <f t="shared" si="83"/>
        <v/>
      </c>
      <c r="T182" s="1937" t="str">
        <f t="shared" si="84"/>
        <v/>
      </c>
      <c r="U182" s="1937" t="str">
        <f t="shared" si="85"/>
        <v/>
      </c>
      <c r="V182" s="1937" t="str">
        <f t="shared" si="86"/>
        <v/>
      </c>
      <c r="W182" s="1937" t="str">
        <f t="shared" si="87"/>
        <v/>
      </c>
      <c r="X182" s="1600" t="str">
        <f t="shared" si="88"/>
        <v/>
      </c>
      <c r="Z182" s="1935"/>
    </row>
    <row r="183" spans="1:26" ht="13.9" customHeight="1" x14ac:dyDescent="0.25">
      <c r="A183" s="1916">
        <f>Chem!A183</f>
        <v>181</v>
      </c>
      <c r="B183" s="1932" t="str">
        <f>Chem!B183</f>
        <v>1,2-Dichloroethylene (mixed isomers)</v>
      </c>
      <c r="C183" s="2013" t="str">
        <f t="shared" si="89"/>
        <v>na</v>
      </c>
      <c r="D183" s="2014" t="str">
        <f t="shared" si="80"/>
        <v>na</v>
      </c>
      <c r="E183" s="2014" t="str">
        <f t="shared" si="90"/>
        <v>na</v>
      </c>
      <c r="F183" s="2033" t="str">
        <f>'SD-Det'!Z183</f>
        <v>na</v>
      </c>
      <c r="G183" s="2206" t="str">
        <f>'SD-Det'!C183</f>
        <v>no</v>
      </c>
      <c r="H183" s="1815" t="str">
        <f>'SD-Det'!K183</f>
        <v>na</v>
      </c>
      <c r="I183" s="1826" t="str">
        <f>'SD-Det'!M183</f>
        <v>na</v>
      </c>
      <c r="J183" s="1763" t="str">
        <f>'SD-Det'!H183</f>
        <v>na</v>
      </c>
      <c r="K183" s="1763" t="str">
        <f>'SD-Det'!G183</f>
        <v>na</v>
      </c>
      <c r="L183" s="1867" t="str">
        <f>'SD-Det'!Y183</f>
        <v>na</v>
      </c>
      <c r="M183" s="1867" t="str">
        <f>'SD-Det'!U183</f>
        <v>na</v>
      </c>
      <c r="N183" s="2219" t="str">
        <f>'SD-Det'!V183</f>
        <v>na</v>
      </c>
      <c r="O183" s="1862" t="str">
        <f>'SD-Det'!D183</f>
        <v>na</v>
      </c>
      <c r="P183" s="2225" t="str">
        <f>'SD-Det'!F183</f>
        <v>na</v>
      </c>
      <c r="R183" s="1936" t="str">
        <f t="shared" si="82"/>
        <v/>
      </c>
      <c r="S183" s="1937" t="str">
        <f t="shared" si="83"/>
        <v/>
      </c>
      <c r="T183" s="1937" t="str">
        <f t="shared" si="84"/>
        <v/>
      </c>
      <c r="U183" s="1937" t="str">
        <f t="shared" si="85"/>
        <v/>
      </c>
      <c r="V183" s="1937" t="str">
        <f t="shared" si="86"/>
        <v/>
      </c>
      <c r="W183" s="1937" t="str">
        <f t="shared" si="87"/>
        <v/>
      </c>
      <c r="X183" s="1600" t="str">
        <f t="shared" si="88"/>
        <v/>
      </c>
      <c r="Z183" s="1935"/>
    </row>
    <row r="184" spans="1:26" ht="13.9" customHeight="1" x14ac:dyDescent="0.25">
      <c r="A184" s="1916">
        <f>Chem!A184</f>
        <v>182</v>
      </c>
      <c r="B184" s="1932" t="str">
        <f>Chem!B184</f>
        <v>1,2-Dichloropropane</v>
      </c>
      <c r="C184" s="2013" t="str">
        <f t="shared" si="89"/>
        <v>na</v>
      </c>
      <c r="D184" s="2014" t="str">
        <f t="shared" si="80"/>
        <v>na</v>
      </c>
      <c r="E184" s="2014" t="str">
        <f t="shared" si="90"/>
        <v>na</v>
      </c>
      <c r="F184" s="2033" t="str">
        <f>'SD-Det'!Z184</f>
        <v>na</v>
      </c>
      <c r="G184" s="2206" t="str">
        <f>'SD-Det'!C184</f>
        <v>no</v>
      </c>
      <c r="H184" s="1815" t="str">
        <f>'SD-Det'!K184</f>
        <v>na</v>
      </c>
      <c r="I184" s="1826" t="str">
        <f>'SD-Det'!M184</f>
        <v>na</v>
      </c>
      <c r="J184" s="1763" t="str">
        <f>'SD-Det'!H184</f>
        <v>na</v>
      </c>
      <c r="K184" s="1763" t="str">
        <f>'SD-Det'!G184</f>
        <v>na</v>
      </c>
      <c r="L184" s="1867" t="str">
        <f>'SD-Det'!Y184</f>
        <v>na</v>
      </c>
      <c r="M184" s="1867" t="str">
        <f>'SD-Det'!U184</f>
        <v>na</v>
      </c>
      <c r="N184" s="2219" t="str">
        <f>'SD-Det'!V184</f>
        <v>na</v>
      </c>
      <c r="O184" s="1862" t="str">
        <f>'SD-Det'!D184</f>
        <v>na</v>
      </c>
      <c r="P184" s="2225" t="str">
        <f>'SD-Det'!F184</f>
        <v>na</v>
      </c>
      <c r="R184" s="1936" t="str">
        <f t="shared" si="82"/>
        <v/>
      </c>
      <c r="S184" s="1937" t="str">
        <f t="shared" si="83"/>
        <v/>
      </c>
      <c r="T184" s="1937" t="str">
        <f t="shared" si="84"/>
        <v/>
      </c>
      <c r="U184" s="1937" t="str">
        <f t="shared" si="85"/>
        <v/>
      </c>
      <c r="V184" s="1937" t="str">
        <f t="shared" si="86"/>
        <v/>
      </c>
      <c r="W184" s="1937" t="str">
        <f t="shared" si="87"/>
        <v/>
      </c>
      <c r="X184" s="1600" t="str">
        <f t="shared" si="88"/>
        <v/>
      </c>
      <c r="Z184" s="1935"/>
    </row>
    <row r="185" spans="1:26" ht="13.9" customHeight="1" x14ac:dyDescent="0.25">
      <c r="A185" s="1916">
        <f>Chem!A185</f>
        <v>183</v>
      </c>
      <c r="B185" s="1932" t="str">
        <f>Chem!B185</f>
        <v>1,3-Dichloropropane</v>
      </c>
      <c r="C185" s="2013" t="str">
        <f t="shared" si="89"/>
        <v>na</v>
      </c>
      <c r="D185" s="2014" t="str">
        <f t="shared" si="80"/>
        <v>na</v>
      </c>
      <c r="E185" s="2014" t="str">
        <f t="shared" si="90"/>
        <v>na</v>
      </c>
      <c r="F185" s="2033" t="str">
        <f>'SD-Det'!Z185</f>
        <v>na</v>
      </c>
      <c r="G185" s="2206" t="str">
        <f>'SD-Det'!C185</f>
        <v>no</v>
      </c>
      <c r="H185" s="1815" t="str">
        <f>'SD-Det'!K185</f>
        <v>na</v>
      </c>
      <c r="I185" s="1826" t="str">
        <f>'SD-Det'!M185</f>
        <v>na</v>
      </c>
      <c r="J185" s="1763" t="str">
        <f>'SD-Det'!H185</f>
        <v>na</v>
      </c>
      <c r="K185" s="1763" t="str">
        <f>'SD-Det'!G185</f>
        <v>na</v>
      </c>
      <c r="L185" s="1867" t="str">
        <f>'SD-Det'!Y185</f>
        <v>na</v>
      </c>
      <c r="M185" s="1867" t="str">
        <f>'SD-Det'!U185</f>
        <v>na</v>
      </c>
      <c r="N185" s="2219" t="str">
        <f>'SD-Det'!V185</f>
        <v>na</v>
      </c>
      <c r="O185" s="1862" t="str">
        <f>'SD-Det'!D185</f>
        <v>na</v>
      </c>
      <c r="P185" s="2225" t="str">
        <f>'SD-Det'!F185</f>
        <v>na</v>
      </c>
      <c r="R185" s="1936" t="str">
        <f t="shared" si="82"/>
        <v/>
      </c>
      <c r="S185" s="1937" t="str">
        <f t="shared" si="83"/>
        <v/>
      </c>
      <c r="T185" s="1937" t="str">
        <f t="shared" si="84"/>
        <v/>
      </c>
      <c r="U185" s="1937" t="str">
        <f t="shared" si="85"/>
        <v/>
      </c>
      <c r="V185" s="1937" t="str">
        <f t="shared" si="86"/>
        <v/>
      </c>
      <c r="W185" s="1937" t="str">
        <f t="shared" si="87"/>
        <v/>
      </c>
      <c r="X185" s="1600" t="str">
        <f t="shared" si="88"/>
        <v/>
      </c>
      <c r="Z185" s="1935"/>
    </row>
    <row r="186" spans="1:26" ht="13.9" customHeight="1" x14ac:dyDescent="0.25">
      <c r="A186" s="1916">
        <f>Chem!A186</f>
        <v>184</v>
      </c>
      <c r="B186" s="1932" t="str">
        <f>Chem!B186</f>
        <v>2,2-Dichloropropane</v>
      </c>
      <c r="C186" s="2013" t="str">
        <f t="shared" si="89"/>
        <v>na</v>
      </c>
      <c r="D186" s="2014" t="str">
        <f t="shared" si="80"/>
        <v>na</v>
      </c>
      <c r="E186" s="2014" t="str">
        <f t="shared" si="90"/>
        <v>na</v>
      </c>
      <c r="F186" s="2033" t="str">
        <f>'SD-Det'!Z186</f>
        <v>na</v>
      </c>
      <c r="G186" s="2206" t="str">
        <f>'SD-Det'!C186</f>
        <v>no</v>
      </c>
      <c r="H186" s="1815" t="str">
        <f>'SD-Det'!K186</f>
        <v>na</v>
      </c>
      <c r="I186" s="1826" t="str">
        <f>'SD-Det'!M186</f>
        <v>na</v>
      </c>
      <c r="J186" s="1763" t="str">
        <f>'SD-Det'!H186</f>
        <v>na</v>
      </c>
      <c r="K186" s="1763" t="str">
        <f>'SD-Det'!G186</f>
        <v>na</v>
      </c>
      <c r="L186" s="1867" t="str">
        <f>'SD-Det'!Y186</f>
        <v>na</v>
      </c>
      <c r="M186" s="1867" t="str">
        <f>'SD-Det'!U186</f>
        <v>na</v>
      </c>
      <c r="N186" s="2219" t="str">
        <f>'SD-Det'!V186</f>
        <v>na</v>
      </c>
      <c r="O186" s="1862" t="str">
        <f>'SD-Det'!D186</f>
        <v>na</v>
      </c>
      <c r="P186" s="2225" t="str">
        <f>'SD-Det'!F186</f>
        <v>na</v>
      </c>
      <c r="R186" s="1936" t="str">
        <f t="shared" si="82"/>
        <v/>
      </c>
      <c r="S186" s="1937" t="str">
        <f t="shared" si="83"/>
        <v/>
      </c>
      <c r="T186" s="1937" t="str">
        <f t="shared" si="84"/>
        <v/>
      </c>
      <c r="U186" s="1937" t="str">
        <f t="shared" si="85"/>
        <v/>
      </c>
      <c r="V186" s="1937" t="str">
        <f t="shared" si="86"/>
        <v/>
      </c>
      <c r="W186" s="1937" t="str">
        <f t="shared" si="87"/>
        <v/>
      </c>
      <c r="X186" s="1600" t="str">
        <f t="shared" si="88"/>
        <v/>
      </c>
      <c r="Z186" s="1935"/>
    </row>
    <row r="187" spans="1:26" ht="13.9" customHeight="1" x14ac:dyDescent="0.25">
      <c r="A187" s="1916">
        <f>Chem!A187</f>
        <v>185</v>
      </c>
      <c r="B187" s="1932" t="str">
        <f>Chem!B187</f>
        <v>1,1-Dichloropropene</v>
      </c>
      <c r="C187" s="2013" t="str">
        <f t="shared" si="89"/>
        <v>na</v>
      </c>
      <c r="D187" s="2014" t="str">
        <f t="shared" si="80"/>
        <v>na</v>
      </c>
      <c r="E187" s="2014" t="str">
        <f t="shared" si="90"/>
        <v>na</v>
      </c>
      <c r="F187" s="2033" t="str">
        <f>'SD-Det'!Z187</f>
        <v>na</v>
      </c>
      <c r="G187" s="2206" t="str">
        <f>'SD-Det'!C187</f>
        <v>no</v>
      </c>
      <c r="H187" s="1815" t="str">
        <f>'SD-Det'!K187</f>
        <v>na</v>
      </c>
      <c r="I187" s="1826" t="str">
        <f>'SD-Det'!M187</f>
        <v>na</v>
      </c>
      <c r="J187" s="1763" t="str">
        <f>'SD-Det'!H187</f>
        <v>na</v>
      </c>
      <c r="K187" s="1763" t="str">
        <f>'SD-Det'!G187</f>
        <v>na</v>
      </c>
      <c r="L187" s="1867" t="str">
        <f>'SD-Det'!Y187</f>
        <v>na</v>
      </c>
      <c r="M187" s="1867" t="str">
        <f>'SD-Det'!U187</f>
        <v>na</v>
      </c>
      <c r="N187" s="2219" t="str">
        <f>'SD-Det'!V187</f>
        <v>na</v>
      </c>
      <c r="O187" s="1862" t="str">
        <f>'SD-Det'!D187</f>
        <v>na</v>
      </c>
      <c r="P187" s="2225" t="str">
        <f>'SD-Det'!F187</f>
        <v>na</v>
      </c>
      <c r="R187" s="1936" t="str">
        <f t="shared" si="82"/>
        <v/>
      </c>
      <c r="S187" s="1937" t="str">
        <f t="shared" si="83"/>
        <v/>
      </c>
      <c r="T187" s="1937" t="str">
        <f t="shared" si="84"/>
        <v/>
      </c>
      <c r="U187" s="1937" t="str">
        <f t="shared" si="85"/>
        <v/>
      </c>
      <c r="V187" s="1937" t="str">
        <f t="shared" si="86"/>
        <v/>
      </c>
      <c r="W187" s="1937" t="str">
        <f t="shared" si="87"/>
        <v/>
      </c>
      <c r="X187" s="1600" t="str">
        <f t="shared" si="88"/>
        <v/>
      </c>
      <c r="Z187" s="1935"/>
    </row>
    <row r="188" spans="1:26" ht="13.9" customHeight="1" x14ac:dyDescent="0.25">
      <c r="A188" s="1916">
        <f>Chem!A188</f>
        <v>186</v>
      </c>
      <c r="B188" s="1932" t="str">
        <f>Chem!B188</f>
        <v>cis-1,3-Dichloropropene</v>
      </c>
      <c r="C188" s="2013" t="str">
        <f t="shared" si="89"/>
        <v>na</v>
      </c>
      <c r="D188" s="2014" t="str">
        <f t="shared" si="80"/>
        <v>na</v>
      </c>
      <c r="E188" s="2014" t="str">
        <f t="shared" si="90"/>
        <v>na</v>
      </c>
      <c r="F188" s="2033" t="str">
        <f>'SD-Det'!Z188</f>
        <v>na</v>
      </c>
      <c r="G188" s="2206" t="str">
        <f>'SD-Det'!C188</f>
        <v>no</v>
      </c>
      <c r="H188" s="1815" t="str">
        <f>'SD-Det'!K188</f>
        <v>na</v>
      </c>
      <c r="I188" s="1826" t="str">
        <f>'SD-Det'!M188</f>
        <v>na</v>
      </c>
      <c r="J188" s="1763" t="str">
        <f>'SD-Det'!H188</f>
        <v>na</v>
      </c>
      <c r="K188" s="1763" t="str">
        <f>'SD-Det'!G188</f>
        <v>na</v>
      </c>
      <c r="L188" s="1867" t="str">
        <f>'SD-Det'!Y188</f>
        <v>na</v>
      </c>
      <c r="M188" s="1867" t="str">
        <f>'SD-Det'!U188</f>
        <v>na</v>
      </c>
      <c r="N188" s="2219" t="str">
        <f>'SD-Det'!V188</f>
        <v>na</v>
      </c>
      <c r="O188" s="1862" t="str">
        <f>'SD-Det'!D188</f>
        <v>na</v>
      </c>
      <c r="P188" s="2225" t="str">
        <f>'SD-Det'!F188</f>
        <v>na</v>
      </c>
      <c r="R188" s="1936" t="str">
        <f t="shared" si="82"/>
        <v/>
      </c>
      <c r="S188" s="1937" t="str">
        <f t="shared" si="83"/>
        <v/>
      </c>
      <c r="T188" s="1937" t="str">
        <f t="shared" si="84"/>
        <v/>
      </c>
      <c r="U188" s="1937" t="str">
        <f t="shared" si="85"/>
        <v/>
      </c>
      <c r="V188" s="1937" t="str">
        <f t="shared" si="86"/>
        <v/>
      </c>
      <c r="W188" s="1937" t="str">
        <f t="shared" si="87"/>
        <v/>
      </c>
      <c r="X188" s="1600" t="str">
        <f t="shared" si="88"/>
        <v/>
      </c>
      <c r="Z188" s="1935"/>
    </row>
    <row r="189" spans="1:26" ht="13.9" customHeight="1" x14ac:dyDescent="0.25">
      <c r="A189" s="1916">
        <f>Chem!A189</f>
        <v>187</v>
      </c>
      <c r="B189" s="1932" t="str">
        <f>Chem!B189</f>
        <v>trans-1,3-Dichloropropene</v>
      </c>
      <c r="C189" s="2013" t="str">
        <f t="shared" si="89"/>
        <v>na</v>
      </c>
      <c r="D189" s="2014" t="str">
        <f t="shared" si="80"/>
        <v>na</v>
      </c>
      <c r="E189" s="2014" t="str">
        <f t="shared" si="90"/>
        <v>na</v>
      </c>
      <c r="F189" s="2033" t="str">
        <f>'SD-Det'!Z189</f>
        <v>na</v>
      </c>
      <c r="G189" s="2206" t="str">
        <f>'SD-Det'!C189</f>
        <v>no</v>
      </c>
      <c r="H189" s="1815" t="str">
        <f>'SD-Det'!K189</f>
        <v>na</v>
      </c>
      <c r="I189" s="1826" t="str">
        <f>'SD-Det'!M189</f>
        <v>na</v>
      </c>
      <c r="J189" s="1763" t="str">
        <f>'SD-Det'!H189</f>
        <v>na</v>
      </c>
      <c r="K189" s="1763" t="str">
        <f>'SD-Det'!G189</f>
        <v>na</v>
      </c>
      <c r="L189" s="1867" t="str">
        <f>'SD-Det'!Y189</f>
        <v>na</v>
      </c>
      <c r="M189" s="1867" t="str">
        <f>'SD-Det'!U189</f>
        <v>na</v>
      </c>
      <c r="N189" s="2219" t="str">
        <f>'SD-Det'!V189</f>
        <v>na</v>
      </c>
      <c r="O189" s="1862" t="str">
        <f>'SD-Det'!D189</f>
        <v>na</v>
      </c>
      <c r="P189" s="2225" t="str">
        <f>'SD-Det'!F189</f>
        <v>na</v>
      </c>
      <c r="R189" s="1936" t="str">
        <f t="shared" si="82"/>
        <v/>
      </c>
      <c r="S189" s="1937" t="str">
        <f t="shared" si="83"/>
        <v/>
      </c>
      <c r="T189" s="1937" t="str">
        <f t="shared" si="84"/>
        <v/>
      </c>
      <c r="U189" s="1937" t="str">
        <f t="shared" si="85"/>
        <v/>
      </c>
      <c r="V189" s="1937" t="str">
        <f t="shared" si="86"/>
        <v/>
      </c>
      <c r="W189" s="1937" t="str">
        <f t="shared" si="87"/>
        <v/>
      </c>
      <c r="X189" s="1600" t="str">
        <f t="shared" si="88"/>
        <v/>
      </c>
      <c r="Z189" s="1935"/>
    </row>
    <row r="190" spans="1:26" ht="13.9" customHeight="1" x14ac:dyDescent="0.25">
      <c r="A190" s="1916">
        <f>Chem!A190</f>
        <v>188</v>
      </c>
      <c r="B190" s="1932" t="str">
        <f>Chem!B190</f>
        <v>Diisopropyl ether</v>
      </c>
      <c r="C190" s="2013" t="str">
        <f t="shared" si="89"/>
        <v>na</v>
      </c>
      <c r="D190" s="2014" t="str">
        <f t="shared" si="80"/>
        <v>na</v>
      </c>
      <c r="E190" s="2014" t="str">
        <f t="shared" si="90"/>
        <v>na</v>
      </c>
      <c r="F190" s="2033" t="str">
        <f>'SD-Det'!Z190</f>
        <v>na</v>
      </c>
      <c r="G190" s="2206" t="str">
        <f>'SD-Det'!C190</f>
        <v>no</v>
      </c>
      <c r="H190" s="1815" t="str">
        <f>'SD-Det'!K190</f>
        <v>na</v>
      </c>
      <c r="I190" s="1826" t="str">
        <f>'SD-Det'!M190</f>
        <v>na</v>
      </c>
      <c r="J190" s="1763" t="str">
        <f>'SD-Det'!H190</f>
        <v>na</v>
      </c>
      <c r="K190" s="1763" t="str">
        <f>'SD-Det'!G190</f>
        <v>na</v>
      </c>
      <c r="L190" s="1867" t="str">
        <f>'SD-Det'!Y190</f>
        <v>na</v>
      </c>
      <c r="M190" s="1867" t="str">
        <f>'SD-Det'!U190</f>
        <v>na</v>
      </c>
      <c r="N190" s="2219" t="str">
        <f>'SD-Det'!V190</f>
        <v>na</v>
      </c>
      <c r="O190" s="1862" t="str">
        <f>'SD-Det'!D190</f>
        <v>na</v>
      </c>
      <c r="P190" s="2225" t="str">
        <f>'SD-Det'!F190</f>
        <v>na</v>
      </c>
      <c r="R190" s="1936" t="str">
        <f t="shared" si="82"/>
        <v/>
      </c>
      <c r="S190" s="1937" t="str">
        <f t="shared" si="83"/>
        <v/>
      </c>
      <c r="T190" s="1937" t="str">
        <f t="shared" si="84"/>
        <v/>
      </c>
      <c r="U190" s="1937" t="str">
        <f t="shared" si="85"/>
        <v/>
      </c>
      <c r="V190" s="1937" t="str">
        <f t="shared" si="86"/>
        <v/>
      </c>
      <c r="W190" s="1937" t="str">
        <f t="shared" si="87"/>
        <v/>
      </c>
      <c r="X190" s="1600" t="str">
        <f t="shared" si="88"/>
        <v/>
      </c>
      <c r="Z190" s="1935"/>
    </row>
    <row r="191" spans="1:26" ht="13.9" customHeight="1" x14ac:dyDescent="0.25">
      <c r="A191" s="1916">
        <f>Chem!A191</f>
        <v>189</v>
      </c>
      <c r="B191" s="1932" t="str">
        <f>Chem!B191</f>
        <v>Ethane</v>
      </c>
      <c r="C191" s="2013" t="str">
        <f t="shared" si="89"/>
        <v>na</v>
      </c>
      <c r="D191" s="2014" t="str">
        <f t="shared" si="80"/>
        <v>na</v>
      </c>
      <c r="E191" s="2014" t="str">
        <f t="shared" si="90"/>
        <v>na</v>
      </c>
      <c r="F191" s="2033" t="str">
        <f>'SD-Det'!Z191</f>
        <v>na</v>
      </c>
      <c r="G191" s="2206" t="str">
        <f>'SD-Det'!C191</f>
        <v>no</v>
      </c>
      <c r="H191" s="1815" t="str">
        <f>'SD-Det'!K191</f>
        <v>na</v>
      </c>
      <c r="I191" s="1826" t="str">
        <f>'SD-Det'!M191</f>
        <v>na</v>
      </c>
      <c r="J191" s="1763" t="str">
        <f>'SD-Det'!H191</f>
        <v>na</v>
      </c>
      <c r="K191" s="1763" t="str">
        <f>'SD-Det'!G191</f>
        <v>na</v>
      </c>
      <c r="L191" s="1867" t="str">
        <f>'SD-Det'!Y191</f>
        <v>na</v>
      </c>
      <c r="M191" s="1867" t="str">
        <f>'SD-Det'!U191</f>
        <v>na</v>
      </c>
      <c r="N191" s="2219" t="str">
        <f>'SD-Det'!V191</f>
        <v>na</v>
      </c>
      <c r="O191" s="1862" t="str">
        <f>'SD-Det'!D191</f>
        <v>na</v>
      </c>
      <c r="P191" s="2225" t="str">
        <f>'SD-Det'!F191</f>
        <v>na</v>
      </c>
      <c r="R191" s="1936" t="str">
        <f t="shared" si="82"/>
        <v/>
      </c>
      <c r="S191" s="1937" t="str">
        <f t="shared" si="83"/>
        <v/>
      </c>
      <c r="T191" s="1937" t="str">
        <f t="shared" si="84"/>
        <v/>
      </c>
      <c r="U191" s="1937" t="str">
        <f t="shared" si="85"/>
        <v/>
      </c>
      <c r="V191" s="1937" t="str">
        <f t="shared" si="86"/>
        <v/>
      </c>
      <c r="W191" s="1937" t="str">
        <f t="shared" si="87"/>
        <v/>
      </c>
      <c r="X191" s="1600" t="str">
        <f t="shared" si="88"/>
        <v/>
      </c>
      <c r="Z191" s="1935"/>
    </row>
    <row r="192" spans="1:26" ht="13.9" customHeight="1" x14ac:dyDescent="0.25">
      <c r="A192" s="1916">
        <f>Chem!A192</f>
        <v>190</v>
      </c>
      <c r="B192" s="1932" t="str">
        <f>Chem!B192</f>
        <v>Ethylbenzene</v>
      </c>
      <c r="C192" s="2013" t="str">
        <f t="shared" si="89"/>
        <v>na</v>
      </c>
      <c r="D192" s="2014" t="str">
        <f t="shared" si="80"/>
        <v>na</v>
      </c>
      <c r="E192" s="2014" t="str">
        <f t="shared" si="90"/>
        <v>na</v>
      </c>
      <c r="F192" s="2033" t="str">
        <f>'SD-Det'!Z192</f>
        <v>na</v>
      </c>
      <c r="G192" s="2206" t="str">
        <f>'SD-Det'!C192</f>
        <v>no</v>
      </c>
      <c r="H192" s="1815" t="str">
        <f>'SD-Det'!K192</f>
        <v>na</v>
      </c>
      <c r="I192" s="1826" t="str">
        <f>'SD-Det'!M192</f>
        <v>na</v>
      </c>
      <c r="J192" s="1763" t="str">
        <f>'SD-Det'!H192</f>
        <v>na</v>
      </c>
      <c r="K192" s="1763" t="str">
        <f>'SD-Det'!G192</f>
        <v>na</v>
      </c>
      <c r="L192" s="1867" t="str">
        <f>'SD-Det'!Y192</f>
        <v>na</v>
      </c>
      <c r="M192" s="1867" t="str">
        <f>'SD-Det'!U192</f>
        <v>na</v>
      </c>
      <c r="N192" s="2219" t="str">
        <f>'SD-Det'!V192</f>
        <v>na</v>
      </c>
      <c r="O192" s="1862" t="str">
        <f>'SD-Det'!D192</f>
        <v>na</v>
      </c>
      <c r="P192" s="2225">
        <f>'SD-Det'!F192</f>
        <v>6.6E-3</v>
      </c>
      <c r="R192" s="1936" t="str">
        <f t="shared" si="82"/>
        <v/>
      </c>
      <c r="S192" s="1937" t="str">
        <f t="shared" si="83"/>
        <v/>
      </c>
      <c r="T192" s="1937" t="str">
        <f t="shared" si="84"/>
        <v/>
      </c>
      <c r="U192" s="1937" t="str">
        <f t="shared" si="85"/>
        <v/>
      </c>
      <c r="V192" s="1937" t="str">
        <f t="shared" si="86"/>
        <v/>
      </c>
      <c r="W192" s="1937" t="str">
        <f t="shared" si="87"/>
        <v/>
      </c>
      <c r="X192" s="1600" t="str">
        <f t="shared" si="88"/>
        <v/>
      </c>
      <c r="Z192" s="1935"/>
    </row>
    <row r="193" spans="1:26" ht="13.9" customHeight="1" x14ac:dyDescent="0.25">
      <c r="A193" s="1916">
        <f>Chem!A193</f>
        <v>191</v>
      </c>
      <c r="B193" s="1932" t="str">
        <f>Chem!B193</f>
        <v>Ethylene oxide</v>
      </c>
      <c r="C193" s="2013" t="str">
        <f t="shared" si="89"/>
        <v>na</v>
      </c>
      <c r="D193" s="2014" t="str">
        <f t="shared" si="80"/>
        <v>na</v>
      </c>
      <c r="E193" s="2014" t="str">
        <f t="shared" si="90"/>
        <v>na</v>
      </c>
      <c r="F193" s="2033" t="str">
        <f>'SD-Det'!Z193</f>
        <v>na</v>
      </c>
      <c r="G193" s="2206" t="str">
        <f>'SD-Det'!C193</f>
        <v>no</v>
      </c>
      <c r="H193" s="1815" t="str">
        <f>'SD-Det'!K193</f>
        <v>na</v>
      </c>
      <c r="I193" s="1826" t="str">
        <f>'SD-Det'!M193</f>
        <v>na</v>
      </c>
      <c r="J193" s="1763" t="str">
        <f>'SD-Det'!H193</f>
        <v>na</v>
      </c>
      <c r="K193" s="1763" t="str">
        <f>'SD-Det'!G193</f>
        <v>na</v>
      </c>
      <c r="L193" s="1867" t="str">
        <f>'SD-Det'!Y193</f>
        <v>na</v>
      </c>
      <c r="M193" s="1867" t="str">
        <f>'SD-Det'!U193</f>
        <v>na</v>
      </c>
      <c r="N193" s="2219" t="str">
        <f>'SD-Det'!V193</f>
        <v>na</v>
      </c>
      <c r="O193" s="1862" t="str">
        <f>'SD-Det'!D193</f>
        <v>na</v>
      </c>
      <c r="P193" s="2225" t="str">
        <f>'SD-Det'!F193</f>
        <v>na</v>
      </c>
      <c r="R193" s="1936" t="str">
        <f t="shared" si="82"/>
        <v/>
      </c>
      <c r="S193" s="1937" t="str">
        <f t="shared" si="83"/>
        <v/>
      </c>
      <c r="T193" s="1937" t="str">
        <f t="shared" si="84"/>
        <v/>
      </c>
      <c r="U193" s="1937" t="str">
        <f t="shared" si="85"/>
        <v/>
      </c>
      <c r="V193" s="1937" t="str">
        <f t="shared" si="86"/>
        <v/>
      </c>
      <c r="W193" s="1937" t="str">
        <f t="shared" si="87"/>
        <v/>
      </c>
      <c r="X193" s="1600" t="str">
        <f t="shared" si="88"/>
        <v/>
      </c>
      <c r="Z193" s="1935"/>
    </row>
    <row r="194" spans="1:26" ht="13.9" customHeight="1" x14ac:dyDescent="0.25">
      <c r="A194" s="1916">
        <f>Chem!A194</f>
        <v>192</v>
      </c>
      <c r="B194" s="1932" t="str">
        <f>Chem!B194</f>
        <v>Ethyl ether</v>
      </c>
      <c r="C194" s="2013" t="str">
        <f t="shared" si="89"/>
        <v>na</v>
      </c>
      <c r="D194" s="2014" t="str">
        <f t="shared" si="80"/>
        <v>na</v>
      </c>
      <c r="E194" s="2014" t="str">
        <f t="shared" si="90"/>
        <v>na</v>
      </c>
      <c r="F194" s="2033" t="str">
        <f>'SD-Det'!Z194</f>
        <v>na</v>
      </c>
      <c r="G194" s="2206" t="str">
        <f>'SD-Det'!C194</f>
        <v>no</v>
      </c>
      <c r="H194" s="1815" t="str">
        <f>'SD-Det'!K194</f>
        <v>na</v>
      </c>
      <c r="I194" s="1826" t="str">
        <f>'SD-Det'!M194</f>
        <v>na</v>
      </c>
      <c r="J194" s="1763" t="str">
        <f>'SD-Det'!H194</f>
        <v>na</v>
      </c>
      <c r="K194" s="1763" t="str">
        <f>'SD-Det'!G194</f>
        <v>na</v>
      </c>
      <c r="L194" s="1867" t="str">
        <f>'SD-Det'!Y194</f>
        <v>na</v>
      </c>
      <c r="M194" s="1867" t="str">
        <f>'SD-Det'!U194</f>
        <v>na</v>
      </c>
      <c r="N194" s="2219" t="str">
        <f>'SD-Det'!V194</f>
        <v>na</v>
      </c>
      <c r="O194" s="1862" t="str">
        <f>'SD-Det'!D194</f>
        <v>na</v>
      </c>
      <c r="P194" s="2225" t="str">
        <f>'SD-Det'!F194</f>
        <v>na</v>
      </c>
      <c r="R194" s="1936" t="str">
        <f t="shared" si="82"/>
        <v/>
      </c>
      <c r="S194" s="1937" t="str">
        <f t="shared" si="83"/>
        <v/>
      </c>
      <c r="T194" s="1937" t="str">
        <f t="shared" si="84"/>
        <v/>
      </c>
      <c r="U194" s="1937" t="str">
        <f t="shared" si="85"/>
        <v/>
      </c>
      <c r="V194" s="1937" t="str">
        <f t="shared" si="86"/>
        <v/>
      </c>
      <c r="W194" s="1937" t="str">
        <f t="shared" si="87"/>
        <v/>
      </c>
      <c r="X194" s="1600" t="str">
        <f t="shared" si="88"/>
        <v/>
      </c>
      <c r="Z194" s="1935"/>
    </row>
    <row r="195" spans="1:26" ht="13.9" customHeight="1" x14ac:dyDescent="0.25">
      <c r="A195" s="1916">
        <f>Chem!A195</f>
        <v>193</v>
      </c>
      <c r="B195" s="1932" t="str">
        <f>Chem!B195</f>
        <v>Ethylene dibromide (EDB)</v>
      </c>
      <c r="C195" s="2017" t="str">
        <f t="shared" si="89"/>
        <v>na</v>
      </c>
      <c r="D195" s="2018" t="str">
        <f t="shared" si="80"/>
        <v>na</v>
      </c>
      <c r="E195" s="2018" t="str">
        <f t="shared" si="90"/>
        <v>na</v>
      </c>
      <c r="F195" s="2033" t="str">
        <f>'SD-Det'!Z195</f>
        <v>na</v>
      </c>
      <c r="G195" s="2206" t="str">
        <f>'SD-Det'!C195</f>
        <v>no</v>
      </c>
      <c r="H195" s="1818" t="str">
        <f>'SD-Det'!K195</f>
        <v>na</v>
      </c>
      <c r="I195" s="1829" t="str">
        <f>'SD-Det'!M195</f>
        <v>na</v>
      </c>
      <c r="J195" s="1766" t="str">
        <f>'SD-Det'!H195</f>
        <v>na</v>
      </c>
      <c r="K195" s="1766" t="str">
        <f>'SD-Det'!G195</f>
        <v>na</v>
      </c>
      <c r="L195" s="1870" t="str">
        <f>'SD-Det'!Y195</f>
        <v>na</v>
      </c>
      <c r="M195" s="1870" t="str">
        <f>'SD-Det'!U195</f>
        <v>na</v>
      </c>
      <c r="N195" s="2219" t="str">
        <f>'SD-Det'!V195</f>
        <v>na</v>
      </c>
      <c r="O195" s="2004" t="str">
        <f>'SD-Det'!D195</f>
        <v>na</v>
      </c>
      <c r="P195" s="2229" t="str">
        <f>'SD-Det'!F195</f>
        <v>na</v>
      </c>
      <c r="R195" s="1936" t="str">
        <f t="shared" si="82"/>
        <v/>
      </c>
      <c r="S195" s="1937" t="str">
        <f t="shared" si="83"/>
        <v/>
      </c>
      <c r="T195" s="1937" t="str">
        <f t="shared" si="84"/>
        <v/>
      </c>
      <c r="U195" s="1937" t="str">
        <f t="shared" si="85"/>
        <v/>
      </c>
      <c r="V195" s="1937" t="str">
        <f t="shared" si="86"/>
        <v/>
      </c>
      <c r="W195" s="1937" t="str">
        <f t="shared" si="87"/>
        <v/>
      </c>
      <c r="X195" s="1600" t="str">
        <f t="shared" si="88"/>
        <v/>
      </c>
      <c r="Z195" s="1935"/>
    </row>
    <row r="196" spans="1:26" ht="13.9" customHeight="1" x14ac:dyDescent="0.25">
      <c r="A196" s="1916">
        <f>Chem!A196</f>
        <v>194</v>
      </c>
      <c r="B196" s="1932" t="str">
        <f>Chem!B196</f>
        <v>Formaldehyde</v>
      </c>
      <c r="C196" s="2017" t="str">
        <f t="shared" si="89"/>
        <v>na</v>
      </c>
      <c r="D196" s="2018" t="str">
        <f t="shared" si="80"/>
        <v>na</v>
      </c>
      <c r="E196" s="2018" t="str">
        <f t="shared" si="90"/>
        <v>na</v>
      </c>
      <c r="F196" s="2033" t="str">
        <f>'SD-Det'!Z196</f>
        <v>na</v>
      </c>
      <c r="G196" s="2206" t="str">
        <f>'SD-Det'!C196</f>
        <v>no</v>
      </c>
      <c r="H196" s="1818" t="str">
        <f>'SD-Det'!K196</f>
        <v>na</v>
      </c>
      <c r="I196" s="1829" t="str">
        <f>'SD-Det'!M196</f>
        <v>na</v>
      </c>
      <c r="J196" s="1766" t="str">
        <f>'SD-Det'!H196</f>
        <v>na</v>
      </c>
      <c r="K196" s="1766" t="str">
        <f>'SD-Det'!G196</f>
        <v>na</v>
      </c>
      <c r="L196" s="1870" t="str">
        <f>'SD-Det'!Y196</f>
        <v>na</v>
      </c>
      <c r="M196" s="1870" t="str">
        <f>'SD-Det'!U196</f>
        <v>na</v>
      </c>
      <c r="N196" s="2219" t="str">
        <f>'SD-Det'!V196</f>
        <v>na</v>
      </c>
      <c r="O196" s="2004" t="str">
        <f>'SD-Det'!D196</f>
        <v>na</v>
      </c>
      <c r="P196" s="2229" t="str">
        <f>'SD-Det'!F196</f>
        <v>na</v>
      </c>
      <c r="R196" s="1936" t="str">
        <f t="shared" si="82"/>
        <v/>
      </c>
      <c r="S196" s="1937" t="str">
        <f t="shared" si="83"/>
        <v/>
      </c>
      <c r="T196" s="1937" t="str">
        <f t="shared" si="84"/>
        <v/>
      </c>
      <c r="U196" s="1937" t="str">
        <f t="shared" si="85"/>
        <v/>
      </c>
      <c r="V196" s="1937" t="str">
        <f t="shared" si="86"/>
        <v/>
      </c>
      <c r="W196" s="1937" t="str">
        <f t="shared" si="87"/>
        <v/>
      </c>
      <c r="X196" s="1600" t="str">
        <f t="shared" si="88"/>
        <v/>
      </c>
      <c r="Z196" s="1935"/>
    </row>
    <row r="197" spans="1:26" ht="13.9" customHeight="1" x14ac:dyDescent="0.25">
      <c r="A197" s="1916">
        <f>Chem!A197</f>
        <v>195</v>
      </c>
      <c r="B197" s="1932" t="str">
        <f>Chem!B197</f>
        <v>n-Hexane</v>
      </c>
      <c r="C197" s="2017" t="str">
        <f t="shared" si="89"/>
        <v>na</v>
      </c>
      <c r="D197" s="2018" t="str">
        <f t="shared" si="80"/>
        <v>na</v>
      </c>
      <c r="E197" s="2018" t="str">
        <f t="shared" si="90"/>
        <v>na</v>
      </c>
      <c r="F197" s="2033" t="str">
        <f>'SD-Det'!Z197</f>
        <v>na</v>
      </c>
      <c r="G197" s="2206" t="str">
        <f>'SD-Det'!C197</f>
        <v>no</v>
      </c>
      <c r="H197" s="1818" t="str">
        <f>'SD-Det'!K197</f>
        <v>na</v>
      </c>
      <c r="I197" s="1829" t="str">
        <f>'SD-Det'!M197</f>
        <v>na</v>
      </c>
      <c r="J197" s="1766" t="str">
        <f>'SD-Det'!H197</f>
        <v>na</v>
      </c>
      <c r="K197" s="1766" t="str">
        <f>'SD-Det'!G197</f>
        <v>na</v>
      </c>
      <c r="L197" s="1870" t="str">
        <f>'SD-Det'!Y197</f>
        <v>na</v>
      </c>
      <c r="M197" s="1870" t="str">
        <f>'SD-Det'!U197</f>
        <v>na</v>
      </c>
      <c r="N197" s="2219" t="str">
        <f>'SD-Det'!V197</f>
        <v>na</v>
      </c>
      <c r="O197" s="2004" t="str">
        <f>'SD-Det'!D197</f>
        <v>na</v>
      </c>
      <c r="P197" s="2229" t="str">
        <f>'SD-Det'!F197</f>
        <v>na</v>
      </c>
      <c r="R197" s="1936" t="str">
        <f t="shared" si="82"/>
        <v/>
      </c>
      <c r="S197" s="1937" t="str">
        <f t="shared" si="83"/>
        <v/>
      </c>
      <c r="T197" s="1937" t="str">
        <f t="shared" si="84"/>
        <v/>
      </c>
      <c r="U197" s="1937" t="str">
        <f t="shared" si="85"/>
        <v/>
      </c>
      <c r="V197" s="1937" t="str">
        <f t="shared" si="86"/>
        <v/>
      </c>
      <c r="W197" s="1937" t="str">
        <f t="shared" si="87"/>
        <v/>
      </c>
      <c r="X197" s="1600" t="str">
        <f t="shared" si="88"/>
        <v/>
      </c>
      <c r="Z197" s="1935"/>
    </row>
    <row r="198" spans="1:26" ht="13.9" customHeight="1" x14ac:dyDescent="0.25">
      <c r="A198" s="1916">
        <f>Chem!A198</f>
        <v>196</v>
      </c>
      <c r="B198" s="1932" t="str">
        <f>Chem!B198</f>
        <v>2-Hexanone</v>
      </c>
      <c r="C198" s="2013" t="str">
        <f t="shared" si="89"/>
        <v>na</v>
      </c>
      <c r="D198" s="2014" t="str">
        <f t="shared" si="80"/>
        <v>na</v>
      </c>
      <c r="E198" s="2014" t="str">
        <f t="shared" si="90"/>
        <v>na</v>
      </c>
      <c r="F198" s="2033" t="str">
        <f>'SD-Det'!Z198</f>
        <v>na</v>
      </c>
      <c r="G198" s="2206" t="str">
        <f>'SD-Det'!C198</f>
        <v>no</v>
      </c>
      <c r="H198" s="1815" t="str">
        <f>'SD-Det'!K198</f>
        <v>na</v>
      </c>
      <c r="I198" s="1826" t="str">
        <f>'SD-Det'!M198</f>
        <v>na</v>
      </c>
      <c r="J198" s="1763" t="str">
        <f>'SD-Det'!H198</f>
        <v>na</v>
      </c>
      <c r="K198" s="1763" t="str">
        <f>'SD-Det'!G198</f>
        <v>na</v>
      </c>
      <c r="L198" s="1867" t="str">
        <f>'SD-Det'!Y198</f>
        <v>na</v>
      </c>
      <c r="M198" s="1867" t="str">
        <f>'SD-Det'!U198</f>
        <v>na</v>
      </c>
      <c r="N198" s="2219" t="str">
        <f>'SD-Det'!V198</f>
        <v>na</v>
      </c>
      <c r="O198" s="1862" t="str">
        <f>'SD-Det'!D198</f>
        <v>na</v>
      </c>
      <c r="P198" s="2225" t="str">
        <f>'SD-Det'!F198</f>
        <v>na</v>
      </c>
      <c r="R198" s="1936" t="str">
        <f t="shared" si="82"/>
        <v/>
      </c>
      <c r="S198" s="1937" t="str">
        <f t="shared" si="83"/>
        <v/>
      </c>
      <c r="T198" s="1937" t="str">
        <f t="shared" si="84"/>
        <v/>
      </c>
      <c r="U198" s="1937" t="str">
        <f t="shared" si="85"/>
        <v/>
      </c>
      <c r="V198" s="1937" t="str">
        <f t="shared" si="86"/>
        <v/>
      </c>
      <c r="W198" s="1937" t="str">
        <f t="shared" si="87"/>
        <v/>
      </c>
      <c r="X198" s="1600" t="str">
        <f t="shared" si="88"/>
        <v/>
      </c>
      <c r="Z198" s="1935"/>
    </row>
    <row r="199" spans="1:26" ht="13.9" customHeight="1" x14ac:dyDescent="0.25">
      <c r="A199" s="1916">
        <f>Chem!A199</f>
        <v>197</v>
      </c>
      <c r="B199" s="1932" t="str">
        <f>Chem!B199</f>
        <v>Isopropylbenzene (cumene)</v>
      </c>
      <c r="C199" s="2013" t="str">
        <f t="shared" si="89"/>
        <v>na</v>
      </c>
      <c r="D199" s="2014" t="str">
        <f t="shared" si="80"/>
        <v>na</v>
      </c>
      <c r="E199" s="2014" t="str">
        <f t="shared" si="90"/>
        <v>na</v>
      </c>
      <c r="F199" s="2033" t="str">
        <f>'SD-Det'!Z199</f>
        <v>na</v>
      </c>
      <c r="G199" s="2206" t="str">
        <f>'SD-Det'!C199</f>
        <v>no</v>
      </c>
      <c r="H199" s="1815" t="str">
        <f>'SD-Det'!K199</f>
        <v>na</v>
      </c>
      <c r="I199" s="1826" t="str">
        <f>'SD-Det'!M199</f>
        <v>na</v>
      </c>
      <c r="J199" s="1763" t="str">
        <f>'SD-Det'!H199</f>
        <v>na</v>
      </c>
      <c r="K199" s="1763" t="str">
        <f>'SD-Det'!G199</f>
        <v>na</v>
      </c>
      <c r="L199" s="1867" t="str">
        <f>'SD-Det'!Y199</f>
        <v>na</v>
      </c>
      <c r="M199" s="1867" t="str">
        <f>'SD-Det'!U199</f>
        <v>na</v>
      </c>
      <c r="N199" s="2219" t="str">
        <f>'SD-Det'!V199</f>
        <v>na</v>
      </c>
      <c r="O199" s="1862" t="str">
        <f>'SD-Det'!D199</f>
        <v>na</v>
      </c>
      <c r="P199" s="2225" t="str">
        <f>'SD-Det'!F199</f>
        <v>na</v>
      </c>
      <c r="R199" s="1936" t="str">
        <f t="shared" si="82"/>
        <v/>
      </c>
      <c r="S199" s="1937" t="str">
        <f t="shared" si="83"/>
        <v/>
      </c>
      <c r="T199" s="1937" t="str">
        <f t="shared" si="84"/>
        <v/>
      </c>
      <c r="U199" s="1937" t="str">
        <f t="shared" si="85"/>
        <v/>
      </c>
      <c r="V199" s="1937" t="str">
        <f t="shared" si="86"/>
        <v/>
      </c>
      <c r="W199" s="1937" t="str">
        <f t="shared" si="87"/>
        <v/>
      </c>
      <c r="X199" s="1600" t="str">
        <f t="shared" si="88"/>
        <v/>
      </c>
      <c r="Z199" s="1935"/>
    </row>
    <row r="200" spans="1:26" ht="13.9" customHeight="1" x14ac:dyDescent="0.25">
      <c r="A200" s="1916">
        <f>Chem!A200</f>
        <v>198</v>
      </c>
      <c r="B200" s="1932" t="str">
        <f>Chem!B200</f>
        <v>4-Isopropyltoluene (p-isopropyltoluene)</v>
      </c>
      <c r="C200" s="2013" t="str">
        <f t="shared" si="89"/>
        <v>na</v>
      </c>
      <c r="D200" s="2014" t="str">
        <f t="shared" si="80"/>
        <v>na</v>
      </c>
      <c r="E200" s="2014" t="str">
        <f t="shared" si="90"/>
        <v>na</v>
      </c>
      <c r="F200" s="2033" t="str">
        <f>'SD-Det'!Z200</f>
        <v>na</v>
      </c>
      <c r="G200" s="2206" t="str">
        <f>'SD-Det'!C200</f>
        <v>no</v>
      </c>
      <c r="H200" s="1815" t="str">
        <f>'SD-Det'!K200</f>
        <v>na</v>
      </c>
      <c r="I200" s="1826" t="str">
        <f>'SD-Det'!M200</f>
        <v>na</v>
      </c>
      <c r="J200" s="1763" t="str">
        <f>'SD-Det'!H200</f>
        <v>na</v>
      </c>
      <c r="K200" s="1763" t="str">
        <f>'SD-Det'!G200</f>
        <v>na</v>
      </c>
      <c r="L200" s="1867" t="str">
        <f>'SD-Det'!Y200</f>
        <v>na</v>
      </c>
      <c r="M200" s="1867" t="str">
        <f>'SD-Det'!U200</f>
        <v>na</v>
      </c>
      <c r="N200" s="2219" t="str">
        <f>'SD-Det'!V200</f>
        <v>na</v>
      </c>
      <c r="O200" s="1862" t="str">
        <f>'SD-Det'!D200</f>
        <v>na</v>
      </c>
      <c r="P200" s="2225" t="str">
        <f>'SD-Det'!F200</f>
        <v>na</v>
      </c>
      <c r="R200" s="1936" t="str">
        <f t="shared" si="82"/>
        <v/>
      </c>
      <c r="S200" s="1937" t="str">
        <f t="shared" si="83"/>
        <v/>
      </c>
      <c r="T200" s="1937" t="str">
        <f t="shared" si="84"/>
        <v/>
      </c>
      <c r="U200" s="1937" t="str">
        <f t="shared" si="85"/>
        <v/>
      </c>
      <c r="V200" s="1937" t="str">
        <f t="shared" si="86"/>
        <v/>
      </c>
      <c r="W200" s="1937" t="str">
        <f t="shared" si="87"/>
        <v/>
      </c>
      <c r="X200" s="1600" t="str">
        <f t="shared" si="88"/>
        <v/>
      </c>
      <c r="Z200" s="1935"/>
    </row>
    <row r="201" spans="1:26" ht="13.9" customHeight="1" x14ac:dyDescent="0.25">
      <c r="A201" s="1916">
        <f>Chem!A201</f>
        <v>199</v>
      </c>
      <c r="B201" s="1932" t="str">
        <f>Chem!B201</f>
        <v>Methane</v>
      </c>
      <c r="C201" s="2013" t="str">
        <f t="shared" si="89"/>
        <v>na</v>
      </c>
      <c r="D201" s="2014" t="str">
        <f t="shared" si="80"/>
        <v>na</v>
      </c>
      <c r="E201" s="2014" t="str">
        <f t="shared" si="90"/>
        <v>na</v>
      </c>
      <c r="F201" s="2033" t="str">
        <f>'SD-Det'!Z201</f>
        <v>na</v>
      </c>
      <c r="G201" s="2206" t="str">
        <f>'SD-Det'!C201</f>
        <v>no</v>
      </c>
      <c r="H201" s="1815" t="str">
        <f>'SD-Det'!K201</f>
        <v>na</v>
      </c>
      <c r="I201" s="1826" t="str">
        <f>'SD-Det'!M201</f>
        <v>na</v>
      </c>
      <c r="J201" s="1763" t="str">
        <f>'SD-Det'!H201</f>
        <v>na</v>
      </c>
      <c r="K201" s="1763" t="str">
        <f>'SD-Det'!G201</f>
        <v>na</v>
      </c>
      <c r="L201" s="1867" t="str">
        <f>'SD-Det'!Y201</f>
        <v>na</v>
      </c>
      <c r="M201" s="1867" t="str">
        <f>'SD-Det'!U201</f>
        <v>na</v>
      </c>
      <c r="N201" s="2219" t="str">
        <f>'SD-Det'!V201</f>
        <v>na</v>
      </c>
      <c r="O201" s="1862" t="str">
        <f>'SD-Det'!D201</f>
        <v>na</v>
      </c>
      <c r="P201" s="2225" t="str">
        <f>'SD-Det'!F201</f>
        <v>na</v>
      </c>
      <c r="R201" s="1936" t="str">
        <f t="shared" si="82"/>
        <v/>
      </c>
      <c r="S201" s="1937" t="str">
        <f t="shared" si="83"/>
        <v/>
      </c>
      <c r="T201" s="1937" t="str">
        <f t="shared" si="84"/>
        <v/>
      </c>
      <c r="U201" s="1937" t="str">
        <f t="shared" si="85"/>
        <v/>
      </c>
      <c r="V201" s="1937" t="str">
        <f t="shared" si="86"/>
        <v/>
      </c>
      <c r="W201" s="1937" t="str">
        <f t="shared" si="87"/>
        <v/>
      </c>
      <c r="X201" s="1600" t="str">
        <f t="shared" si="88"/>
        <v/>
      </c>
      <c r="Z201" s="1935"/>
    </row>
    <row r="202" spans="1:26" ht="13.9" customHeight="1" x14ac:dyDescent="0.25">
      <c r="A202" s="1916">
        <f>Chem!A202</f>
        <v>200</v>
      </c>
      <c r="B202" s="1932" t="str">
        <f>Chem!B202</f>
        <v>Methyl ethyl ketone (2-butanone)</v>
      </c>
      <c r="C202" s="2013" t="str">
        <f t="shared" si="89"/>
        <v>na</v>
      </c>
      <c r="D202" s="2014" t="str">
        <f t="shared" si="80"/>
        <v>na</v>
      </c>
      <c r="E202" s="2014" t="str">
        <f t="shared" si="90"/>
        <v>na</v>
      </c>
      <c r="F202" s="2033" t="str">
        <f>'SD-Det'!Z202</f>
        <v>na</v>
      </c>
      <c r="G202" s="2206" t="str">
        <f>'SD-Det'!C202</f>
        <v>no</v>
      </c>
      <c r="H202" s="1815" t="str">
        <f>'SD-Det'!K202</f>
        <v>na</v>
      </c>
      <c r="I202" s="1826" t="str">
        <f>'SD-Det'!M202</f>
        <v>na</v>
      </c>
      <c r="J202" s="1763" t="str">
        <f>'SD-Det'!H202</f>
        <v>na</v>
      </c>
      <c r="K202" s="1763" t="str">
        <f>'SD-Det'!G202</f>
        <v>na</v>
      </c>
      <c r="L202" s="1867" t="str">
        <f>'SD-Det'!Y202</f>
        <v>na</v>
      </c>
      <c r="M202" s="1867" t="str">
        <f>'SD-Det'!U202</f>
        <v>na</v>
      </c>
      <c r="N202" s="2219" t="str">
        <f>'SD-Det'!V202</f>
        <v>na</v>
      </c>
      <c r="O202" s="1862" t="str">
        <f>'SD-Det'!D202</f>
        <v>na</v>
      </c>
      <c r="P202" s="2225" t="str">
        <f>'SD-Det'!F202</f>
        <v>na</v>
      </c>
      <c r="R202" s="1936" t="str">
        <f t="shared" si="82"/>
        <v/>
      </c>
      <c r="S202" s="1937" t="str">
        <f t="shared" si="83"/>
        <v/>
      </c>
      <c r="T202" s="1937" t="str">
        <f t="shared" si="84"/>
        <v/>
      </c>
      <c r="U202" s="1937" t="str">
        <f t="shared" si="85"/>
        <v/>
      </c>
      <c r="V202" s="1937" t="str">
        <f t="shared" si="86"/>
        <v/>
      </c>
      <c r="W202" s="1937" t="str">
        <f t="shared" si="87"/>
        <v/>
      </c>
      <c r="X202" s="1600" t="str">
        <f t="shared" si="88"/>
        <v/>
      </c>
      <c r="Z202" s="1935"/>
    </row>
    <row r="203" spans="1:26" ht="13.9" customHeight="1" x14ac:dyDescent="0.25">
      <c r="A203" s="1916">
        <f>Chem!A203</f>
        <v>201</v>
      </c>
      <c r="B203" s="1932" t="str">
        <f>Chem!B203</f>
        <v>Methyl iodide</v>
      </c>
      <c r="C203" s="2013" t="str">
        <f t="shared" si="89"/>
        <v>na</v>
      </c>
      <c r="D203" s="2014" t="str">
        <f t="shared" si="80"/>
        <v>na</v>
      </c>
      <c r="E203" s="2014" t="str">
        <f t="shared" si="90"/>
        <v>na</v>
      </c>
      <c r="F203" s="2033" t="str">
        <f>'SD-Det'!Z203</f>
        <v>na</v>
      </c>
      <c r="G203" s="2206" t="str">
        <f>'SD-Det'!C203</f>
        <v>no</v>
      </c>
      <c r="H203" s="1815" t="str">
        <f>'SD-Det'!K203</f>
        <v>na</v>
      </c>
      <c r="I203" s="1826" t="str">
        <f>'SD-Det'!M203</f>
        <v>na</v>
      </c>
      <c r="J203" s="1763" t="str">
        <f>'SD-Det'!H203</f>
        <v>na</v>
      </c>
      <c r="K203" s="1763" t="str">
        <f>'SD-Det'!G203</f>
        <v>na</v>
      </c>
      <c r="L203" s="1867" t="str">
        <f>'SD-Det'!Y203</f>
        <v>na</v>
      </c>
      <c r="M203" s="1867" t="str">
        <f>'SD-Det'!U203</f>
        <v>na</v>
      </c>
      <c r="N203" s="2219" t="str">
        <f>'SD-Det'!V203</f>
        <v>na</v>
      </c>
      <c r="O203" s="1862" t="str">
        <f>'SD-Det'!D203</f>
        <v>na</v>
      </c>
      <c r="P203" s="2225" t="str">
        <f>'SD-Det'!F203</f>
        <v>na</v>
      </c>
      <c r="R203" s="1936" t="str">
        <f t="shared" si="82"/>
        <v/>
      </c>
      <c r="S203" s="1937" t="str">
        <f t="shared" si="83"/>
        <v/>
      </c>
      <c r="T203" s="1937" t="str">
        <f t="shared" si="84"/>
        <v/>
      </c>
      <c r="U203" s="1937" t="str">
        <f t="shared" si="85"/>
        <v/>
      </c>
      <c r="V203" s="1937" t="str">
        <f t="shared" si="86"/>
        <v/>
      </c>
      <c r="W203" s="1937" t="str">
        <f t="shared" si="87"/>
        <v/>
      </c>
      <c r="X203" s="1600" t="str">
        <f t="shared" si="88"/>
        <v/>
      </c>
      <c r="Z203" s="1935"/>
    </row>
    <row r="204" spans="1:26" ht="13.9" customHeight="1" x14ac:dyDescent="0.25">
      <c r="A204" s="1916">
        <f>Chem!A204</f>
        <v>202</v>
      </c>
      <c r="B204" s="1932" t="str">
        <f>Chem!B204</f>
        <v>Methyl isobutyl ketone</v>
      </c>
      <c r="C204" s="2013" t="str">
        <f t="shared" si="89"/>
        <v>na</v>
      </c>
      <c r="D204" s="2014" t="str">
        <f t="shared" si="80"/>
        <v>na</v>
      </c>
      <c r="E204" s="2014" t="str">
        <f t="shared" si="90"/>
        <v>na</v>
      </c>
      <c r="F204" s="2033" t="str">
        <f>'SD-Det'!Z204</f>
        <v>na</v>
      </c>
      <c r="G204" s="2206" t="str">
        <f>'SD-Det'!C204</f>
        <v>no</v>
      </c>
      <c r="H204" s="1815" t="str">
        <f>'SD-Det'!K204</f>
        <v>na</v>
      </c>
      <c r="I204" s="1826" t="str">
        <f>'SD-Det'!M204</f>
        <v>na</v>
      </c>
      <c r="J204" s="1763" t="str">
        <f>'SD-Det'!H204</f>
        <v>na</v>
      </c>
      <c r="K204" s="1763" t="str">
        <f>'SD-Det'!G204</f>
        <v>na</v>
      </c>
      <c r="L204" s="1867" t="str">
        <f>'SD-Det'!Y204</f>
        <v>na</v>
      </c>
      <c r="M204" s="1867" t="str">
        <f>'SD-Det'!U204</f>
        <v>na</v>
      </c>
      <c r="N204" s="2219" t="str">
        <f>'SD-Det'!V204</f>
        <v>na</v>
      </c>
      <c r="O204" s="1862" t="str">
        <f>'SD-Det'!D204</f>
        <v>na</v>
      </c>
      <c r="P204" s="2225" t="str">
        <f>'SD-Det'!F204</f>
        <v>na</v>
      </c>
      <c r="R204" s="1936" t="str">
        <f t="shared" si="82"/>
        <v/>
      </c>
      <c r="S204" s="1937" t="str">
        <f t="shared" si="83"/>
        <v/>
      </c>
      <c r="T204" s="1937" t="str">
        <f t="shared" si="84"/>
        <v/>
      </c>
      <c r="U204" s="1937" t="str">
        <f t="shared" si="85"/>
        <v/>
      </c>
      <c r="V204" s="1937" t="str">
        <f t="shared" si="86"/>
        <v/>
      </c>
      <c r="W204" s="1937" t="str">
        <f t="shared" si="87"/>
        <v/>
      </c>
      <c r="X204" s="1600" t="str">
        <f t="shared" si="88"/>
        <v/>
      </c>
      <c r="Z204" s="1935"/>
    </row>
    <row r="205" spans="1:26" ht="13.9" customHeight="1" x14ac:dyDescent="0.25">
      <c r="A205" s="1916">
        <f>Chem!A205</f>
        <v>203</v>
      </c>
      <c r="B205" s="1932" t="str">
        <f>Chem!B205</f>
        <v>Methyl tert-butyl ether (MTBE)</v>
      </c>
      <c r="C205" s="2021" t="str">
        <f t="shared" si="89"/>
        <v>na</v>
      </c>
      <c r="D205" s="2022" t="str">
        <f t="shared" si="80"/>
        <v>na</v>
      </c>
      <c r="E205" s="2022" t="str">
        <f t="shared" si="90"/>
        <v>na</v>
      </c>
      <c r="F205" s="2033" t="str">
        <f>'SD-Det'!Z205</f>
        <v>na</v>
      </c>
      <c r="G205" s="2206" t="str">
        <f>'SD-Det'!C205</f>
        <v>no</v>
      </c>
      <c r="H205" s="1820" t="str">
        <f>'SD-Det'!K205</f>
        <v>na</v>
      </c>
      <c r="I205" s="1831" t="str">
        <f>'SD-Det'!M205</f>
        <v>na</v>
      </c>
      <c r="J205" s="1768" t="str">
        <f>'SD-Det'!H205</f>
        <v>na</v>
      </c>
      <c r="K205" s="1768" t="str">
        <f>'SD-Det'!G205</f>
        <v>na</v>
      </c>
      <c r="L205" s="1872" t="str">
        <f>'SD-Det'!Y205</f>
        <v>na</v>
      </c>
      <c r="M205" s="1872" t="str">
        <f>'SD-Det'!U205</f>
        <v>na</v>
      </c>
      <c r="N205" s="2219" t="str">
        <f>'SD-Det'!V205</f>
        <v>na</v>
      </c>
      <c r="O205" s="2006" t="str">
        <f>'SD-Det'!D205</f>
        <v>na</v>
      </c>
      <c r="P205" s="2231" t="str">
        <f>'SD-Det'!F205</f>
        <v>na</v>
      </c>
      <c r="R205" s="1936" t="str">
        <f t="shared" si="82"/>
        <v/>
      </c>
      <c r="S205" s="1937" t="str">
        <f t="shared" si="83"/>
        <v/>
      </c>
      <c r="T205" s="1937" t="str">
        <f t="shared" si="84"/>
        <v/>
      </c>
      <c r="U205" s="1937" t="str">
        <f t="shared" si="85"/>
        <v/>
      </c>
      <c r="V205" s="1937" t="str">
        <f t="shared" si="86"/>
        <v/>
      </c>
      <c r="W205" s="1937" t="str">
        <f t="shared" si="87"/>
        <v/>
      </c>
      <c r="X205" s="1600" t="str">
        <f t="shared" si="88"/>
        <v/>
      </c>
      <c r="Z205" s="1935"/>
    </row>
    <row r="206" spans="1:26" ht="13.9" customHeight="1" x14ac:dyDescent="0.25">
      <c r="A206" s="1916">
        <f>Chem!A206</f>
        <v>204</v>
      </c>
      <c r="B206" s="1932" t="str">
        <f>Chem!B206</f>
        <v>Methylene chloride</v>
      </c>
      <c r="C206" s="2017" t="str">
        <f t="shared" si="89"/>
        <v>na</v>
      </c>
      <c r="D206" s="2018" t="str">
        <f t="shared" si="80"/>
        <v>na</v>
      </c>
      <c r="E206" s="2018" t="str">
        <f t="shared" si="90"/>
        <v>na</v>
      </c>
      <c r="F206" s="2033" t="str">
        <f>'SD-Det'!Z206</f>
        <v>na</v>
      </c>
      <c r="G206" s="2206" t="str">
        <f>'SD-Det'!C206</f>
        <v>no</v>
      </c>
      <c r="H206" s="1818" t="str">
        <f>'SD-Det'!K206</f>
        <v>na</v>
      </c>
      <c r="I206" s="1829" t="str">
        <f>'SD-Det'!M206</f>
        <v>na</v>
      </c>
      <c r="J206" s="1766" t="str">
        <f>'SD-Det'!H206</f>
        <v>na</v>
      </c>
      <c r="K206" s="1766" t="str">
        <f>'SD-Det'!G206</f>
        <v>na</v>
      </c>
      <c r="L206" s="1870" t="str">
        <f>'SD-Det'!Y206</f>
        <v>na</v>
      </c>
      <c r="M206" s="1870" t="str">
        <f>'SD-Det'!U206</f>
        <v>na</v>
      </c>
      <c r="N206" s="2219" t="str">
        <f>'SD-Det'!V206</f>
        <v>na</v>
      </c>
      <c r="O206" s="2004" t="str">
        <f>'SD-Det'!D206</f>
        <v>na</v>
      </c>
      <c r="P206" s="2229" t="str">
        <f>'SD-Det'!F206</f>
        <v>na</v>
      </c>
      <c r="R206" s="1936" t="str">
        <f t="shared" si="82"/>
        <v/>
      </c>
      <c r="S206" s="1937" t="str">
        <f t="shared" si="83"/>
        <v/>
      </c>
      <c r="T206" s="1937" t="str">
        <f t="shared" si="84"/>
        <v/>
      </c>
      <c r="U206" s="1937" t="str">
        <f t="shared" si="85"/>
        <v/>
      </c>
      <c r="V206" s="1937" t="str">
        <f t="shared" si="86"/>
        <v/>
      </c>
      <c r="W206" s="1937" t="str">
        <f t="shared" si="87"/>
        <v/>
      </c>
      <c r="X206" s="1600" t="str">
        <f t="shared" si="88"/>
        <v/>
      </c>
      <c r="Z206" s="1935"/>
    </row>
    <row r="207" spans="1:26" ht="13.9" customHeight="1" x14ac:dyDescent="0.25">
      <c r="A207" s="1916">
        <f>Chem!A207</f>
        <v>205</v>
      </c>
      <c r="B207" s="1932" t="str">
        <f>Chem!B207</f>
        <v>2-Pentanone</v>
      </c>
      <c r="C207" s="2013" t="str">
        <f t="shared" si="89"/>
        <v>na</v>
      </c>
      <c r="D207" s="2014" t="str">
        <f t="shared" si="80"/>
        <v>na</v>
      </c>
      <c r="E207" s="2014" t="str">
        <f t="shared" si="90"/>
        <v>na</v>
      </c>
      <c r="F207" s="2033" t="str">
        <f>'SD-Det'!Z207</f>
        <v>na</v>
      </c>
      <c r="G207" s="2206" t="str">
        <f>'SD-Det'!C207</f>
        <v>no</v>
      </c>
      <c r="H207" s="1815" t="str">
        <f>'SD-Det'!K207</f>
        <v>na</v>
      </c>
      <c r="I207" s="1826" t="str">
        <f>'SD-Det'!M207</f>
        <v>na</v>
      </c>
      <c r="J207" s="1763" t="str">
        <f>'SD-Det'!H207</f>
        <v>na</v>
      </c>
      <c r="K207" s="1763" t="str">
        <f>'SD-Det'!G207</f>
        <v>na</v>
      </c>
      <c r="L207" s="1867" t="str">
        <f>'SD-Det'!Y207</f>
        <v>na</v>
      </c>
      <c r="M207" s="1867" t="str">
        <f>'SD-Det'!U207</f>
        <v>na</v>
      </c>
      <c r="N207" s="2219" t="str">
        <f>'SD-Det'!V207</f>
        <v>na</v>
      </c>
      <c r="O207" s="1862" t="str">
        <f>'SD-Det'!D207</f>
        <v>na</v>
      </c>
      <c r="P207" s="2225" t="str">
        <f>'SD-Det'!F207</f>
        <v>na</v>
      </c>
      <c r="R207" s="1936" t="str">
        <f t="shared" si="82"/>
        <v/>
      </c>
      <c r="S207" s="1937" t="str">
        <f t="shared" si="83"/>
        <v/>
      </c>
      <c r="T207" s="1937" t="str">
        <f t="shared" si="84"/>
        <v/>
      </c>
      <c r="U207" s="1937" t="str">
        <f t="shared" si="85"/>
        <v/>
      </c>
      <c r="V207" s="1937" t="str">
        <f t="shared" si="86"/>
        <v/>
      </c>
      <c r="W207" s="1937" t="str">
        <f t="shared" si="87"/>
        <v/>
      </c>
      <c r="X207" s="1600" t="str">
        <f t="shared" si="88"/>
        <v/>
      </c>
      <c r="Z207" s="1935"/>
    </row>
    <row r="208" spans="1:26" ht="13.9" customHeight="1" x14ac:dyDescent="0.25">
      <c r="A208" s="1916">
        <f>Chem!A208</f>
        <v>206</v>
      </c>
      <c r="B208" s="1932" t="str">
        <f>Chem!B208</f>
        <v>n-Propylbenzene</v>
      </c>
      <c r="C208" s="2013" t="str">
        <f t="shared" si="89"/>
        <v>na</v>
      </c>
      <c r="D208" s="2014" t="str">
        <f t="shared" si="80"/>
        <v>na</v>
      </c>
      <c r="E208" s="2014" t="str">
        <f t="shared" si="90"/>
        <v>na</v>
      </c>
      <c r="F208" s="2033" t="str">
        <f>'SD-Det'!Z208</f>
        <v>na</v>
      </c>
      <c r="G208" s="2206" t="str">
        <f>'SD-Det'!C208</f>
        <v>no</v>
      </c>
      <c r="H208" s="1815" t="str">
        <f>'SD-Det'!K208</f>
        <v>na</v>
      </c>
      <c r="I208" s="1826" t="str">
        <f>'SD-Det'!M208</f>
        <v>na</v>
      </c>
      <c r="J208" s="1763" t="str">
        <f>'SD-Det'!H208</f>
        <v>na</v>
      </c>
      <c r="K208" s="1763" t="str">
        <f>'SD-Det'!G208</f>
        <v>na</v>
      </c>
      <c r="L208" s="1867" t="str">
        <f>'SD-Det'!Y208</f>
        <v>na</v>
      </c>
      <c r="M208" s="1867" t="str">
        <f>'SD-Det'!U208</f>
        <v>na</v>
      </c>
      <c r="N208" s="2219" t="str">
        <f>'SD-Det'!V208</f>
        <v>na</v>
      </c>
      <c r="O208" s="1862" t="str">
        <f>'SD-Det'!D208</f>
        <v>na</v>
      </c>
      <c r="P208" s="2225" t="str">
        <f>'SD-Det'!F208</f>
        <v>na</v>
      </c>
      <c r="R208" s="1936" t="str">
        <f t="shared" si="82"/>
        <v/>
      </c>
      <c r="S208" s="1937" t="str">
        <f t="shared" si="83"/>
        <v/>
      </c>
      <c r="T208" s="1937" t="str">
        <f t="shared" si="84"/>
        <v/>
      </c>
      <c r="U208" s="1937" t="str">
        <f t="shared" si="85"/>
        <v/>
      </c>
      <c r="V208" s="1937" t="str">
        <f t="shared" si="86"/>
        <v/>
      </c>
      <c r="W208" s="1937" t="str">
        <f t="shared" si="87"/>
        <v/>
      </c>
      <c r="X208" s="1600" t="str">
        <f t="shared" si="88"/>
        <v/>
      </c>
      <c r="Z208" s="1935"/>
    </row>
    <row r="209" spans="1:26" ht="13.9" customHeight="1" x14ac:dyDescent="0.25">
      <c r="A209" s="1916">
        <f>Chem!A209</f>
        <v>207</v>
      </c>
      <c r="B209" s="1932" t="str">
        <f>Chem!B209</f>
        <v>Styrene</v>
      </c>
      <c r="C209" s="2013" t="str">
        <f t="shared" si="89"/>
        <v>na</v>
      </c>
      <c r="D209" s="2014" t="str">
        <f t="shared" si="80"/>
        <v>na</v>
      </c>
      <c r="E209" s="2014" t="str">
        <f t="shared" si="90"/>
        <v>na</v>
      </c>
      <c r="F209" s="2033" t="str">
        <f>'SD-Det'!Z209</f>
        <v>na</v>
      </c>
      <c r="G209" s="2206" t="str">
        <f>'SD-Det'!C209</f>
        <v>no</v>
      </c>
      <c r="H209" s="1815" t="str">
        <f>'SD-Det'!K209</f>
        <v>na</v>
      </c>
      <c r="I209" s="1826" t="str">
        <f>'SD-Det'!M209</f>
        <v>na</v>
      </c>
      <c r="J209" s="1763" t="str">
        <f>'SD-Det'!H209</f>
        <v>na</v>
      </c>
      <c r="K209" s="1763" t="str">
        <f>'SD-Det'!G209</f>
        <v>na</v>
      </c>
      <c r="L209" s="1867" t="str">
        <f>'SD-Det'!Y209</f>
        <v>na</v>
      </c>
      <c r="M209" s="1867" t="str">
        <f>'SD-Det'!U209</f>
        <v>na</v>
      </c>
      <c r="N209" s="2219" t="str">
        <f>'SD-Det'!V209</f>
        <v>na</v>
      </c>
      <c r="O209" s="1862" t="str">
        <f>'SD-Det'!D209</f>
        <v>na</v>
      </c>
      <c r="P209" s="2225" t="str">
        <f>'SD-Det'!F209</f>
        <v>na</v>
      </c>
      <c r="R209" s="1936" t="str">
        <f t="shared" si="82"/>
        <v/>
      </c>
      <c r="S209" s="1937" t="str">
        <f t="shared" si="83"/>
        <v/>
      </c>
      <c r="T209" s="1937" t="str">
        <f t="shared" si="84"/>
        <v/>
      </c>
      <c r="U209" s="1937" t="str">
        <f t="shared" si="85"/>
        <v/>
      </c>
      <c r="V209" s="1937" t="str">
        <f t="shared" si="86"/>
        <v/>
      </c>
      <c r="W209" s="1937" t="str">
        <f t="shared" si="87"/>
        <v/>
      </c>
      <c r="X209" s="1600" t="str">
        <f t="shared" si="88"/>
        <v/>
      </c>
      <c r="Z209" s="1935"/>
    </row>
    <row r="210" spans="1:26" ht="13.9" customHeight="1" x14ac:dyDescent="0.25">
      <c r="A210" s="1916">
        <f>Chem!A210</f>
        <v>208</v>
      </c>
      <c r="B210" s="1932" t="str">
        <f>Chem!B210</f>
        <v>1,1,1,2-Tetrachloroethane</v>
      </c>
      <c r="C210" s="2013" t="str">
        <f t="shared" si="89"/>
        <v>na</v>
      </c>
      <c r="D210" s="2014" t="str">
        <f t="shared" si="80"/>
        <v>na</v>
      </c>
      <c r="E210" s="2014" t="str">
        <f t="shared" si="90"/>
        <v>na</v>
      </c>
      <c r="F210" s="2033" t="str">
        <f>'SD-Det'!Z210</f>
        <v>na</v>
      </c>
      <c r="G210" s="2206" t="str">
        <f>'SD-Det'!C210</f>
        <v>no</v>
      </c>
      <c r="H210" s="1815" t="str">
        <f>'SD-Det'!K210</f>
        <v>na</v>
      </c>
      <c r="I210" s="1826" t="str">
        <f>'SD-Det'!M210</f>
        <v>na</v>
      </c>
      <c r="J210" s="1763" t="str">
        <f>'SD-Det'!H210</f>
        <v>na</v>
      </c>
      <c r="K210" s="1763" t="str">
        <f>'SD-Det'!G210</f>
        <v>na</v>
      </c>
      <c r="L210" s="1867" t="str">
        <f>'SD-Det'!Y210</f>
        <v>na</v>
      </c>
      <c r="M210" s="1867" t="str">
        <f>'SD-Det'!U210</f>
        <v>na</v>
      </c>
      <c r="N210" s="2219" t="str">
        <f>'SD-Det'!V210</f>
        <v>na</v>
      </c>
      <c r="O210" s="1862" t="str">
        <f>'SD-Det'!D210</f>
        <v>na</v>
      </c>
      <c r="P210" s="2225" t="str">
        <f>'SD-Det'!F210</f>
        <v>na</v>
      </c>
      <c r="R210" s="1936" t="str">
        <f t="shared" si="82"/>
        <v/>
      </c>
      <c r="S210" s="1937" t="str">
        <f t="shared" si="83"/>
        <v/>
      </c>
      <c r="T210" s="1937" t="str">
        <f t="shared" si="84"/>
        <v/>
      </c>
      <c r="U210" s="1937" t="str">
        <f t="shared" si="85"/>
        <v/>
      </c>
      <c r="V210" s="1937" t="str">
        <f t="shared" si="86"/>
        <v/>
      </c>
      <c r="W210" s="1937" t="str">
        <f t="shared" si="87"/>
        <v/>
      </c>
      <c r="X210" s="1600" t="str">
        <f t="shared" si="88"/>
        <v/>
      </c>
      <c r="Z210" s="1935"/>
    </row>
    <row r="211" spans="1:26" ht="13.9" customHeight="1" x14ac:dyDescent="0.25">
      <c r="A211" s="1916">
        <f>Chem!A211</f>
        <v>209</v>
      </c>
      <c r="B211" s="1932" t="str">
        <f>Chem!B211</f>
        <v>1,1,2,2-Tetrachloroethane</v>
      </c>
      <c r="C211" s="2013" t="str">
        <f t="shared" ref="C211:C228" si="91">IF(ISNUMBER(L211),L211,IF(MIN(H211,I211)=0,"na",MAX(MIN(H211,I211),O211,P211)))</f>
        <v>na</v>
      </c>
      <c r="D211" s="2014" t="str">
        <f t="shared" ref="D211:D228" si="92">IF(ISNUMBER(M211),M211,IF(ISNUMBER(J211),J211,"na"))</f>
        <v>na</v>
      </c>
      <c r="E211" s="2014" t="str">
        <f t="shared" ref="E211:E228" si="93">IF(ISNUMBER(N211),N211,K211)</f>
        <v>na</v>
      </c>
      <c r="F211" s="2033" t="str">
        <f>'SD-Det'!Z211</f>
        <v>na</v>
      </c>
      <c r="G211" s="2206" t="str">
        <f>'SD-Det'!C211</f>
        <v>no</v>
      </c>
      <c r="H211" s="1815" t="str">
        <f>'SD-Det'!K211</f>
        <v>na</v>
      </c>
      <c r="I211" s="1826" t="str">
        <f>'SD-Det'!M211</f>
        <v>na</v>
      </c>
      <c r="J211" s="1763" t="str">
        <f>'SD-Det'!H211</f>
        <v>na</v>
      </c>
      <c r="K211" s="1763" t="str">
        <f>'SD-Det'!G211</f>
        <v>na</v>
      </c>
      <c r="L211" s="1867" t="str">
        <f>'SD-Det'!Y211</f>
        <v>na</v>
      </c>
      <c r="M211" s="1867" t="str">
        <f>'SD-Det'!U211</f>
        <v>na</v>
      </c>
      <c r="N211" s="2219" t="str">
        <f>'SD-Det'!V211</f>
        <v>na</v>
      </c>
      <c r="O211" s="1862" t="str">
        <f>'SD-Det'!D211</f>
        <v>na</v>
      </c>
      <c r="P211" s="2225" t="str">
        <f>'SD-Det'!F211</f>
        <v>na</v>
      </c>
      <c r="R211" s="1936" t="str">
        <f t="shared" ref="R211:R228" si="94">IF($F211="na","",IF($F211=H211,"X",""))</f>
        <v/>
      </c>
      <c r="S211" s="1937" t="str">
        <f t="shared" ref="S211:S228" si="95">IF($F211="na","",IF($F211=I211,"X",""))</f>
        <v/>
      </c>
      <c r="T211" s="1937" t="str">
        <f t="shared" ref="T211:T228" si="96">IF($F211="na","",IF($F211=J211,"X",""))</f>
        <v/>
      </c>
      <c r="U211" s="1937" t="str">
        <f t="shared" ref="U211:U228" si="97">IF($F211="na","",IF($F211=L211,"X",""))</f>
        <v/>
      </c>
      <c r="V211" s="1937" t="str">
        <f t="shared" ref="V211:V228" si="98">IF($F211="na","",IF($F211=M211,"X",""))</f>
        <v/>
      </c>
      <c r="W211" s="1937" t="str">
        <f t="shared" ref="W211:W228" si="99">IF($F211="na","",IF($F211=O211,"X",""))</f>
        <v/>
      </c>
      <c r="X211" s="1600" t="str">
        <f t="shared" ref="X211:X228" si="100">IF($F211="na","",IF($F211=P211,"X",""))</f>
        <v/>
      </c>
      <c r="Z211" s="1935"/>
    </row>
    <row r="212" spans="1:26" ht="13.9" customHeight="1" x14ac:dyDescent="0.25">
      <c r="A212" s="1916">
        <f>Chem!A212</f>
        <v>210</v>
      </c>
      <c r="B212" s="1932" t="str">
        <f>Chem!B212</f>
        <v>Tetrachloroethylene (PCE)</v>
      </c>
      <c r="C212" s="2017" t="str">
        <f t="shared" si="91"/>
        <v>na</v>
      </c>
      <c r="D212" s="2018" t="str">
        <f t="shared" si="92"/>
        <v>na</v>
      </c>
      <c r="E212" s="2018" t="str">
        <f t="shared" si="93"/>
        <v>na</v>
      </c>
      <c r="F212" s="2033" t="str">
        <f>'SD-Det'!Z212</f>
        <v>na</v>
      </c>
      <c r="G212" s="2206" t="str">
        <f>'SD-Det'!C212</f>
        <v>no</v>
      </c>
      <c r="H212" s="1818" t="str">
        <f>'SD-Det'!K212</f>
        <v>na</v>
      </c>
      <c r="I212" s="1829" t="str">
        <f>'SD-Det'!M212</f>
        <v>na</v>
      </c>
      <c r="J212" s="1766" t="str">
        <f>'SD-Det'!H212</f>
        <v>na</v>
      </c>
      <c r="K212" s="1766" t="str">
        <f>'SD-Det'!G212</f>
        <v>na</v>
      </c>
      <c r="L212" s="1870" t="str">
        <f>'SD-Det'!Y212</f>
        <v>na</v>
      </c>
      <c r="M212" s="1870" t="str">
        <f>'SD-Det'!U212</f>
        <v>na</v>
      </c>
      <c r="N212" s="2219" t="str">
        <f>'SD-Det'!V212</f>
        <v>na</v>
      </c>
      <c r="O212" s="2004" t="str">
        <f>'SD-Det'!D212</f>
        <v>na</v>
      </c>
      <c r="P212" s="2229">
        <f>'SD-Det'!F212</f>
        <v>6.6E-3</v>
      </c>
      <c r="R212" s="1936" t="str">
        <f t="shared" si="94"/>
        <v/>
      </c>
      <c r="S212" s="1937" t="str">
        <f t="shared" si="95"/>
        <v/>
      </c>
      <c r="T212" s="1937" t="str">
        <f t="shared" si="96"/>
        <v/>
      </c>
      <c r="U212" s="1937" t="str">
        <f t="shared" si="97"/>
        <v/>
      </c>
      <c r="V212" s="1937" t="str">
        <f t="shared" si="98"/>
        <v/>
      </c>
      <c r="W212" s="1937" t="str">
        <f t="shared" si="99"/>
        <v/>
      </c>
      <c r="X212" s="1600" t="str">
        <f t="shared" si="100"/>
        <v/>
      </c>
      <c r="Z212" s="1935"/>
    </row>
    <row r="213" spans="1:26" ht="13.9" customHeight="1" x14ac:dyDescent="0.25">
      <c r="A213" s="1916">
        <f>Chem!A213</f>
        <v>211</v>
      </c>
      <c r="B213" s="1932" t="str">
        <f>Chem!B213</f>
        <v>Tetrahydrofuran</v>
      </c>
      <c r="C213" s="2017" t="str">
        <f t="shared" si="91"/>
        <v>na</v>
      </c>
      <c r="D213" s="2018" t="str">
        <f t="shared" si="92"/>
        <v>na</v>
      </c>
      <c r="E213" s="2018" t="str">
        <f t="shared" si="93"/>
        <v>na</v>
      </c>
      <c r="F213" s="2033" t="str">
        <f>'SD-Det'!Z213</f>
        <v>na</v>
      </c>
      <c r="G213" s="2206" t="str">
        <f>'SD-Det'!C213</f>
        <v>no</v>
      </c>
      <c r="H213" s="1818" t="str">
        <f>'SD-Det'!K213</f>
        <v>na</v>
      </c>
      <c r="I213" s="1829" t="str">
        <f>'SD-Det'!M213</f>
        <v>na</v>
      </c>
      <c r="J213" s="1766" t="str">
        <f>'SD-Det'!H213</f>
        <v>na</v>
      </c>
      <c r="K213" s="1766" t="str">
        <f>'SD-Det'!G213</f>
        <v>na</v>
      </c>
      <c r="L213" s="1870" t="str">
        <f>'SD-Det'!Y213</f>
        <v>na</v>
      </c>
      <c r="M213" s="1870" t="str">
        <f>'SD-Det'!U213</f>
        <v>na</v>
      </c>
      <c r="N213" s="2219" t="str">
        <f>'SD-Det'!V213</f>
        <v>na</v>
      </c>
      <c r="O213" s="2004" t="str">
        <f>'SD-Det'!D213</f>
        <v>na</v>
      </c>
      <c r="P213" s="2229">
        <f>'SD-Det'!F213</f>
        <v>1.0065999999999999</v>
      </c>
      <c r="R213" s="1936" t="str">
        <f t="shared" si="94"/>
        <v/>
      </c>
      <c r="S213" s="1937" t="str">
        <f t="shared" si="95"/>
        <v/>
      </c>
      <c r="T213" s="1937" t="str">
        <f t="shared" si="96"/>
        <v/>
      </c>
      <c r="U213" s="1937" t="str">
        <f t="shared" si="97"/>
        <v/>
      </c>
      <c r="V213" s="1937" t="str">
        <f t="shared" si="98"/>
        <v/>
      </c>
      <c r="W213" s="1937" t="str">
        <f t="shared" si="99"/>
        <v/>
      </c>
      <c r="X213" s="1600" t="str">
        <f t="shared" si="100"/>
        <v/>
      </c>
      <c r="Z213" s="1935"/>
    </row>
    <row r="214" spans="1:26" ht="13.9" customHeight="1" x14ac:dyDescent="0.25">
      <c r="A214" s="1916">
        <f>Chem!A214</f>
        <v>212</v>
      </c>
      <c r="B214" s="1932" t="str">
        <f>Chem!B214</f>
        <v>Toluene</v>
      </c>
      <c r="C214" s="2013" t="str">
        <f t="shared" si="91"/>
        <v>na</v>
      </c>
      <c r="D214" s="2014" t="str">
        <f t="shared" si="92"/>
        <v>na</v>
      </c>
      <c r="E214" s="2014" t="str">
        <f t="shared" si="93"/>
        <v>na</v>
      </c>
      <c r="F214" s="2033" t="str">
        <f>'SD-Det'!Z214</f>
        <v>na</v>
      </c>
      <c r="G214" s="2206" t="str">
        <f>'SD-Det'!C214</f>
        <v>no</v>
      </c>
      <c r="H214" s="1815" t="str">
        <f>'SD-Det'!K214</f>
        <v>na</v>
      </c>
      <c r="I214" s="1826" t="str">
        <f>'SD-Det'!M214</f>
        <v>na</v>
      </c>
      <c r="J214" s="1763" t="str">
        <f>'SD-Det'!H214</f>
        <v>na</v>
      </c>
      <c r="K214" s="1763" t="str">
        <f>'SD-Det'!G214</f>
        <v>na</v>
      </c>
      <c r="L214" s="1867" t="str">
        <f>'SD-Det'!Y214</f>
        <v>na</v>
      </c>
      <c r="M214" s="1867" t="str">
        <f>'SD-Det'!U214</f>
        <v>na</v>
      </c>
      <c r="N214" s="2219" t="str">
        <f>'SD-Det'!V214</f>
        <v>na</v>
      </c>
      <c r="O214" s="1862" t="str">
        <f>'SD-Det'!D214</f>
        <v>na</v>
      </c>
      <c r="P214" s="2225" t="str">
        <f>'SD-Det'!F214</f>
        <v>na</v>
      </c>
      <c r="R214" s="1936" t="str">
        <f t="shared" si="94"/>
        <v/>
      </c>
      <c r="S214" s="1937" t="str">
        <f t="shared" si="95"/>
        <v/>
      </c>
      <c r="T214" s="1937" t="str">
        <f t="shared" si="96"/>
        <v/>
      </c>
      <c r="U214" s="1937" t="str">
        <f t="shared" si="97"/>
        <v/>
      </c>
      <c r="V214" s="1937" t="str">
        <f t="shared" si="98"/>
        <v/>
      </c>
      <c r="W214" s="1937" t="str">
        <f t="shared" si="99"/>
        <v/>
      </c>
      <c r="X214" s="1600" t="str">
        <f t="shared" si="100"/>
        <v/>
      </c>
      <c r="Z214" s="1935"/>
    </row>
    <row r="215" spans="1:26" ht="13.9" customHeight="1" x14ac:dyDescent="0.25">
      <c r="A215" s="1916">
        <f>Chem!A215</f>
        <v>213</v>
      </c>
      <c r="B215" s="1932" t="str">
        <f>Chem!B215</f>
        <v>1,2,3-Trichlorobenzene</v>
      </c>
      <c r="C215" s="2013" t="str">
        <f t="shared" si="91"/>
        <v>na</v>
      </c>
      <c r="D215" s="2014" t="str">
        <f t="shared" si="92"/>
        <v>na</v>
      </c>
      <c r="E215" s="2014" t="str">
        <f t="shared" si="93"/>
        <v>na</v>
      </c>
      <c r="F215" s="2033" t="str">
        <f>'SD-Det'!Z215</f>
        <v>na</v>
      </c>
      <c r="G215" s="2206" t="str">
        <f>'SD-Det'!C215</f>
        <v>no</v>
      </c>
      <c r="H215" s="1815" t="str">
        <f>'SD-Det'!K215</f>
        <v>na</v>
      </c>
      <c r="I215" s="1826" t="str">
        <f>'SD-Det'!M215</f>
        <v>na</v>
      </c>
      <c r="J215" s="1763" t="str">
        <f>'SD-Det'!H215</f>
        <v>na</v>
      </c>
      <c r="K215" s="1763" t="str">
        <f>'SD-Det'!G215</f>
        <v>na</v>
      </c>
      <c r="L215" s="1867" t="str">
        <f>'SD-Det'!Y215</f>
        <v>na</v>
      </c>
      <c r="M215" s="1867" t="str">
        <f>'SD-Det'!U215</f>
        <v>na</v>
      </c>
      <c r="N215" s="2219" t="str">
        <f>'SD-Det'!V215</f>
        <v>na</v>
      </c>
      <c r="O215" s="1862" t="str">
        <f>'SD-Det'!D215</f>
        <v>na</v>
      </c>
      <c r="P215" s="2225" t="str">
        <f>'SD-Det'!F215</f>
        <v>na</v>
      </c>
      <c r="R215" s="1936" t="str">
        <f t="shared" si="94"/>
        <v/>
      </c>
      <c r="S215" s="1937" t="str">
        <f t="shared" si="95"/>
        <v/>
      </c>
      <c r="T215" s="1937" t="str">
        <f t="shared" si="96"/>
        <v/>
      </c>
      <c r="U215" s="1937" t="str">
        <f t="shared" si="97"/>
        <v/>
      </c>
      <c r="V215" s="1937" t="str">
        <f t="shared" si="98"/>
        <v/>
      </c>
      <c r="W215" s="1937" t="str">
        <f t="shared" si="99"/>
        <v/>
      </c>
      <c r="X215" s="1600" t="str">
        <f t="shared" si="100"/>
        <v/>
      </c>
      <c r="Z215" s="1935"/>
    </row>
    <row r="216" spans="1:26" ht="13.9" customHeight="1" x14ac:dyDescent="0.25">
      <c r="A216" s="1916">
        <f>Chem!A216</f>
        <v>214</v>
      </c>
      <c r="B216" s="1932" t="str">
        <f>Chem!B216</f>
        <v>1,1,1-Trichloroethane</v>
      </c>
      <c r="C216" s="2013" t="str">
        <f t="shared" si="91"/>
        <v>na</v>
      </c>
      <c r="D216" s="2014" t="str">
        <f t="shared" si="92"/>
        <v>na</v>
      </c>
      <c r="E216" s="2014" t="str">
        <f t="shared" si="93"/>
        <v>na</v>
      </c>
      <c r="F216" s="2033" t="str">
        <f>'SD-Det'!Z216</f>
        <v>na</v>
      </c>
      <c r="G216" s="2206" t="str">
        <f>'SD-Det'!C216</f>
        <v>no</v>
      </c>
      <c r="H216" s="1815" t="str">
        <f>'SD-Det'!K216</f>
        <v>na</v>
      </c>
      <c r="I216" s="1826" t="str">
        <f>'SD-Det'!M216</f>
        <v>na</v>
      </c>
      <c r="J216" s="1763" t="str">
        <f>'SD-Det'!H216</f>
        <v>na</v>
      </c>
      <c r="K216" s="1763" t="str">
        <f>'SD-Det'!G216</f>
        <v>na</v>
      </c>
      <c r="L216" s="1867" t="str">
        <f>'SD-Det'!Y216</f>
        <v>na</v>
      </c>
      <c r="M216" s="1867" t="str">
        <f>'SD-Det'!U216</f>
        <v>na</v>
      </c>
      <c r="N216" s="2219" t="str">
        <f>'SD-Det'!V216</f>
        <v>na</v>
      </c>
      <c r="O216" s="1862" t="str">
        <f>'SD-Det'!D216</f>
        <v>na</v>
      </c>
      <c r="P216" s="2225" t="str">
        <f>'SD-Det'!F216</f>
        <v>na</v>
      </c>
      <c r="R216" s="1936" t="str">
        <f t="shared" si="94"/>
        <v/>
      </c>
      <c r="S216" s="1937" t="str">
        <f t="shared" si="95"/>
        <v/>
      </c>
      <c r="T216" s="1937" t="str">
        <f t="shared" si="96"/>
        <v/>
      </c>
      <c r="U216" s="1937" t="str">
        <f t="shared" si="97"/>
        <v/>
      </c>
      <c r="V216" s="1937" t="str">
        <f t="shared" si="98"/>
        <v/>
      </c>
      <c r="W216" s="1937" t="str">
        <f t="shared" si="99"/>
        <v/>
      </c>
      <c r="X216" s="1600" t="str">
        <f t="shared" si="100"/>
        <v/>
      </c>
      <c r="Z216" s="1935"/>
    </row>
    <row r="217" spans="1:26" ht="13.9" customHeight="1" x14ac:dyDescent="0.25">
      <c r="A217" s="1916">
        <f>Chem!A217</f>
        <v>215</v>
      </c>
      <c r="B217" s="1932" t="str">
        <f>Chem!B217</f>
        <v>1,1,2-Trichloroethane</v>
      </c>
      <c r="C217" s="2017" t="str">
        <f t="shared" si="91"/>
        <v>na</v>
      </c>
      <c r="D217" s="2018" t="str">
        <f t="shared" si="92"/>
        <v>na</v>
      </c>
      <c r="E217" s="2018" t="str">
        <f t="shared" si="93"/>
        <v>na</v>
      </c>
      <c r="F217" s="2033" t="str">
        <f>'SD-Det'!Z217</f>
        <v>na</v>
      </c>
      <c r="G217" s="2206" t="str">
        <f>'SD-Det'!C217</f>
        <v>no</v>
      </c>
      <c r="H217" s="1818" t="str">
        <f>'SD-Det'!K217</f>
        <v>na</v>
      </c>
      <c r="I217" s="1829" t="str">
        <f>'SD-Det'!M217</f>
        <v>na</v>
      </c>
      <c r="J217" s="1766" t="str">
        <f>'SD-Det'!H217</f>
        <v>na</v>
      </c>
      <c r="K217" s="1766" t="str">
        <f>'SD-Det'!G217</f>
        <v>na</v>
      </c>
      <c r="L217" s="1870" t="str">
        <f>'SD-Det'!Y217</f>
        <v>na</v>
      </c>
      <c r="M217" s="1870" t="str">
        <f>'SD-Det'!U217</f>
        <v>na</v>
      </c>
      <c r="N217" s="2219" t="str">
        <f>'SD-Det'!V217</f>
        <v>na</v>
      </c>
      <c r="O217" s="2004" t="str">
        <f>'SD-Det'!D217</f>
        <v>na</v>
      </c>
      <c r="P217" s="2229" t="str">
        <f>'SD-Det'!F217</f>
        <v>na</v>
      </c>
      <c r="R217" s="1936" t="str">
        <f t="shared" si="94"/>
        <v/>
      </c>
      <c r="S217" s="1937" t="str">
        <f t="shared" si="95"/>
        <v/>
      </c>
      <c r="T217" s="1937" t="str">
        <f t="shared" si="96"/>
        <v/>
      </c>
      <c r="U217" s="1937" t="str">
        <f t="shared" si="97"/>
        <v/>
      </c>
      <c r="V217" s="1937" t="str">
        <f t="shared" si="98"/>
        <v/>
      </c>
      <c r="W217" s="1937" t="str">
        <f t="shared" si="99"/>
        <v/>
      </c>
      <c r="X217" s="1600" t="str">
        <f t="shared" si="100"/>
        <v/>
      </c>
      <c r="Z217" s="1935"/>
    </row>
    <row r="218" spans="1:26" ht="13.9" customHeight="1" x14ac:dyDescent="0.25">
      <c r="A218" s="1916">
        <f>Chem!A218</f>
        <v>216</v>
      </c>
      <c r="B218" s="1932" t="str">
        <f>Chem!B218</f>
        <v>Trichloroethylene (TCE)</v>
      </c>
      <c r="C218" s="2017" t="str">
        <f t="shared" si="91"/>
        <v>na</v>
      </c>
      <c r="D218" s="2018" t="str">
        <f t="shared" si="92"/>
        <v>na</v>
      </c>
      <c r="E218" s="2018" t="str">
        <f t="shared" si="93"/>
        <v>na</v>
      </c>
      <c r="F218" s="2033" t="str">
        <f>'SD-Det'!Z218</f>
        <v>na</v>
      </c>
      <c r="G218" s="2206" t="str">
        <f>'SD-Det'!C218</f>
        <v>no</v>
      </c>
      <c r="H218" s="1818" t="str">
        <f>'SD-Det'!K218</f>
        <v>na</v>
      </c>
      <c r="I218" s="1829" t="str">
        <f>'SD-Det'!M218</f>
        <v>na</v>
      </c>
      <c r="J218" s="1766" t="str">
        <f>'SD-Det'!H218</f>
        <v>na</v>
      </c>
      <c r="K218" s="1766" t="str">
        <f>'SD-Det'!G218</f>
        <v>na</v>
      </c>
      <c r="L218" s="1870" t="str">
        <f>'SD-Det'!Y218</f>
        <v>na</v>
      </c>
      <c r="M218" s="1870" t="str">
        <f>'SD-Det'!U218</f>
        <v>na</v>
      </c>
      <c r="N218" s="2219" t="str">
        <f>'SD-Det'!V218</f>
        <v>na</v>
      </c>
      <c r="O218" s="2004" t="str">
        <f>'SD-Det'!D218</f>
        <v>na</v>
      </c>
      <c r="P218" s="2229">
        <f>'SD-Det'!F218</f>
        <v>6.6E-3</v>
      </c>
      <c r="R218" s="1936" t="str">
        <f t="shared" si="94"/>
        <v/>
      </c>
      <c r="S218" s="1937" t="str">
        <f t="shared" si="95"/>
        <v/>
      </c>
      <c r="T218" s="1937" t="str">
        <f t="shared" si="96"/>
        <v/>
      </c>
      <c r="U218" s="1937" t="str">
        <f t="shared" si="97"/>
        <v/>
      </c>
      <c r="V218" s="1937" t="str">
        <f t="shared" si="98"/>
        <v/>
      </c>
      <c r="W218" s="1937" t="str">
        <f t="shared" si="99"/>
        <v/>
      </c>
      <c r="X218" s="1600" t="str">
        <f t="shared" si="100"/>
        <v/>
      </c>
      <c r="Z218" s="1935"/>
    </row>
    <row r="219" spans="1:26" ht="13.9" customHeight="1" x14ac:dyDescent="0.25">
      <c r="A219" s="1916">
        <f>Chem!A219</f>
        <v>217</v>
      </c>
      <c r="B219" s="1932" t="str">
        <f>Chem!B219</f>
        <v>Trichlorofluoroethane</v>
      </c>
      <c r="C219" s="2013" t="str">
        <f t="shared" si="91"/>
        <v>na</v>
      </c>
      <c r="D219" s="2014" t="str">
        <f t="shared" si="92"/>
        <v>na</v>
      </c>
      <c r="E219" s="2014" t="str">
        <f t="shared" si="93"/>
        <v>na</v>
      </c>
      <c r="F219" s="2033" t="str">
        <f>'SD-Det'!Z219</f>
        <v>na</v>
      </c>
      <c r="G219" s="2206" t="str">
        <f>'SD-Det'!C219</f>
        <v>no</v>
      </c>
      <c r="H219" s="1815" t="str">
        <f>'SD-Det'!K219</f>
        <v>na</v>
      </c>
      <c r="I219" s="1826" t="str">
        <f>'SD-Det'!M219</f>
        <v>na</v>
      </c>
      <c r="J219" s="1763" t="str">
        <f>'SD-Det'!H219</f>
        <v>na</v>
      </c>
      <c r="K219" s="1763" t="str">
        <f>'SD-Det'!G219</f>
        <v>na</v>
      </c>
      <c r="L219" s="1867" t="str">
        <f>'SD-Det'!Y219</f>
        <v>na</v>
      </c>
      <c r="M219" s="1867" t="str">
        <f>'SD-Det'!U219</f>
        <v>na</v>
      </c>
      <c r="N219" s="2219" t="str">
        <f>'SD-Det'!V219</f>
        <v>na</v>
      </c>
      <c r="O219" s="1862" t="str">
        <f>'SD-Det'!D219</f>
        <v>na</v>
      </c>
      <c r="P219" s="2225" t="str">
        <f>'SD-Det'!F219</f>
        <v>na</v>
      </c>
      <c r="R219" s="1936" t="str">
        <f t="shared" si="94"/>
        <v/>
      </c>
      <c r="S219" s="1937" t="str">
        <f t="shared" si="95"/>
        <v/>
      </c>
      <c r="T219" s="1937" t="str">
        <f t="shared" si="96"/>
        <v/>
      </c>
      <c r="U219" s="1937" t="str">
        <f t="shared" si="97"/>
        <v/>
      </c>
      <c r="V219" s="1937" t="str">
        <f t="shared" si="98"/>
        <v/>
      </c>
      <c r="W219" s="1937" t="str">
        <f t="shared" si="99"/>
        <v/>
      </c>
      <c r="X219" s="1600" t="str">
        <f t="shared" si="100"/>
        <v/>
      </c>
      <c r="Z219" s="1935"/>
    </row>
    <row r="220" spans="1:26" ht="13.9" customHeight="1" x14ac:dyDescent="0.25">
      <c r="A220" s="1916">
        <f>Chem!A220</f>
        <v>218</v>
      </c>
      <c r="B220" s="1932" t="str">
        <f>Chem!B220</f>
        <v>Trichlorofluoromethane</v>
      </c>
      <c r="C220" s="2017" t="str">
        <f t="shared" si="91"/>
        <v>na</v>
      </c>
      <c r="D220" s="2018" t="str">
        <f t="shared" si="92"/>
        <v>na</v>
      </c>
      <c r="E220" s="2018" t="str">
        <f t="shared" si="93"/>
        <v>na</v>
      </c>
      <c r="F220" s="2033" t="str">
        <f>'SD-Det'!Z220</f>
        <v>na</v>
      </c>
      <c r="G220" s="2206" t="str">
        <f>'SD-Det'!C220</f>
        <v>no</v>
      </c>
      <c r="H220" s="1818" t="str">
        <f>'SD-Det'!K220</f>
        <v>na</v>
      </c>
      <c r="I220" s="1829" t="str">
        <f>'SD-Det'!M220</f>
        <v>na</v>
      </c>
      <c r="J220" s="1766" t="str">
        <f>'SD-Det'!H220</f>
        <v>na</v>
      </c>
      <c r="K220" s="1766" t="str">
        <f>'SD-Det'!G220</f>
        <v>na</v>
      </c>
      <c r="L220" s="1870" t="str">
        <f>'SD-Det'!Y220</f>
        <v>na</v>
      </c>
      <c r="M220" s="1870" t="str">
        <f>'SD-Det'!U220</f>
        <v>na</v>
      </c>
      <c r="N220" s="2219" t="str">
        <f>'SD-Det'!V220</f>
        <v>na</v>
      </c>
      <c r="O220" s="2004" t="str">
        <f>'SD-Det'!D220</f>
        <v>na</v>
      </c>
      <c r="P220" s="2229" t="str">
        <f>'SD-Det'!F220</f>
        <v>na</v>
      </c>
      <c r="R220" s="1936" t="str">
        <f t="shared" si="94"/>
        <v/>
      </c>
      <c r="S220" s="1937" t="str">
        <f t="shared" si="95"/>
        <v/>
      </c>
      <c r="T220" s="1937" t="str">
        <f t="shared" si="96"/>
        <v/>
      </c>
      <c r="U220" s="1937" t="str">
        <f t="shared" si="97"/>
        <v/>
      </c>
      <c r="V220" s="1937" t="str">
        <f t="shared" si="98"/>
        <v/>
      </c>
      <c r="W220" s="1937" t="str">
        <f t="shared" si="99"/>
        <v/>
      </c>
      <c r="X220" s="1600" t="str">
        <f t="shared" si="100"/>
        <v/>
      </c>
      <c r="Z220" s="1935"/>
    </row>
    <row r="221" spans="1:26" ht="13.9" customHeight="1" x14ac:dyDescent="0.25">
      <c r="A221" s="1916">
        <f>Chem!A221</f>
        <v>219</v>
      </c>
      <c r="B221" s="1932" t="str">
        <f>Chem!B221</f>
        <v>1,2,3-Trichloropropane</v>
      </c>
      <c r="C221" s="2017" t="str">
        <f t="shared" si="91"/>
        <v>na</v>
      </c>
      <c r="D221" s="2018" t="str">
        <f t="shared" si="92"/>
        <v>na</v>
      </c>
      <c r="E221" s="2018" t="str">
        <f t="shared" si="93"/>
        <v>na</v>
      </c>
      <c r="F221" s="2033" t="str">
        <f>'SD-Det'!Z221</f>
        <v>na</v>
      </c>
      <c r="G221" s="2206" t="str">
        <f>'SD-Det'!C221</f>
        <v>no</v>
      </c>
      <c r="H221" s="1818" t="str">
        <f>'SD-Det'!K221</f>
        <v>na</v>
      </c>
      <c r="I221" s="1829" t="str">
        <f>'SD-Det'!M221</f>
        <v>na</v>
      </c>
      <c r="J221" s="1766" t="str">
        <f>'SD-Det'!H221</f>
        <v>na</v>
      </c>
      <c r="K221" s="1766" t="str">
        <f>'SD-Det'!G221</f>
        <v>na</v>
      </c>
      <c r="L221" s="1870" t="str">
        <f>'SD-Det'!Y221</f>
        <v>na</v>
      </c>
      <c r="M221" s="1870" t="str">
        <f>'SD-Det'!U221</f>
        <v>na</v>
      </c>
      <c r="N221" s="2219" t="str">
        <f>'SD-Det'!V221</f>
        <v>na</v>
      </c>
      <c r="O221" s="2004" t="str">
        <f>'SD-Det'!D221</f>
        <v>na</v>
      </c>
      <c r="P221" s="2229" t="str">
        <f>'SD-Det'!F221</f>
        <v>na</v>
      </c>
      <c r="R221" s="1936" t="str">
        <f t="shared" si="94"/>
        <v/>
      </c>
      <c r="S221" s="1937" t="str">
        <f t="shared" si="95"/>
        <v/>
      </c>
      <c r="T221" s="1937" t="str">
        <f t="shared" si="96"/>
        <v/>
      </c>
      <c r="U221" s="1937" t="str">
        <f t="shared" si="97"/>
        <v/>
      </c>
      <c r="V221" s="1937" t="str">
        <f t="shared" si="98"/>
        <v/>
      </c>
      <c r="W221" s="1937" t="str">
        <f t="shared" si="99"/>
        <v/>
      </c>
      <c r="X221" s="1600" t="str">
        <f t="shared" si="100"/>
        <v/>
      </c>
      <c r="Z221" s="1935"/>
    </row>
    <row r="222" spans="1:26" ht="13.9" customHeight="1" x14ac:dyDescent="0.25">
      <c r="A222" s="1916">
        <f>Chem!A222</f>
        <v>220</v>
      </c>
      <c r="B222" s="1932" t="str">
        <f>Chem!B222</f>
        <v>Trichlorotrifluoroethane</v>
      </c>
      <c r="C222" s="2017" t="str">
        <f t="shared" si="91"/>
        <v>na</v>
      </c>
      <c r="D222" s="2018" t="str">
        <f t="shared" si="92"/>
        <v>na</v>
      </c>
      <c r="E222" s="2018" t="str">
        <f t="shared" si="93"/>
        <v>na</v>
      </c>
      <c r="F222" s="2033" t="str">
        <f>'SD-Det'!Z222</f>
        <v>na</v>
      </c>
      <c r="G222" s="2206" t="str">
        <f>'SD-Det'!C222</f>
        <v>no</v>
      </c>
      <c r="H222" s="1818" t="str">
        <f>'SD-Det'!K222</f>
        <v>na</v>
      </c>
      <c r="I222" s="1829" t="str">
        <f>'SD-Det'!M222</f>
        <v>na</v>
      </c>
      <c r="J222" s="1766" t="str">
        <f>'SD-Det'!H222</f>
        <v>na</v>
      </c>
      <c r="K222" s="1766" t="str">
        <f>'SD-Det'!G222</f>
        <v>na</v>
      </c>
      <c r="L222" s="1870" t="str">
        <f>'SD-Det'!Y222</f>
        <v>na</v>
      </c>
      <c r="M222" s="1870" t="str">
        <f>'SD-Det'!U222</f>
        <v>na</v>
      </c>
      <c r="N222" s="2219" t="str">
        <f>'SD-Det'!V222</f>
        <v>na</v>
      </c>
      <c r="O222" s="2004" t="str">
        <f>'SD-Det'!D222</f>
        <v>na</v>
      </c>
      <c r="P222" s="2229" t="str">
        <f>'SD-Det'!F222</f>
        <v>na</v>
      </c>
      <c r="R222" s="1936" t="str">
        <f t="shared" si="94"/>
        <v/>
      </c>
      <c r="S222" s="1937" t="str">
        <f t="shared" si="95"/>
        <v/>
      </c>
      <c r="T222" s="1937" t="str">
        <f t="shared" si="96"/>
        <v/>
      </c>
      <c r="U222" s="1937" t="str">
        <f t="shared" si="97"/>
        <v/>
      </c>
      <c r="V222" s="1937" t="str">
        <f t="shared" si="98"/>
        <v/>
      </c>
      <c r="W222" s="1937" t="str">
        <f t="shared" si="99"/>
        <v/>
      </c>
      <c r="X222" s="1600" t="str">
        <f t="shared" si="100"/>
        <v/>
      </c>
      <c r="Z222" s="1935"/>
    </row>
    <row r="223" spans="1:26" ht="13.9" customHeight="1" x14ac:dyDescent="0.25">
      <c r="A223" s="1916">
        <f>Chem!A223</f>
        <v>221</v>
      </c>
      <c r="B223" s="1932" t="str">
        <f>Chem!B223</f>
        <v>1,2,3-Trimethylbenzene</v>
      </c>
      <c r="C223" s="2013" t="str">
        <f t="shared" si="91"/>
        <v>na</v>
      </c>
      <c r="D223" s="2014" t="str">
        <f t="shared" si="92"/>
        <v>na</v>
      </c>
      <c r="E223" s="2014" t="str">
        <f t="shared" si="93"/>
        <v>na</v>
      </c>
      <c r="F223" s="2033" t="str">
        <f>'SD-Det'!Z223</f>
        <v>na</v>
      </c>
      <c r="G223" s="2206" t="str">
        <f>'SD-Det'!C223</f>
        <v>no</v>
      </c>
      <c r="H223" s="1815" t="str">
        <f>'SD-Det'!K223</f>
        <v>na</v>
      </c>
      <c r="I223" s="1826" t="str">
        <f>'SD-Det'!M223</f>
        <v>na</v>
      </c>
      <c r="J223" s="1763" t="str">
        <f>'SD-Det'!H223</f>
        <v>na</v>
      </c>
      <c r="K223" s="1763" t="str">
        <f>'SD-Det'!G223</f>
        <v>na</v>
      </c>
      <c r="L223" s="1867" t="str">
        <f>'SD-Det'!Y223</f>
        <v>na</v>
      </c>
      <c r="M223" s="1867" t="str">
        <f>'SD-Det'!U223</f>
        <v>na</v>
      </c>
      <c r="N223" s="2219" t="str">
        <f>'SD-Det'!V223</f>
        <v>na</v>
      </c>
      <c r="O223" s="1862" t="str">
        <f>'SD-Det'!D223</f>
        <v>na</v>
      </c>
      <c r="P223" s="2225" t="str">
        <f>'SD-Det'!F223</f>
        <v>na</v>
      </c>
      <c r="R223" s="1936" t="str">
        <f t="shared" si="94"/>
        <v/>
      </c>
      <c r="S223" s="1937" t="str">
        <f t="shared" si="95"/>
        <v/>
      </c>
      <c r="T223" s="1937" t="str">
        <f t="shared" si="96"/>
        <v/>
      </c>
      <c r="U223" s="1937" t="str">
        <f t="shared" si="97"/>
        <v/>
      </c>
      <c r="V223" s="1937" t="str">
        <f t="shared" si="98"/>
        <v/>
      </c>
      <c r="W223" s="1937" t="str">
        <f t="shared" si="99"/>
        <v/>
      </c>
      <c r="X223" s="1600" t="str">
        <f t="shared" si="100"/>
        <v/>
      </c>
      <c r="Z223" s="1935"/>
    </row>
    <row r="224" spans="1:26" ht="13.9" customHeight="1" x14ac:dyDescent="0.25">
      <c r="A224" s="1916">
        <f>Chem!A224</f>
        <v>222</v>
      </c>
      <c r="B224" s="1932" t="str">
        <f>Chem!B224</f>
        <v>1,2,4-Trimethylbenzene</v>
      </c>
      <c r="C224" s="2021" t="str">
        <f t="shared" si="91"/>
        <v>na</v>
      </c>
      <c r="D224" s="2022" t="str">
        <f t="shared" si="92"/>
        <v>na</v>
      </c>
      <c r="E224" s="2022" t="str">
        <f t="shared" si="93"/>
        <v>na</v>
      </c>
      <c r="F224" s="2033" t="str">
        <f>'SD-Det'!Z224</f>
        <v>na</v>
      </c>
      <c r="G224" s="2206" t="str">
        <f>'SD-Det'!C224</f>
        <v>no</v>
      </c>
      <c r="H224" s="1820" t="str">
        <f>'SD-Det'!K224</f>
        <v>na</v>
      </c>
      <c r="I224" s="1831" t="str">
        <f>'SD-Det'!M224</f>
        <v>na</v>
      </c>
      <c r="J224" s="1768" t="str">
        <f>'SD-Det'!H224</f>
        <v>na</v>
      </c>
      <c r="K224" s="1768" t="str">
        <f>'SD-Det'!G224</f>
        <v>na</v>
      </c>
      <c r="L224" s="1872" t="str">
        <f>'SD-Det'!Y224</f>
        <v>na</v>
      </c>
      <c r="M224" s="1872" t="str">
        <f>'SD-Det'!U224</f>
        <v>na</v>
      </c>
      <c r="N224" s="2219" t="str">
        <f>'SD-Det'!V224</f>
        <v>na</v>
      </c>
      <c r="O224" s="2006" t="str">
        <f>'SD-Det'!D224</f>
        <v>na</v>
      </c>
      <c r="P224" s="2231" t="str">
        <f>'SD-Det'!F224</f>
        <v>na</v>
      </c>
      <c r="R224" s="1936" t="str">
        <f t="shared" si="94"/>
        <v/>
      </c>
      <c r="S224" s="1937" t="str">
        <f t="shared" si="95"/>
        <v/>
      </c>
      <c r="T224" s="1937" t="str">
        <f t="shared" si="96"/>
        <v/>
      </c>
      <c r="U224" s="1937" t="str">
        <f t="shared" si="97"/>
        <v/>
      </c>
      <c r="V224" s="1937" t="str">
        <f t="shared" si="98"/>
        <v/>
      </c>
      <c r="W224" s="1937" t="str">
        <f t="shared" si="99"/>
        <v/>
      </c>
      <c r="X224" s="1600" t="str">
        <f t="shared" si="100"/>
        <v/>
      </c>
      <c r="Z224" s="1935"/>
    </row>
    <row r="225" spans="1:26" ht="13.9" customHeight="1" x14ac:dyDescent="0.25">
      <c r="A225" s="1916">
        <f>Chem!A225</f>
        <v>223</v>
      </c>
      <c r="B225" s="1932" t="str">
        <f>Chem!B225</f>
        <v>1,3,5-Trimethylbenzene</v>
      </c>
      <c r="C225" s="2013" t="str">
        <f t="shared" si="91"/>
        <v>na</v>
      </c>
      <c r="D225" s="2014" t="str">
        <f t="shared" si="92"/>
        <v>na</v>
      </c>
      <c r="E225" s="2014" t="str">
        <f t="shared" si="93"/>
        <v>na</v>
      </c>
      <c r="F225" s="2033" t="str">
        <f>'SD-Det'!Z225</f>
        <v>na</v>
      </c>
      <c r="G225" s="2206" t="str">
        <f>'SD-Det'!C225</f>
        <v>no</v>
      </c>
      <c r="H225" s="1815" t="str">
        <f>'SD-Det'!K225</f>
        <v>na</v>
      </c>
      <c r="I225" s="1826" t="str">
        <f>'SD-Det'!M225</f>
        <v>na</v>
      </c>
      <c r="J225" s="1763" t="str">
        <f>'SD-Det'!H225</f>
        <v>na</v>
      </c>
      <c r="K225" s="1763" t="str">
        <f>'SD-Det'!G225</f>
        <v>na</v>
      </c>
      <c r="L225" s="1867" t="str">
        <f>'SD-Det'!Y225</f>
        <v>na</v>
      </c>
      <c r="M225" s="1867" t="str">
        <f>'SD-Det'!U225</f>
        <v>na</v>
      </c>
      <c r="N225" s="2219" t="str">
        <f>'SD-Det'!V225</f>
        <v>na</v>
      </c>
      <c r="O225" s="1862" t="str">
        <f>'SD-Det'!D225</f>
        <v>na</v>
      </c>
      <c r="P225" s="2225" t="str">
        <f>'SD-Det'!F225</f>
        <v>na</v>
      </c>
      <c r="R225" s="1936" t="str">
        <f t="shared" si="94"/>
        <v/>
      </c>
      <c r="S225" s="1937" t="str">
        <f t="shared" si="95"/>
        <v/>
      </c>
      <c r="T225" s="1937" t="str">
        <f t="shared" si="96"/>
        <v/>
      </c>
      <c r="U225" s="1937" t="str">
        <f t="shared" si="97"/>
        <v/>
      </c>
      <c r="V225" s="1937" t="str">
        <f t="shared" si="98"/>
        <v/>
      </c>
      <c r="W225" s="1937" t="str">
        <f t="shared" si="99"/>
        <v/>
      </c>
      <c r="X225" s="1600" t="str">
        <f t="shared" si="100"/>
        <v/>
      </c>
      <c r="Z225" s="1935"/>
    </row>
    <row r="226" spans="1:26" ht="13.9" customHeight="1" x14ac:dyDescent="0.25">
      <c r="A226" s="1916">
        <f>Chem!A226</f>
        <v>224</v>
      </c>
      <c r="B226" s="1932" t="str">
        <f>Chem!B226</f>
        <v>Vinyl acetate</v>
      </c>
      <c r="C226" s="2013" t="str">
        <f t="shared" si="91"/>
        <v>na</v>
      </c>
      <c r="D226" s="2014" t="str">
        <f t="shared" si="92"/>
        <v>na</v>
      </c>
      <c r="E226" s="2014" t="str">
        <f t="shared" si="93"/>
        <v>na</v>
      </c>
      <c r="F226" s="2033" t="str">
        <f>'SD-Det'!Z226</f>
        <v>na</v>
      </c>
      <c r="G226" s="2206" t="str">
        <f>'SD-Det'!C226</f>
        <v>no</v>
      </c>
      <c r="H226" s="1815" t="str">
        <f>'SD-Det'!K226</f>
        <v>na</v>
      </c>
      <c r="I226" s="1826" t="str">
        <f>'SD-Det'!M226</f>
        <v>na</v>
      </c>
      <c r="J226" s="1763" t="str">
        <f>'SD-Det'!H226</f>
        <v>na</v>
      </c>
      <c r="K226" s="1763" t="str">
        <f>'SD-Det'!G226</f>
        <v>na</v>
      </c>
      <c r="L226" s="1867" t="str">
        <f>'SD-Det'!Y226</f>
        <v>na</v>
      </c>
      <c r="M226" s="1867" t="str">
        <f>'SD-Det'!U226</f>
        <v>na</v>
      </c>
      <c r="N226" s="2219" t="str">
        <f>'SD-Det'!V226</f>
        <v>na</v>
      </c>
      <c r="O226" s="1862" t="str">
        <f>'SD-Det'!D226</f>
        <v>na</v>
      </c>
      <c r="P226" s="2225" t="str">
        <f>'SD-Det'!F226</f>
        <v>na</v>
      </c>
      <c r="R226" s="1936" t="str">
        <f t="shared" si="94"/>
        <v/>
      </c>
      <c r="S226" s="1937" t="str">
        <f t="shared" si="95"/>
        <v/>
      </c>
      <c r="T226" s="1937" t="str">
        <f t="shared" si="96"/>
        <v/>
      </c>
      <c r="U226" s="1937" t="str">
        <f t="shared" si="97"/>
        <v/>
      </c>
      <c r="V226" s="1937" t="str">
        <f t="shared" si="98"/>
        <v/>
      </c>
      <c r="W226" s="1937" t="str">
        <f t="shared" si="99"/>
        <v/>
      </c>
      <c r="X226" s="1600" t="str">
        <f t="shared" si="100"/>
        <v/>
      </c>
      <c r="Z226" s="1935"/>
    </row>
    <row r="227" spans="1:26" ht="13.9" customHeight="1" x14ac:dyDescent="0.25">
      <c r="A227" s="1916">
        <f>Chem!A227</f>
        <v>225</v>
      </c>
      <c r="B227" s="1932" t="str">
        <f>Chem!B227</f>
        <v>Vinyl chloride</v>
      </c>
      <c r="C227" s="2013" t="str">
        <f t="shared" si="91"/>
        <v>na</v>
      </c>
      <c r="D227" s="2014" t="str">
        <f t="shared" si="92"/>
        <v>na</v>
      </c>
      <c r="E227" s="2014" t="str">
        <f t="shared" si="93"/>
        <v>na</v>
      </c>
      <c r="F227" s="2033" t="str">
        <f>'SD-Det'!Z227</f>
        <v>na</v>
      </c>
      <c r="G227" s="2206" t="str">
        <f>'SD-Det'!C227</f>
        <v>no</v>
      </c>
      <c r="H227" s="1815" t="str">
        <f>'SD-Det'!K227</f>
        <v>na</v>
      </c>
      <c r="I227" s="1826" t="str">
        <f>'SD-Det'!M227</f>
        <v>na</v>
      </c>
      <c r="J227" s="1763" t="str">
        <f>'SD-Det'!H227</f>
        <v>na</v>
      </c>
      <c r="K227" s="1763" t="str">
        <f>'SD-Det'!G227</f>
        <v>na</v>
      </c>
      <c r="L227" s="1867" t="str">
        <f>'SD-Det'!Y227</f>
        <v>na</v>
      </c>
      <c r="M227" s="1867" t="str">
        <f>'SD-Det'!U227</f>
        <v>na</v>
      </c>
      <c r="N227" s="2219" t="str">
        <f>'SD-Det'!V227</f>
        <v>na</v>
      </c>
      <c r="O227" s="1862" t="str">
        <f>'SD-Det'!D227</f>
        <v>na</v>
      </c>
      <c r="P227" s="2225" t="str">
        <f>'SD-Det'!F227</f>
        <v>na</v>
      </c>
      <c r="R227" s="1936" t="str">
        <f t="shared" si="94"/>
        <v/>
      </c>
      <c r="S227" s="1937" t="str">
        <f t="shared" si="95"/>
        <v/>
      </c>
      <c r="T227" s="1937" t="str">
        <f t="shared" si="96"/>
        <v/>
      </c>
      <c r="U227" s="1937" t="str">
        <f t="shared" si="97"/>
        <v/>
      </c>
      <c r="V227" s="1937" t="str">
        <f t="shared" si="98"/>
        <v/>
      </c>
      <c r="W227" s="1937" t="str">
        <f t="shared" si="99"/>
        <v/>
      </c>
      <c r="X227" s="1600" t="str">
        <f t="shared" si="100"/>
        <v/>
      </c>
      <c r="Z227" s="1935"/>
    </row>
    <row r="228" spans="1:26" ht="13.9" customHeight="1" x14ac:dyDescent="0.25">
      <c r="A228" s="1920">
        <f>Chem!A228</f>
        <v>226</v>
      </c>
      <c r="B228" s="1932" t="str">
        <f>Chem!B228</f>
        <v>Total xylenes</v>
      </c>
      <c r="C228" s="2013" t="str">
        <f t="shared" si="91"/>
        <v>na</v>
      </c>
      <c r="D228" s="2014" t="str">
        <f t="shared" si="92"/>
        <v>na</v>
      </c>
      <c r="E228" s="2014" t="str">
        <f t="shared" si="93"/>
        <v>na</v>
      </c>
      <c r="F228" s="2033" t="str">
        <f>'SD-Det'!Z228</f>
        <v>na</v>
      </c>
      <c r="G228" s="2206" t="str">
        <f>'SD-Det'!C228</f>
        <v>no</v>
      </c>
      <c r="H228" s="1815" t="str">
        <f>'SD-Det'!K228</f>
        <v>na</v>
      </c>
      <c r="I228" s="1826" t="str">
        <f>'SD-Det'!M228</f>
        <v>na</v>
      </c>
      <c r="J228" s="1763" t="str">
        <f>'SD-Det'!H228</f>
        <v>na</v>
      </c>
      <c r="K228" s="1763" t="str">
        <f>'SD-Det'!G228</f>
        <v>na</v>
      </c>
      <c r="L228" s="1867" t="str">
        <f>'SD-Det'!Y228</f>
        <v>na</v>
      </c>
      <c r="M228" s="1867" t="str">
        <f>'SD-Det'!U228</f>
        <v>na</v>
      </c>
      <c r="N228" s="2219" t="str">
        <f>'SD-Det'!V228</f>
        <v>na</v>
      </c>
      <c r="O228" s="1862" t="str">
        <f>'SD-Det'!D228</f>
        <v>na</v>
      </c>
      <c r="P228" s="2225" t="str">
        <f>'SD-Det'!F228</f>
        <v>na</v>
      </c>
      <c r="R228" s="1938" t="str">
        <f t="shared" si="94"/>
        <v/>
      </c>
      <c r="S228" s="1939" t="str">
        <f t="shared" si="95"/>
        <v/>
      </c>
      <c r="T228" s="1939" t="str">
        <f t="shared" si="96"/>
        <v/>
      </c>
      <c r="U228" s="1939" t="str">
        <f t="shared" si="97"/>
        <v/>
      </c>
      <c r="V228" s="1939" t="str">
        <f t="shared" si="98"/>
        <v/>
      </c>
      <c r="W228" s="1939" t="str">
        <f t="shared" si="99"/>
        <v/>
      </c>
      <c r="X228" s="1604" t="str">
        <f t="shared" si="100"/>
        <v/>
      </c>
      <c r="Z228" s="1935"/>
    </row>
    <row r="229" spans="1:26" ht="13.9" customHeight="1" x14ac:dyDescent="0.25">
      <c r="A229" s="1919">
        <f>Chem!A229</f>
        <v>227</v>
      </c>
      <c r="B229" s="1928" t="str">
        <f>Chem!B229</f>
        <v>PFAS</v>
      </c>
      <c r="C229" s="54"/>
      <c r="D229" s="54"/>
      <c r="E229" s="54"/>
      <c r="F229" s="2335"/>
      <c r="G229" s="2335"/>
      <c r="H229" s="54"/>
      <c r="I229" s="54"/>
      <c r="J229" s="54"/>
      <c r="K229" s="54"/>
      <c r="L229" s="54"/>
      <c r="M229" s="54"/>
      <c r="N229" s="54"/>
      <c r="O229" s="54"/>
      <c r="P229" s="1524"/>
      <c r="R229" s="2039" t="str">
        <f>B229</f>
        <v>PFAS</v>
      </c>
      <c r="S229" s="2339"/>
      <c r="T229" s="2339"/>
      <c r="U229" s="2339"/>
      <c r="V229" s="2339"/>
      <c r="W229" s="2339"/>
      <c r="X229" s="2340"/>
      <c r="Z229" s="1940"/>
    </row>
    <row r="230" spans="1:26" s="2200" customFormat="1" ht="13.9" customHeight="1" x14ac:dyDescent="0.25">
      <c r="A230" s="2271">
        <f>Chem!A230</f>
        <v>228</v>
      </c>
      <c r="B230" s="2295" t="str">
        <f>Chem!B230</f>
        <v>6:2 Fluorotelomer sulfonic acid (6:2 FTS)</v>
      </c>
      <c r="C230" s="2193" t="str">
        <f t="shared" ref="C230" si="101">IF(ISNUMBER(L230),L230,IF(MIN(H230,I230)=0,"na",MAX(MIN(H230,I230),O230,P230)))</f>
        <v>na</v>
      </c>
      <c r="D230" s="2193" t="str">
        <f t="shared" ref="D230:D239" si="102">IF(ISNUMBER(M230),M230,IF(ISNUMBER(J230),J230,"na"))</f>
        <v>na</v>
      </c>
      <c r="E230" s="2193" t="str">
        <f t="shared" ref="E230" si="103">IF(ISNUMBER(N230),N230,K230)</f>
        <v>na</v>
      </c>
      <c r="F230" s="2299" t="str">
        <f>'SD-Det'!Z230</f>
        <v>na</v>
      </c>
      <c r="G230" s="2301" t="str">
        <f>'SD-Det'!C230</f>
        <v>no</v>
      </c>
      <c r="H230" s="2300" t="str">
        <f>'SD-Det'!K230</f>
        <v>na</v>
      </c>
      <c r="I230" s="2189" t="str">
        <f>'SD-Det'!M230</f>
        <v>na</v>
      </c>
      <c r="J230" s="2195" t="str">
        <f>'SD-Det'!H230</f>
        <v>na</v>
      </c>
      <c r="K230" s="2195" t="str">
        <f>'SD-Det'!G230</f>
        <v>na</v>
      </c>
      <c r="L230" s="2302" t="str">
        <f>'SD-Det'!Y230</f>
        <v>na</v>
      </c>
      <c r="M230" s="2302" t="str">
        <f>'SD-Det'!U230</f>
        <v>na</v>
      </c>
      <c r="N230" s="2302" t="str">
        <f>'SD-Det'!V230</f>
        <v>na</v>
      </c>
      <c r="O230" s="2303" t="str">
        <f>'SD-Det'!D230</f>
        <v>na</v>
      </c>
      <c r="P230" s="2197" t="str">
        <f>'SD-Det'!F230</f>
        <v>na</v>
      </c>
      <c r="R230" s="2296" t="str">
        <f t="shared" ref="R230:R239" si="104">IF($F230="na","",IF($F230=H230,"X",""))</f>
        <v/>
      </c>
      <c r="S230" s="2297" t="str">
        <f t="shared" ref="S230:S239" si="105">IF($F230="na","",IF($F230=I230,"X",""))</f>
        <v/>
      </c>
      <c r="T230" s="2297" t="str">
        <f t="shared" ref="T230:T239" si="106">IF($F230="na","",IF($F230=J230,"X",""))</f>
        <v/>
      </c>
      <c r="U230" s="2297" t="str">
        <f t="shared" ref="U230:U239" si="107">IF($F230="na","",IF($F230=L230,"X",""))</f>
        <v/>
      </c>
      <c r="V230" s="2297" t="str">
        <f t="shared" ref="V230:V239" si="108">IF($F230="na","",IF($F230=M230,"X",""))</f>
        <v/>
      </c>
      <c r="W230" s="2297" t="str">
        <f t="shared" ref="W230:W239" si="109">IF($F230="na","",IF($F230=O230,"X",""))</f>
        <v/>
      </c>
      <c r="X230" s="2298" t="str">
        <f t="shared" ref="X230:X239" si="110">IF($F230="na","",IF($F230=P230,"X",""))</f>
        <v/>
      </c>
      <c r="Z230" s="2294"/>
    </row>
    <row r="231" spans="1:26" ht="13.9" customHeight="1" x14ac:dyDescent="0.25">
      <c r="A231" s="1916">
        <f>Chem!A231</f>
        <v>229</v>
      </c>
      <c r="B231" s="1943" t="str">
        <f>Chem!B231</f>
        <v>GenX (HFPO-DA)</v>
      </c>
      <c r="C231" s="2025" t="str">
        <f t="shared" ref="C231:C239" si="111">IF(ISNUMBER(L231),L231,IF(MIN(H231,I231)=0,"na",MAX(MIN(H231,I231),O231,P231)))</f>
        <v>na</v>
      </c>
      <c r="D231" s="2025" t="str">
        <f t="shared" si="102"/>
        <v>na</v>
      </c>
      <c r="E231" s="2025" t="str">
        <f t="shared" ref="E231:E239" si="112">IF(ISNUMBER(N231),N231,K231)</f>
        <v>na</v>
      </c>
      <c r="F231" s="2032" t="str">
        <f>'SD-Det'!Z231</f>
        <v>na</v>
      </c>
      <c r="G231" s="2205" t="str">
        <f>'SD-Det'!C231</f>
        <v>no</v>
      </c>
      <c r="H231" s="1822" t="str">
        <f>'SD-Det'!K231</f>
        <v>na</v>
      </c>
      <c r="I231" s="1833" t="str">
        <f>'SD-Det'!M231</f>
        <v>na</v>
      </c>
      <c r="J231" s="1770" t="str">
        <f>'SD-Det'!H231</f>
        <v>na</v>
      </c>
      <c r="K231" s="1770" t="str">
        <f>'SD-Det'!G231</f>
        <v>na</v>
      </c>
      <c r="L231" s="1868" t="str">
        <f>'SD-Det'!Y231</f>
        <v>na</v>
      </c>
      <c r="M231" s="1868" t="str">
        <f>'SD-Det'!U231</f>
        <v>na</v>
      </c>
      <c r="N231" s="2220" t="str">
        <f>'SD-Det'!V231</f>
        <v>na</v>
      </c>
      <c r="O231" s="1865" t="str">
        <f>'SD-Det'!D231</f>
        <v>na</v>
      </c>
      <c r="P231" s="2233" t="str">
        <f>'SD-Det'!F231</f>
        <v>na</v>
      </c>
      <c r="R231" s="2160" t="str">
        <f t="shared" si="104"/>
        <v/>
      </c>
      <c r="S231" s="2161" t="str">
        <f t="shared" si="105"/>
        <v/>
      </c>
      <c r="T231" s="2161" t="str">
        <f t="shared" si="106"/>
        <v/>
      </c>
      <c r="U231" s="2161" t="str">
        <f t="shared" si="107"/>
        <v/>
      </c>
      <c r="V231" s="2161" t="str">
        <f t="shared" si="108"/>
        <v/>
      </c>
      <c r="W231" s="2161" t="str">
        <f t="shared" si="109"/>
        <v/>
      </c>
      <c r="X231" s="1602" t="str">
        <f t="shared" si="110"/>
        <v/>
      </c>
      <c r="Z231" s="1935"/>
    </row>
    <row r="232" spans="1:26" ht="13.9" customHeight="1" x14ac:dyDescent="0.25">
      <c r="A232" s="1916">
        <f>Chem!A232</f>
        <v>230</v>
      </c>
      <c r="B232" s="1943" t="str">
        <f>Chem!B232</f>
        <v>Perfluorobutanoic acid (PFBA)</v>
      </c>
      <c r="C232" s="2025" t="str">
        <f t="shared" si="111"/>
        <v>na</v>
      </c>
      <c r="D232" s="2025" t="str">
        <f t="shared" si="102"/>
        <v>na</v>
      </c>
      <c r="E232" s="2025" t="str">
        <f t="shared" si="112"/>
        <v>na</v>
      </c>
      <c r="F232" s="2032" t="str">
        <f>'SD-Det'!Z232</f>
        <v>na</v>
      </c>
      <c r="G232" s="2205" t="str">
        <f>'SD-Det'!C232</f>
        <v>no</v>
      </c>
      <c r="H232" s="1822" t="str">
        <f>'SD-Det'!K232</f>
        <v>na</v>
      </c>
      <c r="I232" s="1833" t="str">
        <f>'SD-Det'!M232</f>
        <v>na</v>
      </c>
      <c r="J232" s="1770" t="str">
        <f>'SD-Det'!H232</f>
        <v>na</v>
      </c>
      <c r="K232" s="1770" t="str">
        <f>'SD-Det'!G232</f>
        <v>na</v>
      </c>
      <c r="L232" s="1868" t="str">
        <f>'SD-Det'!Y232</f>
        <v>na</v>
      </c>
      <c r="M232" s="1868" t="str">
        <f>'SD-Det'!U232</f>
        <v>na</v>
      </c>
      <c r="N232" s="2220" t="str">
        <f>'SD-Det'!V232</f>
        <v>na</v>
      </c>
      <c r="O232" s="1865" t="str">
        <f>'SD-Det'!D232</f>
        <v>na</v>
      </c>
      <c r="P232" s="2233" t="str">
        <f>'SD-Det'!F232</f>
        <v>na</v>
      </c>
      <c r="R232" s="1936" t="str">
        <f t="shared" si="104"/>
        <v/>
      </c>
      <c r="S232" s="1937" t="str">
        <f t="shared" si="105"/>
        <v/>
      </c>
      <c r="T232" s="1937" t="str">
        <f t="shared" si="106"/>
        <v/>
      </c>
      <c r="U232" s="1937" t="str">
        <f t="shared" si="107"/>
        <v/>
      </c>
      <c r="V232" s="1937" t="str">
        <f t="shared" si="108"/>
        <v/>
      </c>
      <c r="W232" s="1937" t="str">
        <f t="shared" si="109"/>
        <v/>
      </c>
      <c r="X232" s="1600" t="str">
        <f t="shared" si="110"/>
        <v/>
      </c>
      <c r="Z232" s="1935"/>
    </row>
    <row r="233" spans="1:26" ht="13.9" customHeight="1" x14ac:dyDescent="0.25">
      <c r="A233" s="1916">
        <f>Chem!A233</f>
        <v>231</v>
      </c>
      <c r="B233" s="1932" t="str">
        <f>Chem!B233</f>
        <v>Perfluorobutanesulfonic acid (PFBS)</v>
      </c>
      <c r="C233" s="2013" t="str">
        <f t="shared" si="111"/>
        <v>na</v>
      </c>
      <c r="D233" s="2013" t="str">
        <f t="shared" si="102"/>
        <v>na</v>
      </c>
      <c r="E233" s="2013" t="str">
        <f t="shared" si="112"/>
        <v>na</v>
      </c>
      <c r="F233" s="2033" t="str">
        <f>'SD-Det'!Z233</f>
        <v>na</v>
      </c>
      <c r="G233" s="2206" t="str">
        <f>'SD-Det'!C233</f>
        <v>no</v>
      </c>
      <c r="H233" s="1815" t="str">
        <f>'SD-Det'!K233</f>
        <v>na</v>
      </c>
      <c r="I233" s="1826" t="str">
        <f>'SD-Det'!M233</f>
        <v>na</v>
      </c>
      <c r="J233" s="1763" t="str">
        <f>'SD-Det'!H233</f>
        <v>na</v>
      </c>
      <c r="K233" s="1763" t="str">
        <f>'SD-Det'!G233</f>
        <v>na</v>
      </c>
      <c r="L233" s="1867" t="str">
        <f>'SD-Det'!Y233</f>
        <v>na</v>
      </c>
      <c r="M233" s="1867" t="str">
        <f>'SD-Det'!U233</f>
        <v>na</v>
      </c>
      <c r="N233" s="2219" t="str">
        <f>'SD-Det'!V233</f>
        <v>na</v>
      </c>
      <c r="O233" s="1862" t="str">
        <f>'SD-Det'!D233</f>
        <v>na</v>
      </c>
      <c r="P233" s="2227" t="str">
        <f>'SD-Det'!F233</f>
        <v>na</v>
      </c>
      <c r="R233" s="1936" t="str">
        <f t="shared" si="104"/>
        <v/>
      </c>
      <c r="S233" s="1937" t="str">
        <f t="shared" si="105"/>
        <v/>
      </c>
      <c r="T233" s="1937" t="str">
        <f t="shared" si="106"/>
        <v/>
      </c>
      <c r="U233" s="1937" t="str">
        <f t="shared" si="107"/>
        <v/>
      </c>
      <c r="V233" s="1937" t="str">
        <f t="shared" si="108"/>
        <v/>
      </c>
      <c r="W233" s="1937" t="str">
        <f t="shared" si="109"/>
        <v/>
      </c>
      <c r="X233" s="1600" t="str">
        <f t="shared" si="110"/>
        <v/>
      </c>
      <c r="Z233" s="1935"/>
    </row>
    <row r="234" spans="1:26" ht="13.9" customHeight="1" x14ac:dyDescent="0.25">
      <c r="A234" s="1916">
        <f>Chem!A234</f>
        <v>232</v>
      </c>
      <c r="B234" s="1932" t="str">
        <f>Chem!B234</f>
        <v>Perfluorodecanoic acid (PFDA)</v>
      </c>
      <c r="C234" s="2013" t="str">
        <f t="shared" ref="C234" si="113">IF(ISNUMBER(L234),L234,IF(MIN(H234,I234)=0,"na",MAX(MIN(H234,I234),O234,P234)))</f>
        <v>na</v>
      </c>
      <c r="D234" s="2013" t="str">
        <f t="shared" si="102"/>
        <v>na</v>
      </c>
      <c r="E234" s="2013" t="str">
        <f t="shared" ref="E234" si="114">IF(ISNUMBER(N234),N234,K234)</f>
        <v>na</v>
      </c>
      <c r="F234" s="2033" t="str">
        <f>'SD-Det'!Z234</f>
        <v>na</v>
      </c>
      <c r="G234" s="2206" t="str">
        <f>'SD-Det'!C234</f>
        <v>no</v>
      </c>
      <c r="H234" s="1815" t="str">
        <f>'SD-Det'!K234</f>
        <v>na</v>
      </c>
      <c r="I234" s="1826" t="str">
        <f>'SD-Det'!M234</f>
        <v>na</v>
      </c>
      <c r="J234" s="1763" t="str">
        <f>'SD-Det'!H234</f>
        <v>na</v>
      </c>
      <c r="K234" s="1763" t="str">
        <f>'SD-Det'!G234</f>
        <v>na</v>
      </c>
      <c r="L234" s="1867" t="str">
        <f>'SD-Det'!Y234</f>
        <v>na</v>
      </c>
      <c r="M234" s="1867" t="str">
        <f>'SD-Det'!U234</f>
        <v>na</v>
      </c>
      <c r="N234" s="2219" t="str">
        <f>'SD-Det'!V234</f>
        <v>na</v>
      </c>
      <c r="O234" s="1862" t="str">
        <f>'SD-Det'!D234</f>
        <v>na</v>
      </c>
      <c r="P234" s="2227" t="str">
        <f>'SD-Det'!F234</f>
        <v>na</v>
      </c>
      <c r="R234" s="1936" t="str">
        <f t="shared" si="104"/>
        <v/>
      </c>
      <c r="S234" s="1937" t="str">
        <f t="shared" si="105"/>
        <v/>
      </c>
      <c r="T234" s="1937" t="str">
        <f t="shared" si="106"/>
        <v/>
      </c>
      <c r="U234" s="1937" t="str">
        <f t="shared" si="107"/>
        <v/>
      </c>
      <c r="V234" s="1937" t="str">
        <f t="shared" si="108"/>
        <v/>
      </c>
      <c r="W234" s="1937" t="str">
        <f t="shared" si="109"/>
        <v/>
      </c>
      <c r="X234" s="1600" t="str">
        <f t="shared" si="110"/>
        <v/>
      </c>
      <c r="Z234" s="1935"/>
    </row>
    <row r="235" spans="1:26" ht="13.9" customHeight="1" x14ac:dyDescent="0.25">
      <c r="A235" s="1916">
        <f>Chem!A235</f>
        <v>233</v>
      </c>
      <c r="B235" s="1932" t="str">
        <f>Chem!B235</f>
        <v>Perfluorohexanoic acid (PFHxA)</v>
      </c>
      <c r="C235" s="2013" t="str">
        <f t="shared" si="111"/>
        <v>na</v>
      </c>
      <c r="D235" s="2013" t="str">
        <f t="shared" si="102"/>
        <v>na</v>
      </c>
      <c r="E235" s="2013" t="str">
        <f t="shared" si="112"/>
        <v>na</v>
      </c>
      <c r="F235" s="2033" t="str">
        <f>'SD-Det'!Z235</f>
        <v>na</v>
      </c>
      <c r="G235" s="2206" t="str">
        <f>'SD-Det'!C235</f>
        <v>no</v>
      </c>
      <c r="H235" s="1815" t="str">
        <f>'SD-Det'!K235</f>
        <v>na</v>
      </c>
      <c r="I235" s="1826" t="str">
        <f>'SD-Det'!M235</f>
        <v>na</v>
      </c>
      <c r="J235" s="1763" t="str">
        <f>'SD-Det'!H235</f>
        <v>na</v>
      </c>
      <c r="K235" s="1763" t="str">
        <f>'SD-Det'!G235</f>
        <v>na</v>
      </c>
      <c r="L235" s="1867" t="str">
        <f>'SD-Det'!Y235</f>
        <v>na</v>
      </c>
      <c r="M235" s="1867" t="str">
        <f>'SD-Det'!U235</f>
        <v>na</v>
      </c>
      <c r="N235" s="2219" t="str">
        <f>'SD-Det'!V235</f>
        <v>na</v>
      </c>
      <c r="O235" s="1862" t="str">
        <f>'SD-Det'!D235</f>
        <v>na</v>
      </c>
      <c r="P235" s="2227" t="str">
        <f>'SD-Det'!F235</f>
        <v>na</v>
      </c>
      <c r="R235" s="1936" t="str">
        <f t="shared" si="104"/>
        <v/>
      </c>
      <c r="S235" s="1937" t="str">
        <f t="shared" si="105"/>
        <v/>
      </c>
      <c r="T235" s="1937" t="str">
        <f t="shared" si="106"/>
        <v/>
      </c>
      <c r="U235" s="1937" t="str">
        <f t="shared" si="107"/>
        <v/>
      </c>
      <c r="V235" s="1937" t="str">
        <f t="shared" si="108"/>
        <v/>
      </c>
      <c r="W235" s="1937" t="str">
        <f t="shared" si="109"/>
        <v/>
      </c>
      <c r="X235" s="1600" t="str">
        <f t="shared" si="110"/>
        <v/>
      </c>
      <c r="Z235" s="1935"/>
    </row>
    <row r="236" spans="1:26" ht="13.9" customHeight="1" x14ac:dyDescent="0.25">
      <c r="A236" s="1916">
        <f>Chem!A236</f>
        <v>234</v>
      </c>
      <c r="B236" s="1932" t="str">
        <f>Chem!B236</f>
        <v>Perfluorohexanesulfonic acid (PFHxS)</v>
      </c>
      <c r="C236" s="2013" t="str">
        <f t="shared" si="111"/>
        <v>na</v>
      </c>
      <c r="D236" s="2013" t="str">
        <f t="shared" si="102"/>
        <v>na</v>
      </c>
      <c r="E236" s="2013" t="str">
        <f t="shared" si="112"/>
        <v>na</v>
      </c>
      <c r="F236" s="2033" t="str">
        <f>'SD-Det'!Z236</f>
        <v>na</v>
      </c>
      <c r="G236" s="2206" t="str">
        <f>'SD-Det'!C236</f>
        <v>no</v>
      </c>
      <c r="H236" s="1815" t="str">
        <f>'SD-Det'!K236</f>
        <v>na</v>
      </c>
      <c r="I236" s="1826" t="str">
        <f>'SD-Det'!M236</f>
        <v>na</v>
      </c>
      <c r="J236" s="1763" t="str">
        <f>'SD-Det'!H236</f>
        <v>na</v>
      </c>
      <c r="K236" s="1763" t="str">
        <f>'SD-Det'!G236</f>
        <v>na</v>
      </c>
      <c r="L236" s="1867" t="str">
        <f>'SD-Det'!Y236</f>
        <v>na</v>
      </c>
      <c r="M236" s="1867" t="str">
        <f>'SD-Det'!U236</f>
        <v>na</v>
      </c>
      <c r="N236" s="2219" t="str">
        <f>'SD-Det'!V236</f>
        <v>na</v>
      </c>
      <c r="O236" s="1862" t="str">
        <f>'SD-Det'!D236</f>
        <v>na</v>
      </c>
      <c r="P236" s="2227" t="str">
        <f>'SD-Det'!F236</f>
        <v>na</v>
      </c>
      <c r="R236" s="1936" t="str">
        <f t="shared" si="104"/>
        <v/>
      </c>
      <c r="S236" s="1937" t="str">
        <f t="shared" si="105"/>
        <v/>
      </c>
      <c r="T236" s="1937" t="str">
        <f t="shared" si="106"/>
        <v/>
      </c>
      <c r="U236" s="1937" t="str">
        <f t="shared" si="107"/>
        <v/>
      </c>
      <c r="V236" s="1937" t="str">
        <f t="shared" si="108"/>
        <v/>
      </c>
      <c r="W236" s="1937" t="str">
        <f t="shared" si="109"/>
        <v/>
      </c>
      <c r="X236" s="1600" t="str">
        <f t="shared" si="110"/>
        <v/>
      </c>
      <c r="Z236" s="1935"/>
    </row>
    <row r="237" spans="1:26" ht="13.9" customHeight="1" x14ac:dyDescent="0.25">
      <c r="A237" s="1916">
        <f>Chem!A237</f>
        <v>235</v>
      </c>
      <c r="B237" s="1932" t="str">
        <f>Chem!B237</f>
        <v>Perfluorononanoic acid (PFNA)</v>
      </c>
      <c r="C237" s="2013" t="str">
        <f t="shared" si="111"/>
        <v>na</v>
      </c>
      <c r="D237" s="2013" t="str">
        <f t="shared" si="102"/>
        <v>na</v>
      </c>
      <c r="E237" s="2013" t="str">
        <f t="shared" si="112"/>
        <v>na</v>
      </c>
      <c r="F237" s="2033" t="str">
        <f>'SD-Det'!Z237</f>
        <v>na</v>
      </c>
      <c r="G237" s="2206" t="str">
        <f>'SD-Det'!C237</f>
        <v>no</v>
      </c>
      <c r="H237" s="1815" t="str">
        <f>'SD-Det'!K237</f>
        <v>na</v>
      </c>
      <c r="I237" s="1826" t="str">
        <f>'SD-Det'!M237</f>
        <v>na</v>
      </c>
      <c r="J237" s="1763" t="str">
        <f>'SD-Det'!H237</f>
        <v>na</v>
      </c>
      <c r="K237" s="1763" t="str">
        <f>'SD-Det'!G237</f>
        <v>na</v>
      </c>
      <c r="L237" s="1867" t="str">
        <f>'SD-Det'!Y237</f>
        <v>na</v>
      </c>
      <c r="M237" s="1867" t="str">
        <f>'SD-Det'!U237</f>
        <v>na</v>
      </c>
      <c r="N237" s="2219" t="str">
        <f>'SD-Det'!V237</f>
        <v>na</v>
      </c>
      <c r="O237" s="1862" t="str">
        <f>'SD-Det'!D237</f>
        <v>na</v>
      </c>
      <c r="P237" s="2227" t="str">
        <f>'SD-Det'!F237</f>
        <v>na</v>
      </c>
      <c r="R237" s="1936" t="str">
        <f t="shared" si="104"/>
        <v/>
      </c>
      <c r="S237" s="1937" t="str">
        <f t="shared" si="105"/>
        <v/>
      </c>
      <c r="T237" s="1937" t="str">
        <f t="shared" si="106"/>
        <v/>
      </c>
      <c r="U237" s="1937" t="str">
        <f t="shared" si="107"/>
        <v/>
      </c>
      <c r="V237" s="1937" t="str">
        <f t="shared" si="108"/>
        <v/>
      </c>
      <c r="W237" s="1937" t="str">
        <f t="shared" si="109"/>
        <v/>
      </c>
      <c r="X237" s="1600" t="str">
        <f t="shared" si="110"/>
        <v/>
      </c>
      <c r="Z237" s="1935"/>
    </row>
    <row r="238" spans="1:26" ht="13.9" customHeight="1" x14ac:dyDescent="0.25">
      <c r="A238" s="1916">
        <f>Chem!A238</f>
        <v>236</v>
      </c>
      <c r="B238" s="1932" t="str">
        <f>Chem!B238</f>
        <v>Perfluorooctanesulfonic acid (PFOS)</v>
      </c>
      <c r="C238" s="2013" t="str">
        <f t="shared" si="111"/>
        <v>na</v>
      </c>
      <c r="D238" s="2013" t="str">
        <f t="shared" si="102"/>
        <v>na</v>
      </c>
      <c r="E238" s="2013" t="str">
        <f t="shared" si="112"/>
        <v>na</v>
      </c>
      <c r="F238" s="2033" t="str">
        <f>'SD-Det'!Z238</f>
        <v>na</v>
      </c>
      <c r="G238" s="2206" t="str">
        <f>'SD-Det'!C238</f>
        <v>no</v>
      </c>
      <c r="H238" s="1815" t="str">
        <f>'SD-Det'!K238</f>
        <v>na</v>
      </c>
      <c r="I238" s="1826" t="str">
        <f>'SD-Det'!M238</f>
        <v>na</v>
      </c>
      <c r="J238" s="1763" t="str">
        <f>'SD-Det'!H238</f>
        <v>na</v>
      </c>
      <c r="K238" s="1763" t="str">
        <f>'SD-Det'!G238</f>
        <v>na</v>
      </c>
      <c r="L238" s="1867" t="str">
        <f>'SD-Det'!Y238</f>
        <v>na</v>
      </c>
      <c r="M238" s="1867" t="str">
        <f>'SD-Det'!U238</f>
        <v>na</v>
      </c>
      <c r="N238" s="2219" t="str">
        <f>'SD-Det'!V238</f>
        <v>na</v>
      </c>
      <c r="O238" s="1862" t="str">
        <f>'SD-Det'!D238</f>
        <v>na</v>
      </c>
      <c r="P238" s="2227" t="str">
        <f>'SD-Det'!F238</f>
        <v>na</v>
      </c>
      <c r="R238" s="1936" t="str">
        <f t="shared" si="104"/>
        <v/>
      </c>
      <c r="S238" s="1937" t="str">
        <f t="shared" si="105"/>
        <v/>
      </c>
      <c r="T238" s="1937" t="str">
        <f t="shared" si="106"/>
        <v/>
      </c>
      <c r="U238" s="1937" t="str">
        <f t="shared" si="107"/>
        <v/>
      </c>
      <c r="V238" s="1937" t="str">
        <f t="shared" si="108"/>
        <v/>
      </c>
      <c r="W238" s="1937" t="str">
        <f t="shared" si="109"/>
        <v/>
      </c>
      <c r="X238" s="1600" t="str">
        <f t="shared" si="110"/>
        <v/>
      </c>
      <c r="Z238" s="1935"/>
    </row>
    <row r="239" spans="1:26" ht="13.9" customHeight="1" x14ac:dyDescent="0.25">
      <c r="A239" s="1920">
        <f>Chem!A239</f>
        <v>237</v>
      </c>
      <c r="B239" s="1942" t="str">
        <f>Chem!B239</f>
        <v>Perfluorooctanoic acid (PFOA)</v>
      </c>
      <c r="C239" s="2016" t="str">
        <f t="shared" si="111"/>
        <v>na</v>
      </c>
      <c r="D239" s="2016" t="str">
        <f t="shared" si="102"/>
        <v>na</v>
      </c>
      <c r="E239" s="2016" t="str">
        <f t="shared" si="112"/>
        <v>na</v>
      </c>
      <c r="F239" s="2034" t="str">
        <f>'SD-Det'!Z239</f>
        <v>na</v>
      </c>
      <c r="G239" s="2209" t="str">
        <f>'SD-Det'!C239</f>
        <v>no</v>
      </c>
      <c r="H239" s="1817" t="str">
        <f>'SD-Det'!K239</f>
        <v>na</v>
      </c>
      <c r="I239" s="1828" t="str">
        <f>'SD-Det'!M239</f>
        <v>na</v>
      </c>
      <c r="J239" s="1765" t="str">
        <f>'SD-Det'!H239</f>
        <v>na</v>
      </c>
      <c r="K239" s="1765" t="str">
        <f>'SD-Det'!G239</f>
        <v>na</v>
      </c>
      <c r="L239" s="1869" t="str">
        <f>'SD-Det'!Y239</f>
        <v>na</v>
      </c>
      <c r="M239" s="1869" t="str">
        <f>'SD-Det'!U239</f>
        <v>na</v>
      </c>
      <c r="N239" s="2221" t="str">
        <f>'SD-Det'!V239</f>
        <v>na</v>
      </c>
      <c r="O239" s="1863" t="str">
        <f>'SD-Det'!D239</f>
        <v>na</v>
      </c>
      <c r="P239" s="2228" t="str">
        <f>'SD-Det'!F239</f>
        <v>na</v>
      </c>
      <c r="R239" s="1938" t="str">
        <f t="shared" si="104"/>
        <v/>
      </c>
      <c r="S239" s="1939" t="str">
        <f t="shared" si="105"/>
        <v/>
      </c>
      <c r="T239" s="1939" t="str">
        <f t="shared" si="106"/>
        <v/>
      </c>
      <c r="U239" s="1939" t="str">
        <f t="shared" si="107"/>
        <v/>
      </c>
      <c r="V239" s="1939" t="str">
        <f t="shared" si="108"/>
        <v/>
      </c>
      <c r="W239" s="1939" t="str">
        <f t="shared" si="109"/>
        <v/>
      </c>
      <c r="X239" s="1604" t="str">
        <f t="shared" si="110"/>
        <v/>
      </c>
      <c r="Z239" s="1935"/>
    </row>
    <row r="240" spans="1:26" ht="13.9" customHeight="1" x14ac:dyDescent="0.25">
      <c r="A240" s="1919">
        <f>Chem!A240</f>
        <v>238</v>
      </c>
      <c r="B240" s="1928" t="str">
        <f>Chem!B240</f>
        <v>Petroleum Hydrocarbons</v>
      </c>
      <c r="C240" s="54"/>
      <c r="D240" s="54"/>
      <c r="E240" s="54"/>
      <c r="F240" s="2335"/>
      <c r="G240" s="2335"/>
      <c r="H240" s="54"/>
      <c r="I240" s="54"/>
      <c r="J240" s="54"/>
      <c r="K240" s="54"/>
      <c r="L240" s="54"/>
      <c r="M240" s="54"/>
      <c r="N240" s="54"/>
      <c r="O240" s="54"/>
      <c r="P240" s="1524"/>
      <c r="R240" s="2039" t="str">
        <f>B240</f>
        <v>Petroleum Hydrocarbons</v>
      </c>
      <c r="S240" s="2339"/>
      <c r="T240" s="2339"/>
      <c r="U240" s="2339"/>
      <c r="V240" s="2339"/>
      <c r="W240" s="2339"/>
      <c r="X240" s="2340"/>
      <c r="Z240" s="1940"/>
    </row>
    <row r="241" spans="1:26" ht="13.9" customHeight="1" x14ac:dyDescent="0.25">
      <c r="A241" s="1916">
        <f>Chem!A241</f>
        <v>239</v>
      </c>
      <c r="B241" s="1932" t="str">
        <f>Chem!B241</f>
        <v>Gasoline range hydrocarbons, fresh</v>
      </c>
      <c r="C241" s="2011" t="str">
        <f t="shared" ref="C241:C246" si="115">IF(ISNUMBER(L241),L241,IF(MIN(H241,I241)=0,"na",MAX(MIN(H241,I241),O241,P241)))</f>
        <v>na</v>
      </c>
      <c r="D241" s="2015" t="str">
        <f t="shared" ref="D241:D246" si="116">IF(ISNUMBER(M241),M241,IF(ISNUMBER(J241),J241,"na"))</f>
        <v>na</v>
      </c>
      <c r="E241" s="2014" t="str">
        <f t="shared" ref="E241:E246" si="117">IF(ISNUMBER(N241),N241,K241)</f>
        <v>na</v>
      </c>
      <c r="F241" s="2032" t="str">
        <f>'SD-Det'!Z241</f>
        <v>na</v>
      </c>
      <c r="G241" s="2205" t="str">
        <f>'SD-Det'!C241</f>
        <v>no</v>
      </c>
      <c r="H241" s="1816" t="str">
        <f>'SD-Det'!K241</f>
        <v>na</v>
      </c>
      <c r="I241" s="1827" t="str">
        <f>'SD-Det'!M241</f>
        <v>na</v>
      </c>
      <c r="J241" s="1764" t="str">
        <f>'SD-Det'!H241</f>
        <v>na</v>
      </c>
      <c r="K241" s="1764" t="str">
        <f>'SD-Det'!G241</f>
        <v>na</v>
      </c>
      <c r="L241" s="1868" t="str">
        <f>'SD-Det'!Y241</f>
        <v>na</v>
      </c>
      <c r="M241" s="1868" t="str">
        <f>'SD-Det'!U241</f>
        <v>na</v>
      </c>
      <c r="N241" s="2219" t="str">
        <f>'SD-Det'!V241</f>
        <v>na</v>
      </c>
      <c r="O241" s="1864" t="str">
        <f>'SD-Det'!D241</f>
        <v>na</v>
      </c>
      <c r="P241" s="2226" t="str">
        <f>'SD-Det'!F241</f>
        <v>na</v>
      </c>
      <c r="R241" s="1933" t="str">
        <f t="shared" ref="R241:R246" si="118">IF($F241="na","",IF($F241=H241,"X",""))</f>
        <v/>
      </c>
      <c r="S241" s="1934" t="str">
        <f t="shared" ref="S241:S246" si="119">IF($F241="na","",IF($F241=I241,"X",""))</f>
        <v/>
      </c>
      <c r="T241" s="1934" t="str">
        <f t="shared" ref="T241:T246" si="120">IF($F241="na","",IF($F241=J241,"X",""))</f>
        <v/>
      </c>
      <c r="U241" s="1934" t="str">
        <f t="shared" ref="U241:U246" si="121">IF($F241="na","",IF($F241=L241,"X",""))</f>
        <v/>
      </c>
      <c r="V241" s="1934" t="str">
        <f t="shared" ref="V241:V246" si="122">IF($F241="na","",IF($F241=M241,"X",""))</f>
        <v/>
      </c>
      <c r="W241" s="1934" t="str">
        <f t="shared" ref="W241:W246" si="123">IF($F241="na","",IF($F241=O241,"X",""))</f>
        <v/>
      </c>
      <c r="X241" s="1603" t="str">
        <f t="shared" ref="X241:X246" si="124">IF($F241="na","",IF($F241=P241,"X",""))</f>
        <v/>
      </c>
      <c r="Z241" s="1935"/>
    </row>
    <row r="242" spans="1:26" ht="13.9" customHeight="1" x14ac:dyDescent="0.25">
      <c r="A242" s="1916">
        <f>Chem!A242</f>
        <v>240</v>
      </c>
      <c r="B242" s="1932" t="str">
        <f>Chem!B242</f>
        <v>Gasoline range hydrocarbons, weathered</v>
      </c>
      <c r="C242" s="2013" t="str">
        <f t="shared" si="115"/>
        <v>na</v>
      </c>
      <c r="D242" s="2014" t="str">
        <f t="shared" si="116"/>
        <v>na</v>
      </c>
      <c r="E242" s="2014" t="str">
        <f t="shared" si="117"/>
        <v>na</v>
      </c>
      <c r="F242" s="2033" t="str">
        <f>'SD-Det'!Z242</f>
        <v>na</v>
      </c>
      <c r="G242" s="2206" t="str">
        <f>'SD-Det'!C242</f>
        <v>no</v>
      </c>
      <c r="H242" s="1815" t="str">
        <f>'SD-Det'!K242</f>
        <v>na</v>
      </c>
      <c r="I242" s="1826" t="str">
        <f>'SD-Det'!M242</f>
        <v>na</v>
      </c>
      <c r="J242" s="1763" t="str">
        <f>'SD-Det'!H242</f>
        <v>na</v>
      </c>
      <c r="K242" s="1763" t="str">
        <f>'SD-Det'!G242</f>
        <v>na</v>
      </c>
      <c r="L242" s="1867" t="str">
        <f>'SD-Det'!Y242</f>
        <v>na</v>
      </c>
      <c r="M242" s="1867" t="str">
        <f>'SD-Det'!U242</f>
        <v>na</v>
      </c>
      <c r="N242" s="2219" t="str">
        <f>'SD-Det'!V242</f>
        <v>na</v>
      </c>
      <c r="O242" s="1862" t="str">
        <f>'SD-Det'!D242</f>
        <v>na</v>
      </c>
      <c r="P242" s="2225" t="str">
        <f>'SD-Det'!F242</f>
        <v>na</v>
      </c>
      <c r="R242" s="1936" t="str">
        <f t="shared" si="118"/>
        <v/>
      </c>
      <c r="S242" s="1937" t="str">
        <f t="shared" si="119"/>
        <v/>
      </c>
      <c r="T242" s="1937" t="str">
        <f t="shared" si="120"/>
        <v/>
      </c>
      <c r="U242" s="1937" t="str">
        <f t="shared" si="121"/>
        <v/>
      </c>
      <c r="V242" s="1937" t="str">
        <f t="shared" si="122"/>
        <v/>
      </c>
      <c r="W242" s="1937" t="str">
        <f t="shared" si="123"/>
        <v/>
      </c>
      <c r="X242" s="1600" t="str">
        <f t="shared" si="124"/>
        <v/>
      </c>
      <c r="Z242" s="1935"/>
    </row>
    <row r="243" spans="1:26" ht="13.9" customHeight="1" x14ac:dyDescent="0.25">
      <c r="A243" s="1916">
        <f>Chem!A243</f>
        <v>241</v>
      </c>
      <c r="B243" s="1932" t="str">
        <f>Chem!B243</f>
        <v>Diesel range hydrocarbons, fresh</v>
      </c>
      <c r="C243" s="2013" t="str">
        <f t="shared" si="115"/>
        <v>na</v>
      </c>
      <c r="D243" s="2014" t="str">
        <f t="shared" si="116"/>
        <v>na</v>
      </c>
      <c r="E243" s="2014" t="str">
        <f t="shared" si="117"/>
        <v>na</v>
      </c>
      <c r="F243" s="2033" t="str">
        <f>'SD-Det'!Z243</f>
        <v>na</v>
      </c>
      <c r="G243" s="2206" t="str">
        <f>'SD-Det'!C243</f>
        <v>no</v>
      </c>
      <c r="H243" s="1815" t="str">
        <f>'SD-Det'!K243</f>
        <v>na</v>
      </c>
      <c r="I243" s="1826" t="str">
        <f>'SD-Det'!M243</f>
        <v>na</v>
      </c>
      <c r="J243" s="1763" t="str">
        <f>'SD-Det'!H243</f>
        <v>na</v>
      </c>
      <c r="K243" s="1763" t="str">
        <f>'SD-Det'!G243</f>
        <v>na</v>
      </c>
      <c r="L243" s="1867" t="str">
        <f>'SD-Det'!Y243</f>
        <v>na</v>
      </c>
      <c r="M243" s="1867" t="str">
        <f>'SD-Det'!U243</f>
        <v>na</v>
      </c>
      <c r="N243" s="2219" t="str">
        <f>'SD-Det'!V243</f>
        <v>na</v>
      </c>
      <c r="O243" s="1862" t="str">
        <f>'SD-Det'!D243</f>
        <v>na</v>
      </c>
      <c r="P243" s="2225">
        <f>'SD-Det'!F243</f>
        <v>18.3</v>
      </c>
      <c r="R243" s="1936" t="str">
        <f t="shared" si="118"/>
        <v/>
      </c>
      <c r="S243" s="1937" t="str">
        <f t="shared" si="119"/>
        <v/>
      </c>
      <c r="T243" s="1937" t="str">
        <f t="shared" si="120"/>
        <v/>
      </c>
      <c r="U243" s="1937" t="str">
        <f t="shared" si="121"/>
        <v/>
      </c>
      <c r="V243" s="1937" t="str">
        <f t="shared" si="122"/>
        <v/>
      </c>
      <c r="W243" s="1937" t="str">
        <f t="shared" si="123"/>
        <v/>
      </c>
      <c r="X243" s="1600" t="str">
        <f t="shared" si="124"/>
        <v/>
      </c>
      <c r="Z243" s="1935"/>
    </row>
    <row r="244" spans="1:26" ht="13.9" customHeight="1" x14ac:dyDescent="0.25">
      <c r="A244" s="1916">
        <f>Chem!A244</f>
        <v>242</v>
      </c>
      <c r="B244" s="1932" t="str">
        <f>Chem!B244</f>
        <v>Diesel range hydrocarbons, weathered</v>
      </c>
      <c r="C244" s="2013" t="str">
        <f t="shared" si="115"/>
        <v>na</v>
      </c>
      <c r="D244" s="2014" t="str">
        <f t="shared" si="116"/>
        <v>na</v>
      </c>
      <c r="E244" s="2014" t="str">
        <f t="shared" si="117"/>
        <v>na</v>
      </c>
      <c r="F244" s="2033" t="str">
        <f>'SD-Det'!Z244</f>
        <v>na</v>
      </c>
      <c r="G244" s="2206" t="str">
        <f>'SD-Det'!C244</f>
        <v>no</v>
      </c>
      <c r="H244" s="1815" t="str">
        <f>'SD-Det'!K244</f>
        <v>na</v>
      </c>
      <c r="I244" s="1826" t="str">
        <f>'SD-Det'!M244</f>
        <v>na</v>
      </c>
      <c r="J244" s="1763" t="str">
        <f>'SD-Det'!H244</f>
        <v>na</v>
      </c>
      <c r="K244" s="1763" t="str">
        <f>'SD-Det'!G244</f>
        <v>na</v>
      </c>
      <c r="L244" s="1867" t="str">
        <f>'SD-Det'!Y244</f>
        <v>na</v>
      </c>
      <c r="M244" s="1867" t="str">
        <f>'SD-Det'!U244</f>
        <v>na</v>
      </c>
      <c r="N244" s="2219" t="str">
        <f>'SD-Det'!V244</f>
        <v>na</v>
      </c>
      <c r="O244" s="1862" t="str">
        <f>'SD-Det'!D244</f>
        <v>na</v>
      </c>
      <c r="P244" s="2225">
        <f>'SD-Det'!F244</f>
        <v>18.3</v>
      </c>
      <c r="R244" s="1936" t="str">
        <f t="shared" si="118"/>
        <v/>
      </c>
      <c r="S244" s="1937" t="str">
        <f t="shared" si="119"/>
        <v/>
      </c>
      <c r="T244" s="1937" t="str">
        <f t="shared" si="120"/>
        <v/>
      </c>
      <c r="U244" s="1937" t="str">
        <f t="shared" si="121"/>
        <v/>
      </c>
      <c r="V244" s="1937" t="str">
        <f t="shared" si="122"/>
        <v/>
      </c>
      <c r="W244" s="1937" t="str">
        <f t="shared" si="123"/>
        <v/>
      </c>
      <c r="X244" s="1600" t="str">
        <f t="shared" si="124"/>
        <v/>
      </c>
      <c r="Z244" s="1935"/>
    </row>
    <row r="245" spans="1:26" ht="13.9" customHeight="1" x14ac:dyDescent="0.25">
      <c r="A245" s="1916">
        <f>Chem!A245</f>
        <v>243</v>
      </c>
      <c r="B245" s="1944" t="str">
        <f>Chem!B245</f>
        <v>Oil range hydrocarbons</v>
      </c>
      <c r="C245" s="2013" t="str">
        <f t="shared" si="115"/>
        <v>na</v>
      </c>
      <c r="D245" s="2014" t="str">
        <f t="shared" si="116"/>
        <v>na</v>
      </c>
      <c r="E245" s="2014" t="str">
        <f t="shared" si="117"/>
        <v>na</v>
      </c>
      <c r="F245" s="2035" t="str">
        <f>'SD-Det'!Z245</f>
        <v>na</v>
      </c>
      <c r="G245" s="2210" t="str">
        <f>'SD-Det'!C245</f>
        <v>no</v>
      </c>
      <c r="H245" s="1815" t="str">
        <f>'SD-Det'!K245</f>
        <v>na</v>
      </c>
      <c r="I245" s="1826" t="str">
        <f>'SD-Det'!M245</f>
        <v>na</v>
      </c>
      <c r="J245" s="1763" t="str">
        <f>'SD-Det'!H245</f>
        <v>na</v>
      </c>
      <c r="K245" s="1763" t="str">
        <f>'SD-Det'!G245</f>
        <v>na</v>
      </c>
      <c r="L245" s="1867" t="str">
        <f>'SD-Det'!Y245</f>
        <v>na</v>
      </c>
      <c r="M245" s="1867" t="str">
        <f>'SD-Det'!U245</f>
        <v>na</v>
      </c>
      <c r="N245" s="2219" t="str">
        <f>'SD-Det'!V245</f>
        <v>na</v>
      </c>
      <c r="O245" s="1862" t="str">
        <f>'SD-Det'!D245</f>
        <v>na</v>
      </c>
      <c r="P245" s="2225">
        <f>'SD-Det'!F245</f>
        <v>37.5</v>
      </c>
      <c r="R245" s="1936" t="str">
        <f t="shared" si="118"/>
        <v/>
      </c>
      <c r="S245" s="1937" t="str">
        <f t="shared" si="119"/>
        <v/>
      </c>
      <c r="T245" s="1937" t="str">
        <f t="shared" si="120"/>
        <v/>
      </c>
      <c r="U245" s="1937" t="str">
        <f t="shared" si="121"/>
        <v/>
      </c>
      <c r="V245" s="1937" t="str">
        <f t="shared" si="122"/>
        <v/>
      </c>
      <c r="W245" s="1937" t="str">
        <f t="shared" si="123"/>
        <v/>
      </c>
      <c r="X245" s="1600" t="str">
        <f t="shared" si="124"/>
        <v/>
      </c>
      <c r="Z245" s="1935"/>
    </row>
    <row r="246" spans="1:26" ht="13.9" customHeight="1" x14ac:dyDescent="0.25">
      <c r="A246" s="1920">
        <f>Chem!A246</f>
        <v>244</v>
      </c>
      <c r="B246" s="1944" t="str">
        <f>Chem!B246</f>
        <v>Total diesel &amp; oil range hydrocarbons</v>
      </c>
      <c r="C246" s="2013" t="str">
        <f t="shared" si="115"/>
        <v>na</v>
      </c>
      <c r="D246" s="2014" t="str">
        <f t="shared" si="116"/>
        <v>na</v>
      </c>
      <c r="E246" s="2014" t="str">
        <f t="shared" si="117"/>
        <v>na</v>
      </c>
      <c r="F246" s="2035" t="str">
        <f>'SD-Det'!Z246</f>
        <v>na</v>
      </c>
      <c r="G246" s="2210" t="str">
        <f>'SD-Det'!C246</f>
        <v>no</v>
      </c>
      <c r="H246" s="1815" t="str">
        <f>'SD-Det'!K246</f>
        <v>na</v>
      </c>
      <c r="I246" s="1826" t="str">
        <f>'SD-Det'!M246</f>
        <v>na</v>
      </c>
      <c r="J246" s="1763" t="str">
        <f>'SD-Det'!H246</f>
        <v>na</v>
      </c>
      <c r="K246" s="1763" t="str">
        <f>'SD-Det'!G246</f>
        <v>na</v>
      </c>
      <c r="L246" s="1867" t="str">
        <f>'SD-Det'!Y246</f>
        <v>na</v>
      </c>
      <c r="M246" s="1867" t="str">
        <f>'SD-Det'!U246</f>
        <v>na</v>
      </c>
      <c r="N246" s="2219" t="str">
        <f>'SD-Det'!V246</f>
        <v>na</v>
      </c>
      <c r="O246" s="1862" t="str">
        <f>'SD-Det'!D246</f>
        <v>na</v>
      </c>
      <c r="P246" s="2225">
        <f>'SD-Det'!F246</f>
        <v>37.5</v>
      </c>
      <c r="R246" s="1938" t="str">
        <f t="shared" si="118"/>
        <v/>
      </c>
      <c r="S246" s="1939" t="str">
        <f t="shared" si="119"/>
        <v/>
      </c>
      <c r="T246" s="1939" t="str">
        <f t="shared" si="120"/>
        <v/>
      </c>
      <c r="U246" s="1939" t="str">
        <f t="shared" si="121"/>
        <v/>
      </c>
      <c r="V246" s="1939" t="str">
        <f t="shared" si="122"/>
        <v/>
      </c>
      <c r="W246" s="1939" t="str">
        <f t="shared" si="123"/>
        <v/>
      </c>
      <c r="X246" s="1604" t="str">
        <f t="shared" si="124"/>
        <v/>
      </c>
      <c r="Z246" s="1935"/>
    </row>
    <row r="247" spans="1:26" ht="13.9" customHeight="1" x14ac:dyDescent="0.25">
      <c r="A247" s="1919">
        <f>Chem!A247</f>
        <v>245</v>
      </c>
      <c r="B247" s="1928" t="str">
        <f>Chem!B247</f>
        <v>Pesticides</v>
      </c>
      <c r="C247" s="54"/>
      <c r="D247" s="54"/>
      <c r="E247" s="54"/>
      <c r="F247" s="2335"/>
      <c r="G247" s="2335"/>
      <c r="H247" s="54"/>
      <c r="I247" s="54"/>
      <c r="J247" s="54"/>
      <c r="K247" s="54"/>
      <c r="L247" s="54"/>
      <c r="M247" s="54"/>
      <c r="N247" s="54"/>
      <c r="O247" s="54"/>
      <c r="P247" s="1524"/>
      <c r="R247" s="2039" t="str">
        <f>B247</f>
        <v>Pesticides</v>
      </c>
      <c r="S247" s="2339"/>
      <c r="T247" s="2339"/>
      <c r="U247" s="2339"/>
      <c r="V247" s="2339"/>
      <c r="W247" s="2339"/>
      <c r="X247" s="2340"/>
      <c r="Z247" s="1940"/>
    </row>
    <row r="248" spans="1:26" ht="13.9" customHeight="1" x14ac:dyDescent="0.25">
      <c r="A248" s="1916">
        <f>Chem!A248</f>
        <v>246</v>
      </c>
      <c r="B248" s="1943" t="str">
        <f>Chem!B248</f>
        <v>Aldrin</v>
      </c>
      <c r="C248" s="2011">
        <f t="shared" ref="C248:C280" si="125">IF(ISNUMBER(L248),L248,IF(MIN(H248,I248)=0,"na",MAX(MIN(H248,I248),O248,P248)))</f>
        <v>1E-4</v>
      </c>
      <c r="D248" s="2015" t="str">
        <f t="shared" ref="D248:D280" si="126">IF(ISNUMBER(M248),M248,IF(ISNUMBER(J248),J248,"na"))</f>
        <v>na</v>
      </c>
      <c r="E248" s="2014" t="str">
        <f t="shared" ref="E248:E280" si="127">IF(ISNUMBER(N248),N248,K248)</f>
        <v>na</v>
      </c>
      <c r="F248" s="2032">
        <f>'SD-Det'!Z248</f>
        <v>1E-4</v>
      </c>
      <c r="G248" s="2205" t="str">
        <f>'SD-Det'!C248</f>
        <v>YES</v>
      </c>
      <c r="H248" s="1816">
        <f>'SD-Det'!K248</f>
        <v>0.17151309742647058</v>
      </c>
      <c r="I248" s="1827">
        <f>'SD-Det'!M248</f>
        <v>1E-4</v>
      </c>
      <c r="J248" s="1764" t="str">
        <f>'SD-Det'!H248</f>
        <v>na</v>
      </c>
      <c r="K248" s="1764" t="str">
        <f>'SD-Det'!G248</f>
        <v>na</v>
      </c>
      <c r="L248" s="1868" t="str">
        <f>'SD-Det'!Y248</f>
        <v>na</v>
      </c>
      <c r="M248" s="1868" t="str">
        <f>'SD-Det'!U248</f>
        <v>na</v>
      </c>
      <c r="N248" s="2219" t="str">
        <f>'SD-Det'!V248</f>
        <v>na</v>
      </c>
      <c r="O248" s="1864" t="str">
        <f>'SD-Det'!D248</f>
        <v>na</v>
      </c>
      <c r="P248" s="2226">
        <v>1E-4</v>
      </c>
      <c r="R248" s="1933" t="str">
        <f t="shared" ref="R248:R280" si="128">IF($F248="na","",IF($F248=H248,"X",""))</f>
        <v/>
      </c>
      <c r="S248" s="1934" t="str">
        <f t="shared" ref="S248:S280" si="129">IF($F248="na","",IF($F248=I248,"X",""))</f>
        <v>X</v>
      </c>
      <c r="T248" s="1934" t="str">
        <f t="shared" ref="T248:T280" si="130">IF($F248="na","",IF($F248=J248,"X",""))</f>
        <v/>
      </c>
      <c r="U248" s="1934" t="str">
        <f t="shared" ref="U248:U280" si="131">IF($F248="na","",IF($F248=L248,"X",""))</f>
        <v/>
      </c>
      <c r="V248" s="1934" t="str">
        <f t="shared" ref="V248:V280" si="132">IF($F248="na","",IF($F248=M248,"X",""))</f>
        <v/>
      </c>
      <c r="W248" s="1934" t="str">
        <f t="shared" ref="W248:W280" si="133">IF($F248="na","",IF($F248=O248,"X",""))</f>
        <v/>
      </c>
      <c r="X248" s="1603" t="str">
        <f t="shared" ref="X248:X280" si="134">IF($F248="na","",IF($F248=P248,"X",""))</f>
        <v>X</v>
      </c>
      <c r="Z248" s="1935"/>
    </row>
    <row r="249" spans="1:26" ht="13.9" customHeight="1" x14ac:dyDescent="0.25">
      <c r="A249" s="1916">
        <f>Chem!A249</f>
        <v>247</v>
      </c>
      <c r="B249" s="1932" t="str">
        <f>Chem!B249</f>
        <v>alpha-BHC (alpha-HCH)</v>
      </c>
      <c r="C249" s="2013" t="str">
        <f t="shared" si="125"/>
        <v>na</v>
      </c>
      <c r="D249" s="2014" t="str">
        <f t="shared" si="126"/>
        <v>na</v>
      </c>
      <c r="E249" s="2014" t="str">
        <f t="shared" si="127"/>
        <v>na</v>
      </c>
      <c r="F249" s="2033" t="str">
        <f>'SD-Det'!Z249</f>
        <v>na</v>
      </c>
      <c r="G249" s="2206" t="str">
        <f>'SD-Det'!C249</f>
        <v>no</v>
      </c>
      <c r="H249" s="1815" t="str">
        <f>'SD-Det'!K249</f>
        <v>na</v>
      </c>
      <c r="I249" s="1826" t="str">
        <f>'SD-Det'!M249</f>
        <v>na</v>
      </c>
      <c r="J249" s="1763" t="str">
        <f>'SD-Det'!H249</f>
        <v>na</v>
      </c>
      <c r="K249" s="1763" t="str">
        <f>'SD-Det'!G249</f>
        <v>na</v>
      </c>
      <c r="L249" s="1867" t="str">
        <f>'SD-Det'!Y249</f>
        <v>na</v>
      </c>
      <c r="M249" s="1867" t="str">
        <f>'SD-Det'!U249</f>
        <v>na</v>
      </c>
      <c r="N249" s="2219" t="str">
        <f>'SD-Det'!V249</f>
        <v>na</v>
      </c>
      <c r="O249" s="1862" t="str">
        <f>'SD-Det'!D249</f>
        <v>na</v>
      </c>
      <c r="P249" s="2225" t="s">
        <v>232</v>
      </c>
      <c r="R249" s="1936" t="str">
        <f t="shared" si="128"/>
        <v/>
      </c>
      <c r="S249" s="1937" t="str">
        <f t="shared" si="129"/>
        <v/>
      </c>
      <c r="T249" s="1937" t="str">
        <f t="shared" si="130"/>
        <v/>
      </c>
      <c r="U249" s="1937" t="str">
        <f t="shared" si="131"/>
        <v/>
      </c>
      <c r="V249" s="1937" t="str">
        <f t="shared" si="132"/>
        <v/>
      </c>
      <c r="W249" s="1937" t="str">
        <f t="shared" si="133"/>
        <v/>
      </c>
      <c r="X249" s="1600" t="str">
        <f t="shared" si="134"/>
        <v/>
      </c>
      <c r="Z249" s="1935"/>
    </row>
    <row r="250" spans="1:26" ht="13.9" customHeight="1" x14ac:dyDescent="0.25">
      <c r="A250" s="1916">
        <f>Chem!A250</f>
        <v>248</v>
      </c>
      <c r="B250" s="1932" t="str">
        <f>Chem!B250</f>
        <v>beta-BHC (beta-HCH)</v>
      </c>
      <c r="C250" s="2013" t="str">
        <f t="shared" si="125"/>
        <v>na</v>
      </c>
      <c r="D250" s="2014" t="str">
        <f t="shared" si="126"/>
        <v>na</v>
      </c>
      <c r="E250" s="2014" t="str">
        <f t="shared" si="127"/>
        <v>na</v>
      </c>
      <c r="F250" s="2033" t="str">
        <f>'SD-Det'!Z250</f>
        <v>na</v>
      </c>
      <c r="G250" s="2206" t="str">
        <f>'SD-Det'!C250</f>
        <v>no</v>
      </c>
      <c r="H250" s="1815" t="str">
        <f>'SD-Det'!K250</f>
        <v>na</v>
      </c>
      <c r="I250" s="1826" t="str">
        <f>'SD-Det'!M250</f>
        <v>na</v>
      </c>
      <c r="J250" s="1763" t="str">
        <f>'SD-Det'!H250</f>
        <v>na</v>
      </c>
      <c r="K250" s="1763" t="str">
        <f>'SD-Det'!G250</f>
        <v>na</v>
      </c>
      <c r="L250" s="1867" t="str">
        <f>'SD-Det'!Y250</f>
        <v>na</v>
      </c>
      <c r="M250" s="1867" t="str">
        <f>'SD-Det'!U250</f>
        <v>na</v>
      </c>
      <c r="N250" s="2219" t="str">
        <f>'SD-Det'!V250</f>
        <v>na</v>
      </c>
      <c r="O250" s="1862" t="str">
        <f>'SD-Det'!D250</f>
        <v>na</v>
      </c>
      <c r="P250" s="2225" t="s">
        <v>232</v>
      </c>
      <c r="R250" s="1936" t="str">
        <f t="shared" si="128"/>
        <v/>
      </c>
      <c r="S250" s="1937" t="str">
        <f t="shared" si="129"/>
        <v/>
      </c>
      <c r="T250" s="1937" t="str">
        <f t="shared" si="130"/>
        <v/>
      </c>
      <c r="U250" s="1937" t="str">
        <f t="shared" si="131"/>
        <v/>
      </c>
      <c r="V250" s="1937" t="str">
        <f t="shared" si="132"/>
        <v/>
      </c>
      <c r="W250" s="1937" t="str">
        <f t="shared" si="133"/>
        <v/>
      </c>
      <c r="X250" s="1600" t="str">
        <f t="shared" si="134"/>
        <v/>
      </c>
      <c r="Z250" s="1935"/>
    </row>
    <row r="251" spans="1:26" ht="13.9" customHeight="1" x14ac:dyDescent="0.25">
      <c r="A251" s="1916">
        <f>Chem!A251</f>
        <v>249</v>
      </c>
      <c r="B251" s="1932" t="str">
        <f>Chem!B251</f>
        <v>delta-BHC (delta-HCH)</v>
      </c>
      <c r="C251" s="2013" t="str">
        <f t="shared" si="125"/>
        <v>na</v>
      </c>
      <c r="D251" s="2014" t="str">
        <f t="shared" si="126"/>
        <v>na</v>
      </c>
      <c r="E251" s="2014" t="str">
        <f t="shared" si="127"/>
        <v>na</v>
      </c>
      <c r="F251" s="2033" t="str">
        <f>'SD-Det'!Z251</f>
        <v>na</v>
      </c>
      <c r="G251" s="2206" t="str">
        <f>'SD-Det'!C251</f>
        <v>no</v>
      </c>
      <c r="H251" s="1815" t="str">
        <f>'SD-Det'!K251</f>
        <v>na</v>
      </c>
      <c r="I251" s="1826" t="str">
        <f>'SD-Det'!M251</f>
        <v>na</v>
      </c>
      <c r="J251" s="1763" t="str">
        <f>'SD-Det'!H251</f>
        <v>na</v>
      </c>
      <c r="K251" s="1763" t="str">
        <f>'SD-Det'!G251</f>
        <v>na</v>
      </c>
      <c r="L251" s="1867" t="str">
        <f>'SD-Det'!Y251</f>
        <v>na</v>
      </c>
      <c r="M251" s="1867" t="str">
        <f>'SD-Det'!U251</f>
        <v>na</v>
      </c>
      <c r="N251" s="2219" t="str">
        <f>'SD-Det'!V251</f>
        <v>na</v>
      </c>
      <c r="O251" s="1862" t="str">
        <f>'SD-Det'!D251</f>
        <v>na</v>
      </c>
      <c r="P251" s="2225" t="s">
        <v>232</v>
      </c>
      <c r="R251" s="1936" t="str">
        <f t="shared" si="128"/>
        <v/>
      </c>
      <c r="S251" s="1937" t="str">
        <f t="shared" si="129"/>
        <v/>
      </c>
      <c r="T251" s="1937" t="str">
        <f t="shared" si="130"/>
        <v/>
      </c>
      <c r="U251" s="1937" t="str">
        <f t="shared" si="131"/>
        <v/>
      </c>
      <c r="V251" s="1937" t="str">
        <f t="shared" si="132"/>
        <v/>
      </c>
      <c r="W251" s="1937" t="str">
        <f t="shared" si="133"/>
        <v/>
      </c>
      <c r="X251" s="1600" t="str">
        <f t="shared" si="134"/>
        <v/>
      </c>
      <c r="Z251" s="1935"/>
    </row>
    <row r="252" spans="1:26" ht="13.9" customHeight="1" x14ac:dyDescent="0.25">
      <c r="A252" s="1916">
        <f>Chem!A252</f>
        <v>250</v>
      </c>
      <c r="B252" s="1932" t="str">
        <f>Chem!B252</f>
        <v>Carbaryl</v>
      </c>
      <c r="C252" s="2013" t="str">
        <f t="shared" si="125"/>
        <v>na</v>
      </c>
      <c r="D252" s="2014" t="str">
        <f t="shared" si="126"/>
        <v>na</v>
      </c>
      <c r="E252" s="2014" t="str">
        <f t="shared" si="127"/>
        <v>na</v>
      </c>
      <c r="F252" s="2033" t="str">
        <f>'SD-Det'!Z252</f>
        <v>na</v>
      </c>
      <c r="G252" s="2206" t="str">
        <f>'SD-Det'!C252</f>
        <v>no</v>
      </c>
      <c r="H252" s="1815" t="str">
        <f>'SD-Det'!K252</f>
        <v>na</v>
      </c>
      <c r="I252" s="1826" t="str">
        <f>'SD-Det'!M252</f>
        <v>na</v>
      </c>
      <c r="J252" s="1763" t="str">
        <f>'SD-Det'!H252</f>
        <v>na</v>
      </c>
      <c r="K252" s="1763" t="str">
        <f>'SD-Det'!G252</f>
        <v>na</v>
      </c>
      <c r="L252" s="1867" t="str">
        <f>'SD-Det'!Y252</f>
        <v>na</v>
      </c>
      <c r="M252" s="1867" t="str">
        <f>'SD-Det'!U252</f>
        <v>na</v>
      </c>
      <c r="N252" s="2219" t="str">
        <f>'SD-Det'!V252</f>
        <v>na</v>
      </c>
      <c r="O252" s="1862" t="str">
        <f>'SD-Det'!D252</f>
        <v>na</v>
      </c>
      <c r="P252" s="2225" t="s">
        <v>232</v>
      </c>
      <c r="R252" s="1936" t="str">
        <f t="shared" si="128"/>
        <v/>
      </c>
      <c r="S252" s="1937" t="str">
        <f t="shared" si="129"/>
        <v/>
      </c>
      <c r="T252" s="1937" t="str">
        <f t="shared" si="130"/>
        <v/>
      </c>
      <c r="U252" s="1937" t="str">
        <f t="shared" si="131"/>
        <v/>
      </c>
      <c r="V252" s="1937" t="str">
        <f t="shared" si="132"/>
        <v/>
      </c>
      <c r="W252" s="1937" t="str">
        <f t="shared" si="133"/>
        <v/>
      </c>
      <c r="X252" s="1600" t="str">
        <f t="shared" si="134"/>
        <v/>
      </c>
      <c r="Z252" s="1935"/>
    </row>
    <row r="253" spans="1:26" ht="13.9" customHeight="1" x14ac:dyDescent="0.25">
      <c r="A253" s="1916">
        <f>Chem!A253</f>
        <v>251</v>
      </c>
      <c r="B253" s="1932" t="str">
        <f>Chem!B253</f>
        <v>cis-Chlordane (alpha)</v>
      </c>
      <c r="C253" s="2013">
        <f t="shared" si="125"/>
        <v>1E-4</v>
      </c>
      <c r="D253" s="2014" t="str">
        <f t="shared" si="126"/>
        <v>na</v>
      </c>
      <c r="E253" s="2014" t="str">
        <f t="shared" si="127"/>
        <v>na</v>
      </c>
      <c r="F253" s="2033">
        <f>'SD-Det'!Z253</f>
        <v>1E-4</v>
      </c>
      <c r="G253" s="2206" t="str">
        <f>'SD-Det'!C253</f>
        <v>YES</v>
      </c>
      <c r="H253" s="1815">
        <f>'SD-Det'!K253</f>
        <v>111.82598039215685</v>
      </c>
      <c r="I253" s="1826">
        <f>'SD-Det'!M253</f>
        <v>1E-4</v>
      </c>
      <c r="J253" s="1763" t="str">
        <f>'SD-Det'!H253</f>
        <v>na</v>
      </c>
      <c r="K253" s="1763" t="str">
        <f>'SD-Det'!G253</f>
        <v>na</v>
      </c>
      <c r="L253" s="1867" t="str">
        <f>'SD-Det'!Y253</f>
        <v>na</v>
      </c>
      <c r="M253" s="1867" t="str">
        <f>'SD-Det'!U253</f>
        <v>na</v>
      </c>
      <c r="N253" s="2219" t="str">
        <f>'SD-Det'!V253</f>
        <v>na</v>
      </c>
      <c r="O253" s="1862" t="str">
        <f>'SD-Det'!D253</f>
        <v>na</v>
      </c>
      <c r="P253" s="2225">
        <v>1E-4</v>
      </c>
      <c r="R253" s="1936" t="str">
        <f t="shared" si="128"/>
        <v/>
      </c>
      <c r="S253" s="1937" t="str">
        <f t="shared" si="129"/>
        <v>X</v>
      </c>
      <c r="T253" s="1937" t="str">
        <f t="shared" si="130"/>
        <v/>
      </c>
      <c r="U253" s="1937" t="str">
        <f t="shared" si="131"/>
        <v/>
      </c>
      <c r="V253" s="1937" t="str">
        <f t="shared" si="132"/>
        <v/>
      </c>
      <c r="W253" s="1937" t="str">
        <f t="shared" si="133"/>
        <v/>
      </c>
      <c r="X253" s="1600" t="str">
        <f t="shared" si="134"/>
        <v>X</v>
      </c>
      <c r="Z253" s="1935"/>
    </row>
    <row r="254" spans="1:26" ht="13.9" customHeight="1" x14ac:dyDescent="0.25">
      <c r="A254" s="1916">
        <f>Chem!A254</f>
        <v>252</v>
      </c>
      <c r="B254" s="1932" t="str">
        <f>Chem!B254</f>
        <v>trans-Chlordane (gamma)</v>
      </c>
      <c r="C254" s="2013">
        <f t="shared" si="125"/>
        <v>1E-4</v>
      </c>
      <c r="D254" s="2014" t="str">
        <f t="shared" si="126"/>
        <v>na</v>
      </c>
      <c r="E254" s="2014" t="str">
        <f t="shared" si="127"/>
        <v>na</v>
      </c>
      <c r="F254" s="2033">
        <f>'SD-Det'!Z254</f>
        <v>1E-4</v>
      </c>
      <c r="G254" s="2206" t="str">
        <f>'SD-Det'!C254</f>
        <v>YES</v>
      </c>
      <c r="H254" s="1815">
        <f>'SD-Det'!K254</f>
        <v>111.82598039215685</v>
      </c>
      <c r="I254" s="1826">
        <f>'SD-Det'!M254</f>
        <v>1E-4</v>
      </c>
      <c r="J254" s="1763" t="str">
        <f>'SD-Det'!H254</f>
        <v>na</v>
      </c>
      <c r="K254" s="1763" t="str">
        <f>'SD-Det'!G254</f>
        <v>na</v>
      </c>
      <c r="L254" s="1867" t="str">
        <f>'SD-Det'!Y254</f>
        <v>na</v>
      </c>
      <c r="M254" s="1867" t="str">
        <f>'SD-Det'!U254</f>
        <v>na</v>
      </c>
      <c r="N254" s="2219" t="str">
        <f>'SD-Det'!V254</f>
        <v>na</v>
      </c>
      <c r="O254" s="1862" t="str">
        <f>'SD-Det'!D254</f>
        <v>na</v>
      </c>
      <c r="P254" s="2225">
        <v>1E-4</v>
      </c>
      <c r="R254" s="1936" t="str">
        <f t="shared" si="128"/>
        <v/>
      </c>
      <c r="S254" s="1937" t="str">
        <f t="shared" si="129"/>
        <v>X</v>
      </c>
      <c r="T254" s="1937" t="str">
        <f t="shared" si="130"/>
        <v/>
      </c>
      <c r="U254" s="1937" t="str">
        <f t="shared" si="131"/>
        <v/>
      </c>
      <c r="V254" s="1937" t="str">
        <f t="shared" si="132"/>
        <v/>
      </c>
      <c r="W254" s="1937" t="str">
        <f t="shared" si="133"/>
        <v/>
      </c>
      <c r="X254" s="1600" t="str">
        <f t="shared" si="134"/>
        <v>X</v>
      </c>
      <c r="Z254" s="1935"/>
    </row>
    <row r="255" spans="1:26" ht="13.9" customHeight="1" x14ac:dyDescent="0.25">
      <c r="A255" s="1916">
        <f>Chem!A255</f>
        <v>253</v>
      </c>
      <c r="B255" s="1932" t="str">
        <f>Chem!B255</f>
        <v>Chlordane</v>
      </c>
      <c r="C255" s="2017">
        <f t="shared" si="125"/>
        <v>5.6166640781514872</v>
      </c>
      <c r="D255" s="2018" t="str">
        <f t="shared" si="126"/>
        <v>na</v>
      </c>
      <c r="E255" s="2018" t="str">
        <f t="shared" si="127"/>
        <v>na</v>
      </c>
      <c r="F255" s="2033">
        <f>'SD-Det'!Z255</f>
        <v>5.6166640781514872</v>
      </c>
      <c r="G255" s="2206" t="str">
        <f>'SD-Det'!C255</f>
        <v>YES</v>
      </c>
      <c r="H255" s="1818">
        <f>'SD-Det'!K255</f>
        <v>5.6166640781514872</v>
      </c>
      <c r="I255" s="1829" t="str">
        <f>'SD-Det'!M255</f>
        <v>PQL</v>
      </c>
      <c r="J255" s="1766" t="str">
        <f>'SD-Det'!H255</f>
        <v>na</v>
      </c>
      <c r="K255" s="1766" t="str">
        <f>'SD-Det'!G255</f>
        <v>na</v>
      </c>
      <c r="L255" s="1870" t="str">
        <f>'SD-Det'!Y255</f>
        <v>na</v>
      </c>
      <c r="M255" s="1870" t="str">
        <f>'SD-Det'!U255</f>
        <v>na</v>
      </c>
      <c r="N255" s="2219" t="str">
        <f>'SD-Det'!V255</f>
        <v>na</v>
      </c>
      <c r="O255" s="2004" t="str">
        <f>'SD-Det'!D255</f>
        <v>na</v>
      </c>
      <c r="P255" s="2229" t="s">
        <v>232</v>
      </c>
      <c r="R255" s="1936" t="str">
        <f t="shared" si="128"/>
        <v>X</v>
      </c>
      <c r="S255" s="1937" t="str">
        <f t="shared" si="129"/>
        <v/>
      </c>
      <c r="T255" s="1937" t="str">
        <f t="shared" si="130"/>
        <v/>
      </c>
      <c r="U255" s="1937" t="str">
        <f t="shared" si="131"/>
        <v/>
      </c>
      <c r="V255" s="1937" t="str">
        <f t="shared" si="132"/>
        <v/>
      </c>
      <c r="W255" s="1937" t="str">
        <f t="shared" si="133"/>
        <v/>
      </c>
      <c r="X255" s="1600" t="str">
        <f t="shared" si="134"/>
        <v/>
      </c>
      <c r="Z255" s="1935"/>
    </row>
    <row r="256" spans="1:26" ht="13.9" customHeight="1" x14ac:dyDescent="0.25">
      <c r="A256" s="1916">
        <f>Chem!A256</f>
        <v>254</v>
      </c>
      <c r="B256" s="1932" t="str">
        <f>Chem!B256</f>
        <v>Chlorpyrifos</v>
      </c>
      <c r="C256" s="2013" t="str">
        <f t="shared" si="125"/>
        <v>na</v>
      </c>
      <c r="D256" s="2014" t="str">
        <f t="shared" si="126"/>
        <v>na</v>
      </c>
      <c r="E256" s="2014" t="str">
        <f t="shared" si="127"/>
        <v>na</v>
      </c>
      <c r="F256" s="2033" t="str">
        <f>'SD-Det'!Z256</f>
        <v>na</v>
      </c>
      <c r="G256" s="2206" t="str">
        <f>'SD-Det'!C256</f>
        <v>no</v>
      </c>
      <c r="H256" s="1815" t="str">
        <f>'SD-Det'!K256</f>
        <v>na</v>
      </c>
      <c r="I256" s="1826" t="str">
        <f>'SD-Det'!M256</f>
        <v>na</v>
      </c>
      <c r="J256" s="1763" t="str">
        <f>'SD-Det'!H256</f>
        <v>na</v>
      </c>
      <c r="K256" s="1763" t="str">
        <f>'SD-Det'!G256</f>
        <v>na</v>
      </c>
      <c r="L256" s="1867" t="str">
        <f>'SD-Det'!Y256</f>
        <v>na</v>
      </c>
      <c r="M256" s="1867" t="str">
        <f>'SD-Det'!U256</f>
        <v>na</v>
      </c>
      <c r="N256" s="2219" t="str">
        <f>'SD-Det'!V256</f>
        <v>na</v>
      </c>
      <c r="O256" s="1862" t="str">
        <f>'SD-Det'!D256</f>
        <v>na</v>
      </c>
      <c r="P256" s="2225" t="s">
        <v>232</v>
      </c>
      <c r="R256" s="1936" t="str">
        <f t="shared" si="128"/>
        <v/>
      </c>
      <c r="S256" s="1937" t="str">
        <f t="shared" si="129"/>
        <v/>
      </c>
      <c r="T256" s="1937" t="str">
        <f t="shared" si="130"/>
        <v/>
      </c>
      <c r="U256" s="1937" t="str">
        <f t="shared" si="131"/>
        <v/>
      </c>
      <c r="V256" s="1937" t="str">
        <f t="shared" si="132"/>
        <v/>
      </c>
      <c r="W256" s="1937" t="str">
        <f t="shared" si="133"/>
        <v/>
      </c>
      <c r="X256" s="1600" t="str">
        <f t="shared" si="134"/>
        <v/>
      </c>
      <c r="Z256" s="1935"/>
    </row>
    <row r="257" spans="1:26" ht="13.9" customHeight="1" x14ac:dyDescent="0.25">
      <c r="A257" s="1916">
        <f>Chem!A257</f>
        <v>255</v>
      </c>
      <c r="B257" s="1932" t="str">
        <f>Chem!B257</f>
        <v>4,4'-DDD</v>
      </c>
      <c r="C257" s="2013" t="str">
        <f t="shared" si="125"/>
        <v>na</v>
      </c>
      <c r="D257" s="2014" t="str">
        <f t="shared" si="126"/>
        <v>na</v>
      </c>
      <c r="E257" s="2014" t="str">
        <f t="shared" si="127"/>
        <v>na</v>
      </c>
      <c r="F257" s="2033" t="str">
        <f>'SD-Det'!Z257</f>
        <v>na</v>
      </c>
      <c r="G257" s="2206" t="str">
        <f>'SD-Det'!C257</f>
        <v>no</v>
      </c>
      <c r="H257" s="1815" t="str">
        <f>'SD-Det'!K257</f>
        <v>na</v>
      </c>
      <c r="I257" s="1826" t="str">
        <f>'SD-Det'!M257</f>
        <v>na</v>
      </c>
      <c r="J257" s="1763" t="str">
        <f>'SD-Det'!H257</f>
        <v>na</v>
      </c>
      <c r="K257" s="1763" t="str">
        <f>'SD-Det'!G257</f>
        <v>na</v>
      </c>
      <c r="L257" s="1867" t="str">
        <f>'SD-Det'!Y257</f>
        <v>na</v>
      </c>
      <c r="M257" s="1867" t="str">
        <f>'SD-Det'!U257</f>
        <v>na</v>
      </c>
      <c r="N257" s="2219" t="str">
        <f>'SD-Det'!V257</f>
        <v>na</v>
      </c>
      <c r="O257" s="1862" t="str">
        <f>'SD-Det'!D257</f>
        <v>na</v>
      </c>
      <c r="P257" s="2225">
        <v>1E-4</v>
      </c>
      <c r="R257" s="1936" t="str">
        <f t="shared" si="128"/>
        <v/>
      </c>
      <c r="S257" s="1937" t="str">
        <f t="shared" si="129"/>
        <v/>
      </c>
      <c r="T257" s="1937" t="str">
        <f t="shared" si="130"/>
        <v/>
      </c>
      <c r="U257" s="1937" t="str">
        <f t="shared" si="131"/>
        <v/>
      </c>
      <c r="V257" s="1937" t="str">
        <f t="shared" si="132"/>
        <v/>
      </c>
      <c r="W257" s="1937" t="str">
        <f t="shared" si="133"/>
        <v/>
      </c>
      <c r="X257" s="1600" t="str">
        <f t="shared" si="134"/>
        <v/>
      </c>
      <c r="Z257" s="1935"/>
    </row>
    <row r="258" spans="1:26" ht="13.9" customHeight="1" x14ac:dyDescent="0.25">
      <c r="A258" s="1916">
        <f>Chem!A258</f>
        <v>256</v>
      </c>
      <c r="B258" s="1932" t="str">
        <f>Chem!B258</f>
        <v>4,4'-DDE</v>
      </c>
      <c r="C258" s="2013" t="str">
        <f t="shared" si="125"/>
        <v>na</v>
      </c>
      <c r="D258" s="2014" t="str">
        <f t="shared" si="126"/>
        <v>na</v>
      </c>
      <c r="E258" s="2014" t="str">
        <f t="shared" si="127"/>
        <v>na</v>
      </c>
      <c r="F258" s="2033" t="str">
        <f>'SD-Det'!Z258</f>
        <v>na</v>
      </c>
      <c r="G258" s="2206" t="str">
        <f>'SD-Det'!C258</f>
        <v>no</v>
      </c>
      <c r="H258" s="1815" t="str">
        <f>'SD-Det'!K258</f>
        <v>na</v>
      </c>
      <c r="I258" s="1826" t="str">
        <f>'SD-Det'!M258</f>
        <v>na</v>
      </c>
      <c r="J258" s="1763" t="str">
        <f>'SD-Det'!H258</f>
        <v>na</v>
      </c>
      <c r="K258" s="1763" t="str">
        <f>'SD-Det'!G258</f>
        <v>na</v>
      </c>
      <c r="L258" s="1867" t="str">
        <f>'SD-Det'!Y258</f>
        <v>na</v>
      </c>
      <c r="M258" s="1867" t="str">
        <f>'SD-Det'!U258</f>
        <v>na</v>
      </c>
      <c r="N258" s="2219" t="str">
        <f>'SD-Det'!V258</f>
        <v>na</v>
      </c>
      <c r="O258" s="1862" t="str">
        <f>'SD-Det'!D258</f>
        <v>na</v>
      </c>
      <c r="P258" s="2225">
        <v>1E-4</v>
      </c>
      <c r="R258" s="1936" t="str">
        <f t="shared" si="128"/>
        <v/>
      </c>
      <c r="S258" s="1937" t="str">
        <f t="shared" si="129"/>
        <v/>
      </c>
      <c r="T258" s="1937" t="str">
        <f t="shared" si="130"/>
        <v/>
      </c>
      <c r="U258" s="1937" t="str">
        <f t="shared" si="131"/>
        <v/>
      </c>
      <c r="V258" s="1937" t="str">
        <f t="shared" si="132"/>
        <v/>
      </c>
      <c r="W258" s="1937" t="str">
        <f t="shared" si="133"/>
        <v/>
      </c>
      <c r="X258" s="1600" t="str">
        <f t="shared" si="134"/>
        <v/>
      </c>
      <c r="Z258" s="1935"/>
    </row>
    <row r="259" spans="1:26" ht="13.9" customHeight="1" x14ac:dyDescent="0.25">
      <c r="A259" s="1916">
        <f>Chem!A259</f>
        <v>257</v>
      </c>
      <c r="B259" s="1932" t="str">
        <f>Chem!B259</f>
        <v>4,4'-DDT</v>
      </c>
      <c r="C259" s="2013">
        <f t="shared" si="125"/>
        <v>1E-4</v>
      </c>
      <c r="D259" s="2014" t="str">
        <f t="shared" si="126"/>
        <v>na</v>
      </c>
      <c r="E259" s="2014" t="str">
        <f t="shared" si="127"/>
        <v>na</v>
      </c>
      <c r="F259" s="2033">
        <f>'SD-Det'!Z259</f>
        <v>1E-4</v>
      </c>
      <c r="G259" s="2206" t="str">
        <f>'SD-Det'!C259</f>
        <v>YES</v>
      </c>
      <c r="H259" s="1815">
        <f>'SD-Det'!K259</f>
        <v>6.2945206043185031</v>
      </c>
      <c r="I259" s="1826">
        <f>'SD-Det'!M259</f>
        <v>1E-4</v>
      </c>
      <c r="J259" s="1763" t="str">
        <f>'SD-Det'!H259</f>
        <v>na</v>
      </c>
      <c r="K259" s="1763" t="str">
        <f>'SD-Det'!G259</f>
        <v>na</v>
      </c>
      <c r="L259" s="1867" t="str">
        <f>'SD-Det'!Y259</f>
        <v>na</v>
      </c>
      <c r="M259" s="1867" t="str">
        <f>'SD-Det'!U259</f>
        <v>na</v>
      </c>
      <c r="N259" s="2219" t="str">
        <f>'SD-Det'!V259</f>
        <v>na</v>
      </c>
      <c r="O259" s="1862" t="str">
        <f>'SD-Det'!D259</f>
        <v>na</v>
      </c>
      <c r="P259" s="2225">
        <v>1E-4</v>
      </c>
      <c r="R259" s="1936" t="str">
        <f t="shared" si="128"/>
        <v/>
      </c>
      <c r="S259" s="1937" t="str">
        <f t="shared" si="129"/>
        <v>X</v>
      </c>
      <c r="T259" s="1937" t="str">
        <f t="shared" si="130"/>
        <v/>
      </c>
      <c r="U259" s="1937" t="str">
        <f t="shared" si="131"/>
        <v/>
      </c>
      <c r="V259" s="1937" t="str">
        <f t="shared" si="132"/>
        <v/>
      </c>
      <c r="W259" s="1937" t="str">
        <f t="shared" si="133"/>
        <v/>
      </c>
      <c r="X259" s="1600" t="str">
        <f t="shared" si="134"/>
        <v>X</v>
      </c>
      <c r="Z259" s="1935"/>
    </row>
    <row r="260" spans="1:26" ht="13.9" customHeight="1" x14ac:dyDescent="0.25">
      <c r="A260" s="1916">
        <f>Chem!A260</f>
        <v>258</v>
      </c>
      <c r="B260" s="1932" t="str">
        <f>Chem!B260</f>
        <v xml:space="preserve">Total DDD </v>
      </c>
      <c r="C260" s="2013" t="str">
        <f t="shared" si="125"/>
        <v>na</v>
      </c>
      <c r="D260" s="2014" t="str">
        <f t="shared" si="126"/>
        <v>na</v>
      </c>
      <c r="E260" s="2014" t="str">
        <f t="shared" si="127"/>
        <v>na</v>
      </c>
      <c r="F260" s="2033" t="str">
        <f>'SD-Det'!Z260</f>
        <v>na</v>
      </c>
      <c r="G260" s="2206" t="str">
        <f>'SD-Det'!C260</f>
        <v>no</v>
      </c>
      <c r="H260" s="1815" t="str">
        <f>'SD-Det'!K260</f>
        <v>na</v>
      </c>
      <c r="I260" s="1826" t="str">
        <f>'SD-Det'!M260</f>
        <v>na</v>
      </c>
      <c r="J260" s="1763" t="str">
        <f>'SD-Det'!H260</f>
        <v>na</v>
      </c>
      <c r="K260" s="1763" t="str">
        <f>'SD-Det'!G260</f>
        <v>na</v>
      </c>
      <c r="L260" s="1867" t="str">
        <f>'SD-Det'!Y260</f>
        <v>na</v>
      </c>
      <c r="M260" s="1867" t="str">
        <f>'SD-Det'!U260</f>
        <v>na</v>
      </c>
      <c r="N260" s="2219" t="str">
        <f>'SD-Det'!V260</f>
        <v>na</v>
      </c>
      <c r="O260" s="1862" t="str">
        <f>'SD-Det'!D260</f>
        <v>na</v>
      </c>
      <c r="P260" s="2225" t="s">
        <v>232</v>
      </c>
      <c r="R260" s="1936" t="str">
        <f t="shared" si="128"/>
        <v/>
      </c>
      <c r="S260" s="1937" t="str">
        <f t="shared" si="129"/>
        <v/>
      </c>
      <c r="T260" s="1937" t="str">
        <f t="shared" si="130"/>
        <v/>
      </c>
      <c r="U260" s="1937" t="str">
        <f t="shared" si="131"/>
        <v/>
      </c>
      <c r="V260" s="1937" t="str">
        <f t="shared" si="132"/>
        <v/>
      </c>
      <c r="W260" s="1937" t="str">
        <f t="shared" si="133"/>
        <v/>
      </c>
      <c r="X260" s="1600" t="str">
        <f t="shared" si="134"/>
        <v/>
      </c>
      <c r="Z260" s="1935"/>
    </row>
    <row r="261" spans="1:26" ht="13.9" customHeight="1" x14ac:dyDescent="0.25">
      <c r="A261" s="1916">
        <f>Chem!A261</f>
        <v>259</v>
      </c>
      <c r="B261" s="1932" t="str">
        <f>Chem!B261</f>
        <v>Total DDE</v>
      </c>
      <c r="C261" s="2021" t="str">
        <f t="shared" si="125"/>
        <v>na</v>
      </c>
      <c r="D261" s="2022" t="str">
        <f t="shared" si="126"/>
        <v>na</v>
      </c>
      <c r="E261" s="2022" t="str">
        <f t="shared" si="127"/>
        <v>na</v>
      </c>
      <c r="F261" s="2033" t="str">
        <f>'SD-Det'!Z261</f>
        <v>na</v>
      </c>
      <c r="G261" s="2206" t="str">
        <f>'SD-Det'!C261</f>
        <v>no</v>
      </c>
      <c r="H261" s="1820" t="str">
        <f>'SD-Det'!K261</f>
        <v>na</v>
      </c>
      <c r="I261" s="1831" t="str">
        <f>'SD-Det'!M261</f>
        <v>na</v>
      </c>
      <c r="J261" s="1768" t="str">
        <f>'SD-Det'!H261</f>
        <v>na</v>
      </c>
      <c r="K261" s="1768" t="str">
        <f>'SD-Det'!G261</f>
        <v>na</v>
      </c>
      <c r="L261" s="1872" t="str">
        <f>'SD-Det'!Y261</f>
        <v>na</v>
      </c>
      <c r="M261" s="1872" t="str">
        <f>'SD-Det'!U261</f>
        <v>na</v>
      </c>
      <c r="N261" s="2219" t="str">
        <f>'SD-Det'!V261</f>
        <v>na</v>
      </c>
      <c r="O261" s="2006" t="str">
        <f>'SD-Det'!D261</f>
        <v>na</v>
      </c>
      <c r="P261" s="2231" t="s">
        <v>232</v>
      </c>
      <c r="R261" s="1936" t="str">
        <f t="shared" si="128"/>
        <v/>
      </c>
      <c r="S261" s="1937" t="str">
        <f t="shared" si="129"/>
        <v/>
      </c>
      <c r="T261" s="1937" t="str">
        <f t="shared" si="130"/>
        <v/>
      </c>
      <c r="U261" s="1937" t="str">
        <f t="shared" si="131"/>
        <v/>
      </c>
      <c r="V261" s="1937" t="str">
        <f t="shared" si="132"/>
        <v/>
      </c>
      <c r="W261" s="1937" t="str">
        <f t="shared" si="133"/>
        <v/>
      </c>
      <c r="X261" s="1600" t="str">
        <f t="shared" si="134"/>
        <v/>
      </c>
      <c r="Z261" s="1935"/>
    </row>
    <row r="262" spans="1:26" ht="13.9" customHeight="1" x14ac:dyDescent="0.25">
      <c r="A262" s="1916">
        <f>Chem!A262</f>
        <v>260</v>
      </c>
      <c r="B262" s="1932" t="str">
        <f>Chem!B262</f>
        <v>Total DDT</v>
      </c>
      <c r="C262" s="2017">
        <f t="shared" si="125"/>
        <v>6.2945206043185031</v>
      </c>
      <c r="D262" s="2018" t="str">
        <f t="shared" si="126"/>
        <v>na</v>
      </c>
      <c r="E262" s="2018" t="str">
        <f t="shared" si="127"/>
        <v>na</v>
      </c>
      <c r="F262" s="2033">
        <f>'SD-Det'!Z262</f>
        <v>6.2945206043185031</v>
      </c>
      <c r="G262" s="2206" t="str">
        <f>'SD-Det'!C262</f>
        <v>YES</v>
      </c>
      <c r="H262" s="1818">
        <f>'SD-Det'!K262</f>
        <v>6.2945206043185031</v>
      </c>
      <c r="I262" s="1829" t="str">
        <f>'SD-Det'!M262</f>
        <v>PQL</v>
      </c>
      <c r="J262" s="1766" t="str">
        <f>'SD-Det'!H262</f>
        <v>na</v>
      </c>
      <c r="K262" s="1766" t="str">
        <f>'SD-Det'!G262</f>
        <v>na</v>
      </c>
      <c r="L262" s="1870" t="str">
        <f>'SD-Det'!Y262</f>
        <v>na</v>
      </c>
      <c r="M262" s="1870" t="str">
        <f>'SD-Det'!U262</f>
        <v>na</v>
      </c>
      <c r="N262" s="2219" t="str">
        <f>'SD-Det'!V262</f>
        <v>na</v>
      </c>
      <c r="O262" s="2004" t="str">
        <f>'SD-Det'!D262</f>
        <v>na</v>
      </c>
      <c r="P262" s="2229" t="s">
        <v>232</v>
      </c>
      <c r="R262" s="1936" t="str">
        <f t="shared" si="128"/>
        <v>X</v>
      </c>
      <c r="S262" s="1937" t="str">
        <f t="shared" si="129"/>
        <v/>
      </c>
      <c r="T262" s="1937" t="str">
        <f t="shared" si="130"/>
        <v/>
      </c>
      <c r="U262" s="1937" t="str">
        <f t="shared" si="131"/>
        <v/>
      </c>
      <c r="V262" s="1937" t="str">
        <f t="shared" si="132"/>
        <v/>
      </c>
      <c r="W262" s="1937" t="str">
        <f t="shared" si="133"/>
        <v/>
      </c>
      <c r="X262" s="1600" t="str">
        <f t="shared" si="134"/>
        <v/>
      </c>
      <c r="Z262" s="1935"/>
    </row>
    <row r="263" spans="1:26" ht="13.9" customHeight="1" x14ac:dyDescent="0.25">
      <c r="A263" s="1916">
        <f>Chem!A263</f>
        <v>261</v>
      </c>
      <c r="B263" s="1932" t="str">
        <f>Chem!B263</f>
        <v>Diazinon</v>
      </c>
      <c r="C263" s="2017" t="str">
        <f t="shared" si="125"/>
        <v>na</v>
      </c>
      <c r="D263" s="2018" t="str">
        <f t="shared" si="126"/>
        <v>na</v>
      </c>
      <c r="E263" s="2018" t="str">
        <f t="shared" si="127"/>
        <v>na</v>
      </c>
      <c r="F263" s="2033" t="str">
        <f>'SD-Det'!Z263</f>
        <v>na</v>
      </c>
      <c r="G263" s="2206" t="str">
        <f>'SD-Det'!C263</f>
        <v>no</v>
      </c>
      <c r="H263" s="1818" t="str">
        <f>'SD-Det'!K263</f>
        <v>na</v>
      </c>
      <c r="I263" s="1829" t="str">
        <f>'SD-Det'!M263</f>
        <v>na</v>
      </c>
      <c r="J263" s="1766" t="str">
        <f>'SD-Det'!H263</f>
        <v>na</v>
      </c>
      <c r="K263" s="1766" t="str">
        <f>'SD-Det'!G263</f>
        <v>na</v>
      </c>
      <c r="L263" s="1870" t="str">
        <f>'SD-Det'!Y263</f>
        <v>na</v>
      </c>
      <c r="M263" s="1870" t="str">
        <f>'SD-Det'!U263</f>
        <v>na</v>
      </c>
      <c r="N263" s="2219" t="str">
        <f>'SD-Det'!V263</f>
        <v>na</v>
      </c>
      <c r="O263" s="2004" t="str">
        <f>'SD-Det'!D263</f>
        <v>na</v>
      </c>
      <c r="P263" s="2229" t="s">
        <v>232</v>
      </c>
      <c r="R263" s="1936" t="str">
        <f t="shared" si="128"/>
        <v/>
      </c>
      <c r="S263" s="1937" t="str">
        <f t="shared" si="129"/>
        <v/>
      </c>
      <c r="T263" s="1937" t="str">
        <f t="shared" si="130"/>
        <v/>
      </c>
      <c r="U263" s="1937" t="str">
        <f t="shared" si="131"/>
        <v/>
      </c>
      <c r="V263" s="1937" t="str">
        <f t="shared" si="132"/>
        <v/>
      </c>
      <c r="W263" s="1937" t="str">
        <f t="shared" si="133"/>
        <v/>
      </c>
      <c r="X263" s="1600" t="str">
        <f t="shared" si="134"/>
        <v/>
      </c>
      <c r="Z263" s="1935"/>
    </row>
    <row r="264" spans="1:26" ht="13.9" customHeight="1" x14ac:dyDescent="0.25">
      <c r="A264" s="1916">
        <f>Chem!A264</f>
        <v>262</v>
      </c>
      <c r="B264" s="1932" t="str">
        <f>Chem!B264</f>
        <v>Dieldrin</v>
      </c>
      <c r="C264" s="2017">
        <f t="shared" si="125"/>
        <v>1E-4</v>
      </c>
      <c r="D264" s="2018" t="str">
        <f t="shared" si="126"/>
        <v>na</v>
      </c>
      <c r="E264" s="2018" t="str">
        <f t="shared" si="127"/>
        <v>na</v>
      </c>
      <c r="F264" s="2033">
        <f>'SD-Det'!Z264</f>
        <v>1E-4</v>
      </c>
      <c r="G264" s="2206" t="str">
        <f>'SD-Det'!C264</f>
        <v>YES</v>
      </c>
      <c r="H264" s="1818">
        <f>'SD-Det'!K264</f>
        <v>8.2532910333163498E-2</v>
      </c>
      <c r="I264" s="1829">
        <f>'SD-Det'!M264</f>
        <v>1E-4</v>
      </c>
      <c r="J264" s="1766" t="str">
        <f>'SD-Det'!H264</f>
        <v>na</v>
      </c>
      <c r="K264" s="1766" t="str">
        <f>'SD-Det'!G264</f>
        <v>na</v>
      </c>
      <c r="L264" s="1870" t="str">
        <f>'SD-Det'!Y264</f>
        <v>na</v>
      </c>
      <c r="M264" s="1870" t="str">
        <f>'SD-Det'!U264</f>
        <v>na</v>
      </c>
      <c r="N264" s="2219" t="str">
        <f>'SD-Det'!V264</f>
        <v>na</v>
      </c>
      <c r="O264" s="2004" t="str">
        <f>'SD-Det'!D264</f>
        <v>na</v>
      </c>
      <c r="P264" s="2229">
        <v>1E-4</v>
      </c>
      <c r="R264" s="1936" t="str">
        <f t="shared" si="128"/>
        <v/>
      </c>
      <c r="S264" s="1937" t="str">
        <f t="shared" si="129"/>
        <v>X</v>
      </c>
      <c r="T264" s="1937" t="str">
        <f t="shared" si="130"/>
        <v/>
      </c>
      <c r="U264" s="1937" t="str">
        <f t="shared" si="131"/>
        <v/>
      </c>
      <c r="V264" s="1937" t="str">
        <f t="shared" si="132"/>
        <v/>
      </c>
      <c r="W264" s="1937" t="str">
        <f t="shared" si="133"/>
        <v/>
      </c>
      <c r="X264" s="1600" t="str">
        <f t="shared" si="134"/>
        <v>X</v>
      </c>
      <c r="Z264" s="1935"/>
    </row>
    <row r="265" spans="1:26" ht="13.9" customHeight="1" x14ac:dyDescent="0.25">
      <c r="A265" s="1916">
        <f>Chem!A265</f>
        <v>263</v>
      </c>
      <c r="B265" s="1932" t="str">
        <f>Chem!B265</f>
        <v>alpha-Endosulfan</v>
      </c>
      <c r="C265" s="2017" t="str">
        <f t="shared" ref="C265:C269" si="135">IF(ISNUMBER(L265),L265,IF(MIN(H265,I265)=0,"na",MAX(MIN(H265,I265),O265,P265)))</f>
        <v>na</v>
      </c>
      <c r="D265" s="2018" t="str">
        <f t="shared" ref="D265:D269" si="136">IF(ISNUMBER(M265),M265,IF(ISNUMBER(J265),J265,"na"))</f>
        <v>na</v>
      </c>
      <c r="E265" s="2018" t="str">
        <f t="shared" ref="E265:E269" si="137">IF(ISNUMBER(N265),N265,K265)</f>
        <v>na</v>
      </c>
      <c r="F265" s="2033" t="str">
        <f>'SD-Det'!Z265</f>
        <v>na</v>
      </c>
      <c r="G265" s="2206" t="str">
        <f>'SD-Det'!C265</f>
        <v>no</v>
      </c>
      <c r="H265" s="1818" t="str">
        <f>'SD-Det'!K265</f>
        <v>na</v>
      </c>
      <c r="I265" s="1829" t="str">
        <f>'SD-Det'!M265</f>
        <v>na</v>
      </c>
      <c r="J265" s="1766" t="str">
        <f>'SD-Det'!H265</f>
        <v>na</v>
      </c>
      <c r="K265" s="1766" t="str">
        <f>'SD-Det'!G265</f>
        <v>na</v>
      </c>
      <c r="L265" s="1870" t="str">
        <f>'SD-Det'!Y265</f>
        <v>na</v>
      </c>
      <c r="M265" s="1870" t="str">
        <f>'SD-Det'!U265</f>
        <v>na</v>
      </c>
      <c r="N265" s="2219" t="str">
        <f>'SD-Det'!V265</f>
        <v>na</v>
      </c>
      <c r="O265" s="2004" t="str">
        <f>'SD-Det'!D265</f>
        <v>na</v>
      </c>
      <c r="P265" s="2229">
        <v>1E-4</v>
      </c>
      <c r="R265" s="1936" t="str">
        <f t="shared" ref="R265:R269" si="138">IF($F265="na","",IF($F265=H265,"X",""))</f>
        <v/>
      </c>
      <c r="S265" s="1937" t="str">
        <f t="shared" ref="S265:S269" si="139">IF($F265="na","",IF($F265=I265,"X",""))</f>
        <v/>
      </c>
      <c r="T265" s="1937" t="str">
        <f t="shared" ref="T265:T269" si="140">IF($F265="na","",IF($F265=J265,"X",""))</f>
        <v/>
      </c>
      <c r="U265" s="1937" t="str">
        <f t="shared" ref="U265:U269" si="141">IF($F265="na","",IF($F265=L265,"X",""))</f>
        <v/>
      </c>
      <c r="V265" s="1937" t="str">
        <f t="shared" ref="V265:V269" si="142">IF($F265="na","",IF($F265=M265,"X",""))</f>
        <v/>
      </c>
      <c r="W265" s="1937" t="str">
        <f t="shared" ref="W265:W269" si="143">IF($F265="na","",IF($F265=O265,"X",""))</f>
        <v/>
      </c>
      <c r="X265" s="1600" t="str">
        <f t="shared" ref="X265:X269" si="144">IF($F265="na","",IF($F265=P265,"X",""))</f>
        <v/>
      </c>
      <c r="Z265" s="1935"/>
    </row>
    <row r="266" spans="1:26" ht="13.9" customHeight="1" x14ac:dyDescent="0.25">
      <c r="A266" s="1916">
        <f>Chem!A266</f>
        <v>264</v>
      </c>
      <c r="B266" s="1932" t="str">
        <f>Chem!B266</f>
        <v>beta-Endosulfan</v>
      </c>
      <c r="C266" s="2017" t="str">
        <f t="shared" si="135"/>
        <v>na</v>
      </c>
      <c r="D266" s="2018" t="str">
        <f t="shared" si="136"/>
        <v>na</v>
      </c>
      <c r="E266" s="2018" t="str">
        <f t="shared" si="137"/>
        <v>na</v>
      </c>
      <c r="F266" s="2033" t="str">
        <f>'SD-Det'!Z266</f>
        <v>na</v>
      </c>
      <c r="G266" s="2206" t="str">
        <f>'SD-Det'!C266</f>
        <v>no</v>
      </c>
      <c r="H266" s="1818" t="str">
        <f>'SD-Det'!K266</f>
        <v>na</v>
      </c>
      <c r="I266" s="1829" t="str">
        <f>'SD-Det'!M266</f>
        <v>na</v>
      </c>
      <c r="J266" s="1766" t="str">
        <f>'SD-Det'!H266</f>
        <v>na</v>
      </c>
      <c r="K266" s="1766" t="str">
        <f>'SD-Det'!G266</f>
        <v>na</v>
      </c>
      <c r="L266" s="1870" t="str">
        <f>'SD-Det'!Y266</f>
        <v>na</v>
      </c>
      <c r="M266" s="1870" t="str">
        <f>'SD-Det'!U266</f>
        <v>na</v>
      </c>
      <c r="N266" s="2219" t="str">
        <f>'SD-Det'!V266</f>
        <v>na</v>
      </c>
      <c r="O266" s="2004" t="str">
        <f>'SD-Det'!D266</f>
        <v>na</v>
      </c>
      <c r="P266" s="2229">
        <v>1E-4</v>
      </c>
      <c r="R266" s="1936" t="str">
        <f t="shared" si="138"/>
        <v/>
      </c>
      <c r="S266" s="1937" t="str">
        <f t="shared" si="139"/>
        <v/>
      </c>
      <c r="T266" s="1937" t="str">
        <f t="shared" si="140"/>
        <v/>
      </c>
      <c r="U266" s="1937" t="str">
        <f t="shared" si="141"/>
        <v/>
      </c>
      <c r="V266" s="1937" t="str">
        <f t="shared" si="142"/>
        <v/>
      </c>
      <c r="W266" s="1937" t="str">
        <f t="shared" si="143"/>
        <v/>
      </c>
      <c r="X266" s="1600" t="str">
        <f t="shared" si="144"/>
        <v/>
      </c>
      <c r="Z266" s="1935"/>
    </row>
    <row r="267" spans="1:26" ht="13.9" customHeight="1" x14ac:dyDescent="0.25">
      <c r="A267" s="1916">
        <f>Chem!A267</f>
        <v>265</v>
      </c>
      <c r="B267" s="1932" t="str">
        <f>Chem!B267</f>
        <v>Sum of alpha and beta endosuflan</v>
      </c>
      <c r="C267" s="2017" t="str">
        <f t="shared" si="135"/>
        <v>na</v>
      </c>
      <c r="D267" s="2018" t="str">
        <f t="shared" si="136"/>
        <v>na</v>
      </c>
      <c r="E267" s="2018" t="str">
        <f t="shared" si="137"/>
        <v>na</v>
      </c>
      <c r="F267" s="2033" t="str">
        <f>'SD-Det'!Z267</f>
        <v>na</v>
      </c>
      <c r="G267" s="2206" t="str">
        <f>'SD-Det'!C267</f>
        <v>no</v>
      </c>
      <c r="H267" s="1818" t="str">
        <f>'SD-Det'!K267</f>
        <v>na</v>
      </c>
      <c r="I267" s="1829" t="str">
        <f>'SD-Det'!M267</f>
        <v>na</v>
      </c>
      <c r="J267" s="1766" t="str">
        <f>'SD-Det'!H267</f>
        <v>na</v>
      </c>
      <c r="K267" s="1766" t="str">
        <f>'SD-Det'!G267</f>
        <v>na</v>
      </c>
      <c r="L267" s="1870" t="str">
        <f>'SD-Det'!Y267</f>
        <v>na</v>
      </c>
      <c r="M267" s="1870" t="str">
        <f>'SD-Det'!U267</f>
        <v>na</v>
      </c>
      <c r="N267" s="2219" t="str">
        <f>'SD-Det'!V267</f>
        <v>na</v>
      </c>
      <c r="O267" s="2004" t="str">
        <f>'SD-Det'!D267</f>
        <v>na</v>
      </c>
      <c r="P267" s="2229">
        <v>1E-4</v>
      </c>
      <c r="R267" s="1936" t="str">
        <f t="shared" si="138"/>
        <v/>
      </c>
      <c r="S267" s="1937" t="str">
        <f t="shared" si="139"/>
        <v/>
      </c>
      <c r="T267" s="1937" t="str">
        <f t="shared" si="140"/>
        <v/>
      </c>
      <c r="U267" s="1937" t="str">
        <f t="shared" si="141"/>
        <v/>
      </c>
      <c r="V267" s="1937" t="str">
        <f t="shared" si="142"/>
        <v/>
      </c>
      <c r="W267" s="1937" t="str">
        <f t="shared" si="143"/>
        <v/>
      </c>
      <c r="X267" s="1600" t="str">
        <f t="shared" si="144"/>
        <v/>
      </c>
      <c r="Z267" s="1935"/>
    </row>
    <row r="268" spans="1:26" ht="13.9" customHeight="1" x14ac:dyDescent="0.25">
      <c r="A268" s="1916">
        <f>Chem!A268</f>
        <v>266</v>
      </c>
      <c r="B268" s="1932" t="str">
        <f>Chem!B268</f>
        <v>Endosulfan sulfate</v>
      </c>
      <c r="C268" s="2017" t="str">
        <f t="shared" si="135"/>
        <v>na</v>
      </c>
      <c r="D268" s="2018" t="str">
        <f t="shared" si="136"/>
        <v>na</v>
      </c>
      <c r="E268" s="2018" t="str">
        <f t="shared" si="137"/>
        <v>na</v>
      </c>
      <c r="F268" s="2033" t="str">
        <f>'SD-Det'!Z268</f>
        <v>na</v>
      </c>
      <c r="G268" s="2206" t="str">
        <f>'SD-Det'!C268</f>
        <v>no</v>
      </c>
      <c r="H268" s="1818" t="str">
        <f>'SD-Det'!K268</f>
        <v>na</v>
      </c>
      <c r="I268" s="1829" t="str">
        <f>'SD-Det'!M268</f>
        <v>na</v>
      </c>
      <c r="J268" s="1766" t="str">
        <f>'SD-Det'!H268</f>
        <v>na</v>
      </c>
      <c r="K268" s="1766" t="str">
        <f>'SD-Det'!G268</f>
        <v>na</v>
      </c>
      <c r="L268" s="1870" t="str">
        <f>'SD-Det'!Y268</f>
        <v>na</v>
      </c>
      <c r="M268" s="1870" t="str">
        <f>'SD-Det'!U268</f>
        <v>na</v>
      </c>
      <c r="N268" s="2219" t="str">
        <f>'SD-Det'!V268</f>
        <v>na</v>
      </c>
      <c r="O268" s="2004" t="str">
        <f>'SD-Det'!D268</f>
        <v>na</v>
      </c>
      <c r="P268" s="2229">
        <v>1E-4</v>
      </c>
      <c r="R268" s="1936" t="str">
        <f t="shared" si="138"/>
        <v/>
      </c>
      <c r="S268" s="1937" t="str">
        <f t="shared" si="139"/>
        <v/>
      </c>
      <c r="T268" s="1937" t="str">
        <f t="shared" si="140"/>
        <v/>
      </c>
      <c r="U268" s="1937" t="str">
        <f t="shared" si="141"/>
        <v/>
      </c>
      <c r="V268" s="1937" t="str">
        <f t="shared" si="142"/>
        <v/>
      </c>
      <c r="W268" s="1937" t="str">
        <f t="shared" si="143"/>
        <v/>
      </c>
      <c r="X268" s="1600" t="str">
        <f t="shared" si="144"/>
        <v/>
      </c>
      <c r="Z268" s="1935"/>
    </row>
    <row r="269" spans="1:26" ht="13.9" customHeight="1" x14ac:dyDescent="0.25">
      <c r="A269" s="1916">
        <f>Chem!A269</f>
        <v>267</v>
      </c>
      <c r="B269" s="1932" t="str">
        <f>Chem!B269</f>
        <v>Sum of alpha, beta, and endosulfan sulfate</v>
      </c>
      <c r="C269" s="2017" t="str">
        <f t="shared" si="135"/>
        <v>na</v>
      </c>
      <c r="D269" s="2018" t="str">
        <f t="shared" si="136"/>
        <v>na</v>
      </c>
      <c r="E269" s="2018" t="str">
        <f t="shared" si="137"/>
        <v>na</v>
      </c>
      <c r="F269" s="2033" t="str">
        <f>'SD-Det'!Z269</f>
        <v>na</v>
      </c>
      <c r="G269" s="2206" t="str">
        <f>'SD-Det'!C269</f>
        <v>no</v>
      </c>
      <c r="H269" s="1818" t="str">
        <f>'SD-Det'!K269</f>
        <v>na</v>
      </c>
      <c r="I269" s="1829" t="str">
        <f>'SD-Det'!M269</f>
        <v>na</v>
      </c>
      <c r="J269" s="1766" t="str">
        <f>'SD-Det'!H269</f>
        <v>na</v>
      </c>
      <c r="K269" s="1766" t="str">
        <f>'SD-Det'!G269</f>
        <v>na</v>
      </c>
      <c r="L269" s="1870" t="str">
        <f>'SD-Det'!Y269</f>
        <v>na</v>
      </c>
      <c r="M269" s="1870" t="str">
        <f>'SD-Det'!U269</f>
        <v>na</v>
      </c>
      <c r="N269" s="2219" t="str">
        <f>'SD-Det'!V269</f>
        <v>na</v>
      </c>
      <c r="O269" s="2004" t="str">
        <f>'SD-Det'!D269</f>
        <v>na</v>
      </c>
      <c r="P269" s="2229">
        <v>1E-4</v>
      </c>
      <c r="R269" s="1936" t="str">
        <f t="shared" si="138"/>
        <v/>
      </c>
      <c r="S269" s="1937" t="str">
        <f t="shared" si="139"/>
        <v/>
      </c>
      <c r="T269" s="1937" t="str">
        <f t="shared" si="140"/>
        <v/>
      </c>
      <c r="U269" s="1937" t="str">
        <f t="shared" si="141"/>
        <v/>
      </c>
      <c r="V269" s="1937" t="str">
        <f t="shared" si="142"/>
        <v/>
      </c>
      <c r="W269" s="1937" t="str">
        <f t="shared" si="143"/>
        <v/>
      </c>
      <c r="X269" s="1600" t="str">
        <f t="shared" si="144"/>
        <v/>
      </c>
      <c r="Z269" s="1935"/>
    </row>
    <row r="270" spans="1:26" ht="13.9" customHeight="1" x14ac:dyDescent="0.25">
      <c r="A270" s="1916">
        <f>Chem!A270</f>
        <v>268</v>
      </c>
      <c r="B270" s="1932" t="str">
        <f>Chem!B270</f>
        <v>Endrin</v>
      </c>
      <c r="C270" s="2017" t="str">
        <f t="shared" si="125"/>
        <v>na</v>
      </c>
      <c r="D270" s="2018" t="str">
        <f t="shared" si="126"/>
        <v>na</v>
      </c>
      <c r="E270" s="2018" t="str">
        <f t="shared" si="127"/>
        <v>na</v>
      </c>
      <c r="F270" s="2033" t="str">
        <f>'SD-Det'!Z270</f>
        <v>na</v>
      </c>
      <c r="G270" s="2206" t="str">
        <f>'SD-Det'!C270</f>
        <v>no</v>
      </c>
      <c r="H270" s="1818" t="str">
        <f>'SD-Det'!K270</f>
        <v>na</v>
      </c>
      <c r="I270" s="1829" t="str">
        <f>'SD-Det'!M270</f>
        <v>na</v>
      </c>
      <c r="J270" s="1766" t="str">
        <f>'SD-Det'!H270</f>
        <v>na</v>
      </c>
      <c r="K270" s="1766" t="str">
        <f>'SD-Det'!G270</f>
        <v>na</v>
      </c>
      <c r="L270" s="1870" t="str">
        <f>'SD-Det'!Y270</f>
        <v>na</v>
      </c>
      <c r="M270" s="1870" t="str">
        <f>'SD-Det'!U270</f>
        <v>na</v>
      </c>
      <c r="N270" s="2219" t="str">
        <f>'SD-Det'!V270</f>
        <v>na</v>
      </c>
      <c r="O270" s="2004" t="str">
        <f>'SD-Det'!D270</f>
        <v>na</v>
      </c>
      <c r="P270" s="2229" t="s">
        <v>232</v>
      </c>
      <c r="R270" s="1936" t="str">
        <f t="shared" si="128"/>
        <v/>
      </c>
      <c r="S270" s="1937" t="str">
        <f t="shared" si="129"/>
        <v/>
      </c>
      <c r="T270" s="1937" t="str">
        <f t="shared" si="130"/>
        <v/>
      </c>
      <c r="U270" s="1937" t="str">
        <f t="shared" si="131"/>
        <v/>
      </c>
      <c r="V270" s="1937" t="str">
        <f t="shared" si="132"/>
        <v/>
      </c>
      <c r="W270" s="1937" t="str">
        <f t="shared" si="133"/>
        <v/>
      </c>
      <c r="X270" s="1600" t="str">
        <f t="shared" si="134"/>
        <v/>
      </c>
      <c r="Z270" s="1935"/>
    </row>
    <row r="271" spans="1:26" ht="13.9" customHeight="1" x14ac:dyDescent="0.25">
      <c r="A271" s="1916">
        <f>Chem!A271</f>
        <v>269</v>
      </c>
      <c r="B271" s="1932" t="str">
        <f>Chem!B271</f>
        <v>Endrin aldehyde</v>
      </c>
      <c r="C271" s="2021" t="str">
        <f t="shared" si="125"/>
        <v>na</v>
      </c>
      <c r="D271" s="2022" t="str">
        <f t="shared" si="126"/>
        <v>na</v>
      </c>
      <c r="E271" s="2022" t="str">
        <f t="shared" si="127"/>
        <v>na</v>
      </c>
      <c r="F271" s="2033" t="str">
        <f>'SD-Det'!Z271</f>
        <v>na</v>
      </c>
      <c r="G271" s="2206" t="str">
        <f>'SD-Det'!C271</f>
        <v>no</v>
      </c>
      <c r="H271" s="1820" t="str">
        <f>'SD-Det'!K271</f>
        <v>na</v>
      </c>
      <c r="I271" s="1831" t="str">
        <f>'SD-Det'!M271</f>
        <v>na</v>
      </c>
      <c r="J271" s="1768" t="str">
        <f>'SD-Det'!H271</f>
        <v>na</v>
      </c>
      <c r="K271" s="1768" t="str">
        <f>'SD-Det'!G271</f>
        <v>na</v>
      </c>
      <c r="L271" s="1872" t="str">
        <f>'SD-Det'!Y271</f>
        <v>na</v>
      </c>
      <c r="M271" s="1872" t="str">
        <f>'SD-Det'!U271</f>
        <v>na</v>
      </c>
      <c r="N271" s="2219" t="str">
        <f>'SD-Det'!V271</f>
        <v>na</v>
      </c>
      <c r="O271" s="2006" t="str">
        <f>'SD-Det'!D271</f>
        <v>na</v>
      </c>
      <c r="P271" s="2231" t="s">
        <v>232</v>
      </c>
      <c r="R271" s="1936" t="str">
        <f t="shared" si="128"/>
        <v/>
      </c>
      <c r="S271" s="1937" t="str">
        <f t="shared" si="129"/>
        <v/>
      </c>
      <c r="T271" s="1937" t="str">
        <f t="shared" si="130"/>
        <v/>
      </c>
      <c r="U271" s="1937" t="str">
        <f t="shared" si="131"/>
        <v/>
      </c>
      <c r="V271" s="1937" t="str">
        <f t="shared" si="132"/>
        <v/>
      </c>
      <c r="W271" s="1937" t="str">
        <f t="shared" si="133"/>
        <v/>
      </c>
      <c r="X271" s="1600" t="str">
        <f t="shared" si="134"/>
        <v/>
      </c>
      <c r="Z271" s="1935"/>
    </row>
    <row r="272" spans="1:26" ht="13.9" customHeight="1" x14ac:dyDescent="0.25">
      <c r="A272" s="1916">
        <f>Chem!A272</f>
        <v>270</v>
      </c>
      <c r="B272" s="1932" t="str">
        <f>Chem!B272</f>
        <v>Endrin ketone</v>
      </c>
      <c r="C272" s="2021" t="str">
        <f t="shared" si="125"/>
        <v>na</v>
      </c>
      <c r="D272" s="2022" t="str">
        <f t="shared" si="126"/>
        <v>na</v>
      </c>
      <c r="E272" s="2022" t="str">
        <f t="shared" si="127"/>
        <v>na</v>
      </c>
      <c r="F272" s="2033" t="str">
        <f>'SD-Det'!Z272</f>
        <v>na</v>
      </c>
      <c r="G272" s="2206" t="str">
        <f>'SD-Det'!C272</f>
        <v>no</v>
      </c>
      <c r="H272" s="1820" t="str">
        <f>'SD-Det'!K272</f>
        <v>na</v>
      </c>
      <c r="I272" s="1831" t="str">
        <f>'SD-Det'!M272</f>
        <v>na</v>
      </c>
      <c r="J272" s="1768" t="str">
        <f>'SD-Det'!H272</f>
        <v>na</v>
      </c>
      <c r="K272" s="1768" t="str">
        <f>'SD-Det'!G272</f>
        <v>na</v>
      </c>
      <c r="L272" s="1872" t="str">
        <f>'SD-Det'!Y272</f>
        <v>na</v>
      </c>
      <c r="M272" s="1872" t="str">
        <f>'SD-Det'!U272</f>
        <v>na</v>
      </c>
      <c r="N272" s="2219" t="str">
        <f>'SD-Det'!V272</f>
        <v>na</v>
      </c>
      <c r="O272" s="2006" t="str">
        <f>'SD-Det'!D272</f>
        <v>na</v>
      </c>
      <c r="P272" s="2231" t="s">
        <v>232</v>
      </c>
      <c r="R272" s="1936" t="str">
        <f t="shared" si="128"/>
        <v/>
      </c>
      <c r="S272" s="1937" t="str">
        <f t="shared" si="129"/>
        <v/>
      </c>
      <c r="T272" s="1937" t="str">
        <f t="shared" si="130"/>
        <v/>
      </c>
      <c r="U272" s="1937" t="str">
        <f t="shared" si="131"/>
        <v/>
      </c>
      <c r="V272" s="1937" t="str">
        <f t="shared" si="132"/>
        <v/>
      </c>
      <c r="W272" s="1937" t="str">
        <f t="shared" si="133"/>
        <v/>
      </c>
      <c r="X272" s="1600" t="str">
        <f t="shared" si="134"/>
        <v/>
      </c>
      <c r="Z272" s="1935"/>
    </row>
    <row r="273" spans="1:26" ht="13.9" customHeight="1" x14ac:dyDescent="0.25">
      <c r="A273" s="1916">
        <f>Chem!A273</f>
        <v>271</v>
      </c>
      <c r="B273" s="1932" t="str">
        <f>Chem!B273</f>
        <v>Heptachlor</v>
      </c>
      <c r="C273" s="2017">
        <f t="shared" si="125"/>
        <v>1E-4</v>
      </c>
      <c r="D273" s="2018" t="str">
        <f t="shared" si="126"/>
        <v>na</v>
      </c>
      <c r="E273" s="2018" t="str">
        <f t="shared" si="127"/>
        <v>na</v>
      </c>
      <c r="F273" s="2033">
        <f>'SD-Det'!Z273</f>
        <v>1E-4</v>
      </c>
      <c r="G273" s="2206" t="str">
        <f>'SD-Det'!C273</f>
        <v>YES</v>
      </c>
      <c r="H273" s="1818">
        <f>'SD-Det'!K273</f>
        <v>0.6479383680555556</v>
      </c>
      <c r="I273" s="1829">
        <f>'SD-Det'!M273</f>
        <v>1E-4</v>
      </c>
      <c r="J273" s="1766" t="str">
        <f>'SD-Det'!H273</f>
        <v>na</v>
      </c>
      <c r="K273" s="1766" t="str">
        <f>'SD-Det'!G273</f>
        <v>na</v>
      </c>
      <c r="L273" s="1870" t="str">
        <f>'SD-Det'!Y273</f>
        <v>na</v>
      </c>
      <c r="M273" s="1870" t="str">
        <f>'SD-Det'!U273</f>
        <v>na</v>
      </c>
      <c r="N273" s="2219" t="str">
        <f>'SD-Det'!V273</f>
        <v>na</v>
      </c>
      <c r="O273" s="2004" t="str">
        <f>'SD-Det'!D273</f>
        <v>na</v>
      </c>
      <c r="P273" s="2229">
        <v>1E-4</v>
      </c>
      <c r="R273" s="1936" t="str">
        <f t="shared" si="128"/>
        <v/>
      </c>
      <c r="S273" s="1937" t="str">
        <f t="shared" si="129"/>
        <v>X</v>
      </c>
      <c r="T273" s="1937" t="str">
        <f t="shared" si="130"/>
        <v/>
      </c>
      <c r="U273" s="1937" t="str">
        <f t="shared" si="131"/>
        <v/>
      </c>
      <c r="V273" s="1937" t="str">
        <f t="shared" si="132"/>
        <v/>
      </c>
      <c r="W273" s="1937" t="str">
        <f t="shared" si="133"/>
        <v/>
      </c>
      <c r="X273" s="1600" t="str">
        <f t="shared" si="134"/>
        <v>X</v>
      </c>
      <c r="Z273" s="1935"/>
    </row>
    <row r="274" spans="1:26" ht="13.9" customHeight="1" x14ac:dyDescent="0.25">
      <c r="A274" s="1916">
        <f>Chem!A274</f>
        <v>272</v>
      </c>
      <c r="B274" s="1932" t="str">
        <f>Chem!B274</f>
        <v>Heptachlor epoxide</v>
      </c>
      <c r="C274" s="2017">
        <f t="shared" si="125"/>
        <v>0.32040908310439559</v>
      </c>
      <c r="D274" s="2018" t="str">
        <f t="shared" si="126"/>
        <v>na</v>
      </c>
      <c r="E274" s="2018" t="str">
        <f t="shared" si="127"/>
        <v>na</v>
      </c>
      <c r="F274" s="2033">
        <f>'SD-Det'!Z274</f>
        <v>0.32040908310439559</v>
      </c>
      <c r="G274" s="2206" t="str">
        <f>'SD-Det'!C274</f>
        <v>YES</v>
      </c>
      <c r="H274" s="1818">
        <f>'SD-Det'!K274</f>
        <v>0.32040908310439559</v>
      </c>
      <c r="I274" s="1829" t="str">
        <f>'SD-Det'!M274</f>
        <v>PQL</v>
      </c>
      <c r="J274" s="1766" t="str">
        <f>'SD-Det'!H274</f>
        <v>na</v>
      </c>
      <c r="K274" s="1766" t="str">
        <f>'SD-Det'!G274</f>
        <v>na</v>
      </c>
      <c r="L274" s="1870" t="str">
        <f>'SD-Det'!Y274</f>
        <v>na</v>
      </c>
      <c r="M274" s="1870" t="str">
        <f>'SD-Det'!U274</f>
        <v>na</v>
      </c>
      <c r="N274" s="2219" t="str">
        <f>'SD-Det'!V274</f>
        <v>na</v>
      </c>
      <c r="O274" s="2004" t="str">
        <f>'SD-Det'!D274</f>
        <v>na</v>
      </c>
      <c r="P274" s="2229" t="s">
        <v>232</v>
      </c>
      <c r="R274" s="1936" t="str">
        <f t="shared" si="128"/>
        <v>X</v>
      </c>
      <c r="S274" s="1937" t="str">
        <f t="shared" si="129"/>
        <v/>
      </c>
      <c r="T274" s="1937" t="str">
        <f t="shared" si="130"/>
        <v/>
      </c>
      <c r="U274" s="1937" t="str">
        <f t="shared" si="131"/>
        <v/>
      </c>
      <c r="V274" s="1937" t="str">
        <f t="shared" si="132"/>
        <v/>
      </c>
      <c r="W274" s="1937" t="str">
        <f t="shared" si="133"/>
        <v/>
      </c>
      <c r="X274" s="1600" t="str">
        <f t="shared" si="134"/>
        <v/>
      </c>
      <c r="Z274" s="1935"/>
    </row>
    <row r="275" spans="1:26" ht="13.9" customHeight="1" x14ac:dyDescent="0.25">
      <c r="A275" s="1916">
        <f>Chem!A275</f>
        <v>273</v>
      </c>
      <c r="B275" s="1932" t="str">
        <f>Chem!B275</f>
        <v>Lindane (gamma-BHC)</v>
      </c>
      <c r="C275" s="2017" t="str">
        <f t="shared" si="125"/>
        <v>na</v>
      </c>
      <c r="D275" s="2018" t="str">
        <f t="shared" si="126"/>
        <v>na</v>
      </c>
      <c r="E275" s="2018" t="str">
        <f t="shared" si="127"/>
        <v>na</v>
      </c>
      <c r="F275" s="2033" t="str">
        <f>'SD-Det'!Z275</f>
        <v>na</v>
      </c>
      <c r="G275" s="2206" t="str">
        <f>'SD-Det'!C275</f>
        <v>no</v>
      </c>
      <c r="H275" s="1818" t="str">
        <f>'SD-Det'!K275</f>
        <v>na</v>
      </c>
      <c r="I275" s="1829" t="str">
        <f>'SD-Det'!M275</f>
        <v>na</v>
      </c>
      <c r="J275" s="1766" t="str">
        <f>'SD-Det'!H275</f>
        <v>na</v>
      </c>
      <c r="K275" s="1766" t="str">
        <f>'SD-Det'!G275</f>
        <v>na</v>
      </c>
      <c r="L275" s="1870" t="str">
        <f>'SD-Det'!Y275</f>
        <v>na</v>
      </c>
      <c r="M275" s="1870" t="str">
        <f>'SD-Det'!U275</f>
        <v>na</v>
      </c>
      <c r="N275" s="2219" t="str">
        <f>'SD-Det'!V275</f>
        <v>na</v>
      </c>
      <c r="O275" s="2004" t="str">
        <f>'SD-Det'!D275</f>
        <v>na</v>
      </c>
      <c r="P275" s="2229">
        <v>0.1</v>
      </c>
      <c r="R275" s="1936" t="str">
        <f t="shared" si="128"/>
        <v/>
      </c>
      <c r="S275" s="1937" t="str">
        <f t="shared" si="129"/>
        <v/>
      </c>
      <c r="T275" s="1937" t="str">
        <f t="shared" si="130"/>
        <v/>
      </c>
      <c r="U275" s="1937" t="str">
        <f t="shared" si="131"/>
        <v/>
      </c>
      <c r="V275" s="1937" t="str">
        <f t="shared" si="132"/>
        <v/>
      </c>
      <c r="W275" s="1937" t="str">
        <f t="shared" si="133"/>
        <v/>
      </c>
      <c r="X275" s="1600" t="str">
        <f t="shared" si="134"/>
        <v/>
      </c>
      <c r="Z275" s="1935"/>
    </row>
    <row r="276" spans="1:26" ht="13.9" customHeight="1" x14ac:dyDescent="0.25">
      <c r="A276" s="1916">
        <f>Chem!A276</f>
        <v>274</v>
      </c>
      <c r="B276" s="1932" t="str">
        <f>Chem!B276</f>
        <v>Malathion</v>
      </c>
      <c r="C276" s="2017" t="str">
        <f t="shared" si="125"/>
        <v>na</v>
      </c>
      <c r="D276" s="2018" t="str">
        <f t="shared" si="126"/>
        <v>na</v>
      </c>
      <c r="E276" s="2018" t="str">
        <f t="shared" si="127"/>
        <v>na</v>
      </c>
      <c r="F276" s="2033" t="str">
        <f>'SD-Det'!Z276</f>
        <v>na</v>
      </c>
      <c r="G276" s="2206" t="str">
        <f>'SD-Det'!C276</f>
        <v>no</v>
      </c>
      <c r="H276" s="1818" t="str">
        <f>'SD-Det'!K276</f>
        <v>na</v>
      </c>
      <c r="I276" s="1829" t="str">
        <f>'SD-Det'!M276</f>
        <v>na</v>
      </c>
      <c r="J276" s="1766" t="str">
        <f>'SD-Det'!H276</f>
        <v>na</v>
      </c>
      <c r="K276" s="1766" t="str">
        <f>'SD-Det'!G276</f>
        <v>na</v>
      </c>
      <c r="L276" s="1870" t="str">
        <f>'SD-Det'!Y276</f>
        <v>na</v>
      </c>
      <c r="M276" s="1870" t="str">
        <f>'SD-Det'!U276</f>
        <v>na</v>
      </c>
      <c r="N276" s="2219" t="str">
        <f>'SD-Det'!V276</f>
        <v>na</v>
      </c>
      <c r="O276" s="2004" t="str">
        <f>'SD-Det'!D276</f>
        <v>na</v>
      </c>
      <c r="P276" s="2229" t="s">
        <v>232</v>
      </c>
      <c r="R276" s="1936" t="str">
        <f t="shared" si="128"/>
        <v/>
      </c>
      <c r="S276" s="1937" t="str">
        <f t="shared" si="129"/>
        <v/>
      </c>
      <c r="T276" s="1937" t="str">
        <f t="shared" si="130"/>
        <v/>
      </c>
      <c r="U276" s="1937" t="str">
        <f t="shared" si="131"/>
        <v/>
      </c>
      <c r="V276" s="1937" t="str">
        <f t="shared" si="132"/>
        <v/>
      </c>
      <c r="W276" s="1937" t="str">
        <f t="shared" si="133"/>
        <v/>
      </c>
      <c r="X276" s="1600" t="str">
        <f t="shared" si="134"/>
        <v/>
      </c>
      <c r="Z276" s="1935"/>
    </row>
    <row r="277" spans="1:26" ht="13.9" customHeight="1" x14ac:dyDescent="0.25">
      <c r="A277" s="1916">
        <f>Chem!A277</f>
        <v>275</v>
      </c>
      <c r="B277" s="1932" t="str">
        <f>Chem!B277</f>
        <v>Methoxychlor</v>
      </c>
      <c r="C277" s="2017" t="str">
        <f t="shared" si="125"/>
        <v>na</v>
      </c>
      <c r="D277" s="2018" t="str">
        <f t="shared" si="126"/>
        <v>na</v>
      </c>
      <c r="E277" s="2018" t="str">
        <f t="shared" si="127"/>
        <v>na</v>
      </c>
      <c r="F277" s="2033" t="str">
        <f>'SD-Det'!Z277</f>
        <v>na</v>
      </c>
      <c r="G277" s="2206" t="str">
        <f>'SD-Det'!C277</f>
        <v>no</v>
      </c>
      <c r="H277" s="1818" t="str">
        <f>'SD-Det'!K277</f>
        <v>na</v>
      </c>
      <c r="I277" s="1829" t="str">
        <f>'SD-Det'!M277</f>
        <v>na</v>
      </c>
      <c r="J277" s="1766" t="str">
        <f>'SD-Det'!H277</f>
        <v>na</v>
      </c>
      <c r="K277" s="1766" t="str">
        <f>'SD-Det'!G277</f>
        <v>na</v>
      </c>
      <c r="L277" s="1870" t="str">
        <f>'SD-Det'!Y277</f>
        <v>na</v>
      </c>
      <c r="M277" s="1870" t="str">
        <f>'SD-Det'!U277</f>
        <v>na</v>
      </c>
      <c r="N277" s="2219" t="str">
        <f>'SD-Det'!V277</f>
        <v>na</v>
      </c>
      <c r="O277" s="2004" t="str">
        <f>'SD-Det'!D277</f>
        <v>na</v>
      </c>
      <c r="P277" s="2229" t="s">
        <v>232</v>
      </c>
      <c r="R277" s="1936" t="str">
        <f t="shared" si="128"/>
        <v/>
      </c>
      <c r="S277" s="1937" t="str">
        <f t="shared" si="129"/>
        <v/>
      </c>
      <c r="T277" s="1937" t="str">
        <f t="shared" si="130"/>
        <v/>
      </c>
      <c r="U277" s="1937" t="str">
        <f t="shared" si="131"/>
        <v/>
      </c>
      <c r="V277" s="1937" t="str">
        <f t="shared" si="132"/>
        <v/>
      </c>
      <c r="W277" s="1937" t="str">
        <f t="shared" si="133"/>
        <v/>
      </c>
      <c r="X277" s="1600" t="str">
        <f t="shared" si="134"/>
        <v/>
      </c>
      <c r="Z277" s="1935"/>
    </row>
    <row r="278" spans="1:26" ht="13.9" customHeight="1" x14ac:dyDescent="0.25">
      <c r="A278" s="1916">
        <f>Chem!A278</f>
        <v>276</v>
      </c>
      <c r="B278" s="1932" t="str">
        <f>Chem!B278</f>
        <v>Mirex</v>
      </c>
      <c r="C278" s="2017" t="str">
        <f t="shared" si="125"/>
        <v>na</v>
      </c>
      <c r="D278" s="2018" t="str">
        <f t="shared" si="126"/>
        <v>na</v>
      </c>
      <c r="E278" s="2018" t="str">
        <f t="shared" si="127"/>
        <v>na</v>
      </c>
      <c r="F278" s="2033" t="str">
        <f>'SD-Det'!Z278</f>
        <v>na</v>
      </c>
      <c r="G278" s="2206" t="str">
        <f>'SD-Det'!C278</f>
        <v>no</v>
      </c>
      <c r="H278" s="1818" t="str">
        <f>'SD-Det'!K278</f>
        <v>na</v>
      </c>
      <c r="I278" s="1829" t="str">
        <f>'SD-Det'!M278</f>
        <v>na</v>
      </c>
      <c r="J278" s="1766" t="str">
        <f>'SD-Det'!H278</f>
        <v>na</v>
      </c>
      <c r="K278" s="1766" t="str">
        <f>'SD-Det'!G278</f>
        <v>na</v>
      </c>
      <c r="L278" s="1870" t="str">
        <f>'SD-Det'!Y278</f>
        <v>na</v>
      </c>
      <c r="M278" s="1870" t="str">
        <f>'SD-Det'!U278</f>
        <v>na</v>
      </c>
      <c r="N278" s="2219" t="str">
        <f>'SD-Det'!V278</f>
        <v>na</v>
      </c>
      <c r="O278" s="2004" t="str">
        <f>'SD-Det'!D278</f>
        <v>na</v>
      </c>
      <c r="P278" s="2229" t="s">
        <v>232</v>
      </c>
      <c r="R278" s="1936" t="str">
        <f t="shared" si="128"/>
        <v/>
      </c>
      <c r="S278" s="1937" t="str">
        <f t="shared" si="129"/>
        <v/>
      </c>
      <c r="T278" s="1937" t="str">
        <f t="shared" si="130"/>
        <v/>
      </c>
      <c r="U278" s="1937" t="str">
        <f t="shared" si="131"/>
        <v/>
      </c>
      <c r="V278" s="1937" t="str">
        <f t="shared" si="132"/>
        <v/>
      </c>
      <c r="W278" s="1937" t="str">
        <f t="shared" si="133"/>
        <v/>
      </c>
      <c r="X278" s="1600" t="str">
        <f t="shared" si="134"/>
        <v/>
      </c>
      <c r="Z278" s="1935"/>
    </row>
    <row r="279" spans="1:26" ht="13.9" customHeight="1" x14ac:dyDescent="0.25">
      <c r="A279" s="1916">
        <f>Chem!A279</f>
        <v>277</v>
      </c>
      <c r="B279" s="1932" t="str">
        <f>Chem!B279</f>
        <v>Nonachlor</v>
      </c>
      <c r="C279" s="2021" t="str">
        <f t="shared" si="125"/>
        <v>na</v>
      </c>
      <c r="D279" s="2022" t="str">
        <f t="shared" si="126"/>
        <v>na</v>
      </c>
      <c r="E279" s="2022" t="str">
        <f t="shared" si="127"/>
        <v>na</v>
      </c>
      <c r="F279" s="2033" t="str">
        <f>'SD-Det'!Z279</f>
        <v>na</v>
      </c>
      <c r="G279" s="2206" t="str">
        <f>'SD-Det'!C279</f>
        <v>no</v>
      </c>
      <c r="H279" s="1820" t="str">
        <f>'SD-Det'!K279</f>
        <v>na</v>
      </c>
      <c r="I279" s="1831" t="str">
        <f>'SD-Det'!M279</f>
        <v>na</v>
      </c>
      <c r="J279" s="1768" t="str">
        <f>'SD-Det'!H279</f>
        <v>na</v>
      </c>
      <c r="K279" s="1768" t="str">
        <f>'SD-Det'!G279</f>
        <v>na</v>
      </c>
      <c r="L279" s="1872" t="str">
        <f>'SD-Det'!Y279</f>
        <v>na</v>
      </c>
      <c r="M279" s="1872" t="str">
        <f>'SD-Det'!U279</f>
        <v>na</v>
      </c>
      <c r="N279" s="2219" t="str">
        <f>'SD-Det'!V279</f>
        <v>na</v>
      </c>
      <c r="O279" s="2006" t="str">
        <f>'SD-Det'!D279</f>
        <v>na</v>
      </c>
      <c r="P279" s="2231">
        <v>1E-4</v>
      </c>
      <c r="R279" s="1936" t="str">
        <f t="shared" si="128"/>
        <v/>
      </c>
      <c r="S279" s="1937" t="str">
        <f t="shared" si="129"/>
        <v/>
      </c>
      <c r="T279" s="1937" t="str">
        <f t="shared" si="130"/>
        <v/>
      </c>
      <c r="U279" s="1937" t="str">
        <f t="shared" si="131"/>
        <v/>
      </c>
      <c r="V279" s="1937" t="str">
        <f t="shared" si="132"/>
        <v/>
      </c>
      <c r="W279" s="1937" t="str">
        <f t="shared" si="133"/>
        <v/>
      </c>
      <c r="X279" s="1600" t="str">
        <f t="shared" si="134"/>
        <v/>
      </c>
      <c r="Z279" s="1935"/>
    </row>
    <row r="280" spans="1:26" ht="13.9" customHeight="1" x14ac:dyDescent="0.25">
      <c r="A280" s="1920">
        <f>Chem!A280</f>
        <v>278</v>
      </c>
      <c r="B280" s="1944" t="str">
        <f>Chem!B280</f>
        <v>Toxaphene</v>
      </c>
      <c r="C280" s="2026" t="str">
        <f t="shared" si="125"/>
        <v>na</v>
      </c>
      <c r="D280" s="2027" t="str">
        <f t="shared" si="126"/>
        <v>na</v>
      </c>
      <c r="E280" s="2027" t="str">
        <f t="shared" si="127"/>
        <v>na</v>
      </c>
      <c r="F280" s="2035" t="str">
        <f>'SD-Det'!Z280</f>
        <v>na</v>
      </c>
      <c r="G280" s="2210" t="str">
        <f>'SD-Det'!C280</f>
        <v>no</v>
      </c>
      <c r="H280" s="1823" t="str">
        <f>'SD-Det'!K280</f>
        <v>na</v>
      </c>
      <c r="I280" s="1834" t="str">
        <f>'SD-Det'!M280</f>
        <v>na</v>
      </c>
      <c r="J280" s="1771" t="str">
        <f>'SD-Det'!H280</f>
        <v>na</v>
      </c>
      <c r="K280" s="1771" t="str">
        <f>'SD-Det'!G280</f>
        <v>na</v>
      </c>
      <c r="L280" s="1874" t="str">
        <f>'SD-Det'!Y280</f>
        <v>na</v>
      </c>
      <c r="M280" s="1874" t="str">
        <f>'SD-Det'!U280</f>
        <v>na</v>
      </c>
      <c r="N280" s="2222" t="str">
        <f>'SD-Det'!V280</f>
        <v>na</v>
      </c>
      <c r="O280" s="2008" t="str">
        <f>'SD-Det'!D280</f>
        <v>na</v>
      </c>
      <c r="P280" s="2234" t="s">
        <v>232</v>
      </c>
      <c r="R280" s="1938" t="str">
        <f t="shared" si="128"/>
        <v/>
      </c>
      <c r="S280" s="1939" t="str">
        <f t="shared" si="129"/>
        <v/>
      </c>
      <c r="T280" s="1939" t="str">
        <f t="shared" si="130"/>
        <v/>
      </c>
      <c r="U280" s="1939" t="str">
        <f t="shared" si="131"/>
        <v/>
      </c>
      <c r="V280" s="1939" t="str">
        <f t="shared" si="132"/>
        <v/>
      </c>
      <c r="W280" s="1939" t="str">
        <f t="shared" si="133"/>
        <v/>
      </c>
      <c r="X280" s="1604" t="str">
        <f t="shared" si="134"/>
        <v/>
      </c>
      <c r="Z280" s="1935"/>
    </row>
    <row r="281" spans="1:26" ht="13.9" customHeight="1" x14ac:dyDescent="0.2">
      <c r="A281" s="1919">
        <f>Chem!A281</f>
        <v>279</v>
      </c>
      <c r="B281" s="1928" t="str">
        <f>Chem!B281</f>
        <v>Herbicides</v>
      </c>
      <c r="C281" s="2336"/>
      <c r="D281" s="2336"/>
      <c r="E281" s="2336"/>
      <c r="F281" s="2335"/>
      <c r="G281" s="2335"/>
      <c r="H281" s="2336"/>
      <c r="I281" s="2336"/>
      <c r="J281" s="2336"/>
      <c r="K281" s="2336"/>
      <c r="L281" s="2336"/>
      <c r="M281" s="2336"/>
      <c r="N281" s="2337"/>
      <c r="O281" s="2336"/>
      <c r="P281" s="2338"/>
      <c r="R281" s="2039" t="str">
        <f>B281</f>
        <v>Herbicides</v>
      </c>
      <c r="S281" s="2339"/>
      <c r="T281" s="2339"/>
      <c r="U281" s="2339"/>
      <c r="V281" s="2339"/>
      <c r="W281" s="2339"/>
      <c r="X281" s="2340"/>
      <c r="Z281" s="1945"/>
    </row>
    <row r="282" spans="1:26" ht="13.9" customHeight="1" x14ac:dyDescent="0.2">
      <c r="A282" s="1916">
        <f>Chem!A282</f>
        <v>280</v>
      </c>
      <c r="B282" s="1952" t="str">
        <f>Chem!B282</f>
        <v>2,4-Dichlorophenoxyacetic acid (2,4-D)</v>
      </c>
      <c r="C282" s="2028" t="str">
        <f t="shared" ref="C282:C291" si="145">IF(ISNUMBER(L282),L282,IF(MIN(H282,I282)=0,"na",MAX(MIN(H282,I282),O282,P282)))</f>
        <v>na</v>
      </c>
      <c r="D282" s="2029" t="str">
        <f t="shared" ref="D282:D291" si="146">IF(ISNUMBER(M282),M282,IF(ISNUMBER(J282),J282,"na"))</f>
        <v>na</v>
      </c>
      <c r="E282" s="2022" t="str">
        <f t="shared" ref="E282:E291" si="147">IF(ISNUMBER(N282),N282,K282)</f>
        <v>na</v>
      </c>
      <c r="F282" s="2036" t="str">
        <f>'SD-Det'!Z282</f>
        <v>na</v>
      </c>
      <c r="G282" s="2211" t="str">
        <f>'SD-Det'!C282</f>
        <v>no</v>
      </c>
      <c r="H282" s="1824" t="str">
        <f>'SD-Det'!K282</f>
        <v>na</v>
      </c>
      <c r="I282" s="1835" t="str">
        <f>'SD-Det'!M282</f>
        <v>na</v>
      </c>
      <c r="J282" s="1772" t="str">
        <f>'SD-Det'!H282</f>
        <v>na</v>
      </c>
      <c r="K282" s="1772" t="str">
        <f>'SD-Det'!G282</f>
        <v>na</v>
      </c>
      <c r="L282" s="1875" t="str">
        <f>'SD-Det'!Y282</f>
        <v>na</v>
      </c>
      <c r="M282" s="1875" t="str">
        <f>'SD-Det'!U282</f>
        <v>na</v>
      </c>
      <c r="N282" s="2219" t="str">
        <f>'SD-Det'!V282</f>
        <v>na</v>
      </c>
      <c r="O282" s="2009" t="str">
        <f>'SD-Det'!D282</f>
        <v>na</v>
      </c>
      <c r="P282" s="2235" t="s">
        <v>232</v>
      </c>
      <c r="R282" s="1933" t="str">
        <f t="shared" ref="R282:R291" si="148">IF($F282="na","",IF($F282=H282,"X",""))</f>
        <v/>
      </c>
      <c r="S282" s="1934" t="str">
        <f t="shared" ref="S282:S291" si="149">IF($F282="na","",IF($F282=I282,"X",""))</f>
        <v/>
      </c>
      <c r="T282" s="1934" t="str">
        <f t="shared" ref="T282:T291" si="150">IF($F282="na","",IF($F282=J282,"X",""))</f>
        <v/>
      </c>
      <c r="U282" s="1934" t="str">
        <f t="shared" ref="U282:U291" si="151">IF($F282="na","",IF($F282=L282,"X",""))</f>
        <v/>
      </c>
      <c r="V282" s="1934" t="str">
        <f t="shared" ref="V282:V291" si="152">IF($F282="na","",IF($F282=M282,"X",""))</f>
        <v/>
      </c>
      <c r="W282" s="1934" t="str">
        <f t="shared" ref="W282:W291" si="153">IF($F282="na","",IF($F282=O282,"X",""))</f>
        <v/>
      </c>
      <c r="X282" s="1603" t="str">
        <f t="shared" ref="X282:X291" si="154">IF($F282="na","",IF($F282=P282,"X",""))</f>
        <v/>
      </c>
      <c r="Z282" s="1946"/>
    </row>
    <row r="283" spans="1:26" ht="13.9" customHeight="1" x14ac:dyDescent="0.2">
      <c r="A283" s="1916">
        <f>Chem!A283</f>
        <v>281</v>
      </c>
      <c r="B283" s="1953" t="str">
        <f>Chem!B283</f>
        <v>4-(2,4-Dichlorophenoxy)butanoic acid 2,4-DB</v>
      </c>
      <c r="C283" s="2021" t="str">
        <f t="shared" si="145"/>
        <v>na</v>
      </c>
      <c r="D283" s="2022" t="str">
        <f t="shared" si="146"/>
        <v>na</v>
      </c>
      <c r="E283" s="2022" t="str">
        <f t="shared" si="147"/>
        <v>na</v>
      </c>
      <c r="F283" s="2037" t="str">
        <f>'SD-Det'!Z283</f>
        <v>na</v>
      </c>
      <c r="G283" s="2212" t="str">
        <f>'SD-Det'!C283</f>
        <v>no</v>
      </c>
      <c r="H283" s="1820" t="str">
        <f>'SD-Det'!K283</f>
        <v>na</v>
      </c>
      <c r="I283" s="1831" t="str">
        <f>'SD-Det'!M283</f>
        <v>na</v>
      </c>
      <c r="J283" s="1768" t="str">
        <f>'SD-Det'!H283</f>
        <v>na</v>
      </c>
      <c r="K283" s="1768" t="str">
        <f>'SD-Det'!G283</f>
        <v>na</v>
      </c>
      <c r="L283" s="1872" t="str">
        <f>'SD-Det'!Y283</f>
        <v>na</v>
      </c>
      <c r="M283" s="1872" t="str">
        <f>'SD-Det'!U283</f>
        <v>na</v>
      </c>
      <c r="N283" s="2219" t="str">
        <f>'SD-Det'!V283</f>
        <v>na</v>
      </c>
      <c r="O283" s="2006" t="str">
        <f>'SD-Det'!D283</f>
        <v>na</v>
      </c>
      <c r="P283" s="2231" t="s">
        <v>232</v>
      </c>
      <c r="R283" s="1936" t="str">
        <f t="shared" si="148"/>
        <v/>
      </c>
      <c r="S283" s="1937" t="str">
        <f t="shared" si="149"/>
        <v/>
      </c>
      <c r="T283" s="1937" t="str">
        <f t="shared" si="150"/>
        <v/>
      </c>
      <c r="U283" s="1937" t="str">
        <f t="shared" si="151"/>
        <v/>
      </c>
      <c r="V283" s="1937" t="str">
        <f t="shared" si="152"/>
        <v/>
      </c>
      <c r="W283" s="1937" t="str">
        <f t="shared" si="153"/>
        <v/>
      </c>
      <c r="X283" s="1600" t="str">
        <f t="shared" si="154"/>
        <v/>
      </c>
      <c r="Z283" s="1946"/>
    </row>
    <row r="284" spans="1:26" ht="13.9" customHeight="1" x14ac:dyDescent="0.2">
      <c r="A284" s="1916">
        <f>Chem!A284</f>
        <v>282</v>
      </c>
      <c r="B284" s="1953" t="str">
        <f>Chem!B284</f>
        <v>2-(2,4,5-Trichlorophenoxy)propionic acid (2,4,5-TP)</v>
      </c>
      <c r="C284" s="2021" t="str">
        <f t="shared" si="145"/>
        <v>na</v>
      </c>
      <c r="D284" s="2022" t="str">
        <f t="shared" si="146"/>
        <v>na</v>
      </c>
      <c r="E284" s="2022" t="str">
        <f t="shared" si="147"/>
        <v>na</v>
      </c>
      <c r="F284" s="2037" t="str">
        <f>'SD-Det'!Z284</f>
        <v>na</v>
      </c>
      <c r="G284" s="2212" t="str">
        <f>'SD-Det'!C284</f>
        <v>no</v>
      </c>
      <c r="H284" s="1820" t="str">
        <f>'SD-Det'!K284</f>
        <v>na</v>
      </c>
      <c r="I284" s="1831" t="str">
        <f>'SD-Det'!M284</f>
        <v>na</v>
      </c>
      <c r="J284" s="1768" t="str">
        <f>'SD-Det'!H284</f>
        <v>na</v>
      </c>
      <c r="K284" s="1768" t="str">
        <f>'SD-Det'!G284</f>
        <v>na</v>
      </c>
      <c r="L284" s="1872" t="str">
        <f>'SD-Det'!Y284</f>
        <v>na</v>
      </c>
      <c r="M284" s="1872" t="str">
        <f>'SD-Det'!U284</f>
        <v>na</v>
      </c>
      <c r="N284" s="2219" t="str">
        <f>'SD-Det'!V284</f>
        <v>na</v>
      </c>
      <c r="O284" s="2006" t="str">
        <f>'SD-Det'!D284</f>
        <v>na</v>
      </c>
      <c r="P284" s="2231" t="s">
        <v>232</v>
      </c>
      <c r="R284" s="1936" t="str">
        <f t="shared" si="148"/>
        <v/>
      </c>
      <c r="S284" s="1937" t="str">
        <f t="shared" si="149"/>
        <v/>
      </c>
      <c r="T284" s="1937" t="str">
        <f t="shared" si="150"/>
        <v/>
      </c>
      <c r="U284" s="1937" t="str">
        <f t="shared" si="151"/>
        <v/>
      </c>
      <c r="V284" s="1937" t="str">
        <f t="shared" si="152"/>
        <v/>
      </c>
      <c r="W284" s="1937" t="str">
        <f t="shared" si="153"/>
        <v/>
      </c>
      <c r="X284" s="1600" t="str">
        <f t="shared" si="154"/>
        <v/>
      </c>
      <c r="Z284" s="1946"/>
    </row>
    <row r="285" spans="1:26" ht="13.9" customHeight="1" x14ac:dyDescent="0.2">
      <c r="A285" s="1916">
        <f>Chem!A285</f>
        <v>283</v>
      </c>
      <c r="B285" s="1953" t="str">
        <f>Chem!B285</f>
        <v>2,4,5-Trichlorophenoxyacetic acid (2,4,5-T)</v>
      </c>
      <c r="C285" s="2021" t="str">
        <f t="shared" si="145"/>
        <v>na</v>
      </c>
      <c r="D285" s="2022" t="str">
        <f t="shared" si="146"/>
        <v>na</v>
      </c>
      <c r="E285" s="2022" t="str">
        <f t="shared" si="147"/>
        <v>na</v>
      </c>
      <c r="F285" s="2037" t="str">
        <f>'SD-Det'!Z285</f>
        <v>na</v>
      </c>
      <c r="G285" s="2212" t="str">
        <f>'SD-Det'!C285</f>
        <v>no</v>
      </c>
      <c r="H285" s="1820" t="str">
        <f>'SD-Det'!K285</f>
        <v>na</v>
      </c>
      <c r="I285" s="1831" t="str">
        <f>'SD-Det'!M285</f>
        <v>na</v>
      </c>
      <c r="J285" s="1768" t="str">
        <f>'SD-Det'!H285</f>
        <v>na</v>
      </c>
      <c r="K285" s="1768" t="str">
        <f>'SD-Det'!G285</f>
        <v>na</v>
      </c>
      <c r="L285" s="1872" t="str">
        <f>'SD-Det'!Y285</f>
        <v>na</v>
      </c>
      <c r="M285" s="1872" t="str">
        <f>'SD-Det'!U285</f>
        <v>na</v>
      </c>
      <c r="N285" s="2219" t="str">
        <f>'SD-Det'!V285</f>
        <v>na</v>
      </c>
      <c r="O285" s="2006" t="str">
        <f>'SD-Det'!D285</f>
        <v>na</v>
      </c>
      <c r="P285" s="2231" t="s">
        <v>232</v>
      </c>
      <c r="R285" s="1936" t="str">
        <f t="shared" si="148"/>
        <v/>
      </c>
      <c r="S285" s="1937" t="str">
        <f t="shared" si="149"/>
        <v/>
      </c>
      <c r="T285" s="1937" t="str">
        <f t="shared" si="150"/>
        <v/>
      </c>
      <c r="U285" s="1937" t="str">
        <f t="shared" si="151"/>
        <v/>
      </c>
      <c r="V285" s="1937" t="str">
        <f t="shared" si="152"/>
        <v/>
      </c>
      <c r="W285" s="1937" t="str">
        <f t="shared" si="153"/>
        <v/>
      </c>
      <c r="X285" s="1600" t="str">
        <f t="shared" si="154"/>
        <v/>
      </c>
      <c r="Z285" s="1946"/>
    </row>
    <row r="286" spans="1:26" ht="13.9" customHeight="1" x14ac:dyDescent="0.2">
      <c r="A286" s="1916">
        <f>Chem!A286</f>
        <v>284</v>
      </c>
      <c r="B286" s="1953" t="str">
        <f>Chem!B286</f>
        <v>Dalapon</v>
      </c>
      <c r="C286" s="2021" t="str">
        <f t="shared" si="145"/>
        <v>na</v>
      </c>
      <c r="D286" s="2022" t="str">
        <f t="shared" si="146"/>
        <v>na</v>
      </c>
      <c r="E286" s="2022" t="str">
        <f t="shared" si="147"/>
        <v>na</v>
      </c>
      <c r="F286" s="2037" t="str">
        <f>'SD-Det'!Z286</f>
        <v>na</v>
      </c>
      <c r="G286" s="2212" t="str">
        <f>'SD-Det'!C286</f>
        <v>no</v>
      </c>
      <c r="H286" s="1820" t="str">
        <f>'SD-Det'!K286</f>
        <v>na</v>
      </c>
      <c r="I286" s="1831" t="str">
        <f>'SD-Det'!M286</f>
        <v>na</v>
      </c>
      <c r="J286" s="1768" t="str">
        <f>'SD-Det'!H286</f>
        <v>na</v>
      </c>
      <c r="K286" s="1768" t="str">
        <f>'SD-Det'!G286</f>
        <v>na</v>
      </c>
      <c r="L286" s="1872" t="str">
        <f>'SD-Det'!Y286</f>
        <v>na</v>
      </c>
      <c r="M286" s="1872" t="str">
        <f>'SD-Det'!U286</f>
        <v>na</v>
      </c>
      <c r="N286" s="2219" t="str">
        <f>'SD-Det'!V286</f>
        <v>na</v>
      </c>
      <c r="O286" s="2006" t="str">
        <f>'SD-Det'!D286</f>
        <v>na</v>
      </c>
      <c r="P286" s="2231" t="s">
        <v>232</v>
      </c>
      <c r="R286" s="1936" t="str">
        <f t="shared" si="148"/>
        <v/>
      </c>
      <c r="S286" s="1937" t="str">
        <f t="shared" si="149"/>
        <v/>
      </c>
      <c r="T286" s="1937" t="str">
        <f t="shared" si="150"/>
        <v/>
      </c>
      <c r="U286" s="1937" t="str">
        <f t="shared" si="151"/>
        <v/>
      </c>
      <c r="V286" s="1937" t="str">
        <f t="shared" si="152"/>
        <v/>
      </c>
      <c r="W286" s="1937" t="str">
        <f t="shared" si="153"/>
        <v/>
      </c>
      <c r="X286" s="1600" t="str">
        <f t="shared" si="154"/>
        <v/>
      </c>
      <c r="Z286" s="1946"/>
    </row>
    <row r="287" spans="1:26" ht="13.9" customHeight="1" x14ac:dyDescent="0.2">
      <c r="A287" s="1916">
        <f>Chem!A287</f>
        <v>285</v>
      </c>
      <c r="B287" s="1953" t="str">
        <f>Chem!B287</f>
        <v>Dicamba</v>
      </c>
      <c r="C287" s="2021" t="str">
        <f t="shared" si="145"/>
        <v>na</v>
      </c>
      <c r="D287" s="2022" t="str">
        <f t="shared" si="146"/>
        <v>na</v>
      </c>
      <c r="E287" s="2022" t="str">
        <f t="shared" si="147"/>
        <v>na</v>
      </c>
      <c r="F287" s="2037" t="str">
        <f>'SD-Det'!Z287</f>
        <v>na</v>
      </c>
      <c r="G287" s="2212" t="str">
        <f>'SD-Det'!C287</f>
        <v>no</v>
      </c>
      <c r="H287" s="1820" t="str">
        <f>'SD-Det'!K287</f>
        <v>na</v>
      </c>
      <c r="I287" s="1831" t="str">
        <f>'SD-Det'!M287</f>
        <v>na</v>
      </c>
      <c r="J287" s="1768" t="str">
        <f>'SD-Det'!H287</f>
        <v>na</v>
      </c>
      <c r="K287" s="1768" t="str">
        <f>'SD-Det'!G287</f>
        <v>na</v>
      </c>
      <c r="L287" s="1872" t="str">
        <f>'SD-Det'!Y287</f>
        <v>na</v>
      </c>
      <c r="M287" s="1872" t="str">
        <f>'SD-Det'!U287</f>
        <v>na</v>
      </c>
      <c r="N287" s="2219" t="str">
        <f>'SD-Det'!V287</f>
        <v>na</v>
      </c>
      <c r="O287" s="2006" t="str">
        <f>'SD-Det'!D287</f>
        <v>na</v>
      </c>
      <c r="P287" s="2231" t="s">
        <v>232</v>
      </c>
      <c r="R287" s="1936" t="str">
        <f t="shared" si="148"/>
        <v/>
      </c>
      <c r="S287" s="1937" t="str">
        <f t="shared" si="149"/>
        <v/>
      </c>
      <c r="T287" s="1937" t="str">
        <f t="shared" si="150"/>
        <v/>
      </c>
      <c r="U287" s="1937" t="str">
        <f t="shared" si="151"/>
        <v/>
      </c>
      <c r="V287" s="1937" t="str">
        <f t="shared" si="152"/>
        <v/>
      </c>
      <c r="W287" s="1937" t="str">
        <f t="shared" si="153"/>
        <v/>
      </c>
      <c r="X287" s="1600" t="str">
        <f t="shared" si="154"/>
        <v/>
      </c>
      <c r="Z287" s="1946"/>
    </row>
    <row r="288" spans="1:26" ht="13.9" customHeight="1" x14ac:dyDescent="0.2">
      <c r="A288" s="1916">
        <f>Chem!A288</f>
        <v>286</v>
      </c>
      <c r="B288" s="1953" t="str">
        <f>Chem!B288</f>
        <v>Dichloroprop</v>
      </c>
      <c r="C288" s="2021" t="str">
        <f t="shared" si="145"/>
        <v>na</v>
      </c>
      <c r="D288" s="2022" t="str">
        <f t="shared" si="146"/>
        <v>na</v>
      </c>
      <c r="E288" s="2022" t="str">
        <f t="shared" si="147"/>
        <v>na</v>
      </c>
      <c r="F288" s="2037" t="str">
        <f>'SD-Det'!Z288</f>
        <v>na</v>
      </c>
      <c r="G288" s="2212" t="str">
        <f>'SD-Det'!C288</f>
        <v>no</v>
      </c>
      <c r="H288" s="1820" t="str">
        <f>'SD-Det'!K288</f>
        <v>na</v>
      </c>
      <c r="I288" s="1831" t="str">
        <f>'SD-Det'!M288</f>
        <v>na</v>
      </c>
      <c r="J288" s="1768" t="str">
        <f>'SD-Det'!H288</f>
        <v>na</v>
      </c>
      <c r="K288" s="1768" t="str">
        <f>'SD-Det'!G288</f>
        <v>na</v>
      </c>
      <c r="L288" s="1872" t="str">
        <f>'SD-Det'!Y288</f>
        <v>na</v>
      </c>
      <c r="M288" s="1872" t="str">
        <f>'SD-Det'!U288</f>
        <v>na</v>
      </c>
      <c r="N288" s="2219" t="str">
        <f>'SD-Det'!V288</f>
        <v>na</v>
      </c>
      <c r="O288" s="2006" t="str">
        <f>'SD-Det'!D288</f>
        <v>na</v>
      </c>
      <c r="P288" s="2231" t="s">
        <v>232</v>
      </c>
      <c r="R288" s="1936" t="str">
        <f t="shared" si="148"/>
        <v/>
      </c>
      <c r="S288" s="1937" t="str">
        <f t="shared" si="149"/>
        <v/>
      </c>
      <c r="T288" s="1937" t="str">
        <f t="shared" si="150"/>
        <v/>
      </c>
      <c r="U288" s="1937" t="str">
        <f t="shared" si="151"/>
        <v/>
      </c>
      <c r="V288" s="1937" t="str">
        <f t="shared" si="152"/>
        <v/>
      </c>
      <c r="W288" s="1937" t="str">
        <f t="shared" si="153"/>
        <v/>
      </c>
      <c r="X288" s="1600" t="str">
        <f t="shared" si="154"/>
        <v/>
      </c>
      <c r="Z288" s="1946"/>
    </row>
    <row r="289" spans="1:26" ht="13.9" customHeight="1" x14ac:dyDescent="0.2">
      <c r="A289" s="1916">
        <f>Chem!A289</f>
        <v>287</v>
      </c>
      <c r="B289" s="1953" t="str">
        <f>Chem!B289</f>
        <v>Dinoseb</v>
      </c>
      <c r="C289" s="2021" t="str">
        <f t="shared" si="145"/>
        <v>na</v>
      </c>
      <c r="D289" s="2022" t="str">
        <f t="shared" si="146"/>
        <v>na</v>
      </c>
      <c r="E289" s="2022" t="str">
        <f t="shared" si="147"/>
        <v>na</v>
      </c>
      <c r="F289" s="2037" t="str">
        <f>'SD-Det'!Z289</f>
        <v>na</v>
      </c>
      <c r="G289" s="2212" t="str">
        <f>'SD-Det'!C289</f>
        <v>no</v>
      </c>
      <c r="H289" s="1820" t="str">
        <f>'SD-Det'!K289</f>
        <v>na</v>
      </c>
      <c r="I289" s="1831" t="str">
        <f>'SD-Det'!M289</f>
        <v>na</v>
      </c>
      <c r="J289" s="1768" t="str">
        <f>'SD-Det'!H289</f>
        <v>na</v>
      </c>
      <c r="K289" s="1768" t="str">
        <f>'SD-Det'!G289</f>
        <v>na</v>
      </c>
      <c r="L289" s="1872" t="str">
        <f>'SD-Det'!Y289</f>
        <v>na</v>
      </c>
      <c r="M289" s="1872" t="str">
        <f>'SD-Det'!U289</f>
        <v>na</v>
      </c>
      <c r="N289" s="2219" t="str">
        <f>'SD-Det'!V289</f>
        <v>na</v>
      </c>
      <c r="O289" s="2006" t="str">
        <f>'SD-Det'!D289</f>
        <v>na</v>
      </c>
      <c r="P289" s="2231" t="s">
        <v>232</v>
      </c>
      <c r="R289" s="1936" t="str">
        <f t="shared" si="148"/>
        <v/>
      </c>
      <c r="S289" s="1937" t="str">
        <f t="shared" si="149"/>
        <v/>
      </c>
      <c r="T289" s="1937" t="str">
        <f t="shared" si="150"/>
        <v/>
      </c>
      <c r="U289" s="1937" t="str">
        <f t="shared" si="151"/>
        <v/>
      </c>
      <c r="V289" s="1937" t="str">
        <f t="shared" si="152"/>
        <v/>
      </c>
      <c r="W289" s="1937" t="str">
        <f t="shared" si="153"/>
        <v/>
      </c>
      <c r="X289" s="1600" t="str">
        <f t="shared" si="154"/>
        <v/>
      </c>
      <c r="Z289" s="1946"/>
    </row>
    <row r="290" spans="1:26" ht="13.9" customHeight="1" x14ac:dyDescent="0.2">
      <c r="A290" s="1916">
        <f>Chem!A290</f>
        <v>288</v>
      </c>
      <c r="B290" s="1953" t="str">
        <f>Chem!B290</f>
        <v>2-Methyl-4-chlorophenoxy acetic acid (MCPA)</v>
      </c>
      <c r="C290" s="2021" t="str">
        <f t="shared" si="145"/>
        <v>na</v>
      </c>
      <c r="D290" s="2022" t="str">
        <f t="shared" si="146"/>
        <v>na</v>
      </c>
      <c r="E290" s="2022" t="str">
        <f t="shared" si="147"/>
        <v>na</v>
      </c>
      <c r="F290" s="2037" t="str">
        <f>'SD-Det'!Z290</f>
        <v>na</v>
      </c>
      <c r="G290" s="2212" t="str">
        <f>'SD-Det'!C290</f>
        <v>no</v>
      </c>
      <c r="H290" s="1820" t="str">
        <f>'SD-Det'!K290</f>
        <v>na</v>
      </c>
      <c r="I290" s="1831" t="str">
        <f>'SD-Det'!M290</f>
        <v>na</v>
      </c>
      <c r="J290" s="1768" t="str">
        <f>'SD-Det'!H290</f>
        <v>na</v>
      </c>
      <c r="K290" s="1768" t="str">
        <f>'SD-Det'!G290</f>
        <v>na</v>
      </c>
      <c r="L290" s="1872" t="str">
        <f>'SD-Det'!Y290</f>
        <v>na</v>
      </c>
      <c r="M290" s="1872" t="str">
        <f>'SD-Det'!U290</f>
        <v>na</v>
      </c>
      <c r="N290" s="2219" t="str">
        <f>'SD-Det'!V290</f>
        <v>na</v>
      </c>
      <c r="O290" s="2006" t="str">
        <f>'SD-Det'!D290</f>
        <v>na</v>
      </c>
      <c r="P290" s="2231" t="s">
        <v>232</v>
      </c>
      <c r="R290" s="1936" t="str">
        <f t="shared" si="148"/>
        <v/>
      </c>
      <c r="S290" s="1937" t="str">
        <f t="shared" si="149"/>
        <v/>
      </c>
      <c r="T290" s="1937" t="str">
        <f t="shared" si="150"/>
        <v/>
      </c>
      <c r="U290" s="1937" t="str">
        <f t="shared" si="151"/>
        <v/>
      </c>
      <c r="V290" s="1937" t="str">
        <f t="shared" si="152"/>
        <v/>
      </c>
      <c r="W290" s="1937" t="str">
        <f t="shared" si="153"/>
        <v/>
      </c>
      <c r="X290" s="1600" t="str">
        <f t="shared" si="154"/>
        <v/>
      </c>
      <c r="Z290" s="1946"/>
    </row>
    <row r="291" spans="1:26" ht="13.9" customHeight="1" thickBot="1" x14ac:dyDescent="0.25">
      <c r="A291" s="1950">
        <f>Chem!A291</f>
        <v>289</v>
      </c>
      <c r="B291" s="1954" t="str">
        <f>Chem!B291</f>
        <v>(2-Methyl-4-chlorophenol)2-propionic acid (MCPP)</v>
      </c>
      <c r="C291" s="2030" t="str">
        <f t="shared" si="145"/>
        <v>na</v>
      </c>
      <c r="D291" s="2031" t="str">
        <f t="shared" si="146"/>
        <v>na</v>
      </c>
      <c r="E291" s="2031" t="str">
        <f t="shared" si="147"/>
        <v>na</v>
      </c>
      <c r="F291" s="2038" t="str">
        <f>'SD-Det'!Z291</f>
        <v>na</v>
      </c>
      <c r="G291" s="2213" t="str">
        <f>'SD-Det'!C291</f>
        <v>no</v>
      </c>
      <c r="H291" s="1825" t="str">
        <f>'SD-Det'!K291</f>
        <v>na</v>
      </c>
      <c r="I291" s="1836" t="str">
        <f>'SD-Det'!M291</f>
        <v>na</v>
      </c>
      <c r="J291" s="1773" t="str">
        <f>'SD-Det'!H291</f>
        <v>na</v>
      </c>
      <c r="K291" s="1773" t="str">
        <f>'SD-Det'!G291</f>
        <v>na</v>
      </c>
      <c r="L291" s="1876" t="str">
        <f>'SD-Det'!Y291</f>
        <v>na</v>
      </c>
      <c r="M291" s="1876" t="str">
        <f>'SD-Det'!U291</f>
        <v>na</v>
      </c>
      <c r="N291" s="2223" t="str">
        <f>'SD-Det'!V291</f>
        <v>na</v>
      </c>
      <c r="O291" s="2010" t="str">
        <f>'SD-Det'!D291</f>
        <v>na</v>
      </c>
      <c r="P291" s="2236" t="s">
        <v>232</v>
      </c>
      <c r="R291" s="1938" t="str">
        <f t="shared" si="148"/>
        <v/>
      </c>
      <c r="S291" s="1939" t="str">
        <f t="shared" si="149"/>
        <v/>
      </c>
      <c r="T291" s="1939" t="str">
        <f t="shared" si="150"/>
        <v/>
      </c>
      <c r="U291" s="1939" t="str">
        <f t="shared" si="151"/>
        <v/>
      </c>
      <c r="V291" s="1939" t="str">
        <f t="shared" si="152"/>
        <v/>
      </c>
      <c r="W291" s="1939" t="str">
        <f t="shared" si="153"/>
        <v/>
      </c>
      <c r="X291" s="1604" t="str">
        <f t="shared" si="154"/>
        <v/>
      </c>
      <c r="Z291" s="1947"/>
    </row>
    <row r="292" spans="1:26" s="1951" customFormat="1" ht="13.9" customHeight="1" thickTop="1" x14ac:dyDescent="0.2">
      <c r="N292" s="2201"/>
      <c r="O292" s="2201"/>
      <c r="P292" s="2201"/>
      <c r="R292" s="2201">
        <f>COUNTIF(R4:R291,"X")</f>
        <v>4</v>
      </c>
      <c r="S292" s="2201">
        <f>COUNTIF(S4:S291,"X")</f>
        <v>11</v>
      </c>
      <c r="T292" s="2201"/>
      <c r="U292" s="2201"/>
      <c r="V292" s="2201"/>
      <c r="W292" s="2201">
        <f>COUNTIF(W4:W291,"X")</f>
        <v>4</v>
      </c>
      <c r="X292" s="2201">
        <f t="shared" ref="X292" si="155">COUNTIF(X4:X291,"X")</f>
        <v>9</v>
      </c>
      <c r="Z292" s="839">
        <f>COUNTA(Z4:Z291)</f>
        <v>0</v>
      </c>
    </row>
  </sheetData>
  <autoFilter ref="A2:AE291" xr:uid="{A15B5B3B-42AA-4067-983F-E75111F5B8BA}"/>
  <mergeCells count="1">
    <mergeCell ref="R1:X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H292"/>
  <sheetViews>
    <sheetView zoomScaleNormal="100" workbookViewId="0">
      <pane xSplit="2" ySplit="2" topLeftCell="C265" activePane="bottomRight" state="frozen"/>
      <selection pane="topRight" activeCell="C1" sqref="C1"/>
      <selection pane="bottomLeft" activeCell="A4" sqref="A4"/>
      <selection pane="bottomRight" activeCell="C269" sqref="C269"/>
    </sheetView>
  </sheetViews>
  <sheetFormatPr defaultColWidth="8.85546875" defaultRowHeight="13.9" customHeight="1" x14ac:dyDescent="0.2"/>
  <cols>
    <col min="1" max="1" width="6.140625" style="167" customWidth="1"/>
    <col min="2" max="2" width="35" style="167" customWidth="1"/>
    <col min="3" max="3" width="11.42578125" style="167" customWidth="1"/>
    <col min="4" max="4" width="20.5703125" style="167" customWidth="1"/>
    <col min="5" max="5" width="16.85546875" style="164" customWidth="1"/>
    <col min="6" max="6" width="20.5703125" style="164" customWidth="1"/>
    <col min="7" max="7" width="3.28515625" style="167" customWidth="1"/>
    <col min="8" max="8" width="13" style="1067" customWidth="1"/>
    <col min="9" max="16384" width="8.85546875" style="167"/>
  </cols>
  <sheetData>
    <row r="1" spans="1:8" s="199" customFormat="1" ht="15.75" thickBot="1" x14ac:dyDescent="0.25">
      <c r="B1" s="52" t="s">
        <v>1688</v>
      </c>
      <c r="C1" s="242"/>
      <c r="D1" s="242"/>
      <c r="E1" s="243"/>
      <c r="F1" s="243"/>
      <c r="H1" s="968"/>
    </row>
    <row r="2" spans="1:8" s="199" customFormat="1" ht="75.75" customHeight="1" thickTop="1" thickBot="1" x14ac:dyDescent="0.25">
      <c r="A2" s="1709" t="s">
        <v>445</v>
      </c>
      <c r="B2" s="1725" t="s">
        <v>647</v>
      </c>
      <c r="C2" s="1726" t="s">
        <v>599</v>
      </c>
      <c r="D2" s="1726" t="s">
        <v>623</v>
      </c>
      <c r="E2" s="1726" t="s">
        <v>600</v>
      </c>
      <c r="F2" s="1726" t="s">
        <v>624</v>
      </c>
      <c r="H2" s="1724" t="s">
        <v>465</v>
      </c>
    </row>
    <row r="3" spans="1:8" ht="13.9" customHeight="1" thickTop="1" x14ac:dyDescent="0.25">
      <c r="A3" s="907">
        <f>Chem!A3</f>
        <v>1</v>
      </c>
      <c r="B3" s="953" t="str">
        <f>Chem!B3</f>
        <v>PCBs</v>
      </c>
      <c r="C3" s="53"/>
      <c r="D3" s="53"/>
      <c r="E3" s="208"/>
      <c r="F3" s="1525"/>
      <c r="H3" s="1061"/>
    </row>
    <row r="4" spans="1:8" ht="13.9" customHeight="1" x14ac:dyDescent="0.25">
      <c r="A4" s="842">
        <f>Chem!A4</f>
        <v>2</v>
      </c>
      <c r="B4" s="964" t="str">
        <f>Chem!B4</f>
        <v>Total PCB Aroclors</v>
      </c>
      <c r="C4" s="959">
        <f>'AR-Det'!F4</f>
        <v>4.3859649122807015E-3</v>
      </c>
      <c r="D4" s="2378" t="s">
        <v>232</v>
      </c>
      <c r="E4" s="1520" t="str">
        <f>'AR-Det'!G4</f>
        <v>na</v>
      </c>
      <c r="F4" s="1599" t="s">
        <v>232</v>
      </c>
      <c r="H4" s="1062"/>
    </row>
    <row r="5" spans="1:8" ht="13.9" customHeight="1" x14ac:dyDescent="0.25">
      <c r="A5" s="842">
        <f>Chem!A5</f>
        <v>3</v>
      </c>
      <c r="B5" s="964" t="str">
        <f>Chem!B5</f>
        <v>Total PCB congeners</v>
      </c>
      <c r="C5" s="959">
        <f>'AR-Det'!F5</f>
        <v>4.3859649122807015E-3</v>
      </c>
      <c r="D5" s="2379" t="s">
        <v>232</v>
      </c>
      <c r="E5" s="1520" t="str">
        <f>'AR-Det'!G5</f>
        <v>na</v>
      </c>
      <c r="F5" s="1600" t="s">
        <v>232</v>
      </c>
      <c r="H5" s="1062"/>
    </row>
    <row r="6" spans="1:8" ht="13.9" customHeight="1" x14ac:dyDescent="0.25">
      <c r="A6" s="842">
        <f>Chem!A6</f>
        <v>4</v>
      </c>
      <c r="B6" s="964" t="str">
        <f>Chem!B6</f>
        <v>Total PCB TEQ</v>
      </c>
      <c r="C6" s="959">
        <f>'AR-Det'!F6</f>
        <v>6.578947368421052E-8</v>
      </c>
      <c r="D6" s="2379" t="s">
        <v>232</v>
      </c>
      <c r="E6" s="1520" t="str">
        <f>'AR-Det'!G6</f>
        <v>na</v>
      </c>
      <c r="F6" s="1601" t="s">
        <v>232</v>
      </c>
      <c r="H6" s="1062"/>
    </row>
    <row r="7" spans="1:8" ht="13.9" customHeight="1" x14ac:dyDescent="0.25">
      <c r="A7" s="906">
        <f>Chem!A7</f>
        <v>5</v>
      </c>
      <c r="B7" s="953" t="str">
        <f>Chem!B7</f>
        <v xml:space="preserve">Dioxins/Furans </v>
      </c>
      <c r="C7" s="28"/>
      <c r="D7" s="28"/>
      <c r="E7" s="54"/>
      <c r="F7" s="1524"/>
      <c r="H7" s="1063"/>
    </row>
    <row r="8" spans="1:8" ht="13.9" customHeight="1" x14ac:dyDescent="0.25">
      <c r="A8" s="844">
        <f>Chem!A8</f>
        <v>6</v>
      </c>
      <c r="B8" s="964" t="str">
        <f>Chem!B8</f>
        <v>Total dioxin/furan TEQ</v>
      </c>
      <c r="C8" s="959">
        <f>'AR-Det'!F8</f>
        <v>6.578947368421052E-8</v>
      </c>
      <c r="D8" s="2379" t="s">
        <v>232</v>
      </c>
      <c r="E8" s="1520" t="str">
        <f>'AR-Det'!G8</f>
        <v>na</v>
      </c>
      <c r="F8" s="1602" t="s">
        <v>232</v>
      </c>
      <c r="H8" s="1062"/>
    </row>
    <row r="9" spans="1:8" ht="13.9" customHeight="1" x14ac:dyDescent="0.25">
      <c r="A9" s="845">
        <f>Chem!A9</f>
        <v>7</v>
      </c>
      <c r="B9" s="964" t="str">
        <f>Chem!B9</f>
        <v>2,3,7,8-TCDD</v>
      </c>
      <c r="C9" s="959">
        <f>'AR-Det'!F9</f>
        <v>6.578947368421052E-8</v>
      </c>
      <c r="D9" s="2379" t="s">
        <v>232</v>
      </c>
      <c r="E9" s="1520" t="str">
        <f>'AR-Det'!G9</f>
        <v>na</v>
      </c>
      <c r="F9" s="1600" t="s">
        <v>232</v>
      </c>
      <c r="H9" s="1062"/>
    </row>
    <row r="10" spans="1:8" ht="13.9" customHeight="1" x14ac:dyDescent="0.2">
      <c r="A10" s="845">
        <f>Chem!A10</f>
        <v>8</v>
      </c>
      <c r="B10" s="964" t="str">
        <f>Chem!B10</f>
        <v>Total chlorinated dioxins</v>
      </c>
      <c r="C10" s="959" t="str">
        <f>'AR-Det'!F10</f>
        <v>na</v>
      </c>
      <c r="D10" s="2379" t="s">
        <v>232</v>
      </c>
      <c r="E10" s="1520" t="str">
        <f>'AR-Det'!G10</f>
        <v>na</v>
      </c>
      <c r="F10" s="1600" t="s">
        <v>232</v>
      </c>
      <c r="H10" s="1064"/>
    </row>
    <row r="11" spans="1:8" ht="13.9" customHeight="1" x14ac:dyDescent="0.2">
      <c r="A11" s="845">
        <f>Chem!A11</f>
        <v>9</v>
      </c>
      <c r="B11" s="964" t="str">
        <f>Chem!B11</f>
        <v>Total chlorinated furans</v>
      </c>
      <c r="C11" s="959" t="str">
        <f>'AR-Det'!F11</f>
        <v>na</v>
      </c>
      <c r="D11" s="2379" t="s">
        <v>232</v>
      </c>
      <c r="E11" s="1520" t="str">
        <f>'AR-Det'!G11</f>
        <v>na</v>
      </c>
      <c r="F11" s="1601" t="s">
        <v>232</v>
      </c>
      <c r="H11" s="1064"/>
    </row>
    <row r="12" spans="1:8" ht="13.5" customHeight="1" x14ac:dyDescent="0.25">
      <c r="A12" s="906">
        <f>Chem!A12</f>
        <v>10</v>
      </c>
      <c r="B12" s="953" t="str">
        <f>Chem!B12</f>
        <v>Inorganics</v>
      </c>
      <c r="C12" s="28"/>
      <c r="D12" s="28"/>
      <c r="E12" s="54"/>
      <c r="F12" s="1524"/>
      <c r="H12" s="1063"/>
    </row>
    <row r="13" spans="1:8" s="144" customFormat="1" ht="13.9" customHeight="1" x14ac:dyDescent="0.25">
      <c r="A13" s="2049">
        <f>Chem!A13</f>
        <v>11</v>
      </c>
      <c r="B13" s="2183" t="str">
        <f>Chem!B13</f>
        <v>Ammonia</v>
      </c>
      <c r="C13" s="1801">
        <f>'AR-Det'!F13</f>
        <v>228.57142857142856</v>
      </c>
      <c r="D13" s="2050" t="s">
        <v>232</v>
      </c>
      <c r="E13" s="1106" t="str">
        <f>'AR-Det'!G13</f>
        <v>na</v>
      </c>
      <c r="F13" s="1798" t="s">
        <v>232</v>
      </c>
      <c r="H13" s="2181"/>
    </row>
    <row r="14" spans="1:8" s="144" customFormat="1" ht="13.9" customHeight="1" x14ac:dyDescent="0.25">
      <c r="A14" s="1914">
        <f>Chem!A14</f>
        <v>12</v>
      </c>
      <c r="B14" s="2184" t="str">
        <f>Chem!B14</f>
        <v>Chloride</v>
      </c>
      <c r="C14" s="339" t="str">
        <f>'AR-Det'!F14</f>
        <v>na</v>
      </c>
      <c r="D14" s="299" t="s">
        <v>232</v>
      </c>
      <c r="E14" s="568" t="str">
        <f>'AR-Det'!G14</f>
        <v>na</v>
      </c>
      <c r="F14" s="1799" t="s">
        <v>232</v>
      </c>
      <c r="H14" s="2181"/>
    </row>
    <row r="15" spans="1:8" ht="13.9" customHeight="1" x14ac:dyDescent="0.2">
      <c r="A15" s="843">
        <f>Chem!A15</f>
        <v>13</v>
      </c>
      <c r="B15" s="963" t="str">
        <f>Chem!B15</f>
        <v>Cyanide (multiple forms, see notes)</v>
      </c>
      <c r="C15" s="1925">
        <f>'AR-Det'!F15</f>
        <v>0.36571428571428571</v>
      </c>
      <c r="D15" s="2380" t="s">
        <v>232</v>
      </c>
      <c r="E15" s="2182" t="str">
        <f>'AR-Det'!G15</f>
        <v>na</v>
      </c>
      <c r="F15" s="1602" t="s">
        <v>232</v>
      </c>
      <c r="H15" s="1064"/>
    </row>
    <row r="16" spans="1:8" ht="13.9" customHeight="1" x14ac:dyDescent="0.2">
      <c r="A16" s="843">
        <f>Chem!A16</f>
        <v>14</v>
      </c>
      <c r="B16" s="964" t="str">
        <f>Chem!B16</f>
        <v>Fluoride</v>
      </c>
      <c r="C16" s="959">
        <f>'AR-Det'!F16</f>
        <v>5.9428571428571431</v>
      </c>
      <c r="D16" s="2379" t="s">
        <v>232</v>
      </c>
      <c r="E16" s="1520" t="str">
        <f>'AR-Det'!G16</f>
        <v>na</v>
      </c>
      <c r="F16" s="1602" t="s">
        <v>232</v>
      </c>
      <c r="H16" s="1064"/>
    </row>
    <row r="17" spans="1:8" ht="13.9" customHeight="1" x14ac:dyDescent="0.2">
      <c r="A17" s="1069">
        <f>Chem!A17</f>
        <v>15</v>
      </c>
      <c r="B17" s="964" t="str">
        <f>Chem!B17</f>
        <v>Nitrate</v>
      </c>
      <c r="C17" s="959" t="str">
        <f>'AR-Det'!F17</f>
        <v>na</v>
      </c>
      <c r="D17" s="2379" t="s">
        <v>232</v>
      </c>
      <c r="E17" s="1520" t="str">
        <f>'AR-Det'!G17</f>
        <v>na</v>
      </c>
      <c r="F17" s="1600" t="s">
        <v>232</v>
      </c>
      <c r="H17" s="1064"/>
    </row>
    <row r="18" spans="1:8" ht="13.9" customHeight="1" x14ac:dyDescent="0.2">
      <c r="A18" s="844">
        <f>Chem!A18</f>
        <v>16</v>
      </c>
      <c r="B18" s="964" t="str">
        <f>Chem!B18</f>
        <v>Nitrite</v>
      </c>
      <c r="C18" s="959" t="str">
        <f>'AR-Det'!F18</f>
        <v>na</v>
      </c>
      <c r="D18" s="2379" t="s">
        <v>232</v>
      </c>
      <c r="E18" s="1520" t="str">
        <f>'AR-Det'!G18</f>
        <v>na</v>
      </c>
      <c r="F18" s="1600" t="s">
        <v>232</v>
      </c>
      <c r="H18" s="1064"/>
    </row>
    <row r="19" spans="1:8" ht="13.9" customHeight="1" x14ac:dyDescent="0.2">
      <c r="A19" s="1321">
        <f>Chem!A19</f>
        <v>17</v>
      </c>
      <c r="B19" s="964" t="str">
        <f>Chem!B19</f>
        <v>Sulfate</v>
      </c>
      <c r="C19" s="1380" t="str">
        <f>'AR-Det'!F19</f>
        <v>na</v>
      </c>
      <c r="D19" s="2381" t="s">
        <v>232</v>
      </c>
      <c r="E19" s="1520" t="str">
        <f>'AR-Det'!G19</f>
        <v>na</v>
      </c>
      <c r="F19" s="1600" t="s">
        <v>232</v>
      </c>
      <c r="H19" s="1064"/>
    </row>
    <row r="20" spans="1:8" ht="13.9" customHeight="1" x14ac:dyDescent="0.2">
      <c r="A20" s="1322">
        <f>Chem!A20</f>
        <v>18</v>
      </c>
      <c r="B20" s="1381" t="str">
        <f>Chem!B20</f>
        <v>Sulfide</v>
      </c>
      <c r="C20" s="1382" t="str">
        <f>'AR-Det'!F20</f>
        <v>na</v>
      </c>
      <c r="D20" s="2382" t="s">
        <v>232</v>
      </c>
      <c r="E20" s="1521" t="str">
        <f>'AR-Det'!G20</f>
        <v>na</v>
      </c>
      <c r="F20" s="1601" t="s">
        <v>232</v>
      </c>
      <c r="H20" s="1064"/>
    </row>
    <row r="21" spans="1:8" ht="13.9" customHeight="1" x14ac:dyDescent="0.25">
      <c r="A21" s="906">
        <f>Chem!A21</f>
        <v>19</v>
      </c>
      <c r="B21" s="953" t="str">
        <f>Chem!B21</f>
        <v>Metals</v>
      </c>
      <c r="C21" s="28"/>
      <c r="D21" s="28"/>
      <c r="E21" s="54"/>
      <c r="F21" s="1524"/>
      <c r="H21" s="1063"/>
    </row>
    <row r="22" spans="1:8" ht="13.9" customHeight="1" x14ac:dyDescent="0.25">
      <c r="A22" s="846">
        <f>Chem!A22</f>
        <v>20</v>
      </c>
      <c r="B22" s="964" t="str">
        <f>Chem!B22</f>
        <v>Aluminum</v>
      </c>
      <c r="C22" s="959">
        <f>'AR-Det'!F22</f>
        <v>2.2857142857142856</v>
      </c>
      <c r="D22" s="2379" t="s">
        <v>232</v>
      </c>
      <c r="E22" s="1520" t="str">
        <f>'AR-Det'!G22</f>
        <v>na</v>
      </c>
      <c r="F22" s="1602" t="s">
        <v>232</v>
      </c>
      <c r="H22" s="1062"/>
    </row>
    <row r="23" spans="1:8" ht="13.9" customHeight="1" x14ac:dyDescent="0.25">
      <c r="A23" s="847">
        <f>Chem!A23</f>
        <v>21</v>
      </c>
      <c r="B23" s="964" t="str">
        <f>Chem!B23</f>
        <v>Antimony</v>
      </c>
      <c r="C23" s="959">
        <f>'AR-Det'!F23</f>
        <v>0.13714285714285712</v>
      </c>
      <c r="D23" s="2379" t="s">
        <v>232</v>
      </c>
      <c r="E23" s="1520" t="str">
        <f>'AR-Det'!G23</f>
        <v>na</v>
      </c>
      <c r="F23" s="1600" t="s">
        <v>232</v>
      </c>
      <c r="H23" s="1062"/>
    </row>
    <row r="24" spans="1:8" ht="13.9" customHeight="1" x14ac:dyDescent="0.25">
      <c r="A24" s="847">
        <f>Chem!A24</f>
        <v>22</v>
      </c>
      <c r="B24" s="964" t="str">
        <f>Chem!B24</f>
        <v>Arsenic</v>
      </c>
      <c r="C24" s="960">
        <f>'AR-Det'!F24</f>
        <v>5.8139534883720919E-4</v>
      </c>
      <c r="D24" s="2383" t="s">
        <v>232</v>
      </c>
      <c r="E24" s="1520" t="str">
        <f>'AR-Det'!G24</f>
        <v>na</v>
      </c>
      <c r="F24" s="1600" t="s">
        <v>232</v>
      </c>
      <c r="H24" s="1062"/>
    </row>
    <row r="25" spans="1:8" ht="13.9" customHeight="1" x14ac:dyDescent="0.25">
      <c r="A25" s="847">
        <f>Chem!A25</f>
        <v>23</v>
      </c>
      <c r="B25" s="964" t="str">
        <f>Chem!B25</f>
        <v>Barium</v>
      </c>
      <c r="C25" s="959">
        <f>'AR-Det'!F25</f>
        <v>0.22857142857142859</v>
      </c>
      <c r="D25" s="2379" t="s">
        <v>232</v>
      </c>
      <c r="E25" s="1520" t="str">
        <f>'AR-Det'!G25</f>
        <v>na</v>
      </c>
      <c r="F25" s="1600" t="s">
        <v>232</v>
      </c>
      <c r="H25" s="1062"/>
    </row>
    <row r="26" spans="1:8" ht="13.9" customHeight="1" x14ac:dyDescent="0.25">
      <c r="A26" s="847">
        <f>Chem!A26</f>
        <v>24</v>
      </c>
      <c r="B26" s="964" t="str">
        <f>Chem!B26</f>
        <v>Beryllium</v>
      </c>
      <c r="C26" s="960">
        <f>'AR-Det'!F26</f>
        <v>1.0416666666666667E-3</v>
      </c>
      <c r="D26" s="2383" t="s">
        <v>232</v>
      </c>
      <c r="E26" s="1520" t="str">
        <f>'AR-Det'!G26</f>
        <v>na</v>
      </c>
      <c r="F26" s="1600" t="s">
        <v>232</v>
      </c>
      <c r="H26" s="1062"/>
    </row>
    <row r="27" spans="1:8" ht="13.9" customHeight="1" x14ac:dyDescent="0.25">
      <c r="A27" s="847">
        <f>Chem!A27</f>
        <v>25</v>
      </c>
      <c r="B27" s="964" t="str">
        <f>Chem!B27</f>
        <v>Cadmium</v>
      </c>
      <c r="C27" s="960">
        <f>'AR-Det'!F27</f>
        <v>1.3888888888888887E-3</v>
      </c>
      <c r="D27" s="2383" t="s">
        <v>232</v>
      </c>
      <c r="E27" s="1520" t="str">
        <f>'AR-Det'!G27</f>
        <v>na</v>
      </c>
      <c r="F27" s="1600" t="s">
        <v>232</v>
      </c>
      <c r="H27" s="1062"/>
    </row>
    <row r="28" spans="1:8" ht="13.9" customHeight="1" x14ac:dyDescent="0.25">
      <c r="A28" s="847">
        <f>Chem!A28</f>
        <v>26</v>
      </c>
      <c r="B28" s="964" t="str">
        <f>Chem!B28</f>
        <v>Chromium, total</v>
      </c>
      <c r="C28" s="960" t="str">
        <f>'AR-Det'!F28</f>
        <v>na</v>
      </c>
      <c r="D28" s="2383" t="s">
        <v>232</v>
      </c>
      <c r="E28" s="1520" t="str">
        <f>'AR-Det'!G28</f>
        <v>na</v>
      </c>
      <c r="F28" s="1600" t="s">
        <v>232</v>
      </c>
      <c r="H28" s="1062"/>
    </row>
    <row r="29" spans="1:8" ht="13.9" customHeight="1" x14ac:dyDescent="0.25">
      <c r="A29" s="847">
        <f>Chem!A29</f>
        <v>27</v>
      </c>
      <c r="B29" s="964" t="str">
        <f>Chem!B29</f>
        <v>Chromium, trivalent</v>
      </c>
      <c r="C29" s="959" t="str">
        <f>'AR-Det'!F29</f>
        <v>na</v>
      </c>
      <c r="D29" s="2379" t="s">
        <v>232</v>
      </c>
      <c r="E29" s="1520" t="str">
        <f>'AR-Det'!G29</f>
        <v>na</v>
      </c>
      <c r="F29" s="1600" t="s">
        <v>232</v>
      </c>
      <c r="H29" s="1062"/>
    </row>
    <row r="30" spans="1:8" ht="13.9" customHeight="1" x14ac:dyDescent="0.25">
      <c r="A30" s="847">
        <f>Chem!A30</f>
        <v>28</v>
      </c>
      <c r="B30" s="964" t="str">
        <f>Chem!B30</f>
        <v>Chromium, hexavalent</v>
      </c>
      <c r="C30" s="960">
        <f>'AR-Det'!F30</f>
        <v>6.0000000000000002E-5</v>
      </c>
      <c r="D30" s="2383" t="s">
        <v>232</v>
      </c>
      <c r="E30" s="1520" t="str">
        <f>'AR-Det'!G30</f>
        <v>na</v>
      </c>
      <c r="F30" s="1600" t="s">
        <v>232</v>
      </c>
      <c r="H30" s="1062"/>
    </row>
    <row r="31" spans="1:8" ht="13.9" customHeight="1" x14ac:dyDescent="0.25">
      <c r="A31" s="847">
        <f>Chem!A31</f>
        <v>29</v>
      </c>
      <c r="B31" s="964" t="str">
        <f>Chem!B31</f>
        <v>Cobalt</v>
      </c>
      <c r="C31" s="959">
        <f>'AR-Det'!F31</f>
        <v>2.7777777777777772E-4</v>
      </c>
      <c r="D31" s="2379" t="s">
        <v>232</v>
      </c>
      <c r="E31" s="1520" t="str">
        <f>'AR-Det'!G31</f>
        <v>na</v>
      </c>
      <c r="F31" s="1600" t="s">
        <v>232</v>
      </c>
      <c r="H31" s="1062"/>
    </row>
    <row r="32" spans="1:8" ht="13.9" customHeight="1" x14ac:dyDescent="0.25">
      <c r="A32" s="847">
        <f>Chem!A32</f>
        <v>30</v>
      </c>
      <c r="B32" s="964" t="str">
        <f>Chem!B32</f>
        <v>Copper</v>
      </c>
      <c r="C32" s="959" t="str">
        <f>'AR-Det'!F32</f>
        <v>na</v>
      </c>
      <c r="D32" s="2379" t="s">
        <v>232</v>
      </c>
      <c r="E32" s="1520" t="str">
        <f>'AR-Det'!G32</f>
        <v>na</v>
      </c>
      <c r="F32" s="1600" t="s">
        <v>232</v>
      </c>
      <c r="H32" s="1062"/>
    </row>
    <row r="33" spans="1:8" ht="13.9" customHeight="1" x14ac:dyDescent="0.25">
      <c r="A33" s="847">
        <f>Chem!A33</f>
        <v>31</v>
      </c>
      <c r="B33" s="964" t="str">
        <f>Chem!B33</f>
        <v>Iron</v>
      </c>
      <c r="C33" s="959" t="str">
        <f>'AR-Det'!F33</f>
        <v>na</v>
      </c>
      <c r="D33" s="2379" t="s">
        <v>232</v>
      </c>
      <c r="E33" s="1520" t="str">
        <f>'AR-Det'!G33</f>
        <v>na</v>
      </c>
      <c r="F33" s="1600" t="s">
        <v>232</v>
      </c>
      <c r="H33" s="1062"/>
    </row>
    <row r="34" spans="1:8" ht="13.9" customHeight="1" x14ac:dyDescent="0.25">
      <c r="A34" s="847">
        <f>Chem!A34</f>
        <v>32</v>
      </c>
      <c r="B34" s="964" t="str">
        <f>Chem!B34</f>
        <v>Lead</v>
      </c>
      <c r="C34" s="959" t="str">
        <f>'AR-Det'!F34</f>
        <v>na</v>
      </c>
      <c r="D34" s="2379" t="s">
        <v>232</v>
      </c>
      <c r="E34" s="1520" t="str">
        <f>'AR-Det'!G34</f>
        <v>na</v>
      </c>
      <c r="F34" s="1600" t="s">
        <v>232</v>
      </c>
      <c r="H34" s="1062"/>
    </row>
    <row r="35" spans="1:8" ht="13.9" customHeight="1" x14ac:dyDescent="0.25">
      <c r="A35" s="847">
        <f>Chem!A35</f>
        <v>33</v>
      </c>
      <c r="B35" s="964" t="str">
        <f>Chem!B35</f>
        <v>Manganese</v>
      </c>
      <c r="C35" s="959">
        <f>'AR-Det'!F35</f>
        <v>2.2857142857142857E-2</v>
      </c>
      <c r="D35" s="2379" t="s">
        <v>232</v>
      </c>
      <c r="E35" s="1520" t="str">
        <f>'AR-Det'!G35</f>
        <v>na</v>
      </c>
      <c r="F35" s="1600" t="s">
        <v>232</v>
      </c>
      <c r="H35" s="1062"/>
    </row>
    <row r="36" spans="1:8" ht="13.9" customHeight="1" x14ac:dyDescent="0.25">
      <c r="A36" s="847">
        <f>Chem!A36</f>
        <v>34</v>
      </c>
      <c r="B36" s="964" t="str">
        <f>Chem!B36</f>
        <v>Mercury, inorganic</v>
      </c>
      <c r="C36" s="959">
        <f>'AR-Det'!F36</f>
        <v>0.13714285714285709</v>
      </c>
      <c r="D36" s="2379" t="s">
        <v>232</v>
      </c>
      <c r="E36" s="1520">
        <f>'AR-Det'!G36</f>
        <v>4.5714285714285703</v>
      </c>
      <c r="F36" s="1600" t="s">
        <v>232</v>
      </c>
      <c r="H36" s="1062"/>
    </row>
    <row r="37" spans="1:8" ht="13.9" customHeight="1" x14ac:dyDescent="0.25">
      <c r="A37" s="847">
        <f>Chem!A37</f>
        <v>35</v>
      </c>
      <c r="B37" s="964" t="str">
        <f>Chem!B37</f>
        <v>Methylmercury</v>
      </c>
      <c r="C37" s="959" t="str">
        <f>'AR-Det'!F37</f>
        <v>na</v>
      </c>
      <c r="D37" s="2379" t="s">
        <v>232</v>
      </c>
      <c r="E37" s="1520" t="str">
        <f>'AR-Det'!G37</f>
        <v>na</v>
      </c>
      <c r="F37" s="1600" t="s">
        <v>232</v>
      </c>
      <c r="H37" s="1062"/>
    </row>
    <row r="38" spans="1:8" ht="13.9" customHeight="1" x14ac:dyDescent="0.25">
      <c r="A38" s="847">
        <f>Chem!A38</f>
        <v>36</v>
      </c>
      <c r="B38" s="964" t="str">
        <f>Chem!B38</f>
        <v>Molybdenum</v>
      </c>
      <c r="C38" s="959">
        <f>'AR-Det'!F38</f>
        <v>0.91428571428571437</v>
      </c>
      <c r="D38" s="2379" t="s">
        <v>232</v>
      </c>
      <c r="E38" s="1520" t="str">
        <f>'AR-Det'!G38</f>
        <v>na</v>
      </c>
      <c r="F38" s="1600" t="s">
        <v>232</v>
      </c>
      <c r="H38" s="1062"/>
    </row>
    <row r="39" spans="1:8" ht="13.9" customHeight="1" x14ac:dyDescent="0.25">
      <c r="A39" s="847">
        <f>Chem!A39</f>
        <v>37</v>
      </c>
      <c r="B39" s="964" t="str">
        <f>Chem!B39</f>
        <v>Nickel</v>
      </c>
      <c r="C39" s="960">
        <f>'AR-Det'!F39</f>
        <v>6.3999999999999994E-3</v>
      </c>
      <c r="D39" s="2383" t="s">
        <v>232</v>
      </c>
      <c r="E39" s="1520" t="str">
        <f>'AR-Det'!G39</f>
        <v>na</v>
      </c>
      <c r="F39" s="1600" t="s">
        <v>232</v>
      </c>
      <c r="H39" s="1062"/>
    </row>
    <row r="40" spans="1:8" ht="13.9" customHeight="1" x14ac:dyDescent="0.25">
      <c r="A40" s="847">
        <f>Chem!A40</f>
        <v>38</v>
      </c>
      <c r="B40" s="964" t="str">
        <f>Chem!B40</f>
        <v>Selenium</v>
      </c>
      <c r="C40" s="959">
        <f>'AR-Det'!F40</f>
        <v>9.1428571428571423</v>
      </c>
      <c r="D40" s="2379" t="s">
        <v>232</v>
      </c>
      <c r="E40" s="1520" t="str">
        <f>'AR-Det'!G40</f>
        <v>na</v>
      </c>
      <c r="F40" s="1600" t="s">
        <v>232</v>
      </c>
      <c r="H40" s="1062"/>
    </row>
    <row r="41" spans="1:8" ht="13.9" customHeight="1" x14ac:dyDescent="0.25">
      <c r="A41" s="847">
        <f>Chem!A41</f>
        <v>39</v>
      </c>
      <c r="B41" s="964" t="str">
        <f>Chem!B41</f>
        <v>Silver</v>
      </c>
      <c r="C41" s="959" t="str">
        <f>'AR-Det'!F41</f>
        <v>na</v>
      </c>
      <c r="D41" s="2379" t="s">
        <v>232</v>
      </c>
      <c r="E41" s="1520" t="str">
        <f>'AR-Det'!G41</f>
        <v>na</v>
      </c>
      <c r="F41" s="1600" t="s">
        <v>232</v>
      </c>
      <c r="H41" s="1062"/>
    </row>
    <row r="42" spans="1:8" ht="13.9" customHeight="1" x14ac:dyDescent="0.25">
      <c r="A42" s="847">
        <f>Chem!A42</f>
        <v>40</v>
      </c>
      <c r="B42" s="964" t="str">
        <f>Chem!B42</f>
        <v>Thallium</v>
      </c>
      <c r="C42" s="959" t="str">
        <f>'AR-Det'!F42</f>
        <v>na</v>
      </c>
      <c r="D42" s="2379" t="s">
        <v>232</v>
      </c>
      <c r="E42" s="1520" t="str">
        <f>'AR-Det'!G42</f>
        <v>na</v>
      </c>
      <c r="F42" s="1600" t="s">
        <v>232</v>
      </c>
      <c r="H42" s="1062"/>
    </row>
    <row r="43" spans="1:8" ht="13.9" customHeight="1" x14ac:dyDescent="0.25">
      <c r="A43" s="847">
        <f>Chem!A43</f>
        <v>41</v>
      </c>
      <c r="B43" s="964" t="str">
        <f>Chem!B43</f>
        <v>Tin</v>
      </c>
      <c r="C43" s="959" t="str">
        <f>'AR-Det'!F43</f>
        <v>na</v>
      </c>
      <c r="D43" s="2379" t="s">
        <v>232</v>
      </c>
      <c r="E43" s="1520" t="str">
        <f>'AR-Det'!G43</f>
        <v>na</v>
      </c>
      <c r="F43" s="1600" t="s">
        <v>232</v>
      </c>
      <c r="H43" s="1062"/>
    </row>
    <row r="44" spans="1:8" ht="13.9" customHeight="1" x14ac:dyDescent="0.25">
      <c r="A44" s="847">
        <f>Chem!A44</f>
        <v>42</v>
      </c>
      <c r="B44" s="964" t="str">
        <f>Chem!B44</f>
        <v>Vanadium</v>
      </c>
      <c r="C44" s="959">
        <f>'AR-Det'!F44</f>
        <v>4.5714285714285714E-2</v>
      </c>
      <c r="D44" s="2379" t="s">
        <v>232</v>
      </c>
      <c r="E44" s="1520" t="str">
        <f>'AR-Det'!G44</f>
        <v>na</v>
      </c>
      <c r="F44" s="1600" t="s">
        <v>232</v>
      </c>
      <c r="H44" s="1062"/>
    </row>
    <row r="45" spans="1:8" ht="13.9" customHeight="1" x14ac:dyDescent="0.25">
      <c r="A45" s="844">
        <f>Chem!A45</f>
        <v>43</v>
      </c>
      <c r="B45" s="964" t="str">
        <f>Chem!B45</f>
        <v>Zinc</v>
      </c>
      <c r="C45" s="959" t="str">
        <f>'AR-Det'!F45</f>
        <v>na</v>
      </c>
      <c r="D45" s="2379" t="s">
        <v>232</v>
      </c>
      <c r="E45" s="1520" t="str">
        <f>'AR-Det'!G45</f>
        <v>na</v>
      </c>
      <c r="F45" s="1601" t="s">
        <v>232</v>
      </c>
      <c r="H45" s="1062"/>
    </row>
    <row r="46" spans="1:8" ht="13.9" customHeight="1" x14ac:dyDescent="0.25">
      <c r="A46" s="906">
        <f>Chem!A46</f>
        <v>44</v>
      </c>
      <c r="B46" s="953" t="str">
        <f>Chem!B46</f>
        <v>Metals - Butyltins</v>
      </c>
      <c r="C46" s="28"/>
      <c r="D46" s="28"/>
      <c r="E46" s="54"/>
      <c r="F46" s="1524"/>
      <c r="H46" s="1063"/>
    </row>
    <row r="47" spans="1:8" ht="13.9" customHeight="1" x14ac:dyDescent="0.25">
      <c r="A47" s="847">
        <f>Chem!A47</f>
        <v>45</v>
      </c>
      <c r="B47" s="964" t="str">
        <f>Chem!B47</f>
        <v>Monobutyltin</v>
      </c>
      <c r="C47" s="959" t="str">
        <f>'AR-Det'!F47</f>
        <v>na</v>
      </c>
      <c r="D47" s="2379" t="s">
        <v>232</v>
      </c>
      <c r="E47" s="1520" t="str">
        <f>'AR-Det'!G47</f>
        <v>na</v>
      </c>
      <c r="F47" s="1602" t="s">
        <v>232</v>
      </c>
      <c r="H47" s="1062"/>
    </row>
    <row r="48" spans="1:8" ht="13.9" customHeight="1" x14ac:dyDescent="0.25">
      <c r="A48" s="847">
        <f>Chem!A48</f>
        <v>46</v>
      </c>
      <c r="B48" s="964" t="str">
        <f>Chem!B48</f>
        <v>Dibutyltin</v>
      </c>
      <c r="C48" s="959" t="str">
        <f>'AR-Det'!F48</f>
        <v>na</v>
      </c>
      <c r="D48" s="2379" t="s">
        <v>232</v>
      </c>
      <c r="E48" s="1520" t="str">
        <f>'AR-Det'!G48</f>
        <v>na</v>
      </c>
      <c r="F48" s="1600" t="s">
        <v>232</v>
      </c>
      <c r="H48" s="1062"/>
    </row>
    <row r="49" spans="1:8" ht="13.9" customHeight="1" x14ac:dyDescent="0.25">
      <c r="A49" s="847">
        <f>Chem!A49</f>
        <v>47</v>
      </c>
      <c r="B49" s="964" t="str">
        <f>Chem!B49</f>
        <v>Tributyl tin</v>
      </c>
      <c r="C49" s="959" t="str">
        <f>'AR-Det'!F49</f>
        <v>na</v>
      </c>
      <c r="D49" s="2379" t="s">
        <v>232</v>
      </c>
      <c r="E49" s="1520" t="str">
        <f>'AR-Det'!G49</f>
        <v>na</v>
      </c>
      <c r="F49" s="1600" t="s">
        <v>232</v>
      </c>
      <c r="H49" s="1062"/>
    </row>
    <row r="50" spans="1:8" ht="13.9" customHeight="1" x14ac:dyDescent="0.25">
      <c r="A50" s="847">
        <f>Chem!A50</f>
        <v>48</v>
      </c>
      <c r="B50" s="964" t="str">
        <f>Chem!B50</f>
        <v>Tributyltin oxide</v>
      </c>
      <c r="C50" s="959" t="str">
        <f>'AR-Det'!F50</f>
        <v>na</v>
      </c>
      <c r="D50" s="2379" t="s">
        <v>232</v>
      </c>
      <c r="E50" s="1520" t="str">
        <f>'AR-Det'!G50</f>
        <v>na</v>
      </c>
      <c r="F50" s="1600" t="s">
        <v>232</v>
      </c>
      <c r="H50" s="1062"/>
    </row>
    <row r="51" spans="1:8" ht="13.9" customHeight="1" x14ac:dyDescent="0.25">
      <c r="A51" s="847">
        <f>Chem!A51</f>
        <v>49</v>
      </c>
      <c r="B51" s="964" t="str">
        <f>Chem!B51</f>
        <v>Tetrabutyltin</v>
      </c>
      <c r="C51" s="959" t="str">
        <f>'AR-Det'!F51</f>
        <v>na</v>
      </c>
      <c r="D51" s="2379" t="s">
        <v>232</v>
      </c>
      <c r="E51" s="1520" t="str">
        <f>'AR-Det'!G51</f>
        <v>na</v>
      </c>
      <c r="F51" s="1601" t="s">
        <v>232</v>
      </c>
      <c r="H51" s="1062"/>
    </row>
    <row r="52" spans="1:8" ht="13.9" customHeight="1" x14ac:dyDescent="0.25">
      <c r="A52" s="906">
        <f>Chem!A52</f>
        <v>50</v>
      </c>
      <c r="B52" s="953" t="str">
        <f>Chem!B52</f>
        <v>SVOCs - PAHs</v>
      </c>
      <c r="C52" s="28"/>
      <c r="D52" s="28"/>
      <c r="E52" s="54"/>
      <c r="F52" s="1524"/>
      <c r="H52" s="1063"/>
    </row>
    <row r="53" spans="1:8" ht="13.9" customHeight="1" x14ac:dyDescent="0.25">
      <c r="A53" s="846">
        <f>Chem!A53</f>
        <v>51</v>
      </c>
      <c r="B53" s="964" t="str">
        <f>Chem!B53</f>
        <v>Acenaphthene</v>
      </c>
      <c r="C53" s="959" t="str">
        <f>'AR-Det'!F53</f>
        <v>na</v>
      </c>
      <c r="D53" s="2379" t="s">
        <v>232</v>
      </c>
      <c r="E53" s="1520" t="str">
        <f>'AR-Det'!G53</f>
        <v>na</v>
      </c>
      <c r="F53" s="1602" t="s">
        <v>232</v>
      </c>
      <c r="H53" s="1062"/>
    </row>
    <row r="54" spans="1:8" ht="13.9" customHeight="1" x14ac:dyDescent="0.25">
      <c r="A54" s="847">
        <f>Chem!A54</f>
        <v>52</v>
      </c>
      <c r="B54" s="964" t="str">
        <f>Chem!B54</f>
        <v>Acenaphthylene</v>
      </c>
      <c r="C54" s="959" t="str">
        <f>'AR-Det'!F54</f>
        <v>na</v>
      </c>
      <c r="D54" s="2379" t="s">
        <v>232</v>
      </c>
      <c r="E54" s="1520" t="str">
        <f>'AR-Det'!G54</f>
        <v>na</v>
      </c>
      <c r="F54" s="1600" t="s">
        <v>232</v>
      </c>
      <c r="H54" s="1062"/>
    </row>
    <row r="55" spans="1:8" ht="13.9" customHeight="1" x14ac:dyDescent="0.25">
      <c r="A55" s="847">
        <f>Chem!A55</f>
        <v>53</v>
      </c>
      <c r="B55" s="964" t="str">
        <f>Chem!B55</f>
        <v>Anthracene</v>
      </c>
      <c r="C55" s="959" t="str">
        <f>'AR-Det'!F55</f>
        <v>na</v>
      </c>
      <c r="D55" s="2379" t="s">
        <v>232</v>
      </c>
      <c r="E55" s="1520" t="str">
        <f>'AR-Det'!G55</f>
        <v>na</v>
      </c>
      <c r="F55" s="1600" t="s">
        <v>232</v>
      </c>
      <c r="H55" s="1062"/>
    </row>
    <row r="56" spans="1:8" ht="13.9" customHeight="1" x14ac:dyDescent="0.25">
      <c r="A56" s="847">
        <f>Chem!A56</f>
        <v>54</v>
      </c>
      <c r="B56" s="964" t="str">
        <f>Chem!B56</f>
        <v>Benzo(a)anthracene</v>
      </c>
      <c r="C56" s="959" t="str">
        <f>'AR-Det'!F56</f>
        <v>na</v>
      </c>
      <c r="D56" s="2379" t="s">
        <v>232</v>
      </c>
      <c r="E56" s="1520" t="str">
        <f>'AR-Det'!G56</f>
        <v>na</v>
      </c>
      <c r="F56" s="1600" t="s">
        <v>232</v>
      </c>
      <c r="H56" s="1062"/>
    </row>
    <row r="57" spans="1:8" ht="13.9" customHeight="1" x14ac:dyDescent="0.25">
      <c r="A57" s="847">
        <f>Chem!A57</f>
        <v>55</v>
      </c>
      <c r="B57" s="964" t="str">
        <f>Chem!B57</f>
        <v>Benzo(b)fluoranthene</v>
      </c>
      <c r="C57" s="959" t="str">
        <f>'AR-Det'!F57</f>
        <v>na</v>
      </c>
      <c r="D57" s="2379" t="s">
        <v>232</v>
      </c>
      <c r="E57" s="1520" t="str">
        <f>'AR-Det'!G57</f>
        <v>na</v>
      </c>
      <c r="F57" s="1600" t="s">
        <v>232</v>
      </c>
      <c r="H57" s="1062"/>
    </row>
    <row r="58" spans="1:8" ht="13.9" customHeight="1" x14ac:dyDescent="0.25">
      <c r="A58" s="847">
        <f>Chem!A58</f>
        <v>56</v>
      </c>
      <c r="B58" s="964" t="str">
        <f>Chem!B58</f>
        <v>Benzo(k)fluoranthene</v>
      </c>
      <c r="C58" s="959" t="str">
        <f>'AR-Det'!F58</f>
        <v>na</v>
      </c>
      <c r="D58" s="2379" t="s">
        <v>232</v>
      </c>
      <c r="E58" s="1520" t="str">
        <f>'AR-Det'!G58</f>
        <v>na</v>
      </c>
      <c r="F58" s="1600" t="s">
        <v>232</v>
      </c>
      <c r="H58" s="1062"/>
    </row>
    <row r="59" spans="1:8" ht="13.9" customHeight="1" x14ac:dyDescent="0.25">
      <c r="A59" s="847">
        <f>Chem!A59</f>
        <v>57</v>
      </c>
      <c r="B59" s="964" t="str">
        <f>Chem!B59</f>
        <v>Total benzofluoranthenes</v>
      </c>
      <c r="C59" s="959" t="str">
        <f>'AR-Det'!F59</f>
        <v>na</v>
      </c>
      <c r="D59" s="2379" t="s">
        <v>232</v>
      </c>
      <c r="E59" s="1520" t="str">
        <f>'AR-Det'!G59</f>
        <v>na</v>
      </c>
      <c r="F59" s="1600" t="s">
        <v>232</v>
      </c>
      <c r="H59" s="1062"/>
    </row>
    <row r="60" spans="1:8" ht="13.9" customHeight="1" x14ac:dyDescent="0.25">
      <c r="A60" s="847">
        <f>Chem!A60</f>
        <v>58</v>
      </c>
      <c r="B60" s="964" t="str">
        <f>Chem!B60</f>
        <v>Benzo(g,h,i)perylene</v>
      </c>
      <c r="C60" s="959" t="str">
        <f>'AR-Det'!F60</f>
        <v>na</v>
      </c>
      <c r="D60" s="2379" t="s">
        <v>232</v>
      </c>
      <c r="E60" s="1520" t="str">
        <f>'AR-Det'!G60</f>
        <v>na</v>
      </c>
      <c r="F60" s="1600" t="s">
        <v>232</v>
      </c>
      <c r="H60" s="1062"/>
    </row>
    <row r="61" spans="1:8" ht="13.9" customHeight="1" x14ac:dyDescent="0.25">
      <c r="A61" s="847">
        <f>Chem!A61</f>
        <v>59</v>
      </c>
      <c r="B61" s="964" t="str">
        <f>Chem!B61</f>
        <v>Benzo(a)pyrene</v>
      </c>
      <c r="C61" s="959" t="str">
        <f>'AR-Det'!F61</f>
        <v>na</v>
      </c>
      <c r="D61" s="2379" t="s">
        <v>232</v>
      </c>
      <c r="E61" s="1520" t="str">
        <f>'AR-Det'!G61</f>
        <v>na</v>
      </c>
      <c r="F61" s="1600" t="s">
        <v>232</v>
      </c>
      <c r="H61" s="1062"/>
    </row>
    <row r="62" spans="1:8" ht="13.9" customHeight="1" x14ac:dyDescent="0.25">
      <c r="A62" s="847">
        <f>Chem!A62</f>
        <v>60</v>
      </c>
      <c r="B62" s="964" t="str">
        <f>Chem!B62</f>
        <v>Chrysene</v>
      </c>
      <c r="C62" s="959" t="str">
        <f>'AR-Det'!F62</f>
        <v>na</v>
      </c>
      <c r="D62" s="2379" t="s">
        <v>232</v>
      </c>
      <c r="E62" s="1520" t="str">
        <f>'AR-Det'!G62</f>
        <v>na</v>
      </c>
      <c r="F62" s="1600" t="s">
        <v>232</v>
      </c>
      <c r="H62" s="1062"/>
    </row>
    <row r="63" spans="1:8" ht="13.9" customHeight="1" x14ac:dyDescent="0.25">
      <c r="A63" s="847">
        <f>Chem!A63</f>
        <v>61</v>
      </c>
      <c r="B63" s="964" t="str">
        <f>Chem!B63</f>
        <v>Dibenz(a,h)anthracene</v>
      </c>
      <c r="C63" s="959" t="str">
        <f>'AR-Det'!F63</f>
        <v>na</v>
      </c>
      <c r="D63" s="2379" t="s">
        <v>232</v>
      </c>
      <c r="E63" s="1520" t="str">
        <f>'AR-Det'!G63</f>
        <v>na</v>
      </c>
      <c r="F63" s="1600" t="s">
        <v>232</v>
      </c>
      <c r="H63" s="1062"/>
    </row>
    <row r="64" spans="1:8" ht="13.9" customHeight="1" x14ac:dyDescent="0.25">
      <c r="A64" s="847">
        <f>Chem!A64</f>
        <v>62</v>
      </c>
      <c r="B64" s="964" t="str">
        <f>Chem!B64</f>
        <v>Dibenzofuran</v>
      </c>
      <c r="C64" s="959" t="str">
        <f>'AR-Det'!F64</f>
        <v>na</v>
      </c>
      <c r="D64" s="2379" t="s">
        <v>232</v>
      </c>
      <c r="E64" s="1520" t="str">
        <f>'AR-Det'!G64</f>
        <v>na</v>
      </c>
      <c r="F64" s="1600" t="s">
        <v>232</v>
      </c>
      <c r="H64" s="1062"/>
    </row>
    <row r="65" spans="1:8" ht="13.9" customHeight="1" x14ac:dyDescent="0.25">
      <c r="A65" s="847">
        <f>Chem!A65</f>
        <v>63</v>
      </c>
      <c r="B65" s="964" t="str">
        <f>Chem!B65</f>
        <v>Fluoranthene</v>
      </c>
      <c r="C65" s="959" t="str">
        <f>'AR-Det'!F65</f>
        <v>na</v>
      </c>
      <c r="D65" s="2379" t="s">
        <v>232</v>
      </c>
      <c r="E65" s="1520" t="str">
        <f>'AR-Det'!G65</f>
        <v>na</v>
      </c>
      <c r="F65" s="1600" t="s">
        <v>232</v>
      </c>
      <c r="H65" s="1062"/>
    </row>
    <row r="66" spans="1:8" ht="13.9" customHeight="1" x14ac:dyDescent="0.25">
      <c r="A66" s="847">
        <f>Chem!A66</f>
        <v>64</v>
      </c>
      <c r="B66" s="964" t="str">
        <f>Chem!B66</f>
        <v>Fluorene</v>
      </c>
      <c r="C66" s="959" t="str">
        <f>'AR-Det'!F66</f>
        <v>na</v>
      </c>
      <c r="D66" s="2379" t="s">
        <v>232</v>
      </c>
      <c r="E66" s="1520" t="str">
        <f>'AR-Det'!G66</f>
        <v>na</v>
      </c>
      <c r="F66" s="1600" t="s">
        <v>232</v>
      </c>
      <c r="H66" s="1062"/>
    </row>
    <row r="67" spans="1:8" ht="13.9" customHeight="1" x14ac:dyDescent="0.25">
      <c r="A67" s="847">
        <f>Chem!A67</f>
        <v>65</v>
      </c>
      <c r="B67" s="964" t="str">
        <f>Chem!B67</f>
        <v>Indeno(1,2,3-cd)pyrene</v>
      </c>
      <c r="C67" s="959" t="str">
        <f>'AR-Det'!F67</f>
        <v>na</v>
      </c>
      <c r="D67" s="2379" t="s">
        <v>232</v>
      </c>
      <c r="E67" s="1520" t="str">
        <f>'AR-Det'!G67</f>
        <v>na</v>
      </c>
      <c r="F67" s="1600" t="s">
        <v>232</v>
      </c>
      <c r="H67" s="1062"/>
    </row>
    <row r="68" spans="1:8" ht="13.9" customHeight="1" x14ac:dyDescent="0.25">
      <c r="A68" s="847">
        <f>Chem!A68</f>
        <v>66</v>
      </c>
      <c r="B68" s="964" t="str">
        <f>Chem!B68</f>
        <v>Methyl isopropyl phenanthrene (retene)</v>
      </c>
      <c r="C68" s="959" t="str">
        <f>'AR-Det'!F68</f>
        <v>na</v>
      </c>
      <c r="D68" s="2379" t="s">
        <v>232</v>
      </c>
      <c r="E68" s="1520" t="str">
        <f>'AR-Det'!G68</f>
        <v>na</v>
      </c>
      <c r="F68" s="1600" t="s">
        <v>232</v>
      </c>
      <c r="H68" s="1062"/>
    </row>
    <row r="69" spans="1:8" ht="13.9" customHeight="1" x14ac:dyDescent="0.25">
      <c r="A69" s="847">
        <f>Chem!A69</f>
        <v>67</v>
      </c>
      <c r="B69" s="964" t="str">
        <f>Chem!B69</f>
        <v>1-Methylnaphthalene</v>
      </c>
      <c r="C69" s="959">
        <f>'AR-Det'!F69</f>
        <v>1.3714285714285714E-3</v>
      </c>
      <c r="D69" s="2379" t="s">
        <v>232</v>
      </c>
      <c r="E69" s="1520">
        <f>'AR-Det'!G69</f>
        <v>4.5714285714285714E-2</v>
      </c>
      <c r="F69" s="1600" t="s">
        <v>232</v>
      </c>
      <c r="H69" s="1062"/>
    </row>
    <row r="70" spans="1:8" ht="13.9" customHeight="1" x14ac:dyDescent="0.25">
      <c r="A70" s="847">
        <f>Chem!A70</f>
        <v>68</v>
      </c>
      <c r="B70" s="964" t="str">
        <f>Chem!B70</f>
        <v>2-Methylnaphthalene</v>
      </c>
      <c r="C70" s="959" t="str">
        <f>'AR-Det'!F70</f>
        <v>na</v>
      </c>
      <c r="D70" s="2379" t="s">
        <v>232</v>
      </c>
      <c r="E70" s="1520" t="str">
        <f>'AR-Det'!G70</f>
        <v>na</v>
      </c>
      <c r="F70" s="1600" t="s">
        <v>232</v>
      </c>
      <c r="H70" s="1062"/>
    </row>
    <row r="71" spans="1:8" ht="13.9" customHeight="1" x14ac:dyDescent="0.25">
      <c r="A71" s="847">
        <f>Chem!A71</f>
        <v>69</v>
      </c>
      <c r="B71" s="964" t="str">
        <f>Chem!B71</f>
        <v>Naphthalene</v>
      </c>
      <c r="C71" s="960">
        <f>'AR-Det'!F71</f>
        <v>7.3529411764705857E-2</v>
      </c>
      <c r="D71" s="2383" t="s">
        <v>232</v>
      </c>
      <c r="E71" s="1520">
        <f>'AR-Det'!G71</f>
        <v>2.450980392156862</v>
      </c>
      <c r="F71" s="1600" t="s">
        <v>232</v>
      </c>
      <c r="H71" s="1062"/>
    </row>
    <row r="72" spans="1:8" ht="13.9" customHeight="1" x14ac:dyDescent="0.25">
      <c r="A72" s="847">
        <f>Chem!A72</f>
        <v>70</v>
      </c>
      <c r="B72" s="964" t="str">
        <f>Chem!B72</f>
        <v>Phenanthrene</v>
      </c>
      <c r="C72" s="959" t="str">
        <f>'AR-Det'!F72</f>
        <v>na</v>
      </c>
      <c r="D72" s="2379" t="s">
        <v>232</v>
      </c>
      <c r="E72" s="1520" t="str">
        <f>'AR-Det'!G72</f>
        <v>na</v>
      </c>
      <c r="F72" s="1600" t="s">
        <v>232</v>
      </c>
      <c r="H72" s="1062"/>
    </row>
    <row r="73" spans="1:8" ht="13.9" customHeight="1" x14ac:dyDescent="0.25">
      <c r="A73" s="847">
        <f>Chem!A73</f>
        <v>71</v>
      </c>
      <c r="B73" s="964" t="str">
        <f>Chem!B73</f>
        <v>Pyrene</v>
      </c>
      <c r="C73" s="959" t="str">
        <f>'AR-Det'!F73</f>
        <v>na</v>
      </c>
      <c r="D73" s="2379" t="s">
        <v>232</v>
      </c>
      <c r="E73" s="1520" t="str">
        <f>'AR-Det'!G73</f>
        <v>na</v>
      </c>
      <c r="F73" s="1600" t="s">
        <v>232</v>
      </c>
      <c r="H73" s="1062"/>
    </row>
    <row r="74" spans="1:8" ht="13.9" customHeight="1" x14ac:dyDescent="0.25">
      <c r="A74" s="847">
        <f>Chem!A74</f>
        <v>72</v>
      </c>
      <c r="B74" s="964" t="str">
        <f>Chem!B74</f>
        <v>Total LPAHs</v>
      </c>
      <c r="C74" s="959" t="str">
        <f>'AR-Det'!F74</f>
        <v>na</v>
      </c>
      <c r="D74" s="2379" t="s">
        <v>232</v>
      </c>
      <c r="E74" s="1520" t="str">
        <f>'AR-Det'!G74</f>
        <v>na</v>
      </c>
      <c r="F74" s="1600" t="s">
        <v>232</v>
      </c>
      <c r="H74" s="1062"/>
    </row>
    <row r="75" spans="1:8" ht="13.9" customHeight="1" x14ac:dyDescent="0.25">
      <c r="A75" s="847">
        <f>Chem!A75</f>
        <v>73</v>
      </c>
      <c r="B75" s="964" t="str">
        <f>Chem!B75</f>
        <v>Total HPAHs</v>
      </c>
      <c r="C75" s="959" t="str">
        <f>'AR-Det'!F75</f>
        <v>na</v>
      </c>
      <c r="D75" s="2379" t="s">
        <v>232</v>
      </c>
      <c r="E75" s="1520" t="str">
        <f>'AR-Det'!G75</f>
        <v>na</v>
      </c>
      <c r="F75" s="1600" t="s">
        <v>232</v>
      </c>
      <c r="H75" s="1062"/>
    </row>
    <row r="76" spans="1:8" ht="13.9" customHeight="1" x14ac:dyDescent="0.25">
      <c r="A76" s="842">
        <f>Chem!A76</f>
        <v>74</v>
      </c>
      <c r="B76" s="964" t="str">
        <f>Chem!B76</f>
        <v>Total PAHs</v>
      </c>
      <c r="C76" s="959" t="str">
        <f>'AR-Det'!F76</f>
        <v>na</v>
      </c>
      <c r="D76" s="2379" t="s">
        <v>232</v>
      </c>
      <c r="E76" s="1520" t="str">
        <f>'AR-Det'!G76</f>
        <v>na</v>
      </c>
      <c r="F76" s="1600" t="s">
        <v>232</v>
      </c>
      <c r="H76" s="1062"/>
    </row>
    <row r="77" spans="1:8" ht="13.9" customHeight="1" x14ac:dyDescent="0.25">
      <c r="A77" s="844">
        <f>Chem!A77</f>
        <v>75</v>
      </c>
      <c r="B77" s="964" t="str">
        <f>Chem!B77</f>
        <v>Total cPAH TEQ</v>
      </c>
      <c r="C77" s="959">
        <f>'AR-Det'!F77</f>
        <v>1.0970000000000001E-3</v>
      </c>
      <c r="D77" s="2379" t="s">
        <v>232</v>
      </c>
      <c r="E77" s="1520" t="str">
        <f>'AR-Det'!G77</f>
        <v>na</v>
      </c>
      <c r="F77" s="1601" t="s">
        <v>232</v>
      </c>
      <c r="H77" s="1062"/>
    </row>
    <row r="78" spans="1:8" ht="13.9" customHeight="1" x14ac:dyDescent="0.25">
      <c r="A78" s="906">
        <f>Chem!A78</f>
        <v>76</v>
      </c>
      <c r="B78" s="953" t="str">
        <f>Chem!B78</f>
        <v>Other SVOCs</v>
      </c>
      <c r="C78" s="28"/>
      <c r="D78" s="28"/>
      <c r="E78" s="54"/>
      <c r="F78" s="1524"/>
      <c r="H78" s="1063"/>
    </row>
    <row r="79" spans="1:8" ht="13.9" customHeight="1" x14ac:dyDescent="0.25">
      <c r="A79" s="846">
        <f>Chem!A79</f>
        <v>77</v>
      </c>
      <c r="B79" s="964" t="str">
        <f>Chem!B79</f>
        <v>Aniline</v>
      </c>
      <c r="C79" s="960">
        <f>'AR-Det'!F79</f>
        <v>0.45714285714285718</v>
      </c>
      <c r="D79" s="2383" t="s">
        <v>232</v>
      </c>
      <c r="E79" s="1520" t="str">
        <f>'AR-Det'!G79</f>
        <v>na</v>
      </c>
      <c r="F79" s="1602" t="s">
        <v>232</v>
      </c>
      <c r="H79" s="1062"/>
    </row>
    <row r="80" spans="1:8" ht="13.9" customHeight="1" x14ac:dyDescent="0.25">
      <c r="A80" s="847">
        <f>Chem!A80</f>
        <v>78</v>
      </c>
      <c r="B80" s="964" t="str">
        <f>Chem!B80</f>
        <v>Azobenzene</v>
      </c>
      <c r="C80" s="959">
        <f>'AR-Det'!F80</f>
        <v>8.0645161290322578E-2</v>
      </c>
      <c r="D80" s="2379" t="s">
        <v>232</v>
      </c>
      <c r="E80" s="1520" t="str">
        <f>'AR-Det'!G80</f>
        <v>na</v>
      </c>
      <c r="F80" s="1600" t="s">
        <v>232</v>
      </c>
      <c r="H80" s="1062"/>
    </row>
    <row r="81" spans="1:8" ht="13.9" customHeight="1" x14ac:dyDescent="0.25">
      <c r="A81" s="847">
        <f>Chem!A81</f>
        <v>79</v>
      </c>
      <c r="B81" s="964" t="str">
        <f>Chem!B81</f>
        <v>Benzidine</v>
      </c>
      <c r="C81" s="960">
        <f>'AR-Det'!F81</f>
        <v>9.7999999999999993E-6</v>
      </c>
      <c r="D81" s="2383" t="s">
        <v>232</v>
      </c>
      <c r="E81" s="1520" t="str">
        <f>'AR-Det'!G81</f>
        <v>na</v>
      </c>
      <c r="F81" s="1600" t="s">
        <v>232</v>
      </c>
      <c r="H81" s="1062"/>
    </row>
    <row r="82" spans="1:8" ht="13.9" customHeight="1" x14ac:dyDescent="0.25">
      <c r="A82" s="847">
        <f>Chem!A82</f>
        <v>80</v>
      </c>
      <c r="B82" s="964" t="str">
        <f>Chem!B82</f>
        <v>Benzoic acid</v>
      </c>
      <c r="C82" s="960" t="str">
        <f>'AR-Det'!F82</f>
        <v>na</v>
      </c>
      <c r="D82" s="2383" t="s">
        <v>232</v>
      </c>
      <c r="E82" s="1520" t="str">
        <f>'AR-Det'!G82</f>
        <v>na</v>
      </c>
      <c r="F82" s="1600" t="s">
        <v>232</v>
      </c>
      <c r="H82" s="1062"/>
    </row>
    <row r="83" spans="1:8" ht="13.9" customHeight="1" x14ac:dyDescent="0.25">
      <c r="A83" s="847">
        <f>Chem!A83</f>
        <v>81</v>
      </c>
      <c r="B83" s="964" t="str">
        <f>Chem!B83</f>
        <v>Benzyl alcohol</v>
      </c>
      <c r="C83" s="960" t="str">
        <f>'AR-Det'!F83</f>
        <v>na</v>
      </c>
      <c r="D83" s="2383" t="s">
        <v>232</v>
      </c>
      <c r="E83" s="1520" t="str">
        <f>'AR-Det'!G83</f>
        <v>na</v>
      </c>
      <c r="F83" s="1600" t="s">
        <v>232</v>
      </c>
      <c r="H83" s="1062"/>
    </row>
    <row r="84" spans="1:8" ht="13.9" customHeight="1" x14ac:dyDescent="0.25">
      <c r="A84" s="847">
        <f>Chem!A84</f>
        <v>82</v>
      </c>
      <c r="B84" s="964" t="str">
        <f>Chem!B84</f>
        <v>Bis(2-chloroethoxy)methane</v>
      </c>
      <c r="C84" s="961" t="str">
        <f>'AR-Det'!F84</f>
        <v>na</v>
      </c>
      <c r="D84" s="2384" t="s">
        <v>232</v>
      </c>
      <c r="E84" s="1520" t="str">
        <f>'AR-Det'!G84</f>
        <v>na</v>
      </c>
      <c r="F84" s="1600" t="s">
        <v>232</v>
      </c>
      <c r="H84" s="1062"/>
    </row>
    <row r="85" spans="1:8" ht="13.9" customHeight="1" x14ac:dyDescent="0.25">
      <c r="A85" s="847">
        <f>Chem!A85</f>
        <v>83</v>
      </c>
      <c r="B85" s="964" t="str">
        <f>Chem!B85</f>
        <v>Bis(2-chloroethyl)ether</v>
      </c>
      <c r="C85" s="962">
        <f>'AR-Det'!F85</f>
        <v>7.5757575757575751E-3</v>
      </c>
      <c r="D85" s="2385" t="s">
        <v>232</v>
      </c>
      <c r="E85" s="1520" t="str">
        <f>'AR-Det'!G85</f>
        <v>na</v>
      </c>
      <c r="F85" s="1600" t="s">
        <v>232</v>
      </c>
      <c r="H85" s="1062"/>
    </row>
    <row r="86" spans="1:8" ht="13.9" customHeight="1" x14ac:dyDescent="0.25">
      <c r="A86" s="847">
        <f>Chem!A86</f>
        <v>84</v>
      </c>
      <c r="B86" s="964" t="str">
        <f>Chem!B86</f>
        <v>Bis(chloromethyl)ether</v>
      </c>
      <c r="C86" s="962">
        <f>'AR-Det'!F86</f>
        <v>4.0322580645161277E-5</v>
      </c>
      <c r="D86" s="2385" t="s">
        <v>232</v>
      </c>
      <c r="E86" s="1520" t="str">
        <f>'AR-Det'!G86</f>
        <v>na</v>
      </c>
      <c r="F86" s="1600" t="s">
        <v>232</v>
      </c>
      <c r="H86" s="1062"/>
    </row>
    <row r="87" spans="1:8" ht="13.9" customHeight="1" x14ac:dyDescent="0.25">
      <c r="A87" s="847">
        <f>Chem!A87</f>
        <v>85</v>
      </c>
      <c r="B87" s="964" t="str">
        <f>Chem!B87</f>
        <v xml:space="preserve">Bis(2-chloro-1-methylethyl)ether </v>
      </c>
      <c r="C87" s="960">
        <f>'AR-Det'!F87</f>
        <v>0.24999999999999989</v>
      </c>
      <c r="D87" s="2383" t="s">
        <v>232</v>
      </c>
      <c r="E87" s="1520" t="str">
        <f>'AR-Det'!G87</f>
        <v>na</v>
      </c>
      <c r="F87" s="1600" t="s">
        <v>232</v>
      </c>
      <c r="H87" s="1062"/>
    </row>
    <row r="88" spans="1:8" ht="13.9" customHeight="1" x14ac:dyDescent="0.25">
      <c r="A88" s="847">
        <f>Chem!A88</f>
        <v>86</v>
      </c>
      <c r="B88" s="964" t="str">
        <f>Chem!B88</f>
        <v>2,6-Bis(1,1-dimethylethyl) phenol</v>
      </c>
      <c r="C88" s="961" t="str">
        <f>'AR-Det'!F88</f>
        <v>na</v>
      </c>
      <c r="D88" s="2384" t="s">
        <v>232</v>
      </c>
      <c r="E88" s="1520" t="str">
        <f>'AR-Det'!G88</f>
        <v>na</v>
      </c>
      <c r="F88" s="1600" t="s">
        <v>232</v>
      </c>
      <c r="H88" s="1062"/>
    </row>
    <row r="89" spans="1:8" ht="13.9" customHeight="1" x14ac:dyDescent="0.25">
      <c r="A89" s="847">
        <f>Chem!A89</f>
        <v>87</v>
      </c>
      <c r="B89" s="964" t="str">
        <f>Chem!B89</f>
        <v>Bis(2-ethylhexyl) phthalate</v>
      </c>
      <c r="C89" s="960">
        <f>'AR-Det'!F89</f>
        <v>1.0416666666666665</v>
      </c>
      <c r="D89" s="2383" t="s">
        <v>232</v>
      </c>
      <c r="E89" s="1520" t="str">
        <f>'AR-Det'!G89</f>
        <v>na</v>
      </c>
      <c r="F89" s="1600" t="s">
        <v>232</v>
      </c>
      <c r="H89" s="1062"/>
    </row>
    <row r="90" spans="1:8" ht="13.9" customHeight="1" x14ac:dyDescent="0.25">
      <c r="A90" s="847">
        <f>Chem!A90</f>
        <v>88</v>
      </c>
      <c r="B90" s="964" t="str">
        <f>Chem!B90</f>
        <v>4-Bromophenyl phenyl ether</v>
      </c>
      <c r="C90" s="961" t="str">
        <f>'AR-Det'!F90</f>
        <v>na</v>
      </c>
      <c r="D90" s="2384" t="s">
        <v>232</v>
      </c>
      <c r="E90" s="1520" t="str">
        <f>'AR-Det'!G90</f>
        <v>na</v>
      </c>
      <c r="F90" s="1600" t="s">
        <v>232</v>
      </c>
      <c r="H90" s="1062"/>
    </row>
    <row r="91" spans="1:8" ht="13.9" customHeight="1" x14ac:dyDescent="0.25">
      <c r="A91" s="847">
        <f>Chem!A91</f>
        <v>89</v>
      </c>
      <c r="B91" s="964" t="str">
        <f>Chem!B91</f>
        <v>Butyl benzyl phthalate</v>
      </c>
      <c r="C91" s="960" t="str">
        <f>'AR-Det'!F91</f>
        <v>na</v>
      </c>
      <c r="D91" s="2383" t="s">
        <v>232</v>
      </c>
      <c r="E91" s="1520" t="str">
        <f>'AR-Det'!G91</f>
        <v>na</v>
      </c>
      <c r="F91" s="1600" t="s">
        <v>232</v>
      </c>
      <c r="H91" s="1062"/>
    </row>
    <row r="92" spans="1:8" ht="13.9" customHeight="1" x14ac:dyDescent="0.25">
      <c r="A92" s="847">
        <f>Chem!A92</f>
        <v>90</v>
      </c>
      <c r="B92" s="964" t="str">
        <f>Chem!B92</f>
        <v>Butyl diphenyl phosphate</v>
      </c>
      <c r="C92" s="961" t="str">
        <f>'AR-Det'!F92</f>
        <v>na</v>
      </c>
      <c r="D92" s="2384" t="s">
        <v>232</v>
      </c>
      <c r="E92" s="1520" t="str">
        <f>'AR-Det'!G92</f>
        <v>na</v>
      </c>
      <c r="F92" s="1600" t="s">
        <v>232</v>
      </c>
      <c r="H92" s="1062"/>
    </row>
    <row r="93" spans="1:8" ht="13.9" customHeight="1" x14ac:dyDescent="0.25">
      <c r="A93" s="847">
        <f>Chem!A93</f>
        <v>91</v>
      </c>
      <c r="B93" s="964" t="str">
        <f>Chem!B93</f>
        <v>Carbazole</v>
      </c>
      <c r="C93" s="962" t="str">
        <f>'AR-Det'!F93</f>
        <v>na</v>
      </c>
      <c r="D93" s="2385" t="s">
        <v>232</v>
      </c>
      <c r="E93" s="1520" t="str">
        <f>'AR-Det'!G93</f>
        <v>na</v>
      </c>
      <c r="F93" s="1600" t="s">
        <v>232</v>
      </c>
      <c r="H93" s="1062"/>
    </row>
    <row r="94" spans="1:8" ht="13.9" customHeight="1" x14ac:dyDescent="0.25">
      <c r="A94" s="847">
        <f>Chem!A94</f>
        <v>92</v>
      </c>
      <c r="B94" s="964" t="str">
        <f>Chem!B94</f>
        <v>4-Chloroaniline</v>
      </c>
      <c r="C94" s="960" t="str">
        <f>'AR-Det'!F94</f>
        <v>na</v>
      </c>
      <c r="D94" s="2383" t="s">
        <v>232</v>
      </c>
      <c r="E94" s="1520" t="str">
        <f>'AR-Det'!G94</f>
        <v>na</v>
      </c>
      <c r="F94" s="1600" t="s">
        <v>232</v>
      </c>
      <c r="H94" s="1062"/>
    </row>
    <row r="95" spans="1:8" ht="13.9" customHeight="1" x14ac:dyDescent="0.25">
      <c r="A95" s="847">
        <f>Chem!A95</f>
        <v>93</v>
      </c>
      <c r="B95" s="964" t="str">
        <f>Chem!B95</f>
        <v>4-Chloro-3-methylphenol (chlorocresol)</v>
      </c>
      <c r="C95" s="961" t="str">
        <f>'AR-Det'!F95</f>
        <v>na</v>
      </c>
      <c r="D95" s="2384" t="s">
        <v>232</v>
      </c>
      <c r="E95" s="1520" t="str">
        <f>'AR-Det'!G95</f>
        <v>na</v>
      </c>
      <c r="F95" s="1600" t="s">
        <v>232</v>
      </c>
      <c r="H95" s="1062"/>
    </row>
    <row r="96" spans="1:8" ht="13.9" customHeight="1" x14ac:dyDescent="0.25">
      <c r="A96" s="847">
        <f>Chem!A96</f>
        <v>94</v>
      </c>
      <c r="B96" s="964" t="str">
        <f>Chem!B96</f>
        <v>2-Chloronaphthalene (beta-)</v>
      </c>
      <c r="C96" s="960" t="str">
        <f>'AR-Det'!F96</f>
        <v>na</v>
      </c>
      <c r="D96" s="2383" t="s">
        <v>232</v>
      </c>
      <c r="E96" s="1520" t="str">
        <f>'AR-Det'!G96</f>
        <v>na</v>
      </c>
      <c r="F96" s="1600" t="s">
        <v>232</v>
      </c>
      <c r="H96" s="1062"/>
    </row>
    <row r="97" spans="1:8" ht="13.9" customHeight="1" x14ac:dyDescent="0.25">
      <c r="A97" s="847">
        <f>Chem!A97</f>
        <v>95</v>
      </c>
      <c r="B97" s="964" t="str">
        <f>Chem!B97</f>
        <v>2-Chlorophenol</v>
      </c>
      <c r="C97" s="960" t="str">
        <f>'AR-Det'!F97</f>
        <v>na</v>
      </c>
      <c r="D97" s="2383" t="s">
        <v>232</v>
      </c>
      <c r="E97" s="1520" t="str">
        <f>'AR-Det'!G97</f>
        <v>na</v>
      </c>
      <c r="F97" s="1600" t="s">
        <v>232</v>
      </c>
      <c r="H97" s="1062"/>
    </row>
    <row r="98" spans="1:8" ht="13.9" customHeight="1" x14ac:dyDescent="0.25">
      <c r="A98" s="847">
        <f>Chem!A98</f>
        <v>96</v>
      </c>
      <c r="B98" s="964" t="str">
        <f>Chem!B98</f>
        <v>4-Chlorophenyl phenyl ether</v>
      </c>
      <c r="C98" s="961" t="str">
        <f>'AR-Det'!F98</f>
        <v>na</v>
      </c>
      <c r="D98" s="2384" t="s">
        <v>232</v>
      </c>
      <c r="E98" s="1520" t="str">
        <f>'AR-Det'!G98</f>
        <v>na</v>
      </c>
      <c r="F98" s="1600" t="s">
        <v>232</v>
      </c>
      <c r="H98" s="1062"/>
    </row>
    <row r="99" spans="1:8" ht="13.9" customHeight="1" x14ac:dyDescent="0.25">
      <c r="A99" s="847">
        <f>Chem!A99</f>
        <v>97</v>
      </c>
      <c r="B99" s="964" t="str">
        <f>Chem!B99</f>
        <v>Dibutyl phthalate</v>
      </c>
      <c r="C99" s="960" t="str">
        <f>'AR-Det'!F99</f>
        <v>na</v>
      </c>
      <c r="D99" s="2383" t="s">
        <v>232</v>
      </c>
      <c r="E99" s="1520" t="str">
        <f>'AR-Det'!G99</f>
        <v>na</v>
      </c>
      <c r="F99" s="1600" t="s">
        <v>232</v>
      </c>
      <c r="H99" s="1062"/>
    </row>
    <row r="100" spans="1:8" ht="13.9" customHeight="1" x14ac:dyDescent="0.25">
      <c r="A100" s="847">
        <f>Chem!A100</f>
        <v>98</v>
      </c>
      <c r="B100" s="964" t="str">
        <f>Chem!B100</f>
        <v>Dibutyl phenyl phosphate</v>
      </c>
      <c r="C100" s="961" t="str">
        <f>'AR-Det'!F100</f>
        <v>na</v>
      </c>
      <c r="D100" s="2384" t="s">
        <v>232</v>
      </c>
      <c r="E100" s="1520" t="str">
        <f>'AR-Det'!G100</f>
        <v>na</v>
      </c>
      <c r="F100" s="1600" t="s">
        <v>232</v>
      </c>
      <c r="H100" s="1062"/>
    </row>
    <row r="101" spans="1:8" ht="13.9" customHeight="1" x14ac:dyDescent="0.25">
      <c r="A101" s="847">
        <f>Chem!A101</f>
        <v>99</v>
      </c>
      <c r="B101" s="964" t="str">
        <f>Chem!B101</f>
        <v>1,2-Dichlorobenzene</v>
      </c>
      <c r="C101" s="959">
        <f>'AR-Det'!F101</f>
        <v>91.428571428571416</v>
      </c>
      <c r="D101" s="2379" t="s">
        <v>232</v>
      </c>
      <c r="E101" s="1520">
        <f>'AR-Det'!G101</f>
        <v>3047.6190476190473</v>
      </c>
      <c r="F101" s="1600" t="s">
        <v>232</v>
      </c>
      <c r="H101" s="1062"/>
    </row>
    <row r="102" spans="1:8" ht="13.9" customHeight="1" x14ac:dyDescent="0.25">
      <c r="A102" s="847">
        <f>Chem!A102</f>
        <v>100</v>
      </c>
      <c r="B102" s="964" t="str">
        <f>Chem!B102</f>
        <v>1,3-Dichlorobenzene</v>
      </c>
      <c r="C102" s="959" t="str">
        <f>'AR-Det'!F102</f>
        <v>na</v>
      </c>
      <c r="D102" s="2379" t="s">
        <v>232</v>
      </c>
      <c r="E102" s="1520" t="str">
        <f>'AR-Det'!G102</f>
        <v>na</v>
      </c>
      <c r="F102" s="1600" t="s">
        <v>232</v>
      </c>
      <c r="H102" s="1062"/>
    </row>
    <row r="103" spans="1:8" ht="13.9" customHeight="1" x14ac:dyDescent="0.25">
      <c r="A103" s="847">
        <f>Chem!A103</f>
        <v>101</v>
      </c>
      <c r="B103" s="964" t="str">
        <f>Chem!B103</f>
        <v>1,4-Dichlorobenzene</v>
      </c>
      <c r="C103" s="960">
        <f>'AR-Det'!F103</f>
        <v>0.22727272727272727</v>
      </c>
      <c r="D103" s="2383" t="s">
        <v>232</v>
      </c>
      <c r="E103" s="1520">
        <f>'AR-Det'!G103</f>
        <v>7.5757575757575761</v>
      </c>
      <c r="F103" s="1600" t="s">
        <v>232</v>
      </c>
      <c r="H103" s="1062"/>
    </row>
    <row r="104" spans="1:8" ht="13.9" customHeight="1" x14ac:dyDescent="0.25">
      <c r="A104" s="847">
        <f>Chem!A104</f>
        <v>102</v>
      </c>
      <c r="B104" s="964" t="str">
        <f>Chem!B104</f>
        <v>3,3'-Dichlorobenzidine</v>
      </c>
      <c r="C104" s="959">
        <f>'AR-Det'!F104</f>
        <v>7.3529411764705864E-3</v>
      </c>
      <c r="D104" s="2379" t="s">
        <v>232</v>
      </c>
      <c r="E104" s="1520" t="str">
        <f>'AR-Det'!G104</f>
        <v>na</v>
      </c>
      <c r="F104" s="1600" t="s">
        <v>232</v>
      </c>
      <c r="H104" s="1062"/>
    </row>
    <row r="105" spans="1:8" ht="13.9" customHeight="1" x14ac:dyDescent="0.25">
      <c r="A105" s="847">
        <f>Chem!A105</f>
        <v>103</v>
      </c>
      <c r="B105" s="964" t="str">
        <f>Chem!B105</f>
        <v>2,4-Dichlorophenol</v>
      </c>
      <c r="C105" s="959" t="str">
        <f>'AR-Det'!F105</f>
        <v>na</v>
      </c>
      <c r="D105" s="2379" t="s">
        <v>232</v>
      </c>
      <c r="E105" s="1520" t="str">
        <f>'AR-Det'!G105</f>
        <v>na</v>
      </c>
      <c r="F105" s="1600" t="s">
        <v>232</v>
      </c>
      <c r="H105" s="1062"/>
    </row>
    <row r="106" spans="1:8" ht="13.9" customHeight="1" x14ac:dyDescent="0.25">
      <c r="A106" s="846">
        <f>Chem!A106</f>
        <v>104</v>
      </c>
      <c r="B106" s="964" t="str">
        <f>Chem!B106</f>
        <v>Di(2-ethylhexyl)adipate</v>
      </c>
      <c r="C106" s="959" t="str">
        <f>'AR-Det'!F106</f>
        <v>na</v>
      </c>
      <c r="D106" s="2379" t="s">
        <v>232</v>
      </c>
      <c r="E106" s="1520" t="str">
        <f>'AR-Det'!G106</f>
        <v>na</v>
      </c>
      <c r="F106" s="1600" t="s">
        <v>232</v>
      </c>
      <c r="H106" s="1062"/>
    </row>
    <row r="107" spans="1:8" ht="13.9" customHeight="1" x14ac:dyDescent="0.25">
      <c r="A107" s="846">
        <f>Chem!A107</f>
        <v>105</v>
      </c>
      <c r="B107" s="964" t="str">
        <f>Chem!B107</f>
        <v>Diethyl phthalate</v>
      </c>
      <c r="C107" s="959" t="str">
        <f>'AR-Det'!F107</f>
        <v>na</v>
      </c>
      <c r="D107" s="2379" t="s">
        <v>232</v>
      </c>
      <c r="E107" s="1520" t="str">
        <f>'AR-Det'!G107</f>
        <v>na</v>
      </c>
      <c r="F107" s="1600" t="s">
        <v>232</v>
      </c>
      <c r="H107" s="1062"/>
    </row>
    <row r="108" spans="1:8" ht="13.9" customHeight="1" x14ac:dyDescent="0.25">
      <c r="A108" s="847">
        <f>Chem!A108</f>
        <v>106</v>
      </c>
      <c r="B108" s="964" t="str">
        <f>Chem!B108</f>
        <v>Dimethyl phthalate</v>
      </c>
      <c r="C108" s="959" t="str">
        <f>'AR-Det'!F108</f>
        <v>na</v>
      </c>
      <c r="D108" s="2379" t="s">
        <v>232</v>
      </c>
      <c r="E108" s="1520" t="str">
        <f>'AR-Det'!G108</f>
        <v>na</v>
      </c>
      <c r="F108" s="1600" t="s">
        <v>232</v>
      </c>
      <c r="H108" s="1062"/>
    </row>
    <row r="109" spans="1:8" ht="13.9" customHeight="1" x14ac:dyDescent="0.25">
      <c r="A109" s="847">
        <f>Chem!A109</f>
        <v>107</v>
      </c>
      <c r="B109" s="964" t="str">
        <f>Chem!B109</f>
        <v>2,4-Dimethylphenol</v>
      </c>
      <c r="C109" s="959" t="str">
        <f>'AR-Det'!F109</f>
        <v>na</v>
      </c>
      <c r="D109" s="2379" t="s">
        <v>232</v>
      </c>
      <c r="E109" s="1520" t="str">
        <f>'AR-Det'!G109</f>
        <v>na</v>
      </c>
      <c r="F109" s="1600" t="s">
        <v>232</v>
      </c>
      <c r="H109" s="1062"/>
    </row>
    <row r="110" spans="1:8" ht="13.9" customHeight="1" x14ac:dyDescent="0.25">
      <c r="A110" s="847">
        <f>Chem!A110</f>
        <v>108</v>
      </c>
      <c r="B110" s="964" t="str">
        <f>Chem!B110</f>
        <v>1,2-Dinitrobenzene</v>
      </c>
      <c r="C110" s="959" t="str">
        <f>'AR-Det'!F110</f>
        <v>na</v>
      </c>
      <c r="D110" s="2379" t="s">
        <v>232</v>
      </c>
      <c r="E110" s="1520" t="str">
        <f>'AR-Det'!G110</f>
        <v>na</v>
      </c>
      <c r="F110" s="1600" t="s">
        <v>232</v>
      </c>
      <c r="H110" s="1062"/>
    </row>
    <row r="111" spans="1:8" ht="13.9" customHeight="1" x14ac:dyDescent="0.25">
      <c r="A111" s="847">
        <f>Chem!A111</f>
        <v>109</v>
      </c>
      <c r="B111" s="964" t="str">
        <f>Chem!B111</f>
        <v>1,3-Dinitrobenzene</v>
      </c>
      <c r="C111" s="959" t="str">
        <f>'AR-Det'!F111</f>
        <v>na</v>
      </c>
      <c r="D111" s="2379" t="s">
        <v>232</v>
      </c>
      <c r="E111" s="1520" t="str">
        <f>'AR-Det'!G111</f>
        <v>na</v>
      </c>
      <c r="F111" s="1600" t="s">
        <v>232</v>
      </c>
      <c r="H111" s="1062"/>
    </row>
    <row r="112" spans="1:8" ht="13.9" customHeight="1" x14ac:dyDescent="0.25">
      <c r="A112" s="847">
        <f>Chem!A112</f>
        <v>110</v>
      </c>
      <c r="B112" s="964" t="str">
        <f>Chem!B112</f>
        <v>1,4-Dinitrobenzene</v>
      </c>
      <c r="C112" s="959" t="str">
        <f>'AR-Det'!F112</f>
        <v>na</v>
      </c>
      <c r="D112" s="2379" t="s">
        <v>232</v>
      </c>
      <c r="E112" s="1520" t="str">
        <f>'AR-Det'!G112</f>
        <v>na</v>
      </c>
      <c r="F112" s="1600" t="s">
        <v>232</v>
      </c>
      <c r="H112" s="1062"/>
    </row>
    <row r="113" spans="1:8" ht="13.9" customHeight="1" x14ac:dyDescent="0.25">
      <c r="A113" s="847">
        <f>Chem!A113</f>
        <v>111</v>
      </c>
      <c r="B113" s="964" t="str">
        <f>Chem!B113</f>
        <v>4,6-Dinitro-o-cresol (DNOC)</v>
      </c>
      <c r="C113" s="959" t="str">
        <f>'AR-Det'!F113</f>
        <v>na</v>
      </c>
      <c r="D113" s="2379" t="s">
        <v>232</v>
      </c>
      <c r="E113" s="1520" t="str">
        <f>'AR-Det'!G113</f>
        <v>na</v>
      </c>
      <c r="F113" s="1600" t="s">
        <v>232</v>
      </c>
      <c r="H113" s="1062"/>
    </row>
    <row r="114" spans="1:8" ht="13.9" customHeight="1" x14ac:dyDescent="0.25">
      <c r="A114" s="847">
        <f>Chem!A114</f>
        <v>112</v>
      </c>
      <c r="B114" s="964" t="str">
        <f>Chem!B114</f>
        <v>2,4-Dinitrophenol</v>
      </c>
      <c r="C114" s="959" t="str">
        <f>'AR-Det'!F114</f>
        <v>na</v>
      </c>
      <c r="D114" s="2379" t="s">
        <v>232</v>
      </c>
      <c r="E114" s="1520" t="str">
        <f>'AR-Det'!G114</f>
        <v>na</v>
      </c>
      <c r="F114" s="1600" t="s">
        <v>232</v>
      </c>
      <c r="H114" s="1062"/>
    </row>
    <row r="115" spans="1:8" ht="13.9" customHeight="1" x14ac:dyDescent="0.25">
      <c r="A115" s="847">
        <f>Chem!A115</f>
        <v>113</v>
      </c>
      <c r="B115" s="964" t="str">
        <f>Chem!B115</f>
        <v>2,4-Dinitrotoluene</v>
      </c>
      <c r="C115" s="959">
        <f>'AR-Det'!F115</f>
        <v>2.8089887640449434E-2</v>
      </c>
      <c r="D115" s="2379" t="s">
        <v>232</v>
      </c>
      <c r="E115" s="1520" t="str">
        <f>'AR-Det'!G115</f>
        <v>na</v>
      </c>
      <c r="F115" s="1600" t="s">
        <v>232</v>
      </c>
      <c r="H115" s="1062"/>
    </row>
    <row r="116" spans="1:8" ht="13.9" customHeight="1" x14ac:dyDescent="0.25">
      <c r="A116" s="842">
        <f>Chem!A116</f>
        <v>114</v>
      </c>
      <c r="B116" s="964" t="str">
        <f>Chem!B116</f>
        <v>2,6-Dinitrotoluene</v>
      </c>
      <c r="C116" s="959" t="str">
        <f>'AR-Det'!F116</f>
        <v>na</v>
      </c>
      <c r="D116" s="2379" t="s">
        <v>232</v>
      </c>
      <c r="E116" s="1520" t="str">
        <f>'AR-Det'!G116</f>
        <v>na</v>
      </c>
      <c r="F116" s="1600" t="s">
        <v>232</v>
      </c>
      <c r="H116" s="1062"/>
    </row>
    <row r="117" spans="1:8" ht="13.9" customHeight="1" x14ac:dyDescent="0.25">
      <c r="A117" s="847">
        <f>Chem!A117</f>
        <v>115</v>
      </c>
      <c r="B117" s="964" t="str">
        <f>Chem!B117</f>
        <v>Di-n-octyl phthalate</v>
      </c>
      <c r="C117" s="959" t="str">
        <f>'AR-Det'!F117</f>
        <v>na</v>
      </c>
      <c r="D117" s="2379" t="s">
        <v>232</v>
      </c>
      <c r="E117" s="1520" t="str">
        <f>'AR-Det'!G117</f>
        <v>na</v>
      </c>
      <c r="F117" s="1600" t="s">
        <v>232</v>
      </c>
      <c r="H117" s="1062"/>
    </row>
    <row r="118" spans="1:8" ht="13.9" customHeight="1" x14ac:dyDescent="0.25">
      <c r="A118" s="848">
        <f>Chem!A118</f>
        <v>116</v>
      </c>
      <c r="B118" s="964" t="str">
        <f>Chem!B118</f>
        <v>1,4-Dioxane</v>
      </c>
      <c r="C118" s="960">
        <f>'AR-Det'!F118</f>
        <v>0.49999999999999978</v>
      </c>
      <c r="D118" s="2383" t="s">
        <v>232</v>
      </c>
      <c r="E118" s="1520">
        <f>'AR-Det'!G118</f>
        <v>16.666666666666661</v>
      </c>
      <c r="F118" s="1600" t="s">
        <v>232</v>
      </c>
      <c r="H118" s="1062"/>
    </row>
    <row r="119" spans="1:8" ht="13.9" customHeight="1" x14ac:dyDescent="0.25">
      <c r="A119" s="848">
        <f>Chem!A119</f>
        <v>117</v>
      </c>
      <c r="B119" s="964" t="str">
        <f>Chem!B119</f>
        <v>1,2-Diphenylhydrazine</v>
      </c>
      <c r="C119" s="959">
        <f>'AR-Det'!F119</f>
        <v>1.136363636363636E-2</v>
      </c>
      <c r="D119" s="2379" t="s">
        <v>232</v>
      </c>
      <c r="E119" s="1520" t="str">
        <f>'AR-Det'!G119</f>
        <v>na</v>
      </c>
      <c r="F119" s="1600" t="s">
        <v>232</v>
      </c>
      <c r="H119" s="1062"/>
    </row>
    <row r="120" spans="1:8" ht="13.9" customHeight="1" x14ac:dyDescent="0.25">
      <c r="A120" s="847">
        <f>Chem!A120</f>
        <v>118</v>
      </c>
      <c r="B120" s="964" t="str">
        <f>Chem!B120</f>
        <v>Hexachlorobenzene</v>
      </c>
      <c r="C120" s="959">
        <f>'AR-Det'!F120</f>
        <v>5.4347826086956512E-3</v>
      </c>
      <c r="D120" s="2379" t="s">
        <v>232</v>
      </c>
      <c r="E120" s="1520">
        <f>'AR-Det'!G120</f>
        <v>0.18115942028985504</v>
      </c>
      <c r="F120" s="1600" t="s">
        <v>232</v>
      </c>
      <c r="H120" s="1062"/>
    </row>
    <row r="121" spans="1:8" ht="13.9" customHeight="1" x14ac:dyDescent="0.25">
      <c r="A121" s="847">
        <f>Chem!A121</f>
        <v>119</v>
      </c>
      <c r="B121" s="964" t="str">
        <f>Chem!B121</f>
        <v>Hexachlorobutadiene</v>
      </c>
      <c r="C121" s="959">
        <f>'AR-Det'!F121</f>
        <v>0.11363636363636363</v>
      </c>
      <c r="D121" s="2379" t="s">
        <v>232</v>
      </c>
      <c r="E121" s="1520">
        <f>'AR-Det'!G121</f>
        <v>3.7878787878787881</v>
      </c>
      <c r="F121" s="1600" t="s">
        <v>232</v>
      </c>
      <c r="H121" s="1062"/>
    </row>
    <row r="122" spans="1:8" ht="13.9" customHeight="1" x14ac:dyDescent="0.25">
      <c r="A122" s="847">
        <f>Chem!A122</f>
        <v>120</v>
      </c>
      <c r="B122" s="964" t="str">
        <f>Chem!B122</f>
        <v>Hexachlorocyclopentadiene</v>
      </c>
      <c r="C122" s="959">
        <f>'AR-Det'!F122</f>
        <v>9.1428571428571428E-2</v>
      </c>
      <c r="D122" s="2379" t="s">
        <v>232</v>
      </c>
      <c r="E122" s="1520">
        <f>'AR-Det'!G122</f>
        <v>3.0476190476190479</v>
      </c>
      <c r="F122" s="1600" t="s">
        <v>232</v>
      </c>
      <c r="H122" s="1062"/>
    </row>
    <row r="123" spans="1:8" ht="13.9" customHeight="1" x14ac:dyDescent="0.25">
      <c r="A123" s="847">
        <f>Chem!A123</f>
        <v>121</v>
      </c>
      <c r="B123" s="964" t="str">
        <f>Chem!B123</f>
        <v>Hexachloroethane</v>
      </c>
      <c r="C123" s="960">
        <f>'AR-Det'!F123</f>
        <v>0.22727272727272727</v>
      </c>
      <c r="D123" s="2383" t="s">
        <v>232</v>
      </c>
      <c r="E123" s="1520">
        <f>'AR-Det'!G123</f>
        <v>7.5757575757575761</v>
      </c>
      <c r="F123" s="1600" t="s">
        <v>232</v>
      </c>
      <c r="H123" s="1062"/>
    </row>
    <row r="124" spans="1:8" ht="13.9" customHeight="1" x14ac:dyDescent="0.25">
      <c r="A124" s="847">
        <f>Chem!A124</f>
        <v>122</v>
      </c>
      <c r="B124" s="964" t="str">
        <f>Chem!B124</f>
        <v>Isophorone</v>
      </c>
      <c r="C124" s="959">
        <f>'AR-Det'!F124</f>
        <v>914.28571428571422</v>
      </c>
      <c r="D124" s="2379" t="s">
        <v>232</v>
      </c>
      <c r="E124" s="1520" t="str">
        <f>'AR-Det'!G124</f>
        <v>na</v>
      </c>
      <c r="F124" s="1600" t="s">
        <v>232</v>
      </c>
      <c r="H124" s="1062"/>
    </row>
    <row r="125" spans="1:8" ht="13.9" customHeight="1" x14ac:dyDescent="0.25">
      <c r="A125" s="847">
        <f>Chem!A125</f>
        <v>123</v>
      </c>
      <c r="B125" s="964" t="str">
        <f>Chem!B125</f>
        <v>2-Methoxynaphthalene</v>
      </c>
      <c r="C125" s="959" t="str">
        <f>'AR-Det'!F125</f>
        <v>na</v>
      </c>
      <c r="D125" s="2379" t="s">
        <v>232</v>
      </c>
      <c r="E125" s="1520" t="str">
        <f>'AR-Det'!G125</f>
        <v>na</v>
      </c>
      <c r="F125" s="1600" t="s">
        <v>232</v>
      </c>
      <c r="H125" s="1062"/>
    </row>
    <row r="126" spans="1:8" ht="13.9" customHeight="1" x14ac:dyDescent="0.25">
      <c r="A126" s="847">
        <f>Chem!A126</f>
        <v>124</v>
      </c>
      <c r="B126" s="964" t="str">
        <f>Chem!B126</f>
        <v>2-Methylphenol (o-cresol)</v>
      </c>
      <c r="C126" s="959">
        <f>'AR-Det'!F126</f>
        <v>274.28571428571428</v>
      </c>
      <c r="D126" s="2379" t="s">
        <v>232</v>
      </c>
      <c r="E126" s="1520" t="str">
        <f>'AR-Det'!G126</f>
        <v>na</v>
      </c>
      <c r="F126" s="1600" t="s">
        <v>232</v>
      </c>
      <c r="H126" s="1062"/>
    </row>
    <row r="127" spans="1:8" ht="13.9" customHeight="1" x14ac:dyDescent="0.25">
      <c r="A127" s="847">
        <f>Chem!A127</f>
        <v>125</v>
      </c>
      <c r="B127" s="964" t="str">
        <f>Chem!B127</f>
        <v>3-Methylphenol (m-cresol)</v>
      </c>
      <c r="C127" s="959">
        <f>'AR-Det'!F127</f>
        <v>274.28571428571428</v>
      </c>
      <c r="D127" s="2379" t="s">
        <v>232</v>
      </c>
      <c r="E127" s="1520" t="str">
        <f>'AR-Det'!G127</f>
        <v>na</v>
      </c>
      <c r="F127" s="1600" t="s">
        <v>232</v>
      </c>
      <c r="H127" s="1062"/>
    </row>
    <row r="128" spans="1:8" ht="13.9" customHeight="1" x14ac:dyDescent="0.25">
      <c r="A128" s="847">
        <f>Chem!A128</f>
        <v>126</v>
      </c>
      <c r="B128" s="964" t="str">
        <f>Chem!B128</f>
        <v>4-Methylphenol (p-cresol)</v>
      </c>
      <c r="C128" s="959">
        <f>'AR-Det'!F128</f>
        <v>274.28571428571428</v>
      </c>
      <c r="D128" s="2379" t="s">
        <v>232</v>
      </c>
      <c r="E128" s="1520" t="str">
        <f>'AR-Det'!G128</f>
        <v>na</v>
      </c>
      <c r="F128" s="1600" t="s">
        <v>232</v>
      </c>
      <c r="H128" s="1062"/>
    </row>
    <row r="129" spans="1:8" ht="13.9" customHeight="1" x14ac:dyDescent="0.25">
      <c r="A129" s="847">
        <f>Chem!A129</f>
        <v>127</v>
      </c>
      <c r="B129" s="964" t="str">
        <f>Chem!B129</f>
        <v>2-Nitroaniline</v>
      </c>
      <c r="C129" s="959">
        <f>'AR-Det'!F129</f>
        <v>2.2857142857142857E-2</v>
      </c>
      <c r="D129" s="2379" t="s">
        <v>232</v>
      </c>
      <c r="E129" s="1520" t="str">
        <f>'AR-Det'!G129</f>
        <v>na</v>
      </c>
      <c r="F129" s="1600" t="s">
        <v>232</v>
      </c>
      <c r="H129" s="1062"/>
    </row>
    <row r="130" spans="1:8" ht="13.9" customHeight="1" x14ac:dyDescent="0.25">
      <c r="A130" s="847">
        <f>Chem!A130</f>
        <v>128</v>
      </c>
      <c r="B130" s="964" t="str">
        <f>Chem!B130</f>
        <v>3-Nitroaniline</v>
      </c>
      <c r="C130" s="959" t="str">
        <f>'AR-Det'!F130</f>
        <v>na</v>
      </c>
      <c r="D130" s="2379" t="s">
        <v>232</v>
      </c>
      <c r="E130" s="1520" t="str">
        <f>'AR-Det'!G130</f>
        <v>na</v>
      </c>
      <c r="F130" s="1600" t="s">
        <v>232</v>
      </c>
      <c r="H130" s="1062"/>
    </row>
    <row r="131" spans="1:8" ht="13.9" customHeight="1" x14ac:dyDescent="0.25">
      <c r="A131" s="847">
        <f>Chem!A131</f>
        <v>129</v>
      </c>
      <c r="B131" s="964" t="str">
        <f>Chem!B131</f>
        <v>4-Nitroaniline</v>
      </c>
      <c r="C131" s="959">
        <f>'AR-Det'!F131</f>
        <v>2.7428571428571429</v>
      </c>
      <c r="D131" s="2379" t="s">
        <v>232</v>
      </c>
      <c r="E131" s="1520" t="str">
        <f>'AR-Det'!G131</f>
        <v>na</v>
      </c>
      <c r="F131" s="1600" t="s">
        <v>232</v>
      </c>
      <c r="H131" s="1062"/>
    </row>
    <row r="132" spans="1:8" ht="13.9" customHeight="1" x14ac:dyDescent="0.25">
      <c r="A132" s="847">
        <f>Chem!A132</f>
        <v>130</v>
      </c>
      <c r="B132" s="964" t="str">
        <f>Chem!B132</f>
        <v>Nitrobenzene</v>
      </c>
      <c r="C132" s="960">
        <f>'AR-Det'!F132</f>
        <v>6.2499999999999972E-2</v>
      </c>
      <c r="D132" s="2383" t="s">
        <v>232</v>
      </c>
      <c r="E132" s="1520" t="str">
        <f>'AR-Det'!G132</f>
        <v>na</v>
      </c>
      <c r="F132" s="1600" t="s">
        <v>232</v>
      </c>
      <c r="H132" s="1062"/>
    </row>
    <row r="133" spans="1:8" ht="13.9" customHeight="1" x14ac:dyDescent="0.25">
      <c r="A133" s="847">
        <f>Chem!A133</f>
        <v>131</v>
      </c>
      <c r="B133" s="964" t="str">
        <f>Chem!B133</f>
        <v>2-Nitrophenol</v>
      </c>
      <c r="C133" s="959" t="str">
        <f>'AR-Det'!F133</f>
        <v>na</v>
      </c>
      <c r="D133" s="2379" t="s">
        <v>232</v>
      </c>
      <c r="E133" s="1520" t="str">
        <f>'AR-Det'!G133</f>
        <v>na</v>
      </c>
      <c r="F133" s="1600" t="s">
        <v>232</v>
      </c>
      <c r="H133" s="1062"/>
    </row>
    <row r="134" spans="1:8" ht="13.9" customHeight="1" x14ac:dyDescent="0.25">
      <c r="A134" s="847">
        <f>Chem!A134</f>
        <v>132</v>
      </c>
      <c r="B134" s="964" t="str">
        <f>Chem!B134</f>
        <v>4-Nitrophenol</v>
      </c>
      <c r="C134" s="959" t="str">
        <f>'AR-Det'!F134</f>
        <v>na</v>
      </c>
      <c r="D134" s="2379" t="s">
        <v>232</v>
      </c>
      <c r="E134" s="1520" t="str">
        <f>'AR-Det'!G134</f>
        <v>na</v>
      </c>
      <c r="F134" s="1600" t="s">
        <v>232</v>
      </c>
      <c r="H134" s="1062"/>
    </row>
    <row r="135" spans="1:8" ht="13.9" customHeight="1" x14ac:dyDescent="0.25">
      <c r="A135" s="847">
        <f>Chem!A135</f>
        <v>133</v>
      </c>
      <c r="B135" s="964" t="str">
        <f>Chem!B135</f>
        <v>n-Nitrosodimethylamine</v>
      </c>
      <c r="C135" s="960">
        <f>'AR-Det'!F135</f>
        <v>4.6999999999999997E-5</v>
      </c>
      <c r="D135" s="2383" t="s">
        <v>232</v>
      </c>
      <c r="E135" s="1520" t="str">
        <f>'AR-Det'!G135</f>
        <v>na</v>
      </c>
      <c r="F135" s="1600" t="s">
        <v>232</v>
      </c>
      <c r="H135" s="1062"/>
    </row>
    <row r="136" spans="1:8" ht="13.9" customHeight="1" x14ac:dyDescent="0.25">
      <c r="A136" s="847">
        <f>Chem!A136</f>
        <v>134</v>
      </c>
      <c r="B136" s="964" t="str">
        <f>Chem!B136</f>
        <v>n-Nitrosodiphenylamine</v>
      </c>
      <c r="C136" s="959">
        <f>'AR-Det'!F136</f>
        <v>0.96153846153846134</v>
      </c>
      <c r="D136" s="2379" t="s">
        <v>232</v>
      </c>
      <c r="E136" s="1520" t="str">
        <f>'AR-Det'!G136</f>
        <v>na</v>
      </c>
      <c r="F136" s="1600" t="s">
        <v>232</v>
      </c>
      <c r="H136" s="1062"/>
    </row>
    <row r="137" spans="1:8" ht="13.9" customHeight="1" x14ac:dyDescent="0.25">
      <c r="A137" s="847">
        <f>Chem!A137</f>
        <v>135</v>
      </c>
      <c r="B137" s="964" t="str">
        <f>Chem!B137</f>
        <v>n-Nitrosodi-n-propylamine</v>
      </c>
      <c r="C137" s="959">
        <f>'AR-Det'!F137</f>
        <v>1.2499999999999998E-3</v>
      </c>
      <c r="D137" s="2379" t="s">
        <v>232</v>
      </c>
      <c r="E137" s="1520" t="str">
        <f>'AR-Det'!G137</f>
        <v>na</v>
      </c>
      <c r="F137" s="1600" t="s">
        <v>232</v>
      </c>
      <c r="H137" s="1062"/>
    </row>
    <row r="138" spans="1:8" ht="13.9" customHeight="1" x14ac:dyDescent="0.25">
      <c r="A138" s="847">
        <f>Chem!A138</f>
        <v>136</v>
      </c>
      <c r="B138" s="964" t="str">
        <f>Chem!B138</f>
        <v>Pentachlorophenol</v>
      </c>
      <c r="C138" s="959">
        <f>'AR-Det'!F138</f>
        <v>0.49019607843137247</v>
      </c>
      <c r="D138" s="2379" t="s">
        <v>232</v>
      </c>
      <c r="E138" s="1520" t="str">
        <f>'AR-Det'!G138</f>
        <v>na</v>
      </c>
      <c r="F138" s="1600" t="s">
        <v>232</v>
      </c>
      <c r="H138" s="1062"/>
    </row>
    <row r="139" spans="1:8" ht="13.9" customHeight="1" x14ac:dyDescent="0.25">
      <c r="A139" s="847">
        <f>Chem!A139</f>
        <v>137</v>
      </c>
      <c r="B139" s="964" t="str">
        <f>Chem!B139</f>
        <v>Phenol</v>
      </c>
      <c r="C139" s="959">
        <f>'AR-Det'!F139</f>
        <v>91.428571428571416</v>
      </c>
      <c r="D139" s="2379" t="s">
        <v>232</v>
      </c>
      <c r="E139" s="1520" t="str">
        <f>'AR-Det'!G139</f>
        <v>na</v>
      </c>
      <c r="F139" s="1600" t="s">
        <v>232</v>
      </c>
      <c r="H139" s="1062"/>
    </row>
    <row r="140" spans="1:8" ht="13.9" customHeight="1" x14ac:dyDescent="0.25">
      <c r="A140" s="847">
        <f>Chem!A140</f>
        <v>138</v>
      </c>
      <c r="B140" s="964" t="str">
        <f>Chem!B140</f>
        <v>Pyridine</v>
      </c>
      <c r="C140" s="959" t="str">
        <f>'AR-Det'!F140</f>
        <v>na</v>
      </c>
      <c r="D140" s="2379" t="s">
        <v>232</v>
      </c>
      <c r="E140" s="1520" t="str">
        <f>'AR-Det'!G140</f>
        <v>na</v>
      </c>
      <c r="F140" s="1600" t="s">
        <v>232</v>
      </c>
      <c r="H140" s="1062"/>
    </row>
    <row r="141" spans="1:8" ht="13.9" customHeight="1" x14ac:dyDescent="0.25">
      <c r="A141" s="847">
        <f>Chem!A141</f>
        <v>139</v>
      </c>
      <c r="B141" s="964" t="str">
        <f>Chem!B141</f>
        <v>2,3,4,5-Tetrachlorophenol</v>
      </c>
      <c r="C141" s="959" t="str">
        <f>'AR-Det'!F141</f>
        <v>na</v>
      </c>
      <c r="D141" s="2379" t="s">
        <v>232</v>
      </c>
      <c r="E141" s="1520" t="str">
        <f>'AR-Det'!G141</f>
        <v>na</v>
      </c>
      <c r="F141" s="1600" t="s">
        <v>232</v>
      </c>
      <c r="H141" s="1062"/>
    </row>
    <row r="142" spans="1:8" ht="13.9" customHeight="1" x14ac:dyDescent="0.25">
      <c r="A142" s="847">
        <f>Chem!A142</f>
        <v>140</v>
      </c>
      <c r="B142" s="964" t="str">
        <f>Chem!B142</f>
        <v>2,3,4,6-Tetrachlorophenol</v>
      </c>
      <c r="C142" s="959" t="str">
        <f>'AR-Det'!F142</f>
        <v>na</v>
      </c>
      <c r="D142" s="2379" t="s">
        <v>232</v>
      </c>
      <c r="E142" s="1520" t="str">
        <f>'AR-Det'!G142</f>
        <v>na</v>
      </c>
      <c r="F142" s="1600" t="s">
        <v>232</v>
      </c>
      <c r="H142" s="1062"/>
    </row>
    <row r="143" spans="1:8" ht="13.9" customHeight="1" x14ac:dyDescent="0.25">
      <c r="A143" s="847">
        <f>Chem!A143</f>
        <v>141</v>
      </c>
      <c r="B143" s="964" t="str">
        <f>Chem!B143</f>
        <v>1,2,4-Trichlorobenzene</v>
      </c>
      <c r="C143" s="959">
        <f>'AR-Det'!F143</f>
        <v>0.91428571428571437</v>
      </c>
      <c r="D143" s="2379" t="s">
        <v>232</v>
      </c>
      <c r="E143" s="1520">
        <f>'AR-Det'!G143</f>
        <v>30.476190476190482</v>
      </c>
      <c r="F143" s="1600" t="s">
        <v>232</v>
      </c>
      <c r="H143" s="1062"/>
    </row>
    <row r="144" spans="1:8" ht="13.9" customHeight="1" x14ac:dyDescent="0.25">
      <c r="A144" s="847">
        <f>Chem!A144</f>
        <v>142</v>
      </c>
      <c r="B144" s="964" t="str">
        <f>Chem!B144</f>
        <v>2,4,5-Trichlorophenol</v>
      </c>
      <c r="C144" s="959" t="str">
        <f>'AR-Det'!F144</f>
        <v>na</v>
      </c>
      <c r="D144" s="2379" t="s">
        <v>232</v>
      </c>
      <c r="E144" s="1520" t="str">
        <f>'AR-Det'!G144</f>
        <v>na</v>
      </c>
      <c r="F144" s="1600" t="s">
        <v>232</v>
      </c>
      <c r="H144" s="1062"/>
    </row>
    <row r="145" spans="1:8" ht="13.9" customHeight="1" x14ac:dyDescent="0.25">
      <c r="A145" s="842">
        <f>Chem!A145</f>
        <v>143</v>
      </c>
      <c r="B145" s="964" t="str">
        <f>Chem!B145</f>
        <v>2,4,6-Trichlorophenol</v>
      </c>
      <c r="C145" s="959">
        <f>'AR-Det'!F145</f>
        <v>0.80645161290322553</v>
      </c>
      <c r="D145" s="2379" t="s">
        <v>232</v>
      </c>
      <c r="E145" s="1520" t="str">
        <f>'AR-Det'!G145</f>
        <v>na</v>
      </c>
      <c r="F145" s="1601" t="s">
        <v>232</v>
      </c>
      <c r="H145" s="1062"/>
    </row>
    <row r="146" spans="1:8" ht="13.9" customHeight="1" x14ac:dyDescent="0.25">
      <c r="A146" s="1197">
        <f>Chem!A146</f>
        <v>144</v>
      </c>
      <c r="B146" s="953" t="str">
        <f>Chem!B146</f>
        <v>Volatile Organic Compounds</v>
      </c>
      <c r="C146" s="28"/>
      <c r="D146" s="28"/>
      <c r="E146" s="54"/>
      <c r="F146" s="1524"/>
      <c r="H146" s="1063"/>
    </row>
    <row r="147" spans="1:8" ht="13.9" customHeight="1" x14ac:dyDescent="0.25">
      <c r="A147" s="846">
        <f>Chem!A147</f>
        <v>145</v>
      </c>
      <c r="B147" s="964" t="str">
        <f>Chem!B147</f>
        <v>Acetone</v>
      </c>
      <c r="C147" s="959" t="str">
        <f>'AR-Det'!F147</f>
        <v>na</v>
      </c>
      <c r="D147" s="2379" t="s">
        <v>232</v>
      </c>
      <c r="E147" s="1520" t="str">
        <f>'AR-Det'!G147</f>
        <v>na</v>
      </c>
      <c r="F147" s="1602" t="s">
        <v>232</v>
      </c>
      <c r="H147" s="1062"/>
    </row>
    <row r="148" spans="1:8" ht="13.9" customHeight="1" x14ac:dyDescent="0.25">
      <c r="A148" s="846">
        <f>Chem!A148</f>
        <v>146</v>
      </c>
      <c r="B148" s="964" t="str">
        <f>Chem!B148</f>
        <v>Acetaldehyde</v>
      </c>
      <c r="C148" s="959">
        <f>'AR-Det'!F148</f>
        <v>1.1363636363636362</v>
      </c>
      <c r="D148" s="2379" t="s">
        <v>232</v>
      </c>
      <c r="E148" s="1520">
        <f>'AR-Det'!G148</f>
        <v>37.878787878787875</v>
      </c>
      <c r="F148" s="1602" t="s">
        <v>232</v>
      </c>
      <c r="H148" s="1062"/>
    </row>
    <row r="149" spans="1:8" ht="13.9" customHeight="1" x14ac:dyDescent="0.25">
      <c r="A149" s="846">
        <f>Chem!A149</f>
        <v>147</v>
      </c>
      <c r="B149" s="964" t="str">
        <f>Chem!B149</f>
        <v>Acrolein</v>
      </c>
      <c r="C149" s="959">
        <f>'AR-Det'!F149</f>
        <v>9.1428571428571435E-3</v>
      </c>
      <c r="D149" s="2379" t="s">
        <v>232</v>
      </c>
      <c r="E149" s="1520">
        <f>'AR-Det'!G149</f>
        <v>0.30476190476190479</v>
      </c>
      <c r="F149" s="1600" t="s">
        <v>232</v>
      </c>
      <c r="H149" s="1062"/>
    </row>
    <row r="150" spans="1:8" ht="13.9" customHeight="1" x14ac:dyDescent="0.25">
      <c r="A150" s="846">
        <f>Chem!A150</f>
        <v>148</v>
      </c>
      <c r="B150" s="964" t="str">
        <f>Chem!B150</f>
        <v>Acrylonitrile</v>
      </c>
      <c r="C150" s="960">
        <f>'AR-Det'!F150</f>
        <v>3.6764705882352929E-2</v>
      </c>
      <c r="D150" s="2383" t="s">
        <v>232</v>
      </c>
      <c r="E150" s="1520">
        <f>'AR-Det'!G150</f>
        <v>1.225490196078431</v>
      </c>
      <c r="F150" s="1600" t="s">
        <v>232</v>
      </c>
      <c r="H150" s="1062"/>
    </row>
    <row r="151" spans="1:8" ht="13.9" customHeight="1" x14ac:dyDescent="0.25">
      <c r="A151" s="846">
        <f>Chem!A151</f>
        <v>149</v>
      </c>
      <c r="B151" s="964" t="str">
        <f>Chem!B151</f>
        <v>Benzaldehyde</v>
      </c>
      <c r="C151" s="959" t="str">
        <f>'AR-Det'!F151</f>
        <v>na</v>
      </c>
      <c r="D151" s="2379" t="s">
        <v>232</v>
      </c>
      <c r="E151" s="1520" t="str">
        <f>'AR-Det'!G151</f>
        <v>na</v>
      </c>
      <c r="F151" s="1600" t="s">
        <v>232</v>
      </c>
      <c r="H151" s="1062"/>
    </row>
    <row r="152" spans="1:8" ht="13.9" customHeight="1" x14ac:dyDescent="0.25">
      <c r="A152" s="846">
        <f>Chem!A152</f>
        <v>150</v>
      </c>
      <c r="B152" s="964" t="str">
        <f>Chem!B152</f>
        <v>Benzene</v>
      </c>
      <c r="C152" s="960">
        <f>'AR-Det'!F152</f>
        <v>0.32051282051282048</v>
      </c>
      <c r="D152" s="2383" t="s">
        <v>232</v>
      </c>
      <c r="E152" s="1520">
        <f>'AR-Det'!G152</f>
        <v>10.683760683760683</v>
      </c>
      <c r="F152" s="1600" t="s">
        <v>232</v>
      </c>
      <c r="H152" s="1062"/>
    </row>
    <row r="153" spans="1:8" ht="13.9" customHeight="1" x14ac:dyDescent="0.25">
      <c r="A153" s="846">
        <f>Chem!A153</f>
        <v>151</v>
      </c>
      <c r="B153" s="964" t="str">
        <f>Chem!B153</f>
        <v>Bromobenzene</v>
      </c>
      <c r="C153" s="959">
        <f>'AR-Det'!F153</f>
        <v>27.428571428571431</v>
      </c>
      <c r="D153" s="2379" t="s">
        <v>232</v>
      </c>
      <c r="E153" s="1520">
        <f>'AR-Det'!G153</f>
        <v>914.28571428571433</v>
      </c>
      <c r="F153" s="1600" t="s">
        <v>232</v>
      </c>
      <c r="H153" s="1062"/>
    </row>
    <row r="154" spans="1:8" ht="13.9" customHeight="1" x14ac:dyDescent="0.25">
      <c r="A154" s="846">
        <f>Chem!A154</f>
        <v>152</v>
      </c>
      <c r="B154" s="964" t="str">
        <f>Chem!B154</f>
        <v>Bromochloromethane</v>
      </c>
      <c r="C154" s="959">
        <f>'AR-Det'!F154</f>
        <v>18.285714285714285</v>
      </c>
      <c r="D154" s="2379" t="s">
        <v>232</v>
      </c>
      <c r="E154" s="1520" t="str">
        <f>'AR-Det'!G154</f>
        <v>na</v>
      </c>
      <c r="F154" s="1600" t="s">
        <v>232</v>
      </c>
      <c r="H154" s="1062"/>
    </row>
    <row r="155" spans="1:8" ht="13.9" customHeight="1" x14ac:dyDescent="0.25">
      <c r="A155" s="846">
        <f>Chem!A155</f>
        <v>153</v>
      </c>
      <c r="B155" s="964" t="str">
        <f>Chem!B155</f>
        <v>Bromoethane</v>
      </c>
      <c r="C155" s="959" t="str">
        <f>'AR-Det'!F155</f>
        <v>na</v>
      </c>
      <c r="D155" s="2379" t="s">
        <v>232</v>
      </c>
      <c r="E155" s="1520" t="str">
        <f>'AR-Det'!G155</f>
        <v>na</v>
      </c>
      <c r="F155" s="1600" t="s">
        <v>232</v>
      </c>
      <c r="H155" s="1062"/>
    </row>
    <row r="156" spans="1:8" ht="13.9" customHeight="1" x14ac:dyDescent="0.25">
      <c r="A156" s="846">
        <f>Chem!A156</f>
        <v>154</v>
      </c>
      <c r="B156" s="964" t="str">
        <f>Chem!B156</f>
        <v>Bromoform</v>
      </c>
      <c r="C156" s="959">
        <f>'AR-Det'!F156</f>
        <v>2.2727272727272725</v>
      </c>
      <c r="D156" s="2379" t="s">
        <v>232</v>
      </c>
      <c r="E156" s="1520">
        <f>'AR-Det'!G156</f>
        <v>75.757575757575751</v>
      </c>
      <c r="F156" s="1600" t="s">
        <v>232</v>
      </c>
      <c r="H156" s="1062"/>
    </row>
    <row r="157" spans="1:8" ht="13.9" customHeight="1" x14ac:dyDescent="0.25">
      <c r="A157" s="846">
        <f>Chem!A157</f>
        <v>155</v>
      </c>
      <c r="B157" s="964" t="str">
        <f>Chem!B157</f>
        <v>Bromomethane</v>
      </c>
      <c r="C157" s="959">
        <f>'AR-Det'!F157</f>
        <v>2.2857142857142856</v>
      </c>
      <c r="D157" s="2379" t="s">
        <v>232</v>
      </c>
      <c r="E157" s="1520">
        <f>'AR-Det'!G157</f>
        <v>76.19047619047619</v>
      </c>
      <c r="F157" s="1600" t="s">
        <v>232</v>
      </c>
      <c r="H157" s="1062"/>
    </row>
    <row r="158" spans="1:8" ht="13.9" customHeight="1" x14ac:dyDescent="0.25">
      <c r="A158" s="846">
        <f>Chem!A158</f>
        <v>156</v>
      </c>
      <c r="B158" s="964" t="str">
        <f>Chem!B158</f>
        <v>2-Butoxyethanol (EGBE)</v>
      </c>
      <c r="C158" s="959">
        <f>'AR-Det'!F158</f>
        <v>731.42857142857133</v>
      </c>
      <c r="D158" s="2379" t="s">
        <v>232</v>
      </c>
      <c r="E158" s="1520" t="str">
        <f>'AR-Det'!G158</f>
        <v>na</v>
      </c>
      <c r="F158" s="1600" t="s">
        <v>232</v>
      </c>
      <c r="H158" s="1062"/>
    </row>
    <row r="159" spans="1:8" ht="13.9" customHeight="1" x14ac:dyDescent="0.25">
      <c r="A159" s="846">
        <f>Chem!A159</f>
        <v>157</v>
      </c>
      <c r="B159" s="964" t="str">
        <f>Chem!B159</f>
        <v>n-Butylbenzene</v>
      </c>
      <c r="C159" s="959" t="str">
        <f>'AR-Det'!F159</f>
        <v>na</v>
      </c>
      <c r="D159" s="2379" t="s">
        <v>232</v>
      </c>
      <c r="E159" s="1520" t="str">
        <f>'AR-Det'!G159</f>
        <v>na</v>
      </c>
      <c r="F159" s="1600" t="s">
        <v>232</v>
      </c>
      <c r="H159" s="1062"/>
    </row>
    <row r="160" spans="1:8" ht="13.9" customHeight="1" x14ac:dyDescent="0.25">
      <c r="A160" s="846">
        <f>Chem!A160</f>
        <v>158</v>
      </c>
      <c r="B160" s="964" t="str">
        <f>Chem!B160</f>
        <v>sec-Butylbenzene</v>
      </c>
      <c r="C160" s="959" t="str">
        <f>'AR-Det'!F160</f>
        <v>na</v>
      </c>
      <c r="D160" s="2379" t="s">
        <v>232</v>
      </c>
      <c r="E160" s="1520" t="str">
        <f>'AR-Det'!G160</f>
        <v>na</v>
      </c>
      <c r="F160" s="1600" t="s">
        <v>232</v>
      </c>
      <c r="H160" s="1062"/>
    </row>
    <row r="161" spans="1:8" ht="13.9" customHeight="1" x14ac:dyDescent="0.25">
      <c r="A161" s="846">
        <f>Chem!A161</f>
        <v>159</v>
      </c>
      <c r="B161" s="964" t="str">
        <f>Chem!B161</f>
        <v>tert-Butylbenzene</v>
      </c>
      <c r="C161" s="959" t="str">
        <f>'AR-Det'!F161</f>
        <v>na</v>
      </c>
      <c r="D161" s="2379" t="s">
        <v>232</v>
      </c>
      <c r="E161" s="1520" t="str">
        <f>'AR-Det'!G161</f>
        <v>na</v>
      </c>
      <c r="F161" s="1600" t="s">
        <v>232</v>
      </c>
      <c r="H161" s="1062"/>
    </row>
    <row r="162" spans="1:8" ht="13.9" customHeight="1" x14ac:dyDescent="0.25">
      <c r="A162" s="846">
        <f>Chem!A162</f>
        <v>160</v>
      </c>
      <c r="B162" s="964" t="str">
        <f>Chem!B162</f>
        <v>Carbon disulfide</v>
      </c>
      <c r="C162" s="959">
        <f>'AR-Det'!F162</f>
        <v>320.00000000000006</v>
      </c>
      <c r="D162" s="2379" t="s">
        <v>232</v>
      </c>
      <c r="E162" s="1520">
        <f>'AR-Det'!G162</f>
        <v>10666.66666666667</v>
      </c>
      <c r="F162" s="1600" t="s">
        <v>232</v>
      </c>
      <c r="H162" s="1062"/>
    </row>
    <row r="163" spans="1:8" ht="13.9" customHeight="1" x14ac:dyDescent="0.25">
      <c r="A163" s="846">
        <f>Chem!A163</f>
        <v>161</v>
      </c>
      <c r="B163" s="964" t="str">
        <f>Chem!B163</f>
        <v>Carbon tetrachloride</v>
      </c>
      <c r="C163" s="960">
        <f>'AR-Det'!F163</f>
        <v>0.41666666666666652</v>
      </c>
      <c r="D163" s="2383" t="s">
        <v>232</v>
      </c>
      <c r="E163" s="1520">
        <f>'AR-Det'!G163</f>
        <v>13.888888888888884</v>
      </c>
      <c r="F163" s="1600" t="s">
        <v>232</v>
      </c>
      <c r="H163" s="1062"/>
    </row>
    <row r="164" spans="1:8" ht="13.9" customHeight="1" x14ac:dyDescent="0.25">
      <c r="A164" s="846">
        <f>Chem!A164</f>
        <v>162</v>
      </c>
      <c r="B164" s="964" t="str">
        <f>Chem!B164</f>
        <v>Chlorobenzene</v>
      </c>
      <c r="C164" s="959">
        <f>'AR-Det'!F164</f>
        <v>22.857142857142854</v>
      </c>
      <c r="D164" s="2379" t="s">
        <v>232</v>
      </c>
      <c r="E164" s="1520">
        <f>'AR-Det'!G164</f>
        <v>761.90476190476181</v>
      </c>
      <c r="F164" s="1600" t="s">
        <v>232</v>
      </c>
      <c r="H164" s="1062"/>
    </row>
    <row r="165" spans="1:8" ht="13.9" customHeight="1" x14ac:dyDescent="0.25">
      <c r="A165" s="846">
        <f>Chem!A165</f>
        <v>163</v>
      </c>
      <c r="B165" s="964" t="str">
        <f>Chem!B165</f>
        <v>Chloroethane</v>
      </c>
      <c r="C165" s="959">
        <f>'AR-Det'!F165</f>
        <v>4571.4285714285716</v>
      </c>
      <c r="D165" s="2379" t="s">
        <v>232</v>
      </c>
      <c r="E165" s="1520">
        <f>'AR-Det'!G165</f>
        <v>152380.9523809524</v>
      </c>
      <c r="F165" s="1600" t="s">
        <v>232</v>
      </c>
      <c r="H165" s="1062"/>
    </row>
    <row r="166" spans="1:8" ht="13.9" customHeight="1" x14ac:dyDescent="0.25">
      <c r="A166" s="846">
        <f>Chem!A166</f>
        <v>164</v>
      </c>
      <c r="B166" s="964" t="str">
        <f>Chem!B166</f>
        <v>2-Chloroethyl vinyl ether</v>
      </c>
      <c r="C166" s="959" t="str">
        <f>'AR-Det'!F166</f>
        <v>na</v>
      </c>
      <c r="D166" s="2379" t="s">
        <v>232</v>
      </c>
      <c r="E166" s="1520" t="str">
        <f>'AR-Det'!G166</f>
        <v>na</v>
      </c>
      <c r="F166" s="1600" t="s">
        <v>232</v>
      </c>
      <c r="H166" s="1062"/>
    </row>
    <row r="167" spans="1:8" ht="13.9" customHeight="1" x14ac:dyDescent="0.25">
      <c r="A167" s="846">
        <f>Chem!A167</f>
        <v>165</v>
      </c>
      <c r="B167" s="964" t="str">
        <f>Chem!B167</f>
        <v>Chloroform</v>
      </c>
      <c r="C167" s="960">
        <f>'AR-Det'!F167</f>
        <v>0.10869565217391301</v>
      </c>
      <c r="D167" s="2383" t="s">
        <v>232</v>
      </c>
      <c r="E167" s="1520">
        <f>'AR-Det'!G167</f>
        <v>3.6231884057971007</v>
      </c>
      <c r="F167" s="1600" t="s">
        <v>232</v>
      </c>
      <c r="H167" s="1062"/>
    </row>
    <row r="168" spans="1:8" ht="13.9" customHeight="1" x14ac:dyDescent="0.25">
      <c r="A168" s="846">
        <f>Chem!A168</f>
        <v>166</v>
      </c>
      <c r="B168" s="964" t="str">
        <f>Chem!B168</f>
        <v>Chloromethane</v>
      </c>
      <c r="C168" s="959">
        <f>'AR-Det'!F168</f>
        <v>41.142857142857132</v>
      </c>
      <c r="D168" s="2379" t="s">
        <v>232</v>
      </c>
      <c r="E168" s="1520">
        <f>'AR-Det'!G168</f>
        <v>1371.4285714285711</v>
      </c>
      <c r="F168" s="1600" t="s">
        <v>232</v>
      </c>
      <c r="H168" s="1062"/>
    </row>
    <row r="169" spans="1:8" ht="13.9" customHeight="1" x14ac:dyDescent="0.25">
      <c r="A169" s="846">
        <f>Chem!A169</f>
        <v>167</v>
      </c>
      <c r="B169" s="964" t="str">
        <f>Chem!B169</f>
        <v>3-Chloro-1-propene (allyl chloride)</v>
      </c>
      <c r="C169" s="961">
        <f>'AR-Det'!F169</f>
        <v>0.41666666666666652</v>
      </c>
      <c r="D169" s="2384" t="s">
        <v>232</v>
      </c>
      <c r="E169" s="1520">
        <f>'AR-Det'!G169</f>
        <v>13.888888888888884</v>
      </c>
      <c r="F169" s="1600" t="s">
        <v>232</v>
      </c>
      <c r="H169" s="1062"/>
    </row>
    <row r="170" spans="1:8" ht="13.9" customHeight="1" x14ac:dyDescent="0.25">
      <c r="A170" s="846">
        <f>Chem!A170</f>
        <v>168</v>
      </c>
      <c r="B170" s="964" t="str">
        <f>Chem!B170</f>
        <v>2-Chlorotoluene</v>
      </c>
      <c r="C170" s="959" t="str">
        <f>'AR-Det'!F170</f>
        <v>na</v>
      </c>
      <c r="D170" s="2379" t="s">
        <v>232</v>
      </c>
      <c r="E170" s="1520" t="str">
        <f>'AR-Det'!G170</f>
        <v>na</v>
      </c>
      <c r="F170" s="1600" t="s">
        <v>232</v>
      </c>
      <c r="H170" s="1062"/>
    </row>
    <row r="171" spans="1:8" ht="13.9" customHeight="1" x14ac:dyDescent="0.25">
      <c r="A171" s="846">
        <f>Chem!A171</f>
        <v>169</v>
      </c>
      <c r="B171" s="964" t="str">
        <f>Chem!B171</f>
        <v>4-Chlorotoluene</v>
      </c>
      <c r="C171" s="959" t="str">
        <f>'AR-Det'!F171</f>
        <v>na</v>
      </c>
      <c r="D171" s="2379" t="s">
        <v>232</v>
      </c>
      <c r="E171" s="1520" t="str">
        <f>'AR-Det'!G171</f>
        <v>na</v>
      </c>
      <c r="F171" s="1600" t="s">
        <v>232</v>
      </c>
      <c r="H171" s="1062"/>
    </row>
    <row r="172" spans="1:8" ht="13.9" customHeight="1" x14ac:dyDescent="0.25">
      <c r="A172" s="846">
        <f>Chem!A172</f>
        <v>170</v>
      </c>
      <c r="B172" s="964" t="str">
        <f>Chem!B172</f>
        <v>Dibromochloromethane</v>
      </c>
      <c r="C172" s="959" t="str">
        <f>'AR-Det'!F172</f>
        <v>na</v>
      </c>
      <c r="D172" s="2379" t="s">
        <v>232</v>
      </c>
      <c r="E172" s="1520" t="str">
        <f>'AR-Det'!G172</f>
        <v>na</v>
      </c>
      <c r="F172" s="1600" t="s">
        <v>232</v>
      </c>
      <c r="H172" s="1062"/>
    </row>
    <row r="173" spans="1:8" ht="13.9" customHeight="1" x14ac:dyDescent="0.25">
      <c r="A173" s="846">
        <f>Chem!A173</f>
        <v>171</v>
      </c>
      <c r="B173" s="964" t="str">
        <f>Chem!B173</f>
        <v>1,2-Dibromo-3-chloropropane</v>
      </c>
      <c r="C173" s="960">
        <f>'AR-Det'!F173</f>
        <v>1.1E-4</v>
      </c>
      <c r="D173" s="2383" t="s">
        <v>232</v>
      </c>
      <c r="E173" s="1520">
        <f>'AR-Det'!G173</f>
        <v>3.666666666666667E-3</v>
      </c>
      <c r="F173" s="1600" t="s">
        <v>232</v>
      </c>
      <c r="H173" s="1062"/>
    </row>
    <row r="174" spans="1:8" ht="13.9" customHeight="1" x14ac:dyDescent="0.25">
      <c r="A174" s="846">
        <f>Chem!A174</f>
        <v>172</v>
      </c>
      <c r="B174" s="964" t="str">
        <f>Chem!B174</f>
        <v>Dibromomethane</v>
      </c>
      <c r="C174" s="959">
        <f>'AR-Det'!F174</f>
        <v>1.8285714285714287</v>
      </c>
      <c r="D174" s="2379" t="s">
        <v>232</v>
      </c>
      <c r="E174" s="1520">
        <f>'AR-Det'!G174</f>
        <v>60.952380952380963</v>
      </c>
      <c r="F174" s="1600" t="s">
        <v>232</v>
      </c>
      <c r="H174" s="1062"/>
    </row>
    <row r="175" spans="1:8" ht="13.9" customHeight="1" x14ac:dyDescent="0.25">
      <c r="A175" s="846">
        <f>Chem!A175</f>
        <v>173</v>
      </c>
      <c r="B175" s="964" t="str">
        <f>Chem!B175</f>
        <v>Dichlorobromomethane</v>
      </c>
      <c r="C175" s="959">
        <f>'AR-Det'!F175</f>
        <v>6.7567567567567557E-2</v>
      </c>
      <c r="D175" s="2379" t="s">
        <v>232</v>
      </c>
      <c r="E175" s="1520">
        <f>'AR-Det'!G175</f>
        <v>2.2522522522522519</v>
      </c>
      <c r="F175" s="1600" t="s">
        <v>232</v>
      </c>
      <c r="H175" s="1062"/>
    </row>
    <row r="176" spans="1:8" ht="13.9" customHeight="1" x14ac:dyDescent="0.25">
      <c r="A176" s="846">
        <f>Chem!A176</f>
        <v>174</v>
      </c>
      <c r="B176" s="964" t="str">
        <f>Chem!B176</f>
        <v>trans-1,4-Dichloro-2-butene</v>
      </c>
      <c r="C176" s="959">
        <f>'AR-Det'!F176</f>
        <v>5.9523809523809518E-4</v>
      </c>
      <c r="D176" s="2379" t="s">
        <v>232</v>
      </c>
      <c r="E176" s="1520" t="str">
        <f>'AR-Det'!G176</f>
        <v>na</v>
      </c>
      <c r="F176" s="1600" t="s">
        <v>232</v>
      </c>
      <c r="H176" s="1062"/>
    </row>
    <row r="177" spans="1:8" ht="13.9" customHeight="1" x14ac:dyDescent="0.25">
      <c r="A177" s="846">
        <f>Chem!A177</f>
        <v>175</v>
      </c>
      <c r="B177" s="964" t="str">
        <f>Chem!B177</f>
        <v>Dichlorodifluoromethane</v>
      </c>
      <c r="C177" s="959">
        <f>'AR-Det'!F177</f>
        <v>45.714285714285708</v>
      </c>
      <c r="D177" s="2379" t="s">
        <v>232</v>
      </c>
      <c r="E177" s="1520">
        <f>'AR-Det'!G177</f>
        <v>1523.8095238095236</v>
      </c>
      <c r="F177" s="1600" t="s">
        <v>232</v>
      </c>
      <c r="H177" s="1062"/>
    </row>
    <row r="178" spans="1:8" ht="13.9" customHeight="1" x14ac:dyDescent="0.25">
      <c r="A178" s="846">
        <f>Chem!A178</f>
        <v>176</v>
      </c>
      <c r="B178" s="964" t="str">
        <f>Chem!B178</f>
        <v>1,1-Dichloroethane</v>
      </c>
      <c r="C178" s="959">
        <f>'AR-Det'!F178</f>
        <v>1.5624999999999996</v>
      </c>
      <c r="D178" s="2379" t="s">
        <v>232</v>
      </c>
      <c r="E178" s="1520">
        <f>'AR-Det'!G178</f>
        <v>52.083333333333321</v>
      </c>
      <c r="F178" s="1600" t="s">
        <v>232</v>
      </c>
      <c r="H178" s="1062"/>
    </row>
    <row r="179" spans="1:8" ht="13.9" customHeight="1" x14ac:dyDescent="0.25">
      <c r="A179" s="846">
        <f>Chem!A179</f>
        <v>177</v>
      </c>
      <c r="B179" s="964" t="str">
        <f>Chem!B179</f>
        <v>1,2-Dichloroethane (EDC)</v>
      </c>
      <c r="C179" s="960">
        <f>'AR-Det'!F179</f>
        <v>9.6153846153846131E-2</v>
      </c>
      <c r="D179" s="2383" t="s">
        <v>232</v>
      </c>
      <c r="E179" s="1520">
        <f>'AR-Det'!G179</f>
        <v>3.2051282051282044</v>
      </c>
      <c r="F179" s="1600" t="s">
        <v>232</v>
      </c>
      <c r="H179" s="1062"/>
    </row>
    <row r="180" spans="1:8" ht="13.9" customHeight="1" x14ac:dyDescent="0.25">
      <c r="A180" s="846">
        <f>Chem!A180</f>
        <v>178</v>
      </c>
      <c r="B180" s="964" t="str">
        <f>Chem!B180</f>
        <v>1,1-Dichloroethylene</v>
      </c>
      <c r="C180" s="959">
        <f>'AR-Det'!F180</f>
        <v>91.428571428571416</v>
      </c>
      <c r="D180" s="2379" t="s">
        <v>232</v>
      </c>
      <c r="E180" s="1520">
        <f>'AR-Det'!G180</f>
        <v>3047.6190476190473</v>
      </c>
      <c r="F180" s="1600" t="s">
        <v>232</v>
      </c>
      <c r="H180" s="1062"/>
    </row>
    <row r="181" spans="1:8" ht="13.9" customHeight="1" x14ac:dyDescent="0.25">
      <c r="A181" s="846">
        <f>Chem!A181</f>
        <v>179</v>
      </c>
      <c r="B181" s="964" t="str">
        <f>Chem!B181</f>
        <v>cis-1,2-Dichloroethylene</v>
      </c>
      <c r="C181" s="959">
        <f>'AR-Det'!F181</f>
        <v>18.285714285714285</v>
      </c>
      <c r="D181" s="2379" t="s">
        <v>232</v>
      </c>
      <c r="E181" s="1520">
        <f>'AR-Det'!G181</f>
        <v>609.52380952380952</v>
      </c>
      <c r="F181" s="1600" t="s">
        <v>232</v>
      </c>
      <c r="H181" s="1062"/>
    </row>
    <row r="182" spans="1:8" ht="13.9" customHeight="1" x14ac:dyDescent="0.25">
      <c r="A182" s="846">
        <f>Chem!A182</f>
        <v>180</v>
      </c>
      <c r="B182" s="964" t="str">
        <f>Chem!B182</f>
        <v>trans-1,2-Dichloroethylene</v>
      </c>
      <c r="C182" s="959">
        <f>'AR-Det'!F182</f>
        <v>18.285714285714285</v>
      </c>
      <c r="D182" s="2379" t="s">
        <v>232</v>
      </c>
      <c r="E182" s="1520">
        <f>'AR-Det'!G182</f>
        <v>609.52380952380952</v>
      </c>
      <c r="F182" s="1600" t="s">
        <v>232</v>
      </c>
      <c r="H182" s="1062"/>
    </row>
    <row r="183" spans="1:8" ht="13.9" customHeight="1" x14ac:dyDescent="0.25">
      <c r="A183" s="846">
        <f>Chem!A183</f>
        <v>181</v>
      </c>
      <c r="B183" s="964" t="str">
        <f>Chem!B183</f>
        <v>1,2-Dichloroethylene (mixed isomers)</v>
      </c>
      <c r="C183" s="959" t="str">
        <f>'AR-Det'!F183</f>
        <v>na</v>
      </c>
      <c r="D183" s="2379" t="s">
        <v>232</v>
      </c>
      <c r="E183" s="1520" t="str">
        <f>'AR-Det'!G183</f>
        <v>na</v>
      </c>
      <c r="F183" s="1600" t="s">
        <v>232</v>
      </c>
      <c r="H183" s="1062"/>
    </row>
    <row r="184" spans="1:8" ht="13.9" customHeight="1" x14ac:dyDescent="0.25">
      <c r="A184" s="846">
        <f>Chem!A184</f>
        <v>182</v>
      </c>
      <c r="B184" s="964" t="str">
        <f>Chem!B184</f>
        <v>1,2-Dichloropropane</v>
      </c>
      <c r="C184" s="959">
        <f>'AR-Det'!F184</f>
        <v>0.67567567567567566</v>
      </c>
      <c r="D184" s="2379" t="s">
        <v>232</v>
      </c>
      <c r="E184" s="1520">
        <f>'AR-Det'!G184</f>
        <v>22.522522522522522</v>
      </c>
      <c r="F184" s="1600" t="s">
        <v>232</v>
      </c>
      <c r="H184" s="1062"/>
    </row>
    <row r="185" spans="1:8" ht="13.9" customHeight="1" x14ac:dyDescent="0.25">
      <c r="A185" s="846">
        <f>Chem!A185</f>
        <v>183</v>
      </c>
      <c r="B185" s="964" t="str">
        <f>Chem!B185</f>
        <v>1,3-Dichloropropane</v>
      </c>
      <c r="C185" s="959" t="str">
        <f>'AR-Det'!F185</f>
        <v>na</v>
      </c>
      <c r="D185" s="2379" t="s">
        <v>232</v>
      </c>
      <c r="E185" s="1520" t="str">
        <f>'AR-Det'!G185</f>
        <v>na</v>
      </c>
      <c r="F185" s="1600" t="s">
        <v>232</v>
      </c>
      <c r="H185" s="1062"/>
    </row>
    <row r="186" spans="1:8" ht="13.9" customHeight="1" x14ac:dyDescent="0.25">
      <c r="A186" s="846">
        <f>Chem!A186</f>
        <v>184</v>
      </c>
      <c r="B186" s="964" t="str">
        <f>Chem!B186</f>
        <v>2,2-Dichloropropane</v>
      </c>
      <c r="C186" s="959" t="str">
        <f>'AR-Det'!F186</f>
        <v>na</v>
      </c>
      <c r="D186" s="2379" t="s">
        <v>232</v>
      </c>
      <c r="E186" s="1520" t="str">
        <f>'AR-Det'!G186</f>
        <v>na</v>
      </c>
      <c r="F186" s="1600" t="s">
        <v>232</v>
      </c>
      <c r="H186" s="1062"/>
    </row>
    <row r="187" spans="1:8" ht="13.9" customHeight="1" x14ac:dyDescent="0.25">
      <c r="A187" s="846">
        <f>Chem!A187</f>
        <v>185</v>
      </c>
      <c r="B187" s="964" t="str">
        <f>Chem!B187</f>
        <v>1,1-Dichloropropene</v>
      </c>
      <c r="C187" s="959" t="str">
        <f>'AR-Det'!F187</f>
        <v>na</v>
      </c>
      <c r="D187" s="2379" t="s">
        <v>232</v>
      </c>
      <c r="E187" s="1520" t="str">
        <f>'AR-Det'!G187</f>
        <v>na</v>
      </c>
      <c r="F187" s="1600" t="s">
        <v>232</v>
      </c>
      <c r="H187" s="1062"/>
    </row>
    <row r="188" spans="1:8" ht="13.9" customHeight="1" x14ac:dyDescent="0.25">
      <c r="A188" s="846">
        <f>Chem!A188</f>
        <v>186</v>
      </c>
      <c r="B188" s="964" t="str">
        <f>Chem!B188</f>
        <v>cis-1,3-Dichloropropene</v>
      </c>
      <c r="C188" s="959">
        <f>'AR-Det'!F188</f>
        <v>0.625</v>
      </c>
      <c r="D188" s="2379" t="s">
        <v>232</v>
      </c>
      <c r="E188" s="1520">
        <f>'AR-Det'!G188</f>
        <v>20.833333333333336</v>
      </c>
      <c r="F188" s="1600" t="s">
        <v>232</v>
      </c>
      <c r="H188" s="1062"/>
    </row>
    <row r="189" spans="1:8" ht="13.9" customHeight="1" x14ac:dyDescent="0.25">
      <c r="A189" s="846">
        <f>Chem!A189</f>
        <v>187</v>
      </c>
      <c r="B189" s="964" t="str">
        <f>Chem!B189</f>
        <v>trans-1,3-Dichloropropene</v>
      </c>
      <c r="C189" s="959">
        <f>'AR-Det'!F189</f>
        <v>0.625</v>
      </c>
      <c r="D189" s="2379" t="s">
        <v>232</v>
      </c>
      <c r="E189" s="1520">
        <f>'AR-Det'!G189</f>
        <v>20.833333333333336</v>
      </c>
      <c r="F189" s="1600" t="s">
        <v>232</v>
      </c>
      <c r="H189" s="1062"/>
    </row>
    <row r="190" spans="1:8" ht="13.9" customHeight="1" x14ac:dyDescent="0.25">
      <c r="A190" s="846">
        <f>Chem!A190</f>
        <v>188</v>
      </c>
      <c r="B190" s="964" t="str">
        <f>Chem!B190</f>
        <v>Diisopropyl ether</v>
      </c>
      <c r="C190" s="959" t="str">
        <f>'AR-Det'!F191</f>
        <v>na</v>
      </c>
      <c r="D190" s="2379" t="s">
        <v>232</v>
      </c>
      <c r="E190" s="1520" t="str">
        <f>'AR-Det'!G191</f>
        <v>na</v>
      </c>
      <c r="F190" s="1600" t="s">
        <v>232</v>
      </c>
      <c r="H190" s="1062"/>
    </row>
    <row r="191" spans="1:8" ht="13.9" customHeight="1" x14ac:dyDescent="0.25">
      <c r="A191" s="846">
        <f>Chem!A191</f>
        <v>189</v>
      </c>
      <c r="B191" s="964" t="str">
        <f>Chem!B191</f>
        <v>Ethane</v>
      </c>
      <c r="C191" s="959" t="str">
        <f>'AR-Det'!F191</f>
        <v>na</v>
      </c>
      <c r="D191" s="2379" t="s">
        <v>232</v>
      </c>
      <c r="E191" s="1520" t="str">
        <f>'AR-Det'!G191</f>
        <v>na</v>
      </c>
      <c r="F191" s="1600" t="s">
        <v>232</v>
      </c>
      <c r="H191" s="1062"/>
    </row>
    <row r="192" spans="1:8" ht="13.9" customHeight="1" x14ac:dyDescent="0.25">
      <c r="A192" s="846">
        <f>Chem!A192</f>
        <v>190</v>
      </c>
      <c r="B192" s="964" t="str">
        <f>Chem!B192</f>
        <v>Ethylbenzene</v>
      </c>
      <c r="C192" s="959">
        <f>'AR-Det'!F192</f>
        <v>457.14285714285711</v>
      </c>
      <c r="D192" s="2379" t="s">
        <v>232</v>
      </c>
      <c r="E192" s="1520">
        <f>'AR-Det'!G192</f>
        <v>15238.095238095237</v>
      </c>
      <c r="F192" s="1600" t="s">
        <v>232</v>
      </c>
      <c r="H192" s="1062"/>
    </row>
    <row r="193" spans="1:8" ht="13.9" customHeight="1" x14ac:dyDescent="0.25">
      <c r="A193" s="846">
        <f>Chem!A193</f>
        <v>191</v>
      </c>
      <c r="B193" s="964" t="str">
        <f>Chem!B193</f>
        <v>Ethylene oxide</v>
      </c>
      <c r="C193" s="959">
        <f>'AR-Det'!F193</f>
        <v>2.2000000000000001E-4</v>
      </c>
      <c r="D193" s="2379" t="s">
        <v>232</v>
      </c>
      <c r="E193" s="1520">
        <f>'AR-Det'!G193</f>
        <v>7.3333333333333341E-3</v>
      </c>
      <c r="F193" s="1600" t="s">
        <v>232</v>
      </c>
      <c r="H193" s="1062"/>
    </row>
    <row r="194" spans="1:8" ht="13.9" customHeight="1" x14ac:dyDescent="0.25">
      <c r="A194" s="846">
        <f>Chem!A194</f>
        <v>192</v>
      </c>
      <c r="B194" s="964" t="str">
        <f>Chem!B194</f>
        <v>Ethyl ether</v>
      </c>
      <c r="C194" s="959" t="str">
        <f>'AR-Det'!F194</f>
        <v>na</v>
      </c>
      <c r="D194" s="2379" t="s">
        <v>232</v>
      </c>
      <c r="E194" s="1520" t="str">
        <f>'AR-Det'!G194</f>
        <v>na</v>
      </c>
      <c r="F194" s="1600" t="s">
        <v>232</v>
      </c>
      <c r="H194" s="1062"/>
    </row>
    <row r="195" spans="1:8" ht="13.9" customHeight="1" x14ac:dyDescent="0.25">
      <c r="A195" s="846">
        <f>Chem!A195</f>
        <v>193</v>
      </c>
      <c r="B195" s="964" t="str">
        <f>Chem!B195</f>
        <v>Ethylene dibromide (EDB)</v>
      </c>
      <c r="C195" s="960">
        <f>'AR-Det'!F195</f>
        <v>4.1666666666666666E-3</v>
      </c>
      <c r="D195" s="2383" t="s">
        <v>232</v>
      </c>
      <c r="E195" s="1520">
        <f>'AR-Det'!G195</f>
        <v>0.1388888888888889</v>
      </c>
      <c r="F195" s="1600" t="s">
        <v>232</v>
      </c>
      <c r="H195" s="1062"/>
    </row>
    <row r="196" spans="1:8" ht="13.9" customHeight="1" x14ac:dyDescent="0.25">
      <c r="A196" s="846">
        <f>Chem!A196</f>
        <v>194</v>
      </c>
      <c r="B196" s="964" t="str">
        <f>Chem!B196</f>
        <v>Formaldehyde</v>
      </c>
      <c r="C196" s="960">
        <f>'AR-Det'!F196</f>
        <v>8.8999999999999996E-2</v>
      </c>
      <c r="D196" s="2383" t="s">
        <v>232</v>
      </c>
      <c r="E196" s="1520" t="str">
        <f>'AR-Det'!G196</f>
        <v>na</v>
      </c>
      <c r="F196" s="1600" t="s">
        <v>232</v>
      </c>
      <c r="H196" s="1062"/>
    </row>
    <row r="197" spans="1:8" ht="13.9" customHeight="1" x14ac:dyDescent="0.25">
      <c r="A197" s="846">
        <f>Chem!A197</f>
        <v>195</v>
      </c>
      <c r="B197" s="964" t="str">
        <f>Chem!B197</f>
        <v>n-Hexane</v>
      </c>
      <c r="C197" s="960">
        <f>'AR-Det'!F197</f>
        <v>320.00000000000006</v>
      </c>
      <c r="D197" s="2383" t="s">
        <v>232</v>
      </c>
      <c r="E197" s="1520">
        <f>'AR-Det'!G197</f>
        <v>10666.66666666667</v>
      </c>
      <c r="F197" s="1600" t="s">
        <v>232</v>
      </c>
      <c r="H197" s="1062"/>
    </row>
    <row r="198" spans="1:8" ht="13.9" customHeight="1" x14ac:dyDescent="0.25">
      <c r="A198" s="846">
        <f>Chem!A198</f>
        <v>196</v>
      </c>
      <c r="B198" s="964" t="str">
        <f>Chem!B198</f>
        <v>2-Hexanone</v>
      </c>
      <c r="C198" s="959">
        <f>'AR-Det'!F198</f>
        <v>13.714285714285715</v>
      </c>
      <c r="D198" s="2379" t="s">
        <v>232</v>
      </c>
      <c r="E198" s="1520">
        <f>'AR-Det'!G198</f>
        <v>457.14285714285717</v>
      </c>
      <c r="F198" s="1600" t="s">
        <v>232</v>
      </c>
      <c r="H198" s="1062"/>
    </row>
    <row r="199" spans="1:8" ht="13.9" customHeight="1" x14ac:dyDescent="0.25">
      <c r="A199" s="846">
        <f>Chem!A199</f>
        <v>197</v>
      </c>
      <c r="B199" s="964" t="str">
        <f>Chem!B199</f>
        <v>Isopropylbenzene (cumene)</v>
      </c>
      <c r="C199" s="959">
        <f>'AR-Det'!F199</f>
        <v>182.85714285714283</v>
      </c>
      <c r="D199" s="2379" t="s">
        <v>232</v>
      </c>
      <c r="E199" s="1520">
        <f>'AR-Det'!G199</f>
        <v>6095.2380952380945</v>
      </c>
      <c r="F199" s="1600" t="s">
        <v>232</v>
      </c>
      <c r="H199" s="1062"/>
    </row>
    <row r="200" spans="1:8" ht="13.9" customHeight="1" x14ac:dyDescent="0.25">
      <c r="A200" s="846">
        <f>Chem!A200</f>
        <v>198</v>
      </c>
      <c r="B200" s="964" t="str">
        <f>Chem!B200</f>
        <v>4-Isopropyltoluene (p-isopropyltoluene)</v>
      </c>
      <c r="C200" s="959">
        <f>'AR-Det'!F200</f>
        <v>18.285714285714285</v>
      </c>
      <c r="D200" s="2379" t="s">
        <v>232</v>
      </c>
      <c r="E200" s="1520">
        <f>'AR-Det'!G200</f>
        <v>609.52380952380952</v>
      </c>
      <c r="F200" s="1600" t="s">
        <v>232</v>
      </c>
      <c r="H200" s="1062"/>
    </row>
    <row r="201" spans="1:8" ht="13.9" customHeight="1" x14ac:dyDescent="0.25">
      <c r="A201" s="846">
        <f>Chem!A201</f>
        <v>199</v>
      </c>
      <c r="B201" s="964" t="str">
        <f>Chem!B201</f>
        <v>Methane</v>
      </c>
      <c r="C201" s="959">
        <f>'AR-Det'!F201</f>
        <v>65603</v>
      </c>
      <c r="D201" s="2379" t="s">
        <v>232</v>
      </c>
      <c r="E201" s="1520" t="str">
        <f>'AR-Det'!G201</f>
        <v>na</v>
      </c>
      <c r="F201" s="1600" t="s">
        <v>232</v>
      </c>
      <c r="H201" s="1062"/>
    </row>
    <row r="202" spans="1:8" ht="13.9" customHeight="1" x14ac:dyDescent="0.25">
      <c r="A202" s="846">
        <f>Chem!A202</f>
        <v>200</v>
      </c>
      <c r="B202" s="964" t="str">
        <f>Chem!B202</f>
        <v>Methyl ethyl ketone (2-butanone)</v>
      </c>
      <c r="C202" s="959">
        <f>'AR-Det'!F202</f>
        <v>2285.7142857142858</v>
      </c>
      <c r="D202" s="2379" t="s">
        <v>232</v>
      </c>
      <c r="E202" s="1520">
        <f>'AR-Det'!G202</f>
        <v>76190.476190476198</v>
      </c>
      <c r="F202" s="1600" t="s">
        <v>232</v>
      </c>
      <c r="H202" s="1062"/>
    </row>
    <row r="203" spans="1:8" ht="13.9" customHeight="1" x14ac:dyDescent="0.25">
      <c r="A203" s="846">
        <f>Chem!A203</f>
        <v>201</v>
      </c>
      <c r="B203" s="964" t="str">
        <f>Chem!B203</f>
        <v>Methyl iodide</v>
      </c>
      <c r="C203" s="959" t="str">
        <f>'AR-Det'!F203</f>
        <v>na</v>
      </c>
      <c r="D203" s="2379" t="s">
        <v>232</v>
      </c>
      <c r="E203" s="1520" t="str">
        <f>'AR-Det'!G203</f>
        <v>na</v>
      </c>
      <c r="F203" s="1600" t="s">
        <v>232</v>
      </c>
      <c r="H203" s="1062"/>
    </row>
    <row r="204" spans="1:8" ht="13.9" customHeight="1" x14ac:dyDescent="0.25">
      <c r="A204" s="846">
        <f>Chem!A204</f>
        <v>202</v>
      </c>
      <c r="B204" s="964" t="str">
        <f>Chem!B204</f>
        <v>Methyl isobutyl ketone</v>
      </c>
      <c r="C204" s="959">
        <f>'AR-Det'!F204</f>
        <v>1371.4285714285713</v>
      </c>
      <c r="D204" s="2379" t="s">
        <v>232</v>
      </c>
      <c r="E204" s="1520">
        <f>'AR-Det'!G204</f>
        <v>45714.28571428571</v>
      </c>
      <c r="F204" s="1600" t="s">
        <v>232</v>
      </c>
      <c r="H204" s="1062"/>
    </row>
    <row r="205" spans="1:8" ht="13.9" customHeight="1" x14ac:dyDescent="0.25">
      <c r="A205" s="846">
        <f>Chem!A205</f>
        <v>203</v>
      </c>
      <c r="B205" s="964" t="str">
        <f>Chem!B205</f>
        <v>Methyl tert-butyl ether (MTBE)</v>
      </c>
      <c r="C205" s="961">
        <f>'AR-Det'!F205</f>
        <v>9.615384615384615</v>
      </c>
      <c r="D205" s="2384" t="s">
        <v>232</v>
      </c>
      <c r="E205" s="1520">
        <f>'AR-Det'!G205</f>
        <v>320.5128205128205</v>
      </c>
      <c r="F205" s="1600" t="s">
        <v>232</v>
      </c>
      <c r="H205" s="1062"/>
    </row>
    <row r="206" spans="1:8" ht="13.9" customHeight="1" x14ac:dyDescent="0.25">
      <c r="A206" s="846">
        <f>Chem!A206</f>
        <v>204</v>
      </c>
      <c r="B206" s="964" t="str">
        <f>Chem!B206</f>
        <v>Methylene chloride</v>
      </c>
      <c r="C206" s="960">
        <f>'AR-Det'!F206</f>
        <v>66</v>
      </c>
      <c r="D206" s="2383" t="s">
        <v>232</v>
      </c>
      <c r="E206" s="1520">
        <f>'AR-Det'!G206</f>
        <v>2200</v>
      </c>
      <c r="F206" s="1600" t="s">
        <v>232</v>
      </c>
      <c r="H206" s="1062"/>
    </row>
    <row r="207" spans="1:8" ht="13.9" customHeight="1" x14ac:dyDescent="0.25">
      <c r="A207" s="846">
        <f>Chem!A207</f>
        <v>205</v>
      </c>
      <c r="B207" s="964" t="str">
        <f>Chem!B207</f>
        <v>2-Pentanone</v>
      </c>
      <c r="C207" s="959" t="str">
        <f>'AR-Det'!F207</f>
        <v>na</v>
      </c>
      <c r="D207" s="2379" t="s">
        <v>232</v>
      </c>
      <c r="E207" s="1520" t="str">
        <f>'AR-Det'!G207</f>
        <v>na</v>
      </c>
      <c r="F207" s="1600" t="s">
        <v>232</v>
      </c>
      <c r="H207" s="1062"/>
    </row>
    <row r="208" spans="1:8" ht="13.9" customHeight="1" x14ac:dyDescent="0.25">
      <c r="A208" s="846">
        <f>Chem!A208</f>
        <v>206</v>
      </c>
      <c r="B208" s="964" t="str">
        <f>Chem!B208</f>
        <v>n-Propylbenzene</v>
      </c>
      <c r="C208" s="959">
        <f>'AR-Det'!F208</f>
        <v>457.14285714285711</v>
      </c>
      <c r="D208" s="2379" t="s">
        <v>232</v>
      </c>
      <c r="E208" s="1520">
        <f>'AR-Det'!G208</f>
        <v>15238.095238095237</v>
      </c>
      <c r="F208" s="1600" t="s">
        <v>232</v>
      </c>
      <c r="H208" s="1062"/>
    </row>
    <row r="209" spans="1:8" ht="13.9" customHeight="1" x14ac:dyDescent="0.25">
      <c r="A209" s="846">
        <f>Chem!A209</f>
        <v>207</v>
      </c>
      <c r="B209" s="964" t="str">
        <f>Chem!B209</f>
        <v>Styrene</v>
      </c>
      <c r="C209" s="959">
        <f>'AR-Det'!F209</f>
        <v>457.14285714285711</v>
      </c>
      <c r="D209" s="2379" t="s">
        <v>232</v>
      </c>
      <c r="E209" s="1520">
        <f>'AR-Det'!G209</f>
        <v>15238.095238095237</v>
      </c>
      <c r="F209" s="1600" t="s">
        <v>232</v>
      </c>
      <c r="H209" s="1062"/>
    </row>
    <row r="210" spans="1:8" ht="13.9" customHeight="1" x14ac:dyDescent="0.25">
      <c r="A210" s="846">
        <f>Chem!A210</f>
        <v>208</v>
      </c>
      <c r="B210" s="964" t="str">
        <f>Chem!B210</f>
        <v>1,1,1,2-Tetrachloroethane</v>
      </c>
      <c r="C210" s="959">
        <f>'AR-Det'!F210</f>
        <v>0.33783783783783783</v>
      </c>
      <c r="D210" s="2379" t="s">
        <v>232</v>
      </c>
      <c r="E210" s="1520">
        <f>'AR-Det'!G210</f>
        <v>11.261261261261261</v>
      </c>
      <c r="F210" s="1600" t="s">
        <v>232</v>
      </c>
      <c r="H210" s="1062"/>
    </row>
    <row r="211" spans="1:8" ht="13.9" customHeight="1" x14ac:dyDescent="0.25">
      <c r="A211" s="846">
        <f>Chem!A211</f>
        <v>209</v>
      </c>
      <c r="B211" s="964" t="str">
        <f>Chem!B211</f>
        <v>1,1,2,2-Tetrachloroethane</v>
      </c>
      <c r="C211" s="959">
        <f>'AR-Det'!F211</f>
        <v>4.3103448275862065E-2</v>
      </c>
      <c r="D211" s="2379" t="s">
        <v>232</v>
      </c>
      <c r="E211" s="1520">
        <f>'AR-Det'!G211</f>
        <v>1.4367816091954022</v>
      </c>
      <c r="F211" s="1600" t="s">
        <v>232</v>
      </c>
      <c r="H211" s="1062"/>
    </row>
    <row r="212" spans="1:8" ht="13.9" customHeight="1" x14ac:dyDescent="0.25">
      <c r="A212" s="846">
        <f>Chem!A212</f>
        <v>210</v>
      </c>
      <c r="B212" s="964" t="str">
        <f>Chem!B212</f>
        <v>Tetrachloroethylene (PCE)</v>
      </c>
      <c r="C212" s="960">
        <f>'AR-Det'!F212</f>
        <v>9.615384615384615</v>
      </c>
      <c r="D212" s="2383" t="s">
        <v>232</v>
      </c>
      <c r="E212" s="1520">
        <f>'AR-Det'!G212</f>
        <v>320.5128205128205</v>
      </c>
      <c r="F212" s="1600" t="s">
        <v>232</v>
      </c>
      <c r="H212" s="1062"/>
    </row>
    <row r="213" spans="1:8" ht="13.9" customHeight="1" x14ac:dyDescent="0.25">
      <c r="A213" s="846">
        <f>Chem!A213</f>
        <v>211</v>
      </c>
      <c r="B213" s="964" t="str">
        <f>Chem!B213</f>
        <v>Tetrahydrofuran</v>
      </c>
      <c r="C213" s="960">
        <f>'AR-Det'!F213</f>
        <v>914.28571428571422</v>
      </c>
      <c r="D213" s="2383" t="s">
        <v>232</v>
      </c>
      <c r="E213" s="1520">
        <f>'AR-Det'!G213</f>
        <v>30476.190476190473</v>
      </c>
      <c r="F213" s="1600" t="s">
        <v>232</v>
      </c>
      <c r="H213" s="1062"/>
    </row>
    <row r="214" spans="1:8" ht="13.9" customHeight="1" x14ac:dyDescent="0.25">
      <c r="A214" s="846">
        <f>Chem!A214</f>
        <v>212</v>
      </c>
      <c r="B214" s="964" t="str">
        <f>Chem!B214</f>
        <v>Toluene</v>
      </c>
      <c r="C214" s="959">
        <f>'AR-Det'!F214</f>
        <v>2285.7142857142858</v>
      </c>
      <c r="D214" s="2379" t="s">
        <v>232</v>
      </c>
      <c r="E214" s="1520">
        <f>'AR-Det'!G214</f>
        <v>76190.476190476198</v>
      </c>
      <c r="F214" s="1600" t="s">
        <v>232</v>
      </c>
      <c r="H214" s="1062"/>
    </row>
    <row r="215" spans="1:8" ht="13.9" customHeight="1" x14ac:dyDescent="0.25">
      <c r="A215" s="846">
        <f>Chem!A215</f>
        <v>213</v>
      </c>
      <c r="B215" s="964" t="str">
        <f>Chem!B215</f>
        <v>1,2,3-Trichlorobenzene</v>
      </c>
      <c r="C215" s="959" t="str">
        <f>'AR-Det'!F215</f>
        <v>na</v>
      </c>
      <c r="D215" s="2379" t="s">
        <v>232</v>
      </c>
      <c r="E215" s="1520" t="str">
        <f>'AR-Det'!G215</f>
        <v>na</v>
      </c>
      <c r="F215" s="1600" t="s">
        <v>232</v>
      </c>
      <c r="H215" s="1062"/>
    </row>
    <row r="216" spans="1:8" ht="13.9" customHeight="1" x14ac:dyDescent="0.25">
      <c r="A216" s="846">
        <f>Chem!A216</f>
        <v>214</v>
      </c>
      <c r="B216" s="964" t="str">
        <f>Chem!B216</f>
        <v>1,1,1-Trichloroethane</v>
      </c>
      <c r="C216" s="959">
        <f>'AR-Det'!F216</f>
        <v>2285.7142857142858</v>
      </c>
      <c r="D216" s="2379" t="s">
        <v>232</v>
      </c>
      <c r="E216" s="1520">
        <f>'AR-Det'!G216</f>
        <v>76190.476190476198</v>
      </c>
      <c r="F216" s="1600" t="s">
        <v>232</v>
      </c>
      <c r="H216" s="1062"/>
    </row>
    <row r="217" spans="1:8" ht="13.9" customHeight="1" x14ac:dyDescent="0.25">
      <c r="A217" s="846">
        <f>Chem!A217</f>
        <v>215</v>
      </c>
      <c r="B217" s="964" t="str">
        <f>Chem!B217</f>
        <v>1,1,2-Trichloroethane</v>
      </c>
      <c r="C217" s="960">
        <f>'AR-Det'!F217</f>
        <v>9.1428571428571428E-2</v>
      </c>
      <c r="D217" s="2383" t="s">
        <v>232</v>
      </c>
      <c r="E217" s="1520">
        <f>'AR-Det'!G217</f>
        <v>3.0476190476190479</v>
      </c>
      <c r="F217" s="1600" t="s">
        <v>232</v>
      </c>
      <c r="H217" s="1062"/>
    </row>
    <row r="218" spans="1:8" ht="13.9" customHeight="1" x14ac:dyDescent="0.25">
      <c r="A218" s="846">
        <f>Chem!A218</f>
        <v>216</v>
      </c>
      <c r="B218" s="964" t="str">
        <f>Chem!B218</f>
        <v>Trichloroethylene (TCE)</v>
      </c>
      <c r="C218" s="960">
        <f>'AR-Det'!F218</f>
        <v>0.33</v>
      </c>
      <c r="D218" s="2383">
        <v>2</v>
      </c>
      <c r="E218" s="1520">
        <f>'AR-Det'!G218</f>
        <v>11.000000000000002</v>
      </c>
      <c r="F218" s="1600">
        <v>67</v>
      </c>
      <c r="H218" s="1062"/>
    </row>
    <row r="219" spans="1:8" ht="13.9" customHeight="1" x14ac:dyDescent="0.25">
      <c r="A219" s="846">
        <f>Chem!A219</f>
        <v>217</v>
      </c>
      <c r="B219" s="964" t="str">
        <f>Chem!B219</f>
        <v>Trichlorofluoroethane</v>
      </c>
      <c r="C219" s="959" t="str">
        <f>'AR-Det'!F219</f>
        <v>na</v>
      </c>
      <c r="D219" s="2379" t="s">
        <v>232</v>
      </c>
      <c r="E219" s="1520" t="str">
        <f>'AR-Det'!G219</f>
        <v>na</v>
      </c>
      <c r="F219" s="1600" t="s">
        <v>232</v>
      </c>
      <c r="H219" s="1062"/>
    </row>
    <row r="220" spans="1:8" ht="13.9" customHeight="1" x14ac:dyDescent="0.25">
      <c r="A220" s="846">
        <f>Chem!A220</f>
        <v>218</v>
      </c>
      <c r="B220" s="964" t="str">
        <f>Chem!B220</f>
        <v>Trichlorofluoromethane</v>
      </c>
      <c r="C220" s="960">
        <f>'AR-Det'!F220</f>
        <v>320.00000000000006</v>
      </c>
      <c r="D220" s="2383" t="s">
        <v>232</v>
      </c>
      <c r="E220" s="1520">
        <f>'AR-Det'!G220</f>
        <v>10666.66666666667</v>
      </c>
      <c r="F220" s="1600" t="s">
        <v>232</v>
      </c>
      <c r="H220" s="1062"/>
    </row>
    <row r="221" spans="1:8" ht="13.9" customHeight="1" x14ac:dyDescent="0.25">
      <c r="A221" s="846">
        <f>Chem!A221</f>
        <v>219</v>
      </c>
      <c r="B221" s="964" t="str">
        <f>Chem!B221</f>
        <v>1,2,3-Trichloropropane</v>
      </c>
      <c r="C221" s="960">
        <f>'AR-Det'!F221</f>
        <v>0.13714285714285709</v>
      </c>
      <c r="D221" s="2383" t="s">
        <v>232</v>
      </c>
      <c r="E221" s="1520">
        <f>'AR-Det'!G221</f>
        <v>4.5714285714285703</v>
      </c>
      <c r="F221" s="1600" t="s">
        <v>232</v>
      </c>
      <c r="H221" s="1062"/>
    </row>
    <row r="222" spans="1:8" ht="13.9" customHeight="1" x14ac:dyDescent="0.25">
      <c r="A222" s="846">
        <f>Chem!A222</f>
        <v>220</v>
      </c>
      <c r="B222" s="964" t="str">
        <f>Chem!B222</f>
        <v>Trichlorotrifluoroethane</v>
      </c>
      <c r="C222" s="960">
        <f>'AR-Det'!F222</f>
        <v>2285.7142857142858</v>
      </c>
      <c r="D222" s="2383" t="s">
        <v>232</v>
      </c>
      <c r="E222" s="1520">
        <f>'AR-Det'!G222</f>
        <v>76190.476190476198</v>
      </c>
      <c r="F222" s="1600" t="s">
        <v>232</v>
      </c>
      <c r="H222" s="1062"/>
    </row>
    <row r="223" spans="1:8" ht="13.9" customHeight="1" x14ac:dyDescent="0.25">
      <c r="A223" s="846">
        <f>Chem!A223</f>
        <v>221</v>
      </c>
      <c r="B223" s="964" t="str">
        <f>Chem!B223</f>
        <v>1,2,3-Trimethylbenzene</v>
      </c>
      <c r="C223" s="959">
        <f>'AR-Det'!F223</f>
        <v>27.428571428571431</v>
      </c>
      <c r="D223" s="2379" t="s">
        <v>232</v>
      </c>
      <c r="E223" s="1520">
        <f>'AR-Det'!G223</f>
        <v>914.28571428571433</v>
      </c>
      <c r="F223" s="1600" t="s">
        <v>232</v>
      </c>
      <c r="H223" s="1062"/>
    </row>
    <row r="224" spans="1:8" ht="13.9" customHeight="1" x14ac:dyDescent="0.25">
      <c r="A224" s="846">
        <f>Chem!A224</f>
        <v>222</v>
      </c>
      <c r="B224" s="964" t="str">
        <f>Chem!B224</f>
        <v>1,2,4-Trimethylbenzene</v>
      </c>
      <c r="C224" s="961">
        <f>'AR-Det'!F224</f>
        <v>27.428571428571431</v>
      </c>
      <c r="D224" s="2384" t="s">
        <v>232</v>
      </c>
      <c r="E224" s="1520">
        <f>'AR-Det'!G224</f>
        <v>914.28571428571433</v>
      </c>
      <c r="F224" s="1600" t="s">
        <v>232</v>
      </c>
      <c r="H224" s="1062"/>
    </row>
    <row r="225" spans="1:8" ht="13.9" customHeight="1" x14ac:dyDescent="0.25">
      <c r="A225" s="846">
        <f>Chem!A225</f>
        <v>223</v>
      </c>
      <c r="B225" s="964" t="str">
        <f>Chem!B225</f>
        <v>1,3,5-Trimethylbenzene</v>
      </c>
      <c r="C225" s="959">
        <f>'AR-Det'!F225</f>
        <v>27.428571428571431</v>
      </c>
      <c r="D225" s="2379" t="s">
        <v>232</v>
      </c>
      <c r="E225" s="1520">
        <f>'AR-Det'!G225</f>
        <v>914.28571428571433</v>
      </c>
      <c r="F225" s="1600" t="s">
        <v>232</v>
      </c>
      <c r="H225" s="1062"/>
    </row>
    <row r="226" spans="1:8" ht="13.9" customHeight="1" x14ac:dyDescent="0.25">
      <c r="A226" s="846">
        <f>Chem!A226</f>
        <v>224</v>
      </c>
      <c r="B226" s="964" t="str">
        <f>Chem!B226</f>
        <v>Vinyl acetate</v>
      </c>
      <c r="C226" s="959">
        <f>'AR-Det'!F226</f>
        <v>91.428571428571416</v>
      </c>
      <c r="D226" s="2379" t="s">
        <v>232</v>
      </c>
      <c r="E226" s="1520">
        <f>'AR-Det'!G226</f>
        <v>3047.6190476190473</v>
      </c>
      <c r="F226" s="1600" t="s">
        <v>232</v>
      </c>
      <c r="H226" s="1062"/>
    </row>
    <row r="227" spans="1:8" ht="13.9" customHeight="1" x14ac:dyDescent="0.25">
      <c r="A227" s="846">
        <f>Chem!A227</f>
        <v>225</v>
      </c>
      <c r="B227" s="964" t="str">
        <f>Chem!B227</f>
        <v>Vinyl chloride</v>
      </c>
      <c r="C227" s="959">
        <f>'AR-Det'!F227</f>
        <v>0.28409090909090906</v>
      </c>
      <c r="D227" s="2379" t="s">
        <v>232</v>
      </c>
      <c r="E227" s="1520">
        <f>'AR-Det'!G227</f>
        <v>9.4696969696969688</v>
      </c>
      <c r="F227" s="1600" t="s">
        <v>232</v>
      </c>
      <c r="H227" s="1062"/>
    </row>
    <row r="228" spans="1:8" ht="13.9" customHeight="1" x14ac:dyDescent="0.25">
      <c r="A228" s="1661">
        <f>Chem!A228</f>
        <v>226</v>
      </c>
      <c r="B228" s="964" t="str">
        <f>Chem!B228</f>
        <v>Total xylenes</v>
      </c>
      <c r="C228" s="959">
        <f>'AR-Det'!F228</f>
        <v>45.714285714285708</v>
      </c>
      <c r="D228" s="2379" t="s">
        <v>232</v>
      </c>
      <c r="E228" s="1520">
        <f>'AR-Det'!G228</f>
        <v>1523.8095238095236</v>
      </c>
      <c r="F228" s="1601" t="s">
        <v>232</v>
      </c>
      <c r="H228" s="1062"/>
    </row>
    <row r="229" spans="1:8" ht="13.9" customHeight="1" x14ac:dyDescent="0.25">
      <c r="A229" s="1197">
        <f>Chem!A229</f>
        <v>227</v>
      </c>
      <c r="B229" s="953" t="str">
        <f>Chem!B229</f>
        <v>PFAS</v>
      </c>
      <c r="C229" s="28"/>
      <c r="D229" s="28"/>
      <c r="E229" s="54"/>
      <c r="F229" s="1524"/>
      <c r="H229" s="1063"/>
    </row>
    <row r="230" spans="1:8" s="143" customFormat="1" ht="13.9" customHeight="1" x14ac:dyDescent="0.25">
      <c r="A230" s="2251">
        <f>Chem!A230</f>
        <v>228</v>
      </c>
      <c r="B230" s="2186" t="str">
        <f>Chem!B230</f>
        <v>6:2 Fluorotelomer sulfonic acid (6:2 FTS)</v>
      </c>
      <c r="C230" s="2191" t="str">
        <f>'AR-Det'!F230</f>
        <v>na</v>
      </c>
      <c r="D230" s="2241" t="s">
        <v>232</v>
      </c>
      <c r="E230" s="2195" t="str">
        <f>'AR-Det'!G230</f>
        <v>na</v>
      </c>
      <c r="F230" s="2288" t="s">
        <v>232</v>
      </c>
      <c r="H230" s="1987"/>
    </row>
    <row r="231" spans="1:8" ht="13.9" customHeight="1" x14ac:dyDescent="0.25">
      <c r="A231" s="846">
        <f>Chem!A231</f>
        <v>229</v>
      </c>
      <c r="B231" s="963" t="str">
        <f>Chem!B231</f>
        <v>GenX (HFPO-DA)</v>
      </c>
      <c r="C231" s="1630" t="str">
        <f>'AR-Det'!F231</f>
        <v>na</v>
      </c>
      <c r="D231" s="2386" t="s">
        <v>232</v>
      </c>
      <c r="E231" s="1631" t="str">
        <f>'AR-Det'!G231</f>
        <v>na</v>
      </c>
      <c r="F231" s="1602" t="s">
        <v>232</v>
      </c>
      <c r="H231" s="1062"/>
    </row>
    <row r="232" spans="1:8" ht="13.9" customHeight="1" x14ac:dyDescent="0.25">
      <c r="A232" s="846">
        <f>Chem!A232</f>
        <v>230</v>
      </c>
      <c r="B232" s="963" t="str">
        <f>Chem!B232</f>
        <v>Perfluorobutanoic acid (PFBA)</v>
      </c>
      <c r="C232" s="1630" t="str">
        <f>'AR-Det'!F232</f>
        <v>na</v>
      </c>
      <c r="D232" s="2386" t="s">
        <v>232</v>
      </c>
      <c r="E232" s="1631" t="str">
        <f>'AR-Det'!G232</f>
        <v>na</v>
      </c>
      <c r="F232" s="1602" t="s">
        <v>232</v>
      </c>
      <c r="H232" s="1062"/>
    </row>
    <row r="233" spans="1:8" ht="13.9" customHeight="1" x14ac:dyDescent="0.25">
      <c r="A233" s="846">
        <f>Chem!A233</f>
        <v>231</v>
      </c>
      <c r="B233" s="964" t="str">
        <f>Chem!B233</f>
        <v>Perfluorobutanesulfonic acid (PFBS)</v>
      </c>
      <c r="C233" s="1380" t="str">
        <f>'AR-Det'!F233</f>
        <v>na</v>
      </c>
      <c r="D233" s="2381" t="s">
        <v>232</v>
      </c>
      <c r="E233" s="1569" t="str">
        <f>'AR-Det'!G233</f>
        <v>na</v>
      </c>
      <c r="F233" s="1600" t="s">
        <v>232</v>
      </c>
      <c r="H233" s="1062"/>
    </row>
    <row r="234" spans="1:8" ht="13.9" customHeight="1" x14ac:dyDescent="0.25">
      <c r="A234" s="846">
        <f>Chem!A234</f>
        <v>232</v>
      </c>
      <c r="B234" s="964" t="str">
        <f>Chem!B234</f>
        <v>Perfluorodecanoic acid (PFDA)</v>
      </c>
      <c r="C234" s="1380" t="str">
        <f>'AR-Det'!F234</f>
        <v>na</v>
      </c>
      <c r="D234" s="2381" t="s">
        <v>232</v>
      </c>
      <c r="E234" s="1569" t="str">
        <f>'AR-Det'!G234</f>
        <v>na</v>
      </c>
      <c r="F234" s="1600" t="s">
        <v>232</v>
      </c>
      <c r="H234" s="1062"/>
    </row>
    <row r="235" spans="1:8" ht="13.9" customHeight="1" x14ac:dyDescent="0.25">
      <c r="A235" s="846">
        <f>Chem!A235</f>
        <v>233</v>
      </c>
      <c r="B235" s="964" t="str">
        <f>Chem!B235</f>
        <v>Perfluorohexanoic acid (PFHxA)</v>
      </c>
      <c r="C235" s="1380" t="str">
        <f>'AR-Det'!F235</f>
        <v>na</v>
      </c>
      <c r="D235" s="2381" t="s">
        <v>232</v>
      </c>
      <c r="E235" s="1569" t="str">
        <f>'AR-Det'!G235</f>
        <v>na</v>
      </c>
      <c r="F235" s="1600" t="s">
        <v>232</v>
      </c>
      <c r="H235" s="1062"/>
    </row>
    <row r="236" spans="1:8" ht="13.9" customHeight="1" x14ac:dyDescent="0.25">
      <c r="A236" s="846">
        <f>Chem!A236</f>
        <v>234</v>
      </c>
      <c r="B236" s="964" t="str">
        <f>Chem!B236</f>
        <v>Perfluorohexanesulfonic acid (PFHxS)</v>
      </c>
      <c r="C236" s="1380" t="str">
        <f>'AR-Det'!F236</f>
        <v>na</v>
      </c>
      <c r="D236" s="2381" t="s">
        <v>232</v>
      </c>
      <c r="E236" s="1569" t="str">
        <f>'AR-Det'!G236</f>
        <v>na</v>
      </c>
      <c r="F236" s="1600" t="s">
        <v>232</v>
      </c>
      <c r="H236" s="1062"/>
    </row>
    <row r="237" spans="1:8" ht="13.9" customHeight="1" x14ac:dyDescent="0.25">
      <c r="A237" s="846">
        <f>Chem!A237</f>
        <v>235</v>
      </c>
      <c r="B237" s="964" t="str">
        <f>Chem!B237</f>
        <v>Perfluorononanoic acid (PFNA)</v>
      </c>
      <c r="C237" s="1380" t="str">
        <f>'AR-Det'!F237</f>
        <v>na</v>
      </c>
      <c r="D237" s="2381" t="s">
        <v>232</v>
      </c>
      <c r="E237" s="1569" t="str">
        <f>'AR-Det'!G237</f>
        <v>na</v>
      </c>
      <c r="F237" s="1600" t="s">
        <v>232</v>
      </c>
      <c r="H237" s="1062"/>
    </row>
    <row r="238" spans="1:8" ht="13.9" customHeight="1" x14ac:dyDescent="0.25">
      <c r="A238" s="846">
        <f>Chem!A238</f>
        <v>236</v>
      </c>
      <c r="B238" s="964" t="str">
        <f>Chem!B238</f>
        <v>Perfluorooctanesulfonic acid (PFOS)</v>
      </c>
      <c r="C238" s="1380" t="str">
        <f>'AR-Det'!F238</f>
        <v>na</v>
      </c>
      <c r="D238" s="2381" t="s">
        <v>232</v>
      </c>
      <c r="E238" s="1569" t="str">
        <f>'AR-Det'!G238</f>
        <v>na</v>
      </c>
      <c r="F238" s="1600" t="s">
        <v>232</v>
      </c>
      <c r="H238" s="1062"/>
    </row>
    <row r="239" spans="1:8" ht="13.9" customHeight="1" x14ac:dyDescent="0.25">
      <c r="A239" s="1661">
        <f>Chem!A239</f>
        <v>237</v>
      </c>
      <c r="B239" s="1381" t="str">
        <f>Chem!B239</f>
        <v>Perfluorooctanoic acid (PFOA)</v>
      </c>
      <c r="C239" s="1382" t="str">
        <f>'AR-Det'!F239</f>
        <v>na</v>
      </c>
      <c r="D239" s="2382" t="s">
        <v>232</v>
      </c>
      <c r="E239" s="1570" t="str">
        <f>'AR-Det'!G239</f>
        <v>na</v>
      </c>
      <c r="F239" s="1604" t="s">
        <v>232</v>
      </c>
      <c r="H239" s="1062"/>
    </row>
    <row r="240" spans="1:8" ht="13.9" customHeight="1" x14ac:dyDescent="0.25">
      <c r="A240" s="1197">
        <f>Chem!A240</f>
        <v>238</v>
      </c>
      <c r="B240" s="953" t="str">
        <f>Chem!B240</f>
        <v>Petroleum Hydrocarbons</v>
      </c>
      <c r="C240" s="28"/>
      <c r="D240" s="28"/>
      <c r="E240" s="54"/>
      <c r="F240" s="1524"/>
      <c r="H240" s="1063"/>
    </row>
    <row r="241" spans="1:8" ht="13.9" customHeight="1" x14ac:dyDescent="0.25">
      <c r="A241" s="846">
        <f>Chem!A241</f>
        <v>239</v>
      </c>
      <c r="B241" s="964" t="str">
        <f>Chem!B241</f>
        <v>Gasoline range hydrocarbons, fresh</v>
      </c>
      <c r="C241" s="959">
        <f>'AR-Det'!F241</f>
        <v>46</v>
      </c>
      <c r="D241" s="2379" t="s">
        <v>232</v>
      </c>
      <c r="E241" s="1520">
        <f>'AR-Det'!G241</f>
        <v>1500</v>
      </c>
      <c r="F241" s="1602" t="s">
        <v>232</v>
      </c>
      <c r="H241" s="1062"/>
    </row>
    <row r="242" spans="1:8" ht="13.9" customHeight="1" x14ac:dyDescent="0.25">
      <c r="A242" s="846">
        <f>Chem!A242</f>
        <v>240</v>
      </c>
      <c r="B242" s="964" t="str">
        <f>Chem!B242</f>
        <v>Gasoline range hydrocarbons, weathered</v>
      </c>
      <c r="C242" s="959">
        <f>'AR-Det'!F242</f>
        <v>46</v>
      </c>
      <c r="D242" s="2379" t="s">
        <v>232</v>
      </c>
      <c r="E242" s="1520">
        <f>'AR-Det'!G242</f>
        <v>1500</v>
      </c>
      <c r="F242" s="1600" t="s">
        <v>232</v>
      </c>
      <c r="H242" s="1062"/>
    </row>
    <row r="243" spans="1:8" ht="13.9" customHeight="1" x14ac:dyDescent="0.25">
      <c r="A243" s="846">
        <f>Chem!A243</f>
        <v>241</v>
      </c>
      <c r="B243" s="964" t="str">
        <f>Chem!B243</f>
        <v>Diesel range hydrocarbons, fresh</v>
      </c>
      <c r="C243" s="959">
        <f>'AR-Det'!F243</f>
        <v>46</v>
      </c>
      <c r="D243" s="2379" t="s">
        <v>232</v>
      </c>
      <c r="E243" s="1520">
        <f>'AR-Det'!G243</f>
        <v>1500</v>
      </c>
      <c r="F243" s="1600" t="s">
        <v>232</v>
      </c>
      <c r="H243" s="1062"/>
    </row>
    <row r="244" spans="1:8" ht="13.9" customHeight="1" x14ac:dyDescent="0.25">
      <c r="A244" s="846">
        <f>Chem!A244</f>
        <v>242</v>
      </c>
      <c r="B244" s="964" t="str">
        <f>Chem!B244</f>
        <v>Diesel range hydrocarbons, weathered</v>
      </c>
      <c r="C244" s="959">
        <f>'AR-Det'!F244</f>
        <v>46</v>
      </c>
      <c r="D244" s="2379" t="s">
        <v>232</v>
      </c>
      <c r="E244" s="1520">
        <f>'AR-Det'!G244</f>
        <v>1500</v>
      </c>
      <c r="F244" s="1600" t="s">
        <v>232</v>
      </c>
      <c r="H244" s="1062"/>
    </row>
    <row r="245" spans="1:8" ht="13.9" customHeight="1" x14ac:dyDescent="0.25">
      <c r="A245" s="846">
        <f>Chem!A245</f>
        <v>243</v>
      </c>
      <c r="B245" s="965" t="str">
        <f>Chem!B245</f>
        <v>Oil range hydrocarbons</v>
      </c>
      <c r="C245" s="959" t="str">
        <f>'AR-Det'!F245</f>
        <v>na</v>
      </c>
      <c r="D245" s="2379" t="s">
        <v>232</v>
      </c>
      <c r="E245" s="1520" t="str">
        <f>'AR-Det'!G245</f>
        <v>na</v>
      </c>
      <c r="F245" s="1600" t="s">
        <v>232</v>
      </c>
      <c r="H245" s="1062"/>
    </row>
    <row r="246" spans="1:8" ht="13.9" customHeight="1" x14ac:dyDescent="0.25">
      <c r="A246" s="1661">
        <f>Chem!A246</f>
        <v>244</v>
      </c>
      <c r="B246" s="965" t="str">
        <f>Chem!B246</f>
        <v>Total diesel &amp; oil range hydrocarbons</v>
      </c>
      <c r="C246" s="959" t="str">
        <f>'AR-Det'!F246</f>
        <v>na</v>
      </c>
      <c r="D246" s="2379" t="s">
        <v>232</v>
      </c>
      <c r="E246" s="1520" t="str">
        <f>'AR-Det'!G246</f>
        <v>na</v>
      </c>
      <c r="F246" s="1601" t="s">
        <v>232</v>
      </c>
      <c r="H246" s="1062"/>
    </row>
    <row r="247" spans="1:8" ht="13.9" customHeight="1" x14ac:dyDescent="0.25">
      <c r="A247" s="1197">
        <f>Chem!A247</f>
        <v>245</v>
      </c>
      <c r="B247" s="953" t="str">
        <f>Chem!B247</f>
        <v>Pesticides</v>
      </c>
      <c r="C247" s="28"/>
      <c r="D247" s="28"/>
      <c r="E247" s="54"/>
      <c r="F247" s="1524"/>
      <c r="H247" s="1063"/>
    </row>
    <row r="248" spans="1:8" ht="13.9" customHeight="1" x14ac:dyDescent="0.25">
      <c r="A248" s="846">
        <f>Chem!A248</f>
        <v>246</v>
      </c>
      <c r="B248" s="963" t="str">
        <f>Chem!B248</f>
        <v>Aldrin</v>
      </c>
      <c r="C248" s="959">
        <f>'AR-Det'!F248</f>
        <v>5.10204081632653E-4</v>
      </c>
      <c r="D248" s="2379" t="s">
        <v>232</v>
      </c>
      <c r="E248" s="1520" t="str">
        <f>'AR-Det'!G248</f>
        <v>na</v>
      </c>
      <c r="F248" s="1602" t="s">
        <v>232</v>
      </c>
      <c r="H248" s="1062"/>
    </row>
    <row r="249" spans="1:8" ht="13.9" customHeight="1" x14ac:dyDescent="0.25">
      <c r="A249" s="846">
        <f>Chem!A249</f>
        <v>247</v>
      </c>
      <c r="B249" s="964" t="str">
        <f>Chem!B249</f>
        <v>alpha-BHC (alpha-HCH)</v>
      </c>
      <c r="C249" s="959">
        <f>'AR-Det'!F249</f>
        <v>1.3888888888888887E-3</v>
      </c>
      <c r="D249" s="2379" t="s">
        <v>232</v>
      </c>
      <c r="E249" s="1520" t="str">
        <f>'AR-Det'!G249</f>
        <v>na</v>
      </c>
      <c r="F249" s="1600" t="s">
        <v>232</v>
      </c>
      <c r="H249" s="1062"/>
    </row>
    <row r="250" spans="1:8" ht="13.9" customHeight="1" x14ac:dyDescent="0.25">
      <c r="A250" s="846">
        <f>Chem!A250</f>
        <v>248</v>
      </c>
      <c r="B250" s="964" t="str">
        <f>Chem!B250</f>
        <v>beta-BHC (beta-HCH)</v>
      </c>
      <c r="C250" s="959">
        <f>'AR-Det'!F250</f>
        <v>4.7169811320754715E-3</v>
      </c>
      <c r="D250" s="2379" t="s">
        <v>232</v>
      </c>
      <c r="E250" s="1520" t="str">
        <f>'AR-Det'!G250</f>
        <v>na</v>
      </c>
      <c r="F250" s="1600" t="s">
        <v>232</v>
      </c>
      <c r="H250" s="1062"/>
    </row>
    <row r="251" spans="1:8" ht="13.9" customHeight="1" x14ac:dyDescent="0.25">
      <c r="A251" s="846">
        <f>Chem!A251</f>
        <v>249</v>
      </c>
      <c r="B251" s="964" t="str">
        <f>Chem!B251</f>
        <v>delta-BHC (delta-HCH)</v>
      </c>
      <c r="C251" s="959" t="str">
        <f>'AR-Det'!F251</f>
        <v>na</v>
      </c>
      <c r="D251" s="2379" t="s">
        <v>232</v>
      </c>
      <c r="E251" s="1520" t="str">
        <f>'AR-Det'!G251</f>
        <v>na</v>
      </c>
      <c r="F251" s="1600" t="s">
        <v>232</v>
      </c>
      <c r="H251" s="1062"/>
    </row>
    <row r="252" spans="1:8" ht="13.9" customHeight="1" x14ac:dyDescent="0.25">
      <c r="A252" s="846">
        <f>Chem!A252</f>
        <v>250</v>
      </c>
      <c r="B252" s="964" t="str">
        <f>Chem!B252</f>
        <v>Carbaryl</v>
      </c>
      <c r="C252" s="959" t="str">
        <f>'AR-Det'!F252</f>
        <v>na</v>
      </c>
      <c r="D252" s="2379" t="s">
        <v>232</v>
      </c>
      <c r="E252" s="1520" t="str">
        <f>'AR-Det'!G252</f>
        <v>na</v>
      </c>
      <c r="F252" s="1600" t="s">
        <v>232</v>
      </c>
      <c r="H252" s="1062"/>
    </row>
    <row r="253" spans="1:8" ht="13.9" customHeight="1" x14ac:dyDescent="0.25">
      <c r="A253" s="846">
        <f>Chem!A253</f>
        <v>251</v>
      </c>
      <c r="B253" s="964" t="str">
        <f>Chem!B253</f>
        <v>cis-Chlordane (alpha)</v>
      </c>
      <c r="C253" s="959" t="str">
        <f>'AR-Det'!F253</f>
        <v>na</v>
      </c>
      <c r="D253" s="2379" t="s">
        <v>232</v>
      </c>
      <c r="E253" s="1520" t="str">
        <f>'AR-Det'!G253</f>
        <v>na</v>
      </c>
      <c r="F253" s="1600" t="s">
        <v>232</v>
      </c>
      <c r="H253" s="1062"/>
    </row>
    <row r="254" spans="1:8" ht="13.9" customHeight="1" x14ac:dyDescent="0.25">
      <c r="A254" s="846">
        <f>Chem!A254</f>
        <v>252</v>
      </c>
      <c r="B254" s="964" t="str">
        <f>Chem!B254</f>
        <v>trans-Chlordane (gamma)</v>
      </c>
      <c r="C254" s="959" t="str">
        <f>'AR-Det'!F254</f>
        <v>na</v>
      </c>
      <c r="D254" s="2379" t="s">
        <v>232</v>
      </c>
      <c r="E254" s="1520" t="str">
        <f>'AR-Det'!G254</f>
        <v>na</v>
      </c>
      <c r="F254" s="1600" t="s">
        <v>232</v>
      </c>
      <c r="H254" s="1062"/>
    </row>
    <row r="255" spans="1:8" ht="13.9" customHeight="1" x14ac:dyDescent="0.25">
      <c r="A255" s="846">
        <f>Chem!A255</f>
        <v>253</v>
      </c>
      <c r="B255" s="964" t="str">
        <f>Chem!B255</f>
        <v>Chlordane</v>
      </c>
      <c r="C255" s="960">
        <f>'AR-Det'!F255</f>
        <v>2.4999999999999994E-2</v>
      </c>
      <c r="D255" s="2383" t="s">
        <v>232</v>
      </c>
      <c r="E255" s="1520" t="str">
        <f>'AR-Det'!G255</f>
        <v>na</v>
      </c>
      <c r="F255" s="1600" t="s">
        <v>232</v>
      </c>
      <c r="H255" s="1062"/>
    </row>
    <row r="256" spans="1:8" ht="13.9" customHeight="1" x14ac:dyDescent="0.25">
      <c r="A256" s="846">
        <f>Chem!A256</f>
        <v>254</v>
      </c>
      <c r="B256" s="964" t="str">
        <f>Chem!B256</f>
        <v>Chlorpyrifos</v>
      </c>
      <c r="C256" s="959" t="str">
        <f>'AR-Det'!F256</f>
        <v>na</v>
      </c>
      <c r="D256" s="2379" t="s">
        <v>232</v>
      </c>
      <c r="E256" s="1520" t="str">
        <f>'AR-Det'!G256</f>
        <v>na</v>
      </c>
      <c r="F256" s="1600" t="s">
        <v>232</v>
      </c>
      <c r="H256" s="1062"/>
    </row>
    <row r="257" spans="1:8" ht="13.9" customHeight="1" x14ac:dyDescent="0.25">
      <c r="A257" s="846">
        <f>Chem!A257</f>
        <v>255</v>
      </c>
      <c r="B257" s="964" t="str">
        <f>Chem!B257</f>
        <v>4,4'-DDD</v>
      </c>
      <c r="C257" s="959">
        <f>'AR-Det'!F257</f>
        <v>3.6231884057971009E-2</v>
      </c>
      <c r="D257" s="2379" t="s">
        <v>232</v>
      </c>
      <c r="E257" s="1520" t="str">
        <f>'AR-Det'!G257</f>
        <v>na</v>
      </c>
      <c r="F257" s="1600" t="s">
        <v>232</v>
      </c>
      <c r="H257" s="1062"/>
    </row>
    <row r="258" spans="1:8" ht="13.9" customHeight="1" x14ac:dyDescent="0.25">
      <c r="A258" s="846">
        <f>Chem!A258</f>
        <v>256</v>
      </c>
      <c r="B258" s="964" t="str">
        <f>Chem!B258</f>
        <v>4,4'-DDE</v>
      </c>
      <c r="C258" s="959">
        <f>'AR-Det'!F258</f>
        <v>2.5773195876288655E-2</v>
      </c>
      <c r="D258" s="2379" t="s">
        <v>232</v>
      </c>
      <c r="E258" s="1520" t="str">
        <f>'AR-Det'!G258</f>
        <v>na</v>
      </c>
      <c r="F258" s="1600" t="s">
        <v>232</v>
      </c>
      <c r="H258" s="1062"/>
    </row>
    <row r="259" spans="1:8" ht="13.9" customHeight="1" x14ac:dyDescent="0.25">
      <c r="A259" s="846">
        <f>Chem!A259</f>
        <v>257</v>
      </c>
      <c r="B259" s="964" t="str">
        <f>Chem!B259</f>
        <v>4,4'-DDT</v>
      </c>
      <c r="C259" s="959">
        <f>'AR-Det'!F259</f>
        <v>2.5773195876288655E-2</v>
      </c>
      <c r="D259" s="2379" t="s">
        <v>232</v>
      </c>
      <c r="E259" s="1520" t="str">
        <f>'AR-Det'!G259</f>
        <v>na</v>
      </c>
      <c r="F259" s="1600" t="s">
        <v>232</v>
      </c>
      <c r="H259" s="1062"/>
    </row>
    <row r="260" spans="1:8" ht="13.9" customHeight="1" x14ac:dyDescent="0.25">
      <c r="A260" s="846">
        <f>Chem!A260</f>
        <v>258</v>
      </c>
      <c r="B260" s="964" t="str">
        <f>Chem!B260</f>
        <v xml:space="preserve">Total DDD </v>
      </c>
      <c r="C260" s="959">
        <f>'AR-Det'!F260</f>
        <v>3.6231884057971009E-2</v>
      </c>
      <c r="D260" s="2379" t="s">
        <v>232</v>
      </c>
      <c r="E260" s="1520" t="str">
        <f>'AR-Det'!G260</f>
        <v>na</v>
      </c>
      <c r="F260" s="1600" t="s">
        <v>232</v>
      </c>
      <c r="H260" s="1062"/>
    </row>
    <row r="261" spans="1:8" ht="13.9" customHeight="1" x14ac:dyDescent="0.25">
      <c r="A261" s="846">
        <f>Chem!A261</f>
        <v>259</v>
      </c>
      <c r="B261" s="964" t="str">
        <f>Chem!B261</f>
        <v>Total DDE</v>
      </c>
      <c r="C261" s="961">
        <f>'AR-Det'!F261</f>
        <v>2.5773195876288655E-2</v>
      </c>
      <c r="D261" s="2384" t="s">
        <v>232</v>
      </c>
      <c r="E261" s="1520" t="str">
        <f>'AR-Det'!G261</f>
        <v>na</v>
      </c>
      <c r="F261" s="1600" t="s">
        <v>232</v>
      </c>
      <c r="H261" s="1062"/>
    </row>
    <row r="262" spans="1:8" ht="13.9" customHeight="1" x14ac:dyDescent="0.25">
      <c r="A262" s="846">
        <f>Chem!A262</f>
        <v>260</v>
      </c>
      <c r="B262" s="964" t="str">
        <f>Chem!B262</f>
        <v>Total DDT</v>
      </c>
      <c r="C262" s="960">
        <f>'AR-Det'!F262</f>
        <v>2.5773195876288655E-2</v>
      </c>
      <c r="D262" s="2383" t="s">
        <v>232</v>
      </c>
      <c r="E262" s="1520" t="str">
        <f>'AR-Det'!G262</f>
        <v>na</v>
      </c>
      <c r="F262" s="1600" t="s">
        <v>232</v>
      </c>
      <c r="H262" s="1062"/>
    </row>
    <row r="263" spans="1:8" ht="13.9" customHeight="1" x14ac:dyDescent="0.25">
      <c r="A263" s="846">
        <f>Chem!A263</f>
        <v>261</v>
      </c>
      <c r="B263" s="964" t="str">
        <f>Chem!B263</f>
        <v>Diazinon</v>
      </c>
      <c r="C263" s="960" t="str">
        <f>'AR-Det'!F263</f>
        <v>na</v>
      </c>
      <c r="D263" s="2383" t="s">
        <v>232</v>
      </c>
      <c r="E263" s="1520" t="str">
        <f>'AR-Det'!G263</f>
        <v>na</v>
      </c>
      <c r="F263" s="1600" t="s">
        <v>232</v>
      </c>
      <c r="H263" s="1062"/>
    </row>
    <row r="264" spans="1:8" ht="13.9" customHeight="1" x14ac:dyDescent="0.25">
      <c r="A264" s="846">
        <f>Chem!A264</f>
        <v>262</v>
      </c>
      <c r="B264" s="964" t="str">
        <f>Chem!B264</f>
        <v>Dieldrin</v>
      </c>
      <c r="C264" s="960">
        <f>'AR-Det'!F264</f>
        <v>5.4347826086956512E-4</v>
      </c>
      <c r="D264" s="2383" t="s">
        <v>232</v>
      </c>
      <c r="E264" s="1520" t="str">
        <f>'AR-Det'!G264</f>
        <v>na</v>
      </c>
      <c r="F264" s="1600" t="s">
        <v>232</v>
      </c>
      <c r="H264" s="1062"/>
    </row>
    <row r="265" spans="1:8" ht="13.9" customHeight="1" x14ac:dyDescent="0.25">
      <c r="A265" s="846">
        <f>Chem!A265</f>
        <v>263</v>
      </c>
      <c r="B265" s="964" t="str">
        <f>Chem!B265</f>
        <v>alpha-Endosulfan</v>
      </c>
      <c r="C265" s="960" t="str">
        <f>'AR-Det'!F265</f>
        <v>na</v>
      </c>
      <c r="D265" s="2383" t="s">
        <v>232</v>
      </c>
      <c r="E265" s="1520" t="str">
        <f>'AR-Det'!G265</f>
        <v>na</v>
      </c>
      <c r="F265" s="1600" t="s">
        <v>232</v>
      </c>
      <c r="H265" s="1062"/>
    </row>
    <row r="266" spans="1:8" ht="13.9" customHeight="1" x14ac:dyDescent="0.25">
      <c r="A266" s="846">
        <f>Chem!A266</f>
        <v>264</v>
      </c>
      <c r="B266" s="964" t="str">
        <f>Chem!B266</f>
        <v>beta-Endosulfan</v>
      </c>
      <c r="C266" s="960" t="str">
        <f>'AR-Det'!F266</f>
        <v>na</v>
      </c>
      <c r="D266" s="2383" t="s">
        <v>232</v>
      </c>
      <c r="E266" s="1520" t="str">
        <f>'AR-Det'!G266</f>
        <v>na</v>
      </c>
      <c r="F266" s="1600" t="s">
        <v>232</v>
      </c>
      <c r="H266" s="1062"/>
    </row>
    <row r="267" spans="1:8" ht="13.9" customHeight="1" x14ac:dyDescent="0.25">
      <c r="A267" s="846">
        <f>Chem!A267</f>
        <v>265</v>
      </c>
      <c r="B267" s="964" t="str">
        <f>Chem!B267</f>
        <v>Sum of alpha and beta endosuflan</v>
      </c>
      <c r="C267" s="960" t="str">
        <f>'AR-Det'!F267</f>
        <v>na</v>
      </c>
      <c r="D267" s="2383" t="s">
        <v>232</v>
      </c>
      <c r="E267" s="1520" t="str">
        <f>'AR-Det'!G267</f>
        <v>na</v>
      </c>
      <c r="F267" s="1600" t="s">
        <v>232</v>
      </c>
      <c r="H267" s="1062"/>
    </row>
    <row r="268" spans="1:8" ht="13.9" customHeight="1" x14ac:dyDescent="0.25">
      <c r="A268" s="846">
        <f>Chem!A268</f>
        <v>266</v>
      </c>
      <c r="B268" s="964" t="str">
        <f>Chem!B268</f>
        <v>Endosulfan sulfate</v>
      </c>
      <c r="C268" s="960" t="str">
        <f>'AR-Det'!F268</f>
        <v>na</v>
      </c>
      <c r="D268" s="2383" t="s">
        <v>232</v>
      </c>
      <c r="E268" s="1520" t="str">
        <f>'AR-Det'!G268</f>
        <v>na</v>
      </c>
      <c r="F268" s="1600" t="s">
        <v>232</v>
      </c>
      <c r="H268" s="1062"/>
    </row>
    <row r="269" spans="1:8" ht="13.9" customHeight="1" x14ac:dyDescent="0.25">
      <c r="A269" s="846">
        <f>Chem!A269</f>
        <v>267</v>
      </c>
      <c r="B269" s="964" t="str">
        <f>Chem!B269</f>
        <v>Sum of alpha, beta, and endosulfan sulfate</v>
      </c>
      <c r="C269" s="960" t="str">
        <f>'AR-Det'!F269</f>
        <v>na</v>
      </c>
      <c r="D269" s="2383" t="s">
        <v>232</v>
      </c>
      <c r="E269" s="1520" t="str">
        <f>'AR-Det'!G269</f>
        <v>na</v>
      </c>
      <c r="F269" s="1600" t="s">
        <v>232</v>
      </c>
      <c r="H269" s="1062"/>
    </row>
    <row r="270" spans="1:8" ht="13.9" customHeight="1" x14ac:dyDescent="0.25">
      <c r="A270" s="846">
        <f>Chem!A270</f>
        <v>268</v>
      </c>
      <c r="B270" s="964" t="str">
        <f>Chem!B270</f>
        <v>Endrin</v>
      </c>
      <c r="C270" s="960" t="str">
        <f>'AR-Det'!F270</f>
        <v>na</v>
      </c>
      <c r="D270" s="2383" t="s">
        <v>232</v>
      </c>
      <c r="E270" s="1520" t="str">
        <f>'AR-Det'!G270</f>
        <v>na</v>
      </c>
      <c r="F270" s="1600" t="s">
        <v>232</v>
      </c>
      <c r="H270" s="1062"/>
    </row>
    <row r="271" spans="1:8" ht="13.9" customHeight="1" x14ac:dyDescent="0.25">
      <c r="A271" s="846">
        <f>Chem!A271</f>
        <v>269</v>
      </c>
      <c r="B271" s="964" t="str">
        <f>Chem!B271</f>
        <v>Endrin aldehyde</v>
      </c>
      <c r="C271" s="961" t="str">
        <f>'AR-Det'!F271</f>
        <v>na</v>
      </c>
      <c r="D271" s="2384" t="s">
        <v>232</v>
      </c>
      <c r="E271" s="1520" t="str">
        <f>'AR-Det'!G271</f>
        <v>na</v>
      </c>
      <c r="F271" s="1600" t="s">
        <v>232</v>
      </c>
      <c r="H271" s="1062"/>
    </row>
    <row r="272" spans="1:8" ht="13.9" customHeight="1" x14ac:dyDescent="0.25">
      <c r="A272" s="846">
        <f>Chem!A272</f>
        <v>270</v>
      </c>
      <c r="B272" s="964" t="str">
        <f>Chem!B272</f>
        <v>Endrin ketone</v>
      </c>
      <c r="C272" s="961" t="str">
        <f>'AR-Det'!F272</f>
        <v>na</v>
      </c>
      <c r="D272" s="2384" t="s">
        <v>232</v>
      </c>
      <c r="E272" s="1520" t="str">
        <f>'AR-Det'!G272</f>
        <v>na</v>
      </c>
      <c r="F272" s="1600" t="s">
        <v>232</v>
      </c>
      <c r="H272" s="1062"/>
    </row>
    <row r="273" spans="1:8" ht="13.9" customHeight="1" x14ac:dyDescent="0.25">
      <c r="A273" s="846">
        <f>Chem!A273</f>
        <v>271</v>
      </c>
      <c r="B273" s="964" t="str">
        <f>Chem!B273</f>
        <v>Heptachlor</v>
      </c>
      <c r="C273" s="960">
        <f>'AR-Det'!F273</f>
        <v>1.923076923076923E-3</v>
      </c>
      <c r="D273" s="2383" t="s">
        <v>232</v>
      </c>
      <c r="E273" s="1520">
        <f>'AR-Det'!G273</f>
        <v>6.4102564102564097E-2</v>
      </c>
      <c r="F273" s="1600" t="s">
        <v>232</v>
      </c>
      <c r="H273" s="1062"/>
    </row>
    <row r="274" spans="1:8" ht="13.9" customHeight="1" x14ac:dyDescent="0.25">
      <c r="A274" s="846">
        <f>Chem!A274</f>
        <v>272</v>
      </c>
      <c r="B274" s="964" t="str">
        <f>Chem!B274</f>
        <v>Heptachlor epoxide</v>
      </c>
      <c r="C274" s="960">
        <f>'AR-Det'!F274</f>
        <v>9.6153846153846148E-4</v>
      </c>
      <c r="D274" s="2383" t="s">
        <v>232</v>
      </c>
      <c r="E274" s="1520" t="str">
        <f>'AR-Det'!G274</f>
        <v>na</v>
      </c>
      <c r="F274" s="1600" t="s">
        <v>232</v>
      </c>
      <c r="H274" s="1062"/>
    </row>
    <row r="275" spans="1:8" ht="13.9" customHeight="1" x14ac:dyDescent="0.25">
      <c r="A275" s="846">
        <f>Chem!A275</f>
        <v>273</v>
      </c>
      <c r="B275" s="964" t="str">
        <f>Chem!B275</f>
        <v>Lindane (gamma-BHC)</v>
      </c>
      <c r="C275" s="960">
        <f>'AR-Det'!F275</f>
        <v>8.0645161290322578E-3</v>
      </c>
      <c r="D275" s="2383" t="s">
        <v>232</v>
      </c>
      <c r="E275" s="1520" t="str">
        <f>'AR-Det'!G275</f>
        <v>na</v>
      </c>
      <c r="F275" s="1600" t="s">
        <v>232</v>
      </c>
      <c r="H275" s="1062"/>
    </row>
    <row r="276" spans="1:8" ht="13.9" customHeight="1" x14ac:dyDescent="0.25">
      <c r="A276" s="846">
        <f>Chem!A276</f>
        <v>274</v>
      </c>
      <c r="B276" s="964" t="str">
        <f>Chem!B276</f>
        <v>Malathion</v>
      </c>
      <c r="C276" s="960" t="str">
        <f>'AR-Det'!F276</f>
        <v>na</v>
      </c>
      <c r="D276" s="2383" t="s">
        <v>232</v>
      </c>
      <c r="E276" s="1520" t="str">
        <f>'AR-Det'!G276</f>
        <v>na</v>
      </c>
      <c r="F276" s="1600" t="s">
        <v>232</v>
      </c>
      <c r="H276" s="1062"/>
    </row>
    <row r="277" spans="1:8" ht="13.9" customHeight="1" x14ac:dyDescent="0.25">
      <c r="A277" s="846">
        <f>Chem!A277</f>
        <v>275</v>
      </c>
      <c r="B277" s="964" t="str">
        <f>Chem!B277</f>
        <v>Methoxychlor</v>
      </c>
      <c r="C277" s="960" t="str">
        <f>'AR-Det'!F277</f>
        <v>na</v>
      </c>
      <c r="D277" s="2383" t="s">
        <v>232</v>
      </c>
      <c r="E277" s="1520" t="str">
        <f>'AR-Det'!G277</f>
        <v>na</v>
      </c>
      <c r="F277" s="1600" t="s">
        <v>232</v>
      </c>
      <c r="H277" s="1062"/>
    </row>
    <row r="278" spans="1:8" ht="13.9" customHeight="1" x14ac:dyDescent="0.25">
      <c r="A278" s="846">
        <f>Chem!A278</f>
        <v>276</v>
      </c>
      <c r="B278" s="964" t="str">
        <f>Chem!B278</f>
        <v>Mirex</v>
      </c>
      <c r="C278" s="960">
        <f>'AR-Det'!F278</f>
        <v>4.9019607843137243E-4</v>
      </c>
      <c r="D278" s="2383" t="s">
        <v>232</v>
      </c>
      <c r="E278" s="1520">
        <f>'AR-Det'!G278</f>
        <v>1.6339869281045749E-2</v>
      </c>
      <c r="F278" s="1600" t="s">
        <v>232</v>
      </c>
      <c r="H278" s="1062"/>
    </row>
    <row r="279" spans="1:8" ht="13.9" customHeight="1" x14ac:dyDescent="0.25">
      <c r="A279" s="846">
        <f>Chem!A279</f>
        <v>277</v>
      </c>
      <c r="B279" s="964" t="str">
        <f>Chem!B279</f>
        <v>Nonachlor</v>
      </c>
      <c r="C279" s="961" t="str">
        <f>'AR-Det'!F279</f>
        <v>na</v>
      </c>
      <c r="D279" s="2384" t="s">
        <v>232</v>
      </c>
      <c r="E279" s="1520" t="str">
        <f>'AR-Det'!G279</f>
        <v>na</v>
      </c>
      <c r="F279" s="1600" t="s">
        <v>232</v>
      </c>
      <c r="H279" s="1062"/>
    </row>
    <row r="280" spans="1:8" ht="13.9" customHeight="1" x14ac:dyDescent="0.25">
      <c r="A280" s="1661">
        <f>Chem!A280</f>
        <v>278</v>
      </c>
      <c r="B280" s="965" t="str">
        <f>Chem!B280</f>
        <v>Toxaphene</v>
      </c>
      <c r="C280" s="1238">
        <f>'AR-Det'!F280</f>
        <v>7.8124999999999965E-3</v>
      </c>
      <c r="D280" s="2387" t="s">
        <v>232</v>
      </c>
      <c r="E280" s="1522" t="str">
        <f>'AR-Det'!G280</f>
        <v>na</v>
      </c>
      <c r="F280" s="1601" t="s">
        <v>232</v>
      </c>
      <c r="H280" s="1062"/>
    </row>
    <row r="281" spans="1:8" ht="13.9" customHeight="1" x14ac:dyDescent="0.2">
      <c r="A281" s="1197">
        <f>Chem!A281</f>
        <v>279</v>
      </c>
      <c r="B281" s="953" t="str">
        <f>Chem!B281</f>
        <v>Herbicides</v>
      </c>
      <c r="C281" s="2328"/>
      <c r="D281" s="2328"/>
      <c r="E281" s="2337"/>
      <c r="F281" s="2341"/>
      <c r="H281" s="1194"/>
    </row>
    <row r="282" spans="1:8" ht="13.9" customHeight="1" x14ac:dyDescent="0.2">
      <c r="A282" s="846">
        <f>Chem!A282</f>
        <v>280</v>
      </c>
      <c r="B282" s="1582" t="str">
        <f>Chem!B282</f>
        <v>2,4-Dichlorophenoxyacetic acid (2,4-D)</v>
      </c>
      <c r="C282" s="961" t="str">
        <f>'AR-Det'!F282</f>
        <v>na</v>
      </c>
      <c r="D282" s="2384" t="s">
        <v>232</v>
      </c>
      <c r="E282" s="1520" t="str">
        <f>'AR-Det'!G282</f>
        <v>na</v>
      </c>
      <c r="F282" s="1602" t="s">
        <v>232</v>
      </c>
      <c r="H282" s="1195"/>
    </row>
    <row r="283" spans="1:8" ht="13.9" customHeight="1" x14ac:dyDescent="0.2">
      <c r="A283" s="846">
        <f>Chem!A283</f>
        <v>281</v>
      </c>
      <c r="B283" s="1582" t="str">
        <f>Chem!B283</f>
        <v>4-(2,4-Dichlorophenoxy)butanoic acid 2,4-DB</v>
      </c>
      <c r="C283" s="961" t="str">
        <f>'AR-Det'!F283</f>
        <v>na</v>
      </c>
      <c r="D283" s="2384" t="s">
        <v>232</v>
      </c>
      <c r="E283" s="1520" t="str">
        <f>'AR-Det'!G283</f>
        <v>na</v>
      </c>
      <c r="F283" s="1600" t="s">
        <v>232</v>
      </c>
      <c r="H283" s="1195"/>
    </row>
    <row r="284" spans="1:8" ht="13.9" customHeight="1" x14ac:dyDescent="0.2">
      <c r="A284" s="846">
        <f>Chem!A284</f>
        <v>282</v>
      </c>
      <c r="B284" s="1582" t="str">
        <f>Chem!B284</f>
        <v>2-(2,4,5-Trichlorophenoxy)propionic acid (2,4,5-TP)</v>
      </c>
      <c r="C284" s="961" t="str">
        <f>'AR-Det'!F284</f>
        <v>na</v>
      </c>
      <c r="D284" s="2384" t="s">
        <v>232</v>
      </c>
      <c r="E284" s="1520" t="str">
        <f>'AR-Det'!G284</f>
        <v>na</v>
      </c>
      <c r="F284" s="1600" t="s">
        <v>232</v>
      </c>
      <c r="H284" s="1195"/>
    </row>
    <row r="285" spans="1:8" ht="13.9" customHeight="1" x14ac:dyDescent="0.2">
      <c r="A285" s="846">
        <f>Chem!A285</f>
        <v>283</v>
      </c>
      <c r="B285" s="1582" t="str">
        <f>Chem!B285</f>
        <v>2,4,5-Trichlorophenoxyacetic acid (2,4,5-T)</v>
      </c>
      <c r="C285" s="961" t="str">
        <f>'AR-Det'!F285</f>
        <v>na</v>
      </c>
      <c r="D285" s="2384" t="s">
        <v>232</v>
      </c>
      <c r="E285" s="1520" t="str">
        <f>'AR-Det'!G285</f>
        <v>na</v>
      </c>
      <c r="F285" s="1600" t="s">
        <v>232</v>
      </c>
      <c r="H285" s="1195"/>
    </row>
    <row r="286" spans="1:8" ht="13.9" customHeight="1" x14ac:dyDescent="0.2">
      <c r="A286" s="846">
        <f>Chem!A286</f>
        <v>284</v>
      </c>
      <c r="B286" s="1582" t="str">
        <f>Chem!B286</f>
        <v>Dalapon</v>
      </c>
      <c r="C286" s="961" t="str">
        <f>'AR-Det'!F286</f>
        <v>na</v>
      </c>
      <c r="D286" s="2384" t="s">
        <v>232</v>
      </c>
      <c r="E286" s="1520" t="str">
        <f>'AR-Det'!G286</f>
        <v>na</v>
      </c>
      <c r="F286" s="1600" t="s">
        <v>232</v>
      </c>
      <c r="H286" s="1195"/>
    </row>
    <row r="287" spans="1:8" ht="13.9" customHeight="1" x14ac:dyDescent="0.2">
      <c r="A287" s="846">
        <f>Chem!A287</f>
        <v>285</v>
      </c>
      <c r="B287" s="1582" t="str">
        <f>Chem!B287</f>
        <v>Dicamba</v>
      </c>
      <c r="C287" s="961" t="str">
        <f>'AR-Det'!F287</f>
        <v>na</v>
      </c>
      <c r="D287" s="2384" t="s">
        <v>232</v>
      </c>
      <c r="E287" s="1520" t="str">
        <f>'AR-Det'!G287</f>
        <v>na</v>
      </c>
      <c r="F287" s="1600" t="s">
        <v>232</v>
      </c>
      <c r="H287" s="1195"/>
    </row>
    <row r="288" spans="1:8" ht="13.9" customHeight="1" x14ac:dyDescent="0.2">
      <c r="A288" s="846">
        <f>Chem!A288</f>
        <v>286</v>
      </c>
      <c r="B288" s="1582" t="str">
        <f>Chem!B288</f>
        <v>Dichloroprop</v>
      </c>
      <c r="C288" s="961" t="str">
        <f>'AR-Det'!F288</f>
        <v>na</v>
      </c>
      <c r="D288" s="2384" t="s">
        <v>232</v>
      </c>
      <c r="E288" s="1520" t="str">
        <f>'AR-Det'!G288</f>
        <v>na</v>
      </c>
      <c r="F288" s="1600" t="s">
        <v>232</v>
      </c>
      <c r="H288" s="1195"/>
    </row>
    <row r="289" spans="1:8" ht="13.9" customHeight="1" x14ac:dyDescent="0.2">
      <c r="A289" s="846">
        <f>Chem!A289</f>
        <v>287</v>
      </c>
      <c r="B289" s="1582" t="str">
        <f>Chem!B289</f>
        <v>Dinoseb</v>
      </c>
      <c r="C289" s="961" t="str">
        <f>'AR-Det'!F289</f>
        <v>na</v>
      </c>
      <c r="D289" s="2384" t="s">
        <v>232</v>
      </c>
      <c r="E289" s="1520" t="str">
        <f>'AR-Det'!G289</f>
        <v>na</v>
      </c>
      <c r="F289" s="1600" t="s">
        <v>232</v>
      </c>
      <c r="H289" s="1195"/>
    </row>
    <row r="290" spans="1:8" ht="13.9" customHeight="1" x14ac:dyDescent="0.2">
      <c r="A290" s="846">
        <f>Chem!A290</f>
        <v>288</v>
      </c>
      <c r="B290" s="1582" t="str">
        <f>Chem!B290</f>
        <v>2-Methyl-4-chlorophenoxy acetic acid (MCPA)</v>
      </c>
      <c r="C290" s="961" t="str">
        <f>'AR-Det'!F290</f>
        <v>na</v>
      </c>
      <c r="D290" s="2384" t="s">
        <v>232</v>
      </c>
      <c r="E290" s="1520" t="str">
        <f>'AR-Det'!G290</f>
        <v>na</v>
      </c>
      <c r="F290" s="1600" t="s">
        <v>232</v>
      </c>
      <c r="H290" s="1195"/>
    </row>
    <row r="291" spans="1:8" ht="13.9" customHeight="1" thickBot="1" x14ac:dyDescent="0.25">
      <c r="A291" s="1199">
        <f>Chem!A291</f>
        <v>289</v>
      </c>
      <c r="B291" s="1583" t="str">
        <f>Chem!B291</f>
        <v>(2-Methyl-4-chlorophenol)2-propionic acid (MCPP)</v>
      </c>
      <c r="C291" s="1196" t="str">
        <f>'AR-Det'!F291</f>
        <v>na</v>
      </c>
      <c r="D291" s="2388" t="s">
        <v>232</v>
      </c>
      <c r="E291" s="1523" t="str">
        <f>'AR-Det'!G291</f>
        <v>na</v>
      </c>
      <c r="F291" s="1605" t="s">
        <v>232</v>
      </c>
      <c r="H291" s="1204"/>
    </row>
    <row r="292" spans="1:8" ht="13.9" customHeight="1" thickTop="1" x14ac:dyDescent="0.2">
      <c r="H292" s="968">
        <f>COUNTA(H4:H291)</f>
        <v>0</v>
      </c>
    </row>
  </sheetData>
  <autoFilter ref="A2:H294" xr:uid="{00000000-0009-0000-0000-000005000000}"/>
  <printOptions horizontalCentered="1"/>
  <pageMargins left="0.7" right="0.7" top="0.75" bottom="0.75" header="0.3" footer="0.3"/>
  <pageSetup orientation="portrait" r:id="rId1"/>
  <headerFooter scaleWithDoc="0">
    <oddFooter>&amp;LDecember 1, 2018&amp;RPage &amp;P of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304"/>
  <sheetViews>
    <sheetView zoomScaleNormal="100" workbookViewId="0">
      <pane xSplit="2" ySplit="2" topLeftCell="C265" activePane="bottomRight" state="frozen"/>
      <selection activeCell="C1" sqref="C1"/>
      <selection pane="topRight" activeCell="D1" sqref="D1"/>
      <selection pane="bottomLeft" activeCell="C3" sqref="C3"/>
      <selection pane="bottomRight" activeCell="D270" sqref="D270"/>
    </sheetView>
  </sheetViews>
  <sheetFormatPr defaultColWidth="5.7109375" defaultRowHeight="12" x14ac:dyDescent="0.2"/>
  <cols>
    <col min="1" max="1" width="6.140625" style="837" customWidth="1"/>
    <col min="2" max="2" width="43.28515625" style="6" customWidth="1"/>
    <col min="3" max="3" width="11.85546875" style="4" bestFit="1" customWidth="1"/>
    <col min="4" max="4" width="57.28515625" style="189" customWidth="1"/>
    <col min="5" max="5" width="12.7109375" style="4" bestFit="1" customWidth="1"/>
    <col min="6" max="6" width="15.5703125" style="5" bestFit="1" customWidth="1"/>
    <col min="7" max="7" width="99" style="1029" customWidth="1"/>
    <col min="8" max="8" width="5.7109375" style="2"/>
    <col min="9" max="9" width="14.28515625" style="837" customWidth="1"/>
    <col min="10" max="16384" width="5.7109375" style="2"/>
  </cols>
  <sheetData>
    <row r="1" spans="1:17" ht="15.75" thickBot="1" x14ac:dyDescent="0.3">
      <c r="A1" s="836"/>
      <c r="B1" s="2651" t="s">
        <v>1689</v>
      </c>
      <c r="C1" s="2651"/>
      <c r="D1" s="2651"/>
      <c r="E1" s="49"/>
      <c r="F1" s="49"/>
      <c r="G1" s="1020"/>
      <c r="H1" s="36"/>
    </row>
    <row r="2" spans="1:17" s="837" customFormat="1" ht="74.25" thickTop="1" thickBot="1" x14ac:dyDescent="0.25">
      <c r="A2" s="1709" t="s">
        <v>445</v>
      </c>
      <c r="B2" s="1730" t="s">
        <v>0</v>
      </c>
      <c r="C2" s="1730" t="s">
        <v>12</v>
      </c>
      <c r="D2" s="1731" t="s">
        <v>163</v>
      </c>
      <c r="E2" s="1732" t="s">
        <v>35</v>
      </c>
      <c r="F2" s="1730" t="s">
        <v>33</v>
      </c>
      <c r="G2" s="1733" t="s">
        <v>103</v>
      </c>
      <c r="I2" s="1724" t="s">
        <v>465</v>
      </c>
    </row>
    <row r="3" spans="1:17" s="3" customFormat="1" ht="13.9" customHeight="1" thickTop="1" x14ac:dyDescent="0.25">
      <c r="A3" s="907">
        <v>1</v>
      </c>
      <c r="B3" s="2489" t="s">
        <v>86</v>
      </c>
      <c r="C3" s="53"/>
      <c r="D3" s="638"/>
      <c r="E3" s="639"/>
      <c r="F3" s="639"/>
      <c r="G3" s="1021"/>
      <c r="H3" s="36"/>
      <c r="I3" s="1061"/>
      <c r="N3" s="2"/>
    </row>
    <row r="4" spans="1:17" ht="13.9" customHeight="1" x14ac:dyDescent="0.25">
      <c r="A4" s="842">
        <v>2</v>
      </c>
      <c r="B4" s="1083" t="s">
        <v>1160</v>
      </c>
      <c r="C4" s="1088" t="s">
        <v>1161</v>
      </c>
      <c r="D4" s="161" t="s">
        <v>754</v>
      </c>
      <c r="E4" s="25"/>
      <c r="F4" s="25"/>
      <c r="G4" s="1022"/>
      <c r="I4" s="1062"/>
    </row>
    <row r="5" spans="1:17" s="7" customFormat="1" ht="13.9" customHeight="1" x14ac:dyDescent="0.25">
      <c r="A5" s="842">
        <v>3</v>
      </c>
      <c r="B5" s="1083" t="s">
        <v>1162</v>
      </c>
      <c r="C5" s="190" t="s">
        <v>232</v>
      </c>
      <c r="D5" s="161" t="s">
        <v>755</v>
      </c>
      <c r="E5" s="25"/>
      <c r="F5" s="25"/>
      <c r="G5" s="1022"/>
      <c r="I5" s="1062"/>
      <c r="N5" s="2"/>
    </row>
    <row r="6" spans="1:17" s="7" customFormat="1" ht="13.9" customHeight="1" x14ac:dyDescent="0.25">
      <c r="A6" s="842">
        <v>4</v>
      </c>
      <c r="B6" s="1083" t="s">
        <v>1163</v>
      </c>
      <c r="C6" s="190" t="s">
        <v>232</v>
      </c>
      <c r="D6" s="161" t="s">
        <v>755</v>
      </c>
      <c r="E6" s="25"/>
      <c r="F6" s="25"/>
      <c r="G6" s="1022"/>
      <c r="I6" s="1062"/>
      <c r="N6" s="2"/>
    </row>
    <row r="7" spans="1:17" s="3" customFormat="1" ht="13.9" customHeight="1" x14ac:dyDescent="0.25">
      <c r="A7" s="906">
        <v>5</v>
      </c>
      <c r="B7" s="840" t="s">
        <v>1</v>
      </c>
      <c r="C7" s="28"/>
      <c r="D7" s="640"/>
      <c r="E7" s="641"/>
      <c r="F7" s="641"/>
      <c r="G7" s="1023"/>
      <c r="I7" s="1063"/>
      <c r="N7" s="2"/>
      <c r="Q7" s="7"/>
    </row>
    <row r="8" spans="1:17" ht="13.9" customHeight="1" x14ac:dyDescent="0.25">
      <c r="A8" s="844">
        <v>6</v>
      </c>
      <c r="B8" s="1077" t="s">
        <v>1164</v>
      </c>
      <c r="C8" s="1608" t="s">
        <v>232</v>
      </c>
      <c r="D8" s="188" t="s">
        <v>755</v>
      </c>
      <c r="E8" s="21"/>
      <c r="F8" s="21"/>
      <c r="G8" s="1024"/>
      <c r="I8" s="1062"/>
      <c r="Q8" s="7"/>
    </row>
    <row r="9" spans="1:17" ht="13.9" customHeight="1" x14ac:dyDescent="0.25">
      <c r="A9" s="845">
        <v>7</v>
      </c>
      <c r="B9" s="1077" t="s">
        <v>1165</v>
      </c>
      <c r="C9" s="1070" t="s">
        <v>1166</v>
      </c>
      <c r="D9" s="188" t="s">
        <v>756</v>
      </c>
      <c r="E9" s="21"/>
      <c r="F9" s="21"/>
      <c r="G9" s="1024"/>
      <c r="I9" s="1062"/>
      <c r="Q9" s="7"/>
    </row>
    <row r="10" spans="1:17" ht="13.9" customHeight="1" x14ac:dyDescent="0.2">
      <c r="A10" s="845">
        <v>8</v>
      </c>
      <c r="B10" s="1076" t="s">
        <v>1167</v>
      </c>
      <c r="C10" s="345" t="s">
        <v>232</v>
      </c>
      <c r="D10" s="346" t="s">
        <v>755</v>
      </c>
      <c r="E10" s="345"/>
      <c r="F10" s="345"/>
      <c r="G10" s="1025" t="s">
        <v>757</v>
      </c>
      <c r="I10" s="1064"/>
      <c r="Q10" s="7"/>
    </row>
    <row r="11" spans="1:17" ht="13.9" customHeight="1" x14ac:dyDescent="0.2">
      <c r="A11" s="845">
        <v>9</v>
      </c>
      <c r="B11" s="1077" t="s">
        <v>1168</v>
      </c>
      <c r="C11" s="1070" t="s">
        <v>232</v>
      </c>
      <c r="D11" s="1071" t="s">
        <v>755</v>
      </c>
      <c r="E11" s="1070"/>
      <c r="F11" s="1070"/>
      <c r="G11" s="1072"/>
      <c r="I11" s="1064"/>
      <c r="Q11" s="7"/>
    </row>
    <row r="12" spans="1:17" ht="13.9" customHeight="1" x14ac:dyDescent="0.2">
      <c r="A12" s="906">
        <v>10</v>
      </c>
      <c r="B12" s="840" t="s">
        <v>1169</v>
      </c>
      <c r="C12" s="1073"/>
      <c r="D12" s="1074"/>
      <c r="E12" s="1073"/>
      <c r="F12" s="1073"/>
      <c r="G12" s="1075"/>
      <c r="I12" s="1632"/>
      <c r="Q12" s="7"/>
    </row>
    <row r="13" spans="1:17" ht="13.9" customHeight="1" x14ac:dyDescent="0.2">
      <c r="A13" s="845">
        <v>11</v>
      </c>
      <c r="B13" s="1964" t="s">
        <v>1170</v>
      </c>
      <c r="C13" s="1961" t="s">
        <v>1171</v>
      </c>
      <c r="D13" s="1963" t="s">
        <v>758</v>
      </c>
      <c r="E13" s="1961"/>
      <c r="F13" s="1961"/>
      <c r="G13" s="1962"/>
      <c r="I13" s="1064"/>
      <c r="Q13" s="7"/>
    </row>
    <row r="14" spans="1:17" ht="13.9" customHeight="1" x14ac:dyDescent="0.2">
      <c r="A14" s="845">
        <v>12</v>
      </c>
      <c r="B14" s="1076" t="s">
        <v>1172</v>
      </c>
      <c r="C14" s="1081" t="s">
        <v>1173</v>
      </c>
      <c r="D14" s="1078" t="s">
        <v>759</v>
      </c>
      <c r="E14" s="1081"/>
      <c r="F14" s="1081"/>
      <c r="G14" s="1025"/>
      <c r="I14" s="1064"/>
      <c r="Q14" s="7"/>
    </row>
    <row r="15" spans="1:17" ht="13.9" customHeight="1" x14ac:dyDescent="0.2">
      <c r="A15" s="843">
        <v>13</v>
      </c>
      <c r="B15" s="1958" t="s">
        <v>1740</v>
      </c>
      <c r="C15" s="1959" t="s">
        <v>1174</v>
      </c>
      <c r="D15" s="1960" t="s">
        <v>760</v>
      </c>
      <c r="E15" s="1609"/>
      <c r="F15" s="1609"/>
      <c r="G15" s="1610"/>
      <c r="I15" s="1064"/>
      <c r="Q15" s="7"/>
    </row>
    <row r="16" spans="1:17" x14ac:dyDescent="0.2">
      <c r="A16" s="843">
        <v>14</v>
      </c>
      <c r="B16" s="1958" t="s">
        <v>1175</v>
      </c>
      <c r="C16" s="1959" t="s">
        <v>1176</v>
      </c>
      <c r="D16" s="1960" t="s">
        <v>761</v>
      </c>
      <c r="E16" s="1609"/>
      <c r="F16" s="1609"/>
      <c r="G16" s="1610"/>
      <c r="I16" s="1064"/>
      <c r="Q16" s="7"/>
    </row>
    <row r="17" spans="1:17" ht="13.9" customHeight="1" x14ac:dyDescent="0.2">
      <c r="A17" s="1069">
        <v>15</v>
      </c>
      <c r="B17" s="1076" t="s">
        <v>1177</v>
      </c>
      <c r="C17" s="345" t="s">
        <v>1178</v>
      </c>
      <c r="D17" s="1078" t="s">
        <v>762</v>
      </c>
      <c r="E17" s="1081"/>
      <c r="F17" s="1081"/>
      <c r="G17" s="1025"/>
      <c r="I17" s="1064"/>
      <c r="Q17" s="7"/>
    </row>
    <row r="18" spans="1:17" ht="13.9" customHeight="1" x14ac:dyDescent="0.2">
      <c r="A18" s="844">
        <v>16</v>
      </c>
      <c r="B18" s="1077" t="s">
        <v>1179</v>
      </c>
      <c r="C18" s="1070" t="s">
        <v>1180</v>
      </c>
      <c r="D18" s="1079" t="s">
        <v>763</v>
      </c>
      <c r="E18" s="1082"/>
      <c r="F18" s="1082"/>
      <c r="G18" s="1072"/>
      <c r="I18" s="1064"/>
      <c r="Q18" s="7"/>
    </row>
    <row r="19" spans="1:17" ht="13.9" customHeight="1" x14ac:dyDescent="0.2">
      <c r="A19" s="1321">
        <v>17</v>
      </c>
      <c r="B19" s="1076" t="s">
        <v>1181</v>
      </c>
      <c r="C19" s="345" t="s">
        <v>1182</v>
      </c>
      <c r="D19" s="1078" t="s">
        <v>764</v>
      </c>
      <c r="E19" s="1081"/>
      <c r="F19" s="1081"/>
      <c r="G19" s="1025"/>
      <c r="I19" s="1064"/>
      <c r="Q19" s="7"/>
    </row>
    <row r="20" spans="1:17" ht="13.9" customHeight="1" x14ac:dyDescent="0.2">
      <c r="A20" s="1322">
        <v>18</v>
      </c>
      <c r="B20" s="991" t="s">
        <v>1183</v>
      </c>
      <c r="C20" s="992" t="s">
        <v>232</v>
      </c>
      <c r="D20" s="1080" t="s">
        <v>755</v>
      </c>
      <c r="E20" s="992"/>
      <c r="F20" s="992"/>
      <c r="G20" s="1026"/>
      <c r="I20" s="1064"/>
      <c r="Q20" s="7"/>
    </row>
    <row r="21" spans="1:17" s="3" customFormat="1" ht="13.9" customHeight="1" x14ac:dyDescent="0.25">
      <c r="A21" s="906">
        <v>19</v>
      </c>
      <c r="B21" s="840" t="s">
        <v>2</v>
      </c>
      <c r="C21" s="28"/>
      <c r="D21" s="640"/>
      <c r="E21" s="641"/>
      <c r="F21" s="641"/>
      <c r="G21" s="1023"/>
      <c r="I21" s="1063"/>
      <c r="N21" s="2"/>
      <c r="Q21" s="7"/>
    </row>
    <row r="22" spans="1:17" ht="13.9" customHeight="1" x14ac:dyDescent="0.25">
      <c r="A22" s="846">
        <v>20</v>
      </c>
      <c r="B22" s="1084" t="s">
        <v>1184</v>
      </c>
      <c r="C22" s="1089" t="s">
        <v>1185</v>
      </c>
      <c r="D22" s="159" t="s">
        <v>765</v>
      </c>
      <c r="E22" s="23"/>
      <c r="F22" s="23" t="s">
        <v>766</v>
      </c>
      <c r="G22" s="1027"/>
      <c r="I22" s="1062"/>
      <c r="Q22" s="7"/>
    </row>
    <row r="23" spans="1:17" ht="13.9" customHeight="1" x14ac:dyDescent="0.25">
      <c r="A23" s="847">
        <v>21</v>
      </c>
      <c r="B23" s="1085" t="s">
        <v>1186</v>
      </c>
      <c r="C23" s="1019" t="s">
        <v>1187</v>
      </c>
      <c r="D23" s="160" t="s">
        <v>767</v>
      </c>
      <c r="E23" s="1"/>
      <c r="F23" s="1" t="s">
        <v>768</v>
      </c>
      <c r="G23" s="1028"/>
      <c r="I23" s="1062"/>
      <c r="Q23" s="7"/>
    </row>
    <row r="24" spans="1:17" ht="13.9" customHeight="1" x14ac:dyDescent="0.25">
      <c r="A24" s="847">
        <v>22</v>
      </c>
      <c r="B24" s="1085" t="s">
        <v>1188</v>
      </c>
      <c r="C24" s="1019" t="s">
        <v>1189</v>
      </c>
      <c r="D24" s="160" t="s">
        <v>769</v>
      </c>
      <c r="E24" s="1"/>
      <c r="F24" s="1" t="s">
        <v>770</v>
      </c>
      <c r="G24" s="1028"/>
      <c r="I24" s="1062"/>
      <c r="Q24" s="7"/>
    </row>
    <row r="25" spans="1:17" ht="13.9" customHeight="1" x14ac:dyDescent="0.25">
      <c r="A25" s="847">
        <v>23</v>
      </c>
      <c r="B25" s="1085" t="s">
        <v>1190</v>
      </c>
      <c r="C25" s="1019" t="s">
        <v>1191</v>
      </c>
      <c r="D25" s="160" t="s">
        <v>771</v>
      </c>
      <c r="E25" s="1"/>
      <c r="F25" s="1" t="s">
        <v>772</v>
      </c>
      <c r="G25" s="1028"/>
      <c r="I25" s="1062"/>
      <c r="Q25" s="7"/>
    </row>
    <row r="26" spans="1:17" ht="13.9" customHeight="1" x14ac:dyDescent="0.25">
      <c r="A26" s="847">
        <v>24</v>
      </c>
      <c r="B26" s="1085" t="s">
        <v>1192</v>
      </c>
      <c r="C26" s="1019" t="s">
        <v>1193</v>
      </c>
      <c r="D26" s="160" t="s">
        <v>773</v>
      </c>
      <c r="E26" s="1"/>
      <c r="F26" s="1" t="s">
        <v>774</v>
      </c>
      <c r="G26" s="1028"/>
      <c r="I26" s="1062"/>
      <c r="Q26" s="7"/>
    </row>
    <row r="27" spans="1:17" ht="25.9" customHeight="1" x14ac:dyDescent="0.25">
      <c r="A27" s="847">
        <v>25</v>
      </c>
      <c r="B27" s="1085" t="s">
        <v>1194</v>
      </c>
      <c r="C27" s="1019" t="s">
        <v>1195</v>
      </c>
      <c r="D27" s="160" t="s">
        <v>775</v>
      </c>
      <c r="E27" s="1" t="s">
        <v>776</v>
      </c>
      <c r="F27" s="1" t="s">
        <v>777</v>
      </c>
      <c r="G27" s="1028"/>
      <c r="I27" s="1062"/>
      <c r="Q27" s="7"/>
    </row>
    <row r="28" spans="1:17" ht="25.9" customHeight="1" x14ac:dyDescent="0.25">
      <c r="A28" s="847">
        <v>26</v>
      </c>
      <c r="B28" s="1085" t="s">
        <v>1196</v>
      </c>
      <c r="C28" s="1019" t="s">
        <v>1197</v>
      </c>
      <c r="D28" s="160" t="s">
        <v>778</v>
      </c>
      <c r="E28" s="1"/>
      <c r="F28" s="1" t="s">
        <v>779</v>
      </c>
      <c r="G28" s="1028"/>
      <c r="I28" s="1062"/>
      <c r="Q28" s="7"/>
    </row>
    <row r="29" spans="1:17" ht="13.9" customHeight="1" x14ac:dyDescent="0.25">
      <c r="A29" s="847">
        <v>27</v>
      </c>
      <c r="B29" s="1085" t="s">
        <v>1198</v>
      </c>
      <c r="C29" s="1019" t="s">
        <v>1199</v>
      </c>
      <c r="D29" s="160" t="s">
        <v>780</v>
      </c>
      <c r="E29" s="1"/>
      <c r="F29" s="1" t="s">
        <v>781</v>
      </c>
      <c r="G29" s="1028" t="s">
        <v>782</v>
      </c>
      <c r="I29" s="1062"/>
      <c r="Q29" s="7"/>
    </row>
    <row r="30" spans="1:17" ht="13.9" customHeight="1" x14ac:dyDescent="0.25">
      <c r="A30" s="847">
        <v>28</v>
      </c>
      <c r="B30" s="1085" t="s">
        <v>3</v>
      </c>
      <c r="C30" s="1019" t="s">
        <v>1200</v>
      </c>
      <c r="D30" s="160" t="s">
        <v>783</v>
      </c>
      <c r="E30" s="1"/>
      <c r="F30" s="1" t="s">
        <v>784</v>
      </c>
      <c r="G30" s="1028" t="s">
        <v>785</v>
      </c>
      <c r="I30" s="1062"/>
      <c r="Q30" s="7"/>
    </row>
    <row r="31" spans="1:17" ht="13.9" customHeight="1" x14ac:dyDescent="0.25">
      <c r="A31" s="847">
        <v>29</v>
      </c>
      <c r="B31" s="1085" t="s">
        <v>1201</v>
      </c>
      <c r="C31" s="1019" t="s">
        <v>1202</v>
      </c>
      <c r="D31" s="160" t="s">
        <v>786</v>
      </c>
      <c r="E31" s="1"/>
      <c r="F31" s="1" t="s">
        <v>787</v>
      </c>
      <c r="G31" s="1028"/>
      <c r="I31" s="1062"/>
      <c r="Q31" s="7"/>
    </row>
    <row r="32" spans="1:17" ht="13.9" customHeight="1" x14ac:dyDescent="0.25">
      <c r="A32" s="847">
        <v>30</v>
      </c>
      <c r="B32" s="1085" t="s">
        <v>1203</v>
      </c>
      <c r="C32" s="1019" t="s">
        <v>1204</v>
      </c>
      <c r="D32" s="160" t="s">
        <v>788</v>
      </c>
      <c r="E32" s="1"/>
      <c r="F32" s="1" t="s">
        <v>789</v>
      </c>
      <c r="G32" s="1028"/>
      <c r="I32" s="1062"/>
      <c r="Q32" s="7"/>
    </row>
    <row r="33" spans="1:17" ht="13.9" customHeight="1" x14ac:dyDescent="0.25">
      <c r="A33" s="847">
        <v>31</v>
      </c>
      <c r="B33" s="1085" t="s">
        <v>1205</v>
      </c>
      <c r="C33" s="1019" t="s">
        <v>1206</v>
      </c>
      <c r="D33" s="160" t="s">
        <v>790</v>
      </c>
      <c r="E33" s="1"/>
      <c r="F33" s="1" t="s">
        <v>791</v>
      </c>
      <c r="G33" s="1028"/>
      <c r="I33" s="1062"/>
      <c r="Q33" s="7"/>
    </row>
    <row r="34" spans="1:17" ht="13.9" customHeight="1" x14ac:dyDescent="0.25">
      <c r="A34" s="847">
        <v>32</v>
      </c>
      <c r="B34" s="1085" t="s">
        <v>1207</v>
      </c>
      <c r="C34" s="1019" t="s">
        <v>1208</v>
      </c>
      <c r="D34" s="160" t="s">
        <v>792</v>
      </c>
      <c r="E34" s="1"/>
      <c r="F34" s="1" t="s">
        <v>793</v>
      </c>
      <c r="G34" s="1028"/>
      <c r="I34" s="1062"/>
      <c r="Q34" s="7"/>
    </row>
    <row r="35" spans="1:17" ht="27" customHeight="1" x14ac:dyDescent="0.25">
      <c r="A35" s="847">
        <v>33</v>
      </c>
      <c r="B35" s="1085" t="s">
        <v>1209</v>
      </c>
      <c r="C35" s="1019" t="s">
        <v>1210</v>
      </c>
      <c r="D35" s="160" t="s">
        <v>794</v>
      </c>
      <c r="E35" s="1"/>
      <c r="F35" s="1" t="s">
        <v>795</v>
      </c>
      <c r="G35" s="1028"/>
      <c r="I35" s="1062"/>
      <c r="Q35" s="7"/>
    </row>
    <row r="36" spans="1:17" ht="13.9" customHeight="1" x14ac:dyDescent="0.25">
      <c r="A36" s="847">
        <v>34</v>
      </c>
      <c r="B36" s="1085" t="s">
        <v>1211</v>
      </c>
      <c r="C36" s="1019" t="s">
        <v>1212</v>
      </c>
      <c r="D36" s="160" t="s">
        <v>796</v>
      </c>
      <c r="E36" s="1"/>
      <c r="F36" s="1" t="s">
        <v>797</v>
      </c>
      <c r="G36" s="1028"/>
      <c r="I36" s="1062"/>
      <c r="Q36" s="7"/>
    </row>
    <row r="37" spans="1:17" ht="13.9" customHeight="1" x14ac:dyDescent="0.25">
      <c r="A37" s="847">
        <v>35</v>
      </c>
      <c r="B37" s="1085" t="s">
        <v>1213</v>
      </c>
      <c r="C37" s="1019" t="s">
        <v>1214</v>
      </c>
      <c r="D37" s="160" t="s">
        <v>798</v>
      </c>
      <c r="E37" s="1" t="s">
        <v>799</v>
      </c>
      <c r="F37" s="1"/>
      <c r="G37" s="1028" t="s">
        <v>800</v>
      </c>
      <c r="I37" s="1062"/>
      <c r="Q37" s="7"/>
    </row>
    <row r="38" spans="1:17" ht="13.9" customHeight="1" x14ac:dyDescent="0.25">
      <c r="A38" s="847">
        <v>36</v>
      </c>
      <c r="B38" s="1085" t="s">
        <v>1215</v>
      </c>
      <c r="C38" s="1019" t="s">
        <v>1216</v>
      </c>
      <c r="D38" s="160" t="s">
        <v>801</v>
      </c>
      <c r="E38" s="1"/>
      <c r="F38" s="1" t="s">
        <v>802</v>
      </c>
      <c r="G38" s="1028"/>
      <c r="I38" s="1062"/>
      <c r="Q38" s="7"/>
    </row>
    <row r="39" spans="1:17" ht="13.9" customHeight="1" x14ac:dyDescent="0.25">
      <c r="A39" s="847">
        <v>37</v>
      </c>
      <c r="B39" s="1085" t="s">
        <v>1217</v>
      </c>
      <c r="C39" s="1019" t="s">
        <v>1218</v>
      </c>
      <c r="D39" s="160" t="s">
        <v>803</v>
      </c>
      <c r="E39" s="1"/>
      <c r="F39" s="1" t="s">
        <v>804</v>
      </c>
      <c r="G39" s="1028"/>
      <c r="I39" s="1062"/>
      <c r="Q39" s="7"/>
    </row>
    <row r="40" spans="1:17" ht="13.9" customHeight="1" x14ac:dyDescent="0.25">
      <c r="A40" s="847">
        <v>38</v>
      </c>
      <c r="B40" s="1085" t="s">
        <v>1219</v>
      </c>
      <c r="C40" s="1019" t="s">
        <v>1220</v>
      </c>
      <c r="D40" s="160" t="s">
        <v>805</v>
      </c>
      <c r="E40" s="1"/>
      <c r="F40" s="1" t="s">
        <v>806</v>
      </c>
      <c r="G40" s="1028"/>
      <c r="I40" s="1062"/>
      <c r="Q40" s="7"/>
    </row>
    <row r="41" spans="1:17" ht="13.9" customHeight="1" x14ac:dyDescent="0.25">
      <c r="A41" s="847">
        <v>39</v>
      </c>
      <c r="B41" s="1085" t="s">
        <v>1221</v>
      </c>
      <c r="C41" s="1019" t="s">
        <v>1222</v>
      </c>
      <c r="D41" s="160" t="s">
        <v>807</v>
      </c>
      <c r="E41" s="1"/>
      <c r="F41" s="1" t="s">
        <v>808</v>
      </c>
      <c r="G41" s="1028"/>
      <c r="I41" s="1062"/>
      <c r="Q41" s="7"/>
    </row>
    <row r="42" spans="1:17" ht="13.9" customHeight="1" x14ac:dyDescent="0.25">
      <c r="A42" s="847">
        <v>40</v>
      </c>
      <c r="B42" s="1085" t="s">
        <v>1223</v>
      </c>
      <c r="C42" s="1019" t="s">
        <v>1224</v>
      </c>
      <c r="D42" s="160" t="s">
        <v>809</v>
      </c>
      <c r="E42" s="1"/>
      <c r="F42" s="1" t="s">
        <v>810</v>
      </c>
      <c r="G42" s="1028"/>
      <c r="I42" s="1062"/>
      <c r="Q42" s="7"/>
    </row>
    <row r="43" spans="1:17" ht="13.9" customHeight="1" x14ac:dyDescent="0.25">
      <c r="A43" s="847">
        <v>41</v>
      </c>
      <c r="B43" s="1085" t="s">
        <v>1225</v>
      </c>
      <c r="C43" s="1019" t="s">
        <v>1226</v>
      </c>
      <c r="D43" s="160" t="s">
        <v>811</v>
      </c>
      <c r="E43" s="1"/>
      <c r="F43" s="1" t="s">
        <v>812</v>
      </c>
      <c r="G43" s="1028"/>
      <c r="I43" s="1062"/>
      <c r="Q43" s="7"/>
    </row>
    <row r="44" spans="1:17" ht="13.9" customHeight="1" x14ac:dyDescent="0.25">
      <c r="A44" s="847">
        <v>42</v>
      </c>
      <c r="B44" s="1085" t="s">
        <v>1227</v>
      </c>
      <c r="C44" s="1019" t="s">
        <v>1228</v>
      </c>
      <c r="D44" s="160" t="s">
        <v>813</v>
      </c>
      <c r="E44" s="1"/>
      <c r="F44" s="1" t="s">
        <v>814</v>
      </c>
      <c r="G44" s="1028"/>
      <c r="I44" s="1062"/>
      <c r="Q44" s="7"/>
    </row>
    <row r="45" spans="1:17" ht="13.9" customHeight="1" x14ac:dyDescent="0.25">
      <c r="A45" s="844">
        <v>43</v>
      </c>
      <c r="B45" s="1077" t="s">
        <v>1229</v>
      </c>
      <c r="C45" s="1070" t="s">
        <v>1230</v>
      </c>
      <c r="D45" s="188" t="s">
        <v>815</v>
      </c>
      <c r="E45" s="21"/>
      <c r="F45" s="21" t="s">
        <v>816</v>
      </c>
      <c r="G45" s="1024"/>
      <c r="I45" s="1062"/>
      <c r="Q45" s="7"/>
    </row>
    <row r="46" spans="1:17" s="3" customFormat="1" ht="13.9" customHeight="1" x14ac:dyDescent="0.25">
      <c r="A46" s="906">
        <v>44</v>
      </c>
      <c r="B46" s="841" t="s">
        <v>85</v>
      </c>
      <c r="C46" s="28"/>
      <c r="D46" s="640"/>
      <c r="E46" s="641"/>
      <c r="F46" s="641"/>
      <c r="G46" s="1023"/>
      <c r="I46" s="1063"/>
      <c r="N46" s="2"/>
      <c r="Q46" s="7"/>
    </row>
    <row r="47" spans="1:17" ht="13.9" customHeight="1" x14ac:dyDescent="0.25">
      <c r="A47" s="847">
        <v>45</v>
      </c>
      <c r="B47" s="1085" t="s">
        <v>1231</v>
      </c>
      <c r="C47" s="1089" t="s">
        <v>1232</v>
      </c>
      <c r="D47" s="160" t="s">
        <v>755</v>
      </c>
      <c r="E47" s="1"/>
      <c r="F47" s="1"/>
      <c r="G47" s="1028" t="s">
        <v>817</v>
      </c>
      <c r="I47" s="1062"/>
      <c r="Q47" s="7"/>
    </row>
    <row r="48" spans="1:17" ht="13.9" customHeight="1" x14ac:dyDescent="0.25">
      <c r="A48" s="847">
        <v>46</v>
      </c>
      <c r="B48" s="1085" t="s">
        <v>1233</v>
      </c>
      <c r="C48" s="1019" t="s">
        <v>1234</v>
      </c>
      <c r="D48" s="160" t="s">
        <v>755</v>
      </c>
      <c r="E48" s="1"/>
      <c r="F48" s="1"/>
      <c r="G48" s="1028"/>
      <c r="I48" s="1062"/>
      <c r="Q48" s="7"/>
    </row>
    <row r="49" spans="1:17" ht="13.9" customHeight="1" x14ac:dyDescent="0.25">
      <c r="A49" s="847">
        <v>47</v>
      </c>
      <c r="B49" s="1085" t="s">
        <v>1235</v>
      </c>
      <c r="C49" s="1019" t="s">
        <v>1236</v>
      </c>
      <c r="D49" s="160" t="s">
        <v>818</v>
      </c>
      <c r="E49" s="1"/>
      <c r="F49" s="1"/>
      <c r="G49" s="1028"/>
      <c r="I49" s="1062"/>
      <c r="Q49" s="7"/>
    </row>
    <row r="50" spans="1:17" ht="13.9" customHeight="1" x14ac:dyDescent="0.25">
      <c r="A50" s="847">
        <v>48</v>
      </c>
      <c r="B50" s="1085" t="s">
        <v>1237</v>
      </c>
      <c r="C50" s="1019" t="s">
        <v>1238</v>
      </c>
      <c r="D50" s="160" t="s">
        <v>819</v>
      </c>
      <c r="E50" s="1"/>
      <c r="F50" s="1"/>
      <c r="G50" s="1028" t="s">
        <v>820</v>
      </c>
      <c r="I50" s="1062"/>
      <c r="Q50" s="7"/>
    </row>
    <row r="51" spans="1:17" ht="13.9" customHeight="1" x14ac:dyDescent="0.25">
      <c r="A51" s="847">
        <v>49</v>
      </c>
      <c r="B51" s="1085" t="s">
        <v>1239</v>
      </c>
      <c r="C51" s="1019" t="s">
        <v>1240</v>
      </c>
      <c r="D51" s="160" t="s">
        <v>755</v>
      </c>
      <c r="E51" s="1"/>
      <c r="F51" s="1"/>
      <c r="G51" s="1028" t="s">
        <v>821</v>
      </c>
      <c r="I51" s="1062"/>
      <c r="Q51" s="7"/>
    </row>
    <row r="52" spans="1:17" s="3" customFormat="1" ht="13.9" customHeight="1" x14ac:dyDescent="0.25">
      <c r="A52" s="906">
        <v>50</v>
      </c>
      <c r="B52" s="840" t="s">
        <v>1241</v>
      </c>
      <c r="C52" s="28"/>
      <c r="D52" s="640"/>
      <c r="E52" s="641"/>
      <c r="F52" s="641"/>
      <c r="G52" s="1023"/>
      <c r="I52" s="1063"/>
      <c r="N52" s="2"/>
      <c r="Q52" s="7"/>
    </row>
    <row r="53" spans="1:17" ht="13.9" customHeight="1" x14ac:dyDescent="0.25">
      <c r="A53" s="846">
        <v>51</v>
      </c>
      <c r="B53" s="1084" t="s">
        <v>1242</v>
      </c>
      <c r="C53" s="1089" t="s">
        <v>1243</v>
      </c>
      <c r="D53" s="159" t="s">
        <v>822</v>
      </c>
      <c r="E53" s="23"/>
      <c r="F53" s="23"/>
      <c r="G53" s="1027"/>
      <c r="I53" s="1062"/>
      <c r="Q53" s="7"/>
    </row>
    <row r="54" spans="1:17" ht="13.9" customHeight="1" x14ac:dyDescent="0.25">
      <c r="A54" s="847">
        <v>52</v>
      </c>
      <c r="B54" s="1085" t="s">
        <v>1244</v>
      </c>
      <c r="C54" s="1019" t="s">
        <v>1245</v>
      </c>
      <c r="D54" s="160" t="s">
        <v>755</v>
      </c>
      <c r="E54" s="1"/>
      <c r="F54" s="1"/>
      <c r="G54" s="1028"/>
      <c r="I54" s="1062"/>
      <c r="Q54" s="7"/>
    </row>
    <row r="55" spans="1:17" ht="13.9" customHeight="1" x14ac:dyDescent="0.25">
      <c r="A55" s="847">
        <v>53</v>
      </c>
      <c r="B55" s="1085" t="s">
        <v>1246</v>
      </c>
      <c r="C55" s="1019" t="s">
        <v>1247</v>
      </c>
      <c r="D55" s="160" t="s">
        <v>823</v>
      </c>
      <c r="E55" s="1"/>
      <c r="F55" s="1"/>
      <c r="G55" s="1028"/>
      <c r="I55" s="1062"/>
      <c r="Q55" s="7"/>
    </row>
    <row r="56" spans="1:17" ht="13.9" customHeight="1" x14ac:dyDescent="0.25">
      <c r="A56" s="847">
        <v>54</v>
      </c>
      <c r="B56" s="1085" t="s">
        <v>1248</v>
      </c>
      <c r="C56" s="1019" t="s">
        <v>1249</v>
      </c>
      <c r="D56" s="160" t="s">
        <v>824</v>
      </c>
      <c r="E56" s="1"/>
      <c r="F56" s="1"/>
      <c r="G56" s="1028"/>
      <c r="I56" s="1062"/>
      <c r="Q56" s="7"/>
    </row>
    <row r="57" spans="1:17" ht="13.9" customHeight="1" x14ac:dyDescent="0.25">
      <c r="A57" s="847">
        <v>55</v>
      </c>
      <c r="B57" s="1085" t="s">
        <v>1250</v>
      </c>
      <c r="C57" s="1019" t="s">
        <v>1251</v>
      </c>
      <c r="D57" s="160" t="s">
        <v>825</v>
      </c>
      <c r="E57" s="1"/>
      <c r="F57" s="1"/>
      <c r="G57" s="1028"/>
      <c r="I57" s="1062"/>
      <c r="Q57" s="7"/>
    </row>
    <row r="58" spans="1:17" ht="13.9" customHeight="1" x14ac:dyDescent="0.25">
      <c r="A58" s="847">
        <v>56</v>
      </c>
      <c r="B58" s="1085" t="s">
        <v>1252</v>
      </c>
      <c r="C58" s="1019" t="s">
        <v>1253</v>
      </c>
      <c r="D58" s="160" t="s">
        <v>826</v>
      </c>
      <c r="E58" s="1"/>
      <c r="F58" s="1"/>
      <c r="G58" s="1028"/>
      <c r="I58" s="1062"/>
      <c r="Q58" s="7"/>
    </row>
    <row r="59" spans="1:17" ht="13.9" customHeight="1" x14ac:dyDescent="0.25">
      <c r="A59" s="847">
        <v>57</v>
      </c>
      <c r="B59" s="1085" t="s">
        <v>1254</v>
      </c>
      <c r="C59" s="1019" t="s">
        <v>232</v>
      </c>
      <c r="D59" s="160" t="s">
        <v>755</v>
      </c>
      <c r="E59" s="1"/>
      <c r="F59" s="1"/>
      <c r="G59" s="1028"/>
      <c r="H59" s="36"/>
      <c r="I59" s="1062"/>
      <c r="Q59" s="7"/>
    </row>
    <row r="60" spans="1:17" ht="13.9" customHeight="1" x14ac:dyDescent="0.25">
      <c r="A60" s="847">
        <v>58</v>
      </c>
      <c r="B60" s="1085" t="s">
        <v>1255</v>
      </c>
      <c r="C60" s="1019" t="s">
        <v>1256</v>
      </c>
      <c r="D60" s="160" t="s">
        <v>755</v>
      </c>
      <c r="E60" s="1"/>
      <c r="F60" s="1"/>
      <c r="G60" s="1028"/>
      <c r="I60" s="1062"/>
      <c r="Q60" s="7"/>
    </row>
    <row r="61" spans="1:17" ht="13.9" customHeight="1" x14ac:dyDescent="0.25">
      <c r="A61" s="847">
        <v>59</v>
      </c>
      <c r="B61" s="1085" t="s">
        <v>4</v>
      </c>
      <c r="C61" s="1019" t="s">
        <v>1257</v>
      </c>
      <c r="D61" s="160" t="s">
        <v>827</v>
      </c>
      <c r="E61" s="1"/>
      <c r="F61" s="1" t="s">
        <v>828</v>
      </c>
      <c r="G61" s="1028"/>
      <c r="I61" s="1062"/>
      <c r="Q61" s="7"/>
    </row>
    <row r="62" spans="1:17" ht="13.9" customHeight="1" x14ac:dyDescent="0.25">
      <c r="A62" s="847">
        <v>60</v>
      </c>
      <c r="B62" s="1085" t="s">
        <v>1258</v>
      </c>
      <c r="C62" s="1019" t="s">
        <v>1259</v>
      </c>
      <c r="D62" s="160" t="s">
        <v>829</v>
      </c>
      <c r="E62" s="1"/>
      <c r="F62" s="1"/>
      <c r="G62" s="1028" t="s">
        <v>830</v>
      </c>
      <c r="I62" s="1062"/>
      <c r="Q62" s="7"/>
    </row>
    <row r="63" spans="1:17" ht="13.9" customHeight="1" x14ac:dyDescent="0.25">
      <c r="A63" s="847">
        <v>61</v>
      </c>
      <c r="B63" s="1085" t="s">
        <v>1260</v>
      </c>
      <c r="C63" s="1019" t="s">
        <v>1261</v>
      </c>
      <c r="D63" s="160" t="s">
        <v>831</v>
      </c>
      <c r="E63" s="1"/>
      <c r="F63" s="1"/>
      <c r="G63" s="1028"/>
      <c r="I63" s="1062"/>
      <c r="Q63" s="7"/>
    </row>
    <row r="64" spans="1:17" ht="13.9" customHeight="1" x14ac:dyDescent="0.25">
      <c r="A64" s="847">
        <v>62</v>
      </c>
      <c r="B64" s="1085" t="s">
        <v>1262</v>
      </c>
      <c r="C64" s="1019" t="s">
        <v>1263</v>
      </c>
      <c r="D64" s="160" t="s">
        <v>832</v>
      </c>
      <c r="E64" s="1"/>
      <c r="F64" s="1"/>
      <c r="G64" s="1028"/>
      <c r="I64" s="1062"/>
      <c r="Q64" s="7"/>
    </row>
    <row r="65" spans="1:17" ht="13.9" customHeight="1" x14ac:dyDescent="0.25">
      <c r="A65" s="847">
        <v>63</v>
      </c>
      <c r="B65" s="1085" t="s">
        <v>1264</v>
      </c>
      <c r="C65" s="1019" t="s">
        <v>1265</v>
      </c>
      <c r="D65" s="160" t="s">
        <v>833</v>
      </c>
      <c r="E65" s="1"/>
      <c r="F65" s="1"/>
      <c r="G65" s="1028"/>
      <c r="I65" s="1062"/>
      <c r="Q65" s="7"/>
    </row>
    <row r="66" spans="1:17" ht="13.9" customHeight="1" x14ac:dyDescent="0.25">
      <c r="A66" s="847">
        <v>64</v>
      </c>
      <c r="B66" s="1085" t="s">
        <v>1266</v>
      </c>
      <c r="C66" s="1019" t="s">
        <v>1267</v>
      </c>
      <c r="D66" s="160" t="s">
        <v>834</v>
      </c>
      <c r="E66" s="1"/>
      <c r="F66" s="1"/>
      <c r="G66" s="1028"/>
      <c r="I66" s="1062"/>
      <c r="Q66" s="7"/>
    </row>
    <row r="67" spans="1:17" ht="13.9" customHeight="1" x14ac:dyDescent="0.25">
      <c r="A67" s="847">
        <v>65</v>
      </c>
      <c r="B67" s="1085" t="s">
        <v>1268</v>
      </c>
      <c r="C67" s="1019" t="s">
        <v>1269</v>
      </c>
      <c r="D67" s="160" t="s">
        <v>835</v>
      </c>
      <c r="E67" s="1"/>
      <c r="F67" s="1"/>
      <c r="G67" s="1028"/>
      <c r="I67" s="1062"/>
      <c r="Q67" s="7"/>
    </row>
    <row r="68" spans="1:17" ht="13.9" customHeight="1" x14ac:dyDescent="0.25">
      <c r="A68" s="847">
        <v>66</v>
      </c>
      <c r="B68" s="1085" t="s">
        <v>1270</v>
      </c>
      <c r="C68" s="1019" t="s">
        <v>1271</v>
      </c>
      <c r="D68" s="160" t="s">
        <v>755</v>
      </c>
      <c r="E68" s="1"/>
      <c r="F68" s="1"/>
      <c r="G68" s="1028" t="s">
        <v>836</v>
      </c>
      <c r="I68" s="1062"/>
      <c r="Q68" s="7"/>
    </row>
    <row r="69" spans="1:17" ht="13.9" customHeight="1" x14ac:dyDescent="0.25">
      <c r="A69" s="847">
        <v>67</v>
      </c>
      <c r="B69" s="1085" t="s">
        <v>1272</v>
      </c>
      <c r="C69" s="1019" t="s">
        <v>1273</v>
      </c>
      <c r="D69" s="160" t="s">
        <v>837</v>
      </c>
      <c r="E69" s="1"/>
      <c r="F69" s="1"/>
      <c r="G69" s="1028"/>
      <c r="I69" s="1062"/>
      <c r="Q69" s="7"/>
    </row>
    <row r="70" spans="1:17" ht="13.9" customHeight="1" x14ac:dyDescent="0.25">
      <c r="A70" s="847">
        <v>68</v>
      </c>
      <c r="B70" s="1085" t="s">
        <v>1274</v>
      </c>
      <c r="C70" s="1019" t="s">
        <v>1275</v>
      </c>
      <c r="D70" s="160" t="s">
        <v>838</v>
      </c>
      <c r="E70" s="1"/>
      <c r="F70" s="1"/>
      <c r="G70" s="1028"/>
      <c r="I70" s="1062"/>
      <c r="Q70" s="7"/>
    </row>
    <row r="71" spans="1:17" ht="13.9" customHeight="1" x14ac:dyDescent="0.25">
      <c r="A71" s="847">
        <v>69</v>
      </c>
      <c r="B71" s="1085" t="s">
        <v>1276</v>
      </c>
      <c r="C71" s="1019" t="s">
        <v>1277</v>
      </c>
      <c r="D71" s="160" t="s">
        <v>839</v>
      </c>
      <c r="E71" s="1"/>
      <c r="F71" s="1"/>
      <c r="G71" s="1028"/>
      <c r="I71" s="1062"/>
      <c r="Q71" s="7"/>
    </row>
    <row r="72" spans="1:17" ht="13.9" customHeight="1" x14ac:dyDescent="0.25">
      <c r="A72" s="847">
        <v>70</v>
      </c>
      <c r="B72" s="1085" t="s">
        <v>1278</v>
      </c>
      <c r="C72" s="1019" t="s">
        <v>1279</v>
      </c>
      <c r="D72" s="160" t="s">
        <v>755</v>
      </c>
      <c r="E72" s="1"/>
      <c r="F72" s="1"/>
      <c r="G72" s="1028"/>
      <c r="I72" s="1062"/>
      <c r="Q72" s="7"/>
    </row>
    <row r="73" spans="1:17" ht="13.9" customHeight="1" x14ac:dyDescent="0.25">
      <c r="A73" s="847">
        <v>71</v>
      </c>
      <c r="B73" s="1085" t="s">
        <v>1280</v>
      </c>
      <c r="C73" s="1019" t="s">
        <v>1281</v>
      </c>
      <c r="D73" s="160" t="s">
        <v>840</v>
      </c>
      <c r="E73" s="1"/>
      <c r="F73" s="1"/>
      <c r="G73" s="1028"/>
      <c r="I73" s="1062"/>
      <c r="Q73" s="7"/>
    </row>
    <row r="74" spans="1:17" ht="13.9" customHeight="1" x14ac:dyDescent="0.25">
      <c r="A74" s="847">
        <v>72</v>
      </c>
      <c r="B74" s="1085" t="s">
        <v>1282</v>
      </c>
      <c r="C74" s="1019" t="s">
        <v>232</v>
      </c>
      <c r="D74" s="160" t="s">
        <v>755</v>
      </c>
      <c r="E74" s="1"/>
      <c r="F74" s="1"/>
      <c r="G74" s="1028"/>
      <c r="I74" s="1062"/>
      <c r="Q74" s="7"/>
    </row>
    <row r="75" spans="1:17" ht="13.9" customHeight="1" x14ac:dyDescent="0.25">
      <c r="A75" s="847">
        <v>73</v>
      </c>
      <c r="B75" s="1085" t="s">
        <v>1283</v>
      </c>
      <c r="C75" s="1019" t="s">
        <v>232</v>
      </c>
      <c r="D75" s="160" t="s">
        <v>755</v>
      </c>
      <c r="E75" s="1"/>
      <c r="F75" s="1"/>
      <c r="G75" s="1028"/>
      <c r="I75" s="1062"/>
      <c r="Q75" s="7"/>
    </row>
    <row r="76" spans="1:17" ht="13.9" customHeight="1" x14ac:dyDescent="0.25">
      <c r="A76" s="842">
        <v>74</v>
      </c>
      <c r="B76" s="1083" t="s">
        <v>1284</v>
      </c>
      <c r="C76" s="190" t="s">
        <v>232</v>
      </c>
      <c r="D76" s="161" t="s">
        <v>755</v>
      </c>
      <c r="E76" s="25"/>
      <c r="F76" s="25"/>
      <c r="G76" s="1022"/>
      <c r="I76" s="1062"/>
      <c r="Q76" s="7"/>
    </row>
    <row r="77" spans="1:17" ht="13.9" customHeight="1" x14ac:dyDescent="0.25">
      <c r="A77" s="844">
        <v>75</v>
      </c>
      <c r="B77" s="1077" t="s">
        <v>1285</v>
      </c>
      <c r="C77" s="1070" t="s">
        <v>232</v>
      </c>
      <c r="D77" s="188" t="s">
        <v>755</v>
      </c>
      <c r="E77" s="21"/>
      <c r="F77" s="21"/>
      <c r="G77" s="1024"/>
      <c r="I77" s="1062"/>
      <c r="Q77" s="7"/>
    </row>
    <row r="78" spans="1:17" s="3" customFormat="1" ht="13.9" customHeight="1" x14ac:dyDescent="0.25">
      <c r="A78" s="906">
        <v>76</v>
      </c>
      <c r="B78" s="840" t="s">
        <v>5</v>
      </c>
      <c r="C78" s="28"/>
      <c r="D78" s="640"/>
      <c r="E78" s="641"/>
      <c r="F78" s="641"/>
      <c r="G78" s="1023"/>
      <c r="I78" s="1063"/>
      <c r="N78" s="2"/>
      <c r="Q78" s="7"/>
    </row>
    <row r="79" spans="1:17" ht="13.9" customHeight="1" x14ac:dyDescent="0.25">
      <c r="A79" s="846">
        <v>77</v>
      </c>
      <c r="B79" s="1084" t="s">
        <v>1286</v>
      </c>
      <c r="C79" s="1089" t="s">
        <v>1287</v>
      </c>
      <c r="D79" s="159" t="s">
        <v>841</v>
      </c>
      <c r="E79" s="23"/>
      <c r="F79" s="23"/>
      <c r="G79" s="1027" t="s">
        <v>842</v>
      </c>
      <c r="I79" s="1062"/>
      <c r="Q79" s="7"/>
    </row>
    <row r="80" spans="1:17" ht="13.9" customHeight="1" x14ac:dyDescent="0.25">
      <c r="A80" s="847">
        <v>78</v>
      </c>
      <c r="B80" s="1085" t="s">
        <v>1288</v>
      </c>
      <c r="C80" s="1019" t="s">
        <v>1289</v>
      </c>
      <c r="D80" s="160" t="s">
        <v>843</v>
      </c>
      <c r="E80" s="1"/>
      <c r="F80" s="1"/>
      <c r="G80" s="1028" t="s">
        <v>844</v>
      </c>
      <c r="I80" s="1062"/>
      <c r="Q80" s="7"/>
    </row>
    <row r="81" spans="1:17" ht="13.9" customHeight="1" x14ac:dyDescent="0.25">
      <c r="A81" s="847">
        <v>79</v>
      </c>
      <c r="B81" s="1085" t="s">
        <v>6</v>
      </c>
      <c r="C81" s="1019" t="s">
        <v>1290</v>
      </c>
      <c r="D81" s="160" t="s">
        <v>845</v>
      </c>
      <c r="E81" s="1"/>
      <c r="F81" s="1"/>
      <c r="G81" s="1028"/>
      <c r="I81" s="1062"/>
      <c r="Q81" s="7"/>
    </row>
    <row r="82" spans="1:17" ht="13.9" customHeight="1" x14ac:dyDescent="0.25">
      <c r="A82" s="847">
        <v>80</v>
      </c>
      <c r="B82" s="1085" t="s">
        <v>1291</v>
      </c>
      <c r="C82" s="1019" t="s">
        <v>1292</v>
      </c>
      <c r="D82" s="160" t="s">
        <v>846</v>
      </c>
      <c r="E82" s="1"/>
      <c r="F82" s="1"/>
      <c r="G82" s="1028"/>
      <c r="I82" s="1062"/>
      <c r="Q82" s="7"/>
    </row>
    <row r="83" spans="1:17" ht="13.9" customHeight="1" x14ac:dyDescent="0.25">
      <c r="A83" s="847">
        <v>81</v>
      </c>
      <c r="B83" s="1085" t="s">
        <v>1293</v>
      </c>
      <c r="C83" s="1019" t="s">
        <v>1294</v>
      </c>
      <c r="D83" s="160" t="s">
        <v>847</v>
      </c>
      <c r="E83" s="1"/>
      <c r="F83" s="1"/>
      <c r="G83" s="1028"/>
      <c r="I83" s="1062"/>
      <c r="Q83" s="7"/>
    </row>
    <row r="84" spans="1:17" ht="13.9" customHeight="1" x14ac:dyDescent="0.25">
      <c r="A84" s="847">
        <v>82</v>
      </c>
      <c r="B84" s="1085" t="s">
        <v>1295</v>
      </c>
      <c r="C84" s="1019" t="s">
        <v>1296</v>
      </c>
      <c r="D84" s="160" t="s">
        <v>848</v>
      </c>
      <c r="E84" s="1"/>
      <c r="F84" s="1"/>
      <c r="G84" s="1028"/>
      <c r="I84" s="1062"/>
      <c r="Q84" s="7"/>
    </row>
    <row r="85" spans="1:17" ht="13.9" customHeight="1" x14ac:dyDescent="0.25">
      <c r="A85" s="847">
        <v>83</v>
      </c>
      <c r="B85" s="1085" t="s">
        <v>1297</v>
      </c>
      <c r="C85" s="1019" t="s">
        <v>1298</v>
      </c>
      <c r="D85" s="160" t="s">
        <v>849</v>
      </c>
      <c r="E85" s="1"/>
      <c r="F85" s="1"/>
      <c r="G85" s="1028"/>
      <c r="I85" s="1062"/>
      <c r="Q85" s="7"/>
    </row>
    <row r="86" spans="1:17" ht="13.9" customHeight="1" x14ac:dyDescent="0.25">
      <c r="A86" s="847">
        <v>84</v>
      </c>
      <c r="B86" s="1085" t="s">
        <v>1299</v>
      </c>
      <c r="C86" s="1019" t="s">
        <v>1300</v>
      </c>
      <c r="D86" s="160" t="s">
        <v>850</v>
      </c>
      <c r="E86" s="1"/>
      <c r="F86" s="1"/>
      <c r="G86" s="1028"/>
      <c r="I86" s="1062"/>
      <c r="Q86" s="7"/>
    </row>
    <row r="87" spans="1:17" ht="27.4" customHeight="1" x14ac:dyDescent="0.25">
      <c r="A87" s="847">
        <v>85</v>
      </c>
      <c r="B87" s="1085" t="s">
        <v>1301</v>
      </c>
      <c r="C87" s="1019" t="s">
        <v>1302</v>
      </c>
      <c r="D87" s="160" t="s">
        <v>851</v>
      </c>
      <c r="E87" s="1"/>
      <c r="F87" s="1"/>
      <c r="G87" s="1028" t="s">
        <v>852</v>
      </c>
      <c r="I87" s="1062"/>
      <c r="Q87" s="7"/>
    </row>
    <row r="88" spans="1:17" ht="13.9" customHeight="1" x14ac:dyDescent="0.25">
      <c r="A88" s="847">
        <v>86</v>
      </c>
      <c r="B88" s="1085" t="s">
        <v>1303</v>
      </c>
      <c r="C88" s="1019" t="s">
        <v>1304</v>
      </c>
      <c r="D88" s="160" t="s">
        <v>755</v>
      </c>
      <c r="E88" s="1"/>
      <c r="F88" s="1"/>
      <c r="G88" s="1028" t="s">
        <v>853</v>
      </c>
      <c r="I88" s="1062"/>
      <c r="Q88" s="7"/>
    </row>
    <row r="89" spans="1:17" ht="15" x14ac:dyDescent="0.25">
      <c r="A89" s="847">
        <v>87</v>
      </c>
      <c r="B89" s="1085" t="s">
        <v>1305</v>
      </c>
      <c r="C89" s="1019" t="s">
        <v>1306</v>
      </c>
      <c r="D89" s="160" t="s">
        <v>854</v>
      </c>
      <c r="E89" s="1"/>
      <c r="F89" s="1" t="s">
        <v>855</v>
      </c>
      <c r="G89" s="1028" t="s">
        <v>856</v>
      </c>
      <c r="I89" s="1062"/>
      <c r="Q89" s="7"/>
    </row>
    <row r="90" spans="1:17" ht="15" x14ac:dyDescent="0.25">
      <c r="A90" s="847">
        <v>88</v>
      </c>
      <c r="B90" s="1085" t="s">
        <v>1307</v>
      </c>
      <c r="C90" s="1019" t="s">
        <v>1308</v>
      </c>
      <c r="D90" s="160" t="s">
        <v>755</v>
      </c>
      <c r="E90" s="1"/>
      <c r="F90" s="1"/>
      <c r="G90" s="1028"/>
      <c r="I90" s="1062"/>
      <c r="Q90" s="7"/>
    </row>
    <row r="91" spans="1:17" ht="15" x14ac:dyDescent="0.25">
      <c r="A91" s="847">
        <v>89</v>
      </c>
      <c r="B91" s="1085" t="s">
        <v>1309</v>
      </c>
      <c r="C91" s="1019" t="s">
        <v>1310</v>
      </c>
      <c r="D91" s="160" t="s">
        <v>857</v>
      </c>
      <c r="E91" s="1"/>
      <c r="F91" s="1" t="s">
        <v>858</v>
      </c>
      <c r="G91" s="1028" t="s">
        <v>859</v>
      </c>
      <c r="I91" s="1062"/>
      <c r="Q91" s="7"/>
    </row>
    <row r="92" spans="1:17" ht="15" x14ac:dyDescent="0.25">
      <c r="A92" s="847">
        <v>90</v>
      </c>
      <c r="B92" s="1085" t="s">
        <v>1311</v>
      </c>
      <c r="C92" s="1019" t="s">
        <v>1312</v>
      </c>
      <c r="D92" s="160" t="s">
        <v>755</v>
      </c>
      <c r="E92" s="1"/>
      <c r="F92" s="1"/>
      <c r="G92" s="1028"/>
      <c r="I92" s="1062"/>
      <c r="Q92" s="7"/>
    </row>
    <row r="93" spans="1:17" ht="15" x14ac:dyDescent="0.25">
      <c r="A93" s="847">
        <v>91</v>
      </c>
      <c r="B93" s="1085" t="s">
        <v>1313</v>
      </c>
      <c r="C93" s="1019" t="s">
        <v>1314</v>
      </c>
      <c r="D93" s="160" t="s">
        <v>755</v>
      </c>
      <c r="E93" s="1"/>
      <c r="F93" s="1"/>
      <c r="G93" s="1028"/>
      <c r="I93" s="1062"/>
      <c r="Q93" s="7"/>
    </row>
    <row r="94" spans="1:17" ht="15" x14ac:dyDescent="0.25">
      <c r="A94" s="847">
        <v>92</v>
      </c>
      <c r="B94" s="1085" t="s">
        <v>1315</v>
      </c>
      <c r="C94" s="1019" t="s">
        <v>1316</v>
      </c>
      <c r="D94" s="160" t="s">
        <v>860</v>
      </c>
      <c r="E94" s="1"/>
      <c r="F94" s="1"/>
      <c r="G94" s="1028" t="s">
        <v>861</v>
      </c>
      <c r="I94" s="1062"/>
      <c r="Q94" s="7"/>
    </row>
    <row r="95" spans="1:17" ht="15" x14ac:dyDescent="0.25">
      <c r="A95" s="847">
        <v>93</v>
      </c>
      <c r="B95" s="1085" t="s">
        <v>1317</v>
      </c>
      <c r="C95" s="1019" t="s">
        <v>1318</v>
      </c>
      <c r="D95" s="160" t="s">
        <v>862</v>
      </c>
      <c r="E95" s="1"/>
      <c r="F95" s="1"/>
      <c r="G95" s="1028" t="s">
        <v>863</v>
      </c>
      <c r="I95" s="1062"/>
      <c r="Q95" s="7"/>
    </row>
    <row r="96" spans="1:17" ht="15" x14ac:dyDescent="0.25">
      <c r="A96" s="847">
        <v>94</v>
      </c>
      <c r="B96" s="1085" t="s">
        <v>1319</v>
      </c>
      <c r="C96" s="1019" t="s">
        <v>1320</v>
      </c>
      <c r="D96" s="160" t="s">
        <v>864</v>
      </c>
      <c r="E96" s="1"/>
      <c r="F96" s="1"/>
      <c r="G96" s="1028" t="s">
        <v>865</v>
      </c>
      <c r="I96" s="1062"/>
      <c r="Q96" s="7"/>
    </row>
    <row r="97" spans="1:17" ht="15" x14ac:dyDescent="0.25">
      <c r="A97" s="847">
        <v>95</v>
      </c>
      <c r="B97" s="1085" t="s">
        <v>1321</v>
      </c>
      <c r="C97" s="1019" t="s">
        <v>1322</v>
      </c>
      <c r="D97" s="160" t="s">
        <v>866</v>
      </c>
      <c r="E97" s="1"/>
      <c r="F97" s="1"/>
      <c r="G97" s="1028"/>
      <c r="I97" s="1062"/>
      <c r="Q97" s="7"/>
    </row>
    <row r="98" spans="1:17" ht="15" x14ac:dyDescent="0.25">
      <c r="A98" s="847">
        <v>96</v>
      </c>
      <c r="B98" s="1085" t="s">
        <v>1323</v>
      </c>
      <c r="C98" s="1019" t="s">
        <v>1324</v>
      </c>
      <c r="D98" s="160" t="s">
        <v>755</v>
      </c>
      <c r="E98" s="1"/>
      <c r="F98" s="1"/>
      <c r="G98" s="1028"/>
      <c r="I98" s="1062"/>
      <c r="Q98" s="7"/>
    </row>
    <row r="99" spans="1:17" ht="15" x14ac:dyDescent="0.25">
      <c r="A99" s="847">
        <v>97</v>
      </c>
      <c r="B99" s="1085" t="s">
        <v>1325</v>
      </c>
      <c r="C99" s="1019" t="s">
        <v>1326</v>
      </c>
      <c r="D99" s="160" t="s">
        <v>867</v>
      </c>
      <c r="E99" s="1"/>
      <c r="F99" s="1" t="s">
        <v>868</v>
      </c>
      <c r="G99" s="1028" t="s">
        <v>869</v>
      </c>
      <c r="I99" s="1062"/>
      <c r="Q99" s="7"/>
    </row>
    <row r="100" spans="1:17" ht="15" x14ac:dyDescent="0.25">
      <c r="A100" s="847">
        <v>98</v>
      </c>
      <c r="B100" s="1085" t="s">
        <v>1327</v>
      </c>
      <c r="C100" s="1019" t="s">
        <v>1328</v>
      </c>
      <c r="D100" s="160" t="s">
        <v>755</v>
      </c>
      <c r="E100" s="1"/>
      <c r="F100" s="1"/>
      <c r="G100" s="1028"/>
      <c r="I100" s="1062"/>
      <c r="Q100" s="7"/>
    </row>
    <row r="101" spans="1:17" ht="15" x14ac:dyDescent="0.25">
      <c r="A101" s="847">
        <v>99</v>
      </c>
      <c r="B101" s="1085" t="s">
        <v>1329</v>
      </c>
      <c r="C101" s="1019" t="s">
        <v>1330</v>
      </c>
      <c r="D101" s="160" t="s">
        <v>870</v>
      </c>
      <c r="E101" s="1"/>
      <c r="F101" s="1"/>
      <c r="G101" s="1028" t="s">
        <v>871</v>
      </c>
      <c r="I101" s="1062"/>
      <c r="Q101" s="7"/>
    </row>
    <row r="102" spans="1:17" ht="15" x14ac:dyDescent="0.25">
      <c r="A102" s="847">
        <v>100</v>
      </c>
      <c r="B102" s="1085" t="s">
        <v>1331</v>
      </c>
      <c r="C102" s="1019" t="s">
        <v>1332</v>
      </c>
      <c r="D102" s="160" t="s">
        <v>872</v>
      </c>
      <c r="E102" s="1"/>
      <c r="F102" s="1"/>
      <c r="G102" s="1028" t="s">
        <v>873</v>
      </c>
      <c r="I102" s="1062"/>
      <c r="Q102" s="7"/>
    </row>
    <row r="103" spans="1:17" ht="15" x14ac:dyDescent="0.25">
      <c r="A103" s="847">
        <v>101</v>
      </c>
      <c r="B103" s="1085" t="s">
        <v>1333</v>
      </c>
      <c r="C103" s="1019" t="s">
        <v>1334</v>
      </c>
      <c r="D103" s="160" t="s">
        <v>874</v>
      </c>
      <c r="E103" s="1"/>
      <c r="F103" s="1"/>
      <c r="G103" s="1028" t="s">
        <v>875</v>
      </c>
      <c r="I103" s="1062"/>
      <c r="Q103" s="7"/>
    </row>
    <row r="104" spans="1:17" ht="15" x14ac:dyDescent="0.25">
      <c r="A104" s="847">
        <v>102</v>
      </c>
      <c r="B104" s="1085" t="s">
        <v>1335</v>
      </c>
      <c r="C104" s="1019" t="s">
        <v>1336</v>
      </c>
      <c r="D104" s="160" t="s">
        <v>876</v>
      </c>
      <c r="E104" s="1"/>
      <c r="F104" s="1"/>
      <c r="G104" s="1028"/>
      <c r="I104" s="1062"/>
      <c r="Q104" s="7"/>
    </row>
    <row r="105" spans="1:17" ht="15" x14ac:dyDescent="0.25">
      <c r="A105" s="847">
        <v>103</v>
      </c>
      <c r="B105" s="1085" t="s">
        <v>1337</v>
      </c>
      <c r="C105" s="1019" t="s">
        <v>1338</v>
      </c>
      <c r="D105" s="160" t="s">
        <v>877</v>
      </c>
      <c r="E105" s="1"/>
      <c r="F105" s="1"/>
      <c r="G105" s="1028"/>
      <c r="I105" s="1062"/>
      <c r="Q105" s="7"/>
    </row>
    <row r="106" spans="1:17" ht="15" x14ac:dyDescent="0.25">
      <c r="A106" s="846">
        <v>104</v>
      </c>
      <c r="B106" s="1084" t="s">
        <v>1339</v>
      </c>
      <c r="C106" s="1090" t="s">
        <v>1340</v>
      </c>
      <c r="D106" s="159" t="s">
        <v>878</v>
      </c>
      <c r="E106" s="23"/>
      <c r="F106" s="23"/>
      <c r="G106" s="1027" t="s">
        <v>879</v>
      </c>
      <c r="I106" s="1062"/>
      <c r="Q106" s="7"/>
    </row>
    <row r="107" spans="1:17" ht="15" x14ac:dyDescent="0.25">
      <c r="A107" s="846">
        <v>105</v>
      </c>
      <c r="B107" s="1084" t="s">
        <v>1341</v>
      </c>
      <c r="C107" s="1090" t="s">
        <v>1342</v>
      </c>
      <c r="D107" s="159" t="s">
        <v>880</v>
      </c>
      <c r="E107" s="23"/>
      <c r="F107" s="23" t="s">
        <v>881</v>
      </c>
      <c r="G107" s="1027" t="s">
        <v>882</v>
      </c>
      <c r="I107" s="1062"/>
      <c r="Q107" s="7"/>
    </row>
    <row r="108" spans="1:17" ht="15" x14ac:dyDescent="0.25">
      <c r="A108" s="847">
        <v>106</v>
      </c>
      <c r="B108" s="1085" t="s">
        <v>1343</v>
      </c>
      <c r="C108" s="1019" t="s">
        <v>1344</v>
      </c>
      <c r="D108" s="160" t="s">
        <v>883</v>
      </c>
      <c r="E108" s="1"/>
      <c r="F108" s="1"/>
      <c r="G108" s="1028" t="s">
        <v>884</v>
      </c>
      <c r="I108" s="1062"/>
      <c r="Q108" s="7"/>
    </row>
    <row r="109" spans="1:17" ht="13.9" customHeight="1" x14ac:dyDescent="0.25">
      <c r="A109" s="847">
        <v>107</v>
      </c>
      <c r="B109" s="1085" t="s">
        <v>1345</v>
      </c>
      <c r="C109" s="1019" t="s">
        <v>1346</v>
      </c>
      <c r="D109" s="160" t="s">
        <v>885</v>
      </c>
      <c r="E109" s="1"/>
      <c r="F109" s="1"/>
      <c r="G109" s="1028"/>
      <c r="I109" s="1062"/>
      <c r="Q109" s="7"/>
    </row>
    <row r="110" spans="1:17" ht="13.9" customHeight="1" x14ac:dyDescent="0.25">
      <c r="A110" s="847">
        <v>108</v>
      </c>
      <c r="B110" s="1085" t="s">
        <v>1347</v>
      </c>
      <c r="C110" s="1019" t="s">
        <v>1348</v>
      </c>
      <c r="D110" s="984" t="s">
        <v>886</v>
      </c>
      <c r="E110" s="1019"/>
      <c r="F110" s="1"/>
      <c r="G110" s="1028"/>
      <c r="I110" s="1062"/>
      <c r="Q110" s="7"/>
    </row>
    <row r="111" spans="1:17" ht="13.9" customHeight="1" x14ac:dyDescent="0.25">
      <c r="A111" s="847">
        <v>109</v>
      </c>
      <c r="B111" s="1085" t="s">
        <v>1349</v>
      </c>
      <c r="C111" s="1019" t="s">
        <v>1350</v>
      </c>
      <c r="D111" s="984" t="s">
        <v>887</v>
      </c>
      <c r="E111" s="1019"/>
      <c r="F111" s="1"/>
      <c r="G111" s="1028" t="s">
        <v>888</v>
      </c>
      <c r="I111" s="1062"/>
      <c r="Q111" s="7"/>
    </row>
    <row r="112" spans="1:17" ht="13.9" customHeight="1" x14ac:dyDescent="0.25">
      <c r="A112" s="847">
        <v>110</v>
      </c>
      <c r="B112" s="1085" t="s">
        <v>1351</v>
      </c>
      <c r="C112" s="1019" t="s">
        <v>1352</v>
      </c>
      <c r="D112" s="984" t="s">
        <v>889</v>
      </c>
      <c r="E112" s="1019"/>
      <c r="F112" s="1"/>
      <c r="G112" s="1028"/>
      <c r="I112" s="1062"/>
      <c r="Q112" s="7"/>
    </row>
    <row r="113" spans="1:17" ht="15" x14ac:dyDescent="0.25">
      <c r="A113" s="847">
        <v>111</v>
      </c>
      <c r="B113" s="1085" t="s">
        <v>1353</v>
      </c>
      <c r="C113" s="1019" t="s">
        <v>1354</v>
      </c>
      <c r="D113" s="160" t="s">
        <v>890</v>
      </c>
      <c r="E113" s="1"/>
      <c r="F113" s="1"/>
      <c r="G113" s="1028" t="s">
        <v>891</v>
      </c>
      <c r="I113" s="1062"/>
      <c r="Q113" s="7"/>
    </row>
    <row r="114" spans="1:17" ht="13.9" customHeight="1" x14ac:dyDescent="0.25">
      <c r="A114" s="847">
        <v>112</v>
      </c>
      <c r="B114" s="1085" t="s">
        <v>1355</v>
      </c>
      <c r="C114" s="1019" t="s">
        <v>1356</v>
      </c>
      <c r="D114" s="160" t="s">
        <v>892</v>
      </c>
      <c r="E114" s="1"/>
      <c r="F114" s="1"/>
      <c r="G114" s="1028"/>
      <c r="I114" s="1062"/>
      <c r="Q114" s="7"/>
    </row>
    <row r="115" spans="1:17" ht="13.9" customHeight="1" x14ac:dyDescent="0.25">
      <c r="A115" s="847">
        <v>113</v>
      </c>
      <c r="B115" s="1085" t="s">
        <v>1357</v>
      </c>
      <c r="C115" s="1019" t="s">
        <v>1358</v>
      </c>
      <c r="D115" s="160" t="s">
        <v>893</v>
      </c>
      <c r="E115" s="1"/>
      <c r="F115" s="1"/>
      <c r="G115" s="1028" t="s">
        <v>894</v>
      </c>
      <c r="I115" s="1062"/>
      <c r="Q115" s="7"/>
    </row>
    <row r="116" spans="1:17" ht="13.9" customHeight="1" x14ac:dyDescent="0.25">
      <c r="A116" s="842">
        <v>114</v>
      </c>
      <c r="B116" s="1083" t="s">
        <v>1359</v>
      </c>
      <c r="C116" s="190" t="s">
        <v>1360</v>
      </c>
      <c r="D116" s="161" t="s">
        <v>895</v>
      </c>
      <c r="E116" s="25"/>
      <c r="F116" s="25"/>
      <c r="G116" s="1022" t="s">
        <v>896</v>
      </c>
      <c r="I116" s="1062"/>
      <c r="Q116" s="7"/>
    </row>
    <row r="117" spans="1:17" ht="28.15" customHeight="1" x14ac:dyDescent="0.25">
      <c r="A117" s="847">
        <v>115</v>
      </c>
      <c r="B117" s="1085" t="s">
        <v>1361</v>
      </c>
      <c r="C117" s="1019" t="s">
        <v>1362</v>
      </c>
      <c r="D117" s="160" t="s">
        <v>897</v>
      </c>
      <c r="E117" s="1"/>
      <c r="F117" s="1"/>
      <c r="G117" s="1028" t="s">
        <v>898</v>
      </c>
      <c r="I117" s="1062"/>
      <c r="Q117" s="7"/>
    </row>
    <row r="118" spans="1:17" ht="13.9" customHeight="1" x14ac:dyDescent="0.25">
      <c r="A118" s="848">
        <v>116</v>
      </c>
      <c r="B118" s="1086" t="s">
        <v>1363</v>
      </c>
      <c r="C118" s="1091" t="s">
        <v>1364</v>
      </c>
      <c r="D118" s="159" t="s">
        <v>899</v>
      </c>
      <c r="E118" s="22"/>
      <c r="F118" s="22"/>
      <c r="G118" s="1027" t="s">
        <v>900</v>
      </c>
      <c r="I118" s="1062"/>
      <c r="Q118" s="7"/>
    </row>
    <row r="119" spans="1:17" ht="13.9" customHeight="1" x14ac:dyDescent="0.25">
      <c r="A119" s="848">
        <v>117</v>
      </c>
      <c r="B119" s="1086" t="s">
        <v>1365</v>
      </c>
      <c r="C119" s="1091" t="s">
        <v>1366</v>
      </c>
      <c r="D119" s="159" t="s">
        <v>901</v>
      </c>
      <c r="E119" s="22"/>
      <c r="F119" s="22"/>
      <c r="G119" s="1027"/>
      <c r="I119" s="1062"/>
      <c r="Q119" s="7"/>
    </row>
    <row r="120" spans="1:17" ht="13.9" customHeight="1" x14ac:dyDescent="0.25">
      <c r="A120" s="847">
        <v>118</v>
      </c>
      <c r="B120" s="1085" t="s">
        <v>1367</v>
      </c>
      <c r="C120" s="1019" t="s">
        <v>1368</v>
      </c>
      <c r="D120" s="160" t="s">
        <v>902</v>
      </c>
      <c r="E120" s="1"/>
      <c r="F120" s="1" t="s">
        <v>903</v>
      </c>
      <c r="G120" s="1028" t="s">
        <v>904</v>
      </c>
      <c r="I120" s="1062"/>
      <c r="Q120" s="7"/>
    </row>
    <row r="121" spans="1:17" ht="15" x14ac:dyDescent="0.25">
      <c r="A121" s="847">
        <v>119</v>
      </c>
      <c r="B121" s="1085" t="s">
        <v>1369</v>
      </c>
      <c r="C121" s="1019" t="s">
        <v>1370</v>
      </c>
      <c r="D121" s="160" t="s">
        <v>905</v>
      </c>
      <c r="E121" s="1"/>
      <c r="F121" s="1"/>
      <c r="G121" s="1028" t="s">
        <v>906</v>
      </c>
      <c r="I121" s="1062"/>
      <c r="Q121" s="7"/>
    </row>
    <row r="122" spans="1:17" ht="13.9" customHeight="1" x14ac:dyDescent="0.25">
      <c r="A122" s="847">
        <v>120</v>
      </c>
      <c r="B122" s="1085" t="s">
        <v>1371</v>
      </c>
      <c r="C122" s="1019" t="s">
        <v>1372</v>
      </c>
      <c r="D122" s="160" t="s">
        <v>907</v>
      </c>
      <c r="E122" s="1"/>
      <c r="F122" s="1"/>
      <c r="G122" s="1028"/>
      <c r="I122" s="1062"/>
      <c r="Q122" s="7"/>
    </row>
    <row r="123" spans="1:17" ht="13.9" customHeight="1" x14ac:dyDescent="0.25">
      <c r="A123" s="847">
        <v>121</v>
      </c>
      <c r="B123" s="1085" t="s">
        <v>1373</v>
      </c>
      <c r="C123" s="1019" t="s">
        <v>1374</v>
      </c>
      <c r="D123" s="160" t="s">
        <v>908</v>
      </c>
      <c r="E123" s="1"/>
      <c r="F123" s="1"/>
      <c r="G123" s="1028"/>
      <c r="I123" s="1062"/>
      <c r="Q123" s="7"/>
    </row>
    <row r="124" spans="1:17" ht="13.9" customHeight="1" x14ac:dyDescent="0.25">
      <c r="A124" s="847">
        <v>122</v>
      </c>
      <c r="B124" s="1085" t="s">
        <v>1375</v>
      </c>
      <c r="C124" s="1019" t="s">
        <v>1376</v>
      </c>
      <c r="D124" s="160" t="s">
        <v>909</v>
      </c>
      <c r="E124" s="1"/>
      <c r="F124" s="1"/>
      <c r="G124" s="1028"/>
      <c r="I124" s="1062"/>
      <c r="Q124" s="7"/>
    </row>
    <row r="125" spans="1:17" ht="13.9" customHeight="1" x14ac:dyDescent="0.25">
      <c r="A125" s="847">
        <v>123</v>
      </c>
      <c r="B125" s="1085" t="s">
        <v>1377</v>
      </c>
      <c r="C125" s="1019" t="s">
        <v>1378</v>
      </c>
      <c r="D125" s="160" t="s">
        <v>755</v>
      </c>
      <c r="E125" s="1"/>
      <c r="F125" s="1"/>
      <c r="G125" s="1028"/>
      <c r="I125" s="1062"/>
      <c r="Q125" s="7"/>
    </row>
    <row r="126" spans="1:17" ht="13.9" customHeight="1" x14ac:dyDescent="0.25">
      <c r="A126" s="847">
        <v>124</v>
      </c>
      <c r="B126" s="1085" t="s">
        <v>1379</v>
      </c>
      <c r="C126" s="1019" t="s">
        <v>1380</v>
      </c>
      <c r="D126" s="160" t="s">
        <v>910</v>
      </c>
      <c r="E126" s="1"/>
      <c r="F126" s="1"/>
      <c r="G126" s="1028" t="s">
        <v>911</v>
      </c>
      <c r="I126" s="1062"/>
      <c r="Q126" s="7"/>
    </row>
    <row r="127" spans="1:17" ht="13.9" customHeight="1" x14ac:dyDescent="0.25">
      <c r="A127" s="847">
        <v>125</v>
      </c>
      <c r="B127" s="1085" t="s">
        <v>1381</v>
      </c>
      <c r="C127" s="1019" t="s">
        <v>1382</v>
      </c>
      <c r="D127" s="160" t="s">
        <v>912</v>
      </c>
      <c r="E127" s="1"/>
      <c r="F127" s="1"/>
      <c r="G127" s="1028" t="s">
        <v>913</v>
      </c>
      <c r="I127" s="1062"/>
      <c r="Q127" s="7"/>
    </row>
    <row r="128" spans="1:17" ht="13.9" customHeight="1" x14ac:dyDescent="0.25">
      <c r="A128" s="847">
        <v>126</v>
      </c>
      <c r="B128" s="1085" t="s">
        <v>1383</v>
      </c>
      <c r="C128" s="1019" t="s">
        <v>1384</v>
      </c>
      <c r="D128" s="160" t="s">
        <v>914</v>
      </c>
      <c r="E128" s="1"/>
      <c r="F128" s="1"/>
      <c r="G128" s="1028" t="s">
        <v>915</v>
      </c>
      <c r="I128" s="1062"/>
      <c r="Q128" s="7"/>
    </row>
    <row r="129" spans="1:17" ht="13.9" customHeight="1" x14ac:dyDescent="0.25">
      <c r="A129" s="847">
        <v>127</v>
      </c>
      <c r="B129" s="1085" t="s">
        <v>1385</v>
      </c>
      <c r="C129" s="1019" t="s">
        <v>1386</v>
      </c>
      <c r="D129" s="160" t="s">
        <v>916</v>
      </c>
      <c r="E129" s="1"/>
      <c r="F129" s="1"/>
      <c r="G129" s="1028" t="s">
        <v>917</v>
      </c>
      <c r="I129" s="1062"/>
      <c r="Q129" s="7"/>
    </row>
    <row r="130" spans="1:17" ht="13.9" customHeight="1" x14ac:dyDescent="0.25">
      <c r="A130" s="847">
        <v>128</v>
      </c>
      <c r="B130" s="1085" t="s">
        <v>1387</v>
      </c>
      <c r="C130" s="1019" t="s">
        <v>1388</v>
      </c>
      <c r="D130" s="160" t="s">
        <v>755</v>
      </c>
      <c r="E130" s="1"/>
      <c r="F130" s="1"/>
      <c r="G130" s="1028"/>
      <c r="I130" s="1062"/>
      <c r="Q130" s="7"/>
    </row>
    <row r="131" spans="1:17" ht="13.9" customHeight="1" x14ac:dyDescent="0.25">
      <c r="A131" s="847">
        <v>129</v>
      </c>
      <c r="B131" s="1085" t="s">
        <v>1389</v>
      </c>
      <c r="C131" s="1019" t="s">
        <v>1390</v>
      </c>
      <c r="D131" s="160" t="s">
        <v>918</v>
      </c>
      <c r="E131" s="1"/>
      <c r="F131" s="1"/>
      <c r="G131" s="1028" t="s">
        <v>919</v>
      </c>
      <c r="I131" s="1062"/>
      <c r="Q131" s="7"/>
    </row>
    <row r="132" spans="1:17" ht="13.9" customHeight="1" x14ac:dyDescent="0.25">
      <c r="A132" s="847">
        <v>130</v>
      </c>
      <c r="B132" s="1085" t="s">
        <v>1391</v>
      </c>
      <c r="C132" s="1019" t="s">
        <v>1392</v>
      </c>
      <c r="D132" s="160" t="s">
        <v>920</v>
      </c>
      <c r="E132" s="1"/>
      <c r="F132" s="1"/>
      <c r="G132" s="1028" t="s">
        <v>921</v>
      </c>
      <c r="I132" s="1062"/>
      <c r="Q132" s="7"/>
    </row>
    <row r="133" spans="1:17" ht="13.9" customHeight="1" x14ac:dyDescent="0.25">
      <c r="A133" s="847">
        <v>131</v>
      </c>
      <c r="B133" s="1085" t="s">
        <v>1393</v>
      </c>
      <c r="C133" s="1019" t="s">
        <v>1394</v>
      </c>
      <c r="D133" s="160" t="s">
        <v>755</v>
      </c>
      <c r="E133" s="1"/>
      <c r="F133" s="1"/>
      <c r="G133" s="1028"/>
      <c r="I133" s="1062"/>
      <c r="Q133" s="7"/>
    </row>
    <row r="134" spans="1:17" ht="13.9" customHeight="1" x14ac:dyDescent="0.25">
      <c r="A134" s="847">
        <v>132</v>
      </c>
      <c r="B134" s="1085" t="s">
        <v>1395</v>
      </c>
      <c r="C134" s="1019" t="s">
        <v>1396</v>
      </c>
      <c r="D134" s="160" t="s">
        <v>755</v>
      </c>
      <c r="E134" s="1"/>
      <c r="F134" s="1"/>
      <c r="G134" s="1028"/>
      <c r="I134" s="1062"/>
      <c r="Q134" s="7"/>
    </row>
    <row r="135" spans="1:17" ht="13.9" customHeight="1" x14ac:dyDescent="0.25">
      <c r="A135" s="847">
        <v>133</v>
      </c>
      <c r="B135" s="1085" t="s">
        <v>7</v>
      </c>
      <c r="C135" s="1019" t="s">
        <v>1397</v>
      </c>
      <c r="D135" s="160" t="s">
        <v>922</v>
      </c>
      <c r="E135" s="1"/>
      <c r="F135" s="1"/>
      <c r="G135" s="1028" t="s">
        <v>923</v>
      </c>
      <c r="I135" s="1062"/>
      <c r="Q135" s="7"/>
    </row>
    <row r="136" spans="1:17" ht="13.9" customHeight="1" x14ac:dyDescent="0.25">
      <c r="A136" s="847">
        <v>134</v>
      </c>
      <c r="B136" s="1085" t="s">
        <v>1398</v>
      </c>
      <c r="C136" s="1019" t="s">
        <v>1399</v>
      </c>
      <c r="D136" s="160" t="s">
        <v>924</v>
      </c>
      <c r="E136" s="1"/>
      <c r="F136" s="1"/>
      <c r="G136" s="1028"/>
      <c r="I136" s="1062"/>
      <c r="Q136" s="7"/>
    </row>
    <row r="137" spans="1:17" ht="13.9" customHeight="1" x14ac:dyDescent="0.25">
      <c r="A137" s="847">
        <v>135</v>
      </c>
      <c r="B137" s="1085" t="s">
        <v>1400</v>
      </c>
      <c r="C137" s="1019" t="s">
        <v>1401</v>
      </c>
      <c r="D137" s="160" t="s">
        <v>925</v>
      </c>
      <c r="E137" s="1"/>
      <c r="F137" s="1"/>
      <c r="G137" s="1028" t="s">
        <v>926</v>
      </c>
      <c r="I137" s="1062"/>
      <c r="Q137" s="7"/>
    </row>
    <row r="138" spans="1:17" ht="13.9" customHeight="1" x14ac:dyDescent="0.25">
      <c r="A138" s="847">
        <v>136</v>
      </c>
      <c r="B138" s="1085" t="s">
        <v>1402</v>
      </c>
      <c r="C138" s="1019" t="s">
        <v>1403</v>
      </c>
      <c r="D138" s="160" t="s">
        <v>927</v>
      </c>
      <c r="E138" s="1"/>
      <c r="F138" s="1"/>
      <c r="G138" s="1028" t="s">
        <v>928</v>
      </c>
      <c r="I138" s="1062"/>
      <c r="Q138" s="7"/>
    </row>
    <row r="139" spans="1:17" ht="13.9" customHeight="1" x14ac:dyDescent="0.25">
      <c r="A139" s="847">
        <v>137</v>
      </c>
      <c r="B139" s="1085" t="s">
        <v>1404</v>
      </c>
      <c r="C139" s="1019" t="s">
        <v>1405</v>
      </c>
      <c r="D139" s="160" t="s">
        <v>929</v>
      </c>
      <c r="E139" s="1"/>
      <c r="F139" s="1"/>
      <c r="G139" s="1028" t="s">
        <v>930</v>
      </c>
      <c r="I139" s="1062"/>
      <c r="Q139" s="7"/>
    </row>
    <row r="140" spans="1:17" ht="13.9" customHeight="1" x14ac:dyDescent="0.25">
      <c r="A140" s="847">
        <v>138</v>
      </c>
      <c r="B140" s="1085" t="s">
        <v>1406</v>
      </c>
      <c r="C140" s="1019" t="s">
        <v>1407</v>
      </c>
      <c r="D140" s="160" t="s">
        <v>931</v>
      </c>
      <c r="E140" s="1"/>
      <c r="F140" s="1"/>
      <c r="G140" s="1028"/>
      <c r="I140" s="1062"/>
      <c r="Q140" s="7"/>
    </row>
    <row r="141" spans="1:17" ht="13.9" customHeight="1" x14ac:dyDescent="0.25">
      <c r="A141" s="847">
        <v>139</v>
      </c>
      <c r="B141" s="1085" t="s">
        <v>1408</v>
      </c>
      <c r="C141" s="1019" t="s">
        <v>1409</v>
      </c>
      <c r="D141" s="160" t="s">
        <v>755</v>
      </c>
      <c r="E141" s="1"/>
      <c r="F141" s="1"/>
      <c r="G141" s="1028"/>
      <c r="I141" s="1062"/>
      <c r="Q141" s="7"/>
    </row>
    <row r="142" spans="1:17" ht="13.9" customHeight="1" x14ac:dyDescent="0.25">
      <c r="A142" s="847">
        <v>140</v>
      </c>
      <c r="B142" s="1085" t="s">
        <v>1410</v>
      </c>
      <c r="C142" s="1019" t="s">
        <v>1411</v>
      </c>
      <c r="D142" s="160" t="s">
        <v>932</v>
      </c>
      <c r="E142" s="1"/>
      <c r="F142" s="1"/>
      <c r="G142" s="1028"/>
      <c r="I142" s="1062"/>
      <c r="Q142" s="7"/>
    </row>
    <row r="143" spans="1:17" ht="13.9" customHeight="1" x14ac:dyDescent="0.25">
      <c r="A143" s="847">
        <v>141</v>
      </c>
      <c r="B143" s="1085" t="s">
        <v>1412</v>
      </c>
      <c r="C143" s="1019" t="s">
        <v>1413</v>
      </c>
      <c r="D143" s="160" t="s">
        <v>933</v>
      </c>
      <c r="E143" s="1"/>
      <c r="F143" s="1"/>
      <c r="G143" s="1028"/>
      <c r="I143" s="1062"/>
      <c r="Q143" s="7"/>
    </row>
    <row r="144" spans="1:17" ht="13.9" customHeight="1" x14ac:dyDescent="0.25">
      <c r="A144" s="847">
        <v>142</v>
      </c>
      <c r="B144" s="1083" t="s">
        <v>1414</v>
      </c>
      <c r="C144" s="190" t="s">
        <v>1415</v>
      </c>
      <c r="D144" s="161" t="s">
        <v>934</v>
      </c>
      <c r="E144" s="25"/>
      <c r="F144" s="25"/>
      <c r="G144" s="1022"/>
      <c r="I144" s="1062"/>
      <c r="Q144" s="7"/>
    </row>
    <row r="145" spans="1:17" ht="13.9" customHeight="1" x14ac:dyDescent="0.25">
      <c r="A145" s="842">
        <v>143</v>
      </c>
      <c r="B145" s="1077" t="s">
        <v>1416</v>
      </c>
      <c r="C145" s="1070" t="s">
        <v>1417</v>
      </c>
      <c r="D145" s="188" t="s">
        <v>935</v>
      </c>
      <c r="E145" s="21"/>
      <c r="F145" s="21"/>
      <c r="G145" s="1024"/>
      <c r="I145" s="1062"/>
      <c r="Q145" s="7"/>
    </row>
    <row r="146" spans="1:17" s="3" customFormat="1" ht="13.9" customHeight="1" x14ac:dyDescent="0.25">
      <c r="A146" s="1197">
        <v>144</v>
      </c>
      <c r="B146" s="840" t="s">
        <v>10</v>
      </c>
      <c r="C146" s="28"/>
      <c r="D146" s="640"/>
      <c r="E146" s="641"/>
      <c r="F146" s="641"/>
      <c r="G146" s="1023"/>
      <c r="I146" s="1063"/>
      <c r="N146" s="2"/>
      <c r="Q146" s="7"/>
    </row>
    <row r="147" spans="1:17" ht="13.9" customHeight="1" x14ac:dyDescent="0.25">
      <c r="A147" s="846">
        <v>145</v>
      </c>
      <c r="B147" s="1084" t="s">
        <v>1418</v>
      </c>
      <c r="C147" s="1089" t="s">
        <v>1419</v>
      </c>
      <c r="D147" s="159" t="s">
        <v>936</v>
      </c>
      <c r="E147" s="23"/>
      <c r="F147" s="23"/>
      <c r="G147" s="1027" t="s">
        <v>937</v>
      </c>
      <c r="I147" s="1062"/>
      <c r="Q147" s="7"/>
    </row>
    <row r="148" spans="1:17" ht="13.9" customHeight="1" x14ac:dyDescent="0.25">
      <c r="A148" s="846">
        <v>146</v>
      </c>
      <c r="B148" s="1084" t="s">
        <v>1420</v>
      </c>
      <c r="C148" s="1090" t="s">
        <v>1421</v>
      </c>
      <c r="D148" s="159" t="s">
        <v>938</v>
      </c>
      <c r="E148" s="23"/>
      <c r="F148" s="23"/>
      <c r="G148" s="1027"/>
      <c r="I148" s="1062"/>
      <c r="Q148" s="7"/>
    </row>
    <row r="149" spans="1:17" ht="13.9" customHeight="1" x14ac:dyDescent="0.25">
      <c r="A149" s="968">
        <v>147</v>
      </c>
      <c r="B149" s="1085" t="s">
        <v>1422</v>
      </c>
      <c r="C149" s="1019" t="s">
        <v>1423</v>
      </c>
      <c r="D149" s="160" t="s">
        <v>939</v>
      </c>
      <c r="E149" s="1"/>
      <c r="F149" s="1"/>
      <c r="G149" s="1028" t="s">
        <v>940</v>
      </c>
      <c r="I149" s="1062"/>
      <c r="Q149" s="7"/>
    </row>
    <row r="150" spans="1:17" ht="13.9" customHeight="1" x14ac:dyDescent="0.25">
      <c r="A150" s="968">
        <v>148</v>
      </c>
      <c r="B150" s="1085" t="s">
        <v>1424</v>
      </c>
      <c r="C150" s="1019" t="s">
        <v>1425</v>
      </c>
      <c r="D150" s="160" t="s">
        <v>941</v>
      </c>
      <c r="E150" s="1"/>
      <c r="F150" s="1"/>
      <c r="G150" s="1028" t="s">
        <v>942</v>
      </c>
      <c r="I150" s="1062"/>
      <c r="Q150" s="7"/>
    </row>
    <row r="151" spans="1:17" ht="13.9" customHeight="1" x14ac:dyDescent="0.25">
      <c r="A151" s="968">
        <v>149</v>
      </c>
      <c r="B151" s="1087" t="s">
        <v>1426</v>
      </c>
      <c r="C151" s="1092" t="s">
        <v>1427</v>
      </c>
      <c r="D151" s="160" t="s">
        <v>943</v>
      </c>
      <c r="E151" s="24"/>
      <c r="F151" s="24"/>
      <c r="G151" s="1028"/>
      <c r="I151" s="1062"/>
      <c r="Q151" s="7"/>
    </row>
    <row r="152" spans="1:17" ht="13.9" customHeight="1" x14ac:dyDescent="0.25">
      <c r="A152" s="968">
        <v>150</v>
      </c>
      <c r="B152" s="1085" t="s">
        <v>1428</v>
      </c>
      <c r="C152" s="1019" t="s">
        <v>1429</v>
      </c>
      <c r="D152" s="160" t="s">
        <v>944</v>
      </c>
      <c r="E152" s="1"/>
      <c r="F152" s="1"/>
      <c r="G152" s="1028"/>
      <c r="I152" s="1062"/>
      <c r="Q152" s="7"/>
    </row>
    <row r="153" spans="1:17" ht="13.9" customHeight="1" x14ac:dyDescent="0.25">
      <c r="A153" s="968">
        <v>151</v>
      </c>
      <c r="B153" s="1085" t="s">
        <v>1430</v>
      </c>
      <c r="C153" s="1019" t="s">
        <v>1431</v>
      </c>
      <c r="D153" s="160" t="s">
        <v>945</v>
      </c>
      <c r="E153" s="1"/>
      <c r="F153" s="1"/>
      <c r="G153" s="1028"/>
      <c r="I153" s="1062"/>
      <c r="Q153" s="7"/>
    </row>
    <row r="154" spans="1:17" ht="13.9" customHeight="1" x14ac:dyDescent="0.25">
      <c r="A154" s="968">
        <v>152</v>
      </c>
      <c r="B154" s="1085" t="s">
        <v>1432</v>
      </c>
      <c r="C154" s="1019" t="s">
        <v>1433</v>
      </c>
      <c r="D154" s="160" t="s">
        <v>946</v>
      </c>
      <c r="E154" s="1"/>
      <c r="F154" s="1"/>
      <c r="G154" s="1028"/>
      <c r="I154" s="1062"/>
      <c r="Q154" s="7"/>
    </row>
    <row r="155" spans="1:17" ht="13.9" customHeight="1" x14ac:dyDescent="0.25">
      <c r="A155" s="968">
        <v>153</v>
      </c>
      <c r="B155" s="1085" t="s">
        <v>1434</v>
      </c>
      <c r="C155" s="1019" t="s">
        <v>1435</v>
      </c>
      <c r="D155" s="160" t="s">
        <v>755</v>
      </c>
      <c r="E155" s="1"/>
      <c r="F155" s="1"/>
      <c r="G155" s="1028"/>
      <c r="I155" s="1062"/>
      <c r="Q155" s="7"/>
    </row>
    <row r="156" spans="1:17" ht="13.9" customHeight="1" x14ac:dyDescent="0.25">
      <c r="A156" s="968">
        <v>154</v>
      </c>
      <c r="B156" s="1085" t="s">
        <v>1436</v>
      </c>
      <c r="C156" s="1019" t="s">
        <v>1437</v>
      </c>
      <c r="D156" s="160" t="s">
        <v>947</v>
      </c>
      <c r="E156" s="1"/>
      <c r="F156" s="1"/>
      <c r="G156" s="1028" t="s">
        <v>948</v>
      </c>
      <c r="I156" s="1062"/>
      <c r="Q156" s="7"/>
    </row>
    <row r="157" spans="1:17" ht="13.9" customHeight="1" x14ac:dyDescent="0.25">
      <c r="A157" s="968">
        <v>155</v>
      </c>
      <c r="B157" s="1085" t="s">
        <v>1438</v>
      </c>
      <c r="C157" s="1019" t="s">
        <v>1439</v>
      </c>
      <c r="D157" s="160" t="s">
        <v>949</v>
      </c>
      <c r="E157" s="1"/>
      <c r="F157" s="1"/>
      <c r="G157" s="1028" t="s">
        <v>950</v>
      </c>
      <c r="I157" s="1062"/>
      <c r="Q157" s="7"/>
    </row>
    <row r="158" spans="1:17" ht="13.9" customHeight="1" x14ac:dyDescent="0.25">
      <c r="A158" s="968">
        <v>156</v>
      </c>
      <c r="B158" s="1085" t="s">
        <v>1440</v>
      </c>
      <c r="C158" s="1019" t="s">
        <v>1441</v>
      </c>
      <c r="D158" s="160" t="s">
        <v>951</v>
      </c>
      <c r="E158" s="1"/>
      <c r="F158" s="1" t="s">
        <v>952</v>
      </c>
      <c r="G158" s="1028"/>
      <c r="I158" s="1062"/>
      <c r="Q158" s="7"/>
    </row>
    <row r="159" spans="1:17" ht="13.9" customHeight="1" x14ac:dyDescent="0.25">
      <c r="A159" s="968">
        <v>157</v>
      </c>
      <c r="B159" s="1085" t="s">
        <v>1442</v>
      </c>
      <c r="C159" s="1019" t="s">
        <v>1443</v>
      </c>
      <c r="D159" s="160" t="s">
        <v>953</v>
      </c>
      <c r="E159" s="1"/>
      <c r="F159" s="1"/>
      <c r="G159" s="1028" t="s">
        <v>954</v>
      </c>
      <c r="I159" s="1062"/>
      <c r="Q159" s="7"/>
    </row>
    <row r="160" spans="1:17" ht="13.9" customHeight="1" x14ac:dyDescent="0.25">
      <c r="A160" s="968">
        <v>158</v>
      </c>
      <c r="B160" s="1085" t="s">
        <v>1444</v>
      </c>
      <c r="C160" s="1019" t="s">
        <v>1445</v>
      </c>
      <c r="D160" s="160" t="s">
        <v>955</v>
      </c>
      <c r="E160" s="1"/>
      <c r="F160" s="1"/>
      <c r="G160" s="1028" t="s">
        <v>956</v>
      </c>
      <c r="I160" s="1062"/>
      <c r="Q160" s="7"/>
    </row>
    <row r="161" spans="1:17" ht="13.9" customHeight="1" x14ac:dyDescent="0.25">
      <c r="A161" s="968">
        <v>159</v>
      </c>
      <c r="B161" s="1085" t="s">
        <v>1446</v>
      </c>
      <c r="C161" s="1019" t="s">
        <v>1447</v>
      </c>
      <c r="D161" s="160" t="s">
        <v>957</v>
      </c>
      <c r="E161" s="1"/>
      <c r="F161" s="1"/>
      <c r="G161" s="1028"/>
      <c r="I161" s="1062"/>
      <c r="Q161" s="7"/>
    </row>
    <row r="162" spans="1:17" ht="13.9" customHeight="1" x14ac:dyDescent="0.25">
      <c r="A162" s="968">
        <v>160</v>
      </c>
      <c r="B162" s="1085" t="s">
        <v>1448</v>
      </c>
      <c r="C162" s="1019" t="s">
        <v>1449</v>
      </c>
      <c r="D162" s="160" t="s">
        <v>958</v>
      </c>
      <c r="E162" s="1"/>
      <c r="F162" s="1"/>
      <c r="G162" s="1028"/>
      <c r="I162" s="1062"/>
      <c r="Q162" s="7"/>
    </row>
    <row r="163" spans="1:17" ht="13.9" customHeight="1" x14ac:dyDescent="0.25">
      <c r="A163" s="968">
        <v>161</v>
      </c>
      <c r="B163" s="1085" t="s">
        <v>1450</v>
      </c>
      <c r="C163" s="1019" t="s">
        <v>1451</v>
      </c>
      <c r="D163" s="160" t="s">
        <v>959</v>
      </c>
      <c r="E163" s="1"/>
      <c r="F163" s="1"/>
      <c r="G163" s="1028"/>
      <c r="I163" s="1062"/>
      <c r="Q163" s="7"/>
    </row>
    <row r="164" spans="1:17" ht="13.9" customHeight="1" x14ac:dyDescent="0.25">
      <c r="A164" s="968">
        <v>162</v>
      </c>
      <c r="B164" s="1085" t="s">
        <v>1452</v>
      </c>
      <c r="C164" s="1019" t="s">
        <v>1453</v>
      </c>
      <c r="D164" s="160" t="s">
        <v>960</v>
      </c>
      <c r="E164" s="1"/>
      <c r="F164" s="1"/>
      <c r="G164" s="1028" t="s">
        <v>961</v>
      </c>
      <c r="I164" s="1062"/>
      <c r="Q164" s="7"/>
    </row>
    <row r="165" spans="1:17" ht="13.9" customHeight="1" x14ac:dyDescent="0.25">
      <c r="A165" s="968">
        <v>163</v>
      </c>
      <c r="B165" s="1085" t="s">
        <v>1454</v>
      </c>
      <c r="C165" s="1019" t="s">
        <v>1455</v>
      </c>
      <c r="D165" s="160" t="s">
        <v>962</v>
      </c>
      <c r="E165" s="1"/>
      <c r="F165" s="1"/>
      <c r="G165" s="1028"/>
      <c r="I165" s="1062"/>
      <c r="Q165" s="7"/>
    </row>
    <row r="166" spans="1:17" ht="13.9" customHeight="1" x14ac:dyDescent="0.25">
      <c r="A166" s="968">
        <v>164</v>
      </c>
      <c r="B166" s="1085" t="s">
        <v>1456</v>
      </c>
      <c r="C166" s="1019" t="s">
        <v>1457</v>
      </c>
      <c r="D166" s="160" t="s">
        <v>755</v>
      </c>
      <c r="E166" s="1"/>
      <c r="F166" s="1"/>
      <c r="G166" s="1028"/>
      <c r="I166" s="1062"/>
      <c r="Q166" s="7"/>
    </row>
    <row r="167" spans="1:17" ht="13.9" customHeight="1" x14ac:dyDescent="0.25">
      <c r="A167" s="968">
        <v>165</v>
      </c>
      <c r="B167" s="1085" t="s">
        <v>1458</v>
      </c>
      <c r="C167" s="1019" t="s">
        <v>1459</v>
      </c>
      <c r="D167" s="160" t="s">
        <v>963</v>
      </c>
      <c r="E167" s="1"/>
      <c r="F167" s="1"/>
      <c r="G167" s="1028" t="s">
        <v>964</v>
      </c>
      <c r="I167" s="1062"/>
      <c r="Q167" s="7"/>
    </row>
    <row r="168" spans="1:17" ht="13.9" customHeight="1" x14ac:dyDescent="0.25">
      <c r="A168" s="968">
        <v>166</v>
      </c>
      <c r="B168" s="1085" t="s">
        <v>1460</v>
      </c>
      <c r="C168" s="1019" t="s">
        <v>1461</v>
      </c>
      <c r="D168" s="160" t="s">
        <v>965</v>
      </c>
      <c r="E168" s="1"/>
      <c r="F168" s="1"/>
      <c r="G168" s="1028" t="s">
        <v>966</v>
      </c>
      <c r="I168" s="1062"/>
      <c r="Q168" s="7"/>
    </row>
    <row r="169" spans="1:17" ht="13.9" customHeight="1" x14ac:dyDescent="0.25">
      <c r="A169" s="968">
        <v>167</v>
      </c>
      <c r="B169" s="1085" t="s">
        <v>1462</v>
      </c>
      <c r="C169" s="1019" t="s">
        <v>1463</v>
      </c>
      <c r="D169" s="160" t="s">
        <v>967</v>
      </c>
      <c r="E169" s="1"/>
      <c r="F169" s="1"/>
      <c r="G169" s="1028" t="s">
        <v>968</v>
      </c>
      <c r="I169" s="1062"/>
      <c r="Q169" s="7"/>
    </row>
    <row r="170" spans="1:17" ht="13.9" customHeight="1" x14ac:dyDescent="0.25">
      <c r="A170" s="968">
        <v>168</v>
      </c>
      <c r="B170" s="1085" t="s">
        <v>1464</v>
      </c>
      <c r="C170" s="1019" t="s">
        <v>1465</v>
      </c>
      <c r="D170" s="160" t="s">
        <v>969</v>
      </c>
      <c r="E170" s="1"/>
      <c r="F170" s="1"/>
      <c r="G170" s="1028"/>
      <c r="I170" s="1062"/>
      <c r="Q170" s="7"/>
    </row>
    <row r="171" spans="1:17" ht="13.9" customHeight="1" x14ac:dyDescent="0.25">
      <c r="A171" s="968">
        <v>169</v>
      </c>
      <c r="B171" s="1085" t="s">
        <v>1466</v>
      </c>
      <c r="C171" s="1019" t="s">
        <v>1467</v>
      </c>
      <c r="D171" s="160" t="s">
        <v>970</v>
      </c>
      <c r="E171" s="1"/>
      <c r="F171" s="1"/>
      <c r="G171" s="1028"/>
      <c r="I171" s="1062"/>
      <c r="Q171" s="7"/>
    </row>
    <row r="172" spans="1:17" ht="13.9" customHeight="1" x14ac:dyDescent="0.25">
      <c r="A172" s="968">
        <v>170</v>
      </c>
      <c r="B172" s="1085" t="s">
        <v>1468</v>
      </c>
      <c r="C172" s="1019" t="s">
        <v>1469</v>
      </c>
      <c r="D172" s="160" t="s">
        <v>971</v>
      </c>
      <c r="E172" s="1"/>
      <c r="F172" s="142"/>
      <c r="G172" s="1028" t="s">
        <v>972</v>
      </c>
      <c r="I172" s="1062"/>
      <c r="Q172" s="7"/>
    </row>
    <row r="173" spans="1:17" ht="13.9" customHeight="1" x14ac:dyDescent="0.25">
      <c r="A173" s="968">
        <v>171</v>
      </c>
      <c r="B173" s="1085" t="s">
        <v>1470</v>
      </c>
      <c r="C173" s="1019" t="s">
        <v>1471</v>
      </c>
      <c r="D173" s="160" t="s">
        <v>973</v>
      </c>
      <c r="E173" s="1"/>
      <c r="F173" s="1" t="s">
        <v>974</v>
      </c>
      <c r="G173" s="1028"/>
      <c r="I173" s="1062"/>
      <c r="Q173" s="7"/>
    </row>
    <row r="174" spans="1:17" ht="13.9" customHeight="1" x14ac:dyDescent="0.25">
      <c r="A174" s="968">
        <v>172</v>
      </c>
      <c r="B174" s="1085" t="s">
        <v>1472</v>
      </c>
      <c r="C174" s="1019" t="s">
        <v>1473</v>
      </c>
      <c r="D174" s="160" t="s">
        <v>975</v>
      </c>
      <c r="E174" s="1"/>
      <c r="F174" s="1"/>
      <c r="G174" s="1028"/>
      <c r="I174" s="1062"/>
      <c r="Q174" s="7"/>
    </row>
    <row r="175" spans="1:17" ht="13.9" customHeight="1" x14ac:dyDescent="0.25">
      <c r="A175" s="968">
        <v>173</v>
      </c>
      <c r="B175" s="1085" t="s">
        <v>1474</v>
      </c>
      <c r="C175" s="1019" t="s">
        <v>1475</v>
      </c>
      <c r="D175" s="160" t="s">
        <v>976</v>
      </c>
      <c r="E175" s="1"/>
      <c r="F175" s="1"/>
      <c r="G175" s="1028"/>
      <c r="I175" s="1062"/>
      <c r="Q175" s="7"/>
    </row>
    <row r="176" spans="1:17" ht="13.9" customHeight="1" x14ac:dyDescent="0.25">
      <c r="A176" s="968">
        <v>174</v>
      </c>
      <c r="B176" s="1085" t="s">
        <v>1476</v>
      </c>
      <c r="C176" s="1019" t="s">
        <v>1477</v>
      </c>
      <c r="D176" s="160" t="s">
        <v>977</v>
      </c>
      <c r="E176" s="1"/>
      <c r="F176" s="1"/>
      <c r="G176" s="1028"/>
      <c r="I176" s="1062"/>
      <c r="Q176" s="7"/>
    </row>
    <row r="177" spans="1:17" ht="13.9" customHeight="1" x14ac:dyDescent="0.25">
      <c r="A177" s="968">
        <v>175</v>
      </c>
      <c r="B177" s="1087" t="s">
        <v>1478</v>
      </c>
      <c r="C177" s="1092" t="s">
        <v>1479</v>
      </c>
      <c r="D177" s="160" t="s">
        <v>978</v>
      </c>
      <c r="E177" s="24"/>
      <c r="F177" s="24" t="s">
        <v>979</v>
      </c>
      <c r="G177" s="1028" t="s">
        <v>980</v>
      </c>
      <c r="I177" s="1062"/>
      <c r="Q177" s="7"/>
    </row>
    <row r="178" spans="1:17" ht="13.9" customHeight="1" x14ac:dyDescent="0.25">
      <c r="A178" s="968">
        <v>176</v>
      </c>
      <c r="B178" s="1085" t="s">
        <v>1480</v>
      </c>
      <c r="C178" s="1019" t="s">
        <v>1481</v>
      </c>
      <c r="D178" s="160" t="s">
        <v>981</v>
      </c>
      <c r="E178" s="1"/>
      <c r="F178" s="1" t="s">
        <v>982</v>
      </c>
      <c r="G178" s="1028"/>
      <c r="I178" s="1062"/>
      <c r="Q178" s="7"/>
    </row>
    <row r="179" spans="1:17" ht="13.9" customHeight="1" x14ac:dyDescent="0.25">
      <c r="A179" s="968">
        <v>177</v>
      </c>
      <c r="B179" s="1085" t="s">
        <v>1482</v>
      </c>
      <c r="C179" s="1019" t="s">
        <v>1483</v>
      </c>
      <c r="D179" s="160" t="s">
        <v>983</v>
      </c>
      <c r="E179" s="1"/>
      <c r="F179" s="1" t="s">
        <v>984</v>
      </c>
      <c r="G179" s="1028" t="s">
        <v>985</v>
      </c>
      <c r="I179" s="1062"/>
      <c r="Q179" s="7"/>
    </row>
    <row r="180" spans="1:17" ht="13.9" customHeight="1" x14ac:dyDescent="0.25">
      <c r="A180" s="968">
        <v>178</v>
      </c>
      <c r="B180" s="1085" t="s">
        <v>1484</v>
      </c>
      <c r="C180" s="1019" t="s">
        <v>1485</v>
      </c>
      <c r="D180" s="160" t="s">
        <v>986</v>
      </c>
      <c r="E180" s="1"/>
      <c r="F180" s="1" t="s">
        <v>987</v>
      </c>
      <c r="G180" s="1028" t="s">
        <v>988</v>
      </c>
      <c r="I180" s="1062"/>
      <c r="Q180" s="7"/>
    </row>
    <row r="181" spans="1:17" ht="13.9" customHeight="1" x14ac:dyDescent="0.25">
      <c r="A181" s="968">
        <v>179</v>
      </c>
      <c r="B181" s="1085" t="s">
        <v>1486</v>
      </c>
      <c r="C181" s="1019" t="s">
        <v>1487</v>
      </c>
      <c r="D181" s="160" t="s">
        <v>989</v>
      </c>
      <c r="E181" s="1"/>
      <c r="F181" s="1" t="s">
        <v>990</v>
      </c>
      <c r="G181" s="1028" t="s">
        <v>991</v>
      </c>
      <c r="I181" s="1062"/>
      <c r="Q181" s="7"/>
    </row>
    <row r="182" spans="1:17" ht="13.9" customHeight="1" x14ac:dyDescent="0.25">
      <c r="A182" s="968">
        <v>180</v>
      </c>
      <c r="B182" s="1085" t="s">
        <v>1488</v>
      </c>
      <c r="C182" s="1019" t="s">
        <v>1489</v>
      </c>
      <c r="D182" s="160" t="s">
        <v>992</v>
      </c>
      <c r="E182" s="1"/>
      <c r="F182" s="1" t="s">
        <v>990</v>
      </c>
      <c r="G182" s="1028" t="s">
        <v>993</v>
      </c>
      <c r="I182" s="1062"/>
      <c r="Q182" s="7"/>
    </row>
    <row r="183" spans="1:17" ht="13.9" customHeight="1" x14ac:dyDescent="0.25">
      <c r="A183" s="968">
        <v>181</v>
      </c>
      <c r="B183" s="1085" t="s">
        <v>1490</v>
      </c>
      <c r="C183" s="1019" t="s">
        <v>1491</v>
      </c>
      <c r="D183" s="160" t="s">
        <v>755</v>
      </c>
      <c r="E183" s="1"/>
      <c r="F183" s="1" t="s">
        <v>990</v>
      </c>
      <c r="G183" s="1028"/>
      <c r="I183" s="1062"/>
      <c r="Q183" s="7"/>
    </row>
    <row r="184" spans="1:17" ht="13.9" customHeight="1" x14ac:dyDescent="0.25">
      <c r="A184" s="968">
        <v>182</v>
      </c>
      <c r="B184" s="1085" t="s">
        <v>1492</v>
      </c>
      <c r="C184" s="1019" t="s">
        <v>1493</v>
      </c>
      <c r="D184" s="160" t="s">
        <v>994</v>
      </c>
      <c r="E184" s="1"/>
      <c r="F184" s="1"/>
      <c r="G184" s="1028"/>
      <c r="I184" s="1062"/>
      <c r="Q184" s="7"/>
    </row>
    <row r="185" spans="1:17" ht="13.9" customHeight="1" x14ac:dyDescent="0.25">
      <c r="A185" s="968">
        <v>183</v>
      </c>
      <c r="B185" s="1085" t="s">
        <v>1494</v>
      </c>
      <c r="C185" s="1019" t="s">
        <v>1495</v>
      </c>
      <c r="D185" s="160" t="s">
        <v>995</v>
      </c>
      <c r="E185" s="1"/>
      <c r="F185" s="1"/>
      <c r="G185" s="1028"/>
      <c r="I185" s="1062"/>
      <c r="Q185" s="7"/>
    </row>
    <row r="186" spans="1:17" ht="13.9" customHeight="1" x14ac:dyDescent="0.25">
      <c r="A186" s="968">
        <v>184</v>
      </c>
      <c r="B186" s="1085" t="s">
        <v>1496</v>
      </c>
      <c r="C186" s="1019" t="s">
        <v>1497</v>
      </c>
      <c r="D186" s="160" t="s">
        <v>755</v>
      </c>
      <c r="E186" s="1"/>
      <c r="F186" s="1"/>
      <c r="G186" s="1028"/>
      <c r="I186" s="1062"/>
      <c r="Q186" s="7"/>
    </row>
    <row r="187" spans="1:17" ht="13.9" customHeight="1" x14ac:dyDescent="0.25">
      <c r="A187" s="968">
        <v>185</v>
      </c>
      <c r="B187" s="1085" t="s">
        <v>1498</v>
      </c>
      <c r="C187" s="1019" t="s">
        <v>1499</v>
      </c>
      <c r="D187" s="160" t="s">
        <v>755</v>
      </c>
      <c r="E187" s="1"/>
      <c r="F187" s="1"/>
      <c r="G187" s="1028"/>
      <c r="I187" s="1062"/>
      <c r="Q187" s="7"/>
    </row>
    <row r="188" spans="1:17" ht="13.9" customHeight="1" x14ac:dyDescent="0.25">
      <c r="A188" s="968">
        <v>186</v>
      </c>
      <c r="B188" s="1085" t="s">
        <v>1500</v>
      </c>
      <c r="C188" s="1019" t="s">
        <v>1501</v>
      </c>
      <c r="D188" s="160" t="s">
        <v>996</v>
      </c>
      <c r="E188" s="1"/>
      <c r="F188" s="1"/>
      <c r="G188" s="1028"/>
      <c r="I188" s="1062"/>
      <c r="Q188" s="7"/>
    </row>
    <row r="189" spans="1:17" ht="13.9" customHeight="1" x14ac:dyDescent="0.25">
      <c r="A189" s="968">
        <v>187</v>
      </c>
      <c r="B189" s="1085" t="s">
        <v>1502</v>
      </c>
      <c r="C189" s="1019" t="s">
        <v>1503</v>
      </c>
      <c r="D189" s="160" t="s">
        <v>996</v>
      </c>
      <c r="E189" s="1"/>
      <c r="F189" s="1"/>
      <c r="G189" s="1028"/>
      <c r="I189" s="1062"/>
      <c r="Q189" s="7"/>
    </row>
    <row r="190" spans="1:17" ht="13.9" customHeight="1" x14ac:dyDescent="0.25">
      <c r="A190" s="968">
        <v>188</v>
      </c>
      <c r="B190" s="1085" t="s">
        <v>1504</v>
      </c>
      <c r="C190" s="1019" t="s">
        <v>1505</v>
      </c>
      <c r="D190" s="160" t="s">
        <v>997</v>
      </c>
      <c r="E190" s="1"/>
      <c r="F190" s="1"/>
      <c r="G190" s="1028"/>
      <c r="I190" s="1062"/>
      <c r="Q190" s="7"/>
    </row>
    <row r="191" spans="1:17" ht="13.9" customHeight="1" x14ac:dyDescent="0.25">
      <c r="A191" s="968">
        <v>189</v>
      </c>
      <c r="B191" s="1087" t="s">
        <v>1506</v>
      </c>
      <c r="C191" s="1092" t="s">
        <v>1507</v>
      </c>
      <c r="D191" s="160" t="s">
        <v>755</v>
      </c>
      <c r="E191" s="24"/>
      <c r="F191" s="24"/>
      <c r="G191" s="1028"/>
      <c r="I191" s="1062"/>
      <c r="Q191" s="7"/>
    </row>
    <row r="192" spans="1:17" ht="13.9" customHeight="1" x14ac:dyDescent="0.25">
      <c r="A192" s="968">
        <v>190</v>
      </c>
      <c r="B192" s="1085" t="s">
        <v>1508</v>
      </c>
      <c r="C192" s="1019" t="s">
        <v>1509</v>
      </c>
      <c r="D192" s="160" t="s">
        <v>998</v>
      </c>
      <c r="E192" s="1"/>
      <c r="F192" s="1"/>
      <c r="G192" s="1028"/>
      <c r="I192" s="1062"/>
      <c r="Q192" s="7"/>
    </row>
    <row r="193" spans="1:17" ht="13.9" customHeight="1" x14ac:dyDescent="0.25">
      <c r="A193" s="968">
        <v>191</v>
      </c>
      <c r="B193" s="1087" t="s">
        <v>1510</v>
      </c>
      <c r="C193" s="1092" t="s">
        <v>1511</v>
      </c>
      <c r="D193" s="160" t="s">
        <v>999</v>
      </c>
      <c r="E193" s="24"/>
      <c r="F193" s="24"/>
      <c r="G193" s="1028"/>
      <c r="I193" s="1062"/>
      <c r="Q193" s="7"/>
    </row>
    <row r="194" spans="1:17" ht="13.9" customHeight="1" x14ac:dyDescent="0.25">
      <c r="A194" s="968">
        <v>192</v>
      </c>
      <c r="B194" s="1085" t="s">
        <v>1512</v>
      </c>
      <c r="C194" s="1019" t="s">
        <v>1513</v>
      </c>
      <c r="D194" s="160" t="s">
        <v>1000</v>
      </c>
      <c r="E194" s="1"/>
      <c r="F194" s="1"/>
      <c r="G194" s="1028" t="s">
        <v>1001</v>
      </c>
      <c r="I194" s="1062"/>
      <c r="Q194" s="7"/>
    </row>
    <row r="195" spans="1:17" ht="13.9" customHeight="1" x14ac:dyDescent="0.25">
      <c r="A195" s="968">
        <v>193</v>
      </c>
      <c r="B195" s="1085" t="s">
        <v>1514</v>
      </c>
      <c r="C195" s="1019" t="s">
        <v>1515</v>
      </c>
      <c r="D195" s="160" t="s">
        <v>1002</v>
      </c>
      <c r="E195" s="1"/>
      <c r="F195" s="1" t="s">
        <v>1003</v>
      </c>
      <c r="G195" s="1028" t="s">
        <v>1004</v>
      </c>
      <c r="I195" s="1062"/>
      <c r="Q195" s="7"/>
    </row>
    <row r="196" spans="1:17" ht="13.9" customHeight="1" x14ac:dyDescent="0.25">
      <c r="A196" s="968">
        <v>194</v>
      </c>
      <c r="B196" s="1085" t="s">
        <v>1516</v>
      </c>
      <c r="C196" s="1019" t="s">
        <v>1517</v>
      </c>
      <c r="D196" s="160" t="s">
        <v>1005</v>
      </c>
      <c r="E196" s="1"/>
      <c r="F196" s="1"/>
      <c r="G196" s="1028" t="s">
        <v>1006</v>
      </c>
      <c r="I196" s="1062"/>
      <c r="Q196" s="7"/>
    </row>
    <row r="197" spans="1:17" ht="13.9" customHeight="1" x14ac:dyDescent="0.25">
      <c r="A197" s="968">
        <v>195</v>
      </c>
      <c r="B197" s="1085" t="s">
        <v>1518</v>
      </c>
      <c r="C197" s="1019" t="s">
        <v>1519</v>
      </c>
      <c r="D197" s="160" t="s">
        <v>1007</v>
      </c>
      <c r="E197" s="1"/>
      <c r="F197" s="1"/>
      <c r="G197" s="1028"/>
      <c r="I197" s="1062"/>
      <c r="Q197" s="7"/>
    </row>
    <row r="198" spans="1:17" ht="13.9" customHeight="1" x14ac:dyDescent="0.25">
      <c r="A198" s="968">
        <v>196</v>
      </c>
      <c r="B198" s="1085" t="s">
        <v>1520</v>
      </c>
      <c r="C198" s="1019" t="s">
        <v>1521</v>
      </c>
      <c r="D198" s="160" t="s">
        <v>1008</v>
      </c>
      <c r="E198" s="1"/>
      <c r="F198" s="1" t="s">
        <v>1009</v>
      </c>
      <c r="G198" s="1028" t="s">
        <v>1010</v>
      </c>
      <c r="I198" s="1062"/>
      <c r="Q198" s="7"/>
    </row>
    <row r="199" spans="1:17" ht="13.9" customHeight="1" x14ac:dyDescent="0.25">
      <c r="A199" s="968">
        <v>197</v>
      </c>
      <c r="B199" s="1085" t="s">
        <v>1522</v>
      </c>
      <c r="C199" s="1019" t="s">
        <v>1523</v>
      </c>
      <c r="D199" s="160" t="s">
        <v>1011</v>
      </c>
      <c r="E199" s="1"/>
      <c r="F199" s="1"/>
      <c r="G199" s="1028" t="s">
        <v>1012</v>
      </c>
      <c r="I199" s="1062"/>
      <c r="Q199" s="7"/>
    </row>
    <row r="200" spans="1:17" ht="13.9" customHeight="1" x14ac:dyDescent="0.25">
      <c r="A200" s="968">
        <v>198</v>
      </c>
      <c r="B200" s="1085" t="s">
        <v>1524</v>
      </c>
      <c r="C200" s="1019" t="s">
        <v>1525</v>
      </c>
      <c r="D200" s="160" t="s">
        <v>1013</v>
      </c>
      <c r="E200" s="1"/>
      <c r="F200" s="1"/>
      <c r="G200" s="1028" t="s">
        <v>1014</v>
      </c>
      <c r="I200" s="1062"/>
      <c r="Q200" s="7"/>
    </row>
    <row r="201" spans="1:17" ht="13.9" customHeight="1" x14ac:dyDescent="0.25">
      <c r="A201" s="968">
        <v>199</v>
      </c>
      <c r="B201" s="1087" t="s">
        <v>1526</v>
      </c>
      <c r="C201" s="1092" t="s">
        <v>1527</v>
      </c>
      <c r="D201" s="160" t="s">
        <v>755</v>
      </c>
      <c r="E201" s="24"/>
      <c r="F201" s="24"/>
      <c r="G201" s="1028"/>
      <c r="I201" s="1062"/>
      <c r="Q201" s="7"/>
    </row>
    <row r="202" spans="1:17" ht="13.9" customHeight="1" x14ac:dyDescent="0.25">
      <c r="A202" s="968">
        <v>200</v>
      </c>
      <c r="B202" s="1085" t="s">
        <v>1528</v>
      </c>
      <c r="C202" s="1019" t="s">
        <v>1529</v>
      </c>
      <c r="D202" s="160" t="s">
        <v>1015</v>
      </c>
      <c r="E202" s="1"/>
      <c r="F202" s="1" t="s">
        <v>1016</v>
      </c>
      <c r="G202" s="1028" t="s">
        <v>1017</v>
      </c>
      <c r="I202" s="1062"/>
      <c r="Q202" s="7"/>
    </row>
    <row r="203" spans="1:17" ht="13.9" customHeight="1" x14ac:dyDescent="0.25">
      <c r="A203" s="968">
        <v>201</v>
      </c>
      <c r="B203" s="1085" t="s">
        <v>1530</v>
      </c>
      <c r="C203" s="1019" t="s">
        <v>1531</v>
      </c>
      <c r="D203" s="160" t="s">
        <v>755</v>
      </c>
      <c r="E203" s="1"/>
      <c r="F203" s="1"/>
      <c r="G203" s="1028"/>
      <c r="I203" s="1062"/>
      <c r="Q203" s="7"/>
    </row>
    <row r="204" spans="1:17" ht="13.9" customHeight="1" x14ac:dyDescent="0.25">
      <c r="A204" s="968">
        <v>202</v>
      </c>
      <c r="B204" s="1087" t="s">
        <v>1532</v>
      </c>
      <c r="C204" s="1019" t="s">
        <v>1533</v>
      </c>
      <c r="D204" s="160" t="s">
        <v>1018</v>
      </c>
      <c r="E204" s="1"/>
      <c r="F204" s="1" t="s">
        <v>1019</v>
      </c>
      <c r="G204" s="1028" t="s">
        <v>1020</v>
      </c>
      <c r="I204" s="1062"/>
      <c r="Q204" s="7"/>
    </row>
    <row r="205" spans="1:17" ht="13.9" customHeight="1" x14ac:dyDescent="0.25">
      <c r="A205" s="968">
        <v>203</v>
      </c>
      <c r="B205" s="1085" t="s">
        <v>1534</v>
      </c>
      <c r="C205" s="1019" t="s">
        <v>1535</v>
      </c>
      <c r="D205" s="160" t="s">
        <v>1021</v>
      </c>
      <c r="E205" s="1"/>
      <c r="F205" s="1" t="s">
        <v>1022</v>
      </c>
      <c r="G205" s="1028" t="s">
        <v>1023</v>
      </c>
      <c r="I205" s="1062"/>
      <c r="Q205" s="7"/>
    </row>
    <row r="206" spans="1:17" ht="13.9" customHeight="1" x14ac:dyDescent="0.25">
      <c r="A206" s="968">
        <v>204</v>
      </c>
      <c r="B206" s="1085" t="s">
        <v>11</v>
      </c>
      <c r="C206" s="1019" t="s">
        <v>1536</v>
      </c>
      <c r="D206" s="160" t="s">
        <v>1024</v>
      </c>
      <c r="E206" s="1"/>
      <c r="F206" s="1" t="s">
        <v>1025</v>
      </c>
      <c r="G206" s="1028" t="s">
        <v>1026</v>
      </c>
      <c r="I206" s="1062"/>
      <c r="Q206" s="7"/>
    </row>
    <row r="207" spans="1:17" ht="13.9" customHeight="1" x14ac:dyDescent="0.25">
      <c r="A207" s="968">
        <v>205</v>
      </c>
      <c r="B207" s="1085" t="s">
        <v>1537</v>
      </c>
      <c r="C207" s="1019" t="s">
        <v>1538</v>
      </c>
      <c r="D207" s="160" t="s">
        <v>755</v>
      </c>
      <c r="E207" s="1"/>
      <c r="F207" s="1"/>
      <c r="G207" s="1028"/>
      <c r="I207" s="1062"/>
      <c r="Q207" s="7"/>
    </row>
    <row r="208" spans="1:17" ht="13.9" customHeight="1" x14ac:dyDescent="0.25">
      <c r="A208" s="968">
        <v>206</v>
      </c>
      <c r="B208" s="1085" t="s">
        <v>1539</v>
      </c>
      <c r="C208" s="1019" t="s">
        <v>1540</v>
      </c>
      <c r="D208" s="160" t="s">
        <v>1027</v>
      </c>
      <c r="E208" s="1"/>
      <c r="F208" s="1"/>
      <c r="G208" s="1028"/>
      <c r="I208" s="1062"/>
      <c r="Q208" s="7"/>
    </row>
    <row r="209" spans="1:17" ht="13.9" customHeight="1" x14ac:dyDescent="0.25">
      <c r="A209" s="968">
        <v>207</v>
      </c>
      <c r="B209" s="1085" t="s">
        <v>1541</v>
      </c>
      <c r="C209" s="1019" t="s">
        <v>1542</v>
      </c>
      <c r="D209" s="160" t="s">
        <v>1028</v>
      </c>
      <c r="E209" s="1"/>
      <c r="F209" s="1"/>
      <c r="G209" s="1028" t="s">
        <v>1029</v>
      </c>
      <c r="I209" s="1062"/>
      <c r="Q209" s="7"/>
    </row>
    <row r="210" spans="1:17" ht="13.9" customHeight="1" x14ac:dyDescent="0.25">
      <c r="A210" s="968">
        <v>208</v>
      </c>
      <c r="B210" s="1085" t="s">
        <v>1543</v>
      </c>
      <c r="C210" s="1019" t="s">
        <v>1544</v>
      </c>
      <c r="D210" s="160" t="s">
        <v>1030</v>
      </c>
      <c r="E210" s="1"/>
      <c r="F210" s="1"/>
      <c r="G210" s="1028"/>
      <c r="I210" s="1062"/>
      <c r="Q210" s="7"/>
    </row>
    <row r="211" spans="1:17" ht="13.9" customHeight="1" x14ac:dyDescent="0.25">
      <c r="A211" s="968">
        <v>209</v>
      </c>
      <c r="B211" s="1085" t="s">
        <v>1545</v>
      </c>
      <c r="C211" s="1019" t="s">
        <v>1546</v>
      </c>
      <c r="D211" s="160" t="s">
        <v>1031</v>
      </c>
      <c r="E211" s="1"/>
      <c r="F211" s="1"/>
      <c r="G211" s="1028" t="s">
        <v>1032</v>
      </c>
      <c r="I211" s="1062"/>
      <c r="Q211" s="7"/>
    </row>
    <row r="212" spans="1:17" ht="27.4" customHeight="1" x14ac:dyDescent="0.25">
      <c r="A212" s="968">
        <v>210</v>
      </c>
      <c r="B212" s="1085" t="s">
        <v>1547</v>
      </c>
      <c r="C212" s="1019" t="s">
        <v>1548</v>
      </c>
      <c r="D212" s="160" t="s">
        <v>1033</v>
      </c>
      <c r="E212" s="1"/>
      <c r="F212" s="1" t="s">
        <v>1034</v>
      </c>
      <c r="G212" s="1028" t="s">
        <v>1035</v>
      </c>
      <c r="I212" s="1062"/>
      <c r="Q212" s="7"/>
    </row>
    <row r="213" spans="1:17" ht="15" x14ac:dyDescent="0.25">
      <c r="A213" s="968">
        <v>211</v>
      </c>
      <c r="B213" s="1085" t="s">
        <v>1549</v>
      </c>
      <c r="C213" s="1019" t="s">
        <v>1550</v>
      </c>
      <c r="D213" s="160" t="s">
        <v>1036</v>
      </c>
      <c r="E213" s="1"/>
      <c r="F213" s="1"/>
      <c r="G213" s="1028"/>
      <c r="I213" s="1062"/>
      <c r="Q213" s="7"/>
    </row>
    <row r="214" spans="1:17" ht="13.9" customHeight="1" x14ac:dyDescent="0.25">
      <c r="A214" s="968">
        <v>212</v>
      </c>
      <c r="B214" s="1085" t="s">
        <v>1551</v>
      </c>
      <c r="C214" s="1019" t="s">
        <v>1552</v>
      </c>
      <c r="D214" s="160" t="s">
        <v>1037</v>
      </c>
      <c r="E214" s="1"/>
      <c r="F214" s="1"/>
      <c r="G214" s="1028" t="s">
        <v>1038</v>
      </c>
      <c r="I214" s="1062"/>
      <c r="Q214" s="7"/>
    </row>
    <row r="215" spans="1:17" ht="13.9" customHeight="1" x14ac:dyDescent="0.25">
      <c r="A215" s="968">
        <v>213</v>
      </c>
      <c r="B215" s="1085" t="s">
        <v>1553</v>
      </c>
      <c r="C215" s="1019" t="s">
        <v>1554</v>
      </c>
      <c r="D215" s="160" t="s">
        <v>1039</v>
      </c>
      <c r="E215" s="1"/>
      <c r="F215" s="1"/>
      <c r="G215" s="1028"/>
      <c r="I215" s="1062"/>
      <c r="Q215" s="7"/>
    </row>
    <row r="216" spans="1:17" ht="13.9" customHeight="1" x14ac:dyDescent="0.25">
      <c r="A216" s="968">
        <v>214</v>
      </c>
      <c r="B216" s="1085" t="s">
        <v>1555</v>
      </c>
      <c r="C216" s="1019" t="s">
        <v>1556</v>
      </c>
      <c r="D216" s="160" t="s">
        <v>1040</v>
      </c>
      <c r="E216" s="1"/>
      <c r="F216" s="1" t="s">
        <v>1041</v>
      </c>
      <c r="G216" s="1028"/>
      <c r="I216" s="1062"/>
      <c r="Q216" s="7"/>
    </row>
    <row r="217" spans="1:17" ht="13.9" customHeight="1" x14ac:dyDescent="0.25">
      <c r="A217" s="968">
        <v>215</v>
      </c>
      <c r="B217" s="1085" t="s">
        <v>1557</v>
      </c>
      <c r="C217" s="1019" t="s">
        <v>1558</v>
      </c>
      <c r="D217" s="160" t="s">
        <v>1042</v>
      </c>
      <c r="E217" s="1"/>
      <c r="F217" s="1" t="s">
        <v>1043</v>
      </c>
      <c r="G217" s="1028"/>
      <c r="I217" s="1062"/>
      <c r="Q217" s="7"/>
    </row>
    <row r="218" spans="1:17" ht="13.9" customHeight="1" x14ac:dyDescent="0.25">
      <c r="A218" s="968">
        <v>216</v>
      </c>
      <c r="B218" s="1085" t="s">
        <v>1559</v>
      </c>
      <c r="C218" s="1019" t="s">
        <v>1560</v>
      </c>
      <c r="D218" s="160" t="s">
        <v>1044</v>
      </c>
      <c r="E218" s="1"/>
      <c r="F218" s="1" t="s">
        <v>1045</v>
      </c>
      <c r="G218" s="1028" t="s">
        <v>1046</v>
      </c>
      <c r="I218" s="1062"/>
      <c r="Q218" s="7"/>
    </row>
    <row r="219" spans="1:17" ht="13.9" customHeight="1" x14ac:dyDescent="0.25">
      <c r="A219" s="968">
        <v>217</v>
      </c>
      <c r="B219" s="1085" t="s">
        <v>1561</v>
      </c>
      <c r="C219" s="1019" t="s">
        <v>1562</v>
      </c>
      <c r="D219" s="160" t="s">
        <v>755</v>
      </c>
      <c r="E219" s="1"/>
      <c r="F219" s="1"/>
      <c r="G219" s="1028"/>
      <c r="I219" s="1062"/>
      <c r="Q219" s="7"/>
    </row>
    <row r="220" spans="1:17" ht="13.9" customHeight="1" x14ac:dyDescent="0.25">
      <c r="A220" s="968">
        <v>218</v>
      </c>
      <c r="B220" s="1085" t="s">
        <v>1563</v>
      </c>
      <c r="C220" s="1019" t="s">
        <v>1564</v>
      </c>
      <c r="D220" s="160" t="s">
        <v>1047</v>
      </c>
      <c r="E220" s="1"/>
      <c r="F220" s="1" t="s">
        <v>1048</v>
      </c>
      <c r="G220" s="1028" t="s">
        <v>1049</v>
      </c>
      <c r="I220" s="1062"/>
      <c r="Q220" s="7"/>
    </row>
    <row r="221" spans="1:17" ht="13.9" customHeight="1" x14ac:dyDescent="0.25">
      <c r="A221" s="968">
        <v>219</v>
      </c>
      <c r="B221" s="1085" t="s">
        <v>1565</v>
      </c>
      <c r="C221" s="1019" t="s">
        <v>1566</v>
      </c>
      <c r="D221" s="160" t="s">
        <v>1050</v>
      </c>
      <c r="E221" s="1"/>
      <c r="F221" s="1"/>
      <c r="G221" s="1028"/>
      <c r="I221" s="1062"/>
      <c r="Q221" s="7"/>
    </row>
    <row r="222" spans="1:17" ht="13.9" customHeight="1" x14ac:dyDescent="0.25">
      <c r="A222" s="968">
        <v>220</v>
      </c>
      <c r="B222" s="1085" t="s">
        <v>1567</v>
      </c>
      <c r="C222" s="1019" t="s">
        <v>1568</v>
      </c>
      <c r="D222" s="160" t="s">
        <v>1051</v>
      </c>
      <c r="E222" s="1"/>
      <c r="F222" s="1" t="s">
        <v>1052</v>
      </c>
      <c r="G222" s="1028" t="s">
        <v>1053</v>
      </c>
      <c r="I222" s="1062"/>
      <c r="Q222" s="7"/>
    </row>
    <row r="223" spans="1:17" ht="13.9" customHeight="1" x14ac:dyDescent="0.25">
      <c r="A223" s="968">
        <v>221</v>
      </c>
      <c r="B223" s="1087" t="s">
        <v>1569</v>
      </c>
      <c r="C223" s="1092" t="s">
        <v>1570</v>
      </c>
      <c r="D223" s="160" t="s">
        <v>1054</v>
      </c>
      <c r="E223" s="24"/>
      <c r="F223" s="24"/>
      <c r="G223" s="1028"/>
      <c r="I223" s="1062"/>
      <c r="Q223" s="7"/>
    </row>
    <row r="224" spans="1:17" ht="13.9" customHeight="1" x14ac:dyDescent="0.25">
      <c r="A224" s="968">
        <v>222</v>
      </c>
      <c r="B224" s="1085" t="s">
        <v>1571</v>
      </c>
      <c r="C224" s="1019" t="s">
        <v>1572</v>
      </c>
      <c r="D224" s="160" t="s">
        <v>1055</v>
      </c>
      <c r="E224" s="1"/>
      <c r="F224" s="1"/>
      <c r="G224" s="1028"/>
      <c r="I224" s="1062"/>
      <c r="Q224" s="7"/>
    </row>
    <row r="225" spans="1:17" ht="13.9" customHeight="1" x14ac:dyDescent="0.25">
      <c r="A225" s="968">
        <v>223</v>
      </c>
      <c r="B225" s="1085" t="s">
        <v>1573</v>
      </c>
      <c r="C225" s="1019" t="s">
        <v>1574</v>
      </c>
      <c r="D225" s="160" t="s">
        <v>1056</v>
      </c>
      <c r="E225" s="1"/>
      <c r="F225" s="1"/>
      <c r="G225" s="1028"/>
      <c r="I225" s="1062"/>
      <c r="Q225" s="7"/>
    </row>
    <row r="226" spans="1:17" ht="13.9" customHeight="1" x14ac:dyDescent="0.25">
      <c r="A226" s="968">
        <v>224</v>
      </c>
      <c r="B226" s="1085" t="s">
        <v>1575</v>
      </c>
      <c r="C226" s="1019" t="s">
        <v>1576</v>
      </c>
      <c r="D226" s="160" t="s">
        <v>1057</v>
      </c>
      <c r="E226" s="1"/>
      <c r="F226" s="1"/>
      <c r="G226" s="1028"/>
      <c r="I226" s="1062"/>
      <c r="Q226" s="7"/>
    </row>
    <row r="227" spans="1:17" ht="13.9" customHeight="1" x14ac:dyDescent="0.25">
      <c r="A227" s="968">
        <v>225</v>
      </c>
      <c r="B227" s="1085" t="s">
        <v>1577</v>
      </c>
      <c r="C227" s="1019" t="s">
        <v>1578</v>
      </c>
      <c r="D227" s="160" t="s">
        <v>1058</v>
      </c>
      <c r="E227" s="1"/>
      <c r="F227" s="1"/>
      <c r="G227" s="1028" t="s">
        <v>1059</v>
      </c>
      <c r="I227" s="1062"/>
      <c r="Q227" s="7"/>
    </row>
    <row r="228" spans="1:17" ht="13.9" customHeight="1" x14ac:dyDescent="0.25">
      <c r="A228" s="968">
        <v>226</v>
      </c>
      <c r="B228" s="1077" t="s">
        <v>1579</v>
      </c>
      <c r="C228" s="1070" t="s">
        <v>1580</v>
      </c>
      <c r="D228" s="188" t="s">
        <v>1060</v>
      </c>
      <c r="E228" s="21"/>
      <c r="F228" s="21"/>
      <c r="G228" s="1024" t="s">
        <v>1061</v>
      </c>
      <c r="I228" s="1062"/>
      <c r="Q228" s="7"/>
    </row>
    <row r="229" spans="1:17" ht="13.9" customHeight="1" x14ac:dyDescent="0.25">
      <c r="A229" s="1133">
        <v>227</v>
      </c>
      <c r="B229" s="840" t="s">
        <v>1581</v>
      </c>
      <c r="C229" s="28"/>
      <c r="D229" s="640"/>
      <c r="E229" s="641"/>
      <c r="F229" s="641"/>
      <c r="G229" s="1023"/>
      <c r="H229" s="3"/>
      <c r="I229" s="1063"/>
      <c r="Q229" s="7"/>
    </row>
    <row r="230" spans="1:17" s="7" customFormat="1" ht="13.9" customHeight="1" x14ac:dyDescent="0.25">
      <c r="A230" s="2198">
        <v>228</v>
      </c>
      <c r="B230" s="2240" t="s">
        <v>1582</v>
      </c>
      <c r="C230" s="2241" t="s">
        <v>1583</v>
      </c>
      <c r="D230" s="2242" t="s">
        <v>1062</v>
      </c>
      <c r="E230" s="2241"/>
      <c r="F230" s="2241" t="s">
        <v>1063</v>
      </c>
      <c r="G230" s="2243"/>
      <c r="I230" s="1987"/>
    </row>
    <row r="231" spans="1:17" ht="13.9" customHeight="1" x14ac:dyDescent="0.25">
      <c r="A231" s="2239">
        <v>229</v>
      </c>
      <c r="B231" s="2244" t="s">
        <v>1584</v>
      </c>
      <c r="C231" s="1081" t="s">
        <v>1585</v>
      </c>
      <c r="D231" s="2244" t="s">
        <v>1064</v>
      </c>
      <c r="E231" s="1081"/>
      <c r="F231" s="1081" t="s">
        <v>1065</v>
      </c>
      <c r="G231" s="1025"/>
      <c r="I231" s="1062"/>
      <c r="Q231" s="7"/>
    </row>
    <row r="232" spans="1:17" ht="13.9" customHeight="1" x14ac:dyDescent="0.25">
      <c r="A232" s="968">
        <v>230</v>
      </c>
      <c r="B232" s="2245" t="s">
        <v>1586</v>
      </c>
      <c r="C232" s="1609" t="s">
        <v>1587</v>
      </c>
      <c r="D232" s="2245" t="s">
        <v>1066</v>
      </c>
      <c r="E232" s="1609"/>
      <c r="F232" s="1609" t="s">
        <v>1067</v>
      </c>
      <c r="G232" s="1610"/>
      <c r="I232" s="1062"/>
      <c r="Q232" s="7"/>
    </row>
    <row r="233" spans="1:17" ht="13.9" customHeight="1" x14ac:dyDescent="0.25">
      <c r="A233" s="968">
        <v>231</v>
      </c>
      <c r="B233" s="2244" t="s">
        <v>1588</v>
      </c>
      <c r="C233" s="1081" t="s">
        <v>1589</v>
      </c>
      <c r="D233" s="2244" t="s">
        <v>1068</v>
      </c>
      <c r="E233" s="1081"/>
      <c r="F233" s="1081" t="s">
        <v>1069</v>
      </c>
      <c r="G233" s="1025"/>
      <c r="I233" s="1062"/>
      <c r="Q233" s="7"/>
    </row>
    <row r="234" spans="1:17" ht="13.9" customHeight="1" x14ac:dyDescent="0.25">
      <c r="A234" s="968">
        <v>232</v>
      </c>
      <c r="B234" s="2244" t="s">
        <v>1590</v>
      </c>
      <c r="C234" s="1081" t="s">
        <v>1591</v>
      </c>
      <c r="D234" s="2244" t="s">
        <v>1070</v>
      </c>
      <c r="E234" s="1081"/>
      <c r="F234" s="1081" t="s">
        <v>1071</v>
      </c>
      <c r="G234" s="1025"/>
      <c r="I234" s="1062"/>
      <c r="Q234" s="7"/>
    </row>
    <row r="235" spans="1:17" ht="13.9" customHeight="1" x14ac:dyDescent="0.25">
      <c r="A235" s="968">
        <v>233</v>
      </c>
      <c r="B235" s="2244" t="s">
        <v>1592</v>
      </c>
      <c r="C235" s="1081" t="s">
        <v>1593</v>
      </c>
      <c r="D235" s="2244" t="s">
        <v>1072</v>
      </c>
      <c r="E235" s="1081"/>
      <c r="F235" s="1081" t="s">
        <v>1073</v>
      </c>
      <c r="G235" s="1025"/>
      <c r="I235" s="1062"/>
      <c r="Q235" s="7"/>
    </row>
    <row r="236" spans="1:17" ht="13.9" customHeight="1" x14ac:dyDescent="0.25">
      <c r="A236" s="968">
        <v>234</v>
      </c>
      <c r="B236" s="2244" t="s">
        <v>1594</v>
      </c>
      <c r="C236" s="1081" t="s">
        <v>1595</v>
      </c>
      <c r="D236" s="2244" t="s">
        <v>1074</v>
      </c>
      <c r="E236" s="1081"/>
      <c r="F236" s="1081" t="s">
        <v>1075</v>
      </c>
      <c r="G236" s="1025"/>
      <c r="I236" s="1062"/>
      <c r="Q236" s="7"/>
    </row>
    <row r="237" spans="1:17" ht="13.9" customHeight="1" x14ac:dyDescent="0.25">
      <c r="A237" s="968">
        <v>235</v>
      </c>
      <c r="B237" s="2244" t="s">
        <v>1596</v>
      </c>
      <c r="C237" s="1081" t="s">
        <v>1597</v>
      </c>
      <c r="D237" s="2244" t="s">
        <v>1076</v>
      </c>
      <c r="E237" s="1081"/>
      <c r="F237" s="1081" t="s">
        <v>1077</v>
      </c>
      <c r="G237" s="1025"/>
      <c r="I237" s="1062"/>
      <c r="Q237" s="7"/>
    </row>
    <row r="238" spans="1:17" ht="13.9" customHeight="1" x14ac:dyDescent="0.25">
      <c r="A238" s="968">
        <v>236</v>
      </c>
      <c r="B238" s="2244" t="s">
        <v>1598</v>
      </c>
      <c r="C238" s="1081" t="s">
        <v>1599</v>
      </c>
      <c r="D238" s="2244" t="s">
        <v>1078</v>
      </c>
      <c r="E238" s="1081"/>
      <c r="F238" s="1081" t="s">
        <v>1079</v>
      </c>
      <c r="G238" s="1025"/>
      <c r="I238" s="1062"/>
      <c r="Q238" s="7"/>
    </row>
    <row r="239" spans="1:17" ht="13.9" customHeight="1" x14ac:dyDescent="0.25">
      <c r="A239" s="968">
        <v>237</v>
      </c>
      <c r="B239" s="2246" t="s">
        <v>1600</v>
      </c>
      <c r="C239" s="992" t="s">
        <v>1601</v>
      </c>
      <c r="D239" s="2246" t="s">
        <v>1080</v>
      </c>
      <c r="E239" s="992"/>
      <c r="F239" s="992" t="s">
        <v>1081</v>
      </c>
      <c r="G239" s="1026"/>
      <c r="I239" s="1062"/>
      <c r="Q239" s="7"/>
    </row>
    <row r="240" spans="1:17" s="3" customFormat="1" ht="13.9" customHeight="1" x14ac:dyDescent="0.25">
      <c r="A240" s="1133">
        <v>238</v>
      </c>
      <c r="B240" s="840" t="s">
        <v>9</v>
      </c>
      <c r="C240" s="28"/>
      <c r="D240" s="640"/>
      <c r="E240" s="641"/>
      <c r="F240" s="641"/>
      <c r="G240" s="1023"/>
      <c r="I240" s="1063"/>
      <c r="L240" s="2"/>
      <c r="N240" s="2"/>
      <c r="Q240" s="7"/>
    </row>
    <row r="241" spans="1:17" ht="13.9" customHeight="1" x14ac:dyDescent="0.25">
      <c r="A241" s="968">
        <v>239</v>
      </c>
      <c r="B241" s="1084" t="s">
        <v>1602</v>
      </c>
      <c r="C241" s="1089" t="s">
        <v>232</v>
      </c>
      <c r="D241" s="159" t="s">
        <v>1082</v>
      </c>
      <c r="E241" s="23"/>
      <c r="F241" s="1965" t="s">
        <v>1083</v>
      </c>
      <c r="G241" s="1027"/>
      <c r="I241" s="1062"/>
      <c r="Q241" s="7"/>
    </row>
    <row r="242" spans="1:17" ht="13.9" customHeight="1" x14ac:dyDescent="0.25">
      <c r="A242" s="968">
        <v>240</v>
      </c>
      <c r="B242" s="1084" t="s">
        <v>1603</v>
      </c>
      <c r="C242" s="1090" t="s">
        <v>232</v>
      </c>
      <c r="D242" s="159" t="s">
        <v>1084</v>
      </c>
      <c r="E242" s="23"/>
      <c r="F242" s="1965"/>
      <c r="G242" s="1027"/>
      <c r="I242" s="1062"/>
      <c r="Q242" s="7"/>
    </row>
    <row r="243" spans="1:17" ht="13.9" customHeight="1" x14ac:dyDescent="0.25">
      <c r="A243" s="968">
        <v>241</v>
      </c>
      <c r="B243" s="1085" t="s">
        <v>1604</v>
      </c>
      <c r="C243" s="1019" t="s">
        <v>232</v>
      </c>
      <c r="D243" s="160" t="s">
        <v>1085</v>
      </c>
      <c r="E243" s="1"/>
      <c r="F243" s="1966" t="s">
        <v>1086</v>
      </c>
      <c r="G243" s="1028"/>
      <c r="I243" s="1062"/>
      <c r="Q243" s="7"/>
    </row>
    <row r="244" spans="1:17" ht="13.9" customHeight="1" x14ac:dyDescent="0.25">
      <c r="A244" s="968">
        <v>242</v>
      </c>
      <c r="B244" s="1083" t="s">
        <v>1605</v>
      </c>
      <c r="C244" s="190" t="s">
        <v>232</v>
      </c>
      <c r="D244" s="161"/>
      <c r="E244" s="25"/>
      <c r="F244" s="1967"/>
      <c r="G244" s="1022"/>
      <c r="I244" s="1062"/>
      <c r="Q244" s="7"/>
    </row>
    <row r="245" spans="1:17" ht="13.9" customHeight="1" x14ac:dyDescent="0.25">
      <c r="A245" s="968">
        <v>243</v>
      </c>
      <c r="B245" s="1077" t="s">
        <v>1606</v>
      </c>
      <c r="C245" s="1070" t="s">
        <v>232</v>
      </c>
      <c r="D245" s="188" t="s">
        <v>1087</v>
      </c>
      <c r="E245" s="21"/>
      <c r="F245" s="1968" t="s">
        <v>1088</v>
      </c>
      <c r="G245" s="1024"/>
      <c r="I245" s="1062"/>
      <c r="Q245" s="7"/>
    </row>
    <row r="246" spans="1:17" ht="13.9" customHeight="1" x14ac:dyDescent="0.25">
      <c r="A246" s="968">
        <v>244</v>
      </c>
      <c r="B246" s="991" t="s">
        <v>1607</v>
      </c>
      <c r="C246" s="347" t="s">
        <v>232</v>
      </c>
      <c r="D246" s="993" t="s">
        <v>444</v>
      </c>
      <c r="E246" s="992"/>
      <c r="F246" s="1969" t="s">
        <v>1089</v>
      </c>
      <c r="G246" s="1026"/>
      <c r="I246" s="1062"/>
      <c r="Q246" s="7"/>
    </row>
    <row r="247" spans="1:17" s="3" customFormat="1" ht="13.9" customHeight="1" x14ac:dyDescent="0.25">
      <c r="A247" s="1133">
        <v>245</v>
      </c>
      <c r="B247" s="840" t="s">
        <v>8</v>
      </c>
      <c r="C247" s="28"/>
      <c r="D247" s="640"/>
      <c r="E247" s="641"/>
      <c r="F247" s="641"/>
      <c r="G247" s="1023"/>
      <c r="I247" s="1063"/>
      <c r="L247" s="2"/>
      <c r="N247" s="2"/>
      <c r="Q247" s="7"/>
    </row>
    <row r="248" spans="1:17" ht="13.9" customHeight="1" x14ac:dyDescent="0.25">
      <c r="A248" s="968">
        <v>246</v>
      </c>
      <c r="B248" s="1084" t="s">
        <v>1608</v>
      </c>
      <c r="C248" s="1089" t="s">
        <v>1609</v>
      </c>
      <c r="D248" s="159" t="s">
        <v>1090</v>
      </c>
      <c r="E248" s="23"/>
      <c r="F248" s="23"/>
      <c r="G248" s="1027"/>
      <c r="I248" s="1062"/>
      <c r="Q248" s="7"/>
    </row>
    <row r="249" spans="1:17" ht="15" x14ac:dyDescent="0.25">
      <c r="A249" s="371">
        <v>247</v>
      </c>
      <c r="B249" s="1084" t="s">
        <v>1610</v>
      </c>
      <c r="C249" s="1090" t="s">
        <v>1611</v>
      </c>
      <c r="D249" s="159" t="s">
        <v>1091</v>
      </c>
      <c r="E249" s="23"/>
      <c r="F249" s="23"/>
      <c r="G249" s="1027" t="s">
        <v>1092</v>
      </c>
      <c r="I249" s="1062"/>
      <c r="Q249" s="7"/>
    </row>
    <row r="250" spans="1:17" ht="15" x14ac:dyDescent="0.25">
      <c r="A250" s="371">
        <v>248</v>
      </c>
      <c r="B250" s="1085" t="s">
        <v>1612</v>
      </c>
      <c r="C250" s="1019" t="s">
        <v>1613</v>
      </c>
      <c r="D250" s="160" t="s">
        <v>1093</v>
      </c>
      <c r="E250" s="1"/>
      <c r="F250" s="1"/>
      <c r="G250" s="1028" t="s">
        <v>1094</v>
      </c>
      <c r="I250" s="1062"/>
      <c r="Q250" s="7"/>
    </row>
    <row r="251" spans="1:17" ht="15" x14ac:dyDescent="0.25">
      <c r="A251" s="371">
        <v>249</v>
      </c>
      <c r="B251" s="1085" t="s">
        <v>1614</v>
      </c>
      <c r="C251" s="1019" t="s">
        <v>1615</v>
      </c>
      <c r="D251" s="160" t="s">
        <v>1095</v>
      </c>
      <c r="E251" s="1"/>
      <c r="F251" s="1"/>
      <c r="G251" s="1028" t="s">
        <v>1096</v>
      </c>
      <c r="I251" s="1062"/>
      <c r="Q251" s="7"/>
    </row>
    <row r="252" spans="1:17" ht="15" x14ac:dyDescent="0.25">
      <c r="A252" s="371">
        <v>250</v>
      </c>
      <c r="B252" s="1085" t="s">
        <v>1616</v>
      </c>
      <c r="C252" s="1019" t="s">
        <v>1617</v>
      </c>
      <c r="D252" s="160" t="s">
        <v>1097</v>
      </c>
      <c r="E252" s="1"/>
      <c r="F252" s="1"/>
      <c r="G252" s="1028" t="s">
        <v>1098</v>
      </c>
      <c r="I252" s="1062"/>
      <c r="Q252" s="7"/>
    </row>
    <row r="253" spans="1:17" ht="13.9" customHeight="1" x14ac:dyDescent="0.25">
      <c r="A253" s="968">
        <v>251</v>
      </c>
      <c r="B253" s="1085" t="s">
        <v>1618</v>
      </c>
      <c r="C253" s="1019" t="s">
        <v>1619</v>
      </c>
      <c r="D253" s="160" t="s">
        <v>1099</v>
      </c>
      <c r="E253" s="1"/>
      <c r="F253" s="1"/>
      <c r="G253" s="1028" t="s">
        <v>1100</v>
      </c>
      <c r="I253" s="1062"/>
      <c r="Q253" s="7"/>
    </row>
    <row r="254" spans="1:17" ht="13.9" customHeight="1" x14ac:dyDescent="0.25">
      <c r="A254" s="968">
        <v>252</v>
      </c>
      <c r="B254" s="1085" t="s">
        <v>1620</v>
      </c>
      <c r="C254" s="1019" t="s">
        <v>1621</v>
      </c>
      <c r="D254" s="160" t="s">
        <v>1101</v>
      </c>
      <c r="E254" s="1"/>
      <c r="F254" s="1"/>
      <c r="G254" s="1028" t="s">
        <v>1102</v>
      </c>
      <c r="I254" s="1062"/>
      <c r="Q254" s="7"/>
    </row>
    <row r="255" spans="1:17" ht="13.9" customHeight="1" x14ac:dyDescent="0.25">
      <c r="A255" s="968">
        <v>253</v>
      </c>
      <c r="B255" s="1085" t="s">
        <v>1622</v>
      </c>
      <c r="C255" s="1019" t="s">
        <v>1623</v>
      </c>
      <c r="D255" s="160" t="s">
        <v>1103</v>
      </c>
      <c r="E255" s="1" t="s">
        <v>1104</v>
      </c>
      <c r="F255" s="1"/>
      <c r="G255" s="1028" t="s">
        <v>1105</v>
      </c>
      <c r="I255" s="1062"/>
      <c r="Q255" s="7"/>
    </row>
    <row r="256" spans="1:17" ht="13.9" customHeight="1" x14ac:dyDescent="0.25">
      <c r="A256" s="968">
        <v>254</v>
      </c>
      <c r="B256" s="1085" t="s">
        <v>1624</v>
      </c>
      <c r="C256" s="1019" t="s">
        <v>1625</v>
      </c>
      <c r="D256" s="160" t="s">
        <v>1106</v>
      </c>
      <c r="E256" s="1"/>
      <c r="F256" s="1"/>
      <c r="G256" s="1028" t="s">
        <v>1107</v>
      </c>
      <c r="I256" s="1062"/>
      <c r="Q256" s="7"/>
    </row>
    <row r="257" spans="1:17" ht="13.9" customHeight="1" x14ac:dyDescent="0.25">
      <c r="A257" s="968">
        <v>255</v>
      </c>
      <c r="B257" s="1085" t="s">
        <v>1626</v>
      </c>
      <c r="C257" s="1019" t="s">
        <v>1627</v>
      </c>
      <c r="D257" s="160" t="s">
        <v>1108</v>
      </c>
      <c r="E257" s="1"/>
      <c r="F257" s="1"/>
      <c r="G257" s="1028" t="s">
        <v>1109</v>
      </c>
      <c r="I257" s="1062"/>
      <c r="Q257" s="7"/>
    </row>
    <row r="258" spans="1:17" ht="13.9" customHeight="1" x14ac:dyDescent="0.25">
      <c r="A258" s="968">
        <v>256</v>
      </c>
      <c r="B258" s="1085" t="s">
        <v>1628</v>
      </c>
      <c r="C258" s="1019" t="s">
        <v>1629</v>
      </c>
      <c r="D258" s="160" t="s">
        <v>1110</v>
      </c>
      <c r="E258" s="1"/>
      <c r="F258" s="1"/>
      <c r="G258" s="1028" t="s">
        <v>1111</v>
      </c>
      <c r="I258" s="1062"/>
      <c r="Q258" s="7"/>
    </row>
    <row r="259" spans="1:17" ht="26.65" customHeight="1" x14ac:dyDescent="0.25">
      <c r="A259" s="371">
        <v>257</v>
      </c>
      <c r="B259" s="1085" t="s">
        <v>1630</v>
      </c>
      <c r="C259" s="1019" t="s">
        <v>1631</v>
      </c>
      <c r="D259" s="160" t="s">
        <v>1112</v>
      </c>
      <c r="E259" s="1"/>
      <c r="F259" s="1"/>
      <c r="G259" s="1028" t="s">
        <v>1113</v>
      </c>
      <c r="I259" s="1062"/>
      <c r="Q259" s="7"/>
    </row>
    <row r="260" spans="1:17" ht="13.9" customHeight="1" x14ac:dyDescent="0.25">
      <c r="A260" s="968">
        <v>258</v>
      </c>
      <c r="B260" s="1085" t="s">
        <v>1632</v>
      </c>
      <c r="C260" s="1019" t="s">
        <v>232</v>
      </c>
      <c r="D260" s="160" t="s">
        <v>755</v>
      </c>
      <c r="E260" s="1"/>
      <c r="F260" s="1"/>
      <c r="G260" s="1028" t="s">
        <v>1114</v>
      </c>
      <c r="I260" s="1062"/>
      <c r="Q260" s="7"/>
    </row>
    <row r="261" spans="1:17" ht="13.9" customHeight="1" x14ac:dyDescent="0.25">
      <c r="A261" s="968">
        <v>259</v>
      </c>
      <c r="B261" s="1085" t="s">
        <v>1633</v>
      </c>
      <c r="C261" s="1019" t="s">
        <v>232</v>
      </c>
      <c r="D261" s="160" t="s">
        <v>755</v>
      </c>
      <c r="E261" s="1"/>
      <c r="F261" s="1"/>
      <c r="G261" s="1028" t="s">
        <v>1115</v>
      </c>
      <c r="I261" s="1062"/>
      <c r="Q261" s="7"/>
    </row>
    <row r="262" spans="1:17" ht="13.9" customHeight="1" x14ac:dyDescent="0.25">
      <c r="A262" s="968">
        <v>260</v>
      </c>
      <c r="B262" s="1085" t="s">
        <v>1634</v>
      </c>
      <c r="C262" s="1019" t="s">
        <v>232</v>
      </c>
      <c r="D262" s="160" t="s">
        <v>755</v>
      </c>
      <c r="E262" s="1"/>
      <c r="F262" s="1"/>
      <c r="G262" s="1028" t="s">
        <v>1116</v>
      </c>
      <c r="I262" s="1062"/>
      <c r="Q262" s="7"/>
    </row>
    <row r="263" spans="1:17" ht="13.9" customHeight="1" x14ac:dyDescent="0.25">
      <c r="A263" s="968">
        <v>261</v>
      </c>
      <c r="B263" s="1085" t="s">
        <v>1635</v>
      </c>
      <c r="C263" s="1019" t="s">
        <v>1636</v>
      </c>
      <c r="D263" s="160" t="s">
        <v>1117</v>
      </c>
      <c r="E263" s="1"/>
      <c r="F263" s="1"/>
      <c r="G263" s="1028" t="s">
        <v>1118</v>
      </c>
      <c r="I263" s="1062"/>
      <c r="Q263" s="7"/>
    </row>
    <row r="264" spans="1:17" ht="13.9" customHeight="1" x14ac:dyDescent="0.25">
      <c r="A264" s="968">
        <v>262</v>
      </c>
      <c r="B264" s="1085" t="s">
        <v>1637</v>
      </c>
      <c r="C264" s="1019" t="s">
        <v>1638</v>
      </c>
      <c r="D264" s="160" t="s">
        <v>1119</v>
      </c>
      <c r="E264" s="1"/>
      <c r="F264" s="1"/>
      <c r="G264" s="1028" t="s">
        <v>1120</v>
      </c>
      <c r="I264" s="1062"/>
      <c r="Q264" s="7"/>
    </row>
    <row r="265" spans="1:17" ht="13.9" customHeight="1" x14ac:dyDescent="0.25">
      <c r="A265" s="968">
        <v>263</v>
      </c>
      <c r="B265" s="1085" t="s">
        <v>1741</v>
      </c>
      <c r="C265" s="1019" t="s">
        <v>1639</v>
      </c>
      <c r="D265" s="160" t="s">
        <v>1121</v>
      </c>
      <c r="E265" s="1"/>
      <c r="F265" s="1"/>
      <c r="G265" s="1028" t="s">
        <v>1744</v>
      </c>
      <c r="I265" s="1062"/>
      <c r="Q265" s="7"/>
    </row>
    <row r="266" spans="1:17" ht="13.9" customHeight="1" x14ac:dyDescent="0.25">
      <c r="A266" s="968">
        <v>264</v>
      </c>
      <c r="B266" s="1085" t="s">
        <v>1742</v>
      </c>
      <c r="C266" s="1019" t="s">
        <v>1122</v>
      </c>
      <c r="D266" s="160" t="s">
        <v>1743</v>
      </c>
      <c r="E266" s="1"/>
      <c r="F266" s="1"/>
      <c r="G266" s="1028" t="s">
        <v>1747</v>
      </c>
      <c r="I266" s="1062"/>
      <c r="Q266" s="7"/>
    </row>
    <row r="267" spans="1:17" ht="13.9" customHeight="1" x14ac:dyDescent="0.25">
      <c r="A267" s="968">
        <v>265</v>
      </c>
      <c r="B267" s="1085" t="s">
        <v>1745</v>
      </c>
      <c r="C267" s="1019" t="s">
        <v>1639</v>
      </c>
      <c r="D267" s="160" t="s">
        <v>1748</v>
      </c>
      <c r="E267" s="1019"/>
      <c r="F267" s="1"/>
      <c r="G267" s="1028"/>
      <c r="I267" s="1062"/>
      <c r="Q267" s="7"/>
    </row>
    <row r="268" spans="1:17" ht="13.9" customHeight="1" x14ac:dyDescent="0.25">
      <c r="A268" s="968">
        <v>266</v>
      </c>
      <c r="B268" s="1085" t="s">
        <v>1640</v>
      </c>
      <c r="C268" s="1019" t="s">
        <v>1641</v>
      </c>
      <c r="D268" s="160" t="s">
        <v>1123</v>
      </c>
      <c r="E268" s="1"/>
      <c r="F268" s="1"/>
      <c r="G268" s="1028"/>
      <c r="I268" s="1062"/>
      <c r="Q268" s="7"/>
    </row>
    <row r="269" spans="1:17" ht="13.9" customHeight="1" x14ac:dyDescent="0.25">
      <c r="A269" s="968">
        <v>267</v>
      </c>
      <c r="B269" s="1085" t="s">
        <v>1746</v>
      </c>
      <c r="C269" s="2533" t="s">
        <v>444</v>
      </c>
      <c r="D269" s="160" t="s">
        <v>755</v>
      </c>
      <c r="E269" s="1"/>
      <c r="F269" s="1"/>
      <c r="G269" s="1028"/>
      <c r="I269" s="1062"/>
      <c r="Q269" s="7"/>
    </row>
    <row r="270" spans="1:17" ht="13.9" customHeight="1" x14ac:dyDescent="0.25">
      <c r="A270" s="968">
        <v>268</v>
      </c>
      <c r="B270" s="1085" t="s">
        <v>1642</v>
      </c>
      <c r="C270" s="1019" t="s">
        <v>1643</v>
      </c>
      <c r="D270" s="160" t="s">
        <v>1124</v>
      </c>
      <c r="E270" s="1"/>
      <c r="F270" s="1"/>
      <c r="G270" s="1028"/>
      <c r="I270" s="1062"/>
      <c r="Q270" s="7"/>
    </row>
    <row r="271" spans="1:17" ht="13.9" customHeight="1" x14ac:dyDescent="0.25">
      <c r="A271" s="968">
        <v>269</v>
      </c>
      <c r="B271" s="1085" t="s">
        <v>1644</v>
      </c>
      <c r="C271" s="1019" t="s">
        <v>1645</v>
      </c>
      <c r="D271" s="160" t="s">
        <v>1125</v>
      </c>
      <c r="E271" s="1"/>
      <c r="F271" s="1"/>
      <c r="G271" s="1028"/>
      <c r="I271" s="1062"/>
      <c r="Q271" s="7"/>
    </row>
    <row r="272" spans="1:17" ht="13.9" customHeight="1" x14ac:dyDescent="0.25">
      <c r="A272" s="968">
        <v>270</v>
      </c>
      <c r="B272" s="1085" t="s">
        <v>1646</v>
      </c>
      <c r="C272" s="1019" t="s">
        <v>1647</v>
      </c>
      <c r="D272" s="160" t="s">
        <v>755</v>
      </c>
      <c r="E272" s="1"/>
      <c r="F272" s="1"/>
      <c r="G272" s="1028" t="s">
        <v>1126</v>
      </c>
      <c r="I272" s="1062"/>
      <c r="Q272" s="7"/>
    </row>
    <row r="273" spans="1:17" ht="13.9" customHeight="1" x14ac:dyDescent="0.25">
      <c r="A273" s="968">
        <v>271</v>
      </c>
      <c r="B273" s="1085" t="s">
        <v>1648</v>
      </c>
      <c r="C273" s="1019" t="s">
        <v>1649</v>
      </c>
      <c r="D273" s="160" t="s">
        <v>1127</v>
      </c>
      <c r="E273" s="1"/>
      <c r="F273" s="1"/>
      <c r="G273" s="1028"/>
      <c r="I273" s="1062"/>
      <c r="Q273" s="7"/>
    </row>
    <row r="274" spans="1:17" ht="13.9" customHeight="1" x14ac:dyDescent="0.25">
      <c r="A274" s="968">
        <v>272</v>
      </c>
      <c r="B274" s="1085" t="s">
        <v>1650</v>
      </c>
      <c r="C274" s="1019" t="s">
        <v>1651</v>
      </c>
      <c r="D274" s="160" t="s">
        <v>1128</v>
      </c>
      <c r="E274" s="1"/>
      <c r="F274" s="1"/>
      <c r="G274" s="1028"/>
      <c r="I274" s="1062"/>
      <c r="Q274" s="7"/>
    </row>
    <row r="275" spans="1:17" ht="13.9" customHeight="1" x14ac:dyDescent="0.25">
      <c r="A275" s="968">
        <v>273</v>
      </c>
      <c r="B275" s="1085" t="s">
        <v>1652</v>
      </c>
      <c r="C275" s="1019" t="s">
        <v>1653</v>
      </c>
      <c r="D275" s="160" t="s">
        <v>1129</v>
      </c>
      <c r="E275" s="1"/>
      <c r="F275" s="1"/>
      <c r="G275" s="1028" t="s">
        <v>1130</v>
      </c>
      <c r="I275" s="1062"/>
      <c r="Q275" s="7"/>
    </row>
    <row r="276" spans="1:17" ht="13.9" customHeight="1" x14ac:dyDescent="0.25">
      <c r="A276" s="968">
        <v>274</v>
      </c>
      <c r="B276" s="1085" t="s">
        <v>1654</v>
      </c>
      <c r="C276" s="1019" t="s">
        <v>1655</v>
      </c>
      <c r="D276" s="160" t="s">
        <v>1131</v>
      </c>
      <c r="E276" s="1"/>
      <c r="F276" s="1"/>
      <c r="G276" s="1028"/>
      <c r="I276" s="1062"/>
      <c r="Q276" s="7"/>
    </row>
    <row r="277" spans="1:17" ht="13.9" customHeight="1" x14ac:dyDescent="0.25">
      <c r="A277" s="968">
        <v>275</v>
      </c>
      <c r="B277" s="1085" t="s">
        <v>1656</v>
      </c>
      <c r="C277" s="1019" t="s">
        <v>1657</v>
      </c>
      <c r="D277" s="160" t="s">
        <v>1132</v>
      </c>
      <c r="E277" s="1"/>
      <c r="F277" s="1"/>
      <c r="G277" s="1028"/>
      <c r="I277" s="1062"/>
      <c r="Q277" s="7"/>
    </row>
    <row r="278" spans="1:17" ht="13.9" customHeight="1" x14ac:dyDescent="0.25">
      <c r="A278" s="968">
        <v>276</v>
      </c>
      <c r="B278" s="1083" t="s">
        <v>1658</v>
      </c>
      <c r="C278" s="190" t="s">
        <v>1659</v>
      </c>
      <c r="D278" s="161" t="s">
        <v>1133</v>
      </c>
      <c r="E278" s="25"/>
      <c r="F278" s="25"/>
      <c r="G278" s="1022"/>
      <c r="I278" s="1062"/>
      <c r="Q278" s="7"/>
    </row>
    <row r="279" spans="1:17" ht="13.9" customHeight="1" x14ac:dyDescent="0.25">
      <c r="A279" s="968">
        <v>277</v>
      </c>
      <c r="B279" s="1085" t="s">
        <v>1660</v>
      </c>
      <c r="C279" s="1019" t="s">
        <v>1661</v>
      </c>
      <c r="D279" s="2490" t="s">
        <v>755</v>
      </c>
      <c r="E279" s="1019"/>
      <c r="F279" s="1"/>
      <c r="G279" s="1028"/>
      <c r="I279" s="1062"/>
      <c r="Q279" s="7"/>
    </row>
    <row r="280" spans="1:17" ht="13.9" customHeight="1" x14ac:dyDescent="0.25">
      <c r="A280" s="968">
        <v>278</v>
      </c>
      <c r="B280" s="1122" t="s">
        <v>1662</v>
      </c>
      <c r="C280" s="1123" t="s">
        <v>1663</v>
      </c>
      <c r="D280" s="1124" t="s">
        <v>1134</v>
      </c>
      <c r="E280" s="1125"/>
      <c r="F280" s="1125"/>
      <c r="G280" s="1126" t="s">
        <v>1135</v>
      </c>
      <c r="I280" s="1137"/>
      <c r="Q280" s="7"/>
    </row>
    <row r="281" spans="1:17" ht="13.9" customHeight="1" x14ac:dyDescent="0.25">
      <c r="A281" s="1133">
        <v>279</v>
      </c>
      <c r="B281" s="1127" t="s">
        <v>1664</v>
      </c>
      <c r="C281" s="1128"/>
      <c r="D281" s="1129"/>
      <c r="E281" s="1130"/>
      <c r="F281" s="1128"/>
      <c r="G281" s="1131"/>
      <c r="I281" s="1633"/>
      <c r="Q281" s="7"/>
    </row>
    <row r="282" spans="1:17" ht="13.9" customHeight="1" x14ac:dyDescent="0.25">
      <c r="A282" s="968">
        <v>280</v>
      </c>
      <c r="B282" s="2491" t="s">
        <v>1665</v>
      </c>
      <c r="C282" s="1089" t="s">
        <v>1666</v>
      </c>
      <c r="D282" s="1214" t="s">
        <v>1136</v>
      </c>
      <c r="E282" s="2492"/>
      <c r="F282" s="2492" t="s">
        <v>1137</v>
      </c>
      <c r="G282" s="2493" t="s">
        <v>1138</v>
      </c>
      <c r="I282" s="1062"/>
      <c r="Q282" s="7"/>
    </row>
    <row r="283" spans="1:17" ht="15" x14ac:dyDescent="0.25">
      <c r="A283" s="968">
        <v>281</v>
      </c>
      <c r="B283" s="2494" t="s">
        <v>1667</v>
      </c>
      <c r="C283" s="1019" t="s">
        <v>1668</v>
      </c>
      <c r="D283" s="2495" t="s">
        <v>755</v>
      </c>
      <c r="E283" s="1"/>
      <c r="F283" s="1" t="s">
        <v>1139</v>
      </c>
      <c r="G283" s="2496" t="s">
        <v>1140</v>
      </c>
      <c r="I283" s="1062"/>
      <c r="Q283" s="7"/>
    </row>
    <row r="284" spans="1:17" ht="15" x14ac:dyDescent="0.25">
      <c r="A284" s="371">
        <v>282</v>
      </c>
      <c r="B284" s="2494" t="s">
        <v>1669</v>
      </c>
      <c r="C284" s="1019" t="s">
        <v>1670</v>
      </c>
      <c r="D284" s="2495" t="s">
        <v>1141</v>
      </c>
      <c r="E284" s="1"/>
      <c r="F284" s="1" t="s">
        <v>1142</v>
      </c>
      <c r="G284" s="2496" t="s">
        <v>1143</v>
      </c>
      <c r="I284" s="1062"/>
      <c r="Q284" s="7"/>
    </row>
    <row r="285" spans="1:17" ht="13.9" customHeight="1" x14ac:dyDescent="0.25">
      <c r="A285" s="968">
        <v>283</v>
      </c>
      <c r="B285" s="2494" t="s">
        <v>1671</v>
      </c>
      <c r="C285" s="1019" t="s">
        <v>1672</v>
      </c>
      <c r="D285" s="951" t="s">
        <v>1144</v>
      </c>
      <c r="E285" s="1"/>
      <c r="F285" s="1" t="s">
        <v>1145</v>
      </c>
      <c r="G285" s="2497" t="s">
        <v>1146</v>
      </c>
      <c r="I285" s="1062"/>
      <c r="Q285" s="7"/>
    </row>
    <row r="286" spans="1:17" ht="13.9" customHeight="1" x14ac:dyDescent="0.25">
      <c r="A286" s="968">
        <v>284</v>
      </c>
      <c r="B286" s="2494" t="s">
        <v>1673</v>
      </c>
      <c r="C286" s="1019" t="s">
        <v>1674</v>
      </c>
      <c r="D286" s="951" t="s">
        <v>1147</v>
      </c>
      <c r="E286" s="1"/>
      <c r="F286" s="1" t="s">
        <v>1148</v>
      </c>
      <c r="G286" s="2497" t="s">
        <v>1149</v>
      </c>
      <c r="I286" s="1062"/>
      <c r="Q286" s="7"/>
    </row>
    <row r="287" spans="1:17" ht="13.9" customHeight="1" x14ac:dyDescent="0.25">
      <c r="A287" s="968">
        <v>285</v>
      </c>
      <c r="B287" s="2494" t="s">
        <v>1675</v>
      </c>
      <c r="C287" s="1019" t="s">
        <v>1676</v>
      </c>
      <c r="D287" s="2490" t="s">
        <v>1150</v>
      </c>
      <c r="E287" s="1"/>
      <c r="F287" s="1"/>
      <c r="G287" s="2497" t="s">
        <v>1151</v>
      </c>
      <c r="I287" s="1062"/>
      <c r="Q287" s="7"/>
    </row>
    <row r="288" spans="1:17" ht="13.9" customHeight="1" x14ac:dyDescent="0.25">
      <c r="A288" s="968">
        <v>286</v>
      </c>
      <c r="B288" s="2494" t="s">
        <v>1677</v>
      </c>
      <c r="C288" s="1019" t="s">
        <v>1678</v>
      </c>
      <c r="D288" s="2490" t="s">
        <v>755</v>
      </c>
      <c r="E288" s="1"/>
      <c r="F288" s="1"/>
      <c r="G288" s="2498"/>
      <c r="I288" s="1062"/>
      <c r="Q288" s="7"/>
    </row>
    <row r="289" spans="1:17" ht="13.9" customHeight="1" x14ac:dyDescent="0.25">
      <c r="A289" s="968">
        <v>287</v>
      </c>
      <c r="B289" s="2494" t="s">
        <v>1679</v>
      </c>
      <c r="C289" s="1019" t="s">
        <v>1680</v>
      </c>
      <c r="D289" s="2490" t="s">
        <v>1152</v>
      </c>
      <c r="E289" s="1"/>
      <c r="F289" s="1" t="s">
        <v>1153</v>
      </c>
      <c r="G289" s="2497"/>
      <c r="I289" s="1062"/>
      <c r="Q289" s="7"/>
    </row>
    <row r="290" spans="1:17" ht="15" x14ac:dyDescent="0.25">
      <c r="A290" s="968">
        <v>288</v>
      </c>
      <c r="B290" s="2499" t="s">
        <v>1681</v>
      </c>
      <c r="C290" s="1019" t="s">
        <v>1682</v>
      </c>
      <c r="D290" s="2495" t="s">
        <v>1154</v>
      </c>
      <c r="E290" s="1"/>
      <c r="F290" s="1" t="s">
        <v>1155</v>
      </c>
      <c r="G290" s="2496" t="s">
        <v>1156</v>
      </c>
      <c r="I290" s="1062"/>
      <c r="Q290" s="7"/>
    </row>
    <row r="291" spans="1:17" ht="15.75" thickBot="1" x14ac:dyDescent="0.3">
      <c r="A291" s="2237">
        <v>289</v>
      </c>
      <c r="B291" s="2500" t="s">
        <v>1683</v>
      </c>
      <c r="C291" s="2501" t="s">
        <v>1684</v>
      </c>
      <c r="D291" s="2502" t="s">
        <v>1157</v>
      </c>
      <c r="E291" s="2503"/>
      <c r="F291" s="2503" t="s">
        <v>1158</v>
      </c>
      <c r="G291" s="2504" t="s">
        <v>1159</v>
      </c>
      <c r="I291" s="1065"/>
      <c r="Q291" s="7"/>
    </row>
    <row r="292" spans="1:17" ht="12.75" thickTop="1" x14ac:dyDescent="0.2">
      <c r="A292" s="968"/>
      <c r="B292" s="35"/>
      <c r="Q292" s="7"/>
    </row>
    <row r="293" spans="1:17" x14ac:dyDescent="0.2">
      <c r="A293" s="968"/>
      <c r="B293" s="57"/>
      <c r="H293" s="36"/>
      <c r="I293" s="1634"/>
      <c r="Q293" s="7"/>
    </row>
    <row r="294" spans="1:17" x14ac:dyDescent="0.2">
      <c r="A294" s="968"/>
      <c r="Q294" s="7"/>
    </row>
    <row r="295" spans="1:17" x14ac:dyDescent="0.2">
      <c r="A295" s="968"/>
      <c r="Q295" s="7"/>
    </row>
    <row r="296" spans="1:17" x14ac:dyDescent="0.2">
      <c r="A296" s="968"/>
      <c r="Q296" s="7"/>
    </row>
    <row r="297" spans="1:17" x14ac:dyDescent="0.2">
      <c r="A297" s="968"/>
    </row>
    <row r="298" spans="1:17" x14ac:dyDescent="0.2">
      <c r="A298" s="968"/>
    </row>
    <row r="299" spans="1:17" x14ac:dyDescent="0.2">
      <c r="A299" s="968"/>
    </row>
    <row r="300" spans="1:17" x14ac:dyDescent="0.2">
      <c r="A300" s="968"/>
    </row>
    <row r="301" spans="1:17" x14ac:dyDescent="0.2">
      <c r="A301" s="968"/>
    </row>
    <row r="302" spans="1:17" x14ac:dyDescent="0.2">
      <c r="A302" s="968"/>
    </row>
    <row r="303" spans="1:17" x14ac:dyDescent="0.2">
      <c r="A303" s="968"/>
    </row>
    <row r="304" spans="1:17" x14ac:dyDescent="0.2">
      <c r="A304" s="968"/>
    </row>
  </sheetData>
  <autoFilter ref="A2:I291" xr:uid="{00000000-0009-0000-0000-000006000000}"/>
  <mergeCells count="1">
    <mergeCell ref="B1:D1"/>
  </mergeCells>
  <printOptions horizontalCentered="1"/>
  <pageMargins left="0.7" right="0.7" top="0.75" bottom="0.75" header="0.3" footer="0.3"/>
  <pageSetup scale="66" fitToHeight="0" orientation="landscape" horizontalDpi="1200" verticalDpi="1200" r:id="rId1"/>
  <headerFooter scaleWithDoc="0">
    <oddFooter>&amp;R&amp;"Arial,Regular"&amp;9Page &amp;P of &amp;N</oddFooter>
  </headerFooter>
  <rowBreaks count="1" manualBreakCount="1">
    <brk id="51"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302"/>
  <sheetViews>
    <sheetView zoomScaleNormal="100" workbookViewId="0">
      <pane xSplit="2" ySplit="2" topLeftCell="Y264" activePane="bottomRight" state="frozen"/>
      <selection pane="topRight" activeCell="C1" sqref="C1"/>
      <selection pane="bottomLeft" activeCell="A3" sqref="A3"/>
      <selection pane="bottomRight" activeCell="V273" sqref="V273"/>
    </sheetView>
  </sheetViews>
  <sheetFormatPr defaultColWidth="12.42578125" defaultRowHeight="12" x14ac:dyDescent="0.2"/>
  <cols>
    <col min="1" max="1" width="6" style="839" customWidth="1"/>
    <col min="2" max="2" width="35.28515625" style="361" customWidth="1"/>
    <col min="3" max="3" width="8.5703125" style="267" customWidth="1"/>
    <col min="4" max="4" width="12.140625" style="267" customWidth="1"/>
    <col min="5" max="5" width="13.28515625" style="267" customWidth="1"/>
    <col min="6" max="6" width="8.7109375" style="267" customWidth="1"/>
    <col min="7" max="7" width="16" style="267" customWidth="1"/>
    <col min="8" max="8" width="16.140625" style="267" customWidth="1"/>
    <col min="9" max="9" width="13.7109375" style="267" customWidth="1"/>
    <col min="10" max="10" width="10.85546875" style="267" customWidth="1"/>
    <col min="11" max="11" width="10.28515625" style="267" customWidth="1"/>
    <col min="12" max="12" width="9.85546875" style="267" customWidth="1"/>
    <col min="13" max="13" width="11.28515625" style="267" customWidth="1"/>
    <col min="14" max="14" width="9.28515625" style="267" customWidth="1"/>
    <col min="15" max="15" width="8.42578125" style="267" customWidth="1"/>
    <col min="16" max="16" width="13.7109375" style="1660" customWidth="1"/>
    <col min="17" max="17" width="11.28515625" style="267" customWidth="1"/>
    <col min="18" max="18" width="14.140625" style="267" customWidth="1"/>
    <col min="19" max="19" width="11.7109375" style="267" customWidth="1"/>
    <col min="20" max="20" width="9.7109375" style="267" customWidth="1"/>
    <col min="21" max="21" width="11.7109375" style="267" customWidth="1"/>
    <col min="22" max="22" width="10.28515625" style="267" customWidth="1"/>
    <col min="23" max="24" width="11.5703125" style="267" customWidth="1"/>
    <col min="25" max="25" width="10.28515625" style="267" customWidth="1"/>
    <col min="26" max="26" width="16.42578125" style="267" customWidth="1"/>
    <col min="27" max="27" width="9.140625" style="267" customWidth="1"/>
    <col min="28" max="28" width="8.7109375" style="372" customWidth="1"/>
    <col min="29" max="29" width="11" style="1255" customWidth="1"/>
    <col min="30" max="31" width="13.5703125" style="1255" customWidth="1"/>
    <col min="32" max="32" width="9" style="267" customWidth="1"/>
    <col min="33" max="33" width="9.7109375" style="267" customWidth="1"/>
    <col min="34" max="34" width="13.28515625" style="267" customWidth="1"/>
    <col min="35" max="35" width="13.85546875" style="267" customWidth="1"/>
    <col min="36" max="36" width="15.28515625" style="267" customWidth="1"/>
    <col min="37" max="37" width="15.42578125" style="361" customWidth="1"/>
    <col min="38" max="38" width="16.5703125" style="361" customWidth="1"/>
    <col min="39" max="40" width="18.5703125" style="361" customWidth="1"/>
    <col min="41" max="41" width="7.42578125" style="361" customWidth="1"/>
    <col min="42" max="42" width="15.7109375" style="362" customWidth="1"/>
    <col min="43" max="43" width="4.28515625" style="361" customWidth="1"/>
    <col min="44" max="44" width="12.42578125" style="839" customWidth="1"/>
    <col min="45" max="16384" width="12.42578125" style="361"/>
  </cols>
  <sheetData>
    <row r="1" spans="1:44" ht="12.75" thickBot="1" x14ac:dyDescent="0.25">
      <c r="A1" s="838"/>
      <c r="B1" s="747" t="s">
        <v>1690</v>
      </c>
      <c r="C1" s="356"/>
      <c r="D1" s="356"/>
      <c r="E1" s="829" t="s">
        <v>482</v>
      </c>
      <c r="F1" s="1046">
        <f>Eqtn!D217</f>
        <v>1E-3</v>
      </c>
      <c r="G1" s="1046"/>
      <c r="I1" s="1045" t="s">
        <v>481</v>
      </c>
      <c r="J1" s="1047">
        <f>Eqtn!D218</f>
        <v>1.9E-2</v>
      </c>
      <c r="K1" s="1840"/>
      <c r="L1" s="1841" t="s">
        <v>650</v>
      </c>
      <c r="N1" s="356"/>
      <c r="O1" s="1266"/>
      <c r="P1" s="1638"/>
      <c r="Q1" s="356"/>
      <c r="R1" s="356"/>
      <c r="S1" s="356"/>
      <c r="T1" s="356"/>
      <c r="U1" s="356"/>
      <c r="V1" s="356"/>
      <c r="W1" s="356"/>
      <c r="X1" s="356"/>
      <c r="Y1" s="356"/>
      <c r="Z1" s="356"/>
      <c r="AA1" s="356"/>
      <c r="AC1" s="1240"/>
      <c r="AD1" s="1240"/>
      <c r="AE1" s="1240"/>
      <c r="AF1" s="1240"/>
      <c r="AG1" s="356"/>
      <c r="AH1" s="356"/>
      <c r="AI1" s="356"/>
      <c r="AJ1" s="356"/>
      <c r="AK1" s="356"/>
      <c r="AL1" s="356"/>
      <c r="AM1" s="356"/>
      <c r="AN1" s="356"/>
    </row>
    <row r="2" spans="1:44" s="362" customFormat="1" ht="66.599999999999994" customHeight="1" thickTop="1" thickBot="1" x14ac:dyDescent="0.25">
      <c r="A2" s="1709" t="s">
        <v>445</v>
      </c>
      <c r="B2" s="1734" t="str">
        <f>Chem!B2</f>
        <v>Chemical</v>
      </c>
      <c r="C2" s="1735" t="s">
        <v>248</v>
      </c>
      <c r="D2" s="1735" t="s">
        <v>1711</v>
      </c>
      <c r="E2" s="1735" t="s">
        <v>1709</v>
      </c>
      <c r="F2" s="1735" t="s">
        <v>483</v>
      </c>
      <c r="G2" s="1735" t="s">
        <v>1712</v>
      </c>
      <c r="H2" s="1735" t="s">
        <v>1713</v>
      </c>
      <c r="I2" s="1735" t="s">
        <v>1710</v>
      </c>
      <c r="J2" s="1735" t="s">
        <v>484</v>
      </c>
      <c r="K2" s="1735" t="s">
        <v>249</v>
      </c>
      <c r="L2" s="1735" t="s">
        <v>250</v>
      </c>
      <c r="M2" s="1735" t="s">
        <v>251</v>
      </c>
      <c r="N2" s="1735" t="s">
        <v>252</v>
      </c>
      <c r="O2" s="1736" t="s">
        <v>617</v>
      </c>
      <c r="P2" s="1737" t="s">
        <v>682</v>
      </c>
      <c r="Q2" s="1738" t="s">
        <v>683</v>
      </c>
      <c r="R2" s="1739" t="s">
        <v>684</v>
      </c>
      <c r="S2" s="1738" t="s">
        <v>685</v>
      </c>
      <c r="T2" s="1735" t="s">
        <v>613</v>
      </c>
      <c r="U2" s="1738" t="s">
        <v>614</v>
      </c>
      <c r="V2" s="1727" t="s">
        <v>618</v>
      </c>
      <c r="W2" s="1727" t="s">
        <v>686</v>
      </c>
      <c r="X2" s="1738" t="s">
        <v>687</v>
      </c>
      <c r="Y2" s="1727" t="s">
        <v>615</v>
      </c>
      <c r="Z2" s="1738" t="s">
        <v>616</v>
      </c>
      <c r="AA2" s="1738" t="s">
        <v>619</v>
      </c>
      <c r="AB2" s="1740" t="s">
        <v>253</v>
      </c>
      <c r="AC2" s="1741" t="s">
        <v>688</v>
      </c>
      <c r="AD2" s="1742" t="s">
        <v>690</v>
      </c>
      <c r="AE2" s="1742" t="s">
        <v>689</v>
      </c>
      <c r="AF2" s="1740" t="s">
        <v>1725</v>
      </c>
      <c r="AG2" s="1727" t="s">
        <v>254</v>
      </c>
      <c r="AH2" s="1727" t="s">
        <v>255</v>
      </c>
      <c r="AI2" s="1727" t="s">
        <v>262</v>
      </c>
      <c r="AJ2" s="1727" t="s">
        <v>263</v>
      </c>
      <c r="AK2" s="1727" t="s">
        <v>626</v>
      </c>
      <c r="AL2" s="1727" t="s">
        <v>652</v>
      </c>
      <c r="AM2" s="1738" t="s">
        <v>645</v>
      </c>
      <c r="AN2" s="1743" t="s">
        <v>668</v>
      </c>
      <c r="AP2" s="1724" t="s">
        <v>465</v>
      </c>
      <c r="AR2" s="2377"/>
    </row>
    <row r="3" spans="1:44" s="373" customFormat="1" ht="13.9" customHeight="1" thickTop="1" x14ac:dyDescent="0.25">
      <c r="A3" s="907">
        <f>Chem!A3</f>
        <v>1</v>
      </c>
      <c r="B3" s="849" t="str">
        <f>Chem!B3</f>
        <v>PCBs</v>
      </c>
      <c r="C3" s="207"/>
      <c r="D3" s="207"/>
      <c r="E3" s="207"/>
      <c r="F3" s="207"/>
      <c r="G3" s="207"/>
      <c r="H3" s="207"/>
      <c r="I3" s="207"/>
      <c r="J3" s="207"/>
      <c r="K3" s="207"/>
      <c r="L3" s="207"/>
      <c r="M3" s="207"/>
      <c r="N3" s="207"/>
      <c r="O3" s="207"/>
      <c r="P3" s="1639"/>
      <c r="Q3" s="207"/>
      <c r="R3" s="353"/>
      <c r="S3" s="207"/>
      <c r="T3" s="207"/>
      <c r="U3" s="207"/>
      <c r="V3" s="207"/>
      <c r="W3" s="2517"/>
      <c r="X3" s="207"/>
      <c r="Y3" s="207"/>
      <c r="Z3" s="207"/>
      <c r="AA3" s="207"/>
      <c r="AB3" s="353"/>
      <c r="AC3" s="1241"/>
      <c r="AD3" s="1241"/>
      <c r="AE3" s="1241"/>
      <c r="AF3" s="966"/>
      <c r="AG3" s="207"/>
      <c r="AH3" s="207"/>
      <c r="AI3" s="207"/>
      <c r="AJ3" s="207"/>
      <c r="AK3" s="207"/>
      <c r="AL3" s="1774"/>
      <c r="AM3" s="1783"/>
      <c r="AN3" s="1784"/>
      <c r="AP3" s="1061"/>
      <c r="AR3" s="839"/>
    </row>
    <row r="4" spans="1:44" ht="13.9" customHeight="1" x14ac:dyDescent="0.25">
      <c r="A4" s="842">
        <f>Chem!A4</f>
        <v>2</v>
      </c>
      <c r="B4" s="863" t="str">
        <f>Chem!B4</f>
        <v>Total PCB Aroclors</v>
      </c>
      <c r="C4" s="384">
        <v>78100</v>
      </c>
      <c r="D4" s="384" t="s">
        <v>232</v>
      </c>
      <c r="E4" s="384">
        <f t="shared" ref="E4:E67" si="0">IF(C4="na","na",C4*F$1)</f>
        <v>78.100000000000009</v>
      </c>
      <c r="F4" s="384">
        <f t="shared" ref="F4:F67" si="1">IF(D4="na",E4,D4)</f>
        <v>78.100000000000009</v>
      </c>
      <c r="G4" s="384" t="s">
        <v>232</v>
      </c>
      <c r="H4" s="384" t="s">
        <v>232</v>
      </c>
      <c r="I4" s="384">
        <f t="shared" ref="I4:I35" si="2">IF(C4="na","na",C4*J$1)</f>
        <v>1483.8999999999999</v>
      </c>
      <c r="J4" s="384">
        <f>IF(ISNUMBER(G4),G4*J$1,IF(ISNUMBER(H4),H4,I4))</f>
        <v>1483.8999999999999</v>
      </c>
      <c r="K4" s="400" t="s">
        <v>232</v>
      </c>
      <c r="L4" s="400">
        <v>1.6966475878986101E-2</v>
      </c>
      <c r="M4" s="400">
        <f>IF(ISNUMBER(K4),K4,IF(ISNUMBER(L4),L4,0))</f>
        <v>1.6966475878986101E-2</v>
      </c>
      <c r="N4" s="271">
        <v>31200</v>
      </c>
      <c r="O4" s="425" t="s">
        <v>232</v>
      </c>
      <c r="P4" s="1640">
        <v>0.8</v>
      </c>
      <c r="Q4" s="426" t="str">
        <f>IF(O4="na","na",O4*P4)</f>
        <v>na</v>
      </c>
      <c r="R4" s="1665">
        <v>1</v>
      </c>
      <c r="S4" s="426" t="str">
        <f>IF(O4="na","na",O4*R4)</f>
        <v>na</v>
      </c>
      <c r="T4" s="425" t="s">
        <v>232</v>
      </c>
      <c r="U4" s="426" t="str">
        <f>IF(ISNUMBER(T4),T4*20/70,"na")</f>
        <v>na</v>
      </c>
      <c r="V4" s="1272">
        <v>2</v>
      </c>
      <c r="W4" s="416">
        <f>IF(V4="na","na",V4/P4)</f>
        <v>2.5</v>
      </c>
      <c r="X4" s="416">
        <f>IF(V4="na","na",V4/R4)</f>
        <v>2</v>
      </c>
      <c r="Y4" s="1272">
        <v>5.6999999999999998E-4</v>
      </c>
      <c r="Z4" s="412">
        <f>IF(ISNUMBER(Y4),Y4*70*1000/20,"na")</f>
        <v>1.9949999999999999</v>
      </c>
      <c r="AA4" s="412" t="s">
        <v>221</v>
      </c>
      <c r="AB4" s="439">
        <v>2</v>
      </c>
      <c r="AC4" s="1242">
        <v>0.14000000000000001</v>
      </c>
      <c r="AD4" s="1257">
        <v>1</v>
      </c>
      <c r="AE4" s="1259">
        <v>0.14000000000000001</v>
      </c>
      <c r="AF4" s="1291" t="s">
        <v>221</v>
      </c>
      <c r="AG4" s="535" t="s">
        <v>144</v>
      </c>
      <c r="AH4" s="449" t="s">
        <v>144</v>
      </c>
      <c r="AI4" s="449" t="s">
        <v>144</v>
      </c>
      <c r="AJ4" s="449" t="s">
        <v>144</v>
      </c>
      <c r="AK4" s="449" t="str">
        <f t="shared" ref="AK4:AK6" si="3">IF(AND(OR(AG4="YES",AH4="YES"),OR(AI4="YES",AJ4="YES")),"YES","no")</f>
        <v>YES</v>
      </c>
      <c r="AL4" s="253" t="s">
        <v>232</v>
      </c>
      <c r="AM4" s="405" t="s">
        <v>232</v>
      </c>
      <c r="AN4" s="1152">
        <v>2E-3</v>
      </c>
      <c r="AP4" s="1062"/>
    </row>
    <row r="5" spans="1:44" s="144" customFormat="1" ht="13.9" customHeight="1" x14ac:dyDescent="0.25">
      <c r="A5" s="842">
        <f>Chem!A5</f>
        <v>3</v>
      </c>
      <c r="B5" s="853" t="str">
        <f>Chem!B5</f>
        <v>Total PCB congeners</v>
      </c>
      <c r="C5" s="384">
        <v>78100</v>
      </c>
      <c r="D5" s="384" t="s">
        <v>232</v>
      </c>
      <c r="E5" s="384">
        <f t="shared" si="0"/>
        <v>78.100000000000009</v>
      </c>
      <c r="F5" s="384">
        <f t="shared" si="1"/>
        <v>78.100000000000009</v>
      </c>
      <c r="G5" s="384" t="s">
        <v>232</v>
      </c>
      <c r="H5" s="384" t="s">
        <v>232</v>
      </c>
      <c r="I5" s="384">
        <f t="shared" si="2"/>
        <v>1483.8999999999999</v>
      </c>
      <c r="J5" s="384">
        <f t="shared" ref="J5:J68" si="4">IF(ISNUMBER(G5),G5*J$1,IF(ISNUMBER(H5),H5,I5))</f>
        <v>1483.8999999999999</v>
      </c>
      <c r="K5" s="400" t="s">
        <v>232</v>
      </c>
      <c r="L5" s="400">
        <v>1.6966475878986101E-2</v>
      </c>
      <c r="M5" s="400">
        <f t="shared" ref="M5:M6" si="5">IF(ISNUMBER(K5),K5,IF(ISNUMBER(L5),L5,0))</f>
        <v>1.6966475878986101E-2</v>
      </c>
      <c r="N5" s="271">
        <v>31200</v>
      </c>
      <c r="O5" s="425" t="s">
        <v>232</v>
      </c>
      <c r="P5" s="1640">
        <v>0.8</v>
      </c>
      <c r="Q5" s="426" t="str">
        <f>IF(O5="na","na",O5*P5)</f>
        <v>na</v>
      </c>
      <c r="R5" s="1666">
        <v>1</v>
      </c>
      <c r="S5" s="426" t="str">
        <f>IF(O5="na","na",O5*R5)</f>
        <v>na</v>
      </c>
      <c r="T5" s="425" t="s">
        <v>232</v>
      </c>
      <c r="U5" s="426" t="str">
        <f>IF(ISNUMBER(T5),T5*20/70,"na")</f>
        <v>na</v>
      </c>
      <c r="V5" s="1272">
        <v>2</v>
      </c>
      <c r="W5" s="1272">
        <f>IF(V5="na","na",V5/P5)</f>
        <v>2.5</v>
      </c>
      <c r="X5" s="412">
        <f>IF(V5="na","na",V5/R5)</f>
        <v>2</v>
      </c>
      <c r="Y5" s="1272">
        <v>5.6999999999999998E-4</v>
      </c>
      <c r="Z5" s="412">
        <f>IF(ISNUMBER(Y5),Y5*70*1000/20,"na")</f>
        <v>1.9949999999999999</v>
      </c>
      <c r="AA5" s="412" t="s">
        <v>221</v>
      </c>
      <c r="AB5" s="439">
        <v>2</v>
      </c>
      <c r="AC5" s="1242">
        <v>0.14000000000000001</v>
      </c>
      <c r="AD5" s="1257">
        <v>1</v>
      </c>
      <c r="AE5" s="1257">
        <v>0.14000000000000001</v>
      </c>
      <c r="AF5" s="1292" t="s">
        <v>221</v>
      </c>
      <c r="AG5" s="535" t="s">
        <v>144</v>
      </c>
      <c r="AH5" s="449" t="s">
        <v>221</v>
      </c>
      <c r="AI5" s="449" t="s">
        <v>144</v>
      </c>
      <c r="AJ5" s="449" t="s">
        <v>144</v>
      </c>
      <c r="AK5" s="449" t="str">
        <f t="shared" si="3"/>
        <v>YES</v>
      </c>
      <c r="AL5" s="221" t="s">
        <v>232</v>
      </c>
      <c r="AM5" s="406">
        <v>3.5000000000000001E-3</v>
      </c>
      <c r="AN5" s="1330" t="s">
        <v>232</v>
      </c>
      <c r="AP5" s="1062"/>
      <c r="AR5" s="2238"/>
    </row>
    <row r="6" spans="1:44" s="144" customFormat="1" ht="13.9" customHeight="1" x14ac:dyDescent="0.25">
      <c r="A6" s="842">
        <f>Chem!A6</f>
        <v>4</v>
      </c>
      <c r="B6" s="854" t="str">
        <f>Chem!B6</f>
        <v>Total PCB TEQ</v>
      </c>
      <c r="C6" s="384">
        <v>78100</v>
      </c>
      <c r="D6" s="385" t="s">
        <v>232</v>
      </c>
      <c r="E6" s="385">
        <f t="shared" si="0"/>
        <v>78.100000000000009</v>
      </c>
      <c r="F6" s="385">
        <f t="shared" si="1"/>
        <v>78.100000000000009</v>
      </c>
      <c r="G6" s="385" t="s">
        <v>232</v>
      </c>
      <c r="H6" s="385" t="s">
        <v>232</v>
      </c>
      <c r="I6" s="385">
        <f t="shared" si="2"/>
        <v>1483.8999999999999</v>
      </c>
      <c r="J6" s="385">
        <f t="shared" si="4"/>
        <v>1483.8999999999999</v>
      </c>
      <c r="K6" s="401" t="s">
        <v>232</v>
      </c>
      <c r="L6" s="401">
        <v>1.6966475878986101E-2</v>
      </c>
      <c r="M6" s="401">
        <f t="shared" si="5"/>
        <v>1.6966475878986101E-2</v>
      </c>
      <c r="N6" s="271">
        <v>31200</v>
      </c>
      <c r="O6" s="430">
        <v>6.9999999999999996E-10</v>
      </c>
      <c r="P6" s="1641">
        <v>0.5</v>
      </c>
      <c r="Q6" s="426">
        <f>IF(O6="na","na",O6*P6)</f>
        <v>3.4999999999999998E-10</v>
      </c>
      <c r="R6" s="1667">
        <v>1</v>
      </c>
      <c r="S6" s="433">
        <f>IF(O6="na","na",O6*R6)</f>
        <v>6.9999999999999996E-10</v>
      </c>
      <c r="T6" s="432">
        <v>4.0000000000000001E-8</v>
      </c>
      <c r="U6" s="1350">
        <f>IF(ISNUMBER(T6),T6*20/70,"na")</f>
        <v>1.1428571428571429E-8</v>
      </c>
      <c r="V6" s="1273">
        <v>130000</v>
      </c>
      <c r="W6" s="1273">
        <f>IF(V6="na","na",V6/P6)</f>
        <v>260000</v>
      </c>
      <c r="X6" s="413">
        <f>IF(V6="na","na",V6/R6)</f>
        <v>130000</v>
      </c>
      <c r="Y6" s="1273">
        <v>38</v>
      </c>
      <c r="Z6" s="413">
        <f>IF(ISNUMBER(Y6),Y6*70*1000/20,"na")</f>
        <v>133000</v>
      </c>
      <c r="AA6" s="413" t="s">
        <v>221</v>
      </c>
      <c r="AB6" s="440">
        <v>2</v>
      </c>
      <c r="AC6" s="1243">
        <v>0.03</v>
      </c>
      <c r="AD6" s="1258">
        <v>0.6</v>
      </c>
      <c r="AE6" s="1261">
        <v>0.03</v>
      </c>
      <c r="AF6" s="1293" t="s">
        <v>221</v>
      </c>
      <c r="AG6" s="536" t="s">
        <v>144</v>
      </c>
      <c r="AH6" s="450" t="s">
        <v>221</v>
      </c>
      <c r="AI6" s="451" t="s">
        <v>221</v>
      </c>
      <c r="AJ6" s="451" t="s">
        <v>144</v>
      </c>
      <c r="AK6" s="449" t="str">
        <f t="shared" si="3"/>
        <v>YES</v>
      </c>
      <c r="AL6" s="257" t="s">
        <v>232</v>
      </c>
      <c r="AM6" s="543">
        <v>1.9999999999999999E-7</v>
      </c>
      <c r="AN6" s="545" t="s">
        <v>232</v>
      </c>
      <c r="AP6" s="1062"/>
      <c r="AR6" s="2238"/>
    </row>
    <row r="7" spans="1:44" s="373" customFormat="1" ht="13.9" customHeight="1" x14ac:dyDescent="0.25">
      <c r="A7" s="906">
        <f>Chem!A7</f>
        <v>5</v>
      </c>
      <c r="B7" s="850" t="str">
        <f>Chem!B7</f>
        <v xml:space="preserve">Dioxins/Furans </v>
      </c>
      <c r="C7" s="259"/>
      <c r="D7" s="259"/>
      <c r="E7" s="259">
        <f t="shared" si="0"/>
        <v>0</v>
      </c>
      <c r="F7" s="259">
        <f t="shared" si="1"/>
        <v>0</v>
      </c>
      <c r="G7" s="259" t="s">
        <v>232</v>
      </c>
      <c r="H7" s="259"/>
      <c r="I7" s="259">
        <f t="shared" si="2"/>
        <v>0</v>
      </c>
      <c r="J7" s="259">
        <f t="shared" si="4"/>
        <v>0</v>
      </c>
      <c r="K7" s="259"/>
      <c r="L7" s="259"/>
      <c r="M7" s="259"/>
      <c r="N7" s="259"/>
      <c r="O7" s="259"/>
      <c r="P7" s="2342"/>
      <c r="Q7" s="259"/>
      <c r="R7" s="2343"/>
      <c r="S7" s="259"/>
      <c r="T7" s="259"/>
      <c r="U7" s="259"/>
      <c r="V7" s="259"/>
      <c r="W7" s="2518"/>
      <c r="X7" s="259"/>
      <c r="Y7" s="259"/>
      <c r="Z7" s="259"/>
      <c r="AA7" s="259"/>
      <c r="AB7" s="2343"/>
      <c r="AC7" s="2344"/>
      <c r="AD7" s="2344"/>
      <c r="AE7" s="2344"/>
      <c r="AF7" s="2345"/>
      <c r="AG7" s="259"/>
      <c r="AH7" s="259"/>
      <c r="AI7" s="259"/>
      <c r="AJ7" s="259"/>
      <c r="AK7" s="259"/>
      <c r="AL7" s="1495"/>
      <c r="AM7" s="1495"/>
      <c r="AN7" s="2346"/>
      <c r="AP7" s="1063"/>
      <c r="AR7" s="839"/>
    </row>
    <row r="8" spans="1:44" ht="13.9" customHeight="1" x14ac:dyDescent="0.25">
      <c r="A8" s="844">
        <f>Chem!A8</f>
        <v>6</v>
      </c>
      <c r="B8" s="1444" t="str">
        <f>Chem!B8</f>
        <v>Total dioxin/furan TEQ</v>
      </c>
      <c r="C8" s="1445">
        <v>249100</v>
      </c>
      <c r="D8" s="1445" t="s">
        <v>232</v>
      </c>
      <c r="E8" s="590">
        <f t="shared" si="0"/>
        <v>249.1</v>
      </c>
      <c r="F8" s="590">
        <f t="shared" si="1"/>
        <v>249.1</v>
      </c>
      <c r="G8" s="590" t="s">
        <v>232</v>
      </c>
      <c r="H8" s="590" t="s">
        <v>232</v>
      </c>
      <c r="I8" s="590">
        <f t="shared" si="2"/>
        <v>4732.8999999999996</v>
      </c>
      <c r="J8" s="590">
        <f t="shared" si="4"/>
        <v>4732.8999999999996</v>
      </c>
      <c r="K8" s="1446" t="s">
        <v>232</v>
      </c>
      <c r="L8" s="1446">
        <v>2.04415372035977E-3</v>
      </c>
      <c r="M8" s="1446">
        <f t="shared" ref="M8:M11" si="6">IF(ISNUMBER(K8),K8,IF(ISNUMBER(L8),L8,0))</f>
        <v>2.04415372035977E-3</v>
      </c>
      <c r="N8" s="1447">
        <v>5000</v>
      </c>
      <c r="O8" s="1448">
        <v>6.9999999999999996E-10</v>
      </c>
      <c r="P8" s="1642">
        <v>0.5</v>
      </c>
      <c r="Q8" s="434">
        <f>IF(O8="na","na",O8*P8)</f>
        <v>3.4999999999999998E-10</v>
      </c>
      <c r="R8" s="1668">
        <v>1</v>
      </c>
      <c r="S8" s="434">
        <f>IF(O8="na","na",O8*R8)</f>
        <v>6.9999999999999996E-10</v>
      </c>
      <c r="T8" s="1270">
        <v>4.0000000000000001E-8</v>
      </c>
      <c r="U8" s="1536">
        <f>IF(ISNUMBER(T8),T8*20/70,"na")</f>
        <v>1.1428571428571429E-8</v>
      </c>
      <c r="V8" s="1449">
        <v>130000</v>
      </c>
      <c r="W8" s="1449">
        <f>IF(V8="na","na",V8/P8)</f>
        <v>260000</v>
      </c>
      <c r="X8" s="1450">
        <f>IF(V8="na","na",V8/R8)</f>
        <v>130000</v>
      </c>
      <c r="Y8" s="1449">
        <v>38</v>
      </c>
      <c r="Z8" s="1450">
        <f>IF(ISNUMBER(Y8),Y8*70*1000/20,"na")</f>
        <v>133000</v>
      </c>
      <c r="AA8" s="1450" t="s">
        <v>221</v>
      </c>
      <c r="AB8" s="1451">
        <v>2</v>
      </c>
      <c r="AC8" s="1452">
        <v>0.03</v>
      </c>
      <c r="AD8" s="1453">
        <v>0.6</v>
      </c>
      <c r="AE8" s="1453">
        <v>0.03</v>
      </c>
      <c r="AF8" s="1291" t="s">
        <v>221</v>
      </c>
      <c r="AG8" s="1454" t="s">
        <v>144</v>
      </c>
      <c r="AH8" s="1455" t="s">
        <v>144</v>
      </c>
      <c r="AI8" s="1455" t="s">
        <v>144</v>
      </c>
      <c r="AJ8" s="1455" t="s">
        <v>221</v>
      </c>
      <c r="AK8" s="454" t="str">
        <f>IF(AND(OR(AG8="YES",AH8="YES"),OR(AI8="YES",AJ8="YES")),"YES","no")</f>
        <v>YES</v>
      </c>
      <c r="AL8" s="253">
        <v>5.2000000000000002E-6</v>
      </c>
      <c r="AM8" s="405">
        <v>3.9999999999999998E-6</v>
      </c>
      <c r="AN8" s="1152">
        <v>1.9999999999999999E-6</v>
      </c>
      <c r="AP8" s="1062"/>
    </row>
    <row r="9" spans="1:44" ht="13.9" customHeight="1" x14ac:dyDescent="0.25">
      <c r="A9" s="845">
        <f>Chem!A9</f>
        <v>7</v>
      </c>
      <c r="B9" s="853" t="str">
        <f>Chem!B9</f>
        <v>2,3,7,8-TCDD</v>
      </c>
      <c r="C9" s="390">
        <v>249100</v>
      </c>
      <c r="D9" s="390" t="s">
        <v>232</v>
      </c>
      <c r="E9" s="384">
        <f t="shared" si="0"/>
        <v>249.1</v>
      </c>
      <c r="F9" s="384">
        <f t="shared" si="1"/>
        <v>249.1</v>
      </c>
      <c r="G9" s="384" t="s">
        <v>232</v>
      </c>
      <c r="H9" s="384" t="s">
        <v>232</v>
      </c>
      <c r="I9" s="384">
        <f t="shared" si="2"/>
        <v>4732.8999999999996</v>
      </c>
      <c r="J9" s="384">
        <f t="shared" si="4"/>
        <v>4732.8999999999996</v>
      </c>
      <c r="K9" s="402" t="s">
        <v>232</v>
      </c>
      <c r="L9" s="402">
        <v>2.04415372035977E-3</v>
      </c>
      <c r="M9" s="402">
        <f t="shared" si="6"/>
        <v>2.04415372035977E-3</v>
      </c>
      <c r="N9" s="288">
        <v>5000</v>
      </c>
      <c r="O9" s="431">
        <v>6.9999999999999996E-10</v>
      </c>
      <c r="P9" s="1643">
        <v>0.5</v>
      </c>
      <c r="Q9" s="425">
        <f>IF(O9="na","na",O9*P9)</f>
        <v>3.4999999999999998E-10</v>
      </c>
      <c r="R9" s="1669">
        <v>1</v>
      </c>
      <c r="S9" s="426">
        <f>IF(O9="na","na",O9*R9)</f>
        <v>6.9999999999999996E-10</v>
      </c>
      <c r="T9" s="425">
        <v>4.0000000000000001E-8</v>
      </c>
      <c r="U9" s="569">
        <f>IF(ISNUMBER(T9),T9*20/70,"na")</f>
        <v>1.1428571428571429E-8</v>
      </c>
      <c r="V9" s="1467">
        <v>130000</v>
      </c>
      <c r="W9" s="1467">
        <f>IF(V9="na","na",V9/P9)</f>
        <v>260000</v>
      </c>
      <c r="X9" s="645">
        <f>IF(V9="na","na",V9/R9)</f>
        <v>130000</v>
      </c>
      <c r="Y9" s="1467">
        <v>38</v>
      </c>
      <c r="Z9" s="645">
        <f>IF(ISNUMBER(Y9),Y9*70*1000/20,"na")</f>
        <v>133000</v>
      </c>
      <c r="AA9" s="414" t="s">
        <v>221</v>
      </c>
      <c r="AB9" s="441">
        <v>2</v>
      </c>
      <c r="AC9" s="1245">
        <v>0.03</v>
      </c>
      <c r="AD9" s="1457">
        <v>0.6</v>
      </c>
      <c r="AE9" s="1664">
        <v>0.03</v>
      </c>
      <c r="AF9" s="1292" t="s">
        <v>221</v>
      </c>
      <c r="AG9" s="1458" t="s">
        <v>144</v>
      </c>
      <c r="AH9" s="1466" t="s">
        <v>144</v>
      </c>
      <c r="AI9" s="1466" t="s">
        <v>144</v>
      </c>
      <c r="AJ9" s="1466" t="s">
        <v>221</v>
      </c>
      <c r="AK9" s="449" t="str">
        <f>IF(AND(OR(AG9="YES",AH9="YES"),OR(AI9="YES",AJ9="YES")),"YES","no")</f>
        <v>YES</v>
      </c>
      <c r="AL9" s="221" t="s">
        <v>232</v>
      </c>
      <c r="AM9" s="406" t="s">
        <v>232</v>
      </c>
      <c r="AN9" s="1330" t="str">
        <f t="shared" ref="AN9:AN11" si="7">AM9</f>
        <v>na</v>
      </c>
      <c r="AP9" s="1062"/>
    </row>
    <row r="10" spans="1:44" ht="13.9" customHeight="1" x14ac:dyDescent="0.2">
      <c r="A10" s="845">
        <f>Chem!A10</f>
        <v>8</v>
      </c>
      <c r="B10" s="853" t="str">
        <f>Chem!B10</f>
        <v>Total chlorinated dioxins</v>
      </c>
      <c r="C10" s="339">
        <v>249100</v>
      </c>
      <c r="D10" s="390" t="s">
        <v>232</v>
      </c>
      <c r="E10" s="384">
        <f t="shared" si="0"/>
        <v>249.1</v>
      </c>
      <c r="F10" s="384">
        <f t="shared" si="1"/>
        <v>249.1</v>
      </c>
      <c r="G10" s="384" t="s">
        <v>232</v>
      </c>
      <c r="H10" s="384" t="s">
        <v>232</v>
      </c>
      <c r="I10" s="384">
        <f t="shared" si="2"/>
        <v>4732.8999999999996</v>
      </c>
      <c r="J10" s="384">
        <f t="shared" si="4"/>
        <v>4732.8999999999996</v>
      </c>
      <c r="K10" s="402" t="s">
        <v>232</v>
      </c>
      <c r="L10" s="402">
        <v>2.04415372035977E-3</v>
      </c>
      <c r="M10" s="402">
        <f t="shared" si="6"/>
        <v>2.04415372035977E-3</v>
      </c>
      <c r="N10" s="288">
        <v>5000</v>
      </c>
      <c r="O10" s="431" t="s">
        <v>232</v>
      </c>
      <c r="P10" s="1644">
        <v>0.5</v>
      </c>
      <c r="Q10" s="431" t="str">
        <f>IF(O10="na","na",O10*P10)</f>
        <v>na</v>
      </c>
      <c r="R10" s="1670">
        <v>1</v>
      </c>
      <c r="S10" s="569" t="str">
        <f>IF(O10="na","na",O10*R10)</f>
        <v>na</v>
      </c>
      <c r="T10" s="431" t="s">
        <v>232</v>
      </c>
      <c r="U10" s="569" t="str">
        <f>IF(ISNUMBER(T10),T10*20/70,"na")</f>
        <v>na</v>
      </c>
      <c r="V10" s="1456" t="s">
        <v>232</v>
      </c>
      <c r="W10" s="1467" t="str">
        <f>IF(V10="na","na",V10/P10)</f>
        <v>na</v>
      </c>
      <c r="X10" s="645" t="str">
        <f>IF(V10="na","na",V10/R10)</f>
        <v>na</v>
      </c>
      <c r="Y10" s="645" t="s">
        <v>232</v>
      </c>
      <c r="Z10" s="414" t="str">
        <f>IF(ISNUMBER(Y10),Y10*70*1000/20,"na")</f>
        <v>na</v>
      </c>
      <c r="AA10" s="414" t="s">
        <v>221</v>
      </c>
      <c r="AB10" s="441">
        <v>2</v>
      </c>
      <c r="AC10" s="1245">
        <v>0.03</v>
      </c>
      <c r="AD10" s="1245">
        <v>0.6</v>
      </c>
      <c r="AE10" s="1245">
        <v>0.03</v>
      </c>
      <c r="AF10" s="1292" t="s">
        <v>221</v>
      </c>
      <c r="AG10" s="390" t="s">
        <v>144</v>
      </c>
      <c r="AH10" s="390" t="s">
        <v>232</v>
      </c>
      <c r="AI10" s="390" t="s">
        <v>232</v>
      </c>
      <c r="AJ10" s="390" t="s">
        <v>232</v>
      </c>
      <c r="AK10" s="1458" t="s">
        <v>232</v>
      </c>
      <c r="AL10" s="220" t="s">
        <v>232</v>
      </c>
      <c r="AM10" s="568" t="s">
        <v>232</v>
      </c>
      <c r="AN10" s="1785" t="str">
        <f t="shared" si="7"/>
        <v>na</v>
      </c>
      <c r="AP10" s="1064"/>
    </row>
    <row r="11" spans="1:44" ht="13.9" customHeight="1" x14ac:dyDescent="0.2">
      <c r="A11" s="845">
        <f>Chem!A11</f>
        <v>9</v>
      </c>
      <c r="B11" s="1459" t="str">
        <f>Chem!B11</f>
        <v>Total chlorinated furans</v>
      </c>
      <c r="C11" s="391">
        <v>249100</v>
      </c>
      <c r="D11" s="1287" t="s">
        <v>232</v>
      </c>
      <c r="E11" s="385">
        <f t="shared" si="0"/>
        <v>249.1</v>
      </c>
      <c r="F11" s="385">
        <f t="shared" si="1"/>
        <v>249.1</v>
      </c>
      <c r="G11" s="385" t="s">
        <v>232</v>
      </c>
      <c r="H11" s="385" t="s">
        <v>232</v>
      </c>
      <c r="I11" s="385">
        <f t="shared" si="2"/>
        <v>4732.8999999999996</v>
      </c>
      <c r="J11" s="385">
        <f t="shared" si="4"/>
        <v>4732.8999999999996</v>
      </c>
      <c r="K11" s="1460" t="s">
        <v>232</v>
      </c>
      <c r="L11" s="1460">
        <v>2.04415372035977E-3</v>
      </c>
      <c r="M11" s="1460">
        <f t="shared" si="6"/>
        <v>2.04415372035977E-3</v>
      </c>
      <c r="N11" s="1461">
        <v>5000</v>
      </c>
      <c r="O11" s="1462" t="s">
        <v>232</v>
      </c>
      <c r="P11" s="1645">
        <v>0.5</v>
      </c>
      <c r="Q11" s="1462" t="str">
        <f>IF(O11="na","na",O11*P11)</f>
        <v>na</v>
      </c>
      <c r="R11" s="1671">
        <v>1</v>
      </c>
      <c r="S11" s="1096" t="str">
        <f>IF(O11="na","na",O11*R11)</f>
        <v>na</v>
      </c>
      <c r="T11" s="1462" t="s">
        <v>232</v>
      </c>
      <c r="U11" s="1096" t="str">
        <f>IF(ISNUMBER(T11),T11*20/70,"na")</f>
        <v>na</v>
      </c>
      <c r="V11" s="1685" t="s">
        <v>232</v>
      </c>
      <c r="W11" s="1687" t="str">
        <f>IF(V11="na","na",V11/P11)</f>
        <v>na</v>
      </c>
      <c r="X11" s="1097" t="str">
        <f>IF(V11="na","na",V11/R11)</f>
        <v>na</v>
      </c>
      <c r="Y11" s="1097" t="s">
        <v>232</v>
      </c>
      <c r="Z11" s="1463" t="str">
        <f>IF(ISNUMBER(Y11),Y11*70*1000/20,"na")</f>
        <v>na</v>
      </c>
      <c r="AA11" s="1463" t="s">
        <v>221</v>
      </c>
      <c r="AB11" s="1464">
        <v>2</v>
      </c>
      <c r="AC11" s="1465">
        <v>0.03</v>
      </c>
      <c r="AD11" s="1465">
        <v>0.6</v>
      </c>
      <c r="AE11" s="1465">
        <v>0.03</v>
      </c>
      <c r="AF11" s="1296" t="s">
        <v>221</v>
      </c>
      <c r="AG11" s="1287" t="s">
        <v>144</v>
      </c>
      <c r="AH11" s="1287" t="s">
        <v>232</v>
      </c>
      <c r="AI11" s="1287" t="s">
        <v>232</v>
      </c>
      <c r="AJ11" s="1287" t="s">
        <v>232</v>
      </c>
      <c r="AK11" s="1775" t="s">
        <v>232</v>
      </c>
      <c r="AL11" s="1095" t="s">
        <v>232</v>
      </c>
      <c r="AM11" s="1094" t="s">
        <v>232</v>
      </c>
      <c r="AN11" s="1786" t="str">
        <f t="shared" si="7"/>
        <v>na</v>
      </c>
      <c r="AP11" s="1064"/>
    </row>
    <row r="12" spans="1:44" ht="13.9" customHeight="1" x14ac:dyDescent="0.2">
      <c r="A12" s="906">
        <f>Chem!A12</f>
        <v>10</v>
      </c>
      <c r="B12" s="1120" t="str">
        <f>Chem!B12</f>
        <v>Inorganics</v>
      </c>
      <c r="C12" s="2347"/>
      <c r="D12" s="2347"/>
      <c r="E12" s="2348">
        <f t="shared" si="0"/>
        <v>0</v>
      </c>
      <c r="F12" s="2348">
        <f t="shared" si="1"/>
        <v>0</v>
      </c>
      <c r="G12" s="2348" t="s">
        <v>232</v>
      </c>
      <c r="H12" s="2348"/>
      <c r="I12" s="2348">
        <f t="shared" si="2"/>
        <v>0</v>
      </c>
      <c r="J12" s="2348">
        <f t="shared" si="4"/>
        <v>0</v>
      </c>
      <c r="K12" s="2347"/>
      <c r="L12" s="2347"/>
      <c r="M12" s="2347"/>
      <c r="N12" s="2347"/>
      <c r="O12" s="2347"/>
      <c r="P12" s="2349"/>
      <c r="Q12" s="2347"/>
      <c r="R12" s="2350"/>
      <c r="S12" s="2347"/>
      <c r="T12" s="2347"/>
      <c r="U12" s="2347"/>
      <c r="V12" s="2347"/>
      <c r="W12" s="2519"/>
      <c r="X12" s="2347"/>
      <c r="Y12" s="2347"/>
      <c r="Z12" s="2347"/>
      <c r="AA12" s="2347"/>
      <c r="AB12" s="2350"/>
      <c r="AC12" s="2351"/>
      <c r="AD12" s="2351"/>
      <c r="AE12" s="2351"/>
      <c r="AF12" s="2345"/>
      <c r="AG12" s="2347"/>
      <c r="AH12" s="2347"/>
      <c r="AI12" s="2347"/>
      <c r="AJ12" s="2347"/>
      <c r="AK12" s="2347"/>
      <c r="AL12" s="2347"/>
      <c r="AM12" s="2347"/>
      <c r="AN12" s="2352"/>
      <c r="AP12" s="1632"/>
    </row>
    <row r="13" spans="1:44" ht="13.9" customHeight="1" x14ac:dyDescent="0.2">
      <c r="A13" s="845">
        <f>Chem!A13</f>
        <v>11</v>
      </c>
      <c r="B13" s="1971" t="str">
        <f>Chem!B13</f>
        <v>Ammonia</v>
      </c>
      <c r="C13" s="1972" t="s">
        <v>232</v>
      </c>
      <c r="D13" s="1972" t="s">
        <v>232</v>
      </c>
      <c r="E13" s="531" t="str">
        <f t="shared" si="0"/>
        <v>na</v>
      </c>
      <c r="F13" s="531" t="str">
        <f t="shared" si="1"/>
        <v>na</v>
      </c>
      <c r="G13" s="393" t="s">
        <v>232</v>
      </c>
      <c r="H13" s="1135" t="s">
        <v>232</v>
      </c>
      <c r="I13" s="531" t="str">
        <f t="shared" si="2"/>
        <v>na</v>
      </c>
      <c r="J13" s="531" t="str">
        <f t="shared" si="4"/>
        <v>na</v>
      </c>
      <c r="K13" s="1973">
        <v>4.8070209917321235E-4</v>
      </c>
      <c r="L13" s="1973">
        <v>6.5821749795584605E-4</v>
      </c>
      <c r="M13" s="1101">
        <f t="shared" ref="M13:M20" si="8">IF(ISNUMBER(K13),K13,IF(ISNUMBER(L13),L13,0))</f>
        <v>4.8070209917321235E-4</v>
      </c>
      <c r="N13" s="1974" t="s">
        <v>232</v>
      </c>
      <c r="O13" s="1975" t="s">
        <v>232</v>
      </c>
      <c r="P13" s="1976">
        <v>0.2</v>
      </c>
      <c r="Q13" s="1102" t="str">
        <f t="shared" ref="Q13:Q20" si="9">IF(O13="na","na",O13*P13)</f>
        <v>na</v>
      </c>
      <c r="R13" s="1977">
        <v>1</v>
      </c>
      <c r="S13" s="1102" t="str">
        <f t="shared" ref="S13:S20" si="10">IF(O13="na","na",O13*R13)</f>
        <v>na</v>
      </c>
      <c r="T13" s="1975">
        <v>0.5</v>
      </c>
      <c r="U13" s="1102">
        <f t="shared" ref="U13:U20" si="11">IF(ISNUMBER(T13),T13*20/70,"na")</f>
        <v>0.14285714285714285</v>
      </c>
      <c r="V13" s="2516" t="s">
        <v>232</v>
      </c>
      <c r="W13" s="1978" t="s">
        <v>232</v>
      </c>
      <c r="X13" s="1978" t="s">
        <v>232</v>
      </c>
      <c r="Y13" s="1978" t="s">
        <v>232</v>
      </c>
      <c r="Z13" s="1978" t="s">
        <v>232</v>
      </c>
      <c r="AA13" s="1978" t="s">
        <v>221</v>
      </c>
      <c r="AB13" s="1979">
        <v>2</v>
      </c>
      <c r="AC13" s="1980">
        <v>0.01</v>
      </c>
      <c r="AD13" s="1980">
        <v>1</v>
      </c>
      <c r="AE13" s="1980">
        <v>0</v>
      </c>
      <c r="AF13" s="1294" t="s">
        <v>221</v>
      </c>
      <c r="AG13" s="1972" t="s">
        <v>221</v>
      </c>
      <c r="AH13" s="1972" t="s">
        <v>221</v>
      </c>
      <c r="AI13" s="1100" t="s">
        <v>232</v>
      </c>
      <c r="AJ13" s="1100" t="s">
        <v>232</v>
      </c>
      <c r="AK13" s="1776" t="str">
        <f t="shared" ref="AK13:AK20" si="12">IF(AND(OR(AG13="YES",AH13="YES"),OR(AI13="YES",AJ13="YES")),"YES","no")</f>
        <v>no</v>
      </c>
      <c r="AL13" s="1974" t="s">
        <v>232</v>
      </c>
      <c r="AM13" s="1973" t="s">
        <v>232</v>
      </c>
      <c r="AN13" s="1981" t="str">
        <f t="shared" ref="AN13:AN20" si="13">AM13</f>
        <v>na</v>
      </c>
      <c r="AP13" s="2505"/>
    </row>
    <row r="14" spans="1:44" ht="13.9" customHeight="1" x14ac:dyDescent="0.2">
      <c r="A14" s="1069">
        <f>Chem!A14</f>
        <v>12</v>
      </c>
      <c r="B14" s="851" t="str">
        <f>Chem!B14</f>
        <v>Chloride</v>
      </c>
      <c r="C14" s="339" t="s">
        <v>232</v>
      </c>
      <c r="D14" s="339" t="s">
        <v>232</v>
      </c>
      <c r="E14" s="531" t="str">
        <f t="shared" si="0"/>
        <v>na</v>
      </c>
      <c r="F14" s="531" t="str">
        <f t="shared" si="1"/>
        <v>na</v>
      </c>
      <c r="G14" s="343" t="s">
        <v>232</v>
      </c>
      <c r="H14" s="343" t="s">
        <v>232</v>
      </c>
      <c r="I14" s="531" t="str">
        <f t="shared" si="2"/>
        <v>na</v>
      </c>
      <c r="J14" s="531" t="str">
        <f t="shared" si="4"/>
        <v>na</v>
      </c>
      <c r="K14" s="568" t="s">
        <v>232</v>
      </c>
      <c r="L14" s="568" t="s">
        <v>232</v>
      </c>
      <c r="M14" s="1101">
        <f t="shared" si="8"/>
        <v>0</v>
      </c>
      <c r="N14" s="220" t="s">
        <v>232</v>
      </c>
      <c r="O14" s="569" t="s">
        <v>232</v>
      </c>
      <c r="P14" s="1647">
        <v>0.2</v>
      </c>
      <c r="Q14" s="1102" t="str">
        <f t="shared" si="9"/>
        <v>na</v>
      </c>
      <c r="R14" s="1982" t="s">
        <v>232</v>
      </c>
      <c r="S14" s="1102" t="str">
        <f t="shared" si="10"/>
        <v>na</v>
      </c>
      <c r="T14" s="569" t="s">
        <v>232</v>
      </c>
      <c r="U14" s="1102" t="str">
        <f t="shared" si="11"/>
        <v>na</v>
      </c>
      <c r="V14" s="1467" t="s">
        <v>232</v>
      </c>
      <c r="W14" s="645" t="s">
        <v>232</v>
      </c>
      <c r="X14" s="645" t="s">
        <v>232</v>
      </c>
      <c r="Y14" s="645" t="s">
        <v>232</v>
      </c>
      <c r="Z14" s="645" t="s">
        <v>232</v>
      </c>
      <c r="AA14" s="645" t="s">
        <v>221</v>
      </c>
      <c r="AB14" s="1093">
        <v>1</v>
      </c>
      <c r="AC14" s="1246">
        <v>0.01</v>
      </c>
      <c r="AD14" s="1246">
        <v>1</v>
      </c>
      <c r="AE14" s="1246" t="s">
        <v>232</v>
      </c>
      <c r="AF14" s="1292" t="s">
        <v>221</v>
      </c>
      <c r="AG14" s="339" t="s">
        <v>221</v>
      </c>
      <c r="AH14" s="339" t="s">
        <v>221</v>
      </c>
      <c r="AI14" s="1100" t="s">
        <v>232</v>
      </c>
      <c r="AJ14" s="1100" t="s">
        <v>232</v>
      </c>
      <c r="AK14" s="1776" t="str">
        <f t="shared" si="12"/>
        <v>no</v>
      </c>
      <c r="AL14" s="220" t="s">
        <v>232</v>
      </c>
      <c r="AM14" s="568" t="s">
        <v>232</v>
      </c>
      <c r="AN14" s="1785" t="str">
        <f t="shared" si="13"/>
        <v>na</v>
      </c>
      <c r="AP14" s="1064"/>
    </row>
    <row r="15" spans="1:44" ht="13.9" customHeight="1" x14ac:dyDescent="0.2">
      <c r="A15" s="843">
        <f>Chem!A15</f>
        <v>13</v>
      </c>
      <c r="B15" s="1099" t="str">
        <f>Chem!B15</f>
        <v>Cyanide (multiple forms, see notes)</v>
      </c>
      <c r="C15" s="1100" t="s">
        <v>232</v>
      </c>
      <c r="D15" s="1100">
        <v>9.9</v>
      </c>
      <c r="E15" s="531" t="str">
        <f t="shared" si="0"/>
        <v>na</v>
      </c>
      <c r="F15" s="531">
        <f t="shared" si="1"/>
        <v>9.9</v>
      </c>
      <c r="G15" s="531" t="s">
        <v>232</v>
      </c>
      <c r="H15" s="531" t="s">
        <v>232</v>
      </c>
      <c r="I15" s="531" t="str">
        <f t="shared" si="2"/>
        <v>na</v>
      </c>
      <c r="J15" s="531" t="str">
        <f t="shared" si="4"/>
        <v>na</v>
      </c>
      <c r="K15" s="1101" t="s">
        <v>232</v>
      </c>
      <c r="L15" s="1101">
        <v>4.15E-3</v>
      </c>
      <c r="M15" s="1101">
        <f t="shared" si="8"/>
        <v>4.15E-3</v>
      </c>
      <c r="N15" s="656">
        <v>1</v>
      </c>
      <c r="O15" s="1102">
        <v>6.3000000000000003E-4</v>
      </c>
      <c r="P15" s="1646">
        <v>0.2</v>
      </c>
      <c r="Q15" s="1102">
        <f t="shared" si="9"/>
        <v>1.26E-4</v>
      </c>
      <c r="R15" s="1672">
        <v>1</v>
      </c>
      <c r="S15" s="1102">
        <f t="shared" si="10"/>
        <v>6.3000000000000003E-4</v>
      </c>
      <c r="T15" s="1102">
        <v>7.9999999999999993E-4</v>
      </c>
      <c r="U15" s="1102">
        <f t="shared" si="11"/>
        <v>2.2857142857142857E-4</v>
      </c>
      <c r="V15" s="1686" t="s">
        <v>232</v>
      </c>
      <c r="W15" s="1686" t="str">
        <f>IF(V15="na","na",V15/P15)</f>
        <v>na</v>
      </c>
      <c r="X15" s="1103" t="str">
        <f>IF(V15="na","na",V15/R15)</f>
        <v>na</v>
      </c>
      <c r="Y15" s="1103" t="s">
        <v>232</v>
      </c>
      <c r="Z15" s="1103" t="str">
        <f>IF(ISNUMBER(Y15),Y15*70*1000/20,"na")</f>
        <v>na</v>
      </c>
      <c r="AA15" s="1103" t="s">
        <v>221</v>
      </c>
      <c r="AB15" s="1104">
        <v>2</v>
      </c>
      <c r="AC15" s="1244">
        <v>0.01</v>
      </c>
      <c r="AD15" s="1244">
        <v>1</v>
      </c>
      <c r="AE15" s="1246">
        <v>0</v>
      </c>
      <c r="AF15" s="1292" t="s">
        <v>221</v>
      </c>
      <c r="AG15" s="386" t="s">
        <v>221</v>
      </c>
      <c r="AH15" s="1100" t="s">
        <v>221</v>
      </c>
      <c r="AI15" s="1100" t="s">
        <v>232</v>
      </c>
      <c r="AJ15" s="1100" t="s">
        <v>232</v>
      </c>
      <c r="AK15" s="1776" t="str">
        <f t="shared" si="12"/>
        <v>no</v>
      </c>
      <c r="AL15" s="656" t="s">
        <v>232</v>
      </c>
      <c r="AM15" s="1101" t="s">
        <v>232</v>
      </c>
      <c r="AN15" s="1970" t="str">
        <f t="shared" si="13"/>
        <v>na</v>
      </c>
      <c r="AP15" s="1064"/>
    </row>
    <row r="16" spans="1:44" ht="13.9" customHeight="1" x14ac:dyDescent="0.2">
      <c r="A16" s="843">
        <f>Chem!A16</f>
        <v>14</v>
      </c>
      <c r="B16" s="853" t="str">
        <f>Chem!B16</f>
        <v>Fluoride</v>
      </c>
      <c r="C16" s="1100" t="s">
        <v>232</v>
      </c>
      <c r="D16" s="1100">
        <v>150</v>
      </c>
      <c r="E16" s="531" t="str">
        <f t="shared" si="0"/>
        <v>na</v>
      </c>
      <c r="F16" s="531">
        <f t="shared" si="1"/>
        <v>150</v>
      </c>
      <c r="G16" s="531" t="s">
        <v>232</v>
      </c>
      <c r="H16" s="531" t="s">
        <v>232</v>
      </c>
      <c r="I16" s="531" t="str">
        <f t="shared" si="2"/>
        <v>na</v>
      </c>
      <c r="J16" s="531" t="str">
        <f t="shared" si="4"/>
        <v>na</v>
      </c>
      <c r="K16" s="1101" t="s">
        <v>232</v>
      </c>
      <c r="L16" s="1101" t="s">
        <v>232</v>
      </c>
      <c r="M16" s="1101">
        <f t="shared" si="8"/>
        <v>0</v>
      </c>
      <c r="N16" s="656" t="s">
        <v>232</v>
      </c>
      <c r="O16" s="1102">
        <v>0.06</v>
      </c>
      <c r="P16" s="1646">
        <v>0.2</v>
      </c>
      <c r="Q16" s="1102">
        <f t="shared" si="9"/>
        <v>1.2E-2</v>
      </c>
      <c r="R16" s="1672">
        <v>1</v>
      </c>
      <c r="S16" s="1102">
        <f t="shared" si="10"/>
        <v>0.06</v>
      </c>
      <c r="T16" s="1102">
        <v>1.2999999999999999E-2</v>
      </c>
      <c r="U16" s="1102">
        <f t="shared" si="11"/>
        <v>3.7142857142857142E-3</v>
      </c>
      <c r="V16" s="1686" t="s">
        <v>232</v>
      </c>
      <c r="W16" s="1686" t="s">
        <v>232</v>
      </c>
      <c r="X16" s="1103" t="s">
        <v>232</v>
      </c>
      <c r="Y16" s="1103" t="s">
        <v>232</v>
      </c>
      <c r="Z16" s="1103" t="s">
        <v>232</v>
      </c>
      <c r="AA16" s="1103" t="s">
        <v>221</v>
      </c>
      <c r="AB16" s="1104">
        <v>1</v>
      </c>
      <c r="AC16" s="1244">
        <v>0.01</v>
      </c>
      <c r="AD16" s="1244">
        <v>1</v>
      </c>
      <c r="AE16" s="1246">
        <v>0</v>
      </c>
      <c r="AF16" s="1292" t="s">
        <v>221</v>
      </c>
      <c r="AG16" s="386" t="s">
        <v>221</v>
      </c>
      <c r="AH16" s="1100" t="s">
        <v>221</v>
      </c>
      <c r="AI16" s="1100" t="s">
        <v>232</v>
      </c>
      <c r="AJ16" s="1100" t="s">
        <v>232</v>
      </c>
      <c r="AK16" s="1776" t="str">
        <f t="shared" si="12"/>
        <v>no</v>
      </c>
      <c r="AL16" s="656" t="s">
        <v>232</v>
      </c>
      <c r="AM16" s="1101" t="s">
        <v>232</v>
      </c>
      <c r="AN16" s="1970" t="str">
        <f t="shared" si="13"/>
        <v>na</v>
      </c>
      <c r="AP16" s="1064"/>
    </row>
    <row r="17" spans="1:44" ht="13.9" customHeight="1" x14ac:dyDescent="0.2">
      <c r="A17" s="1069">
        <f>Chem!A17</f>
        <v>15</v>
      </c>
      <c r="B17" s="851" t="str">
        <f>Chem!B17</f>
        <v>Nitrate</v>
      </c>
      <c r="C17" s="339" t="s">
        <v>232</v>
      </c>
      <c r="D17" s="339" t="s">
        <v>232</v>
      </c>
      <c r="E17" s="343" t="str">
        <f t="shared" si="0"/>
        <v>na</v>
      </c>
      <c r="F17" s="343" t="str">
        <f t="shared" si="1"/>
        <v>na</v>
      </c>
      <c r="G17" s="343" t="s">
        <v>232</v>
      </c>
      <c r="H17" s="343" t="s">
        <v>232</v>
      </c>
      <c r="I17" s="343" t="str">
        <f t="shared" si="2"/>
        <v>na</v>
      </c>
      <c r="J17" s="343" t="str">
        <f t="shared" si="4"/>
        <v>na</v>
      </c>
      <c r="K17" s="568" t="s">
        <v>232</v>
      </c>
      <c r="L17" s="568" t="s">
        <v>232</v>
      </c>
      <c r="M17" s="568">
        <f t="shared" si="8"/>
        <v>0</v>
      </c>
      <c r="N17" s="220" t="s">
        <v>232</v>
      </c>
      <c r="O17" s="569">
        <v>1.6</v>
      </c>
      <c r="P17" s="1647">
        <v>0.2</v>
      </c>
      <c r="Q17" s="569">
        <f t="shared" si="9"/>
        <v>0.32000000000000006</v>
      </c>
      <c r="R17" s="1673">
        <v>1</v>
      </c>
      <c r="S17" s="569">
        <f t="shared" si="10"/>
        <v>1.6</v>
      </c>
      <c r="T17" s="569" t="s">
        <v>232</v>
      </c>
      <c r="U17" s="569" t="str">
        <f t="shared" si="11"/>
        <v>na</v>
      </c>
      <c r="V17" s="1467" t="s">
        <v>232</v>
      </c>
      <c r="W17" s="1467" t="str">
        <f>IF(V17="na","na",V17/P17)</f>
        <v>na</v>
      </c>
      <c r="X17" s="645" t="str">
        <f>IF(V17="na","na",V17/R17)</f>
        <v>na</v>
      </c>
      <c r="Y17" s="645" t="s">
        <v>232</v>
      </c>
      <c r="Z17" s="645" t="str">
        <f>IF(ISNUMBER(Y17),Y17*70*1000/20,"na")</f>
        <v>na</v>
      </c>
      <c r="AA17" s="645" t="s">
        <v>221</v>
      </c>
      <c r="AB17" s="1093">
        <v>1</v>
      </c>
      <c r="AC17" s="1246">
        <v>0.01</v>
      </c>
      <c r="AD17" s="1246">
        <v>1</v>
      </c>
      <c r="AE17" s="1983">
        <v>0</v>
      </c>
      <c r="AF17" s="1293" t="s">
        <v>221</v>
      </c>
      <c r="AG17" s="390" t="s">
        <v>221</v>
      </c>
      <c r="AH17" s="339" t="s">
        <v>221</v>
      </c>
      <c r="AI17" s="339" t="s">
        <v>232</v>
      </c>
      <c r="AJ17" s="339" t="s">
        <v>232</v>
      </c>
      <c r="AK17" s="1466" t="str">
        <f t="shared" si="12"/>
        <v>no</v>
      </c>
      <c r="AL17" s="220" t="s">
        <v>232</v>
      </c>
      <c r="AM17" s="568" t="s">
        <v>232</v>
      </c>
      <c r="AN17" s="1785" t="str">
        <f t="shared" si="13"/>
        <v>na</v>
      </c>
      <c r="AP17" s="1064"/>
    </row>
    <row r="18" spans="1:44" ht="13.9" customHeight="1" x14ac:dyDescent="0.2">
      <c r="A18" s="844">
        <f>Chem!A18</f>
        <v>16</v>
      </c>
      <c r="B18" s="851" t="str">
        <f>Chem!B18</f>
        <v>Nitrite</v>
      </c>
      <c r="C18" s="339" t="s">
        <v>232</v>
      </c>
      <c r="D18" s="339" t="s">
        <v>232</v>
      </c>
      <c r="E18" s="343" t="str">
        <f t="shared" si="0"/>
        <v>na</v>
      </c>
      <c r="F18" s="343" t="str">
        <f t="shared" si="1"/>
        <v>na</v>
      </c>
      <c r="G18" s="343" t="s">
        <v>232</v>
      </c>
      <c r="H18" s="343" t="s">
        <v>232</v>
      </c>
      <c r="I18" s="343" t="str">
        <f t="shared" si="2"/>
        <v>na</v>
      </c>
      <c r="J18" s="343" t="str">
        <f t="shared" si="4"/>
        <v>na</v>
      </c>
      <c r="K18" s="568" t="s">
        <v>232</v>
      </c>
      <c r="L18" s="568" t="s">
        <v>232</v>
      </c>
      <c r="M18" s="568">
        <f t="shared" si="8"/>
        <v>0</v>
      </c>
      <c r="N18" s="220" t="s">
        <v>232</v>
      </c>
      <c r="O18" s="569">
        <v>0.1</v>
      </c>
      <c r="P18" s="1647">
        <v>0.2</v>
      </c>
      <c r="Q18" s="569">
        <f t="shared" si="9"/>
        <v>2.0000000000000004E-2</v>
      </c>
      <c r="R18" s="1673">
        <v>1</v>
      </c>
      <c r="S18" s="569">
        <f t="shared" si="10"/>
        <v>0.1</v>
      </c>
      <c r="T18" s="569" t="s">
        <v>232</v>
      </c>
      <c r="U18" s="569" t="str">
        <f t="shared" si="11"/>
        <v>na</v>
      </c>
      <c r="V18" s="1467" t="s">
        <v>232</v>
      </c>
      <c r="W18" s="1467" t="str">
        <f>IF(V18="na","na",V18/P18)</f>
        <v>na</v>
      </c>
      <c r="X18" s="645" t="str">
        <f>IF(V18="na","na",V18/R18)</f>
        <v>na</v>
      </c>
      <c r="Y18" s="645" t="s">
        <v>232</v>
      </c>
      <c r="Z18" s="645" t="str">
        <f>IF(ISNUMBER(Y18),Y18*70*1000/20,"na")</f>
        <v>na</v>
      </c>
      <c r="AA18" s="645" t="s">
        <v>221</v>
      </c>
      <c r="AB18" s="1093">
        <v>1</v>
      </c>
      <c r="AC18" s="1246">
        <v>0.01</v>
      </c>
      <c r="AD18" s="1246">
        <v>1</v>
      </c>
      <c r="AE18" s="1983">
        <v>0</v>
      </c>
      <c r="AF18" s="1293" t="s">
        <v>221</v>
      </c>
      <c r="AG18" s="390" t="s">
        <v>221</v>
      </c>
      <c r="AH18" s="339" t="s">
        <v>221</v>
      </c>
      <c r="AI18" s="339" t="s">
        <v>232</v>
      </c>
      <c r="AJ18" s="339" t="s">
        <v>232</v>
      </c>
      <c r="AK18" s="1466" t="str">
        <f t="shared" si="12"/>
        <v>no</v>
      </c>
      <c r="AL18" s="220" t="s">
        <v>232</v>
      </c>
      <c r="AM18" s="568" t="s">
        <v>232</v>
      </c>
      <c r="AN18" s="1785" t="str">
        <f t="shared" si="13"/>
        <v>na</v>
      </c>
      <c r="AP18" s="1064"/>
    </row>
    <row r="19" spans="1:44" ht="13.9" customHeight="1" x14ac:dyDescent="0.2">
      <c r="A19" s="1321">
        <f>Chem!A19</f>
        <v>17</v>
      </c>
      <c r="B19" s="851" t="str">
        <f>Chem!B19</f>
        <v>Sulfate</v>
      </c>
      <c r="C19" s="339" t="s">
        <v>232</v>
      </c>
      <c r="D19" s="339" t="s">
        <v>232</v>
      </c>
      <c r="E19" s="343" t="str">
        <f t="shared" si="0"/>
        <v>na</v>
      </c>
      <c r="F19" s="343" t="str">
        <f t="shared" si="1"/>
        <v>na</v>
      </c>
      <c r="G19" s="343" t="s">
        <v>232</v>
      </c>
      <c r="H19" s="343" t="s">
        <v>232</v>
      </c>
      <c r="I19" s="343" t="str">
        <f t="shared" si="2"/>
        <v>na</v>
      </c>
      <c r="J19" s="343" t="str">
        <f t="shared" si="4"/>
        <v>na</v>
      </c>
      <c r="K19" s="568" t="s">
        <v>232</v>
      </c>
      <c r="L19" s="568" t="s">
        <v>232</v>
      </c>
      <c r="M19" s="568">
        <f t="shared" si="8"/>
        <v>0</v>
      </c>
      <c r="N19" s="220" t="s">
        <v>232</v>
      </c>
      <c r="O19" s="569" t="s">
        <v>232</v>
      </c>
      <c r="P19" s="1647">
        <v>0.2</v>
      </c>
      <c r="Q19" s="569" t="str">
        <f t="shared" si="9"/>
        <v>na</v>
      </c>
      <c r="R19" s="1669">
        <v>1</v>
      </c>
      <c r="S19" s="569" t="str">
        <f t="shared" si="10"/>
        <v>na</v>
      </c>
      <c r="T19" s="569" t="s">
        <v>232</v>
      </c>
      <c r="U19" s="569" t="str">
        <f t="shared" si="11"/>
        <v>na</v>
      </c>
      <c r="V19" s="1467" t="s">
        <v>232</v>
      </c>
      <c r="W19" s="1467" t="str">
        <f>IF(V19="na","na",V19/P19)</f>
        <v>na</v>
      </c>
      <c r="X19" s="645" t="str">
        <f>IF(V19="na","na",V19/R19)</f>
        <v>na</v>
      </c>
      <c r="Y19" s="645" t="s">
        <v>232</v>
      </c>
      <c r="Z19" s="645" t="str">
        <f>IF(ISNUMBER(Y19),Y19*70*1000/20,"na")</f>
        <v>na</v>
      </c>
      <c r="AA19" s="645" t="s">
        <v>221</v>
      </c>
      <c r="AB19" s="1093">
        <v>1</v>
      </c>
      <c r="AC19" s="1246">
        <v>0.01</v>
      </c>
      <c r="AD19" s="1246">
        <v>1</v>
      </c>
      <c r="AE19" s="1246">
        <v>0</v>
      </c>
      <c r="AF19" s="1292" t="s">
        <v>221</v>
      </c>
      <c r="AG19" s="390" t="s">
        <v>221</v>
      </c>
      <c r="AH19" s="339" t="s">
        <v>221</v>
      </c>
      <c r="AI19" s="339" t="s">
        <v>232</v>
      </c>
      <c r="AJ19" s="339" t="s">
        <v>232</v>
      </c>
      <c r="AK19" s="1466" t="str">
        <f t="shared" si="12"/>
        <v>no</v>
      </c>
      <c r="AL19" s="220" t="s">
        <v>232</v>
      </c>
      <c r="AM19" s="568" t="s">
        <v>232</v>
      </c>
      <c r="AN19" s="1785" t="str">
        <f t="shared" si="13"/>
        <v>na</v>
      </c>
      <c r="AP19" s="1064"/>
    </row>
    <row r="20" spans="1:44" ht="13.9" customHeight="1" x14ac:dyDescent="0.2">
      <c r="A20" s="1322">
        <f>Chem!A20</f>
        <v>18</v>
      </c>
      <c r="B20" s="884" t="str">
        <f>Chem!B20</f>
        <v>Sulfide</v>
      </c>
      <c r="C20" s="391" t="s">
        <v>232</v>
      </c>
      <c r="D20" s="391" t="s">
        <v>232</v>
      </c>
      <c r="E20" s="533" t="str">
        <f t="shared" si="0"/>
        <v>na</v>
      </c>
      <c r="F20" s="533" t="str">
        <f t="shared" si="1"/>
        <v>na</v>
      </c>
      <c r="G20" s="533" t="s">
        <v>232</v>
      </c>
      <c r="H20" s="533" t="s">
        <v>232</v>
      </c>
      <c r="I20" s="533" t="str">
        <f t="shared" si="2"/>
        <v>na</v>
      </c>
      <c r="J20" s="533" t="str">
        <f t="shared" si="4"/>
        <v>na</v>
      </c>
      <c r="K20" s="1094" t="s">
        <v>232</v>
      </c>
      <c r="L20" s="1094" t="s">
        <v>232</v>
      </c>
      <c r="M20" s="1094">
        <f t="shared" si="8"/>
        <v>0</v>
      </c>
      <c r="N20" s="1095" t="s">
        <v>232</v>
      </c>
      <c r="O20" s="1096" t="s">
        <v>232</v>
      </c>
      <c r="P20" s="1648">
        <v>1</v>
      </c>
      <c r="Q20" s="1096" t="str">
        <f t="shared" si="9"/>
        <v>na</v>
      </c>
      <c r="R20" s="1674">
        <v>1</v>
      </c>
      <c r="S20" s="1096" t="str">
        <f t="shared" si="10"/>
        <v>na</v>
      </c>
      <c r="T20" s="1096" t="s">
        <v>232</v>
      </c>
      <c r="U20" s="1096" t="str">
        <f t="shared" si="11"/>
        <v>na</v>
      </c>
      <c r="V20" s="1687" t="s">
        <v>232</v>
      </c>
      <c r="W20" s="1687" t="str">
        <f>IF(V20="na","na",V20/P20)</f>
        <v>na</v>
      </c>
      <c r="X20" s="1097" t="str">
        <f>IF(V20="na","na",V20/R20)</f>
        <v>na</v>
      </c>
      <c r="Y20" s="1097" t="s">
        <v>232</v>
      </c>
      <c r="Z20" s="1097" t="str">
        <f>IF(ISNUMBER(Y20),Y20*70*1000/20,"na")</f>
        <v>na</v>
      </c>
      <c r="AA20" s="1097" t="s">
        <v>221</v>
      </c>
      <c r="AB20" s="1098" t="s">
        <v>232</v>
      </c>
      <c r="AC20" s="1247" t="s">
        <v>232</v>
      </c>
      <c r="AD20" s="1247" t="s">
        <v>232</v>
      </c>
      <c r="AE20" s="1247">
        <v>0</v>
      </c>
      <c r="AF20" s="1296" t="s">
        <v>221</v>
      </c>
      <c r="AG20" s="1287" t="s">
        <v>221</v>
      </c>
      <c r="AH20" s="391" t="s">
        <v>221</v>
      </c>
      <c r="AI20" s="391" t="s">
        <v>232</v>
      </c>
      <c r="AJ20" s="391" t="s">
        <v>232</v>
      </c>
      <c r="AK20" s="1777" t="str">
        <f t="shared" si="12"/>
        <v>no</v>
      </c>
      <c r="AL20" s="1095" t="s">
        <v>232</v>
      </c>
      <c r="AM20" s="1094" t="s">
        <v>232</v>
      </c>
      <c r="AN20" s="1786" t="str">
        <f t="shared" si="13"/>
        <v>na</v>
      </c>
      <c r="AP20" s="1635"/>
    </row>
    <row r="21" spans="1:44" s="373" customFormat="1" ht="13.9" customHeight="1" x14ac:dyDescent="0.25">
      <c r="A21" s="906">
        <f>Chem!A21</f>
        <v>19</v>
      </c>
      <c r="B21" s="850" t="str">
        <f>Chem!B21</f>
        <v>Metals</v>
      </c>
      <c r="C21" s="259"/>
      <c r="D21" s="259"/>
      <c r="E21" s="259">
        <f t="shared" si="0"/>
        <v>0</v>
      </c>
      <c r="F21" s="259">
        <f t="shared" si="1"/>
        <v>0</v>
      </c>
      <c r="G21" s="259" t="s">
        <v>232</v>
      </c>
      <c r="H21" s="259"/>
      <c r="I21" s="259">
        <f t="shared" si="2"/>
        <v>0</v>
      </c>
      <c r="J21" s="259">
        <f t="shared" si="4"/>
        <v>0</v>
      </c>
      <c r="K21" s="259"/>
      <c r="L21" s="259"/>
      <c r="M21" s="259"/>
      <c r="N21" s="259"/>
      <c r="O21" s="259"/>
      <c r="P21" s="2342"/>
      <c r="Q21" s="259"/>
      <c r="R21" s="2343"/>
      <c r="S21" s="259"/>
      <c r="T21" s="259"/>
      <c r="U21" s="259"/>
      <c r="V21" s="259"/>
      <c r="W21" s="2518"/>
      <c r="X21" s="259"/>
      <c r="Y21" s="259"/>
      <c r="Z21" s="259"/>
      <c r="AA21" s="259"/>
      <c r="AB21" s="2343"/>
      <c r="AC21" s="2344"/>
      <c r="AD21" s="2344"/>
      <c r="AE21" s="2344"/>
      <c r="AF21" s="2345"/>
      <c r="AG21" s="259"/>
      <c r="AH21" s="259"/>
      <c r="AI21" s="259"/>
      <c r="AJ21" s="259"/>
      <c r="AK21" s="259"/>
      <c r="AL21" s="1495"/>
      <c r="AM21" s="1495"/>
      <c r="AN21" s="2346"/>
      <c r="AP21" s="1063"/>
      <c r="AR21" s="839"/>
    </row>
    <row r="22" spans="1:44" ht="13.9" customHeight="1" x14ac:dyDescent="0.25">
      <c r="A22" s="846">
        <f>Chem!A22</f>
        <v>20</v>
      </c>
      <c r="B22" s="864" t="str">
        <f>Chem!B22</f>
        <v>Aluminum</v>
      </c>
      <c r="C22" s="387" t="s">
        <v>232</v>
      </c>
      <c r="D22" s="387">
        <v>1500</v>
      </c>
      <c r="E22" s="387" t="str">
        <f t="shared" si="0"/>
        <v>na</v>
      </c>
      <c r="F22" s="387">
        <f t="shared" si="1"/>
        <v>1500</v>
      </c>
      <c r="G22" s="387" t="s">
        <v>232</v>
      </c>
      <c r="H22" s="387" t="s">
        <v>232</v>
      </c>
      <c r="I22" s="387" t="str">
        <f t="shared" si="2"/>
        <v>na</v>
      </c>
      <c r="J22" s="387" t="str">
        <f t="shared" si="4"/>
        <v>na</v>
      </c>
      <c r="K22" s="403">
        <v>0</v>
      </c>
      <c r="L22" s="403">
        <v>0</v>
      </c>
      <c r="M22" s="403">
        <f t="shared" ref="M22:M45" si="14">IF(ISNUMBER(K22),K22,IF(ISNUMBER(L22),L22,0))</f>
        <v>0</v>
      </c>
      <c r="N22" s="270" t="s">
        <v>232</v>
      </c>
      <c r="O22" s="432">
        <v>1</v>
      </c>
      <c r="P22" s="1649">
        <v>0.2</v>
      </c>
      <c r="Q22" s="433">
        <f t="shared" ref="Q22:Q45" si="15">IF(O22="na","na",O22*P22)</f>
        <v>0.2</v>
      </c>
      <c r="R22" s="1665">
        <v>1</v>
      </c>
      <c r="S22" s="433">
        <f t="shared" ref="S22:S45" si="16">IF(O22="na","na",O22*R22)</f>
        <v>1</v>
      </c>
      <c r="T22" s="432">
        <v>5.0000000000000001E-3</v>
      </c>
      <c r="U22" s="433">
        <f t="shared" ref="U22:U45" si="17">IF(ISNUMBER(T22),T22*20/70,"na")</f>
        <v>1.4285714285714286E-3</v>
      </c>
      <c r="V22" s="1274" t="s">
        <v>232</v>
      </c>
      <c r="W22" s="1274" t="str">
        <f t="shared" ref="W22:W45" si="18">IF(V22="na","na",V22/P22)</f>
        <v>na</v>
      </c>
      <c r="X22" s="415" t="str">
        <f t="shared" ref="X22:X45" si="19">IF(V22="na","na",V22/R22)</f>
        <v>na</v>
      </c>
      <c r="Y22" s="1274" t="s">
        <v>232</v>
      </c>
      <c r="Z22" s="416" t="str">
        <f t="shared" ref="Z22:Z45" si="20">IF(ISNUMBER(Y22),Y22*70*1000/20,"na")</f>
        <v>na</v>
      </c>
      <c r="AA22" s="416" t="s">
        <v>221</v>
      </c>
      <c r="AB22" s="442">
        <v>1</v>
      </c>
      <c r="AC22" s="1248">
        <v>0.01</v>
      </c>
      <c r="AD22" s="1259">
        <v>1</v>
      </c>
      <c r="AE22" s="1259">
        <v>0</v>
      </c>
      <c r="AF22" s="1291" t="s">
        <v>221</v>
      </c>
      <c r="AG22" s="538" t="s">
        <v>221</v>
      </c>
      <c r="AH22" s="452" t="s">
        <v>221</v>
      </c>
      <c r="AI22" s="452" t="s">
        <v>221</v>
      </c>
      <c r="AJ22" s="452" t="s">
        <v>221</v>
      </c>
      <c r="AK22" s="449" t="str">
        <f t="shared" ref="AK22:AK45" si="21">IF(AND(OR(AG22="YES",AH22="YES"),OR(AI22="YES",AJ22="YES")),"YES","no")</f>
        <v>no</v>
      </c>
      <c r="AL22" s="253">
        <v>33000</v>
      </c>
      <c r="AM22" s="405" t="s">
        <v>232</v>
      </c>
      <c r="AN22" s="1152" t="str">
        <f t="shared" ref="AN22:AN23" si="22">AM22</f>
        <v>na</v>
      </c>
      <c r="AP22" s="1062"/>
    </row>
    <row r="23" spans="1:44" ht="13.9" customHeight="1" x14ac:dyDescent="0.25">
      <c r="A23" s="847">
        <f>Chem!A23</f>
        <v>21</v>
      </c>
      <c r="B23" s="865" t="str">
        <f>Chem!B23</f>
        <v>Antimony</v>
      </c>
      <c r="C23" s="384" t="s">
        <v>232</v>
      </c>
      <c r="D23" s="384">
        <v>45</v>
      </c>
      <c r="E23" s="387" t="str">
        <f t="shared" si="0"/>
        <v>na</v>
      </c>
      <c r="F23" s="387">
        <f t="shared" si="1"/>
        <v>45</v>
      </c>
      <c r="G23" s="387" t="s">
        <v>232</v>
      </c>
      <c r="H23" s="387" t="s">
        <v>232</v>
      </c>
      <c r="I23" s="387" t="str">
        <f t="shared" si="2"/>
        <v>na</v>
      </c>
      <c r="J23" s="387" t="str">
        <f t="shared" si="4"/>
        <v>na</v>
      </c>
      <c r="K23" s="400">
        <v>0</v>
      </c>
      <c r="L23" s="400">
        <v>0</v>
      </c>
      <c r="M23" s="400">
        <f t="shared" si="14"/>
        <v>0</v>
      </c>
      <c r="N23" s="271">
        <v>1</v>
      </c>
      <c r="O23" s="425">
        <v>4.0000000000000002E-4</v>
      </c>
      <c r="P23" s="1650">
        <v>0.15</v>
      </c>
      <c r="Q23" s="426">
        <f t="shared" si="15"/>
        <v>6.0000000000000002E-5</v>
      </c>
      <c r="R23" s="1675">
        <v>0.15</v>
      </c>
      <c r="S23" s="426">
        <f t="shared" si="16"/>
        <v>6.0000000000000002E-5</v>
      </c>
      <c r="T23" s="425">
        <v>2.9999999999999997E-4</v>
      </c>
      <c r="U23" s="426">
        <f t="shared" si="17"/>
        <v>8.5714285714285699E-5</v>
      </c>
      <c r="V23" s="1272" t="s">
        <v>232</v>
      </c>
      <c r="W23" s="1272" t="str">
        <f t="shared" si="18"/>
        <v>na</v>
      </c>
      <c r="X23" s="412" t="str">
        <f t="shared" si="19"/>
        <v>na</v>
      </c>
      <c r="Y23" s="1272" t="s">
        <v>232</v>
      </c>
      <c r="Z23" s="412" t="str">
        <f t="shared" si="20"/>
        <v>na</v>
      </c>
      <c r="AA23" s="412" t="s">
        <v>221</v>
      </c>
      <c r="AB23" s="439">
        <v>1</v>
      </c>
      <c r="AC23" s="1248">
        <v>0.01</v>
      </c>
      <c r="AD23" s="1259">
        <v>1</v>
      </c>
      <c r="AE23" s="1259">
        <v>0</v>
      </c>
      <c r="AF23" s="1292" t="s">
        <v>221</v>
      </c>
      <c r="AG23" s="538" t="s">
        <v>221</v>
      </c>
      <c r="AH23" s="452" t="s">
        <v>221</v>
      </c>
      <c r="AI23" s="452" t="s">
        <v>221</v>
      </c>
      <c r="AJ23" s="452" t="s">
        <v>221</v>
      </c>
      <c r="AK23" s="449" t="str">
        <f t="shared" si="21"/>
        <v>no</v>
      </c>
      <c r="AL23" s="221">
        <v>5.2</v>
      </c>
      <c r="AM23" s="406" t="s">
        <v>232</v>
      </c>
      <c r="AN23" s="1330" t="str">
        <f t="shared" si="22"/>
        <v>na</v>
      </c>
      <c r="AP23" s="1062"/>
    </row>
    <row r="24" spans="1:44" ht="13.9" customHeight="1" x14ac:dyDescent="0.25">
      <c r="A24" s="847">
        <f>Chem!A24</f>
        <v>22</v>
      </c>
      <c r="B24" s="865" t="str">
        <f>Chem!B24</f>
        <v>Arsenic</v>
      </c>
      <c r="C24" s="384" t="s">
        <v>232</v>
      </c>
      <c r="D24" s="384">
        <v>29</v>
      </c>
      <c r="E24" s="387" t="str">
        <f t="shared" si="0"/>
        <v>na</v>
      </c>
      <c r="F24" s="387">
        <f t="shared" si="1"/>
        <v>29</v>
      </c>
      <c r="G24" s="387" t="s">
        <v>232</v>
      </c>
      <c r="H24" s="387">
        <v>31</v>
      </c>
      <c r="I24" s="387" t="str">
        <f t="shared" si="2"/>
        <v>na</v>
      </c>
      <c r="J24" s="387">
        <f t="shared" si="4"/>
        <v>31</v>
      </c>
      <c r="K24" s="400">
        <v>0</v>
      </c>
      <c r="L24" s="400">
        <v>0</v>
      </c>
      <c r="M24" s="400">
        <f t="shared" si="14"/>
        <v>0</v>
      </c>
      <c r="N24" s="271">
        <v>44</v>
      </c>
      <c r="O24" s="425">
        <v>6.0000000000000002E-5</v>
      </c>
      <c r="P24" s="1651">
        <v>0.95</v>
      </c>
      <c r="Q24" s="426">
        <f t="shared" si="15"/>
        <v>5.6999999999999996E-5</v>
      </c>
      <c r="R24" s="1665">
        <v>1</v>
      </c>
      <c r="S24" s="426">
        <f t="shared" si="16"/>
        <v>6.0000000000000002E-5</v>
      </c>
      <c r="T24" s="425">
        <v>1.5000000000000002E-5</v>
      </c>
      <c r="U24" s="426">
        <f t="shared" si="17"/>
        <v>4.2857142857142863E-6</v>
      </c>
      <c r="V24" s="1272">
        <v>32</v>
      </c>
      <c r="W24" s="1272">
        <f t="shared" si="18"/>
        <v>33.684210526315788</v>
      </c>
      <c r="X24" s="412">
        <f t="shared" si="19"/>
        <v>32</v>
      </c>
      <c r="Y24" s="1272">
        <v>4.3000000000000009E-3</v>
      </c>
      <c r="Z24" s="412">
        <f t="shared" si="20"/>
        <v>15.050000000000002</v>
      </c>
      <c r="AA24" s="412" t="s">
        <v>221</v>
      </c>
      <c r="AB24" s="439">
        <v>1</v>
      </c>
      <c r="AC24" s="1248">
        <v>0.03</v>
      </c>
      <c r="AD24" s="1259">
        <v>1</v>
      </c>
      <c r="AE24" s="1259">
        <v>0.03</v>
      </c>
      <c r="AF24" s="1292" t="s">
        <v>221</v>
      </c>
      <c r="AG24" s="538" t="s">
        <v>221</v>
      </c>
      <c r="AH24" s="452" t="s">
        <v>144</v>
      </c>
      <c r="AI24" s="452" t="s">
        <v>144</v>
      </c>
      <c r="AJ24" s="452" t="s">
        <v>144</v>
      </c>
      <c r="AK24" s="449" t="str">
        <f t="shared" si="21"/>
        <v>YES</v>
      </c>
      <c r="AL24" s="221">
        <v>7.3</v>
      </c>
      <c r="AM24" s="406">
        <v>11</v>
      </c>
      <c r="AN24" s="1330">
        <v>7</v>
      </c>
      <c r="AP24" s="1062"/>
    </row>
    <row r="25" spans="1:44" ht="13.9" customHeight="1" x14ac:dyDescent="0.25">
      <c r="A25" s="847">
        <f>Chem!A25</f>
        <v>23</v>
      </c>
      <c r="B25" s="865" t="str">
        <f>Chem!B25</f>
        <v>Barium</v>
      </c>
      <c r="C25" s="384" t="s">
        <v>232</v>
      </c>
      <c r="D25" s="384">
        <v>41</v>
      </c>
      <c r="E25" s="387" t="str">
        <f t="shared" si="0"/>
        <v>na</v>
      </c>
      <c r="F25" s="387">
        <f t="shared" si="1"/>
        <v>41</v>
      </c>
      <c r="G25" s="387" t="s">
        <v>232</v>
      </c>
      <c r="H25" s="387">
        <v>52</v>
      </c>
      <c r="I25" s="387" t="str">
        <f t="shared" si="2"/>
        <v>na</v>
      </c>
      <c r="J25" s="387">
        <f t="shared" si="4"/>
        <v>52</v>
      </c>
      <c r="K25" s="400">
        <v>0</v>
      </c>
      <c r="L25" s="400">
        <v>0</v>
      </c>
      <c r="M25" s="400">
        <f t="shared" si="14"/>
        <v>0</v>
      </c>
      <c r="N25" s="271" t="s">
        <v>232</v>
      </c>
      <c r="O25" s="425">
        <v>0.2</v>
      </c>
      <c r="P25" s="1651">
        <v>7.0000000000000007E-2</v>
      </c>
      <c r="Q25" s="426">
        <f t="shared" si="15"/>
        <v>1.4000000000000002E-2</v>
      </c>
      <c r="R25" s="1675">
        <v>7.0000000000000007E-2</v>
      </c>
      <c r="S25" s="426">
        <f t="shared" si="16"/>
        <v>1.4000000000000002E-2</v>
      </c>
      <c r="T25" s="425">
        <v>5.0000000000000001E-4</v>
      </c>
      <c r="U25" s="426">
        <f t="shared" si="17"/>
        <v>1.4285714285714287E-4</v>
      </c>
      <c r="V25" s="1272" t="s">
        <v>232</v>
      </c>
      <c r="W25" s="1272" t="str">
        <f t="shared" si="18"/>
        <v>na</v>
      </c>
      <c r="X25" s="412" t="str">
        <f t="shared" si="19"/>
        <v>na</v>
      </c>
      <c r="Y25" s="1272" t="s">
        <v>232</v>
      </c>
      <c r="Z25" s="412" t="str">
        <f t="shared" si="20"/>
        <v>na</v>
      </c>
      <c r="AA25" s="412" t="s">
        <v>221</v>
      </c>
      <c r="AB25" s="439">
        <v>1</v>
      </c>
      <c r="AC25" s="1248">
        <v>0.01</v>
      </c>
      <c r="AD25" s="1259">
        <v>1</v>
      </c>
      <c r="AE25" s="1259">
        <v>0</v>
      </c>
      <c r="AF25" s="1292" t="s">
        <v>221</v>
      </c>
      <c r="AG25" s="538" t="s">
        <v>221</v>
      </c>
      <c r="AH25" s="452" t="s">
        <v>221</v>
      </c>
      <c r="AI25" s="452" t="s">
        <v>221</v>
      </c>
      <c r="AJ25" s="452" t="s">
        <v>221</v>
      </c>
      <c r="AK25" s="449" t="str">
        <f t="shared" si="21"/>
        <v>no</v>
      </c>
      <c r="AL25" s="221">
        <v>250</v>
      </c>
      <c r="AM25" s="406" t="s">
        <v>232</v>
      </c>
      <c r="AN25" s="1330" t="str">
        <f t="shared" ref="AN25:AN26" si="23">AM25</f>
        <v>na</v>
      </c>
      <c r="AP25" s="1062"/>
    </row>
    <row r="26" spans="1:44" ht="13.9" customHeight="1" x14ac:dyDescent="0.25">
      <c r="A26" s="847">
        <f>Chem!A26</f>
        <v>24</v>
      </c>
      <c r="B26" s="865" t="str">
        <f>Chem!B26</f>
        <v>Beryllium</v>
      </c>
      <c r="C26" s="384" t="s">
        <v>232</v>
      </c>
      <c r="D26" s="384">
        <v>790</v>
      </c>
      <c r="E26" s="387" t="str">
        <f t="shared" si="0"/>
        <v>na</v>
      </c>
      <c r="F26" s="387">
        <f t="shared" si="1"/>
        <v>790</v>
      </c>
      <c r="G26" s="387" t="s">
        <v>232</v>
      </c>
      <c r="H26" s="387">
        <v>100000</v>
      </c>
      <c r="I26" s="387" t="str">
        <f t="shared" si="2"/>
        <v>na</v>
      </c>
      <c r="J26" s="387">
        <f t="shared" si="4"/>
        <v>100000</v>
      </c>
      <c r="K26" s="400">
        <v>0</v>
      </c>
      <c r="L26" s="400">
        <v>0</v>
      </c>
      <c r="M26" s="400">
        <f t="shared" si="14"/>
        <v>0</v>
      </c>
      <c r="N26" s="271">
        <v>19</v>
      </c>
      <c r="O26" s="425">
        <v>2E-3</v>
      </c>
      <c r="P26" s="1651">
        <v>7.0000000000000001E-3</v>
      </c>
      <c r="Q26" s="426">
        <f t="shared" si="15"/>
        <v>1.4E-5</v>
      </c>
      <c r="R26" s="1676">
        <v>7.0000000000000001E-3</v>
      </c>
      <c r="S26" s="426">
        <f t="shared" si="16"/>
        <v>1.4E-5</v>
      </c>
      <c r="T26" s="425">
        <v>2.0000000000000002E-5</v>
      </c>
      <c r="U26" s="426">
        <f t="shared" si="17"/>
        <v>5.7142857142857145E-6</v>
      </c>
      <c r="V26" s="1272" t="s">
        <v>232</v>
      </c>
      <c r="W26" s="1272" t="str">
        <f t="shared" si="18"/>
        <v>na</v>
      </c>
      <c r="X26" s="412" t="str">
        <f t="shared" si="19"/>
        <v>na</v>
      </c>
      <c r="Y26" s="1272">
        <v>2.3999999999999998E-3</v>
      </c>
      <c r="Z26" s="412">
        <f t="shared" si="20"/>
        <v>8.3999999999999986</v>
      </c>
      <c r="AA26" s="412" t="s">
        <v>221</v>
      </c>
      <c r="AB26" s="439">
        <v>1</v>
      </c>
      <c r="AC26" s="1248">
        <v>0.01</v>
      </c>
      <c r="AD26" s="1259">
        <v>1</v>
      </c>
      <c r="AE26" s="1259">
        <v>0</v>
      </c>
      <c r="AF26" s="1292" t="s">
        <v>221</v>
      </c>
      <c r="AG26" s="538" t="s">
        <v>221</v>
      </c>
      <c r="AH26" s="452" t="s">
        <v>221</v>
      </c>
      <c r="AI26" s="452" t="s">
        <v>221</v>
      </c>
      <c r="AJ26" s="452" t="s">
        <v>221</v>
      </c>
      <c r="AK26" s="449" t="str">
        <f t="shared" si="21"/>
        <v>no</v>
      </c>
      <c r="AL26" s="221">
        <v>0.61</v>
      </c>
      <c r="AM26" s="406" t="s">
        <v>232</v>
      </c>
      <c r="AN26" s="1330" t="str">
        <f t="shared" si="23"/>
        <v>na</v>
      </c>
      <c r="AP26" s="1062"/>
    </row>
    <row r="27" spans="1:44" ht="13.9" customHeight="1" x14ac:dyDescent="0.25">
      <c r="A27" s="847">
        <f>Chem!A27</f>
        <v>25</v>
      </c>
      <c r="B27" s="866" t="str">
        <f>Chem!B27</f>
        <v>Cadmium</v>
      </c>
      <c r="C27" s="384" t="s">
        <v>232</v>
      </c>
      <c r="D27" s="384">
        <v>6.7</v>
      </c>
      <c r="E27" s="387" t="str">
        <f t="shared" si="0"/>
        <v>na</v>
      </c>
      <c r="F27" s="387">
        <f t="shared" si="1"/>
        <v>6.7</v>
      </c>
      <c r="G27" s="387" t="s">
        <v>232</v>
      </c>
      <c r="H27" s="387">
        <v>4300</v>
      </c>
      <c r="I27" s="387" t="str">
        <f t="shared" si="2"/>
        <v>na</v>
      </c>
      <c r="J27" s="387">
        <f t="shared" si="4"/>
        <v>4300</v>
      </c>
      <c r="K27" s="400">
        <v>0</v>
      </c>
      <c r="L27" s="400">
        <v>0</v>
      </c>
      <c r="M27" s="400">
        <f t="shared" si="14"/>
        <v>0</v>
      </c>
      <c r="N27" s="271">
        <v>64</v>
      </c>
      <c r="O27" s="425">
        <v>1E-3</v>
      </c>
      <c r="P27" s="1651">
        <v>2.5000000000000001E-2</v>
      </c>
      <c r="Q27" s="426">
        <f t="shared" si="15"/>
        <v>2.5000000000000001E-5</v>
      </c>
      <c r="R27" s="1676">
        <v>2.5000000000000001E-2</v>
      </c>
      <c r="S27" s="426">
        <f t="shared" si="16"/>
        <v>2.5000000000000001E-5</v>
      </c>
      <c r="T27" s="425">
        <v>1.0000000000000001E-5</v>
      </c>
      <c r="U27" s="426">
        <f t="shared" si="17"/>
        <v>2.8571428571428573E-6</v>
      </c>
      <c r="V27" s="1272" t="s">
        <v>232</v>
      </c>
      <c r="W27" s="1272" t="str">
        <f t="shared" si="18"/>
        <v>na</v>
      </c>
      <c r="X27" s="412" t="str">
        <f t="shared" si="19"/>
        <v>na</v>
      </c>
      <c r="Y27" s="1272">
        <v>1.8000000000000002E-3</v>
      </c>
      <c r="Z27" s="412">
        <f t="shared" si="20"/>
        <v>6.3</v>
      </c>
      <c r="AA27" s="412" t="s">
        <v>221</v>
      </c>
      <c r="AB27" s="439">
        <v>1</v>
      </c>
      <c r="AC27" s="1256">
        <v>1E-3</v>
      </c>
      <c r="AD27" s="1259">
        <v>1</v>
      </c>
      <c r="AE27" s="1259">
        <v>1E-3</v>
      </c>
      <c r="AF27" s="1292" t="s">
        <v>221</v>
      </c>
      <c r="AG27" s="538" t="s">
        <v>144</v>
      </c>
      <c r="AH27" s="452" t="s">
        <v>221</v>
      </c>
      <c r="AI27" s="452" t="s">
        <v>221</v>
      </c>
      <c r="AJ27" s="452" t="s">
        <v>221</v>
      </c>
      <c r="AK27" s="449" t="str">
        <f t="shared" si="21"/>
        <v>no</v>
      </c>
      <c r="AL27" s="221">
        <v>0.77</v>
      </c>
      <c r="AM27" s="406">
        <v>0.8</v>
      </c>
      <c r="AN27" s="1330" t="s">
        <v>232</v>
      </c>
      <c r="AP27" s="1062"/>
    </row>
    <row r="28" spans="1:44" ht="13.9" customHeight="1" x14ac:dyDescent="0.25">
      <c r="A28" s="847">
        <f>Chem!A28</f>
        <v>26</v>
      </c>
      <c r="B28" s="866" t="str">
        <f>Chem!B28</f>
        <v>Chromium, total</v>
      </c>
      <c r="C28" s="384" t="s">
        <v>232</v>
      </c>
      <c r="D28" s="384">
        <v>1000</v>
      </c>
      <c r="E28" s="387" t="str">
        <f t="shared" si="0"/>
        <v>na</v>
      </c>
      <c r="F28" s="387">
        <f t="shared" si="1"/>
        <v>1000</v>
      </c>
      <c r="G28" s="387" t="s">
        <v>232</v>
      </c>
      <c r="H28" s="387" t="s">
        <v>232</v>
      </c>
      <c r="I28" s="387" t="str">
        <f t="shared" si="2"/>
        <v>na</v>
      </c>
      <c r="J28" s="387" t="str">
        <f t="shared" si="4"/>
        <v>na</v>
      </c>
      <c r="K28" s="400" t="s">
        <v>232</v>
      </c>
      <c r="L28" s="400">
        <v>0</v>
      </c>
      <c r="M28" s="400">
        <f t="shared" si="14"/>
        <v>0</v>
      </c>
      <c r="N28" s="271" t="s">
        <v>232</v>
      </c>
      <c r="O28" s="425" t="s">
        <v>232</v>
      </c>
      <c r="P28" s="1651">
        <v>1.2999999999999999E-2</v>
      </c>
      <c r="Q28" s="426" t="str">
        <f t="shared" si="15"/>
        <v>na</v>
      </c>
      <c r="R28" s="1676">
        <v>1.2999999999999999E-2</v>
      </c>
      <c r="S28" s="426" t="str">
        <f t="shared" si="16"/>
        <v>na</v>
      </c>
      <c r="T28" s="425" t="s">
        <v>232</v>
      </c>
      <c r="U28" s="426" t="str">
        <f t="shared" si="17"/>
        <v>na</v>
      </c>
      <c r="V28" s="1272" t="s">
        <v>232</v>
      </c>
      <c r="W28" s="1272" t="str">
        <f t="shared" si="18"/>
        <v>na</v>
      </c>
      <c r="X28" s="412" t="str">
        <f t="shared" si="19"/>
        <v>na</v>
      </c>
      <c r="Y28" s="1272" t="s">
        <v>232</v>
      </c>
      <c r="Z28" s="412" t="str">
        <f t="shared" si="20"/>
        <v>na</v>
      </c>
      <c r="AA28" s="412" t="s">
        <v>221</v>
      </c>
      <c r="AB28" s="439">
        <v>1</v>
      </c>
      <c r="AC28" s="1248">
        <v>0.01</v>
      </c>
      <c r="AD28" s="1259">
        <v>1</v>
      </c>
      <c r="AE28" s="1259">
        <v>0</v>
      </c>
      <c r="AF28" s="1292" t="s">
        <v>221</v>
      </c>
      <c r="AG28" s="538" t="s">
        <v>221</v>
      </c>
      <c r="AH28" s="452" t="s">
        <v>221</v>
      </c>
      <c r="AI28" s="452" t="s">
        <v>221</v>
      </c>
      <c r="AJ28" s="452" t="s">
        <v>221</v>
      </c>
      <c r="AK28" s="449" t="str">
        <f t="shared" si="21"/>
        <v>no</v>
      </c>
      <c r="AL28" s="221">
        <v>48</v>
      </c>
      <c r="AM28" s="406">
        <v>62</v>
      </c>
      <c r="AN28" s="1330" t="s">
        <v>232</v>
      </c>
      <c r="AP28" s="1062"/>
    </row>
    <row r="29" spans="1:44" ht="13.9" customHeight="1" x14ac:dyDescent="0.25">
      <c r="A29" s="847">
        <f>Chem!A29</f>
        <v>27</v>
      </c>
      <c r="B29" s="865" t="str">
        <f>Chem!B29</f>
        <v>Chromium, trivalent</v>
      </c>
      <c r="C29" s="384" t="s">
        <v>232</v>
      </c>
      <c r="D29" s="384">
        <v>1000</v>
      </c>
      <c r="E29" s="387" t="str">
        <f t="shared" si="0"/>
        <v>na</v>
      </c>
      <c r="F29" s="387">
        <f t="shared" si="1"/>
        <v>1000</v>
      </c>
      <c r="G29" s="387" t="s">
        <v>232</v>
      </c>
      <c r="H29" s="387">
        <v>4300000</v>
      </c>
      <c r="I29" s="387" t="str">
        <f t="shared" si="2"/>
        <v>na</v>
      </c>
      <c r="J29" s="387">
        <f t="shared" si="4"/>
        <v>4300000</v>
      </c>
      <c r="K29" s="400">
        <v>0</v>
      </c>
      <c r="L29" s="400">
        <v>0</v>
      </c>
      <c r="M29" s="400">
        <f t="shared" si="14"/>
        <v>0</v>
      </c>
      <c r="N29" s="271">
        <v>16</v>
      </c>
      <c r="O29" s="425">
        <v>1.5</v>
      </c>
      <c r="P29" s="1651">
        <v>1.2999999999999999E-2</v>
      </c>
      <c r="Q29" s="426">
        <f t="shared" si="15"/>
        <v>1.95E-2</v>
      </c>
      <c r="R29" s="1676">
        <v>1.2999999999999999E-2</v>
      </c>
      <c r="S29" s="426">
        <f t="shared" si="16"/>
        <v>1.95E-2</v>
      </c>
      <c r="T29" s="425" t="s">
        <v>232</v>
      </c>
      <c r="U29" s="426" t="str">
        <f t="shared" si="17"/>
        <v>na</v>
      </c>
      <c r="V29" s="1272" t="s">
        <v>232</v>
      </c>
      <c r="W29" s="1272" t="str">
        <f t="shared" si="18"/>
        <v>na</v>
      </c>
      <c r="X29" s="412" t="str">
        <f t="shared" si="19"/>
        <v>na</v>
      </c>
      <c r="Y29" s="1272" t="s">
        <v>232</v>
      </c>
      <c r="Z29" s="412" t="str">
        <f t="shared" si="20"/>
        <v>na</v>
      </c>
      <c r="AA29" s="412" t="s">
        <v>221</v>
      </c>
      <c r="AB29" s="439">
        <v>1</v>
      </c>
      <c r="AC29" s="1248">
        <v>0.01</v>
      </c>
      <c r="AD29" s="1259">
        <v>1</v>
      </c>
      <c r="AE29" s="1259">
        <v>0</v>
      </c>
      <c r="AF29" s="1292" t="s">
        <v>221</v>
      </c>
      <c r="AG29" s="538" t="s">
        <v>221</v>
      </c>
      <c r="AH29" s="452" t="s">
        <v>221</v>
      </c>
      <c r="AI29" s="452" t="s">
        <v>221</v>
      </c>
      <c r="AJ29" s="452" t="s">
        <v>221</v>
      </c>
      <c r="AK29" s="449" t="str">
        <f t="shared" si="21"/>
        <v>no</v>
      </c>
      <c r="AL29" s="221" t="s">
        <v>232</v>
      </c>
      <c r="AM29" s="406" t="s">
        <v>232</v>
      </c>
      <c r="AN29" s="1330" t="s">
        <v>232</v>
      </c>
      <c r="AP29" s="1062"/>
    </row>
    <row r="30" spans="1:44" ht="13.9" customHeight="1" x14ac:dyDescent="0.25">
      <c r="A30" s="847">
        <f>Chem!A30</f>
        <v>28</v>
      </c>
      <c r="B30" s="1838" t="str">
        <f>Chem!B30</f>
        <v>Chromium, hexavalent</v>
      </c>
      <c r="C30" s="384" t="s">
        <v>232</v>
      </c>
      <c r="D30" s="384">
        <v>19</v>
      </c>
      <c r="E30" s="387" t="str">
        <f t="shared" si="0"/>
        <v>na</v>
      </c>
      <c r="F30" s="387">
        <f t="shared" si="1"/>
        <v>19</v>
      </c>
      <c r="G30" s="387" t="s">
        <v>232</v>
      </c>
      <c r="H30" s="387">
        <v>14</v>
      </c>
      <c r="I30" s="387" t="str">
        <f t="shared" si="2"/>
        <v>na</v>
      </c>
      <c r="J30" s="387">
        <f t="shared" si="4"/>
        <v>14</v>
      </c>
      <c r="K30" s="400">
        <v>0</v>
      </c>
      <c r="L30" s="400">
        <v>0</v>
      </c>
      <c r="M30" s="400">
        <f t="shared" si="14"/>
        <v>0</v>
      </c>
      <c r="N30" s="271">
        <v>16</v>
      </c>
      <c r="O30" s="425">
        <v>8.9999999999999998E-4</v>
      </c>
      <c r="P30" s="1651">
        <v>2.5000000000000001E-2</v>
      </c>
      <c r="Q30" s="426">
        <f t="shared" si="15"/>
        <v>2.2500000000000001E-5</v>
      </c>
      <c r="R30" s="1676">
        <v>2.5000000000000001E-2</v>
      </c>
      <c r="S30" s="426">
        <f t="shared" si="16"/>
        <v>2.2500000000000001E-5</v>
      </c>
      <c r="T30" s="425">
        <v>3.0000000000000001E-5</v>
      </c>
      <c r="U30" s="426">
        <f t="shared" si="17"/>
        <v>8.5714285714285726E-6</v>
      </c>
      <c r="V30" s="1272">
        <v>0.16</v>
      </c>
      <c r="W30" s="1272">
        <f t="shared" si="18"/>
        <v>6.3999999999999995</v>
      </c>
      <c r="X30" s="412">
        <f t="shared" si="19"/>
        <v>6.3999999999999995</v>
      </c>
      <c r="Y30" s="1272">
        <v>1.0999999999999999E-2</v>
      </c>
      <c r="Z30" s="412">
        <f t="shared" si="20"/>
        <v>38.499999999999993</v>
      </c>
      <c r="AA30" s="412" t="s">
        <v>144</v>
      </c>
      <c r="AB30" s="439">
        <v>1</v>
      </c>
      <c r="AC30" s="1248">
        <v>0.01</v>
      </c>
      <c r="AD30" s="1259">
        <v>1</v>
      </c>
      <c r="AE30" s="1259">
        <v>0</v>
      </c>
      <c r="AF30" s="1292" t="s">
        <v>221</v>
      </c>
      <c r="AG30" s="538" t="s">
        <v>221</v>
      </c>
      <c r="AH30" s="452" t="s">
        <v>144</v>
      </c>
      <c r="AI30" s="452" t="s">
        <v>221</v>
      </c>
      <c r="AJ30" s="452" t="s">
        <v>221</v>
      </c>
      <c r="AK30" s="449" t="str">
        <f t="shared" si="21"/>
        <v>no</v>
      </c>
      <c r="AL30" s="221" t="s">
        <v>232</v>
      </c>
      <c r="AM30" s="406" t="s">
        <v>232</v>
      </c>
      <c r="AN30" s="1330" t="s">
        <v>232</v>
      </c>
      <c r="AP30" s="1062"/>
    </row>
    <row r="31" spans="1:44" ht="13.9" customHeight="1" x14ac:dyDescent="0.25">
      <c r="A31" s="847">
        <f>Chem!A31</f>
        <v>29</v>
      </c>
      <c r="B31" s="865" t="str">
        <f>Chem!B31</f>
        <v>Cobalt</v>
      </c>
      <c r="C31" s="384" t="s">
        <v>232</v>
      </c>
      <c r="D31" s="384">
        <v>45</v>
      </c>
      <c r="E31" s="387" t="str">
        <f t="shared" si="0"/>
        <v>na</v>
      </c>
      <c r="F31" s="387">
        <f t="shared" si="1"/>
        <v>45</v>
      </c>
      <c r="G31" s="387" t="s">
        <v>232</v>
      </c>
      <c r="H31" s="387" t="s">
        <v>232</v>
      </c>
      <c r="I31" s="387" t="str">
        <f t="shared" si="2"/>
        <v>na</v>
      </c>
      <c r="J31" s="387" t="str">
        <f t="shared" si="4"/>
        <v>na</v>
      </c>
      <c r="K31" s="400">
        <v>0</v>
      </c>
      <c r="L31" s="400">
        <v>0</v>
      </c>
      <c r="M31" s="400">
        <f t="shared" si="14"/>
        <v>0</v>
      </c>
      <c r="N31" s="271" t="s">
        <v>232</v>
      </c>
      <c r="O31" s="425">
        <v>2.9999999999999997E-4</v>
      </c>
      <c r="P31" s="1651">
        <v>0.2</v>
      </c>
      <c r="Q31" s="426">
        <f t="shared" si="15"/>
        <v>5.9999999999999995E-5</v>
      </c>
      <c r="R31" s="1665">
        <v>1</v>
      </c>
      <c r="S31" s="426">
        <f t="shared" si="16"/>
        <v>2.9999999999999997E-4</v>
      </c>
      <c r="T31" s="425">
        <v>6.0000000000000002E-6</v>
      </c>
      <c r="U31" s="426">
        <f t="shared" si="17"/>
        <v>1.7142857142857143E-6</v>
      </c>
      <c r="V31" s="1272" t="s">
        <v>232</v>
      </c>
      <c r="W31" s="1272" t="str">
        <f t="shared" si="18"/>
        <v>na</v>
      </c>
      <c r="X31" s="412" t="str">
        <f t="shared" si="19"/>
        <v>na</v>
      </c>
      <c r="Y31" s="1272">
        <v>8.9999999999999993E-3</v>
      </c>
      <c r="Z31" s="412">
        <f t="shared" si="20"/>
        <v>31.5</v>
      </c>
      <c r="AA31" s="412" t="s">
        <v>221</v>
      </c>
      <c r="AB31" s="439">
        <v>1</v>
      </c>
      <c r="AC31" s="1248">
        <v>0.01</v>
      </c>
      <c r="AD31" s="1259">
        <v>1</v>
      </c>
      <c r="AE31" s="1259">
        <v>0</v>
      </c>
      <c r="AF31" s="1292" t="s">
        <v>221</v>
      </c>
      <c r="AG31" s="538" t="s">
        <v>221</v>
      </c>
      <c r="AH31" s="452" t="s">
        <v>221</v>
      </c>
      <c r="AI31" s="452" t="s">
        <v>221</v>
      </c>
      <c r="AJ31" s="452" t="s">
        <v>221</v>
      </c>
      <c r="AK31" s="449" t="str">
        <f t="shared" si="21"/>
        <v>no</v>
      </c>
      <c r="AL31" s="221">
        <v>11</v>
      </c>
      <c r="AM31" s="406" t="s">
        <v>232</v>
      </c>
      <c r="AN31" s="1330" t="s">
        <v>232</v>
      </c>
      <c r="AP31" s="1062"/>
    </row>
    <row r="32" spans="1:44" ht="13.9" customHeight="1" x14ac:dyDescent="0.25">
      <c r="A32" s="847">
        <f>Chem!A32</f>
        <v>30</v>
      </c>
      <c r="B32" s="865" t="str">
        <f>Chem!B32</f>
        <v>Copper</v>
      </c>
      <c r="C32" s="384" t="s">
        <v>232</v>
      </c>
      <c r="D32" s="384">
        <v>22</v>
      </c>
      <c r="E32" s="387" t="str">
        <f t="shared" si="0"/>
        <v>na</v>
      </c>
      <c r="F32" s="387">
        <f t="shared" si="1"/>
        <v>22</v>
      </c>
      <c r="G32" s="387" t="s">
        <v>232</v>
      </c>
      <c r="H32" s="387">
        <v>28500</v>
      </c>
      <c r="I32" s="387" t="str">
        <f t="shared" si="2"/>
        <v>na</v>
      </c>
      <c r="J32" s="387">
        <f t="shared" si="4"/>
        <v>28500</v>
      </c>
      <c r="K32" s="400">
        <v>0</v>
      </c>
      <c r="L32" s="400">
        <v>0</v>
      </c>
      <c r="M32" s="400">
        <f t="shared" si="14"/>
        <v>0</v>
      </c>
      <c r="N32" s="271">
        <v>36</v>
      </c>
      <c r="O32" s="425">
        <v>0.04</v>
      </c>
      <c r="P32" s="1651">
        <v>0.2</v>
      </c>
      <c r="Q32" s="426">
        <f t="shared" si="15"/>
        <v>8.0000000000000002E-3</v>
      </c>
      <c r="R32" s="1665">
        <v>1</v>
      </c>
      <c r="S32" s="426">
        <f t="shared" si="16"/>
        <v>0.04</v>
      </c>
      <c r="T32" s="425" t="s">
        <v>232</v>
      </c>
      <c r="U32" s="426" t="str">
        <f t="shared" si="17"/>
        <v>na</v>
      </c>
      <c r="V32" s="1272" t="s">
        <v>232</v>
      </c>
      <c r="W32" s="1272" t="str">
        <f t="shared" si="18"/>
        <v>na</v>
      </c>
      <c r="X32" s="412" t="str">
        <f t="shared" si="19"/>
        <v>na</v>
      </c>
      <c r="Y32" s="1272" t="s">
        <v>232</v>
      </c>
      <c r="Z32" s="412" t="str">
        <f t="shared" si="20"/>
        <v>na</v>
      </c>
      <c r="AA32" s="412" t="s">
        <v>221</v>
      </c>
      <c r="AB32" s="439">
        <v>1</v>
      </c>
      <c r="AC32" s="1248">
        <v>0.01</v>
      </c>
      <c r="AD32" s="1259">
        <v>1</v>
      </c>
      <c r="AE32" s="1259">
        <v>0</v>
      </c>
      <c r="AF32" s="1292" t="s">
        <v>221</v>
      </c>
      <c r="AG32" s="538" t="s">
        <v>221</v>
      </c>
      <c r="AH32" s="452" t="s">
        <v>221</v>
      </c>
      <c r="AI32" s="452" t="s">
        <v>221</v>
      </c>
      <c r="AJ32" s="452" t="s">
        <v>221</v>
      </c>
      <c r="AK32" s="449" t="str">
        <f t="shared" si="21"/>
        <v>no</v>
      </c>
      <c r="AL32" s="221">
        <v>36</v>
      </c>
      <c r="AM32" s="406">
        <v>45</v>
      </c>
      <c r="AN32" s="1330" t="s">
        <v>232</v>
      </c>
      <c r="AP32" s="1062"/>
    </row>
    <row r="33" spans="1:44" ht="13.9" customHeight="1" x14ac:dyDescent="0.25">
      <c r="A33" s="847">
        <f>Chem!A33</f>
        <v>31</v>
      </c>
      <c r="B33" s="865" t="str">
        <f>Chem!B33</f>
        <v>Iron</v>
      </c>
      <c r="C33" s="384" t="s">
        <v>232</v>
      </c>
      <c r="D33" s="384">
        <v>25</v>
      </c>
      <c r="E33" s="387" t="str">
        <f t="shared" si="0"/>
        <v>na</v>
      </c>
      <c r="F33" s="387">
        <f t="shared" si="1"/>
        <v>25</v>
      </c>
      <c r="G33" s="387" t="s">
        <v>232</v>
      </c>
      <c r="H33" s="387" t="s">
        <v>232</v>
      </c>
      <c r="I33" s="387" t="str">
        <f t="shared" si="2"/>
        <v>na</v>
      </c>
      <c r="J33" s="387" t="str">
        <f t="shared" si="4"/>
        <v>na</v>
      </c>
      <c r="K33" s="400">
        <v>0</v>
      </c>
      <c r="L33" s="400">
        <v>0</v>
      </c>
      <c r="M33" s="400">
        <f t="shared" si="14"/>
        <v>0</v>
      </c>
      <c r="N33" s="271" t="s">
        <v>232</v>
      </c>
      <c r="O33" s="425">
        <v>0.7</v>
      </c>
      <c r="P33" s="1651">
        <v>0.2</v>
      </c>
      <c r="Q33" s="426">
        <f t="shared" si="15"/>
        <v>0.13999999999999999</v>
      </c>
      <c r="R33" s="1665">
        <v>1</v>
      </c>
      <c r="S33" s="426">
        <f t="shared" si="16"/>
        <v>0.7</v>
      </c>
      <c r="T33" s="425" t="s">
        <v>232</v>
      </c>
      <c r="U33" s="426" t="str">
        <f t="shared" si="17"/>
        <v>na</v>
      </c>
      <c r="V33" s="1272" t="s">
        <v>232</v>
      </c>
      <c r="W33" s="1272" t="str">
        <f t="shared" si="18"/>
        <v>na</v>
      </c>
      <c r="X33" s="412" t="str">
        <f t="shared" si="19"/>
        <v>na</v>
      </c>
      <c r="Y33" s="1272" t="s">
        <v>232</v>
      </c>
      <c r="Z33" s="412" t="str">
        <f t="shared" si="20"/>
        <v>na</v>
      </c>
      <c r="AA33" s="412" t="s">
        <v>221</v>
      </c>
      <c r="AB33" s="439">
        <v>1</v>
      </c>
      <c r="AC33" s="1248">
        <v>0.01</v>
      </c>
      <c r="AD33" s="1259">
        <v>1</v>
      </c>
      <c r="AE33" s="1259">
        <v>0</v>
      </c>
      <c r="AF33" s="1292" t="s">
        <v>221</v>
      </c>
      <c r="AG33" s="538" t="s">
        <v>221</v>
      </c>
      <c r="AH33" s="452" t="s">
        <v>221</v>
      </c>
      <c r="AI33" s="452" t="s">
        <v>221</v>
      </c>
      <c r="AJ33" s="452" t="s">
        <v>221</v>
      </c>
      <c r="AK33" s="449" t="str">
        <f t="shared" si="21"/>
        <v>no</v>
      </c>
      <c r="AL33" s="221">
        <v>36000</v>
      </c>
      <c r="AM33" s="406" t="s">
        <v>232</v>
      </c>
      <c r="AN33" s="1330" t="s">
        <v>232</v>
      </c>
      <c r="AP33" s="1062"/>
    </row>
    <row r="34" spans="1:44" ht="13.9" customHeight="1" x14ac:dyDescent="0.25">
      <c r="A34" s="847">
        <f>Chem!A34</f>
        <v>32</v>
      </c>
      <c r="B34" s="865" t="str">
        <f>Chem!B34</f>
        <v>Lead</v>
      </c>
      <c r="C34" s="384" t="s">
        <v>232</v>
      </c>
      <c r="D34" s="384">
        <v>10000</v>
      </c>
      <c r="E34" s="387" t="str">
        <f t="shared" si="0"/>
        <v>na</v>
      </c>
      <c r="F34" s="387">
        <f t="shared" si="1"/>
        <v>10000</v>
      </c>
      <c r="G34" s="387" t="s">
        <v>232</v>
      </c>
      <c r="H34" s="387">
        <v>23270</v>
      </c>
      <c r="I34" s="387" t="str">
        <f t="shared" si="2"/>
        <v>na</v>
      </c>
      <c r="J34" s="387">
        <f t="shared" si="4"/>
        <v>23270</v>
      </c>
      <c r="K34" s="400">
        <v>0</v>
      </c>
      <c r="L34" s="400">
        <v>0</v>
      </c>
      <c r="M34" s="400">
        <f t="shared" si="14"/>
        <v>0</v>
      </c>
      <c r="N34" s="271" t="s">
        <v>232</v>
      </c>
      <c r="O34" s="425" t="s">
        <v>232</v>
      </c>
      <c r="P34" s="1651">
        <v>0.2</v>
      </c>
      <c r="Q34" s="426" t="str">
        <f t="shared" si="15"/>
        <v>na</v>
      </c>
      <c r="R34" s="1665">
        <v>1</v>
      </c>
      <c r="S34" s="426" t="str">
        <f t="shared" si="16"/>
        <v>na</v>
      </c>
      <c r="T34" s="425" t="s">
        <v>232</v>
      </c>
      <c r="U34" s="426" t="str">
        <f t="shared" si="17"/>
        <v>na</v>
      </c>
      <c r="V34" s="1272" t="s">
        <v>232</v>
      </c>
      <c r="W34" s="1272" t="str">
        <f t="shared" si="18"/>
        <v>na</v>
      </c>
      <c r="X34" s="412" t="str">
        <f t="shared" si="19"/>
        <v>na</v>
      </c>
      <c r="Y34" s="1272" t="s">
        <v>232</v>
      </c>
      <c r="Z34" s="412" t="str">
        <f t="shared" si="20"/>
        <v>na</v>
      </c>
      <c r="AA34" s="412" t="s">
        <v>221</v>
      </c>
      <c r="AB34" s="439">
        <v>1</v>
      </c>
      <c r="AC34" s="1248">
        <v>0.01</v>
      </c>
      <c r="AD34" s="1259">
        <v>1</v>
      </c>
      <c r="AE34" s="1259">
        <v>0</v>
      </c>
      <c r="AF34" s="1292" t="s">
        <v>221</v>
      </c>
      <c r="AG34" s="538" t="s">
        <v>144</v>
      </c>
      <c r="AH34" s="452" t="s">
        <v>144</v>
      </c>
      <c r="AI34" s="452" t="s">
        <v>221</v>
      </c>
      <c r="AJ34" s="452" t="s">
        <v>221</v>
      </c>
      <c r="AK34" s="449" t="str">
        <f t="shared" si="21"/>
        <v>no</v>
      </c>
      <c r="AL34" s="221">
        <v>24</v>
      </c>
      <c r="AM34" s="406">
        <v>21</v>
      </c>
      <c r="AN34" s="1330" t="s">
        <v>232</v>
      </c>
      <c r="AP34" s="1062"/>
    </row>
    <row r="35" spans="1:44" ht="13.9" customHeight="1" x14ac:dyDescent="0.25">
      <c r="A35" s="847">
        <f>Chem!A35</f>
        <v>33</v>
      </c>
      <c r="B35" s="865" t="str">
        <f>Chem!B35</f>
        <v>Manganese</v>
      </c>
      <c r="C35" s="384" t="s">
        <v>232</v>
      </c>
      <c r="D35" s="384">
        <v>65</v>
      </c>
      <c r="E35" s="387" t="str">
        <f t="shared" si="0"/>
        <v>na</v>
      </c>
      <c r="F35" s="387">
        <f t="shared" si="1"/>
        <v>65</v>
      </c>
      <c r="G35" s="387" t="s">
        <v>232</v>
      </c>
      <c r="H35" s="387" t="s">
        <v>232</v>
      </c>
      <c r="I35" s="387" t="str">
        <f t="shared" si="2"/>
        <v>na</v>
      </c>
      <c r="J35" s="387" t="str">
        <f t="shared" si="4"/>
        <v>na</v>
      </c>
      <c r="K35" s="400">
        <v>0</v>
      </c>
      <c r="L35" s="400">
        <v>0</v>
      </c>
      <c r="M35" s="400">
        <f t="shared" si="14"/>
        <v>0</v>
      </c>
      <c r="N35" s="271" t="s">
        <v>232</v>
      </c>
      <c r="O35" s="425">
        <v>4.6699999999999998E-2</v>
      </c>
      <c r="P35" s="1651">
        <v>0.04</v>
      </c>
      <c r="Q35" s="426">
        <f t="shared" si="15"/>
        <v>1.8679999999999999E-3</v>
      </c>
      <c r="R35" s="1675">
        <v>0.04</v>
      </c>
      <c r="S35" s="426">
        <f t="shared" si="16"/>
        <v>1.8679999999999999E-3</v>
      </c>
      <c r="T35" s="425">
        <v>4.9999999999999996E-5</v>
      </c>
      <c r="U35" s="426">
        <f t="shared" si="17"/>
        <v>1.4285714285714285E-5</v>
      </c>
      <c r="V35" s="1272" t="s">
        <v>232</v>
      </c>
      <c r="W35" s="1272" t="str">
        <f t="shared" si="18"/>
        <v>na</v>
      </c>
      <c r="X35" s="412" t="str">
        <f t="shared" si="19"/>
        <v>na</v>
      </c>
      <c r="Y35" s="1272" t="s">
        <v>232</v>
      </c>
      <c r="Z35" s="412" t="str">
        <f t="shared" si="20"/>
        <v>na</v>
      </c>
      <c r="AA35" s="412" t="s">
        <v>221</v>
      </c>
      <c r="AB35" s="439">
        <v>1</v>
      </c>
      <c r="AC35" s="1248">
        <v>0.01</v>
      </c>
      <c r="AD35" s="1259">
        <v>1</v>
      </c>
      <c r="AE35" s="1259">
        <v>0</v>
      </c>
      <c r="AF35" s="1292" t="s">
        <v>221</v>
      </c>
      <c r="AG35" s="538" t="s">
        <v>221</v>
      </c>
      <c r="AH35" s="452" t="s">
        <v>221</v>
      </c>
      <c r="AI35" s="452" t="s">
        <v>221</v>
      </c>
      <c r="AJ35" s="452" t="s">
        <v>221</v>
      </c>
      <c r="AK35" s="449" t="str">
        <f t="shared" si="21"/>
        <v>no</v>
      </c>
      <c r="AL35" s="221">
        <v>1100</v>
      </c>
      <c r="AM35" s="406" t="s">
        <v>232</v>
      </c>
      <c r="AN35" s="1330" t="s">
        <v>232</v>
      </c>
      <c r="AP35" s="1062"/>
    </row>
    <row r="36" spans="1:44" ht="13.9" customHeight="1" x14ac:dyDescent="0.25">
      <c r="A36" s="847">
        <f>Chem!A36</f>
        <v>34</v>
      </c>
      <c r="B36" s="865" t="str">
        <f>Chem!B36</f>
        <v>Mercury, inorganic</v>
      </c>
      <c r="C36" s="384" t="s">
        <v>232</v>
      </c>
      <c r="D36" s="384">
        <v>52</v>
      </c>
      <c r="E36" s="387" t="str">
        <f t="shared" si="0"/>
        <v>na</v>
      </c>
      <c r="F36" s="387">
        <f t="shared" si="1"/>
        <v>52</v>
      </c>
      <c r="G36" s="387" t="s">
        <v>232</v>
      </c>
      <c r="H36" s="387">
        <v>200</v>
      </c>
      <c r="I36" s="387" t="str">
        <f t="shared" ref="I36:I67" si="24">IF(C36="na","na",C36*J$1)</f>
        <v>na</v>
      </c>
      <c r="J36" s="387">
        <f t="shared" si="4"/>
        <v>200</v>
      </c>
      <c r="K36" s="400">
        <v>0.16573713573395538</v>
      </c>
      <c r="L36" s="400">
        <v>0.47</v>
      </c>
      <c r="M36" s="400">
        <f t="shared" si="14"/>
        <v>0.16573713573395538</v>
      </c>
      <c r="N36" s="271" t="s">
        <v>232</v>
      </c>
      <c r="O36" s="425" t="s">
        <v>232</v>
      </c>
      <c r="P36" s="1651">
        <v>0.74</v>
      </c>
      <c r="Q36" s="426" t="str">
        <f t="shared" si="15"/>
        <v>na</v>
      </c>
      <c r="R36" s="1675">
        <v>1</v>
      </c>
      <c r="S36" s="426" t="str">
        <f t="shared" si="16"/>
        <v>na</v>
      </c>
      <c r="T36" s="425">
        <v>2.9999999999999992E-4</v>
      </c>
      <c r="U36" s="426">
        <f t="shared" si="17"/>
        <v>8.5714285714285685E-5</v>
      </c>
      <c r="V36" s="1272" t="s">
        <v>232</v>
      </c>
      <c r="W36" s="1272" t="str">
        <f t="shared" si="18"/>
        <v>na</v>
      </c>
      <c r="X36" s="412" t="str">
        <f t="shared" si="19"/>
        <v>na</v>
      </c>
      <c r="Y36" s="1272" t="s">
        <v>232</v>
      </c>
      <c r="Z36" s="412" t="str">
        <f t="shared" si="20"/>
        <v>na</v>
      </c>
      <c r="AA36" s="412" t="s">
        <v>221</v>
      </c>
      <c r="AB36" s="439">
        <v>2</v>
      </c>
      <c r="AC36" s="1248">
        <v>0.01</v>
      </c>
      <c r="AD36" s="1259">
        <v>1</v>
      </c>
      <c r="AE36" s="1259">
        <v>0</v>
      </c>
      <c r="AF36" s="1292" t="s">
        <v>144</v>
      </c>
      <c r="AG36" s="538" t="s">
        <v>221</v>
      </c>
      <c r="AH36" s="452" t="s">
        <v>144</v>
      </c>
      <c r="AI36" s="452" t="s">
        <v>221</v>
      </c>
      <c r="AJ36" s="452" t="s">
        <v>144</v>
      </c>
      <c r="AK36" s="449" t="str">
        <f t="shared" si="21"/>
        <v>YES</v>
      </c>
      <c r="AL36" s="221">
        <v>7.0000000000000007E-2</v>
      </c>
      <c r="AM36" s="406">
        <v>0.2</v>
      </c>
      <c r="AN36" s="1330" t="s">
        <v>232</v>
      </c>
      <c r="AP36" s="1062"/>
    </row>
    <row r="37" spans="1:44" ht="13.9" customHeight="1" x14ac:dyDescent="0.25">
      <c r="A37" s="847">
        <f>Chem!A37</f>
        <v>35</v>
      </c>
      <c r="B37" s="865" t="str">
        <f>Chem!B37</f>
        <v>Methylmercury</v>
      </c>
      <c r="C37" s="384" t="s">
        <v>232</v>
      </c>
      <c r="D37" s="384">
        <v>7000</v>
      </c>
      <c r="E37" s="387" t="str">
        <f t="shared" si="0"/>
        <v>na</v>
      </c>
      <c r="F37" s="387">
        <f t="shared" si="1"/>
        <v>7000</v>
      </c>
      <c r="G37" s="387" t="s">
        <v>232</v>
      </c>
      <c r="H37" s="387" t="s">
        <v>232</v>
      </c>
      <c r="I37" s="387" t="str">
        <f t="shared" si="24"/>
        <v>na</v>
      </c>
      <c r="J37" s="387" t="str">
        <f t="shared" si="4"/>
        <v>na</v>
      </c>
      <c r="K37" s="400" t="s">
        <v>232</v>
      </c>
      <c r="L37" s="400" t="s">
        <v>232</v>
      </c>
      <c r="M37" s="400">
        <f t="shared" si="14"/>
        <v>0</v>
      </c>
      <c r="N37" s="271" t="s">
        <v>232</v>
      </c>
      <c r="O37" s="425">
        <v>1E-4</v>
      </c>
      <c r="P37" s="1651">
        <v>0.95</v>
      </c>
      <c r="Q37" s="426">
        <f t="shared" si="15"/>
        <v>9.5000000000000005E-5</v>
      </c>
      <c r="R37" s="1665">
        <v>1</v>
      </c>
      <c r="S37" s="426">
        <f t="shared" si="16"/>
        <v>1E-4</v>
      </c>
      <c r="T37" s="425" t="s">
        <v>232</v>
      </c>
      <c r="U37" s="426" t="str">
        <f t="shared" si="17"/>
        <v>na</v>
      </c>
      <c r="V37" s="1272" t="s">
        <v>232</v>
      </c>
      <c r="W37" s="1272" t="str">
        <f t="shared" si="18"/>
        <v>na</v>
      </c>
      <c r="X37" s="412" t="str">
        <f t="shared" si="19"/>
        <v>na</v>
      </c>
      <c r="Y37" s="1272" t="s">
        <v>232</v>
      </c>
      <c r="Z37" s="412" t="str">
        <f t="shared" si="20"/>
        <v>na</v>
      </c>
      <c r="AA37" s="412" t="s">
        <v>221</v>
      </c>
      <c r="AB37" s="439">
        <v>1</v>
      </c>
      <c r="AC37" s="1248">
        <v>0.1</v>
      </c>
      <c r="AD37" s="1259">
        <v>1</v>
      </c>
      <c r="AE37" s="1259">
        <v>0</v>
      </c>
      <c r="AF37" s="1292" t="s">
        <v>221</v>
      </c>
      <c r="AG37" s="538" t="s">
        <v>144</v>
      </c>
      <c r="AH37" s="452" t="s">
        <v>144</v>
      </c>
      <c r="AI37" s="452" t="s">
        <v>221</v>
      </c>
      <c r="AJ37" s="452" t="s">
        <v>221</v>
      </c>
      <c r="AK37" s="449" t="str">
        <f t="shared" si="21"/>
        <v>no</v>
      </c>
      <c r="AL37" s="221" t="s">
        <v>232</v>
      </c>
      <c r="AM37" s="406" t="s">
        <v>232</v>
      </c>
      <c r="AN37" s="1330" t="s">
        <v>232</v>
      </c>
      <c r="AP37" s="1062"/>
    </row>
    <row r="38" spans="1:44" ht="13.9" customHeight="1" x14ac:dyDescent="0.25">
      <c r="A38" s="847">
        <f>Chem!A38</f>
        <v>36</v>
      </c>
      <c r="B38" s="865" t="str">
        <f>Chem!B38</f>
        <v>Molybdenum</v>
      </c>
      <c r="C38" s="384" t="s">
        <v>232</v>
      </c>
      <c r="D38" s="384">
        <v>20</v>
      </c>
      <c r="E38" s="387" t="str">
        <f t="shared" si="0"/>
        <v>na</v>
      </c>
      <c r="F38" s="387">
        <f t="shared" si="1"/>
        <v>20</v>
      </c>
      <c r="G38" s="387" t="s">
        <v>232</v>
      </c>
      <c r="H38" s="387" t="s">
        <v>232</v>
      </c>
      <c r="I38" s="387" t="str">
        <f t="shared" si="24"/>
        <v>na</v>
      </c>
      <c r="J38" s="387" t="str">
        <f t="shared" si="4"/>
        <v>na</v>
      </c>
      <c r="K38" s="400">
        <v>0</v>
      </c>
      <c r="L38" s="400">
        <v>0</v>
      </c>
      <c r="M38" s="400">
        <f t="shared" si="14"/>
        <v>0</v>
      </c>
      <c r="N38" s="271" t="s">
        <v>232</v>
      </c>
      <c r="O38" s="425">
        <v>5.0000000000000001E-3</v>
      </c>
      <c r="P38" s="1651">
        <v>0.2</v>
      </c>
      <c r="Q38" s="426">
        <f t="shared" si="15"/>
        <v>1E-3</v>
      </c>
      <c r="R38" s="1665">
        <v>1</v>
      </c>
      <c r="S38" s="426">
        <f t="shared" si="16"/>
        <v>5.0000000000000001E-3</v>
      </c>
      <c r="T38" s="425">
        <v>2E-3</v>
      </c>
      <c r="U38" s="426">
        <f t="shared" si="17"/>
        <v>5.7142857142857147E-4</v>
      </c>
      <c r="V38" s="1272" t="s">
        <v>232</v>
      </c>
      <c r="W38" s="1272" t="str">
        <f t="shared" si="18"/>
        <v>na</v>
      </c>
      <c r="X38" s="412" t="str">
        <f t="shared" si="19"/>
        <v>na</v>
      </c>
      <c r="Y38" s="1272" t="s">
        <v>232</v>
      </c>
      <c r="Z38" s="412" t="str">
        <f t="shared" si="20"/>
        <v>na</v>
      </c>
      <c r="AA38" s="412" t="s">
        <v>221</v>
      </c>
      <c r="AB38" s="439">
        <v>1</v>
      </c>
      <c r="AC38" s="1248">
        <v>0.01</v>
      </c>
      <c r="AD38" s="1259">
        <v>1</v>
      </c>
      <c r="AE38" s="1259">
        <v>0</v>
      </c>
      <c r="AF38" s="1292" t="s">
        <v>221</v>
      </c>
      <c r="AG38" s="538" t="s">
        <v>221</v>
      </c>
      <c r="AH38" s="452" t="s">
        <v>221</v>
      </c>
      <c r="AI38" s="452" t="s">
        <v>221</v>
      </c>
      <c r="AJ38" s="452" t="s">
        <v>221</v>
      </c>
      <c r="AK38" s="449" t="str">
        <f t="shared" si="21"/>
        <v>no</v>
      </c>
      <c r="AL38" s="221" t="s">
        <v>232</v>
      </c>
      <c r="AM38" s="406" t="s">
        <v>232</v>
      </c>
      <c r="AN38" s="1330" t="s">
        <v>232</v>
      </c>
      <c r="AP38" s="1062"/>
    </row>
    <row r="39" spans="1:44" ht="13.9" customHeight="1" x14ac:dyDescent="0.25">
      <c r="A39" s="847">
        <f>Chem!A39</f>
        <v>37</v>
      </c>
      <c r="B39" s="865" t="str">
        <f>Chem!B39</f>
        <v>Nickel</v>
      </c>
      <c r="C39" s="384" t="s">
        <v>232</v>
      </c>
      <c r="D39" s="384">
        <v>65</v>
      </c>
      <c r="E39" s="387" t="str">
        <f t="shared" si="0"/>
        <v>na</v>
      </c>
      <c r="F39" s="387">
        <f t="shared" si="1"/>
        <v>65</v>
      </c>
      <c r="G39" s="387" t="s">
        <v>232</v>
      </c>
      <c r="H39" s="387">
        <v>1900</v>
      </c>
      <c r="I39" s="387" t="str">
        <f t="shared" si="24"/>
        <v>na</v>
      </c>
      <c r="J39" s="387">
        <f t="shared" si="4"/>
        <v>1900</v>
      </c>
      <c r="K39" s="400">
        <v>0</v>
      </c>
      <c r="L39" s="400">
        <v>0</v>
      </c>
      <c r="M39" s="400">
        <f t="shared" si="14"/>
        <v>0</v>
      </c>
      <c r="N39" s="271">
        <v>47</v>
      </c>
      <c r="O39" s="425">
        <v>0.02</v>
      </c>
      <c r="P39" s="1651">
        <v>0.04</v>
      </c>
      <c r="Q39" s="426">
        <f t="shared" si="15"/>
        <v>8.0000000000000004E-4</v>
      </c>
      <c r="R39" s="1675">
        <v>0.04</v>
      </c>
      <c r="S39" s="426">
        <f t="shared" si="16"/>
        <v>8.0000000000000004E-4</v>
      </c>
      <c r="T39" s="425">
        <v>1.4E-5</v>
      </c>
      <c r="U39" s="426">
        <f t="shared" si="17"/>
        <v>3.9999999999999998E-6</v>
      </c>
      <c r="V39" s="1272" t="s">
        <v>232</v>
      </c>
      <c r="W39" s="1272" t="str">
        <f t="shared" si="18"/>
        <v>na</v>
      </c>
      <c r="X39" s="412" t="str">
        <f t="shared" si="19"/>
        <v>na</v>
      </c>
      <c r="Y39" s="1272">
        <v>2.5999999999999998E-4</v>
      </c>
      <c r="Z39" s="412">
        <f t="shared" si="20"/>
        <v>0.90999999999999981</v>
      </c>
      <c r="AA39" s="412" t="s">
        <v>221</v>
      </c>
      <c r="AB39" s="439">
        <v>1</v>
      </c>
      <c r="AC39" s="1248">
        <v>0.01</v>
      </c>
      <c r="AD39" s="1259">
        <v>1</v>
      </c>
      <c r="AE39" s="1259">
        <v>0</v>
      </c>
      <c r="AF39" s="1292" t="s">
        <v>221</v>
      </c>
      <c r="AG39" s="538" t="s">
        <v>221</v>
      </c>
      <c r="AH39" s="452" t="s">
        <v>221</v>
      </c>
      <c r="AI39" s="452" t="s">
        <v>221</v>
      </c>
      <c r="AJ39" s="452" t="s">
        <v>221</v>
      </c>
      <c r="AK39" s="449" t="str">
        <f t="shared" si="21"/>
        <v>no</v>
      </c>
      <c r="AL39" s="221">
        <v>48</v>
      </c>
      <c r="AM39" s="406">
        <v>50</v>
      </c>
      <c r="AN39" s="1330" t="s">
        <v>232</v>
      </c>
      <c r="AP39" s="1062"/>
    </row>
    <row r="40" spans="1:44" ht="13.9" customHeight="1" x14ac:dyDescent="0.25">
      <c r="A40" s="847">
        <f>Chem!A40</f>
        <v>38</v>
      </c>
      <c r="B40" s="865" t="str">
        <f>Chem!B40</f>
        <v>Selenium</v>
      </c>
      <c r="C40" s="384" t="s">
        <v>232</v>
      </c>
      <c r="D40" s="384">
        <v>5</v>
      </c>
      <c r="E40" s="387" t="str">
        <f t="shared" si="0"/>
        <v>na</v>
      </c>
      <c r="F40" s="387">
        <f t="shared" si="1"/>
        <v>5</v>
      </c>
      <c r="G40" s="387" t="s">
        <v>232</v>
      </c>
      <c r="H40" s="387">
        <v>2.2000000000000002</v>
      </c>
      <c r="I40" s="387" t="str">
        <f t="shared" si="24"/>
        <v>na</v>
      </c>
      <c r="J40" s="387">
        <f t="shared" si="4"/>
        <v>2.2000000000000002</v>
      </c>
      <c r="K40" s="400">
        <v>0</v>
      </c>
      <c r="L40" s="400">
        <v>0</v>
      </c>
      <c r="M40" s="400">
        <f t="shared" si="14"/>
        <v>0</v>
      </c>
      <c r="N40" s="271">
        <v>4.8</v>
      </c>
      <c r="O40" s="425">
        <v>5.0000000000000001E-3</v>
      </c>
      <c r="P40" s="1651">
        <v>0.3</v>
      </c>
      <c r="Q40" s="426">
        <f t="shared" si="15"/>
        <v>1.5E-3</v>
      </c>
      <c r="R40" s="1665">
        <v>1</v>
      </c>
      <c r="S40" s="426">
        <f t="shared" si="16"/>
        <v>5.0000000000000001E-3</v>
      </c>
      <c r="T40" s="425">
        <v>0.02</v>
      </c>
      <c r="U40" s="426">
        <f t="shared" si="17"/>
        <v>5.7142857142857143E-3</v>
      </c>
      <c r="V40" s="1272" t="s">
        <v>232</v>
      </c>
      <c r="W40" s="1272" t="str">
        <f t="shared" si="18"/>
        <v>na</v>
      </c>
      <c r="X40" s="412" t="str">
        <f t="shared" si="19"/>
        <v>na</v>
      </c>
      <c r="Y40" s="1272" t="s">
        <v>232</v>
      </c>
      <c r="Z40" s="412" t="str">
        <f t="shared" si="20"/>
        <v>na</v>
      </c>
      <c r="AA40" s="412" t="s">
        <v>221</v>
      </c>
      <c r="AB40" s="439">
        <v>1</v>
      </c>
      <c r="AC40" s="1248">
        <v>0.01</v>
      </c>
      <c r="AD40" s="1259">
        <v>1</v>
      </c>
      <c r="AE40" s="1259">
        <v>0</v>
      </c>
      <c r="AF40" s="1292" t="s">
        <v>221</v>
      </c>
      <c r="AG40" s="538" t="s">
        <v>221</v>
      </c>
      <c r="AH40" s="452" t="s">
        <v>144</v>
      </c>
      <c r="AI40" s="452" t="s">
        <v>221</v>
      </c>
      <c r="AJ40" s="452" t="s">
        <v>221</v>
      </c>
      <c r="AK40" s="449" t="str">
        <f t="shared" si="21"/>
        <v>no</v>
      </c>
      <c r="AL40" s="221">
        <v>0.78</v>
      </c>
      <c r="AM40" s="406" t="s">
        <v>232</v>
      </c>
      <c r="AN40" s="1330" t="s">
        <v>232</v>
      </c>
      <c r="AP40" s="1062"/>
    </row>
    <row r="41" spans="1:44" ht="13.9" customHeight="1" x14ac:dyDescent="0.25">
      <c r="A41" s="847">
        <f>Chem!A41</f>
        <v>39</v>
      </c>
      <c r="B41" s="865" t="str">
        <f>Chem!B41</f>
        <v>Silver</v>
      </c>
      <c r="C41" s="384" t="s">
        <v>232</v>
      </c>
      <c r="D41" s="384">
        <v>8.3000000000000007</v>
      </c>
      <c r="E41" s="387" t="str">
        <f t="shared" si="0"/>
        <v>na</v>
      </c>
      <c r="F41" s="387">
        <f t="shared" si="1"/>
        <v>8.3000000000000007</v>
      </c>
      <c r="G41" s="387" t="s">
        <v>232</v>
      </c>
      <c r="H41" s="387">
        <v>110</v>
      </c>
      <c r="I41" s="387" t="str">
        <f t="shared" si="24"/>
        <v>na</v>
      </c>
      <c r="J41" s="387">
        <f t="shared" si="4"/>
        <v>110</v>
      </c>
      <c r="K41" s="400">
        <v>0</v>
      </c>
      <c r="L41" s="400">
        <v>0</v>
      </c>
      <c r="M41" s="400">
        <f t="shared" si="14"/>
        <v>0</v>
      </c>
      <c r="N41" s="271">
        <v>0.5</v>
      </c>
      <c r="O41" s="425">
        <v>5.0000000000000001E-3</v>
      </c>
      <c r="P41" s="1651">
        <v>0.04</v>
      </c>
      <c r="Q41" s="426">
        <f t="shared" si="15"/>
        <v>2.0000000000000001E-4</v>
      </c>
      <c r="R41" s="1675">
        <v>0.04</v>
      </c>
      <c r="S41" s="426">
        <f t="shared" si="16"/>
        <v>2.0000000000000001E-4</v>
      </c>
      <c r="T41" s="425" t="s">
        <v>232</v>
      </c>
      <c r="U41" s="426" t="str">
        <f t="shared" si="17"/>
        <v>na</v>
      </c>
      <c r="V41" s="1272" t="s">
        <v>232</v>
      </c>
      <c r="W41" s="1272" t="str">
        <f t="shared" si="18"/>
        <v>na</v>
      </c>
      <c r="X41" s="412" t="str">
        <f t="shared" si="19"/>
        <v>na</v>
      </c>
      <c r="Y41" s="1272" t="s">
        <v>232</v>
      </c>
      <c r="Z41" s="412" t="str">
        <f t="shared" si="20"/>
        <v>na</v>
      </c>
      <c r="AA41" s="412" t="s">
        <v>221</v>
      </c>
      <c r="AB41" s="439">
        <v>1</v>
      </c>
      <c r="AC41" s="1248">
        <v>0.01</v>
      </c>
      <c r="AD41" s="1259">
        <v>1</v>
      </c>
      <c r="AE41" s="1259">
        <v>0</v>
      </c>
      <c r="AF41" s="1292" t="s">
        <v>221</v>
      </c>
      <c r="AG41" s="538" t="s">
        <v>221</v>
      </c>
      <c r="AH41" s="452" t="s">
        <v>221</v>
      </c>
      <c r="AI41" s="452" t="s">
        <v>221</v>
      </c>
      <c r="AJ41" s="452" t="s">
        <v>221</v>
      </c>
      <c r="AK41" s="449" t="str">
        <f t="shared" si="21"/>
        <v>no</v>
      </c>
      <c r="AL41" s="221">
        <v>0.61</v>
      </c>
      <c r="AM41" s="406">
        <v>0.24</v>
      </c>
      <c r="AN41" s="1330" t="s">
        <v>232</v>
      </c>
      <c r="AP41" s="1062"/>
    </row>
    <row r="42" spans="1:44" ht="13.9" customHeight="1" x14ac:dyDescent="0.25">
      <c r="A42" s="847">
        <f>Chem!A42</f>
        <v>40</v>
      </c>
      <c r="B42" s="865" t="str">
        <f>Chem!B42</f>
        <v>Thallium</v>
      </c>
      <c r="C42" s="384" t="s">
        <v>232</v>
      </c>
      <c r="D42" s="384">
        <v>71</v>
      </c>
      <c r="E42" s="387" t="str">
        <f t="shared" si="0"/>
        <v>na</v>
      </c>
      <c r="F42" s="387">
        <f t="shared" si="1"/>
        <v>71</v>
      </c>
      <c r="G42" s="387" t="s">
        <v>232</v>
      </c>
      <c r="H42" s="387">
        <v>96</v>
      </c>
      <c r="I42" s="387" t="str">
        <f t="shared" si="24"/>
        <v>na</v>
      </c>
      <c r="J42" s="387">
        <f t="shared" si="4"/>
        <v>96</v>
      </c>
      <c r="K42" s="400">
        <v>0</v>
      </c>
      <c r="L42" s="400">
        <v>0</v>
      </c>
      <c r="M42" s="400">
        <f t="shared" si="14"/>
        <v>0</v>
      </c>
      <c r="N42" s="271">
        <v>116</v>
      </c>
      <c r="O42" s="425">
        <v>1.0000000000000001E-5</v>
      </c>
      <c r="P42" s="1651">
        <v>1</v>
      </c>
      <c r="Q42" s="426">
        <f t="shared" si="15"/>
        <v>1.0000000000000001E-5</v>
      </c>
      <c r="R42" s="1665">
        <v>1</v>
      </c>
      <c r="S42" s="426">
        <f t="shared" si="16"/>
        <v>1.0000000000000001E-5</v>
      </c>
      <c r="T42" s="425" t="s">
        <v>232</v>
      </c>
      <c r="U42" s="426" t="str">
        <f t="shared" si="17"/>
        <v>na</v>
      </c>
      <c r="V42" s="1272" t="s">
        <v>232</v>
      </c>
      <c r="W42" s="1272" t="str">
        <f t="shared" si="18"/>
        <v>na</v>
      </c>
      <c r="X42" s="412" t="str">
        <f t="shared" si="19"/>
        <v>na</v>
      </c>
      <c r="Y42" s="1272" t="s">
        <v>232</v>
      </c>
      <c r="Z42" s="412" t="str">
        <f t="shared" si="20"/>
        <v>na</v>
      </c>
      <c r="AA42" s="412" t="s">
        <v>221</v>
      </c>
      <c r="AB42" s="439">
        <v>1</v>
      </c>
      <c r="AC42" s="1248">
        <v>0.01</v>
      </c>
      <c r="AD42" s="1259">
        <v>1</v>
      </c>
      <c r="AE42" s="1259">
        <v>0</v>
      </c>
      <c r="AF42" s="1292" t="s">
        <v>221</v>
      </c>
      <c r="AG42" s="538" t="s">
        <v>221</v>
      </c>
      <c r="AH42" s="452" t="s">
        <v>221</v>
      </c>
      <c r="AI42" s="452" t="s">
        <v>221</v>
      </c>
      <c r="AJ42" s="452" t="s">
        <v>221</v>
      </c>
      <c r="AK42" s="449" t="str">
        <f t="shared" si="21"/>
        <v>no</v>
      </c>
      <c r="AL42" s="221" t="s">
        <v>232</v>
      </c>
      <c r="AM42" s="406" t="s">
        <v>232</v>
      </c>
      <c r="AN42" s="1330" t="s">
        <v>232</v>
      </c>
      <c r="AP42" s="1062"/>
    </row>
    <row r="43" spans="1:44" ht="13.9" customHeight="1" x14ac:dyDescent="0.25">
      <c r="A43" s="847">
        <f>Chem!A43</f>
        <v>41</v>
      </c>
      <c r="B43" s="865" t="str">
        <f>Chem!B43</f>
        <v>Tin</v>
      </c>
      <c r="C43" s="384" t="s">
        <v>232</v>
      </c>
      <c r="D43" s="384">
        <v>250</v>
      </c>
      <c r="E43" s="387" t="str">
        <f t="shared" si="0"/>
        <v>na</v>
      </c>
      <c r="F43" s="387">
        <f t="shared" si="1"/>
        <v>250</v>
      </c>
      <c r="G43" s="387" t="s">
        <v>232</v>
      </c>
      <c r="H43" s="387" t="s">
        <v>232</v>
      </c>
      <c r="I43" s="387" t="str">
        <f t="shared" si="24"/>
        <v>na</v>
      </c>
      <c r="J43" s="387" t="str">
        <f t="shared" si="4"/>
        <v>na</v>
      </c>
      <c r="K43" s="400">
        <v>0</v>
      </c>
      <c r="L43" s="400">
        <v>0</v>
      </c>
      <c r="M43" s="400">
        <f t="shared" si="14"/>
        <v>0</v>
      </c>
      <c r="N43" s="271" t="s">
        <v>232</v>
      </c>
      <c r="O43" s="425">
        <v>0.6</v>
      </c>
      <c r="P43" s="1651">
        <v>0.2</v>
      </c>
      <c r="Q43" s="426">
        <f t="shared" si="15"/>
        <v>0.12</v>
      </c>
      <c r="R43" s="1665">
        <v>1</v>
      </c>
      <c r="S43" s="426">
        <f t="shared" si="16"/>
        <v>0.6</v>
      </c>
      <c r="T43" s="425" t="s">
        <v>232</v>
      </c>
      <c r="U43" s="426" t="str">
        <f t="shared" si="17"/>
        <v>na</v>
      </c>
      <c r="V43" s="1272" t="s">
        <v>232</v>
      </c>
      <c r="W43" s="1272" t="str">
        <f t="shared" si="18"/>
        <v>na</v>
      </c>
      <c r="X43" s="412" t="str">
        <f t="shared" si="19"/>
        <v>na</v>
      </c>
      <c r="Y43" s="1272" t="s">
        <v>232</v>
      </c>
      <c r="Z43" s="412" t="str">
        <f t="shared" si="20"/>
        <v>na</v>
      </c>
      <c r="AA43" s="412" t="s">
        <v>221</v>
      </c>
      <c r="AB43" s="439">
        <v>1</v>
      </c>
      <c r="AC43" s="1248">
        <v>0.01</v>
      </c>
      <c r="AD43" s="1259">
        <v>1</v>
      </c>
      <c r="AE43" s="1259">
        <v>0</v>
      </c>
      <c r="AF43" s="1292" t="s">
        <v>221</v>
      </c>
      <c r="AG43" s="538" t="s">
        <v>221</v>
      </c>
      <c r="AH43" s="452" t="s">
        <v>221</v>
      </c>
      <c r="AI43" s="452" t="s">
        <v>221</v>
      </c>
      <c r="AJ43" s="452" t="s">
        <v>221</v>
      </c>
      <c r="AK43" s="449" t="str">
        <f t="shared" si="21"/>
        <v>no</v>
      </c>
      <c r="AL43" s="221" t="s">
        <v>232</v>
      </c>
      <c r="AM43" s="406" t="s">
        <v>232</v>
      </c>
      <c r="AN43" s="1330" t="s">
        <v>232</v>
      </c>
      <c r="AP43" s="1062"/>
    </row>
    <row r="44" spans="1:44" ht="13.9" customHeight="1" x14ac:dyDescent="0.25">
      <c r="A44" s="847">
        <f>Chem!A44</f>
        <v>42</v>
      </c>
      <c r="B44" s="867" t="str">
        <f>Chem!B44</f>
        <v>Vanadium</v>
      </c>
      <c r="C44" s="384" t="s">
        <v>232</v>
      </c>
      <c r="D44" s="384">
        <v>1000</v>
      </c>
      <c r="E44" s="387" t="str">
        <f t="shared" si="0"/>
        <v>na</v>
      </c>
      <c r="F44" s="387">
        <f t="shared" si="1"/>
        <v>1000</v>
      </c>
      <c r="G44" s="387" t="s">
        <v>232</v>
      </c>
      <c r="H44" s="387" t="s">
        <v>232</v>
      </c>
      <c r="I44" s="387" t="str">
        <f t="shared" si="24"/>
        <v>na</v>
      </c>
      <c r="J44" s="387" t="str">
        <f t="shared" si="4"/>
        <v>na</v>
      </c>
      <c r="K44" s="400">
        <v>0</v>
      </c>
      <c r="L44" s="400">
        <v>0</v>
      </c>
      <c r="M44" s="400">
        <f t="shared" si="14"/>
        <v>0</v>
      </c>
      <c r="N44" s="271" t="s">
        <v>232</v>
      </c>
      <c r="O44" s="425">
        <v>5.0000000000000001E-3</v>
      </c>
      <c r="P44" s="1651">
        <v>2.5999999999999999E-2</v>
      </c>
      <c r="Q44" s="426">
        <f t="shared" si="15"/>
        <v>1.2999999999999999E-4</v>
      </c>
      <c r="R44" s="1676">
        <v>2.5999999999999999E-2</v>
      </c>
      <c r="S44" s="426">
        <f t="shared" si="16"/>
        <v>1.2999999999999999E-4</v>
      </c>
      <c r="T44" s="425">
        <v>9.9999999999999991E-5</v>
      </c>
      <c r="U44" s="426">
        <f t="shared" si="17"/>
        <v>2.8571428571428571E-5</v>
      </c>
      <c r="V44" s="1272" t="s">
        <v>232</v>
      </c>
      <c r="W44" s="1272" t="str">
        <f t="shared" si="18"/>
        <v>na</v>
      </c>
      <c r="X44" s="412" t="str">
        <f t="shared" si="19"/>
        <v>na</v>
      </c>
      <c r="Y44" s="1272" t="s">
        <v>232</v>
      </c>
      <c r="Z44" s="412" t="str">
        <f t="shared" si="20"/>
        <v>na</v>
      </c>
      <c r="AA44" s="412" t="s">
        <v>221</v>
      </c>
      <c r="AB44" s="439">
        <v>1</v>
      </c>
      <c r="AC44" s="1248">
        <v>0.01</v>
      </c>
      <c r="AD44" s="1259">
        <v>1</v>
      </c>
      <c r="AE44" s="1259">
        <v>0</v>
      </c>
      <c r="AF44" s="1292" t="s">
        <v>221</v>
      </c>
      <c r="AG44" s="538" t="s">
        <v>221</v>
      </c>
      <c r="AH44" s="452" t="s">
        <v>221</v>
      </c>
      <c r="AI44" s="452" t="s">
        <v>144</v>
      </c>
      <c r="AJ44" s="452" t="s">
        <v>221</v>
      </c>
      <c r="AK44" s="449" t="str">
        <f t="shared" si="21"/>
        <v>no</v>
      </c>
      <c r="AL44" s="221">
        <v>45</v>
      </c>
      <c r="AM44" s="406" t="s">
        <v>232</v>
      </c>
      <c r="AN44" s="1330" t="s">
        <v>232</v>
      </c>
      <c r="AP44" s="1062"/>
    </row>
    <row r="45" spans="1:44" ht="13.9" customHeight="1" x14ac:dyDescent="0.25">
      <c r="A45" s="844">
        <f>Chem!A45</f>
        <v>43</v>
      </c>
      <c r="B45" s="868" t="str">
        <f>Chem!B45</f>
        <v>Zinc</v>
      </c>
      <c r="C45" s="392" t="s">
        <v>232</v>
      </c>
      <c r="D45" s="392">
        <v>62</v>
      </c>
      <c r="E45" s="387" t="str">
        <f t="shared" si="0"/>
        <v>na</v>
      </c>
      <c r="F45" s="389">
        <f t="shared" si="1"/>
        <v>62</v>
      </c>
      <c r="G45" s="389" t="s">
        <v>232</v>
      </c>
      <c r="H45" s="389">
        <v>530</v>
      </c>
      <c r="I45" s="389" t="str">
        <f t="shared" si="24"/>
        <v>na</v>
      </c>
      <c r="J45" s="389">
        <f t="shared" si="4"/>
        <v>530</v>
      </c>
      <c r="K45" s="404">
        <v>0</v>
      </c>
      <c r="L45" s="404">
        <v>0</v>
      </c>
      <c r="M45" s="404">
        <f t="shared" si="14"/>
        <v>0</v>
      </c>
      <c r="N45" s="272">
        <v>47</v>
      </c>
      <c r="O45" s="427">
        <v>0.3</v>
      </c>
      <c r="P45" s="1652">
        <v>0.2</v>
      </c>
      <c r="Q45" s="428">
        <f t="shared" si="15"/>
        <v>0.06</v>
      </c>
      <c r="R45" s="1677">
        <v>1</v>
      </c>
      <c r="S45" s="428">
        <f t="shared" si="16"/>
        <v>0.3</v>
      </c>
      <c r="T45" s="427" t="s">
        <v>232</v>
      </c>
      <c r="U45" s="551" t="str">
        <f t="shared" si="17"/>
        <v>na</v>
      </c>
      <c r="V45" s="1275" t="s">
        <v>232</v>
      </c>
      <c r="W45" s="1275" t="str">
        <f t="shared" si="18"/>
        <v>na</v>
      </c>
      <c r="X45" s="417" t="str">
        <f t="shared" si="19"/>
        <v>na</v>
      </c>
      <c r="Y45" s="1275" t="s">
        <v>232</v>
      </c>
      <c r="Z45" s="413" t="str">
        <f t="shared" si="20"/>
        <v>na</v>
      </c>
      <c r="AA45" s="413" t="s">
        <v>221</v>
      </c>
      <c r="AB45" s="440">
        <v>1</v>
      </c>
      <c r="AC45" s="1248">
        <v>0.01</v>
      </c>
      <c r="AD45" s="1259">
        <v>1</v>
      </c>
      <c r="AE45" s="1265">
        <v>0</v>
      </c>
      <c r="AF45" s="1293" t="s">
        <v>221</v>
      </c>
      <c r="AG45" s="538" t="s">
        <v>221</v>
      </c>
      <c r="AH45" s="453" t="s">
        <v>221</v>
      </c>
      <c r="AI45" s="453" t="s">
        <v>221</v>
      </c>
      <c r="AJ45" s="453" t="s">
        <v>144</v>
      </c>
      <c r="AK45" s="449" t="str">
        <f t="shared" si="21"/>
        <v>no</v>
      </c>
      <c r="AL45" s="257">
        <v>85</v>
      </c>
      <c r="AM45" s="543">
        <v>93</v>
      </c>
      <c r="AN45" s="545" t="s">
        <v>232</v>
      </c>
      <c r="AP45" s="1062"/>
    </row>
    <row r="46" spans="1:44" s="373" customFormat="1" ht="13.9" customHeight="1" x14ac:dyDescent="0.25">
      <c r="A46" s="906">
        <f>Chem!A46</f>
        <v>44</v>
      </c>
      <c r="B46" s="850" t="str">
        <f>Chem!B46</f>
        <v>Metals - Butyltins</v>
      </c>
      <c r="C46" s="259"/>
      <c r="D46" s="259"/>
      <c r="E46" s="259">
        <f t="shared" si="0"/>
        <v>0</v>
      </c>
      <c r="F46" s="259">
        <f t="shared" si="1"/>
        <v>0</v>
      </c>
      <c r="G46" s="259" t="s">
        <v>232</v>
      </c>
      <c r="H46" s="259"/>
      <c r="I46" s="259">
        <f t="shared" si="24"/>
        <v>0</v>
      </c>
      <c r="J46" s="259">
        <f t="shared" si="4"/>
        <v>0</v>
      </c>
      <c r="K46" s="259"/>
      <c r="L46" s="259"/>
      <c r="M46" s="259"/>
      <c r="N46" s="259"/>
      <c r="O46" s="259"/>
      <c r="P46" s="2342"/>
      <c r="Q46" s="259"/>
      <c r="R46" s="2343"/>
      <c r="S46" s="259"/>
      <c r="T46" s="259"/>
      <c r="U46" s="259"/>
      <c r="V46" s="259"/>
      <c r="W46" s="2518"/>
      <c r="X46" s="259"/>
      <c r="Y46" s="259"/>
      <c r="Z46" s="259"/>
      <c r="AA46" s="259"/>
      <c r="AB46" s="2343"/>
      <c r="AC46" s="2344"/>
      <c r="AD46" s="2344"/>
      <c r="AE46" s="2344"/>
      <c r="AF46" s="2345"/>
      <c r="AG46" s="259"/>
      <c r="AH46" s="259"/>
      <c r="AI46" s="259"/>
      <c r="AJ46" s="259"/>
      <c r="AK46" s="259"/>
      <c r="AL46" s="1495"/>
      <c r="AM46" s="1495"/>
      <c r="AN46" s="2346"/>
      <c r="AP46" s="1063"/>
      <c r="AR46" s="839"/>
    </row>
    <row r="47" spans="1:44" ht="13.9" customHeight="1" x14ac:dyDescent="0.25">
      <c r="A47" s="847">
        <f>Chem!A47</f>
        <v>45</v>
      </c>
      <c r="B47" s="865" t="str">
        <f>Chem!B47</f>
        <v>Monobutyltin</v>
      </c>
      <c r="C47" s="384" t="s">
        <v>232</v>
      </c>
      <c r="D47" s="384" t="s">
        <v>232</v>
      </c>
      <c r="E47" s="387" t="str">
        <f t="shared" si="0"/>
        <v>na</v>
      </c>
      <c r="F47" s="387" t="str">
        <f t="shared" si="1"/>
        <v>na</v>
      </c>
      <c r="G47" s="387" t="s">
        <v>232</v>
      </c>
      <c r="H47" s="387" t="s">
        <v>232</v>
      </c>
      <c r="I47" s="387" t="str">
        <f t="shared" si="24"/>
        <v>na</v>
      </c>
      <c r="J47" s="387" t="str">
        <f t="shared" si="4"/>
        <v>na</v>
      </c>
      <c r="K47" s="400" t="s">
        <v>232</v>
      </c>
      <c r="L47" s="400" t="s">
        <v>232</v>
      </c>
      <c r="M47" s="400">
        <f t="shared" ref="M47:M51" si="25">IF(ISNUMBER(K47),K47,IF(ISNUMBER(L47),L47,0))</f>
        <v>0</v>
      </c>
      <c r="N47" s="271" t="s">
        <v>232</v>
      </c>
      <c r="O47" s="425" t="s">
        <v>232</v>
      </c>
      <c r="P47" s="1640">
        <v>1</v>
      </c>
      <c r="Q47" s="426" t="str">
        <f>IF(O47="na","na",O47*P47)</f>
        <v>na</v>
      </c>
      <c r="R47" s="1665">
        <v>1</v>
      </c>
      <c r="S47" s="426" t="str">
        <f>IF(O47="na","na",O47*R47)</f>
        <v>na</v>
      </c>
      <c r="T47" s="425" t="s">
        <v>232</v>
      </c>
      <c r="U47" s="426" t="str">
        <f>IF(ISNUMBER(T47),T47*20/70,"na")</f>
        <v>na</v>
      </c>
      <c r="V47" s="1272" t="s">
        <v>232</v>
      </c>
      <c r="W47" s="1272" t="str">
        <f>IF(V47="na","na",V47/P47)</f>
        <v>na</v>
      </c>
      <c r="X47" s="415" t="str">
        <f>IF(V47="na","na",V47/R47)</f>
        <v>na</v>
      </c>
      <c r="Y47" s="1274" t="s">
        <v>232</v>
      </c>
      <c r="Z47" s="416" t="str">
        <f>IF(ISNUMBER(Y47),Y47*70*1000/20,"na")</f>
        <v>na</v>
      </c>
      <c r="AA47" s="416" t="s">
        <v>221</v>
      </c>
      <c r="AB47" s="442" t="s">
        <v>232</v>
      </c>
      <c r="AC47" s="1242" t="s">
        <v>232</v>
      </c>
      <c r="AD47" s="1259" t="s">
        <v>232</v>
      </c>
      <c r="AE47" s="1259">
        <v>0.1</v>
      </c>
      <c r="AF47" s="1291" t="s">
        <v>221</v>
      </c>
      <c r="AG47" s="538" t="s">
        <v>221</v>
      </c>
      <c r="AH47" s="452" t="s">
        <v>221</v>
      </c>
      <c r="AI47" s="452" t="s">
        <v>221</v>
      </c>
      <c r="AJ47" s="452" t="s">
        <v>221</v>
      </c>
      <c r="AK47" s="449" t="str">
        <f>IF(AND(OR(AG47="YES",AH47="YES"),OR(AI47="YES",AJ47="YES")),"YES","no")</f>
        <v>no</v>
      </c>
      <c r="AL47" s="253" t="s">
        <v>232</v>
      </c>
      <c r="AM47" s="405" t="s">
        <v>232</v>
      </c>
      <c r="AN47" s="1152" t="str">
        <f t="shared" ref="AN47:AN51" si="26">AM47</f>
        <v>na</v>
      </c>
      <c r="AP47" s="1062"/>
    </row>
    <row r="48" spans="1:44" ht="13.9" customHeight="1" x14ac:dyDescent="0.25">
      <c r="A48" s="847">
        <f>Chem!A48</f>
        <v>46</v>
      </c>
      <c r="B48" s="865" t="str">
        <f>Chem!B48</f>
        <v>Dibutyltin</v>
      </c>
      <c r="C48" s="384" t="s">
        <v>232</v>
      </c>
      <c r="D48" s="384" t="s">
        <v>232</v>
      </c>
      <c r="E48" s="387" t="str">
        <f t="shared" si="0"/>
        <v>na</v>
      </c>
      <c r="F48" s="387" t="str">
        <f t="shared" si="1"/>
        <v>na</v>
      </c>
      <c r="G48" s="387" t="s">
        <v>232</v>
      </c>
      <c r="H48" s="387" t="s">
        <v>232</v>
      </c>
      <c r="I48" s="387" t="str">
        <f t="shared" si="24"/>
        <v>na</v>
      </c>
      <c r="J48" s="387" t="str">
        <f t="shared" si="4"/>
        <v>na</v>
      </c>
      <c r="K48" s="400" t="s">
        <v>232</v>
      </c>
      <c r="L48" s="400" t="s">
        <v>232</v>
      </c>
      <c r="M48" s="400">
        <f t="shared" si="25"/>
        <v>0</v>
      </c>
      <c r="N48" s="271" t="s">
        <v>232</v>
      </c>
      <c r="O48" s="425" t="s">
        <v>232</v>
      </c>
      <c r="P48" s="1640">
        <v>1</v>
      </c>
      <c r="Q48" s="426" t="str">
        <f>IF(O48="na","na",O48*P48)</f>
        <v>na</v>
      </c>
      <c r="R48" s="1665">
        <v>1</v>
      </c>
      <c r="S48" s="426" t="str">
        <f>IF(O48="na","na",O48*R48)</f>
        <v>na</v>
      </c>
      <c r="T48" s="425" t="s">
        <v>232</v>
      </c>
      <c r="U48" s="426" t="str">
        <f>IF(ISNUMBER(T48),T48*20/70,"na")</f>
        <v>na</v>
      </c>
      <c r="V48" s="1272" t="s">
        <v>232</v>
      </c>
      <c r="W48" s="1272" t="str">
        <f>IF(V48="na","na",V48/P48)</f>
        <v>na</v>
      </c>
      <c r="X48" s="412" t="str">
        <f>IF(V48="na","na",V48/R48)</f>
        <v>na</v>
      </c>
      <c r="Y48" s="1272" t="s">
        <v>232</v>
      </c>
      <c r="Z48" s="412" t="str">
        <f>IF(ISNUMBER(Y48),Y48*70*1000/20,"na")</f>
        <v>na</v>
      </c>
      <c r="AA48" s="412" t="s">
        <v>221</v>
      </c>
      <c r="AB48" s="439" t="s">
        <v>232</v>
      </c>
      <c r="AC48" s="1242" t="s">
        <v>232</v>
      </c>
      <c r="AD48" s="1259" t="s">
        <v>232</v>
      </c>
      <c r="AE48" s="1259">
        <v>0.1</v>
      </c>
      <c r="AF48" s="1292" t="s">
        <v>221</v>
      </c>
      <c r="AG48" s="538" t="s">
        <v>221</v>
      </c>
      <c r="AH48" s="452" t="s">
        <v>221</v>
      </c>
      <c r="AI48" s="452" t="s">
        <v>221</v>
      </c>
      <c r="AJ48" s="452" t="s">
        <v>221</v>
      </c>
      <c r="AK48" s="449" t="str">
        <f>IF(AND(OR(AG48="YES",AH48="YES"),OR(AI48="YES",AJ48="YES")),"YES","no")</f>
        <v>no</v>
      </c>
      <c r="AL48" s="221" t="s">
        <v>232</v>
      </c>
      <c r="AM48" s="406" t="s">
        <v>232</v>
      </c>
      <c r="AN48" s="1330" t="str">
        <f t="shared" si="26"/>
        <v>na</v>
      </c>
      <c r="AP48" s="1062"/>
    </row>
    <row r="49" spans="1:44" ht="13.9" customHeight="1" x14ac:dyDescent="0.25">
      <c r="A49" s="847">
        <f>Chem!A49</f>
        <v>47</v>
      </c>
      <c r="B49" s="865" t="str">
        <f>Chem!B49</f>
        <v>Tributyl tin</v>
      </c>
      <c r="C49" s="384">
        <v>8090</v>
      </c>
      <c r="D49" s="384" t="s">
        <v>232</v>
      </c>
      <c r="E49" s="387">
        <f t="shared" si="0"/>
        <v>8.09</v>
      </c>
      <c r="F49" s="387">
        <f t="shared" si="1"/>
        <v>8.09</v>
      </c>
      <c r="G49" s="387" t="s">
        <v>232</v>
      </c>
      <c r="H49" s="387" t="s">
        <v>232</v>
      </c>
      <c r="I49" s="387">
        <f t="shared" si="24"/>
        <v>153.71</v>
      </c>
      <c r="J49" s="387">
        <f t="shared" si="4"/>
        <v>153.71</v>
      </c>
      <c r="K49" s="400">
        <v>36.5</v>
      </c>
      <c r="L49" s="400">
        <v>62.1</v>
      </c>
      <c r="M49" s="400">
        <f t="shared" si="25"/>
        <v>36.5</v>
      </c>
      <c r="N49" s="271" t="s">
        <v>232</v>
      </c>
      <c r="O49" s="425" t="s">
        <v>232</v>
      </c>
      <c r="P49" s="1640">
        <v>0.8</v>
      </c>
      <c r="Q49" s="426" t="str">
        <f>IF(O49="na","na",O49*P49)</f>
        <v>na</v>
      </c>
      <c r="R49" s="1665">
        <v>1</v>
      </c>
      <c r="S49" s="426" t="str">
        <f>IF(O49="na","na",O49*R49)</f>
        <v>na</v>
      </c>
      <c r="T49" s="425" t="s">
        <v>232</v>
      </c>
      <c r="U49" s="426" t="str">
        <f>IF(ISNUMBER(T49),T49*20/70,"na")</f>
        <v>na</v>
      </c>
      <c r="V49" s="1272" t="s">
        <v>232</v>
      </c>
      <c r="W49" s="1272" t="str">
        <f>IF(V49="na","na",V49/P49)</f>
        <v>na</v>
      </c>
      <c r="X49" s="412" t="str">
        <f>IF(V49="na","na",V49/R49)</f>
        <v>na</v>
      </c>
      <c r="Y49" s="1272" t="s">
        <v>232</v>
      </c>
      <c r="Z49" s="412" t="str">
        <f>IF(ISNUMBER(Y49),Y49*70*1000/20,"na")</f>
        <v>na</v>
      </c>
      <c r="AA49" s="412" t="s">
        <v>221</v>
      </c>
      <c r="AB49" s="439">
        <v>2</v>
      </c>
      <c r="AC49" s="1242">
        <v>0.03</v>
      </c>
      <c r="AD49" s="1259">
        <v>1</v>
      </c>
      <c r="AE49" s="1259">
        <v>0.1</v>
      </c>
      <c r="AF49" s="1292" t="s">
        <v>221</v>
      </c>
      <c r="AG49" s="538" t="s">
        <v>221</v>
      </c>
      <c r="AH49" s="452" t="s">
        <v>221</v>
      </c>
      <c r="AI49" s="452" t="s">
        <v>221</v>
      </c>
      <c r="AJ49" s="452" t="s">
        <v>221</v>
      </c>
      <c r="AK49" s="449" t="str">
        <f>IF(AND(OR(AG49="YES",AH49="YES"),OR(AI49="YES",AJ49="YES")),"YES","no")</f>
        <v>no</v>
      </c>
      <c r="AL49" s="221" t="s">
        <v>232</v>
      </c>
      <c r="AM49" s="406" t="s">
        <v>232</v>
      </c>
      <c r="AN49" s="1330" t="str">
        <f t="shared" si="26"/>
        <v>na</v>
      </c>
      <c r="AP49" s="1062"/>
    </row>
    <row r="50" spans="1:44" ht="13.9" customHeight="1" x14ac:dyDescent="0.25">
      <c r="A50" s="847">
        <f>Chem!A50</f>
        <v>48</v>
      </c>
      <c r="B50" s="865" t="str">
        <f>Chem!B50</f>
        <v>Tributyltin oxide</v>
      </c>
      <c r="C50" s="384">
        <v>25900000</v>
      </c>
      <c r="D50" s="384" t="s">
        <v>232</v>
      </c>
      <c r="E50" s="387">
        <f t="shared" si="0"/>
        <v>25900</v>
      </c>
      <c r="F50" s="387">
        <f t="shared" si="1"/>
        <v>25900</v>
      </c>
      <c r="G50" s="387" t="s">
        <v>232</v>
      </c>
      <c r="H50" s="387" t="s">
        <v>232</v>
      </c>
      <c r="I50" s="387">
        <f t="shared" si="24"/>
        <v>492100</v>
      </c>
      <c r="J50" s="387">
        <f t="shared" si="4"/>
        <v>492100</v>
      </c>
      <c r="K50" s="400" t="s">
        <v>232</v>
      </c>
      <c r="L50" s="400">
        <v>1.2346688470972999E-5</v>
      </c>
      <c r="M50" s="400">
        <f t="shared" si="25"/>
        <v>1.2346688470972999E-5</v>
      </c>
      <c r="N50" s="271" t="s">
        <v>232</v>
      </c>
      <c r="O50" s="425">
        <v>2.9999999999999997E-4</v>
      </c>
      <c r="P50" s="1640">
        <v>0.5</v>
      </c>
      <c r="Q50" s="426">
        <f>IF(O50="na","na",O50*P50)</f>
        <v>1.4999999999999999E-4</v>
      </c>
      <c r="R50" s="1665">
        <v>1</v>
      </c>
      <c r="S50" s="426">
        <f>IF(O50="na","na",O50*R50)</f>
        <v>2.9999999999999997E-4</v>
      </c>
      <c r="T50" s="425" t="s">
        <v>232</v>
      </c>
      <c r="U50" s="426" t="str">
        <f>IF(ISNUMBER(T50),T50*20/70,"na")</f>
        <v>na</v>
      </c>
      <c r="V50" s="1272" t="s">
        <v>232</v>
      </c>
      <c r="W50" s="1272" t="str">
        <f>IF(V50="na","na",V50/P50)</f>
        <v>na</v>
      </c>
      <c r="X50" s="412" t="str">
        <f>IF(V50="na","na",V50/R50)</f>
        <v>na</v>
      </c>
      <c r="Y50" s="1272" t="s">
        <v>232</v>
      </c>
      <c r="Z50" s="412" t="str">
        <f>IF(ISNUMBER(Y50),Y50*70*1000/20,"na")</f>
        <v>na</v>
      </c>
      <c r="AA50" s="412" t="s">
        <v>221</v>
      </c>
      <c r="AB50" s="439">
        <v>1</v>
      </c>
      <c r="AC50" s="1242">
        <v>0.1</v>
      </c>
      <c r="AD50" s="1259">
        <v>1</v>
      </c>
      <c r="AE50" s="1259">
        <v>0.1</v>
      </c>
      <c r="AF50" s="1292" t="s">
        <v>221</v>
      </c>
      <c r="AG50" s="538" t="s">
        <v>221</v>
      </c>
      <c r="AH50" s="452" t="s">
        <v>144</v>
      </c>
      <c r="AI50" s="452" t="s">
        <v>144</v>
      </c>
      <c r="AJ50" s="452" t="s">
        <v>221</v>
      </c>
      <c r="AK50" s="449" t="str">
        <f>IF(AND(OR(AG50="YES",AH50="YES"),OR(AI50="YES",AJ50="YES")),"YES","no")</f>
        <v>YES</v>
      </c>
      <c r="AL50" s="221" t="s">
        <v>232</v>
      </c>
      <c r="AM50" s="406" t="s">
        <v>232</v>
      </c>
      <c r="AN50" s="1330" t="str">
        <f t="shared" si="26"/>
        <v>na</v>
      </c>
      <c r="AP50" s="1062"/>
    </row>
    <row r="51" spans="1:44" ht="13.9" customHeight="1" x14ac:dyDescent="0.25">
      <c r="A51" s="847">
        <f>Chem!A51</f>
        <v>49</v>
      </c>
      <c r="B51" s="868" t="str">
        <f>Chem!B51</f>
        <v>Tetrabutyltin</v>
      </c>
      <c r="C51" s="384" t="s">
        <v>232</v>
      </c>
      <c r="D51" s="384" t="s">
        <v>232</v>
      </c>
      <c r="E51" s="387" t="str">
        <f t="shared" si="0"/>
        <v>na</v>
      </c>
      <c r="F51" s="387" t="str">
        <f t="shared" si="1"/>
        <v>na</v>
      </c>
      <c r="G51" s="387" t="s">
        <v>232</v>
      </c>
      <c r="H51" s="387" t="s">
        <v>232</v>
      </c>
      <c r="I51" s="387" t="str">
        <f t="shared" si="24"/>
        <v>na</v>
      </c>
      <c r="J51" s="387" t="str">
        <f t="shared" si="4"/>
        <v>na</v>
      </c>
      <c r="K51" s="400" t="s">
        <v>232</v>
      </c>
      <c r="L51" s="400" t="s">
        <v>232</v>
      </c>
      <c r="M51" s="400">
        <f t="shared" si="25"/>
        <v>0</v>
      </c>
      <c r="N51" s="271" t="s">
        <v>232</v>
      </c>
      <c r="O51" s="425" t="s">
        <v>232</v>
      </c>
      <c r="P51" s="1640">
        <v>1</v>
      </c>
      <c r="Q51" s="426" t="str">
        <f>IF(O51="na","na",O51*P51)</f>
        <v>na</v>
      </c>
      <c r="R51" s="1665">
        <v>1</v>
      </c>
      <c r="S51" s="426" t="str">
        <f>IF(O51="na","na",O51*R51)</f>
        <v>na</v>
      </c>
      <c r="T51" s="425" t="s">
        <v>232</v>
      </c>
      <c r="U51" s="551" t="str">
        <f>IF(ISNUMBER(T51),T51*20/70,"na")</f>
        <v>na</v>
      </c>
      <c r="V51" s="1272" t="s">
        <v>232</v>
      </c>
      <c r="W51" s="1272" t="str">
        <f>IF(V51="na","na",V51/P51)</f>
        <v>na</v>
      </c>
      <c r="X51" s="417" t="str">
        <f>IF(V51="na","na",V51/R51)</f>
        <v>na</v>
      </c>
      <c r="Y51" s="1275" t="s">
        <v>232</v>
      </c>
      <c r="Z51" s="413" t="str">
        <f>IF(ISNUMBER(Y51),Y51*70*1000/20,"na")</f>
        <v>na</v>
      </c>
      <c r="AA51" s="413" t="s">
        <v>221</v>
      </c>
      <c r="AB51" s="440">
        <v>1</v>
      </c>
      <c r="AC51" s="1242" t="s">
        <v>232</v>
      </c>
      <c r="AD51" s="1259">
        <v>1</v>
      </c>
      <c r="AE51" s="1259">
        <v>0.1</v>
      </c>
      <c r="AF51" s="1292" t="s">
        <v>221</v>
      </c>
      <c r="AG51" s="538" t="s">
        <v>221</v>
      </c>
      <c r="AH51" s="452" t="s">
        <v>221</v>
      </c>
      <c r="AI51" s="452" t="s">
        <v>221</v>
      </c>
      <c r="AJ51" s="452" t="s">
        <v>221</v>
      </c>
      <c r="AK51" s="449" t="str">
        <f>IF(AND(OR(AG51="YES",AH51="YES"),OR(AI51="YES",AJ51="YES")),"YES","no")</f>
        <v>no</v>
      </c>
      <c r="AL51" s="257" t="s">
        <v>232</v>
      </c>
      <c r="AM51" s="543" t="s">
        <v>232</v>
      </c>
      <c r="AN51" s="545" t="str">
        <f t="shared" si="26"/>
        <v>na</v>
      </c>
      <c r="AP51" s="1062"/>
    </row>
    <row r="52" spans="1:44" s="373" customFormat="1" ht="13.9" customHeight="1" x14ac:dyDescent="0.25">
      <c r="A52" s="906">
        <f>Chem!A52</f>
        <v>50</v>
      </c>
      <c r="B52" s="850" t="str">
        <f>Chem!B52</f>
        <v>SVOCs - PAHs</v>
      </c>
      <c r="C52" s="259"/>
      <c r="D52" s="259"/>
      <c r="E52" s="259">
        <f t="shared" si="0"/>
        <v>0</v>
      </c>
      <c r="F52" s="259">
        <f t="shared" si="1"/>
        <v>0</v>
      </c>
      <c r="G52" s="259" t="s">
        <v>232</v>
      </c>
      <c r="H52" s="259"/>
      <c r="I52" s="259">
        <f t="shared" si="24"/>
        <v>0</v>
      </c>
      <c r="J52" s="259">
        <f t="shared" si="4"/>
        <v>0</v>
      </c>
      <c r="K52" s="259"/>
      <c r="L52" s="259"/>
      <c r="M52" s="259"/>
      <c r="N52" s="259"/>
      <c r="O52" s="259"/>
      <c r="P52" s="2342"/>
      <c r="Q52" s="259"/>
      <c r="R52" s="2343"/>
      <c r="S52" s="259"/>
      <c r="T52" s="259"/>
      <c r="U52" s="259"/>
      <c r="V52" s="259"/>
      <c r="W52" s="2518"/>
      <c r="X52" s="259"/>
      <c r="Y52" s="259"/>
      <c r="Z52" s="259"/>
      <c r="AA52" s="259"/>
      <c r="AB52" s="2343"/>
      <c r="AC52" s="2344"/>
      <c r="AD52" s="2344"/>
      <c r="AE52" s="2344"/>
      <c r="AF52" s="2345"/>
      <c r="AG52" s="259"/>
      <c r="AH52" s="259"/>
      <c r="AI52" s="259"/>
      <c r="AJ52" s="259"/>
      <c r="AK52" s="259"/>
      <c r="AL52" s="1495"/>
      <c r="AM52" s="1495"/>
      <c r="AN52" s="2346"/>
      <c r="AP52" s="1063"/>
      <c r="AR52" s="839"/>
    </row>
    <row r="53" spans="1:44" s="373" customFormat="1" ht="13.9" customHeight="1" x14ac:dyDescent="0.25">
      <c r="A53" s="846">
        <f>Chem!A53</f>
        <v>51</v>
      </c>
      <c r="B53" s="869" t="str">
        <f>Chem!B53</f>
        <v>Acenaphthene</v>
      </c>
      <c r="C53" s="393">
        <v>4900</v>
      </c>
      <c r="D53" s="393" t="s">
        <v>232</v>
      </c>
      <c r="E53" s="387">
        <f t="shared" si="0"/>
        <v>4.9000000000000004</v>
      </c>
      <c r="F53" s="387">
        <f t="shared" si="1"/>
        <v>4.9000000000000004</v>
      </c>
      <c r="G53" s="387" t="s">
        <v>232</v>
      </c>
      <c r="H53" s="387" t="s">
        <v>232</v>
      </c>
      <c r="I53" s="387">
        <f t="shared" si="24"/>
        <v>93.1</v>
      </c>
      <c r="J53" s="387">
        <f t="shared" si="4"/>
        <v>93.1</v>
      </c>
      <c r="K53" s="405">
        <v>2.4976001562642815E-3</v>
      </c>
      <c r="L53" s="405">
        <v>7.5224856909239602E-3</v>
      </c>
      <c r="M53" s="405">
        <f t="shared" ref="M53:M77" si="27">IF(ISNUMBER(K53),K53,IF(ISNUMBER(L53),L53,0))</f>
        <v>2.4976001562642815E-3</v>
      </c>
      <c r="N53" s="253">
        <v>242</v>
      </c>
      <c r="O53" s="434">
        <v>0.06</v>
      </c>
      <c r="P53" s="1653">
        <v>0.89</v>
      </c>
      <c r="Q53" s="434">
        <f t="shared" ref="Q53:Q76" si="28">IF(O53="na","na",O53*P53)</f>
        <v>5.3399999999999996E-2</v>
      </c>
      <c r="R53" s="1678">
        <v>1</v>
      </c>
      <c r="S53" s="434">
        <f t="shared" ref="S53:S77" si="29">IF(O53="na","na",O53*R53)</f>
        <v>0.06</v>
      </c>
      <c r="T53" s="434" t="s">
        <v>232</v>
      </c>
      <c r="U53" s="434" t="str">
        <f t="shared" ref="U53:U77" si="30">IF(ISNUMBER(T53),T53*20/70,"na")</f>
        <v>na</v>
      </c>
      <c r="V53" s="1276" t="s">
        <v>232</v>
      </c>
      <c r="W53" s="1276" t="str">
        <f t="shared" ref="W53:W76" si="31">IF(V53="na","na",V53/P53)</f>
        <v>na</v>
      </c>
      <c r="X53" s="416" t="str">
        <f t="shared" ref="X53:X77" si="32">IF(V53="na","na",V53/R53)</f>
        <v>na</v>
      </c>
      <c r="Y53" s="1276" t="s">
        <v>232</v>
      </c>
      <c r="Z53" s="416" t="str">
        <f t="shared" ref="Z53:Z77" si="33">IF(ISNUMBER(Y53),Y53*70*1000/20,"na")</f>
        <v>na</v>
      </c>
      <c r="AA53" s="416" t="s">
        <v>221</v>
      </c>
      <c r="AB53" s="442">
        <v>2</v>
      </c>
      <c r="AC53" s="1249">
        <v>0.13</v>
      </c>
      <c r="AD53" s="1260">
        <v>1</v>
      </c>
      <c r="AE53" s="1260">
        <v>0.13</v>
      </c>
      <c r="AF53" s="1291" t="s">
        <v>221</v>
      </c>
      <c r="AG53" s="1288" t="s">
        <v>221</v>
      </c>
      <c r="AH53" s="454" t="s">
        <v>221</v>
      </c>
      <c r="AI53" s="452" t="s">
        <v>221</v>
      </c>
      <c r="AJ53" s="452" t="s">
        <v>221</v>
      </c>
      <c r="AK53" s="449" t="str">
        <f t="shared" ref="AK53:AK77" si="34">IF(AND(OR(AG53="YES",AH53="YES"),OR(AI53="YES",AJ53="YES")),"YES","no")</f>
        <v>no</v>
      </c>
      <c r="AL53" s="253" t="s">
        <v>232</v>
      </c>
      <c r="AM53" s="405" t="s">
        <v>232</v>
      </c>
      <c r="AN53" s="1152" t="str">
        <f t="shared" ref="AN53:AN77" si="35">AM53</f>
        <v>na</v>
      </c>
      <c r="AP53" s="1062"/>
      <c r="AR53" s="839"/>
    </row>
    <row r="54" spans="1:44" ht="13.9" customHeight="1" x14ac:dyDescent="0.25">
      <c r="A54" s="847">
        <f>Chem!A54</f>
        <v>52</v>
      </c>
      <c r="B54" s="867" t="str">
        <f>Chem!B54</f>
        <v>Acenaphthylene</v>
      </c>
      <c r="C54" s="343" t="s">
        <v>232</v>
      </c>
      <c r="D54" s="343" t="s">
        <v>232</v>
      </c>
      <c r="E54" s="387" t="str">
        <f t="shared" si="0"/>
        <v>na</v>
      </c>
      <c r="F54" s="387" t="str">
        <f t="shared" si="1"/>
        <v>na</v>
      </c>
      <c r="G54" s="387" t="s">
        <v>232</v>
      </c>
      <c r="H54" s="387" t="s">
        <v>232</v>
      </c>
      <c r="I54" s="387" t="str">
        <f t="shared" si="24"/>
        <v>na</v>
      </c>
      <c r="J54" s="387" t="str">
        <f t="shared" si="4"/>
        <v>na</v>
      </c>
      <c r="K54" s="406" t="s">
        <v>232</v>
      </c>
      <c r="L54" s="406" t="s">
        <v>232</v>
      </c>
      <c r="M54" s="406">
        <f t="shared" si="27"/>
        <v>0</v>
      </c>
      <c r="N54" s="221" t="s">
        <v>232</v>
      </c>
      <c r="O54" s="426" t="s">
        <v>232</v>
      </c>
      <c r="P54" s="1650">
        <v>1</v>
      </c>
      <c r="Q54" s="426" t="str">
        <f t="shared" si="28"/>
        <v>na</v>
      </c>
      <c r="R54" s="1666">
        <v>1</v>
      </c>
      <c r="S54" s="426" t="str">
        <f t="shared" si="29"/>
        <v>na</v>
      </c>
      <c r="T54" s="426" t="s">
        <v>232</v>
      </c>
      <c r="U54" s="426" t="str">
        <f t="shared" si="30"/>
        <v>na</v>
      </c>
      <c r="V54" s="1272" t="s">
        <v>232</v>
      </c>
      <c r="W54" s="1272" t="str">
        <f t="shared" si="31"/>
        <v>na</v>
      </c>
      <c r="X54" s="412" t="str">
        <f t="shared" si="32"/>
        <v>na</v>
      </c>
      <c r="Y54" s="1272" t="s">
        <v>232</v>
      </c>
      <c r="Z54" s="412" t="str">
        <f t="shared" si="33"/>
        <v>na</v>
      </c>
      <c r="AA54" s="412" t="s">
        <v>221</v>
      </c>
      <c r="AB54" s="439" t="s">
        <v>232</v>
      </c>
      <c r="AC54" s="1242" t="s">
        <v>232</v>
      </c>
      <c r="AD54" s="1257" t="s">
        <v>232</v>
      </c>
      <c r="AE54" s="1257">
        <v>0.13</v>
      </c>
      <c r="AF54" s="1292" t="s">
        <v>221</v>
      </c>
      <c r="AG54" s="535" t="s">
        <v>221</v>
      </c>
      <c r="AH54" s="449" t="s">
        <v>221</v>
      </c>
      <c r="AI54" s="449" t="s">
        <v>221</v>
      </c>
      <c r="AJ54" s="449" t="s">
        <v>221</v>
      </c>
      <c r="AK54" s="449" t="str">
        <f t="shared" si="34"/>
        <v>no</v>
      </c>
      <c r="AL54" s="221" t="s">
        <v>232</v>
      </c>
      <c r="AM54" s="406" t="s">
        <v>232</v>
      </c>
      <c r="AN54" s="1330" t="str">
        <f t="shared" si="35"/>
        <v>na</v>
      </c>
      <c r="AP54" s="1062"/>
    </row>
    <row r="55" spans="1:44" ht="13.9" customHeight="1" x14ac:dyDescent="0.25">
      <c r="A55" s="847">
        <f>Chem!A55</f>
        <v>53</v>
      </c>
      <c r="B55" s="867" t="str">
        <f>Chem!B55</f>
        <v>Anthracene</v>
      </c>
      <c r="C55" s="384">
        <v>23500</v>
      </c>
      <c r="D55" s="384" t="s">
        <v>232</v>
      </c>
      <c r="E55" s="387">
        <f t="shared" si="0"/>
        <v>23.5</v>
      </c>
      <c r="F55" s="387">
        <f t="shared" si="1"/>
        <v>23.5</v>
      </c>
      <c r="G55" s="387" t="s">
        <v>232</v>
      </c>
      <c r="H55" s="387" t="s">
        <v>232</v>
      </c>
      <c r="I55" s="387">
        <f t="shared" si="24"/>
        <v>446.5</v>
      </c>
      <c r="J55" s="387">
        <f t="shared" si="4"/>
        <v>446.5</v>
      </c>
      <c r="K55" s="400">
        <v>6.5113963722621029E-4</v>
      </c>
      <c r="L55" s="400">
        <v>2.27309893704007E-3</v>
      </c>
      <c r="M55" s="400">
        <f t="shared" si="27"/>
        <v>6.5113963722621029E-4</v>
      </c>
      <c r="N55" s="271">
        <v>30</v>
      </c>
      <c r="O55" s="425">
        <v>0.3</v>
      </c>
      <c r="P55" s="1650">
        <v>0.89</v>
      </c>
      <c r="Q55" s="426">
        <f t="shared" si="28"/>
        <v>0.26700000000000002</v>
      </c>
      <c r="R55" s="1666">
        <v>1</v>
      </c>
      <c r="S55" s="426">
        <f t="shared" si="29"/>
        <v>0.3</v>
      </c>
      <c r="T55" s="425" t="s">
        <v>232</v>
      </c>
      <c r="U55" s="426" t="str">
        <f t="shared" si="30"/>
        <v>na</v>
      </c>
      <c r="V55" s="1272" t="s">
        <v>232</v>
      </c>
      <c r="W55" s="1272" t="str">
        <f t="shared" si="31"/>
        <v>na</v>
      </c>
      <c r="X55" s="412" t="str">
        <f t="shared" si="32"/>
        <v>na</v>
      </c>
      <c r="Y55" s="1272" t="s">
        <v>232</v>
      </c>
      <c r="Z55" s="412" t="str">
        <f t="shared" si="33"/>
        <v>na</v>
      </c>
      <c r="AA55" s="412" t="s">
        <v>221</v>
      </c>
      <c r="AB55" s="439">
        <v>2</v>
      </c>
      <c r="AC55" s="1242">
        <v>0.13</v>
      </c>
      <c r="AD55" s="1257">
        <v>1</v>
      </c>
      <c r="AE55" s="1257">
        <v>0.13</v>
      </c>
      <c r="AF55" s="1292" t="s">
        <v>221</v>
      </c>
      <c r="AG55" s="535" t="s">
        <v>221</v>
      </c>
      <c r="AH55" s="449" t="s">
        <v>221</v>
      </c>
      <c r="AI55" s="449" t="s">
        <v>221</v>
      </c>
      <c r="AJ55" s="449" t="s">
        <v>221</v>
      </c>
      <c r="AK55" s="449" t="str">
        <f t="shared" si="34"/>
        <v>no</v>
      </c>
      <c r="AL55" s="221" t="s">
        <v>232</v>
      </c>
      <c r="AM55" s="406" t="s">
        <v>232</v>
      </c>
      <c r="AN55" s="1330" t="str">
        <f t="shared" si="35"/>
        <v>na</v>
      </c>
      <c r="AP55" s="1062"/>
    </row>
    <row r="56" spans="1:44" ht="13.9" customHeight="1" x14ac:dyDescent="0.25">
      <c r="A56" s="847">
        <f>Chem!A56</f>
        <v>54</v>
      </c>
      <c r="B56" s="867" t="str">
        <f>Chem!B56</f>
        <v>Benzo(a)anthracene</v>
      </c>
      <c r="C56" s="384">
        <v>357537</v>
      </c>
      <c r="D56" s="384" t="s">
        <v>232</v>
      </c>
      <c r="E56" s="387">
        <f t="shared" si="0"/>
        <v>357.53700000000003</v>
      </c>
      <c r="F56" s="387">
        <f t="shared" si="1"/>
        <v>357.53700000000003</v>
      </c>
      <c r="G56" s="387" t="s">
        <v>232</v>
      </c>
      <c r="H56" s="387" t="s">
        <v>232</v>
      </c>
      <c r="I56" s="387">
        <f t="shared" si="24"/>
        <v>6793.2029999999995</v>
      </c>
      <c r="J56" s="387">
        <f t="shared" si="4"/>
        <v>6793.2029999999995</v>
      </c>
      <c r="K56" s="400">
        <v>9.5974778022468905E-5</v>
      </c>
      <c r="L56" s="400">
        <v>4.9059689288634498E-4</v>
      </c>
      <c r="M56" s="400">
        <f t="shared" si="27"/>
        <v>9.5974778022468905E-5</v>
      </c>
      <c r="N56" s="271">
        <v>30</v>
      </c>
      <c r="O56" s="425" t="s">
        <v>232</v>
      </c>
      <c r="P56" s="1650">
        <v>0.89</v>
      </c>
      <c r="Q56" s="426" t="str">
        <f t="shared" si="28"/>
        <v>na</v>
      </c>
      <c r="R56" s="1666">
        <v>1</v>
      </c>
      <c r="S56" s="426" t="str">
        <f t="shared" si="29"/>
        <v>na</v>
      </c>
      <c r="T56" s="425" t="s">
        <v>232</v>
      </c>
      <c r="U56" s="426" t="str">
        <f t="shared" si="30"/>
        <v>na</v>
      </c>
      <c r="V56" s="1272" t="s">
        <v>232</v>
      </c>
      <c r="W56" s="1272" t="str">
        <f t="shared" si="31"/>
        <v>na</v>
      </c>
      <c r="X56" s="412" t="str">
        <f t="shared" si="32"/>
        <v>na</v>
      </c>
      <c r="Y56" s="1272" t="s">
        <v>232</v>
      </c>
      <c r="Z56" s="412" t="str">
        <f t="shared" si="33"/>
        <v>na</v>
      </c>
      <c r="AA56" s="412" t="s">
        <v>221</v>
      </c>
      <c r="AB56" s="439">
        <v>1</v>
      </c>
      <c r="AC56" s="1242">
        <v>0.13</v>
      </c>
      <c r="AD56" s="1257">
        <v>1</v>
      </c>
      <c r="AE56" s="1257">
        <v>0.13</v>
      </c>
      <c r="AF56" s="1292" t="s">
        <v>221</v>
      </c>
      <c r="AG56" s="535" t="s">
        <v>144</v>
      </c>
      <c r="AH56" s="449" t="s">
        <v>221</v>
      </c>
      <c r="AI56" s="449" t="s">
        <v>221</v>
      </c>
      <c r="AJ56" s="449" t="s">
        <v>221</v>
      </c>
      <c r="AK56" s="449" t="str">
        <f t="shared" si="34"/>
        <v>no</v>
      </c>
      <c r="AL56" s="221" t="s">
        <v>232</v>
      </c>
      <c r="AM56" s="406" t="s">
        <v>232</v>
      </c>
      <c r="AN56" s="1330" t="str">
        <f t="shared" si="35"/>
        <v>na</v>
      </c>
      <c r="AP56" s="1062"/>
    </row>
    <row r="57" spans="1:44" ht="13.9" customHeight="1" x14ac:dyDescent="0.25">
      <c r="A57" s="847">
        <f>Chem!A57</f>
        <v>55</v>
      </c>
      <c r="B57" s="865" t="str">
        <f>Chem!B57</f>
        <v>Benzo(b)fluoranthene</v>
      </c>
      <c r="C57" s="384">
        <v>599000</v>
      </c>
      <c r="D57" s="384" t="s">
        <v>232</v>
      </c>
      <c r="E57" s="387">
        <f t="shared" si="0"/>
        <v>599</v>
      </c>
      <c r="F57" s="387">
        <f t="shared" si="1"/>
        <v>599</v>
      </c>
      <c r="G57" s="387" t="s">
        <v>232</v>
      </c>
      <c r="H57" s="387" t="s">
        <v>232</v>
      </c>
      <c r="I57" s="387">
        <f t="shared" si="24"/>
        <v>11381</v>
      </c>
      <c r="J57" s="387">
        <f t="shared" si="4"/>
        <v>11381</v>
      </c>
      <c r="K57" s="400">
        <v>6.0395683826469744E-6</v>
      </c>
      <c r="L57" s="400">
        <v>2.68601798855274E-5</v>
      </c>
      <c r="M57" s="400">
        <f t="shared" si="27"/>
        <v>6.0395683826469744E-6</v>
      </c>
      <c r="N57" s="271">
        <v>30</v>
      </c>
      <c r="O57" s="425" t="s">
        <v>232</v>
      </c>
      <c r="P57" s="1650">
        <v>0.89</v>
      </c>
      <c r="Q57" s="426" t="str">
        <f t="shared" si="28"/>
        <v>na</v>
      </c>
      <c r="R57" s="1666">
        <v>1</v>
      </c>
      <c r="S57" s="426" t="str">
        <f t="shared" si="29"/>
        <v>na</v>
      </c>
      <c r="T57" s="425" t="s">
        <v>232</v>
      </c>
      <c r="U57" s="426" t="str">
        <f t="shared" si="30"/>
        <v>na</v>
      </c>
      <c r="V57" s="1272" t="s">
        <v>232</v>
      </c>
      <c r="W57" s="1272" t="str">
        <f t="shared" si="31"/>
        <v>na</v>
      </c>
      <c r="X57" s="412" t="str">
        <f t="shared" si="32"/>
        <v>na</v>
      </c>
      <c r="Y57" s="1272" t="s">
        <v>232</v>
      </c>
      <c r="Z57" s="412" t="str">
        <f t="shared" si="33"/>
        <v>na</v>
      </c>
      <c r="AA57" s="412" t="s">
        <v>221</v>
      </c>
      <c r="AB57" s="439">
        <v>1</v>
      </c>
      <c r="AC57" s="1242">
        <v>0.13</v>
      </c>
      <c r="AD57" s="1257">
        <v>1</v>
      </c>
      <c r="AE57" s="1257">
        <v>0.13</v>
      </c>
      <c r="AF57" s="1292" t="s">
        <v>221</v>
      </c>
      <c r="AG57" s="535" t="s">
        <v>144</v>
      </c>
      <c r="AH57" s="449" t="s">
        <v>221</v>
      </c>
      <c r="AI57" s="449" t="s">
        <v>221</v>
      </c>
      <c r="AJ57" s="449" t="s">
        <v>221</v>
      </c>
      <c r="AK57" s="449" t="str">
        <f t="shared" si="34"/>
        <v>no</v>
      </c>
      <c r="AL57" s="221" t="s">
        <v>232</v>
      </c>
      <c r="AM57" s="406" t="s">
        <v>232</v>
      </c>
      <c r="AN57" s="1330" t="str">
        <f t="shared" si="35"/>
        <v>na</v>
      </c>
      <c r="AP57" s="1062"/>
    </row>
    <row r="58" spans="1:44" ht="13.9" customHeight="1" x14ac:dyDescent="0.25">
      <c r="A58" s="847">
        <f>Chem!A58</f>
        <v>56</v>
      </c>
      <c r="B58" s="865" t="str">
        <f>Chem!B58</f>
        <v>Benzo(k)fluoranthene</v>
      </c>
      <c r="C58" s="384">
        <v>587000</v>
      </c>
      <c r="D58" s="384" t="s">
        <v>232</v>
      </c>
      <c r="E58" s="387">
        <f t="shared" si="0"/>
        <v>587</v>
      </c>
      <c r="F58" s="387">
        <f t="shared" si="1"/>
        <v>587</v>
      </c>
      <c r="G58" s="387" t="s">
        <v>232</v>
      </c>
      <c r="H58" s="387" t="s">
        <v>232</v>
      </c>
      <c r="I58" s="387">
        <f t="shared" si="24"/>
        <v>11153</v>
      </c>
      <c r="J58" s="387">
        <f t="shared" si="4"/>
        <v>11153</v>
      </c>
      <c r="K58" s="400">
        <v>4.2760559257760598E-6</v>
      </c>
      <c r="L58" s="400">
        <v>2.38757154538021E-5</v>
      </c>
      <c r="M58" s="400">
        <f t="shared" si="27"/>
        <v>4.2760559257760598E-6</v>
      </c>
      <c r="N58" s="271">
        <v>30</v>
      </c>
      <c r="O58" s="425" t="s">
        <v>232</v>
      </c>
      <c r="P58" s="1650">
        <v>0.89</v>
      </c>
      <c r="Q58" s="426" t="str">
        <f t="shared" si="28"/>
        <v>na</v>
      </c>
      <c r="R58" s="1666">
        <v>1</v>
      </c>
      <c r="S58" s="426" t="str">
        <f t="shared" si="29"/>
        <v>na</v>
      </c>
      <c r="T58" s="425" t="s">
        <v>232</v>
      </c>
      <c r="U58" s="426" t="str">
        <f t="shared" si="30"/>
        <v>na</v>
      </c>
      <c r="V58" s="1272" t="s">
        <v>232</v>
      </c>
      <c r="W58" s="1272" t="str">
        <f t="shared" si="31"/>
        <v>na</v>
      </c>
      <c r="X58" s="412" t="str">
        <f t="shared" si="32"/>
        <v>na</v>
      </c>
      <c r="Y58" s="1272" t="s">
        <v>232</v>
      </c>
      <c r="Z58" s="412" t="str">
        <f t="shared" si="33"/>
        <v>na</v>
      </c>
      <c r="AA58" s="412" t="s">
        <v>221</v>
      </c>
      <c r="AB58" s="439">
        <v>1</v>
      </c>
      <c r="AC58" s="1242">
        <v>0.13</v>
      </c>
      <c r="AD58" s="1257">
        <v>1</v>
      </c>
      <c r="AE58" s="1257">
        <v>0.13</v>
      </c>
      <c r="AF58" s="1292" t="s">
        <v>221</v>
      </c>
      <c r="AG58" s="535" t="s">
        <v>144</v>
      </c>
      <c r="AH58" s="449" t="s">
        <v>221</v>
      </c>
      <c r="AI58" s="449" t="s">
        <v>221</v>
      </c>
      <c r="AJ58" s="449" t="s">
        <v>221</v>
      </c>
      <c r="AK58" s="449" t="str">
        <f t="shared" si="34"/>
        <v>no</v>
      </c>
      <c r="AL58" s="221" t="s">
        <v>232</v>
      </c>
      <c r="AM58" s="406" t="s">
        <v>232</v>
      </c>
      <c r="AN58" s="1330" t="str">
        <f t="shared" si="35"/>
        <v>na</v>
      </c>
      <c r="AP58" s="1062"/>
    </row>
    <row r="59" spans="1:44" ht="13.9" customHeight="1" x14ac:dyDescent="0.25">
      <c r="A59" s="847">
        <f>Chem!A59</f>
        <v>57</v>
      </c>
      <c r="B59" s="865" t="str">
        <f>Chem!B59</f>
        <v>Total benzofluoranthenes</v>
      </c>
      <c r="C59" s="384" t="s">
        <v>232</v>
      </c>
      <c r="D59" s="384" t="s">
        <v>232</v>
      </c>
      <c r="E59" s="387" t="str">
        <f t="shared" si="0"/>
        <v>na</v>
      </c>
      <c r="F59" s="387" t="str">
        <f t="shared" si="1"/>
        <v>na</v>
      </c>
      <c r="G59" s="387" t="s">
        <v>232</v>
      </c>
      <c r="H59" s="387" t="s">
        <v>232</v>
      </c>
      <c r="I59" s="387" t="str">
        <f t="shared" si="24"/>
        <v>na</v>
      </c>
      <c r="J59" s="387" t="str">
        <f t="shared" si="4"/>
        <v>na</v>
      </c>
      <c r="K59" s="400" t="s">
        <v>232</v>
      </c>
      <c r="L59" s="400" t="s">
        <v>232</v>
      </c>
      <c r="M59" s="400">
        <f t="shared" si="27"/>
        <v>0</v>
      </c>
      <c r="N59" s="271" t="s">
        <v>232</v>
      </c>
      <c r="O59" s="425" t="s">
        <v>232</v>
      </c>
      <c r="P59" s="1650">
        <v>0.89</v>
      </c>
      <c r="Q59" s="426" t="str">
        <f t="shared" si="28"/>
        <v>na</v>
      </c>
      <c r="R59" s="1666">
        <v>1</v>
      </c>
      <c r="S59" s="426" t="str">
        <f t="shared" si="29"/>
        <v>na</v>
      </c>
      <c r="T59" s="425" t="s">
        <v>232</v>
      </c>
      <c r="U59" s="426" t="str">
        <f t="shared" si="30"/>
        <v>na</v>
      </c>
      <c r="V59" s="1272" t="s">
        <v>232</v>
      </c>
      <c r="W59" s="1272" t="str">
        <f t="shared" si="31"/>
        <v>na</v>
      </c>
      <c r="X59" s="412" t="str">
        <f t="shared" si="32"/>
        <v>na</v>
      </c>
      <c r="Y59" s="1272" t="s">
        <v>232</v>
      </c>
      <c r="Z59" s="412" t="str">
        <f t="shared" si="33"/>
        <v>na</v>
      </c>
      <c r="AA59" s="412" t="s">
        <v>221</v>
      </c>
      <c r="AB59" s="439" t="s">
        <v>232</v>
      </c>
      <c r="AC59" s="1242" t="s">
        <v>232</v>
      </c>
      <c r="AD59" s="1257" t="s">
        <v>232</v>
      </c>
      <c r="AE59" s="1257">
        <v>0.13</v>
      </c>
      <c r="AF59" s="1292" t="s">
        <v>221</v>
      </c>
      <c r="AG59" s="535" t="s">
        <v>144</v>
      </c>
      <c r="AH59" s="449" t="s">
        <v>221</v>
      </c>
      <c r="AI59" s="449" t="s">
        <v>221</v>
      </c>
      <c r="AJ59" s="449" t="s">
        <v>221</v>
      </c>
      <c r="AK59" s="449" t="str">
        <f t="shared" si="34"/>
        <v>no</v>
      </c>
      <c r="AL59" s="221" t="s">
        <v>232</v>
      </c>
      <c r="AM59" s="406" t="s">
        <v>232</v>
      </c>
      <c r="AN59" s="1330" t="str">
        <f t="shared" si="35"/>
        <v>na</v>
      </c>
      <c r="AP59" s="1062"/>
    </row>
    <row r="60" spans="1:44" ht="13.9" customHeight="1" x14ac:dyDescent="0.25">
      <c r="A60" s="847">
        <f>Chem!A60</f>
        <v>58</v>
      </c>
      <c r="B60" s="865" t="str">
        <f>Chem!B60</f>
        <v>Benzo(g,h,i)perylene</v>
      </c>
      <c r="C60" s="384" t="s">
        <v>232</v>
      </c>
      <c r="D60" s="384" t="s">
        <v>232</v>
      </c>
      <c r="E60" s="387" t="str">
        <f t="shared" si="0"/>
        <v>na</v>
      </c>
      <c r="F60" s="387" t="str">
        <f t="shared" si="1"/>
        <v>na</v>
      </c>
      <c r="G60" s="387" t="s">
        <v>232</v>
      </c>
      <c r="H60" s="387" t="s">
        <v>232</v>
      </c>
      <c r="I60" s="387" t="str">
        <f t="shared" si="24"/>
        <v>na</v>
      </c>
      <c r="J60" s="387" t="str">
        <f t="shared" si="4"/>
        <v>na</v>
      </c>
      <c r="K60" s="400" t="s">
        <v>232</v>
      </c>
      <c r="L60" s="400" t="s">
        <v>232</v>
      </c>
      <c r="M60" s="400">
        <f t="shared" si="27"/>
        <v>0</v>
      </c>
      <c r="N60" s="271" t="s">
        <v>232</v>
      </c>
      <c r="O60" s="425" t="s">
        <v>232</v>
      </c>
      <c r="P60" s="1650">
        <v>1</v>
      </c>
      <c r="Q60" s="426" t="str">
        <f t="shared" si="28"/>
        <v>na</v>
      </c>
      <c r="R60" s="1666">
        <v>1</v>
      </c>
      <c r="S60" s="426" t="str">
        <f t="shared" si="29"/>
        <v>na</v>
      </c>
      <c r="T60" s="425" t="s">
        <v>232</v>
      </c>
      <c r="U60" s="426" t="str">
        <f t="shared" si="30"/>
        <v>na</v>
      </c>
      <c r="V60" s="1272" t="s">
        <v>232</v>
      </c>
      <c r="W60" s="1272" t="str">
        <f t="shared" si="31"/>
        <v>na</v>
      </c>
      <c r="X60" s="412" t="str">
        <f t="shared" si="32"/>
        <v>na</v>
      </c>
      <c r="Y60" s="1272" t="s">
        <v>232</v>
      </c>
      <c r="Z60" s="412" t="str">
        <f t="shared" si="33"/>
        <v>na</v>
      </c>
      <c r="AA60" s="412" t="s">
        <v>221</v>
      </c>
      <c r="AB60" s="439" t="s">
        <v>232</v>
      </c>
      <c r="AC60" s="1242" t="s">
        <v>232</v>
      </c>
      <c r="AD60" s="1257" t="s">
        <v>232</v>
      </c>
      <c r="AE60" s="1257">
        <v>0.13</v>
      </c>
      <c r="AF60" s="1292" t="s">
        <v>221</v>
      </c>
      <c r="AG60" s="535" t="s">
        <v>144</v>
      </c>
      <c r="AH60" s="449" t="s">
        <v>221</v>
      </c>
      <c r="AI60" s="449" t="s">
        <v>221</v>
      </c>
      <c r="AJ60" s="449" t="s">
        <v>221</v>
      </c>
      <c r="AK60" s="449" t="str">
        <f t="shared" si="34"/>
        <v>no</v>
      </c>
      <c r="AL60" s="221" t="s">
        <v>232</v>
      </c>
      <c r="AM60" s="406" t="s">
        <v>232</v>
      </c>
      <c r="AN60" s="1330" t="str">
        <f t="shared" si="35"/>
        <v>na</v>
      </c>
      <c r="AP60" s="1062"/>
    </row>
    <row r="61" spans="1:44" ht="13.9" customHeight="1" x14ac:dyDescent="0.25">
      <c r="A61" s="847">
        <f>Chem!A61</f>
        <v>59</v>
      </c>
      <c r="B61" s="1838" t="str">
        <f>Chem!B61</f>
        <v>Benzo(a)pyrene</v>
      </c>
      <c r="C61" s="384">
        <v>968774</v>
      </c>
      <c r="D61" s="384" t="s">
        <v>232</v>
      </c>
      <c r="E61" s="387">
        <f t="shared" si="0"/>
        <v>968.774</v>
      </c>
      <c r="F61" s="387">
        <f t="shared" si="1"/>
        <v>968.774</v>
      </c>
      <c r="G61" s="387" t="s">
        <v>232</v>
      </c>
      <c r="H61" s="387" t="s">
        <v>232</v>
      </c>
      <c r="I61" s="387">
        <f t="shared" si="24"/>
        <v>18406.705999999998</v>
      </c>
      <c r="J61" s="387">
        <f t="shared" si="4"/>
        <v>18406.705999999998</v>
      </c>
      <c r="K61" s="400">
        <v>3.6074792186225586E-6</v>
      </c>
      <c r="L61" s="400">
        <v>1.8683565004088299E-5</v>
      </c>
      <c r="M61" s="400">
        <f t="shared" si="27"/>
        <v>3.6074792186225586E-6</v>
      </c>
      <c r="N61" s="271">
        <v>30</v>
      </c>
      <c r="O61" s="425">
        <v>2.9999999999999997E-4</v>
      </c>
      <c r="P61" s="1650">
        <v>0.89</v>
      </c>
      <c r="Q61" s="426">
        <f t="shared" si="28"/>
        <v>2.6699999999999998E-4</v>
      </c>
      <c r="R61" s="1666">
        <v>1</v>
      </c>
      <c r="S61" s="426">
        <f t="shared" si="29"/>
        <v>2.9999999999999997E-4</v>
      </c>
      <c r="T61" s="425">
        <v>1.9999999999999999E-6</v>
      </c>
      <c r="U61" s="426">
        <f t="shared" si="30"/>
        <v>5.7142857142857139E-7</v>
      </c>
      <c r="V61" s="1272">
        <v>1</v>
      </c>
      <c r="W61" s="1272">
        <f t="shared" si="31"/>
        <v>1.1235955056179776</v>
      </c>
      <c r="X61" s="412">
        <f t="shared" si="32"/>
        <v>1</v>
      </c>
      <c r="Y61" s="1272">
        <v>6.0000000000000006E-4</v>
      </c>
      <c r="Z61" s="412">
        <f t="shared" si="33"/>
        <v>2.1</v>
      </c>
      <c r="AA61" s="412" t="s">
        <v>144</v>
      </c>
      <c r="AB61" s="439">
        <v>1</v>
      </c>
      <c r="AC61" s="1242">
        <v>0.13</v>
      </c>
      <c r="AD61" s="1257">
        <v>1</v>
      </c>
      <c r="AE61" s="1257">
        <v>0.13</v>
      </c>
      <c r="AF61" s="1292" t="s">
        <v>221</v>
      </c>
      <c r="AG61" s="535" t="s">
        <v>144</v>
      </c>
      <c r="AH61" s="449" t="s">
        <v>221</v>
      </c>
      <c r="AI61" s="449" t="s">
        <v>221</v>
      </c>
      <c r="AJ61" s="449" t="s">
        <v>221</v>
      </c>
      <c r="AK61" s="449" t="str">
        <f t="shared" si="34"/>
        <v>no</v>
      </c>
      <c r="AL61" s="221" t="s">
        <v>232</v>
      </c>
      <c r="AM61" s="406" t="s">
        <v>232</v>
      </c>
      <c r="AN61" s="1330" t="str">
        <f t="shared" si="35"/>
        <v>na</v>
      </c>
      <c r="AP61" s="1062"/>
    </row>
    <row r="62" spans="1:44" ht="13.9" customHeight="1" x14ac:dyDescent="0.25">
      <c r="A62" s="847">
        <f>Chem!A62</f>
        <v>60</v>
      </c>
      <c r="B62" s="865" t="str">
        <f>Chem!B62</f>
        <v>Chrysene</v>
      </c>
      <c r="C62" s="384">
        <v>183000</v>
      </c>
      <c r="D62" s="384" t="s">
        <v>232</v>
      </c>
      <c r="E62" s="387">
        <f t="shared" si="0"/>
        <v>183</v>
      </c>
      <c r="F62" s="387">
        <f t="shared" si="1"/>
        <v>183</v>
      </c>
      <c r="G62" s="387" t="s">
        <v>232</v>
      </c>
      <c r="H62" s="387" t="s">
        <v>232</v>
      </c>
      <c r="I62" s="387">
        <f t="shared" si="24"/>
        <v>3477</v>
      </c>
      <c r="J62" s="387">
        <f t="shared" si="4"/>
        <v>3477</v>
      </c>
      <c r="K62" s="400">
        <v>3.8728215206098689E-5</v>
      </c>
      <c r="L62" s="400">
        <v>2.13818479149632E-4</v>
      </c>
      <c r="M62" s="400">
        <f t="shared" si="27"/>
        <v>3.8728215206098689E-5</v>
      </c>
      <c r="N62" s="271">
        <v>30</v>
      </c>
      <c r="O62" s="425" t="s">
        <v>232</v>
      </c>
      <c r="P62" s="1650">
        <v>0.89</v>
      </c>
      <c r="Q62" s="426" t="str">
        <f t="shared" si="28"/>
        <v>na</v>
      </c>
      <c r="R62" s="1666">
        <v>1</v>
      </c>
      <c r="S62" s="426" t="str">
        <f t="shared" si="29"/>
        <v>na</v>
      </c>
      <c r="T62" s="425" t="s">
        <v>232</v>
      </c>
      <c r="U62" s="426" t="str">
        <f t="shared" si="30"/>
        <v>na</v>
      </c>
      <c r="V62" s="1272" t="s">
        <v>232</v>
      </c>
      <c r="W62" s="1272" t="str">
        <f t="shared" si="31"/>
        <v>na</v>
      </c>
      <c r="X62" s="412" t="str">
        <f t="shared" si="32"/>
        <v>na</v>
      </c>
      <c r="Y62" s="1272" t="s">
        <v>232</v>
      </c>
      <c r="Z62" s="412" t="str">
        <f t="shared" si="33"/>
        <v>na</v>
      </c>
      <c r="AA62" s="412" t="s">
        <v>221</v>
      </c>
      <c r="AB62" s="439">
        <v>1</v>
      </c>
      <c r="AC62" s="1242">
        <v>0.13</v>
      </c>
      <c r="AD62" s="1257">
        <v>1</v>
      </c>
      <c r="AE62" s="1257">
        <v>0.13</v>
      </c>
      <c r="AF62" s="1292" t="s">
        <v>221</v>
      </c>
      <c r="AG62" s="535" t="s">
        <v>144</v>
      </c>
      <c r="AH62" s="449" t="s">
        <v>221</v>
      </c>
      <c r="AI62" s="449" t="s">
        <v>221</v>
      </c>
      <c r="AJ62" s="449" t="s">
        <v>221</v>
      </c>
      <c r="AK62" s="449" t="str">
        <f t="shared" si="34"/>
        <v>no</v>
      </c>
      <c r="AL62" s="221" t="s">
        <v>232</v>
      </c>
      <c r="AM62" s="406" t="s">
        <v>232</v>
      </c>
      <c r="AN62" s="1330" t="str">
        <f t="shared" si="35"/>
        <v>na</v>
      </c>
      <c r="AP62" s="1062"/>
    </row>
    <row r="63" spans="1:44" ht="13.9" customHeight="1" x14ac:dyDescent="0.25">
      <c r="A63" s="847">
        <f>Chem!A63</f>
        <v>61</v>
      </c>
      <c r="B63" s="865" t="str">
        <f>Chem!B63</f>
        <v>Dibenz(a,h)anthracene</v>
      </c>
      <c r="C63" s="384">
        <v>1789101</v>
      </c>
      <c r="D63" s="384" t="s">
        <v>232</v>
      </c>
      <c r="E63" s="387">
        <f t="shared" si="0"/>
        <v>1789.1010000000001</v>
      </c>
      <c r="F63" s="387">
        <f t="shared" si="1"/>
        <v>1789.1010000000001</v>
      </c>
      <c r="G63" s="387" t="s">
        <v>232</v>
      </c>
      <c r="H63" s="387" t="s">
        <v>232</v>
      </c>
      <c r="I63" s="387">
        <f t="shared" si="24"/>
        <v>33992.919000000002</v>
      </c>
      <c r="J63" s="387">
        <f t="shared" si="4"/>
        <v>33992.919000000002</v>
      </c>
      <c r="K63" s="400">
        <v>7.4461727660409132E-7</v>
      </c>
      <c r="L63" s="400">
        <v>5.7645134914145502E-6</v>
      </c>
      <c r="M63" s="400">
        <f t="shared" si="27"/>
        <v>7.4461727660409132E-7</v>
      </c>
      <c r="N63" s="271">
        <v>30</v>
      </c>
      <c r="O63" s="425" t="s">
        <v>232</v>
      </c>
      <c r="P63" s="1650">
        <v>0.89</v>
      </c>
      <c r="Q63" s="426" t="str">
        <f t="shared" si="28"/>
        <v>na</v>
      </c>
      <c r="R63" s="1666">
        <v>1</v>
      </c>
      <c r="S63" s="426" t="str">
        <f t="shared" si="29"/>
        <v>na</v>
      </c>
      <c r="T63" s="425" t="s">
        <v>232</v>
      </c>
      <c r="U63" s="426" t="str">
        <f t="shared" si="30"/>
        <v>na</v>
      </c>
      <c r="V63" s="1272" t="s">
        <v>232</v>
      </c>
      <c r="W63" s="1272" t="str">
        <f t="shared" si="31"/>
        <v>na</v>
      </c>
      <c r="X63" s="412" t="str">
        <f t="shared" si="32"/>
        <v>na</v>
      </c>
      <c r="Y63" s="1272" t="s">
        <v>232</v>
      </c>
      <c r="Z63" s="412" t="str">
        <f t="shared" si="33"/>
        <v>na</v>
      </c>
      <c r="AA63" s="412" t="s">
        <v>221</v>
      </c>
      <c r="AB63" s="439">
        <v>1</v>
      </c>
      <c r="AC63" s="1242">
        <v>0.13</v>
      </c>
      <c r="AD63" s="1257">
        <v>1</v>
      </c>
      <c r="AE63" s="1257">
        <v>0.13</v>
      </c>
      <c r="AF63" s="1292" t="s">
        <v>221</v>
      </c>
      <c r="AG63" s="535" t="s">
        <v>144</v>
      </c>
      <c r="AH63" s="449" t="s">
        <v>221</v>
      </c>
      <c r="AI63" s="449" t="s">
        <v>221</v>
      </c>
      <c r="AJ63" s="449" t="s">
        <v>221</v>
      </c>
      <c r="AK63" s="449" t="str">
        <f t="shared" si="34"/>
        <v>no</v>
      </c>
      <c r="AL63" s="221" t="s">
        <v>232</v>
      </c>
      <c r="AM63" s="406" t="s">
        <v>232</v>
      </c>
      <c r="AN63" s="1330" t="str">
        <f t="shared" si="35"/>
        <v>na</v>
      </c>
      <c r="AP63" s="1062"/>
    </row>
    <row r="64" spans="1:44" ht="13.9" customHeight="1" x14ac:dyDescent="0.25">
      <c r="A64" s="847">
        <f>Chem!A64</f>
        <v>62</v>
      </c>
      <c r="B64" s="865" t="str">
        <f>Chem!B64</f>
        <v>Dibenzofuran</v>
      </c>
      <c r="C64" s="384">
        <v>9160</v>
      </c>
      <c r="D64" s="384" t="s">
        <v>232</v>
      </c>
      <c r="E64" s="387">
        <f t="shared" si="0"/>
        <v>9.16</v>
      </c>
      <c r="F64" s="387">
        <f t="shared" si="1"/>
        <v>9.16</v>
      </c>
      <c r="G64" s="387" t="s">
        <v>232</v>
      </c>
      <c r="H64" s="387" t="s">
        <v>232</v>
      </c>
      <c r="I64" s="387">
        <f t="shared" si="24"/>
        <v>174.04</v>
      </c>
      <c r="J64" s="387">
        <f t="shared" si="4"/>
        <v>174.04</v>
      </c>
      <c r="K64" s="400">
        <v>1.8446636375594245E-5</v>
      </c>
      <c r="L64" s="400">
        <v>8.7080948487326306E-3</v>
      </c>
      <c r="M64" s="400">
        <f t="shared" si="27"/>
        <v>1.8446636375594245E-5</v>
      </c>
      <c r="N64" s="271" t="s">
        <v>232</v>
      </c>
      <c r="O64" s="425">
        <v>1E-3</v>
      </c>
      <c r="P64" s="1650">
        <v>0.5</v>
      </c>
      <c r="Q64" s="426">
        <f t="shared" si="28"/>
        <v>5.0000000000000001E-4</v>
      </c>
      <c r="R64" s="1666">
        <v>1</v>
      </c>
      <c r="S64" s="426">
        <f t="shared" si="29"/>
        <v>1E-3</v>
      </c>
      <c r="T64" s="425" t="s">
        <v>232</v>
      </c>
      <c r="U64" s="426" t="str">
        <f t="shared" si="30"/>
        <v>na</v>
      </c>
      <c r="V64" s="1272" t="s">
        <v>232</v>
      </c>
      <c r="W64" s="1272" t="str">
        <f t="shared" si="31"/>
        <v>na</v>
      </c>
      <c r="X64" s="412" t="str">
        <f t="shared" si="32"/>
        <v>na</v>
      </c>
      <c r="Y64" s="1272" t="s">
        <v>232</v>
      </c>
      <c r="Z64" s="412" t="str">
        <f t="shared" si="33"/>
        <v>na</v>
      </c>
      <c r="AA64" s="412" t="s">
        <v>221</v>
      </c>
      <c r="AB64" s="439">
        <v>2</v>
      </c>
      <c r="AC64" s="1242">
        <v>0.03</v>
      </c>
      <c r="AD64" s="1257">
        <v>1</v>
      </c>
      <c r="AE64" s="1257">
        <v>0.13</v>
      </c>
      <c r="AF64" s="1292" t="s">
        <v>221</v>
      </c>
      <c r="AG64" s="535" t="s">
        <v>221</v>
      </c>
      <c r="AH64" s="449" t="s">
        <v>221</v>
      </c>
      <c r="AI64" s="449" t="s">
        <v>221</v>
      </c>
      <c r="AJ64" s="449" t="s">
        <v>221</v>
      </c>
      <c r="AK64" s="449" t="str">
        <f t="shared" si="34"/>
        <v>no</v>
      </c>
      <c r="AL64" s="221" t="s">
        <v>232</v>
      </c>
      <c r="AM64" s="406" t="s">
        <v>232</v>
      </c>
      <c r="AN64" s="1330" t="str">
        <f t="shared" si="35"/>
        <v>na</v>
      </c>
      <c r="AP64" s="1062"/>
    </row>
    <row r="65" spans="1:44" ht="13.9" customHeight="1" x14ac:dyDescent="0.25">
      <c r="A65" s="847">
        <f>Chem!A65</f>
        <v>63</v>
      </c>
      <c r="B65" s="865" t="str">
        <f>Chem!B65</f>
        <v>Fluoranthene</v>
      </c>
      <c r="C65" s="384">
        <v>49100</v>
      </c>
      <c r="D65" s="384" t="s">
        <v>232</v>
      </c>
      <c r="E65" s="387">
        <f t="shared" si="0"/>
        <v>49.1</v>
      </c>
      <c r="F65" s="387">
        <f t="shared" si="1"/>
        <v>49.1</v>
      </c>
      <c r="G65" s="387" t="s">
        <v>232</v>
      </c>
      <c r="H65" s="387" t="s">
        <v>232</v>
      </c>
      <c r="I65" s="387">
        <f t="shared" si="24"/>
        <v>932.9</v>
      </c>
      <c r="J65" s="387">
        <f t="shared" si="4"/>
        <v>932.9</v>
      </c>
      <c r="K65" s="400">
        <v>9.1381595381835005E-5</v>
      </c>
      <c r="L65" s="400">
        <v>3.6222403924775101E-4</v>
      </c>
      <c r="M65" s="400">
        <f t="shared" si="27"/>
        <v>9.1381595381835005E-5</v>
      </c>
      <c r="N65" s="271">
        <v>1150</v>
      </c>
      <c r="O65" s="425">
        <v>0.04</v>
      </c>
      <c r="P65" s="1650">
        <v>0.89</v>
      </c>
      <c r="Q65" s="426">
        <f t="shared" si="28"/>
        <v>3.56E-2</v>
      </c>
      <c r="R65" s="1666">
        <v>1</v>
      </c>
      <c r="S65" s="426">
        <f t="shared" si="29"/>
        <v>0.04</v>
      </c>
      <c r="T65" s="425" t="s">
        <v>232</v>
      </c>
      <c r="U65" s="426" t="str">
        <f t="shared" si="30"/>
        <v>na</v>
      </c>
      <c r="V65" s="1272" t="s">
        <v>232</v>
      </c>
      <c r="W65" s="1272" t="str">
        <f t="shared" si="31"/>
        <v>na</v>
      </c>
      <c r="X65" s="412" t="str">
        <f t="shared" si="32"/>
        <v>na</v>
      </c>
      <c r="Y65" s="1272" t="s">
        <v>232</v>
      </c>
      <c r="Z65" s="412" t="str">
        <f t="shared" si="33"/>
        <v>na</v>
      </c>
      <c r="AA65" s="412" t="s">
        <v>221</v>
      </c>
      <c r="AB65" s="439">
        <v>1</v>
      </c>
      <c r="AC65" s="1242">
        <v>0.13</v>
      </c>
      <c r="AD65" s="1257">
        <v>1</v>
      </c>
      <c r="AE65" s="1257">
        <v>0.13</v>
      </c>
      <c r="AF65" s="1292" t="s">
        <v>221</v>
      </c>
      <c r="AG65" s="535" t="s">
        <v>144</v>
      </c>
      <c r="AH65" s="449" t="s">
        <v>144</v>
      </c>
      <c r="AI65" s="449" t="s">
        <v>221</v>
      </c>
      <c r="AJ65" s="449" t="s">
        <v>221</v>
      </c>
      <c r="AK65" s="449" t="str">
        <f t="shared" si="34"/>
        <v>no</v>
      </c>
      <c r="AL65" s="221" t="s">
        <v>232</v>
      </c>
      <c r="AM65" s="406" t="s">
        <v>232</v>
      </c>
      <c r="AN65" s="1330" t="str">
        <f t="shared" si="35"/>
        <v>na</v>
      </c>
      <c r="AP65" s="1062"/>
    </row>
    <row r="66" spans="1:44" ht="13.9" customHeight="1" x14ac:dyDescent="0.25">
      <c r="A66" s="847">
        <f>Chem!A66</f>
        <v>64</v>
      </c>
      <c r="B66" s="865" t="str">
        <f>Chem!B66</f>
        <v>Fluorene</v>
      </c>
      <c r="C66" s="384">
        <v>7710</v>
      </c>
      <c r="D66" s="384" t="s">
        <v>232</v>
      </c>
      <c r="E66" s="387">
        <f t="shared" si="0"/>
        <v>7.71</v>
      </c>
      <c r="F66" s="387">
        <f t="shared" si="1"/>
        <v>7.71</v>
      </c>
      <c r="G66" s="387" t="s">
        <v>232</v>
      </c>
      <c r="H66" s="387" t="s">
        <v>232</v>
      </c>
      <c r="I66" s="387">
        <f t="shared" si="24"/>
        <v>146.49</v>
      </c>
      <c r="J66" s="387">
        <f t="shared" si="4"/>
        <v>146.49</v>
      </c>
      <c r="K66" s="400">
        <v>1.2347144718559023E-3</v>
      </c>
      <c r="L66" s="400">
        <v>3.9329517579722003E-3</v>
      </c>
      <c r="M66" s="400">
        <f t="shared" si="27"/>
        <v>1.2347144718559023E-3</v>
      </c>
      <c r="N66" s="271">
        <v>30</v>
      </c>
      <c r="O66" s="425">
        <v>0.04</v>
      </c>
      <c r="P66" s="1650">
        <v>0.89</v>
      </c>
      <c r="Q66" s="426">
        <f t="shared" si="28"/>
        <v>3.56E-2</v>
      </c>
      <c r="R66" s="1666">
        <v>1</v>
      </c>
      <c r="S66" s="426">
        <f t="shared" si="29"/>
        <v>0.04</v>
      </c>
      <c r="T66" s="425" t="s">
        <v>232</v>
      </c>
      <c r="U66" s="426" t="str">
        <f t="shared" si="30"/>
        <v>na</v>
      </c>
      <c r="V66" s="1272" t="s">
        <v>232</v>
      </c>
      <c r="W66" s="1272" t="str">
        <f t="shared" si="31"/>
        <v>na</v>
      </c>
      <c r="X66" s="412" t="str">
        <f t="shared" si="32"/>
        <v>na</v>
      </c>
      <c r="Y66" s="1272" t="s">
        <v>232</v>
      </c>
      <c r="Z66" s="412" t="str">
        <f t="shared" si="33"/>
        <v>na</v>
      </c>
      <c r="AA66" s="412" t="s">
        <v>221</v>
      </c>
      <c r="AB66" s="439">
        <v>2</v>
      </c>
      <c r="AC66" s="1242">
        <v>0.13</v>
      </c>
      <c r="AD66" s="1257">
        <v>1</v>
      </c>
      <c r="AE66" s="1257">
        <v>0.13</v>
      </c>
      <c r="AF66" s="1292" t="s">
        <v>221</v>
      </c>
      <c r="AG66" s="535" t="s">
        <v>221</v>
      </c>
      <c r="AH66" s="449" t="s">
        <v>221</v>
      </c>
      <c r="AI66" s="449" t="s">
        <v>221</v>
      </c>
      <c r="AJ66" s="449" t="s">
        <v>221</v>
      </c>
      <c r="AK66" s="449" t="str">
        <f t="shared" si="34"/>
        <v>no</v>
      </c>
      <c r="AL66" s="221" t="s">
        <v>232</v>
      </c>
      <c r="AM66" s="406" t="s">
        <v>232</v>
      </c>
      <c r="AN66" s="1330" t="str">
        <f t="shared" si="35"/>
        <v>na</v>
      </c>
      <c r="AP66" s="1062"/>
    </row>
    <row r="67" spans="1:44" ht="13.9" customHeight="1" x14ac:dyDescent="0.25">
      <c r="A67" s="847">
        <f>Chem!A67</f>
        <v>65</v>
      </c>
      <c r="B67" s="865" t="str">
        <f>Chem!B67</f>
        <v>Indeno(1,2,3-cd)pyrene</v>
      </c>
      <c r="C67" s="384">
        <v>1950000</v>
      </c>
      <c r="D67" s="384" t="s">
        <v>232</v>
      </c>
      <c r="E67" s="387">
        <f t="shared" si="0"/>
        <v>1950</v>
      </c>
      <c r="F67" s="387">
        <f t="shared" si="1"/>
        <v>1950</v>
      </c>
      <c r="G67" s="387" t="s">
        <v>232</v>
      </c>
      <c r="H67" s="387" t="s">
        <v>232</v>
      </c>
      <c r="I67" s="387">
        <f t="shared" si="24"/>
        <v>37050</v>
      </c>
      <c r="J67" s="387">
        <f t="shared" si="4"/>
        <v>37050</v>
      </c>
      <c r="K67" s="400">
        <v>2.0933003177472789E-6</v>
      </c>
      <c r="L67" s="400">
        <v>1.4227309893704E-5</v>
      </c>
      <c r="M67" s="400">
        <f t="shared" si="27"/>
        <v>2.0933003177472789E-6</v>
      </c>
      <c r="N67" s="271">
        <v>30</v>
      </c>
      <c r="O67" s="425" t="s">
        <v>232</v>
      </c>
      <c r="P67" s="1650">
        <v>0.89</v>
      </c>
      <c r="Q67" s="426" t="str">
        <f t="shared" si="28"/>
        <v>na</v>
      </c>
      <c r="R67" s="1666">
        <v>1</v>
      </c>
      <c r="S67" s="426" t="str">
        <f t="shared" si="29"/>
        <v>na</v>
      </c>
      <c r="T67" s="425" t="s">
        <v>232</v>
      </c>
      <c r="U67" s="426" t="str">
        <f t="shared" si="30"/>
        <v>na</v>
      </c>
      <c r="V67" s="1272" t="s">
        <v>232</v>
      </c>
      <c r="W67" s="1272" t="str">
        <f t="shared" si="31"/>
        <v>na</v>
      </c>
      <c r="X67" s="412" t="str">
        <f t="shared" si="32"/>
        <v>na</v>
      </c>
      <c r="Y67" s="1272" t="s">
        <v>232</v>
      </c>
      <c r="Z67" s="412" t="str">
        <f t="shared" si="33"/>
        <v>na</v>
      </c>
      <c r="AA67" s="412" t="s">
        <v>221</v>
      </c>
      <c r="AB67" s="439">
        <v>1</v>
      </c>
      <c r="AC67" s="1242">
        <v>0.13</v>
      </c>
      <c r="AD67" s="1257">
        <v>1</v>
      </c>
      <c r="AE67" s="1257">
        <v>0.13</v>
      </c>
      <c r="AF67" s="1292" t="s">
        <v>221</v>
      </c>
      <c r="AG67" s="535" t="s">
        <v>144</v>
      </c>
      <c r="AH67" s="449" t="s">
        <v>221</v>
      </c>
      <c r="AI67" s="449" t="s">
        <v>221</v>
      </c>
      <c r="AJ67" s="449" t="s">
        <v>221</v>
      </c>
      <c r="AK67" s="449" t="str">
        <f t="shared" si="34"/>
        <v>no</v>
      </c>
      <c r="AL67" s="221" t="s">
        <v>232</v>
      </c>
      <c r="AM67" s="406" t="s">
        <v>232</v>
      </c>
      <c r="AN67" s="1330" t="str">
        <f t="shared" si="35"/>
        <v>na</v>
      </c>
      <c r="AP67" s="1062"/>
    </row>
    <row r="68" spans="1:44" ht="13.9" customHeight="1" x14ac:dyDescent="0.25">
      <c r="A68" s="847">
        <f>Chem!A68</f>
        <v>66</v>
      </c>
      <c r="B68" s="865" t="str">
        <f>Chem!B68</f>
        <v>Methyl isopropyl phenanthrene (retene)</v>
      </c>
      <c r="C68" s="384" t="s">
        <v>232</v>
      </c>
      <c r="D68" s="384" t="s">
        <v>232</v>
      </c>
      <c r="E68" s="387" t="str">
        <f t="shared" ref="E68:E131" si="36">IF(C68="na","na",C68*F$1)</f>
        <v>na</v>
      </c>
      <c r="F68" s="387" t="str">
        <f t="shared" ref="F68:F131" si="37">IF(D68="na",E68,D68)</f>
        <v>na</v>
      </c>
      <c r="G68" s="387" t="s">
        <v>232</v>
      </c>
      <c r="H68" s="387" t="s">
        <v>232</v>
      </c>
      <c r="I68" s="387" t="str">
        <f t="shared" ref="I68:I81" si="38">IF(C68="na","na",C68*J$1)</f>
        <v>na</v>
      </c>
      <c r="J68" s="387" t="str">
        <f t="shared" si="4"/>
        <v>na</v>
      </c>
      <c r="K68" s="400" t="s">
        <v>232</v>
      </c>
      <c r="L68" s="400" t="s">
        <v>232</v>
      </c>
      <c r="M68" s="400">
        <f t="shared" si="27"/>
        <v>0</v>
      </c>
      <c r="N68" s="271" t="s">
        <v>232</v>
      </c>
      <c r="O68" s="425" t="s">
        <v>232</v>
      </c>
      <c r="P68" s="1650">
        <v>1</v>
      </c>
      <c r="Q68" s="426" t="str">
        <f t="shared" si="28"/>
        <v>na</v>
      </c>
      <c r="R68" s="1666">
        <v>1</v>
      </c>
      <c r="S68" s="426" t="str">
        <f t="shared" si="29"/>
        <v>na</v>
      </c>
      <c r="T68" s="425" t="s">
        <v>232</v>
      </c>
      <c r="U68" s="426" t="str">
        <f t="shared" si="30"/>
        <v>na</v>
      </c>
      <c r="V68" s="1272" t="s">
        <v>232</v>
      </c>
      <c r="W68" s="1272" t="str">
        <f t="shared" si="31"/>
        <v>na</v>
      </c>
      <c r="X68" s="412" t="str">
        <f t="shared" si="32"/>
        <v>na</v>
      </c>
      <c r="Y68" s="1272" t="s">
        <v>232</v>
      </c>
      <c r="Z68" s="412" t="str">
        <f t="shared" si="33"/>
        <v>na</v>
      </c>
      <c r="AA68" s="412" t="s">
        <v>221</v>
      </c>
      <c r="AB68" s="439" t="s">
        <v>232</v>
      </c>
      <c r="AC68" s="1242" t="s">
        <v>232</v>
      </c>
      <c r="AD68" s="1257" t="s">
        <v>232</v>
      </c>
      <c r="AE68" s="1257">
        <v>0.13</v>
      </c>
      <c r="AF68" s="1292" t="s">
        <v>221</v>
      </c>
      <c r="AG68" s="535" t="s">
        <v>221</v>
      </c>
      <c r="AH68" s="449" t="s">
        <v>221</v>
      </c>
      <c r="AI68" s="449" t="s">
        <v>221</v>
      </c>
      <c r="AJ68" s="449" t="s">
        <v>221</v>
      </c>
      <c r="AK68" s="449" t="str">
        <f t="shared" si="34"/>
        <v>no</v>
      </c>
      <c r="AL68" s="221" t="s">
        <v>232</v>
      </c>
      <c r="AM68" s="406" t="s">
        <v>232</v>
      </c>
      <c r="AN68" s="1330" t="str">
        <f t="shared" si="35"/>
        <v>na</v>
      </c>
      <c r="AP68" s="1062"/>
    </row>
    <row r="69" spans="1:44" ht="13.9" customHeight="1" x14ac:dyDescent="0.25">
      <c r="A69" s="847">
        <f>Chem!A69</f>
        <v>67</v>
      </c>
      <c r="B69" s="865" t="str">
        <f>Chem!B69</f>
        <v>1-Methylnaphthalene</v>
      </c>
      <c r="C69" s="384">
        <v>2530</v>
      </c>
      <c r="D69" s="384" t="s">
        <v>232</v>
      </c>
      <c r="E69" s="387">
        <f t="shared" si="36"/>
        <v>2.5300000000000002</v>
      </c>
      <c r="F69" s="387">
        <f t="shared" si="37"/>
        <v>2.5300000000000002</v>
      </c>
      <c r="G69" s="387" t="s">
        <v>232</v>
      </c>
      <c r="H69" s="387" t="s">
        <v>232</v>
      </c>
      <c r="I69" s="387">
        <f t="shared" si="38"/>
        <v>48.07</v>
      </c>
      <c r="J69" s="387">
        <f t="shared" ref="J69:J132" si="39">IF(ISNUMBER(G69),G69*J$1,IF(ISNUMBER(H69),H69,I69))</f>
        <v>48.07</v>
      </c>
      <c r="K69" s="400">
        <v>8.1617787988793912E-3</v>
      </c>
      <c r="L69" s="400">
        <v>2.1013900245298402E-2</v>
      </c>
      <c r="M69" s="400">
        <f t="shared" si="27"/>
        <v>8.1617787988793912E-3</v>
      </c>
      <c r="N69" s="271" t="s">
        <v>232</v>
      </c>
      <c r="O69" s="425">
        <v>7.0000000000000007E-2</v>
      </c>
      <c r="P69" s="1650">
        <v>0.89</v>
      </c>
      <c r="Q69" s="426">
        <f t="shared" si="28"/>
        <v>6.2300000000000008E-2</v>
      </c>
      <c r="R69" s="1666">
        <v>1</v>
      </c>
      <c r="S69" s="426">
        <f t="shared" si="29"/>
        <v>7.0000000000000007E-2</v>
      </c>
      <c r="T69" s="425">
        <v>3.0000000000000001E-6</v>
      </c>
      <c r="U69" s="426">
        <f t="shared" si="30"/>
        <v>8.5714285714285713E-7</v>
      </c>
      <c r="V69" s="1272">
        <v>5.0999999999999997E-2</v>
      </c>
      <c r="W69" s="1272">
        <f t="shared" si="31"/>
        <v>5.7303370786516851E-2</v>
      </c>
      <c r="X69" s="412">
        <f t="shared" si="32"/>
        <v>5.0999999999999997E-2</v>
      </c>
      <c r="Y69" s="1272" t="s">
        <v>232</v>
      </c>
      <c r="Z69" s="412" t="str">
        <f t="shared" si="33"/>
        <v>na</v>
      </c>
      <c r="AA69" s="412" t="s">
        <v>221</v>
      </c>
      <c r="AB69" s="439">
        <v>2</v>
      </c>
      <c r="AC69" s="1242">
        <v>0.13</v>
      </c>
      <c r="AD69" s="1257">
        <v>1</v>
      </c>
      <c r="AE69" s="1257">
        <v>0.13</v>
      </c>
      <c r="AF69" s="1292" t="s">
        <v>144</v>
      </c>
      <c r="AG69" s="535" t="s">
        <v>221</v>
      </c>
      <c r="AH69" s="449" t="s">
        <v>221</v>
      </c>
      <c r="AI69" s="449" t="s">
        <v>221</v>
      </c>
      <c r="AJ69" s="449" t="s">
        <v>221</v>
      </c>
      <c r="AK69" s="449" t="str">
        <f t="shared" si="34"/>
        <v>no</v>
      </c>
      <c r="AL69" s="221" t="s">
        <v>232</v>
      </c>
      <c r="AM69" s="406" t="s">
        <v>232</v>
      </c>
      <c r="AN69" s="1330" t="str">
        <f t="shared" si="35"/>
        <v>na</v>
      </c>
      <c r="AP69" s="1062"/>
    </row>
    <row r="70" spans="1:44" ht="13.9" customHeight="1" x14ac:dyDescent="0.25">
      <c r="A70" s="847">
        <f>Chem!A70</f>
        <v>68</v>
      </c>
      <c r="B70" s="865" t="str">
        <f>Chem!B70</f>
        <v>2-Methylnaphthalene</v>
      </c>
      <c r="C70" s="384">
        <v>2480</v>
      </c>
      <c r="D70" s="384" t="s">
        <v>232</v>
      </c>
      <c r="E70" s="387">
        <f t="shared" si="36"/>
        <v>2.48</v>
      </c>
      <c r="F70" s="387">
        <f t="shared" si="37"/>
        <v>2.48</v>
      </c>
      <c r="G70" s="387" t="s">
        <v>232</v>
      </c>
      <c r="H70" s="387" t="s">
        <v>232</v>
      </c>
      <c r="I70" s="387">
        <f t="shared" si="38"/>
        <v>47.12</v>
      </c>
      <c r="J70" s="387">
        <f t="shared" si="39"/>
        <v>47.12</v>
      </c>
      <c r="K70" s="400">
        <v>7.0024121452667443E-3</v>
      </c>
      <c r="L70" s="400">
        <v>2.1177432542927199E-2</v>
      </c>
      <c r="M70" s="400">
        <f t="shared" si="27"/>
        <v>7.0024121452667443E-3</v>
      </c>
      <c r="N70" s="271" t="s">
        <v>232</v>
      </c>
      <c r="O70" s="425">
        <v>4.0000000000000001E-3</v>
      </c>
      <c r="P70" s="1650">
        <v>0.89</v>
      </c>
      <c r="Q70" s="426">
        <f t="shared" si="28"/>
        <v>3.5600000000000002E-3</v>
      </c>
      <c r="R70" s="1666">
        <v>1</v>
      </c>
      <c r="S70" s="426">
        <f t="shared" si="29"/>
        <v>4.0000000000000001E-3</v>
      </c>
      <c r="T70" s="425" t="s">
        <v>232</v>
      </c>
      <c r="U70" s="426" t="str">
        <f t="shared" si="30"/>
        <v>na</v>
      </c>
      <c r="V70" s="1272" t="s">
        <v>232</v>
      </c>
      <c r="W70" s="1272" t="str">
        <f t="shared" si="31"/>
        <v>na</v>
      </c>
      <c r="X70" s="412" t="str">
        <f t="shared" si="32"/>
        <v>na</v>
      </c>
      <c r="Y70" s="1272" t="s">
        <v>232</v>
      </c>
      <c r="Z70" s="412" t="str">
        <f t="shared" si="33"/>
        <v>na</v>
      </c>
      <c r="AA70" s="412" t="s">
        <v>221</v>
      </c>
      <c r="AB70" s="439">
        <v>2</v>
      </c>
      <c r="AC70" s="1242">
        <v>0.13</v>
      </c>
      <c r="AD70" s="1257">
        <v>1</v>
      </c>
      <c r="AE70" s="1257">
        <v>0.13</v>
      </c>
      <c r="AF70" s="1292" t="s">
        <v>221</v>
      </c>
      <c r="AG70" s="535" t="s">
        <v>221</v>
      </c>
      <c r="AH70" s="449" t="s">
        <v>221</v>
      </c>
      <c r="AI70" s="449" t="s">
        <v>221</v>
      </c>
      <c r="AJ70" s="449" t="s">
        <v>221</v>
      </c>
      <c r="AK70" s="449" t="str">
        <f t="shared" si="34"/>
        <v>no</v>
      </c>
      <c r="AL70" s="221" t="s">
        <v>232</v>
      </c>
      <c r="AM70" s="406" t="s">
        <v>232</v>
      </c>
      <c r="AN70" s="1330" t="str">
        <f t="shared" si="35"/>
        <v>na</v>
      </c>
      <c r="AP70" s="1062"/>
    </row>
    <row r="71" spans="1:44" ht="13.9" customHeight="1" x14ac:dyDescent="0.25">
      <c r="A71" s="847">
        <f>Chem!A71</f>
        <v>69</v>
      </c>
      <c r="B71" s="865" t="str">
        <f>Chem!B71</f>
        <v>Naphthalene</v>
      </c>
      <c r="C71" s="384">
        <v>1190</v>
      </c>
      <c r="D71" s="384" t="s">
        <v>232</v>
      </c>
      <c r="E71" s="387">
        <f t="shared" si="36"/>
        <v>1.19</v>
      </c>
      <c r="F71" s="387">
        <f t="shared" si="37"/>
        <v>1.19</v>
      </c>
      <c r="G71" s="387" t="s">
        <v>232</v>
      </c>
      <c r="H71" s="387" t="s">
        <v>232</v>
      </c>
      <c r="I71" s="387">
        <f t="shared" si="38"/>
        <v>22.61</v>
      </c>
      <c r="J71" s="387">
        <f t="shared" si="39"/>
        <v>22.61</v>
      </c>
      <c r="K71" s="400">
        <v>8.318994175196404E-3</v>
      </c>
      <c r="L71" s="400">
        <v>1.9800000000000002E-2</v>
      </c>
      <c r="M71" s="400">
        <f t="shared" si="27"/>
        <v>8.318994175196404E-3</v>
      </c>
      <c r="N71" s="271">
        <v>10.5</v>
      </c>
      <c r="O71" s="425">
        <v>0.02</v>
      </c>
      <c r="P71" s="1650">
        <v>0.89</v>
      </c>
      <c r="Q71" s="426">
        <f t="shared" si="28"/>
        <v>1.78E-2</v>
      </c>
      <c r="R71" s="1666">
        <v>1</v>
      </c>
      <c r="S71" s="426">
        <f t="shared" si="29"/>
        <v>0.02</v>
      </c>
      <c r="T71" s="425">
        <v>3.0000000000000001E-3</v>
      </c>
      <c r="U71" s="426">
        <f t="shared" si="30"/>
        <v>8.571428571428571E-4</v>
      </c>
      <c r="V71" s="1272" t="s">
        <v>232</v>
      </c>
      <c r="W71" s="1272" t="str">
        <f t="shared" si="31"/>
        <v>na</v>
      </c>
      <c r="X71" s="412" t="str">
        <f t="shared" si="32"/>
        <v>na</v>
      </c>
      <c r="Y71" s="1272">
        <v>3.4E-5</v>
      </c>
      <c r="Z71" s="412">
        <f t="shared" si="33"/>
        <v>0.11900000000000002</v>
      </c>
      <c r="AA71" s="412" t="s">
        <v>221</v>
      </c>
      <c r="AB71" s="439">
        <v>2</v>
      </c>
      <c r="AC71" s="1242">
        <v>0.13</v>
      </c>
      <c r="AD71" s="1257">
        <v>1</v>
      </c>
      <c r="AE71" s="1257">
        <v>0.13</v>
      </c>
      <c r="AF71" s="1292" t="s">
        <v>144</v>
      </c>
      <c r="AG71" s="535" t="s">
        <v>221</v>
      </c>
      <c r="AH71" s="449" t="s">
        <v>221</v>
      </c>
      <c r="AI71" s="449" t="s">
        <v>221</v>
      </c>
      <c r="AJ71" s="449" t="s">
        <v>221</v>
      </c>
      <c r="AK71" s="449" t="str">
        <f t="shared" si="34"/>
        <v>no</v>
      </c>
      <c r="AL71" s="221" t="s">
        <v>232</v>
      </c>
      <c r="AM71" s="406" t="s">
        <v>232</v>
      </c>
      <c r="AN71" s="1330" t="str">
        <f t="shared" si="35"/>
        <v>na</v>
      </c>
      <c r="AP71" s="1062"/>
    </row>
    <row r="72" spans="1:44" ht="13.9" customHeight="1" x14ac:dyDescent="0.25">
      <c r="A72" s="847">
        <f>Chem!A72</f>
        <v>70</v>
      </c>
      <c r="B72" s="865" t="str">
        <f>Chem!B72</f>
        <v>Phenanthrene</v>
      </c>
      <c r="C72" s="384" t="s">
        <v>232</v>
      </c>
      <c r="D72" s="384" t="s">
        <v>232</v>
      </c>
      <c r="E72" s="387" t="str">
        <f t="shared" si="36"/>
        <v>na</v>
      </c>
      <c r="F72" s="387" t="str">
        <f t="shared" si="37"/>
        <v>na</v>
      </c>
      <c r="G72" s="387" t="s">
        <v>232</v>
      </c>
      <c r="H72" s="387" t="s">
        <v>232</v>
      </c>
      <c r="I72" s="387" t="str">
        <f t="shared" si="38"/>
        <v>na</v>
      </c>
      <c r="J72" s="387" t="str">
        <f t="shared" si="39"/>
        <v>na</v>
      </c>
      <c r="K72" s="400" t="s">
        <v>232</v>
      </c>
      <c r="L72" s="400" t="s">
        <v>232</v>
      </c>
      <c r="M72" s="400">
        <f t="shared" si="27"/>
        <v>0</v>
      </c>
      <c r="N72" s="271" t="s">
        <v>232</v>
      </c>
      <c r="O72" s="425" t="s">
        <v>232</v>
      </c>
      <c r="P72" s="1650">
        <v>1</v>
      </c>
      <c r="Q72" s="426" t="str">
        <f t="shared" si="28"/>
        <v>na</v>
      </c>
      <c r="R72" s="1666">
        <v>1</v>
      </c>
      <c r="S72" s="426" t="str">
        <f t="shared" si="29"/>
        <v>na</v>
      </c>
      <c r="T72" s="425" t="s">
        <v>232</v>
      </c>
      <c r="U72" s="426" t="str">
        <f t="shared" si="30"/>
        <v>na</v>
      </c>
      <c r="V72" s="1272" t="s">
        <v>232</v>
      </c>
      <c r="W72" s="1272" t="str">
        <f t="shared" si="31"/>
        <v>na</v>
      </c>
      <c r="X72" s="412" t="str">
        <f t="shared" si="32"/>
        <v>na</v>
      </c>
      <c r="Y72" s="1272" t="s">
        <v>232</v>
      </c>
      <c r="Z72" s="412" t="str">
        <f t="shared" si="33"/>
        <v>na</v>
      </c>
      <c r="AA72" s="412" t="s">
        <v>221</v>
      </c>
      <c r="AB72" s="439" t="s">
        <v>232</v>
      </c>
      <c r="AC72" s="1242" t="s">
        <v>232</v>
      </c>
      <c r="AD72" s="1257" t="s">
        <v>232</v>
      </c>
      <c r="AE72" s="1257">
        <v>0.13</v>
      </c>
      <c r="AF72" s="1292" t="s">
        <v>221</v>
      </c>
      <c r="AG72" s="535" t="s">
        <v>221</v>
      </c>
      <c r="AH72" s="449" t="s">
        <v>221</v>
      </c>
      <c r="AI72" s="449" t="s">
        <v>221</v>
      </c>
      <c r="AJ72" s="449" t="s">
        <v>221</v>
      </c>
      <c r="AK72" s="449" t="str">
        <f t="shared" si="34"/>
        <v>no</v>
      </c>
      <c r="AL72" s="221" t="s">
        <v>232</v>
      </c>
      <c r="AM72" s="406" t="s">
        <v>232</v>
      </c>
      <c r="AN72" s="1330" t="str">
        <f t="shared" si="35"/>
        <v>na</v>
      </c>
      <c r="AP72" s="1062"/>
    </row>
    <row r="73" spans="1:44" ht="13.9" customHeight="1" x14ac:dyDescent="0.25">
      <c r="A73" s="847">
        <f>Chem!A73</f>
        <v>71</v>
      </c>
      <c r="B73" s="865" t="str">
        <f>Chem!B73</f>
        <v>Pyrene</v>
      </c>
      <c r="C73" s="384">
        <v>68000</v>
      </c>
      <c r="D73" s="384" t="s">
        <v>232</v>
      </c>
      <c r="E73" s="387">
        <f t="shared" si="36"/>
        <v>68</v>
      </c>
      <c r="F73" s="387">
        <f t="shared" si="37"/>
        <v>68</v>
      </c>
      <c r="G73" s="387" t="s">
        <v>232</v>
      </c>
      <c r="H73" s="387" t="s">
        <v>232</v>
      </c>
      <c r="I73" s="387">
        <f t="shared" si="38"/>
        <v>1292</v>
      </c>
      <c r="J73" s="387">
        <f t="shared" si="39"/>
        <v>1292</v>
      </c>
      <c r="K73" s="400">
        <v>1.1483911961661917E-4</v>
      </c>
      <c r="L73" s="400">
        <v>4.86508585445625E-4</v>
      </c>
      <c r="M73" s="400">
        <f t="shared" si="27"/>
        <v>1.1483911961661917E-4</v>
      </c>
      <c r="N73" s="271">
        <v>30</v>
      </c>
      <c r="O73" s="425">
        <v>0.03</v>
      </c>
      <c r="P73" s="1650">
        <v>0.89</v>
      </c>
      <c r="Q73" s="426">
        <f t="shared" si="28"/>
        <v>2.6699999999999998E-2</v>
      </c>
      <c r="R73" s="1666">
        <v>1</v>
      </c>
      <c r="S73" s="426">
        <f t="shared" si="29"/>
        <v>0.03</v>
      </c>
      <c r="T73" s="425" t="s">
        <v>232</v>
      </c>
      <c r="U73" s="426" t="str">
        <f t="shared" si="30"/>
        <v>na</v>
      </c>
      <c r="V73" s="1272" t="s">
        <v>232</v>
      </c>
      <c r="W73" s="1272" t="str">
        <f t="shared" si="31"/>
        <v>na</v>
      </c>
      <c r="X73" s="412" t="str">
        <f t="shared" si="32"/>
        <v>na</v>
      </c>
      <c r="Y73" s="1272" t="s">
        <v>232</v>
      </c>
      <c r="Z73" s="412" t="str">
        <f t="shared" si="33"/>
        <v>na</v>
      </c>
      <c r="AA73" s="412" t="s">
        <v>221</v>
      </c>
      <c r="AB73" s="439">
        <v>2</v>
      </c>
      <c r="AC73" s="1242">
        <v>0.13</v>
      </c>
      <c r="AD73" s="1257">
        <v>1</v>
      </c>
      <c r="AE73" s="1257">
        <v>0.13</v>
      </c>
      <c r="AF73" s="1292" t="s">
        <v>221</v>
      </c>
      <c r="AG73" s="535" t="s">
        <v>221</v>
      </c>
      <c r="AH73" s="449" t="s">
        <v>144</v>
      </c>
      <c r="AI73" s="449" t="s">
        <v>221</v>
      </c>
      <c r="AJ73" s="449" t="s">
        <v>221</v>
      </c>
      <c r="AK73" s="449" t="str">
        <f t="shared" si="34"/>
        <v>no</v>
      </c>
      <c r="AL73" s="221" t="s">
        <v>232</v>
      </c>
      <c r="AM73" s="406" t="s">
        <v>232</v>
      </c>
      <c r="AN73" s="1330" t="str">
        <f t="shared" si="35"/>
        <v>na</v>
      </c>
      <c r="AP73" s="1062"/>
    </row>
    <row r="74" spans="1:44" ht="13.9" customHeight="1" x14ac:dyDescent="0.25">
      <c r="A74" s="847">
        <f>Chem!A74</f>
        <v>72</v>
      </c>
      <c r="B74" s="865" t="str">
        <f>Chem!B74</f>
        <v>Total LPAHs</v>
      </c>
      <c r="C74" s="384" t="s">
        <v>232</v>
      </c>
      <c r="D74" s="384" t="s">
        <v>232</v>
      </c>
      <c r="E74" s="387" t="str">
        <f t="shared" si="36"/>
        <v>na</v>
      </c>
      <c r="F74" s="387" t="str">
        <f t="shared" si="37"/>
        <v>na</v>
      </c>
      <c r="G74" s="387" t="s">
        <v>232</v>
      </c>
      <c r="H74" s="387" t="s">
        <v>232</v>
      </c>
      <c r="I74" s="387" t="str">
        <f t="shared" si="38"/>
        <v>na</v>
      </c>
      <c r="J74" s="387" t="str">
        <f t="shared" si="39"/>
        <v>na</v>
      </c>
      <c r="K74" s="400" t="s">
        <v>232</v>
      </c>
      <c r="L74" s="400" t="s">
        <v>232</v>
      </c>
      <c r="M74" s="400">
        <f t="shared" si="27"/>
        <v>0</v>
      </c>
      <c r="N74" s="271" t="s">
        <v>232</v>
      </c>
      <c r="O74" s="425" t="s">
        <v>232</v>
      </c>
      <c r="P74" s="1650">
        <v>0.89</v>
      </c>
      <c r="Q74" s="426" t="str">
        <f t="shared" si="28"/>
        <v>na</v>
      </c>
      <c r="R74" s="1666">
        <v>1</v>
      </c>
      <c r="S74" s="426" t="str">
        <f t="shared" si="29"/>
        <v>na</v>
      </c>
      <c r="T74" s="425" t="s">
        <v>232</v>
      </c>
      <c r="U74" s="426" t="str">
        <f t="shared" si="30"/>
        <v>na</v>
      </c>
      <c r="V74" s="1272" t="s">
        <v>232</v>
      </c>
      <c r="W74" s="1272" t="str">
        <f t="shared" si="31"/>
        <v>na</v>
      </c>
      <c r="X74" s="412" t="str">
        <f t="shared" si="32"/>
        <v>na</v>
      </c>
      <c r="Y74" s="1272" t="s">
        <v>232</v>
      </c>
      <c r="Z74" s="412" t="str">
        <f t="shared" si="33"/>
        <v>na</v>
      </c>
      <c r="AA74" s="412" t="s">
        <v>221</v>
      </c>
      <c r="AB74" s="439" t="s">
        <v>232</v>
      </c>
      <c r="AC74" s="1242" t="s">
        <v>232</v>
      </c>
      <c r="AD74" s="1257" t="s">
        <v>232</v>
      </c>
      <c r="AE74" s="1257">
        <v>0.13</v>
      </c>
      <c r="AF74" s="1292" t="s">
        <v>221</v>
      </c>
      <c r="AG74" s="535" t="s">
        <v>221</v>
      </c>
      <c r="AH74" s="449" t="s">
        <v>221</v>
      </c>
      <c r="AI74" s="449" t="s">
        <v>221</v>
      </c>
      <c r="AJ74" s="449" t="s">
        <v>221</v>
      </c>
      <c r="AK74" s="449" t="str">
        <f t="shared" si="34"/>
        <v>no</v>
      </c>
      <c r="AL74" s="221" t="s">
        <v>232</v>
      </c>
      <c r="AM74" s="406" t="s">
        <v>232</v>
      </c>
      <c r="AN74" s="1330" t="str">
        <f t="shared" si="35"/>
        <v>na</v>
      </c>
      <c r="AP74" s="1062"/>
    </row>
    <row r="75" spans="1:44" ht="13.9" customHeight="1" x14ac:dyDescent="0.25">
      <c r="A75" s="847">
        <f>Chem!A75</f>
        <v>73</v>
      </c>
      <c r="B75" s="865" t="str">
        <f>Chem!B75</f>
        <v>Total HPAHs</v>
      </c>
      <c r="C75" s="384" t="s">
        <v>232</v>
      </c>
      <c r="D75" s="384" t="s">
        <v>232</v>
      </c>
      <c r="E75" s="387" t="str">
        <f t="shared" si="36"/>
        <v>na</v>
      </c>
      <c r="F75" s="387" t="str">
        <f t="shared" si="37"/>
        <v>na</v>
      </c>
      <c r="G75" s="387" t="s">
        <v>232</v>
      </c>
      <c r="H75" s="387" t="s">
        <v>232</v>
      </c>
      <c r="I75" s="387" t="str">
        <f t="shared" si="38"/>
        <v>na</v>
      </c>
      <c r="J75" s="387" t="str">
        <f t="shared" si="39"/>
        <v>na</v>
      </c>
      <c r="K75" s="400" t="s">
        <v>232</v>
      </c>
      <c r="L75" s="400" t="s">
        <v>232</v>
      </c>
      <c r="M75" s="400">
        <f t="shared" si="27"/>
        <v>0</v>
      </c>
      <c r="N75" s="271" t="s">
        <v>232</v>
      </c>
      <c r="O75" s="425" t="s">
        <v>232</v>
      </c>
      <c r="P75" s="1650">
        <v>0.89</v>
      </c>
      <c r="Q75" s="426" t="str">
        <f t="shared" si="28"/>
        <v>na</v>
      </c>
      <c r="R75" s="1666">
        <v>1</v>
      </c>
      <c r="S75" s="426" t="str">
        <f t="shared" si="29"/>
        <v>na</v>
      </c>
      <c r="T75" s="425" t="s">
        <v>232</v>
      </c>
      <c r="U75" s="426" t="str">
        <f t="shared" si="30"/>
        <v>na</v>
      </c>
      <c r="V75" s="1272" t="s">
        <v>232</v>
      </c>
      <c r="W75" s="1272" t="str">
        <f t="shared" si="31"/>
        <v>na</v>
      </c>
      <c r="X75" s="412" t="str">
        <f t="shared" si="32"/>
        <v>na</v>
      </c>
      <c r="Y75" s="1272" t="s">
        <v>232</v>
      </c>
      <c r="Z75" s="412" t="str">
        <f t="shared" si="33"/>
        <v>na</v>
      </c>
      <c r="AA75" s="412" t="s">
        <v>221</v>
      </c>
      <c r="AB75" s="439" t="s">
        <v>232</v>
      </c>
      <c r="AC75" s="1242" t="s">
        <v>232</v>
      </c>
      <c r="AD75" s="1257" t="s">
        <v>232</v>
      </c>
      <c r="AE75" s="1257">
        <v>0.13</v>
      </c>
      <c r="AF75" s="1292" t="s">
        <v>221</v>
      </c>
      <c r="AG75" s="535" t="s">
        <v>221</v>
      </c>
      <c r="AH75" s="449" t="s">
        <v>221</v>
      </c>
      <c r="AI75" s="449" t="s">
        <v>221</v>
      </c>
      <c r="AJ75" s="449" t="s">
        <v>221</v>
      </c>
      <c r="AK75" s="449" t="str">
        <f t="shared" si="34"/>
        <v>no</v>
      </c>
      <c r="AL75" s="221" t="s">
        <v>232</v>
      </c>
      <c r="AM75" s="406" t="s">
        <v>232</v>
      </c>
      <c r="AN75" s="1330" t="str">
        <f t="shared" si="35"/>
        <v>na</v>
      </c>
      <c r="AP75" s="1062"/>
    </row>
    <row r="76" spans="1:44" ht="13.9" customHeight="1" x14ac:dyDescent="0.25">
      <c r="A76" s="842">
        <f>Chem!A76</f>
        <v>74</v>
      </c>
      <c r="B76" s="865" t="str">
        <f>Chem!B76</f>
        <v>Total PAHs</v>
      </c>
      <c r="C76" s="384" t="s">
        <v>232</v>
      </c>
      <c r="D76" s="384" t="s">
        <v>232</v>
      </c>
      <c r="E76" s="387" t="str">
        <f t="shared" si="36"/>
        <v>na</v>
      </c>
      <c r="F76" s="387" t="str">
        <f t="shared" si="37"/>
        <v>na</v>
      </c>
      <c r="G76" s="387" t="s">
        <v>232</v>
      </c>
      <c r="H76" s="387" t="s">
        <v>232</v>
      </c>
      <c r="I76" s="387" t="str">
        <f t="shared" si="38"/>
        <v>na</v>
      </c>
      <c r="J76" s="387" t="str">
        <f t="shared" si="39"/>
        <v>na</v>
      </c>
      <c r="K76" s="400" t="s">
        <v>232</v>
      </c>
      <c r="L76" s="400" t="s">
        <v>232</v>
      </c>
      <c r="M76" s="400">
        <f t="shared" si="27"/>
        <v>0</v>
      </c>
      <c r="N76" s="271" t="s">
        <v>232</v>
      </c>
      <c r="O76" s="425" t="s">
        <v>232</v>
      </c>
      <c r="P76" s="1650">
        <v>0.89</v>
      </c>
      <c r="Q76" s="426" t="str">
        <f t="shared" si="28"/>
        <v>na</v>
      </c>
      <c r="R76" s="1666">
        <v>1</v>
      </c>
      <c r="S76" s="426" t="str">
        <f t="shared" si="29"/>
        <v>na</v>
      </c>
      <c r="T76" s="425" t="s">
        <v>232</v>
      </c>
      <c r="U76" s="426" t="str">
        <f t="shared" si="30"/>
        <v>na</v>
      </c>
      <c r="V76" s="1272" t="s">
        <v>232</v>
      </c>
      <c r="W76" s="1272" t="str">
        <f t="shared" si="31"/>
        <v>na</v>
      </c>
      <c r="X76" s="412" t="str">
        <f t="shared" si="32"/>
        <v>na</v>
      </c>
      <c r="Y76" s="1272" t="s">
        <v>232</v>
      </c>
      <c r="Z76" s="412" t="str">
        <f t="shared" si="33"/>
        <v>na</v>
      </c>
      <c r="AA76" s="412" t="s">
        <v>221</v>
      </c>
      <c r="AB76" s="439" t="s">
        <v>232</v>
      </c>
      <c r="AC76" s="1242" t="s">
        <v>232</v>
      </c>
      <c r="AD76" s="1257" t="s">
        <v>232</v>
      </c>
      <c r="AE76" s="1257">
        <v>0.13</v>
      </c>
      <c r="AF76" s="1292" t="s">
        <v>221</v>
      </c>
      <c r="AG76" s="535" t="s">
        <v>221</v>
      </c>
      <c r="AH76" s="449" t="s">
        <v>221</v>
      </c>
      <c r="AI76" s="449" t="s">
        <v>221</v>
      </c>
      <c r="AJ76" s="449" t="s">
        <v>221</v>
      </c>
      <c r="AK76" s="449" t="str">
        <f t="shared" si="34"/>
        <v>no</v>
      </c>
      <c r="AL76" s="221" t="s">
        <v>232</v>
      </c>
      <c r="AM76" s="406" t="s">
        <v>232</v>
      </c>
      <c r="AN76" s="1330" t="str">
        <f t="shared" si="35"/>
        <v>na</v>
      </c>
      <c r="AP76" s="1062"/>
    </row>
    <row r="77" spans="1:44" ht="13.9" customHeight="1" x14ac:dyDescent="0.25">
      <c r="A77" s="844">
        <f>Chem!A77</f>
        <v>75</v>
      </c>
      <c r="B77" s="1842" t="str">
        <f>Chem!B77</f>
        <v>Total cPAH TEQ</v>
      </c>
      <c r="C77" s="384">
        <f>C61</f>
        <v>968774</v>
      </c>
      <c r="D77" s="392" t="s">
        <v>232</v>
      </c>
      <c r="E77" s="387">
        <f t="shared" si="36"/>
        <v>968.774</v>
      </c>
      <c r="F77" s="389">
        <f t="shared" si="37"/>
        <v>968.774</v>
      </c>
      <c r="G77" s="389" t="s">
        <v>232</v>
      </c>
      <c r="H77" s="389" t="s">
        <v>232</v>
      </c>
      <c r="I77" s="389">
        <f t="shared" si="38"/>
        <v>18406.705999999998</v>
      </c>
      <c r="J77" s="389">
        <f t="shared" si="39"/>
        <v>18406.705999999998</v>
      </c>
      <c r="K77" s="404">
        <f>K61</f>
        <v>3.6074792186225586E-6</v>
      </c>
      <c r="L77" s="404" t="s">
        <v>232</v>
      </c>
      <c r="M77" s="404">
        <f t="shared" si="27"/>
        <v>3.6074792186225586E-6</v>
      </c>
      <c r="N77" s="271">
        <f>N61</f>
        <v>30</v>
      </c>
      <c r="O77" s="425" t="s">
        <v>232</v>
      </c>
      <c r="P77" s="1654">
        <v>0.89</v>
      </c>
      <c r="Q77" s="426" t="s">
        <v>232</v>
      </c>
      <c r="R77" s="1667">
        <v>1</v>
      </c>
      <c r="S77" s="426" t="str">
        <f t="shared" si="29"/>
        <v>na</v>
      </c>
      <c r="T77" s="425" t="s">
        <v>232</v>
      </c>
      <c r="U77" s="551" t="str">
        <f t="shared" si="30"/>
        <v>na</v>
      </c>
      <c r="V77" s="1272">
        <f t="shared" ref="V77:W77" si="40">V61</f>
        <v>1</v>
      </c>
      <c r="W77" s="1272">
        <f t="shared" si="40"/>
        <v>1.1235955056179776</v>
      </c>
      <c r="X77" s="412">
        <f t="shared" si="32"/>
        <v>1</v>
      </c>
      <c r="Y77" s="1272">
        <f>Y61</f>
        <v>6.0000000000000006E-4</v>
      </c>
      <c r="Z77" s="412">
        <f t="shared" si="33"/>
        <v>2.1</v>
      </c>
      <c r="AA77" s="417" t="str">
        <f>AA61</f>
        <v>YES</v>
      </c>
      <c r="AB77" s="440">
        <f t="shared" ref="AB77:AE77" si="41">AB61</f>
        <v>1</v>
      </c>
      <c r="AC77" s="1242">
        <f t="shared" si="41"/>
        <v>0.13</v>
      </c>
      <c r="AD77" s="1261">
        <f t="shared" si="41"/>
        <v>1</v>
      </c>
      <c r="AE77" s="1261">
        <f t="shared" si="41"/>
        <v>0.13</v>
      </c>
      <c r="AF77" s="1293" t="s">
        <v>221</v>
      </c>
      <c r="AG77" s="530" t="s">
        <v>144</v>
      </c>
      <c r="AH77" s="451" t="s">
        <v>221</v>
      </c>
      <c r="AI77" s="451" t="s">
        <v>144</v>
      </c>
      <c r="AJ77" s="451" t="s">
        <v>221</v>
      </c>
      <c r="AK77" s="449" t="str">
        <f t="shared" si="34"/>
        <v>YES</v>
      </c>
      <c r="AL77" s="257" t="s">
        <v>232</v>
      </c>
      <c r="AM77" s="543">
        <v>2.1000000000000001E-2</v>
      </c>
      <c r="AN77" s="545">
        <f t="shared" si="35"/>
        <v>2.1000000000000001E-2</v>
      </c>
      <c r="AP77" s="1062"/>
    </row>
    <row r="78" spans="1:44" s="373" customFormat="1" ht="13.9" customHeight="1" x14ac:dyDescent="0.25">
      <c r="A78" s="906">
        <f>Chem!A78</f>
        <v>76</v>
      </c>
      <c r="B78" s="850" t="str">
        <f>Chem!B78</f>
        <v>Other SVOCs</v>
      </c>
      <c r="C78" s="259"/>
      <c r="D78" s="259"/>
      <c r="E78" s="259">
        <f t="shared" si="36"/>
        <v>0</v>
      </c>
      <c r="F78" s="259">
        <f t="shared" si="37"/>
        <v>0</v>
      </c>
      <c r="G78" s="259" t="s">
        <v>232</v>
      </c>
      <c r="H78" s="259"/>
      <c r="I78" s="259">
        <f t="shared" si="38"/>
        <v>0</v>
      </c>
      <c r="J78" s="259">
        <f t="shared" si="39"/>
        <v>0</v>
      </c>
      <c r="K78" s="259"/>
      <c r="L78" s="259"/>
      <c r="M78" s="259"/>
      <c r="N78" s="259"/>
      <c r="O78" s="259"/>
      <c r="P78" s="2342"/>
      <c r="Q78" s="259"/>
      <c r="R78" s="2343"/>
      <c r="S78" s="259"/>
      <c r="T78" s="259"/>
      <c r="U78" s="259"/>
      <c r="V78" s="259"/>
      <c r="W78" s="2518"/>
      <c r="X78" s="259"/>
      <c r="Y78" s="259"/>
      <c r="Z78" s="259"/>
      <c r="AA78" s="259"/>
      <c r="AB78" s="2343"/>
      <c r="AC78" s="2344"/>
      <c r="AD78" s="2344"/>
      <c r="AE78" s="2344"/>
      <c r="AF78" s="2345"/>
      <c r="AG78" s="259"/>
      <c r="AH78" s="259"/>
      <c r="AI78" s="259"/>
      <c r="AJ78" s="259"/>
      <c r="AK78" s="259"/>
      <c r="AL78" s="1495"/>
      <c r="AM78" s="1495"/>
      <c r="AN78" s="2346"/>
      <c r="AP78" s="1063"/>
      <c r="AR78" s="839"/>
    </row>
    <row r="79" spans="1:44" s="373" customFormat="1" ht="13.9" customHeight="1" x14ac:dyDescent="0.25">
      <c r="A79" s="846">
        <f>Chem!A79</f>
        <v>77</v>
      </c>
      <c r="B79" s="871" t="str">
        <f>Chem!B79</f>
        <v>Aniline</v>
      </c>
      <c r="C79" s="393">
        <v>70.2</v>
      </c>
      <c r="D79" s="393" t="s">
        <v>232</v>
      </c>
      <c r="E79" s="387">
        <f t="shared" si="36"/>
        <v>7.0199999999999999E-2</v>
      </c>
      <c r="F79" s="387">
        <f t="shared" si="37"/>
        <v>7.0199999999999999E-2</v>
      </c>
      <c r="G79" s="387" t="s">
        <v>232</v>
      </c>
      <c r="H79" s="387" t="s">
        <v>232</v>
      </c>
      <c r="I79" s="387">
        <f t="shared" si="38"/>
        <v>1.3338000000000001</v>
      </c>
      <c r="J79" s="387">
        <f t="shared" si="39"/>
        <v>1.3338000000000001</v>
      </c>
      <c r="K79" s="405">
        <v>3.6020560358502435E-5</v>
      </c>
      <c r="L79" s="405">
        <v>8.2583810302534806E-5</v>
      </c>
      <c r="M79" s="405">
        <f t="shared" ref="M79:M142" si="42">IF(ISNUMBER(K79),K79,IF(ISNUMBER(L79),L79,0))</f>
        <v>3.6020560358502435E-5</v>
      </c>
      <c r="N79" s="253" t="s">
        <v>232</v>
      </c>
      <c r="O79" s="434">
        <v>7.0000000000000001E-3</v>
      </c>
      <c r="P79" s="1653">
        <v>0.5</v>
      </c>
      <c r="Q79" s="434">
        <f t="shared" ref="Q79:Q110" si="43">IF(O79="na","na",O79*P79)</f>
        <v>3.5000000000000001E-3</v>
      </c>
      <c r="R79" s="1678">
        <v>1</v>
      </c>
      <c r="S79" s="434">
        <f t="shared" ref="S79:S110" si="44">IF(O79="na","na",O79*R79)</f>
        <v>7.0000000000000001E-3</v>
      </c>
      <c r="T79" s="434">
        <v>1E-3</v>
      </c>
      <c r="U79" s="434">
        <f t="shared" ref="U79:U110" si="45">IF(ISNUMBER(T79),T79*20/70,"na")</f>
        <v>2.8571428571428574E-4</v>
      </c>
      <c r="V79" s="1276">
        <v>5.7000000000000002E-3</v>
      </c>
      <c r="W79" s="1276">
        <f t="shared" ref="W79:W110" si="46">IF(V79="na","na",V79/P79)</f>
        <v>1.14E-2</v>
      </c>
      <c r="X79" s="416">
        <f t="shared" ref="X79:X110" si="47">IF(V79="na","na",V79/R79)</f>
        <v>5.7000000000000002E-3</v>
      </c>
      <c r="Y79" s="1276">
        <v>1.6000000000000001E-6</v>
      </c>
      <c r="Z79" s="416">
        <f t="shared" ref="Z79:Z110" si="48">IF(ISNUMBER(Y79),Y79*70*1000/20,"na")</f>
        <v>5.6000000000000008E-3</v>
      </c>
      <c r="AA79" s="416" t="s">
        <v>221</v>
      </c>
      <c r="AB79" s="442">
        <v>1</v>
      </c>
      <c r="AC79" s="1249">
        <v>0.1</v>
      </c>
      <c r="AD79" s="1260">
        <v>1</v>
      </c>
      <c r="AE79" s="1260">
        <v>0.1</v>
      </c>
      <c r="AF79" s="1291" t="s">
        <v>221</v>
      </c>
      <c r="AG79" s="1288" t="s">
        <v>221</v>
      </c>
      <c r="AH79" s="454" t="s">
        <v>221</v>
      </c>
      <c r="AI79" s="452" t="s">
        <v>221</v>
      </c>
      <c r="AJ79" s="452" t="s">
        <v>221</v>
      </c>
      <c r="AK79" s="449" t="str">
        <f t="shared" ref="AK79:AK142" si="49">IF(AND(OR(AG79="YES",AH79="YES"),OR(AI79="YES",AJ79="YES")),"YES","no")</f>
        <v>no</v>
      </c>
      <c r="AL79" s="253" t="s">
        <v>232</v>
      </c>
      <c r="AM79" s="405" t="s">
        <v>232</v>
      </c>
      <c r="AN79" s="1152" t="str">
        <f t="shared" ref="AN79:AN142" si="50">AM79</f>
        <v>na</v>
      </c>
      <c r="AP79" s="1062"/>
      <c r="AR79" s="839"/>
    </row>
    <row r="80" spans="1:44" ht="13.9" customHeight="1" x14ac:dyDescent="0.25">
      <c r="A80" s="847">
        <f>Chem!A80</f>
        <v>78</v>
      </c>
      <c r="B80" s="865" t="str">
        <f>Chem!B80</f>
        <v>Azobenzene</v>
      </c>
      <c r="C80" s="384">
        <v>3759</v>
      </c>
      <c r="D80" s="384" t="s">
        <v>232</v>
      </c>
      <c r="E80" s="387">
        <f t="shared" si="36"/>
        <v>3.7589999999999999</v>
      </c>
      <c r="F80" s="387">
        <f t="shared" si="37"/>
        <v>3.7589999999999999</v>
      </c>
      <c r="G80" s="387" t="s">
        <v>232</v>
      </c>
      <c r="H80" s="387" t="s">
        <v>232</v>
      </c>
      <c r="I80" s="387">
        <f t="shared" si="38"/>
        <v>71.420999999999992</v>
      </c>
      <c r="J80" s="387">
        <f t="shared" si="39"/>
        <v>71.420999999999992</v>
      </c>
      <c r="K80" s="400">
        <v>1.907213710501841E-4</v>
      </c>
      <c r="L80" s="400">
        <v>5.51921504497138E-4</v>
      </c>
      <c r="M80" s="400">
        <f t="shared" si="42"/>
        <v>1.907213710501841E-4</v>
      </c>
      <c r="N80" s="271" t="s">
        <v>232</v>
      </c>
      <c r="O80" s="425" t="s">
        <v>232</v>
      </c>
      <c r="P80" s="1650">
        <v>0.8</v>
      </c>
      <c r="Q80" s="426" t="str">
        <f t="shared" si="43"/>
        <v>na</v>
      </c>
      <c r="R80" s="1666">
        <v>1</v>
      </c>
      <c r="S80" s="426" t="str">
        <f t="shared" si="44"/>
        <v>na</v>
      </c>
      <c r="T80" s="425" t="s">
        <v>232</v>
      </c>
      <c r="U80" s="426" t="str">
        <f t="shared" si="45"/>
        <v>na</v>
      </c>
      <c r="V80" s="1272">
        <v>0.11</v>
      </c>
      <c r="W80" s="1272">
        <f t="shared" si="46"/>
        <v>0.13749999999999998</v>
      </c>
      <c r="X80" s="412">
        <f t="shared" si="47"/>
        <v>0.11</v>
      </c>
      <c r="Y80" s="1272">
        <v>3.1000000000000001E-5</v>
      </c>
      <c r="Z80" s="412">
        <f t="shared" si="48"/>
        <v>0.1085</v>
      </c>
      <c r="AA80" s="412" t="s">
        <v>221</v>
      </c>
      <c r="AB80" s="439">
        <v>2</v>
      </c>
      <c r="AC80" s="1242">
        <v>0.03</v>
      </c>
      <c r="AD80" s="1257">
        <v>1</v>
      </c>
      <c r="AE80" s="1257">
        <v>0</v>
      </c>
      <c r="AF80" s="1292" t="s">
        <v>221</v>
      </c>
      <c r="AG80" s="535" t="s">
        <v>221</v>
      </c>
      <c r="AH80" s="449" t="s">
        <v>221</v>
      </c>
      <c r="AI80" s="449" t="s">
        <v>221</v>
      </c>
      <c r="AJ80" s="449" t="s">
        <v>221</v>
      </c>
      <c r="AK80" s="449" t="str">
        <f t="shared" si="49"/>
        <v>no</v>
      </c>
      <c r="AL80" s="221" t="s">
        <v>232</v>
      </c>
      <c r="AM80" s="406" t="s">
        <v>232</v>
      </c>
      <c r="AN80" s="1330" t="str">
        <f t="shared" si="50"/>
        <v>na</v>
      </c>
      <c r="AP80" s="1062"/>
    </row>
    <row r="81" spans="1:42" ht="13.9" customHeight="1" x14ac:dyDescent="0.25">
      <c r="A81" s="847">
        <f>Chem!A81</f>
        <v>79</v>
      </c>
      <c r="B81" s="1838" t="str">
        <f>Chem!B81</f>
        <v>Benzidine</v>
      </c>
      <c r="C81" s="384">
        <v>1190</v>
      </c>
      <c r="D81" s="384" t="s">
        <v>232</v>
      </c>
      <c r="E81" s="387">
        <f t="shared" si="36"/>
        <v>1.19</v>
      </c>
      <c r="F81" s="387">
        <f t="shared" si="37"/>
        <v>1.19</v>
      </c>
      <c r="G81" s="387" t="s">
        <v>232</v>
      </c>
      <c r="H81" s="387" t="s">
        <v>232</v>
      </c>
      <c r="I81" s="387">
        <f t="shared" si="38"/>
        <v>22.61</v>
      </c>
      <c r="J81" s="387">
        <f t="shared" si="39"/>
        <v>22.61</v>
      </c>
      <c r="K81" s="400">
        <v>4.886965518098135E-10</v>
      </c>
      <c r="L81" s="400">
        <v>2.1136549468519999E-9</v>
      </c>
      <c r="M81" s="400">
        <f t="shared" si="42"/>
        <v>4.886965518098135E-10</v>
      </c>
      <c r="N81" s="271">
        <v>87.5</v>
      </c>
      <c r="O81" s="425">
        <v>3.0000000000000001E-3</v>
      </c>
      <c r="P81" s="1650">
        <v>0.5</v>
      </c>
      <c r="Q81" s="426">
        <f t="shared" si="43"/>
        <v>1.5E-3</v>
      </c>
      <c r="R81" s="1666">
        <v>1</v>
      </c>
      <c r="S81" s="426">
        <f t="shared" si="44"/>
        <v>3.0000000000000001E-3</v>
      </c>
      <c r="T81" s="425" t="s">
        <v>232</v>
      </c>
      <c r="U81" s="426" t="str">
        <f t="shared" si="45"/>
        <v>na</v>
      </c>
      <c r="V81" s="1272">
        <v>230</v>
      </c>
      <c r="W81" s="1272">
        <f t="shared" si="46"/>
        <v>460</v>
      </c>
      <c r="X81" s="412">
        <f t="shared" si="47"/>
        <v>230</v>
      </c>
      <c r="Y81" s="1272">
        <v>6.7000000000000004E-2</v>
      </c>
      <c r="Z81" s="412">
        <f t="shared" si="48"/>
        <v>234.5</v>
      </c>
      <c r="AA81" s="412" t="s">
        <v>144</v>
      </c>
      <c r="AB81" s="439">
        <v>1</v>
      </c>
      <c r="AC81" s="1242">
        <v>0.1</v>
      </c>
      <c r="AD81" s="1257">
        <v>1</v>
      </c>
      <c r="AE81" s="1257">
        <v>0.1</v>
      </c>
      <c r="AF81" s="1292" t="s">
        <v>221</v>
      </c>
      <c r="AG81" s="535" t="s">
        <v>221</v>
      </c>
      <c r="AH81" s="449" t="s">
        <v>221</v>
      </c>
      <c r="AI81" s="449" t="s">
        <v>221</v>
      </c>
      <c r="AJ81" s="449" t="s">
        <v>221</v>
      </c>
      <c r="AK81" s="449" t="str">
        <f t="shared" si="49"/>
        <v>no</v>
      </c>
      <c r="AL81" s="221" t="s">
        <v>232</v>
      </c>
      <c r="AM81" s="406" t="s">
        <v>232</v>
      </c>
      <c r="AN81" s="1330" t="str">
        <f t="shared" si="50"/>
        <v>na</v>
      </c>
      <c r="AP81" s="1062"/>
    </row>
    <row r="82" spans="1:42" ht="13.9" customHeight="1" x14ac:dyDescent="0.25">
      <c r="A82" s="847">
        <f>Chem!A82</f>
        <v>80</v>
      </c>
      <c r="B82" s="865" t="str">
        <f>Chem!B82</f>
        <v>Benzoic acid</v>
      </c>
      <c r="C82" s="45">
        <v>0.6</v>
      </c>
      <c r="D82" s="384" t="s">
        <v>232</v>
      </c>
      <c r="E82" s="387">
        <f t="shared" si="36"/>
        <v>5.9999999999999995E-4</v>
      </c>
      <c r="F82" s="387">
        <f t="shared" si="37"/>
        <v>5.9999999999999995E-4</v>
      </c>
      <c r="G82" s="387">
        <v>0.50600000000000001</v>
      </c>
      <c r="H82" s="387" t="s">
        <v>232</v>
      </c>
      <c r="I82" s="387" t="s">
        <v>232</v>
      </c>
      <c r="J82" s="387">
        <f t="shared" si="39"/>
        <v>9.6139999999999993E-3</v>
      </c>
      <c r="K82" s="400">
        <v>5.2039108103926725E-7</v>
      </c>
      <c r="L82" s="400">
        <v>1.5576451349141501E-6</v>
      </c>
      <c r="M82" s="400">
        <f t="shared" si="42"/>
        <v>5.2039108103926725E-7</v>
      </c>
      <c r="N82" s="271" t="s">
        <v>232</v>
      </c>
      <c r="O82" s="425">
        <v>4</v>
      </c>
      <c r="P82" s="1650">
        <v>0.5</v>
      </c>
      <c r="Q82" s="426">
        <f t="shared" si="43"/>
        <v>2</v>
      </c>
      <c r="R82" s="1666">
        <v>1</v>
      </c>
      <c r="S82" s="426">
        <f t="shared" si="44"/>
        <v>4</v>
      </c>
      <c r="T82" s="425" t="s">
        <v>232</v>
      </c>
      <c r="U82" s="426" t="str">
        <f t="shared" si="45"/>
        <v>na</v>
      </c>
      <c r="V82" s="1272" t="s">
        <v>232</v>
      </c>
      <c r="W82" s="1272" t="str">
        <f t="shared" si="46"/>
        <v>na</v>
      </c>
      <c r="X82" s="412" t="str">
        <f t="shared" si="47"/>
        <v>na</v>
      </c>
      <c r="Y82" s="1272" t="s">
        <v>232</v>
      </c>
      <c r="Z82" s="412" t="str">
        <f t="shared" si="48"/>
        <v>na</v>
      </c>
      <c r="AA82" s="412" t="s">
        <v>221</v>
      </c>
      <c r="AB82" s="439">
        <v>1</v>
      </c>
      <c r="AC82" s="1242">
        <v>0.1</v>
      </c>
      <c r="AD82" s="1257">
        <v>1</v>
      </c>
      <c r="AE82" s="1257">
        <v>0.1</v>
      </c>
      <c r="AF82" s="1292" t="s">
        <v>221</v>
      </c>
      <c r="AG82" s="535" t="s">
        <v>221</v>
      </c>
      <c r="AH82" s="449" t="s">
        <v>221</v>
      </c>
      <c r="AI82" s="449" t="s">
        <v>221</v>
      </c>
      <c r="AJ82" s="449" t="s">
        <v>221</v>
      </c>
      <c r="AK82" s="449" t="str">
        <f t="shared" si="49"/>
        <v>no</v>
      </c>
      <c r="AL82" s="221" t="s">
        <v>232</v>
      </c>
      <c r="AM82" s="406" t="s">
        <v>232</v>
      </c>
      <c r="AN82" s="1330" t="str">
        <f t="shared" si="50"/>
        <v>na</v>
      </c>
      <c r="AP82" s="1062"/>
    </row>
    <row r="83" spans="1:42" ht="13.9" customHeight="1" x14ac:dyDescent="0.25">
      <c r="A83" s="847">
        <f>Chem!A83</f>
        <v>81</v>
      </c>
      <c r="B83" s="865" t="str">
        <f>Chem!B83</f>
        <v>Benzyl alcohol</v>
      </c>
      <c r="C83" s="384">
        <v>21.5</v>
      </c>
      <c r="D83" s="384" t="s">
        <v>232</v>
      </c>
      <c r="E83" s="387">
        <f t="shared" si="36"/>
        <v>2.1500000000000002E-2</v>
      </c>
      <c r="F83" s="387">
        <f t="shared" si="37"/>
        <v>2.1500000000000002E-2</v>
      </c>
      <c r="G83" s="387" t="s">
        <v>232</v>
      </c>
      <c r="H83" s="387" t="s">
        <v>232</v>
      </c>
      <c r="I83" s="387">
        <f t="shared" ref="I83:I96" si="51">IF(C83="na","na",C83*J$1)</f>
        <v>0.40849999999999997</v>
      </c>
      <c r="J83" s="387">
        <f t="shared" si="39"/>
        <v>0.40849999999999997</v>
      </c>
      <c r="K83" s="400">
        <v>4.919075438828267E-6</v>
      </c>
      <c r="L83" s="400">
        <v>1.37775960752249E-5</v>
      </c>
      <c r="M83" s="400">
        <f t="shared" si="42"/>
        <v>4.919075438828267E-6</v>
      </c>
      <c r="N83" s="271" t="s">
        <v>232</v>
      </c>
      <c r="O83" s="425">
        <v>0.1</v>
      </c>
      <c r="P83" s="1650">
        <v>0.5</v>
      </c>
      <c r="Q83" s="426">
        <f t="shared" si="43"/>
        <v>0.05</v>
      </c>
      <c r="R83" s="1666">
        <v>1</v>
      </c>
      <c r="S83" s="426">
        <f t="shared" si="44"/>
        <v>0.1</v>
      </c>
      <c r="T83" s="425" t="s">
        <v>232</v>
      </c>
      <c r="U83" s="426" t="str">
        <f t="shared" si="45"/>
        <v>na</v>
      </c>
      <c r="V83" s="1272" t="s">
        <v>232</v>
      </c>
      <c r="W83" s="1272" t="str">
        <f t="shared" si="46"/>
        <v>na</v>
      </c>
      <c r="X83" s="412" t="str">
        <f t="shared" si="47"/>
        <v>na</v>
      </c>
      <c r="Y83" s="1272" t="s">
        <v>232</v>
      </c>
      <c r="Z83" s="412" t="str">
        <f t="shared" si="48"/>
        <v>na</v>
      </c>
      <c r="AA83" s="412" t="s">
        <v>221</v>
      </c>
      <c r="AB83" s="439">
        <v>1</v>
      </c>
      <c r="AC83" s="1242">
        <v>0.1</v>
      </c>
      <c r="AD83" s="1257">
        <v>1</v>
      </c>
      <c r="AE83" s="1257">
        <v>0.1</v>
      </c>
      <c r="AF83" s="1292" t="s">
        <v>221</v>
      </c>
      <c r="AG83" s="535" t="s">
        <v>221</v>
      </c>
      <c r="AH83" s="449" t="s">
        <v>221</v>
      </c>
      <c r="AI83" s="449" t="s">
        <v>221</v>
      </c>
      <c r="AJ83" s="449" t="s">
        <v>221</v>
      </c>
      <c r="AK83" s="449" t="str">
        <f t="shared" si="49"/>
        <v>no</v>
      </c>
      <c r="AL83" s="221" t="s">
        <v>232</v>
      </c>
      <c r="AM83" s="406" t="s">
        <v>232</v>
      </c>
      <c r="AN83" s="1330" t="str">
        <f t="shared" si="50"/>
        <v>na</v>
      </c>
      <c r="AP83" s="1062"/>
    </row>
    <row r="84" spans="1:42" ht="13.9" customHeight="1" x14ac:dyDescent="0.25">
      <c r="A84" s="847">
        <f>Chem!A84</f>
        <v>82</v>
      </c>
      <c r="B84" s="865" t="str">
        <f>Chem!B84</f>
        <v>Bis(2-chloroethoxy)methane</v>
      </c>
      <c r="C84" s="384">
        <v>14.4</v>
      </c>
      <c r="D84" s="384" t="s">
        <v>232</v>
      </c>
      <c r="E84" s="387">
        <f t="shared" si="36"/>
        <v>1.4400000000000001E-2</v>
      </c>
      <c r="F84" s="387">
        <f t="shared" si="37"/>
        <v>1.4400000000000001E-2</v>
      </c>
      <c r="G84" s="387" t="s">
        <v>232</v>
      </c>
      <c r="H84" s="387" t="s">
        <v>232</v>
      </c>
      <c r="I84" s="387">
        <f t="shared" si="51"/>
        <v>0.27360000000000001</v>
      </c>
      <c r="J84" s="387">
        <f t="shared" si="39"/>
        <v>0.27360000000000001</v>
      </c>
      <c r="K84" s="400">
        <v>6.5646037131180564E-5</v>
      </c>
      <c r="L84" s="400">
        <v>1.57399836467702E-4</v>
      </c>
      <c r="M84" s="400">
        <f t="shared" si="42"/>
        <v>6.5646037131180564E-5</v>
      </c>
      <c r="N84" s="271" t="s">
        <v>232</v>
      </c>
      <c r="O84" s="425">
        <v>3.0000000000000001E-3</v>
      </c>
      <c r="P84" s="1650">
        <v>0.5</v>
      </c>
      <c r="Q84" s="426">
        <f t="shared" si="43"/>
        <v>1.5E-3</v>
      </c>
      <c r="R84" s="1666">
        <v>1</v>
      </c>
      <c r="S84" s="426">
        <f t="shared" si="44"/>
        <v>3.0000000000000001E-3</v>
      </c>
      <c r="T84" s="425" t="s">
        <v>232</v>
      </c>
      <c r="U84" s="426" t="str">
        <f t="shared" si="45"/>
        <v>na</v>
      </c>
      <c r="V84" s="1272" t="s">
        <v>232</v>
      </c>
      <c r="W84" s="1272" t="str">
        <f t="shared" si="46"/>
        <v>na</v>
      </c>
      <c r="X84" s="412" t="str">
        <f t="shared" si="47"/>
        <v>na</v>
      </c>
      <c r="Y84" s="1272" t="s">
        <v>232</v>
      </c>
      <c r="Z84" s="412" t="str">
        <f t="shared" si="48"/>
        <v>na</v>
      </c>
      <c r="AA84" s="412" t="s">
        <v>221</v>
      </c>
      <c r="AB84" s="439">
        <v>1</v>
      </c>
      <c r="AC84" s="1242">
        <v>0.1</v>
      </c>
      <c r="AD84" s="1257">
        <v>1</v>
      </c>
      <c r="AE84" s="1257">
        <v>0.1</v>
      </c>
      <c r="AF84" s="1292" t="s">
        <v>221</v>
      </c>
      <c r="AG84" s="535" t="s">
        <v>221</v>
      </c>
      <c r="AH84" s="449" t="s">
        <v>221</v>
      </c>
      <c r="AI84" s="449" t="s">
        <v>221</v>
      </c>
      <c r="AJ84" s="449" t="s">
        <v>221</v>
      </c>
      <c r="AK84" s="449" t="str">
        <f t="shared" si="49"/>
        <v>no</v>
      </c>
      <c r="AL84" s="221" t="s">
        <v>232</v>
      </c>
      <c r="AM84" s="406" t="s">
        <v>232</v>
      </c>
      <c r="AN84" s="1330" t="str">
        <f t="shared" si="50"/>
        <v>na</v>
      </c>
      <c r="AP84" s="1062"/>
    </row>
    <row r="85" spans="1:42" ht="13.9" customHeight="1" x14ac:dyDescent="0.25">
      <c r="A85" s="847">
        <f>Chem!A85</f>
        <v>83</v>
      </c>
      <c r="B85" s="865" t="str">
        <f>Chem!B85</f>
        <v>Bis(2-chloroethyl)ether</v>
      </c>
      <c r="C85" s="384">
        <v>76</v>
      </c>
      <c r="D85" s="384" t="s">
        <v>232</v>
      </c>
      <c r="E85" s="387">
        <f t="shared" si="36"/>
        <v>7.5999999999999998E-2</v>
      </c>
      <c r="F85" s="387">
        <f t="shared" si="37"/>
        <v>7.5999999999999998E-2</v>
      </c>
      <c r="G85" s="387" t="s">
        <v>232</v>
      </c>
      <c r="H85" s="387" t="s">
        <v>232</v>
      </c>
      <c r="I85" s="387">
        <f t="shared" si="51"/>
        <v>1.444</v>
      </c>
      <c r="J85" s="387">
        <f t="shared" si="39"/>
        <v>1.444</v>
      </c>
      <c r="K85" s="400">
        <v>2.7884751232172631E-4</v>
      </c>
      <c r="L85" s="400">
        <v>6.9501226492232199E-4</v>
      </c>
      <c r="M85" s="400">
        <f t="shared" si="42"/>
        <v>2.7884751232172631E-4</v>
      </c>
      <c r="N85" s="271">
        <v>6.9</v>
      </c>
      <c r="O85" s="425" t="s">
        <v>232</v>
      </c>
      <c r="P85" s="1650">
        <v>0.8</v>
      </c>
      <c r="Q85" s="426" t="str">
        <f t="shared" si="43"/>
        <v>na</v>
      </c>
      <c r="R85" s="1666">
        <v>1</v>
      </c>
      <c r="S85" s="426" t="str">
        <f t="shared" si="44"/>
        <v>na</v>
      </c>
      <c r="T85" s="425" t="s">
        <v>232</v>
      </c>
      <c r="U85" s="426" t="str">
        <f t="shared" si="45"/>
        <v>na</v>
      </c>
      <c r="V85" s="1272">
        <v>1.1000000000000001</v>
      </c>
      <c r="W85" s="1272">
        <f t="shared" si="46"/>
        <v>1.375</v>
      </c>
      <c r="X85" s="412">
        <f t="shared" si="47"/>
        <v>1.1000000000000001</v>
      </c>
      <c r="Y85" s="1272">
        <v>3.3000000000000005E-4</v>
      </c>
      <c r="Z85" s="412">
        <f t="shared" si="48"/>
        <v>1.155</v>
      </c>
      <c r="AA85" s="412" t="s">
        <v>221</v>
      </c>
      <c r="AB85" s="439">
        <v>2</v>
      </c>
      <c r="AC85" s="1242">
        <v>0.03</v>
      </c>
      <c r="AD85" s="1257">
        <v>1</v>
      </c>
      <c r="AE85" s="1257">
        <v>0</v>
      </c>
      <c r="AF85" s="1292" t="s">
        <v>221</v>
      </c>
      <c r="AG85" s="535" t="s">
        <v>221</v>
      </c>
      <c r="AH85" s="449" t="s">
        <v>221</v>
      </c>
      <c r="AI85" s="449" t="s">
        <v>221</v>
      </c>
      <c r="AJ85" s="449" t="s">
        <v>221</v>
      </c>
      <c r="AK85" s="449" t="str">
        <f t="shared" si="49"/>
        <v>no</v>
      </c>
      <c r="AL85" s="221" t="s">
        <v>232</v>
      </c>
      <c r="AM85" s="406" t="s">
        <v>232</v>
      </c>
      <c r="AN85" s="1330" t="str">
        <f t="shared" si="50"/>
        <v>na</v>
      </c>
      <c r="AP85" s="1062"/>
    </row>
    <row r="86" spans="1:42" ht="13.9" customHeight="1" x14ac:dyDescent="0.25">
      <c r="A86" s="847">
        <f>Chem!A86</f>
        <v>84</v>
      </c>
      <c r="B86" s="865" t="str">
        <f>Chem!B86</f>
        <v>Bis(chloromethyl)ether</v>
      </c>
      <c r="C86" s="384">
        <v>9.6999999999999993</v>
      </c>
      <c r="D86" s="384" t="s">
        <v>232</v>
      </c>
      <c r="E86" s="387">
        <f t="shared" si="36"/>
        <v>9.7000000000000003E-3</v>
      </c>
      <c r="F86" s="387">
        <f t="shared" si="37"/>
        <v>9.7000000000000003E-3</v>
      </c>
      <c r="G86" s="387" t="s">
        <v>232</v>
      </c>
      <c r="H86" s="387" t="s">
        <v>232</v>
      </c>
      <c r="I86" s="387">
        <f t="shared" si="51"/>
        <v>0.18429999999999999</v>
      </c>
      <c r="J86" s="387">
        <f t="shared" si="39"/>
        <v>0.18429999999999999</v>
      </c>
      <c r="K86" s="400">
        <v>9.4140346558596294E-2</v>
      </c>
      <c r="L86" s="400">
        <v>0.17825020441537201</v>
      </c>
      <c r="M86" s="400">
        <f t="shared" si="42"/>
        <v>9.4140346558596294E-2</v>
      </c>
      <c r="N86" s="271" t="s">
        <v>232</v>
      </c>
      <c r="O86" s="425" t="s">
        <v>232</v>
      </c>
      <c r="P86" s="1650">
        <v>0.8</v>
      </c>
      <c r="Q86" s="426" t="str">
        <f t="shared" si="43"/>
        <v>na</v>
      </c>
      <c r="R86" s="1666">
        <v>1</v>
      </c>
      <c r="S86" s="426" t="str">
        <f t="shared" si="44"/>
        <v>na</v>
      </c>
      <c r="T86" s="425" t="s">
        <v>232</v>
      </c>
      <c r="U86" s="426" t="str">
        <f t="shared" si="45"/>
        <v>na</v>
      </c>
      <c r="V86" s="1272">
        <v>220</v>
      </c>
      <c r="W86" s="1272">
        <f t="shared" si="46"/>
        <v>275</v>
      </c>
      <c r="X86" s="412">
        <f t="shared" si="47"/>
        <v>220</v>
      </c>
      <c r="Y86" s="1272">
        <v>6.2000000000000006E-2</v>
      </c>
      <c r="Z86" s="412">
        <f t="shared" si="48"/>
        <v>217.00000000000006</v>
      </c>
      <c r="AA86" s="412" t="s">
        <v>221</v>
      </c>
      <c r="AB86" s="439">
        <v>2</v>
      </c>
      <c r="AC86" s="1242">
        <v>0.03</v>
      </c>
      <c r="AD86" s="1257">
        <v>1</v>
      </c>
      <c r="AE86" s="1257">
        <v>0</v>
      </c>
      <c r="AF86" s="1292" t="s">
        <v>221</v>
      </c>
      <c r="AG86" s="535" t="s">
        <v>221</v>
      </c>
      <c r="AH86" s="449" t="s">
        <v>221</v>
      </c>
      <c r="AI86" s="449" t="s">
        <v>221</v>
      </c>
      <c r="AJ86" s="449" t="s">
        <v>221</v>
      </c>
      <c r="AK86" s="449" t="str">
        <f t="shared" si="49"/>
        <v>no</v>
      </c>
      <c r="AL86" s="221" t="s">
        <v>232</v>
      </c>
      <c r="AM86" s="406" t="s">
        <v>232</v>
      </c>
      <c r="AN86" s="1330" t="str">
        <f t="shared" si="50"/>
        <v>na</v>
      </c>
      <c r="AP86" s="1062"/>
    </row>
    <row r="87" spans="1:42" ht="13.9" customHeight="1" x14ac:dyDescent="0.25">
      <c r="A87" s="847">
        <f>Chem!A87</f>
        <v>85</v>
      </c>
      <c r="B87" s="865" t="str">
        <f>Chem!B87</f>
        <v xml:space="preserve">Bis(2-chloro-1-methylethyl)ether </v>
      </c>
      <c r="C87" s="384">
        <v>82.9</v>
      </c>
      <c r="D87" s="384" t="s">
        <v>232</v>
      </c>
      <c r="E87" s="387">
        <f t="shared" si="36"/>
        <v>8.2900000000000001E-2</v>
      </c>
      <c r="F87" s="387">
        <f t="shared" si="37"/>
        <v>8.2900000000000001E-2</v>
      </c>
      <c r="G87" s="387" t="s">
        <v>232</v>
      </c>
      <c r="H87" s="387" t="s">
        <v>232</v>
      </c>
      <c r="I87" s="387">
        <f t="shared" si="51"/>
        <v>1.5751000000000002</v>
      </c>
      <c r="J87" s="387">
        <f t="shared" si="39"/>
        <v>1.5751000000000002</v>
      </c>
      <c r="K87" s="400">
        <v>1.3515082062352801E-3</v>
      </c>
      <c r="L87" s="400">
        <v>3.0335241210139E-3</v>
      </c>
      <c r="M87" s="400">
        <f t="shared" si="42"/>
        <v>1.3515082062352801E-3</v>
      </c>
      <c r="N87" s="271">
        <v>2.4700000000000002</v>
      </c>
      <c r="O87" s="425">
        <v>0.04</v>
      </c>
      <c r="P87" s="1650">
        <v>0.8</v>
      </c>
      <c r="Q87" s="426">
        <f t="shared" si="43"/>
        <v>3.2000000000000001E-2</v>
      </c>
      <c r="R87" s="1666">
        <v>1</v>
      </c>
      <c r="S87" s="426">
        <f t="shared" si="44"/>
        <v>0.04</v>
      </c>
      <c r="T87" s="425" t="s">
        <v>232</v>
      </c>
      <c r="U87" s="426" t="str">
        <f t="shared" si="45"/>
        <v>na</v>
      </c>
      <c r="V87" s="1272">
        <v>7.0000000000000007E-2</v>
      </c>
      <c r="W87" s="1272">
        <f t="shared" si="46"/>
        <v>8.7500000000000008E-2</v>
      </c>
      <c r="X87" s="412">
        <f t="shared" si="47"/>
        <v>7.0000000000000007E-2</v>
      </c>
      <c r="Y87" s="1272">
        <v>1.0000000000000003E-5</v>
      </c>
      <c r="Z87" s="412">
        <f t="shared" si="48"/>
        <v>3.500000000000001E-2</v>
      </c>
      <c r="AA87" s="412" t="s">
        <v>221</v>
      </c>
      <c r="AB87" s="439">
        <v>2</v>
      </c>
      <c r="AC87" s="1242">
        <v>0.03</v>
      </c>
      <c r="AD87" s="1257">
        <v>1</v>
      </c>
      <c r="AE87" s="1257">
        <v>0</v>
      </c>
      <c r="AF87" s="1292" t="s">
        <v>221</v>
      </c>
      <c r="AG87" s="535" t="s">
        <v>221</v>
      </c>
      <c r="AH87" s="449" t="s">
        <v>221</v>
      </c>
      <c r="AI87" s="449" t="s">
        <v>221</v>
      </c>
      <c r="AJ87" s="449" t="s">
        <v>221</v>
      </c>
      <c r="AK87" s="449" t="str">
        <f t="shared" si="49"/>
        <v>no</v>
      </c>
      <c r="AL87" s="221" t="s">
        <v>232</v>
      </c>
      <c r="AM87" s="406" t="s">
        <v>232</v>
      </c>
      <c r="AN87" s="1330" t="str">
        <f t="shared" si="50"/>
        <v>na</v>
      </c>
      <c r="AP87" s="1062"/>
    </row>
    <row r="88" spans="1:42" ht="13.9" customHeight="1" x14ac:dyDescent="0.25">
      <c r="A88" s="847">
        <f>Chem!A88</f>
        <v>86</v>
      </c>
      <c r="B88" s="865" t="str">
        <f>Chem!B88</f>
        <v>2,6-Bis(1,1-dimethylethyl) phenol</v>
      </c>
      <c r="C88" s="384" t="s">
        <v>232</v>
      </c>
      <c r="D88" s="384" t="s">
        <v>232</v>
      </c>
      <c r="E88" s="387" t="str">
        <f t="shared" si="36"/>
        <v>na</v>
      </c>
      <c r="F88" s="387" t="str">
        <f t="shared" si="37"/>
        <v>na</v>
      </c>
      <c r="G88" s="387" t="s">
        <v>232</v>
      </c>
      <c r="H88" s="387" t="s">
        <v>232</v>
      </c>
      <c r="I88" s="387" t="str">
        <f t="shared" si="51"/>
        <v>na</v>
      </c>
      <c r="J88" s="387" t="str">
        <f t="shared" si="39"/>
        <v>na</v>
      </c>
      <c r="K88" s="400" t="s">
        <v>232</v>
      </c>
      <c r="L88" s="400" t="s">
        <v>232</v>
      </c>
      <c r="M88" s="400">
        <f t="shared" si="42"/>
        <v>0</v>
      </c>
      <c r="N88" s="271" t="s">
        <v>232</v>
      </c>
      <c r="O88" s="425" t="s">
        <v>232</v>
      </c>
      <c r="P88" s="1650">
        <v>0.5</v>
      </c>
      <c r="Q88" s="426" t="str">
        <f t="shared" si="43"/>
        <v>na</v>
      </c>
      <c r="R88" s="1666">
        <v>1</v>
      </c>
      <c r="S88" s="426" t="str">
        <f t="shared" si="44"/>
        <v>na</v>
      </c>
      <c r="T88" s="425" t="s">
        <v>232</v>
      </c>
      <c r="U88" s="426" t="str">
        <f t="shared" si="45"/>
        <v>na</v>
      </c>
      <c r="V88" s="1272" t="s">
        <v>232</v>
      </c>
      <c r="W88" s="1272" t="str">
        <f t="shared" si="46"/>
        <v>na</v>
      </c>
      <c r="X88" s="412" t="str">
        <f t="shared" si="47"/>
        <v>na</v>
      </c>
      <c r="Y88" s="1272" t="s">
        <v>232</v>
      </c>
      <c r="Z88" s="412" t="str">
        <f t="shared" si="48"/>
        <v>na</v>
      </c>
      <c r="AA88" s="412" t="s">
        <v>221</v>
      </c>
      <c r="AB88" s="439" t="s">
        <v>232</v>
      </c>
      <c r="AC88" s="1242" t="s">
        <v>232</v>
      </c>
      <c r="AD88" s="1257" t="s">
        <v>232</v>
      </c>
      <c r="AE88" s="1257">
        <v>0.1</v>
      </c>
      <c r="AF88" s="1292" t="s">
        <v>221</v>
      </c>
      <c r="AG88" s="535" t="s">
        <v>221</v>
      </c>
      <c r="AH88" s="449" t="s">
        <v>221</v>
      </c>
      <c r="AI88" s="449" t="s">
        <v>221</v>
      </c>
      <c r="AJ88" s="449" t="s">
        <v>221</v>
      </c>
      <c r="AK88" s="449" t="str">
        <f t="shared" si="49"/>
        <v>no</v>
      </c>
      <c r="AL88" s="221" t="s">
        <v>232</v>
      </c>
      <c r="AM88" s="406" t="s">
        <v>232</v>
      </c>
      <c r="AN88" s="1330" t="str">
        <f t="shared" si="50"/>
        <v>na</v>
      </c>
      <c r="AP88" s="1062"/>
    </row>
    <row r="89" spans="1:42" ht="13.9" customHeight="1" x14ac:dyDescent="0.25">
      <c r="A89" s="847">
        <f>Chem!A89</f>
        <v>87</v>
      </c>
      <c r="B89" s="865" t="str">
        <f>Chem!B89</f>
        <v>Bis(2-ethylhexyl) phthalate</v>
      </c>
      <c r="C89" s="384">
        <v>111000</v>
      </c>
      <c r="D89" s="384" t="s">
        <v>232</v>
      </c>
      <c r="E89" s="387">
        <f t="shared" si="36"/>
        <v>111</v>
      </c>
      <c r="F89" s="387">
        <f t="shared" si="37"/>
        <v>111</v>
      </c>
      <c r="G89" s="387" t="s">
        <v>232</v>
      </c>
      <c r="H89" s="387" t="s">
        <v>232</v>
      </c>
      <c r="I89" s="387">
        <f t="shared" si="51"/>
        <v>2109</v>
      </c>
      <c r="J89" s="387">
        <f t="shared" si="39"/>
        <v>2109</v>
      </c>
      <c r="K89" s="400">
        <v>2.3446563586162589E-6</v>
      </c>
      <c r="L89" s="400">
        <v>1.10384300899428E-5</v>
      </c>
      <c r="M89" s="400">
        <f t="shared" si="42"/>
        <v>2.3446563586162589E-6</v>
      </c>
      <c r="N89" s="271">
        <v>130</v>
      </c>
      <c r="O89" s="425">
        <v>0.02</v>
      </c>
      <c r="P89" s="1650">
        <v>0.5</v>
      </c>
      <c r="Q89" s="426">
        <f t="shared" si="43"/>
        <v>0.01</v>
      </c>
      <c r="R89" s="1666">
        <v>1</v>
      </c>
      <c r="S89" s="426">
        <f t="shared" si="44"/>
        <v>0.02</v>
      </c>
      <c r="T89" s="425" t="s">
        <v>232</v>
      </c>
      <c r="U89" s="426" t="str">
        <f t="shared" si="45"/>
        <v>na</v>
      </c>
      <c r="V89" s="1272">
        <v>1.4E-2</v>
      </c>
      <c r="W89" s="1272">
        <f t="shared" si="46"/>
        <v>2.8000000000000001E-2</v>
      </c>
      <c r="X89" s="412">
        <f t="shared" si="47"/>
        <v>1.4E-2</v>
      </c>
      <c r="Y89" s="1272">
        <v>2.3999999999999999E-6</v>
      </c>
      <c r="Z89" s="412">
        <f t="shared" si="48"/>
        <v>8.3999999999999995E-3</v>
      </c>
      <c r="AA89" s="412" t="s">
        <v>221</v>
      </c>
      <c r="AB89" s="439">
        <v>1</v>
      </c>
      <c r="AC89" s="1242">
        <v>0.1</v>
      </c>
      <c r="AD89" s="1257">
        <v>1</v>
      </c>
      <c r="AE89" s="1257">
        <v>0.1</v>
      </c>
      <c r="AF89" s="1292" t="s">
        <v>221</v>
      </c>
      <c r="AG89" s="535" t="s">
        <v>221</v>
      </c>
      <c r="AH89" s="449" t="s">
        <v>221</v>
      </c>
      <c r="AI89" s="449" t="s">
        <v>144</v>
      </c>
      <c r="AJ89" s="449" t="s">
        <v>221</v>
      </c>
      <c r="AK89" s="449" t="str">
        <f t="shared" si="49"/>
        <v>no</v>
      </c>
      <c r="AL89" s="221" t="s">
        <v>232</v>
      </c>
      <c r="AM89" s="406" t="s">
        <v>232</v>
      </c>
      <c r="AN89" s="1330" t="str">
        <f t="shared" si="50"/>
        <v>na</v>
      </c>
      <c r="AP89" s="1062"/>
    </row>
    <row r="90" spans="1:42" ht="13.9" customHeight="1" x14ac:dyDescent="0.25">
      <c r="A90" s="847">
        <f>Chem!A90</f>
        <v>88</v>
      </c>
      <c r="B90" s="865" t="str">
        <f>Chem!B90</f>
        <v>4-Bromophenyl phenyl ether</v>
      </c>
      <c r="C90" s="384" t="s">
        <v>232</v>
      </c>
      <c r="D90" s="384" t="s">
        <v>232</v>
      </c>
      <c r="E90" s="387" t="str">
        <f t="shared" si="36"/>
        <v>na</v>
      </c>
      <c r="F90" s="387" t="str">
        <f t="shared" si="37"/>
        <v>na</v>
      </c>
      <c r="G90" s="387" t="s">
        <v>232</v>
      </c>
      <c r="H90" s="387" t="s">
        <v>232</v>
      </c>
      <c r="I90" s="387" t="str">
        <f t="shared" si="51"/>
        <v>na</v>
      </c>
      <c r="J90" s="387" t="str">
        <f t="shared" si="39"/>
        <v>na</v>
      </c>
      <c r="K90" s="400" t="s">
        <v>232</v>
      </c>
      <c r="L90" s="400" t="s">
        <v>232</v>
      </c>
      <c r="M90" s="400">
        <f t="shared" si="42"/>
        <v>0</v>
      </c>
      <c r="N90" s="271" t="s">
        <v>232</v>
      </c>
      <c r="O90" s="425" t="s">
        <v>232</v>
      </c>
      <c r="P90" s="1650">
        <v>0.8</v>
      </c>
      <c r="Q90" s="426" t="str">
        <f t="shared" si="43"/>
        <v>na</v>
      </c>
      <c r="R90" s="1666">
        <v>1</v>
      </c>
      <c r="S90" s="426" t="str">
        <f t="shared" si="44"/>
        <v>na</v>
      </c>
      <c r="T90" s="425" t="s">
        <v>232</v>
      </c>
      <c r="U90" s="426" t="str">
        <f t="shared" si="45"/>
        <v>na</v>
      </c>
      <c r="V90" s="1272" t="s">
        <v>232</v>
      </c>
      <c r="W90" s="1272" t="str">
        <f t="shared" si="46"/>
        <v>na</v>
      </c>
      <c r="X90" s="412" t="str">
        <f t="shared" si="47"/>
        <v>na</v>
      </c>
      <c r="Y90" s="1272" t="s">
        <v>232</v>
      </c>
      <c r="Z90" s="412" t="str">
        <f t="shared" si="48"/>
        <v>na</v>
      </c>
      <c r="AA90" s="412" t="s">
        <v>221</v>
      </c>
      <c r="AB90" s="439" t="s">
        <v>232</v>
      </c>
      <c r="AC90" s="1242" t="s">
        <v>232</v>
      </c>
      <c r="AD90" s="1257" t="s">
        <v>232</v>
      </c>
      <c r="AE90" s="1257">
        <v>0.1</v>
      </c>
      <c r="AF90" s="1292" t="s">
        <v>221</v>
      </c>
      <c r="AG90" s="535" t="s">
        <v>221</v>
      </c>
      <c r="AH90" s="449" t="s">
        <v>221</v>
      </c>
      <c r="AI90" s="449" t="s">
        <v>221</v>
      </c>
      <c r="AJ90" s="449" t="s">
        <v>221</v>
      </c>
      <c r="AK90" s="449" t="str">
        <f t="shared" si="49"/>
        <v>no</v>
      </c>
      <c r="AL90" s="221" t="s">
        <v>232</v>
      </c>
      <c r="AM90" s="406" t="s">
        <v>232</v>
      </c>
      <c r="AN90" s="1330" t="str">
        <f t="shared" si="50"/>
        <v>na</v>
      </c>
      <c r="AP90" s="1062"/>
    </row>
    <row r="91" spans="1:42" ht="13.9" customHeight="1" x14ac:dyDescent="0.25">
      <c r="A91" s="847">
        <f>Chem!A91</f>
        <v>89</v>
      </c>
      <c r="B91" s="865" t="str">
        <f>Chem!B91</f>
        <v>Butyl benzyl phthalate</v>
      </c>
      <c r="C91" s="384">
        <v>13700</v>
      </c>
      <c r="D91" s="384" t="s">
        <v>232</v>
      </c>
      <c r="E91" s="387">
        <f t="shared" si="36"/>
        <v>13.700000000000001</v>
      </c>
      <c r="F91" s="387">
        <f t="shared" si="37"/>
        <v>13.700000000000001</v>
      </c>
      <c r="G91" s="387" t="s">
        <v>232</v>
      </c>
      <c r="H91" s="387" t="s">
        <v>232</v>
      </c>
      <c r="I91" s="387">
        <f t="shared" si="51"/>
        <v>260.3</v>
      </c>
      <c r="J91" s="387">
        <f t="shared" si="39"/>
        <v>260.3</v>
      </c>
      <c r="K91" s="400">
        <v>1.4670792367413567E-5</v>
      </c>
      <c r="L91" s="400">
        <v>5.15126737530662E-5</v>
      </c>
      <c r="M91" s="400">
        <f t="shared" si="42"/>
        <v>1.4670792367413567E-5</v>
      </c>
      <c r="N91" s="271">
        <v>414</v>
      </c>
      <c r="O91" s="425">
        <v>0.2</v>
      </c>
      <c r="P91" s="1650">
        <v>0.5</v>
      </c>
      <c r="Q91" s="426">
        <f t="shared" si="43"/>
        <v>0.1</v>
      </c>
      <c r="R91" s="1666">
        <v>1</v>
      </c>
      <c r="S91" s="426">
        <f t="shared" si="44"/>
        <v>0.2</v>
      </c>
      <c r="T91" s="425" t="s">
        <v>232</v>
      </c>
      <c r="U91" s="426" t="str">
        <f t="shared" si="45"/>
        <v>na</v>
      </c>
      <c r="V91" s="1272">
        <v>1.9E-3</v>
      </c>
      <c r="W91" s="1272">
        <f t="shared" si="46"/>
        <v>3.8E-3</v>
      </c>
      <c r="X91" s="412">
        <f t="shared" si="47"/>
        <v>1.9E-3</v>
      </c>
      <c r="Y91" s="1272" t="s">
        <v>232</v>
      </c>
      <c r="Z91" s="412" t="str">
        <f t="shared" si="48"/>
        <v>na</v>
      </c>
      <c r="AA91" s="412" t="s">
        <v>221</v>
      </c>
      <c r="AB91" s="439">
        <v>1</v>
      </c>
      <c r="AC91" s="1242">
        <v>0.1</v>
      </c>
      <c r="AD91" s="1257">
        <v>1</v>
      </c>
      <c r="AE91" s="1257">
        <v>0.1</v>
      </c>
      <c r="AF91" s="1292" t="s">
        <v>221</v>
      </c>
      <c r="AG91" s="535" t="s">
        <v>221</v>
      </c>
      <c r="AH91" s="449" t="s">
        <v>221</v>
      </c>
      <c r="AI91" s="449" t="s">
        <v>221</v>
      </c>
      <c r="AJ91" s="449" t="s">
        <v>221</v>
      </c>
      <c r="AK91" s="449" t="str">
        <f t="shared" si="49"/>
        <v>no</v>
      </c>
      <c r="AL91" s="221" t="s">
        <v>232</v>
      </c>
      <c r="AM91" s="406" t="s">
        <v>232</v>
      </c>
      <c r="AN91" s="1330" t="str">
        <f t="shared" si="50"/>
        <v>na</v>
      </c>
      <c r="AP91" s="1062"/>
    </row>
    <row r="92" spans="1:42" ht="13.9" customHeight="1" x14ac:dyDescent="0.25">
      <c r="A92" s="847">
        <f>Chem!A92</f>
        <v>90</v>
      </c>
      <c r="B92" s="865" t="str">
        <f>Chem!B92</f>
        <v>Butyl diphenyl phosphate</v>
      </c>
      <c r="C92" s="384" t="s">
        <v>232</v>
      </c>
      <c r="D92" s="384" t="s">
        <v>232</v>
      </c>
      <c r="E92" s="387" t="str">
        <f t="shared" si="36"/>
        <v>na</v>
      </c>
      <c r="F92" s="387" t="str">
        <f t="shared" si="37"/>
        <v>na</v>
      </c>
      <c r="G92" s="387" t="s">
        <v>232</v>
      </c>
      <c r="H92" s="387" t="s">
        <v>232</v>
      </c>
      <c r="I92" s="387" t="str">
        <f t="shared" si="51"/>
        <v>na</v>
      </c>
      <c r="J92" s="387" t="str">
        <f t="shared" si="39"/>
        <v>na</v>
      </c>
      <c r="K92" s="400" t="s">
        <v>232</v>
      </c>
      <c r="L92" s="400" t="s">
        <v>232</v>
      </c>
      <c r="M92" s="400">
        <f t="shared" si="42"/>
        <v>0</v>
      </c>
      <c r="N92" s="271" t="s">
        <v>232</v>
      </c>
      <c r="O92" s="425" t="s">
        <v>232</v>
      </c>
      <c r="P92" s="1650">
        <v>0.5</v>
      </c>
      <c r="Q92" s="426" t="str">
        <f t="shared" si="43"/>
        <v>na</v>
      </c>
      <c r="R92" s="1666">
        <v>1</v>
      </c>
      <c r="S92" s="426" t="str">
        <f t="shared" si="44"/>
        <v>na</v>
      </c>
      <c r="T92" s="425" t="s">
        <v>232</v>
      </c>
      <c r="U92" s="426" t="str">
        <f t="shared" si="45"/>
        <v>na</v>
      </c>
      <c r="V92" s="1272" t="s">
        <v>232</v>
      </c>
      <c r="W92" s="1272" t="str">
        <f t="shared" si="46"/>
        <v>na</v>
      </c>
      <c r="X92" s="412" t="str">
        <f t="shared" si="47"/>
        <v>na</v>
      </c>
      <c r="Y92" s="1272" t="s">
        <v>232</v>
      </c>
      <c r="Z92" s="412" t="str">
        <f t="shared" si="48"/>
        <v>na</v>
      </c>
      <c r="AA92" s="412" t="s">
        <v>221</v>
      </c>
      <c r="AB92" s="439" t="s">
        <v>232</v>
      </c>
      <c r="AC92" s="1242" t="s">
        <v>232</v>
      </c>
      <c r="AD92" s="1257" t="s">
        <v>232</v>
      </c>
      <c r="AE92" s="1257">
        <v>0.1</v>
      </c>
      <c r="AF92" s="1292" t="s">
        <v>221</v>
      </c>
      <c r="AG92" s="535" t="s">
        <v>221</v>
      </c>
      <c r="AH92" s="449" t="s">
        <v>221</v>
      </c>
      <c r="AI92" s="449" t="s">
        <v>221</v>
      </c>
      <c r="AJ92" s="449" t="s">
        <v>221</v>
      </c>
      <c r="AK92" s="449" t="str">
        <f t="shared" si="49"/>
        <v>no</v>
      </c>
      <c r="AL92" s="221" t="s">
        <v>232</v>
      </c>
      <c r="AM92" s="406" t="s">
        <v>232</v>
      </c>
      <c r="AN92" s="1330" t="str">
        <f t="shared" si="50"/>
        <v>na</v>
      </c>
      <c r="AP92" s="1062"/>
    </row>
    <row r="93" spans="1:42" ht="13.9" customHeight="1" x14ac:dyDescent="0.25">
      <c r="A93" s="847">
        <f>Chem!A93</f>
        <v>91</v>
      </c>
      <c r="B93" s="865" t="str">
        <f>Chem!B93</f>
        <v>Carbazole</v>
      </c>
      <c r="C93" s="384" t="s">
        <v>232</v>
      </c>
      <c r="D93" s="384" t="s">
        <v>232</v>
      </c>
      <c r="E93" s="387" t="str">
        <f t="shared" si="36"/>
        <v>na</v>
      </c>
      <c r="F93" s="387" t="str">
        <f t="shared" si="37"/>
        <v>na</v>
      </c>
      <c r="G93" s="387" t="s">
        <v>232</v>
      </c>
      <c r="H93" s="387" t="s">
        <v>232</v>
      </c>
      <c r="I93" s="387" t="str">
        <f t="shared" si="51"/>
        <v>na</v>
      </c>
      <c r="J93" s="387" t="str">
        <f t="shared" si="39"/>
        <v>na</v>
      </c>
      <c r="K93" s="400" t="s">
        <v>232</v>
      </c>
      <c r="L93" s="400" t="s">
        <v>232</v>
      </c>
      <c r="M93" s="400">
        <f t="shared" si="42"/>
        <v>0</v>
      </c>
      <c r="N93" s="271" t="s">
        <v>232</v>
      </c>
      <c r="O93" s="425" t="s">
        <v>232</v>
      </c>
      <c r="P93" s="1650">
        <v>0.5</v>
      </c>
      <c r="Q93" s="426" t="str">
        <f t="shared" si="43"/>
        <v>na</v>
      </c>
      <c r="R93" s="1666">
        <v>1</v>
      </c>
      <c r="S93" s="426" t="str">
        <f t="shared" si="44"/>
        <v>na</v>
      </c>
      <c r="T93" s="425" t="s">
        <v>232</v>
      </c>
      <c r="U93" s="426" t="str">
        <f t="shared" si="45"/>
        <v>na</v>
      </c>
      <c r="V93" s="1272" t="s">
        <v>232</v>
      </c>
      <c r="W93" s="1272" t="str">
        <f t="shared" si="46"/>
        <v>na</v>
      </c>
      <c r="X93" s="412" t="str">
        <f t="shared" si="47"/>
        <v>na</v>
      </c>
      <c r="Y93" s="1272" t="s">
        <v>232</v>
      </c>
      <c r="Z93" s="412" t="str">
        <f t="shared" si="48"/>
        <v>na</v>
      </c>
      <c r="AA93" s="412" t="s">
        <v>221</v>
      </c>
      <c r="AB93" s="439" t="s">
        <v>232</v>
      </c>
      <c r="AC93" s="1242" t="s">
        <v>232</v>
      </c>
      <c r="AD93" s="1257" t="s">
        <v>232</v>
      </c>
      <c r="AE93" s="1257">
        <v>0.1</v>
      </c>
      <c r="AF93" s="1292" t="s">
        <v>221</v>
      </c>
      <c r="AG93" s="535" t="s">
        <v>221</v>
      </c>
      <c r="AH93" s="449" t="s">
        <v>221</v>
      </c>
      <c r="AI93" s="449" t="s">
        <v>221</v>
      </c>
      <c r="AJ93" s="449" t="s">
        <v>221</v>
      </c>
      <c r="AK93" s="449" t="str">
        <f t="shared" si="49"/>
        <v>no</v>
      </c>
      <c r="AL93" s="221" t="s">
        <v>232</v>
      </c>
      <c r="AM93" s="406" t="s">
        <v>232</v>
      </c>
      <c r="AN93" s="1330" t="str">
        <f t="shared" si="50"/>
        <v>na</v>
      </c>
      <c r="AP93" s="1062"/>
    </row>
    <row r="94" spans="1:42" ht="13.9" customHeight="1" x14ac:dyDescent="0.25">
      <c r="A94" s="847">
        <f>Chem!A94</f>
        <v>92</v>
      </c>
      <c r="B94" s="865" t="str">
        <f>Chem!B94</f>
        <v>4-Chloroaniline</v>
      </c>
      <c r="C94" s="384">
        <v>113</v>
      </c>
      <c r="D94" s="384" t="s">
        <v>232</v>
      </c>
      <c r="E94" s="387">
        <f t="shared" si="36"/>
        <v>0.113</v>
      </c>
      <c r="F94" s="387">
        <f t="shared" si="37"/>
        <v>0.113</v>
      </c>
      <c r="G94" s="387" t="s">
        <v>232</v>
      </c>
      <c r="H94" s="387" t="s">
        <v>232</v>
      </c>
      <c r="I94" s="387">
        <f t="shared" si="51"/>
        <v>2.1469999999999998</v>
      </c>
      <c r="J94" s="387">
        <f t="shared" si="39"/>
        <v>2.1469999999999998</v>
      </c>
      <c r="K94" s="400">
        <v>1.7324746352589265E-5</v>
      </c>
      <c r="L94" s="400">
        <v>4.7424366312346699E-5</v>
      </c>
      <c r="M94" s="400">
        <f t="shared" si="42"/>
        <v>1.7324746352589265E-5</v>
      </c>
      <c r="N94" s="271" t="s">
        <v>232</v>
      </c>
      <c r="O94" s="425">
        <v>4.0000000000000001E-3</v>
      </c>
      <c r="P94" s="1650">
        <v>0.5</v>
      </c>
      <c r="Q94" s="426">
        <f t="shared" si="43"/>
        <v>2E-3</v>
      </c>
      <c r="R94" s="1666">
        <v>1</v>
      </c>
      <c r="S94" s="426">
        <f t="shared" si="44"/>
        <v>4.0000000000000001E-3</v>
      </c>
      <c r="T94" s="425" t="s">
        <v>232</v>
      </c>
      <c r="U94" s="426" t="str">
        <f t="shared" si="45"/>
        <v>na</v>
      </c>
      <c r="V94" s="1272">
        <v>0.2</v>
      </c>
      <c r="W94" s="1272">
        <f t="shared" si="46"/>
        <v>0.4</v>
      </c>
      <c r="X94" s="412">
        <f t="shared" si="47"/>
        <v>0.2</v>
      </c>
      <c r="Y94" s="1272" t="s">
        <v>232</v>
      </c>
      <c r="Z94" s="412" t="str">
        <f t="shared" si="48"/>
        <v>na</v>
      </c>
      <c r="AA94" s="412" t="s">
        <v>221</v>
      </c>
      <c r="AB94" s="439">
        <v>1</v>
      </c>
      <c r="AC94" s="1242">
        <v>0.1</v>
      </c>
      <c r="AD94" s="1257">
        <v>1</v>
      </c>
      <c r="AE94" s="1257">
        <v>0.1</v>
      </c>
      <c r="AF94" s="1292" t="s">
        <v>221</v>
      </c>
      <c r="AG94" s="535" t="s">
        <v>221</v>
      </c>
      <c r="AH94" s="449" t="s">
        <v>221</v>
      </c>
      <c r="AI94" s="449" t="s">
        <v>221</v>
      </c>
      <c r="AJ94" s="449" t="s">
        <v>221</v>
      </c>
      <c r="AK94" s="449" t="str">
        <f t="shared" si="49"/>
        <v>no</v>
      </c>
      <c r="AL94" s="221" t="s">
        <v>232</v>
      </c>
      <c r="AM94" s="406" t="s">
        <v>232</v>
      </c>
      <c r="AN94" s="1330" t="str">
        <f t="shared" si="50"/>
        <v>na</v>
      </c>
      <c r="AP94" s="1062"/>
    </row>
    <row r="95" spans="1:42" ht="13.9" customHeight="1" x14ac:dyDescent="0.25">
      <c r="A95" s="847">
        <f>Chem!A95</f>
        <v>93</v>
      </c>
      <c r="B95" s="865" t="str">
        <f>Chem!B95</f>
        <v>4-Chloro-3-methylphenol (chlorocresol)</v>
      </c>
      <c r="C95" s="384">
        <v>492</v>
      </c>
      <c r="D95" s="384" t="s">
        <v>232</v>
      </c>
      <c r="E95" s="387">
        <f t="shared" si="36"/>
        <v>0.49199999999999999</v>
      </c>
      <c r="F95" s="387">
        <f t="shared" si="37"/>
        <v>0.49199999999999999</v>
      </c>
      <c r="G95" s="387" t="s">
        <v>232</v>
      </c>
      <c r="H95" s="387" t="s">
        <v>232</v>
      </c>
      <c r="I95" s="387">
        <f t="shared" si="51"/>
        <v>9.347999999999999</v>
      </c>
      <c r="J95" s="387">
        <f t="shared" si="39"/>
        <v>9.347999999999999</v>
      </c>
      <c r="K95" s="400">
        <v>4.0021445292526819E-5</v>
      </c>
      <c r="L95" s="400">
        <v>1.00163532297629E-4</v>
      </c>
      <c r="M95" s="400">
        <f t="shared" si="42"/>
        <v>4.0021445292526819E-5</v>
      </c>
      <c r="N95" s="271" t="s">
        <v>232</v>
      </c>
      <c r="O95" s="425">
        <v>0.1</v>
      </c>
      <c r="P95" s="1650">
        <v>0.5</v>
      </c>
      <c r="Q95" s="426">
        <f t="shared" si="43"/>
        <v>0.05</v>
      </c>
      <c r="R95" s="1666">
        <v>1</v>
      </c>
      <c r="S95" s="426">
        <f t="shared" si="44"/>
        <v>0.1</v>
      </c>
      <c r="T95" s="425" t="s">
        <v>232</v>
      </c>
      <c r="U95" s="426" t="str">
        <f t="shared" si="45"/>
        <v>na</v>
      </c>
      <c r="V95" s="1272" t="s">
        <v>232</v>
      </c>
      <c r="W95" s="1272" t="str">
        <f t="shared" si="46"/>
        <v>na</v>
      </c>
      <c r="X95" s="412" t="str">
        <f t="shared" si="47"/>
        <v>na</v>
      </c>
      <c r="Y95" s="1272" t="s">
        <v>232</v>
      </c>
      <c r="Z95" s="412" t="str">
        <f t="shared" si="48"/>
        <v>na</v>
      </c>
      <c r="AA95" s="412" t="s">
        <v>221</v>
      </c>
      <c r="AB95" s="439">
        <v>1</v>
      </c>
      <c r="AC95" s="1242">
        <v>0.1</v>
      </c>
      <c r="AD95" s="1257">
        <v>1</v>
      </c>
      <c r="AE95" s="1257">
        <v>0.1</v>
      </c>
      <c r="AF95" s="1292" t="s">
        <v>221</v>
      </c>
      <c r="AG95" s="535" t="s">
        <v>221</v>
      </c>
      <c r="AH95" s="449" t="s">
        <v>221</v>
      </c>
      <c r="AI95" s="449" t="s">
        <v>221</v>
      </c>
      <c r="AJ95" s="449" t="s">
        <v>221</v>
      </c>
      <c r="AK95" s="449" t="str">
        <f t="shared" si="49"/>
        <v>no</v>
      </c>
      <c r="AL95" s="221" t="s">
        <v>232</v>
      </c>
      <c r="AM95" s="406" t="s">
        <v>232</v>
      </c>
      <c r="AN95" s="1330" t="str">
        <f t="shared" si="50"/>
        <v>na</v>
      </c>
      <c r="AP95" s="1062"/>
    </row>
    <row r="96" spans="1:42" ht="13.9" customHeight="1" x14ac:dyDescent="0.25">
      <c r="A96" s="847">
        <f>Chem!A96</f>
        <v>94</v>
      </c>
      <c r="B96" s="865" t="str">
        <f>Chem!B96</f>
        <v>2-Chloronaphthalene (beta-)</v>
      </c>
      <c r="C96" s="384">
        <v>2480</v>
      </c>
      <c r="D96" s="384" t="s">
        <v>232</v>
      </c>
      <c r="E96" s="387">
        <f t="shared" si="36"/>
        <v>2.48</v>
      </c>
      <c r="F96" s="387">
        <f t="shared" si="37"/>
        <v>2.48</v>
      </c>
      <c r="G96" s="387" t="s">
        <v>232</v>
      </c>
      <c r="H96" s="387" t="s">
        <v>232</v>
      </c>
      <c r="I96" s="387">
        <f t="shared" si="51"/>
        <v>47.12</v>
      </c>
      <c r="J96" s="387">
        <f t="shared" si="39"/>
        <v>47.12</v>
      </c>
      <c r="K96" s="400">
        <v>4.8434873288390676E-3</v>
      </c>
      <c r="L96" s="400">
        <v>1.3082583810302501E-2</v>
      </c>
      <c r="M96" s="400">
        <f t="shared" si="42"/>
        <v>4.8434873288390676E-3</v>
      </c>
      <c r="N96" s="271">
        <v>202</v>
      </c>
      <c r="O96" s="425">
        <v>0.08</v>
      </c>
      <c r="P96" s="1650">
        <v>0.89</v>
      </c>
      <c r="Q96" s="426">
        <f t="shared" si="43"/>
        <v>7.1199999999999999E-2</v>
      </c>
      <c r="R96" s="1666">
        <v>1</v>
      </c>
      <c r="S96" s="426">
        <f t="shared" si="44"/>
        <v>0.08</v>
      </c>
      <c r="T96" s="425" t="s">
        <v>232</v>
      </c>
      <c r="U96" s="426" t="str">
        <f t="shared" si="45"/>
        <v>na</v>
      </c>
      <c r="V96" s="1272" t="s">
        <v>232</v>
      </c>
      <c r="W96" s="1272" t="str">
        <f t="shared" si="46"/>
        <v>na</v>
      </c>
      <c r="X96" s="412" t="str">
        <f t="shared" si="47"/>
        <v>na</v>
      </c>
      <c r="Y96" s="1272" t="s">
        <v>232</v>
      </c>
      <c r="Z96" s="412" t="str">
        <f t="shared" si="48"/>
        <v>na</v>
      </c>
      <c r="AA96" s="412" t="s">
        <v>221</v>
      </c>
      <c r="AB96" s="439">
        <v>2</v>
      </c>
      <c r="AC96" s="1242">
        <v>0.13</v>
      </c>
      <c r="AD96" s="1257">
        <v>1</v>
      </c>
      <c r="AE96" s="1257">
        <v>0.13</v>
      </c>
      <c r="AF96" s="1292" t="s">
        <v>221</v>
      </c>
      <c r="AG96" s="535" t="s">
        <v>221</v>
      </c>
      <c r="AH96" s="449" t="s">
        <v>221</v>
      </c>
      <c r="AI96" s="449" t="s">
        <v>221</v>
      </c>
      <c r="AJ96" s="449" t="s">
        <v>221</v>
      </c>
      <c r="AK96" s="449" t="str">
        <f t="shared" si="49"/>
        <v>no</v>
      </c>
      <c r="AL96" s="221" t="s">
        <v>232</v>
      </c>
      <c r="AM96" s="406" t="s">
        <v>232</v>
      </c>
      <c r="AN96" s="1330" t="str">
        <f t="shared" si="50"/>
        <v>na</v>
      </c>
      <c r="AP96" s="1062"/>
    </row>
    <row r="97" spans="1:42" ht="13.9" customHeight="1" x14ac:dyDescent="0.25">
      <c r="A97" s="847">
        <f>Chem!A97</f>
        <v>95</v>
      </c>
      <c r="B97" s="865" t="str">
        <f>Chem!B97</f>
        <v>2-Chlorophenol</v>
      </c>
      <c r="C97" s="45">
        <v>388</v>
      </c>
      <c r="D97" s="384" t="s">
        <v>232</v>
      </c>
      <c r="E97" s="387">
        <f t="shared" si="36"/>
        <v>0.38800000000000001</v>
      </c>
      <c r="F97" s="387">
        <f t="shared" si="37"/>
        <v>0.38800000000000001</v>
      </c>
      <c r="G97" s="387">
        <v>286</v>
      </c>
      <c r="H97" s="387" t="s">
        <v>232</v>
      </c>
      <c r="I97" s="387" t="s">
        <v>232</v>
      </c>
      <c r="J97" s="387">
        <f t="shared" si="39"/>
        <v>5.4340000000000002</v>
      </c>
      <c r="K97" s="400">
        <v>2.0806611950115379E-4</v>
      </c>
      <c r="L97" s="400">
        <v>4.5789043336058903E-4</v>
      </c>
      <c r="M97" s="400">
        <f t="shared" si="42"/>
        <v>2.0806611950115379E-4</v>
      </c>
      <c r="N97" s="271">
        <v>134</v>
      </c>
      <c r="O97" s="425">
        <v>5.0000000000000001E-3</v>
      </c>
      <c r="P97" s="1650">
        <v>0.8</v>
      </c>
      <c r="Q97" s="426">
        <f t="shared" si="43"/>
        <v>4.0000000000000001E-3</v>
      </c>
      <c r="R97" s="1666">
        <v>1</v>
      </c>
      <c r="S97" s="426">
        <f t="shared" si="44"/>
        <v>5.0000000000000001E-3</v>
      </c>
      <c r="T97" s="425" t="s">
        <v>232</v>
      </c>
      <c r="U97" s="426" t="str">
        <f t="shared" si="45"/>
        <v>na</v>
      </c>
      <c r="V97" s="1272" t="s">
        <v>232</v>
      </c>
      <c r="W97" s="1272" t="str">
        <f t="shared" si="46"/>
        <v>na</v>
      </c>
      <c r="X97" s="412" t="str">
        <f t="shared" si="47"/>
        <v>na</v>
      </c>
      <c r="Y97" s="1272" t="s">
        <v>232</v>
      </c>
      <c r="Z97" s="412" t="str">
        <f t="shared" si="48"/>
        <v>na</v>
      </c>
      <c r="AA97" s="412" t="s">
        <v>221</v>
      </c>
      <c r="AB97" s="439">
        <v>2</v>
      </c>
      <c r="AC97" s="1242">
        <v>0.03</v>
      </c>
      <c r="AD97" s="1257">
        <v>1</v>
      </c>
      <c r="AE97" s="1257">
        <v>0</v>
      </c>
      <c r="AF97" s="1292" t="s">
        <v>221</v>
      </c>
      <c r="AG97" s="535" t="s">
        <v>221</v>
      </c>
      <c r="AH97" s="449" t="s">
        <v>221</v>
      </c>
      <c r="AI97" s="449" t="s">
        <v>221</v>
      </c>
      <c r="AJ97" s="449" t="s">
        <v>221</v>
      </c>
      <c r="AK97" s="449" t="str">
        <f t="shared" si="49"/>
        <v>no</v>
      </c>
      <c r="AL97" s="221" t="s">
        <v>232</v>
      </c>
      <c r="AM97" s="406" t="s">
        <v>232</v>
      </c>
      <c r="AN97" s="1330" t="str">
        <f t="shared" si="50"/>
        <v>na</v>
      </c>
      <c r="AP97" s="1062"/>
    </row>
    <row r="98" spans="1:42" ht="13.9" customHeight="1" x14ac:dyDescent="0.25">
      <c r="A98" s="847">
        <f>Chem!A98</f>
        <v>96</v>
      </c>
      <c r="B98" s="865" t="str">
        <f>Chem!B98</f>
        <v>4-Chlorophenyl phenyl ether</v>
      </c>
      <c r="C98" s="384" t="s">
        <v>232</v>
      </c>
      <c r="D98" s="384" t="s">
        <v>232</v>
      </c>
      <c r="E98" s="387" t="str">
        <f t="shared" si="36"/>
        <v>na</v>
      </c>
      <c r="F98" s="387" t="str">
        <f t="shared" si="37"/>
        <v>na</v>
      </c>
      <c r="G98" s="387" t="s">
        <v>232</v>
      </c>
      <c r="H98" s="387" t="s">
        <v>232</v>
      </c>
      <c r="I98" s="387" t="str">
        <f t="shared" ref="I98:I104" si="52">IF(C98="na","na",C98*J$1)</f>
        <v>na</v>
      </c>
      <c r="J98" s="387" t="str">
        <f t="shared" si="39"/>
        <v>na</v>
      </c>
      <c r="K98" s="400" t="s">
        <v>232</v>
      </c>
      <c r="L98" s="400" t="s">
        <v>232</v>
      </c>
      <c r="M98" s="400">
        <f t="shared" si="42"/>
        <v>0</v>
      </c>
      <c r="N98" s="271" t="s">
        <v>232</v>
      </c>
      <c r="O98" s="425" t="s">
        <v>232</v>
      </c>
      <c r="P98" s="1650">
        <v>0.5</v>
      </c>
      <c r="Q98" s="426" t="str">
        <f t="shared" si="43"/>
        <v>na</v>
      </c>
      <c r="R98" s="1666">
        <v>1</v>
      </c>
      <c r="S98" s="426" t="str">
        <f t="shared" si="44"/>
        <v>na</v>
      </c>
      <c r="T98" s="425" t="s">
        <v>232</v>
      </c>
      <c r="U98" s="426" t="str">
        <f t="shared" si="45"/>
        <v>na</v>
      </c>
      <c r="V98" s="1272" t="s">
        <v>232</v>
      </c>
      <c r="W98" s="1272" t="str">
        <f t="shared" si="46"/>
        <v>na</v>
      </c>
      <c r="X98" s="412" t="str">
        <f t="shared" si="47"/>
        <v>na</v>
      </c>
      <c r="Y98" s="1272" t="s">
        <v>232</v>
      </c>
      <c r="Z98" s="412" t="str">
        <f t="shared" si="48"/>
        <v>na</v>
      </c>
      <c r="AA98" s="412" t="s">
        <v>221</v>
      </c>
      <c r="AB98" s="439" t="s">
        <v>232</v>
      </c>
      <c r="AC98" s="1242" t="s">
        <v>232</v>
      </c>
      <c r="AD98" s="1257" t="s">
        <v>232</v>
      </c>
      <c r="AE98" s="1257">
        <v>0.1</v>
      </c>
      <c r="AF98" s="1292" t="s">
        <v>221</v>
      </c>
      <c r="AG98" s="535" t="s">
        <v>221</v>
      </c>
      <c r="AH98" s="449" t="s">
        <v>221</v>
      </c>
      <c r="AI98" s="449" t="s">
        <v>221</v>
      </c>
      <c r="AJ98" s="449" t="s">
        <v>221</v>
      </c>
      <c r="AK98" s="449" t="str">
        <f t="shared" si="49"/>
        <v>no</v>
      </c>
      <c r="AL98" s="221" t="s">
        <v>232</v>
      </c>
      <c r="AM98" s="406" t="s">
        <v>232</v>
      </c>
      <c r="AN98" s="1330" t="str">
        <f t="shared" si="50"/>
        <v>na</v>
      </c>
      <c r="AP98" s="1062"/>
    </row>
    <row r="99" spans="1:42" ht="13.9" customHeight="1" x14ac:dyDescent="0.25">
      <c r="A99" s="847">
        <f>Chem!A99</f>
        <v>97</v>
      </c>
      <c r="B99" s="865" t="str">
        <f>Chem!B99</f>
        <v>Dibutyl phthalate</v>
      </c>
      <c r="C99" s="384">
        <v>1570</v>
      </c>
      <c r="D99" s="384" t="s">
        <v>232</v>
      </c>
      <c r="E99" s="387">
        <f t="shared" si="36"/>
        <v>1.57</v>
      </c>
      <c r="F99" s="387">
        <f t="shared" si="37"/>
        <v>1.57</v>
      </c>
      <c r="G99" s="387" t="s">
        <v>232</v>
      </c>
      <c r="H99" s="387" t="s">
        <v>232</v>
      </c>
      <c r="I99" s="387">
        <f t="shared" si="52"/>
        <v>29.83</v>
      </c>
      <c r="J99" s="387">
        <f t="shared" si="39"/>
        <v>29.83</v>
      </c>
      <c r="K99" s="400">
        <v>1.0034007668623438E-5</v>
      </c>
      <c r="L99" s="400">
        <v>7.3998364677023705E-5</v>
      </c>
      <c r="M99" s="400">
        <f t="shared" si="42"/>
        <v>1.0034007668623438E-5</v>
      </c>
      <c r="N99" s="271">
        <v>89</v>
      </c>
      <c r="O99" s="425">
        <v>0.1</v>
      </c>
      <c r="P99" s="1650">
        <v>0.5</v>
      </c>
      <c r="Q99" s="426">
        <f t="shared" si="43"/>
        <v>0.05</v>
      </c>
      <c r="R99" s="1666">
        <v>1</v>
      </c>
      <c r="S99" s="426">
        <f t="shared" si="44"/>
        <v>0.1</v>
      </c>
      <c r="T99" s="425" t="s">
        <v>232</v>
      </c>
      <c r="U99" s="426" t="str">
        <f t="shared" si="45"/>
        <v>na</v>
      </c>
      <c r="V99" s="1272" t="s">
        <v>232</v>
      </c>
      <c r="W99" s="1272" t="str">
        <f t="shared" si="46"/>
        <v>na</v>
      </c>
      <c r="X99" s="412" t="str">
        <f t="shared" si="47"/>
        <v>na</v>
      </c>
      <c r="Y99" s="1272" t="s">
        <v>232</v>
      </c>
      <c r="Z99" s="412" t="str">
        <f t="shared" si="48"/>
        <v>na</v>
      </c>
      <c r="AA99" s="412" t="s">
        <v>221</v>
      </c>
      <c r="AB99" s="439">
        <v>1</v>
      </c>
      <c r="AC99" s="1242">
        <v>0.1</v>
      </c>
      <c r="AD99" s="1257">
        <v>1</v>
      </c>
      <c r="AE99" s="1257">
        <v>0.1</v>
      </c>
      <c r="AF99" s="1292" t="s">
        <v>221</v>
      </c>
      <c r="AG99" s="535" t="s">
        <v>221</v>
      </c>
      <c r="AH99" s="449" t="s">
        <v>221</v>
      </c>
      <c r="AI99" s="449" t="s">
        <v>221</v>
      </c>
      <c r="AJ99" s="449" t="s">
        <v>221</v>
      </c>
      <c r="AK99" s="449" t="str">
        <f t="shared" si="49"/>
        <v>no</v>
      </c>
      <c r="AL99" s="221" t="s">
        <v>232</v>
      </c>
      <c r="AM99" s="406" t="s">
        <v>232</v>
      </c>
      <c r="AN99" s="1330" t="str">
        <f t="shared" si="50"/>
        <v>na</v>
      </c>
      <c r="AP99" s="1062"/>
    </row>
    <row r="100" spans="1:42" ht="13.9" customHeight="1" x14ac:dyDescent="0.25">
      <c r="A100" s="847">
        <f>Chem!A100</f>
        <v>98</v>
      </c>
      <c r="B100" s="865" t="str">
        <f>Chem!B100</f>
        <v>Dibutyl phenyl phosphate</v>
      </c>
      <c r="C100" s="384" t="s">
        <v>232</v>
      </c>
      <c r="D100" s="384" t="s">
        <v>232</v>
      </c>
      <c r="E100" s="387" t="str">
        <f t="shared" si="36"/>
        <v>na</v>
      </c>
      <c r="F100" s="387" t="str">
        <f t="shared" si="37"/>
        <v>na</v>
      </c>
      <c r="G100" s="387" t="s">
        <v>232</v>
      </c>
      <c r="H100" s="387" t="s">
        <v>232</v>
      </c>
      <c r="I100" s="387" t="str">
        <f t="shared" si="52"/>
        <v>na</v>
      </c>
      <c r="J100" s="387" t="str">
        <f t="shared" si="39"/>
        <v>na</v>
      </c>
      <c r="K100" s="400" t="s">
        <v>232</v>
      </c>
      <c r="L100" s="400" t="s">
        <v>232</v>
      </c>
      <c r="M100" s="400">
        <f t="shared" si="42"/>
        <v>0</v>
      </c>
      <c r="N100" s="271" t="s">
        <v>232</v>
      </c>
      <c r="O100" s="425" t="s">
        <v>232</v>
      </c>
      <c r="P100" s="1650">
        <v>0.5</v>
      </c>
      <c r="Q100" s="426" t="str">
        <f t="shared" si="43"/>
        <v>na</v>
      </c>
      <c r="R100" s="1666">
        <v>1</v>
      </c>
      <c r="S100" s="426" t="str">
        <f t="shared" si="44"/>
        <v>na</v>
      </c>
      <c r="T100" s="425" t="s">
        <v>232</v>
      </c>
      <c r="U100" s="426" t="str">
        <f t="shared" si="45"/>
        <v>na</v>
      </c>
      <c r="V100" s="1272" t="s">
        <v>232</v>
      </c>
      <c r="W100" s="1272" t="str">
        <f t="shared" si="46"/>
        <v>na</v>
      </c>
      <c r="X100" s="412" t="str">
        <f t="shared" si="47"/>
        <v>na</v>
      </c>
      <c r="Y100" s="1272" t="s">
        <v>232</v>
      </c>
      <c r="Z100" s="412" t="str">
        <f t="shared" si="48"/>
        <v>na</v>
      </c>
      <c r="AA100" s="412" t="s">
        <v>221</v>
      </c>
      <c r="AB100" s="439" t="s">
        <v>232</v>
      </c>
      <c r="AC100" s="1242" t="s">
        <v>232</v>
      </c>
      <c r="AD100" s="1257" t="s">
        <v>232</v>
      </c>
      <c r="AE100" s="1257">
        <v>0.1</v>
      </c>
      <c r="AF100" s="1292" t="s">
        <v>221</v>
      </c>
      <c r="AG100" s="535" t="s">
        <v>221</v>
      </c>
      <c r="AH100" s="449" t="s">
        <v>221</v>
      </c>
      <c r="AI100" s="449" t="s">
        <v>221</v>
      </c>
      <c r="AJ100" s="449" t="s">
        <v>221</v>
      </c>
      <c r="AK100" s="449" t="str">
        <f t="shared" si="49"/>
        <v>no</v>
      </c>
      <c r="AL100" s="221" t="s">
        <v>232</v>
      </c>
      <c r="AM100" s="406" t="s">
        <v>232</v>
      </c>
      <c r="AN100" s="1330" t="str">
        <f t="shared" si="50"/>
        <v>na</v>
      </c>
      <c r="AP100" s="1062"/>
    </row>
    <row r="101" spans="1:42" ht="13.9" customHeight="1" x14ac:dyDescent="0.25">
      <c r="A101" s="847">
        <f>Chem!A101</f>
        <v>99</v>
      </c>
      <c r="B101" s="865" t="str">
        <f>Chem!B101</f>
        <v>1,2-Dichlorobenzene</v>
      </c>
      <c r="C101" s="384">
        <v>379</v>
      </c>
      <c r="D101" s="384" t="s">
        <v>232</v>
      </c>
      <c r="E101" s="387">
        <f t="shared" si="36"/>
        <v>0.379</v>
      </c>
      <c r="F101" s="387">
        <f t="shared" si="37"/>
        <v>0.379</v>
      </c>
      <c r="G101" s="387" t="s">
        <v>232</v>
      </c>
      <c r="H101" s="387" t="s">
        <v>232</v>
      </c>
      <c r="I101" s="387">
        <f t="shared" si="52"/>
        <v>7.2009999999999996</v>
      </c>
      <c r="J101" s="387">
        <f t="shared" si="39"/>
        <v>7.2009999999999996</v>
      </c>
      <c r="K101" s="400">
        <v>3.6521062257743146E-2</v>
      </c>
      <c r="L101" s="400">
        <v>7.8495502861815197E-2</v>
      </c>
      <c r="M101" s="400">
        <f t="shared" si="42"/>
        <v>3.6521062257743146E-2</v>
      </c>
      <c r="N101" s="271">
        <v>55.6</v>
      </c>
      <c r="O101" s="425">
        <v>0.09</v>
      </c>
      <c r="P101" s="1650">
        <v>0.8</v>
      </c>
      <c r="Q101" s="426">
        <f t="shared" si="43"/>
        <v>7.1999999999999995E-2</v>
      </c>
      <c r="R101" s="1666">
        <v>1</v>
      </c>
      <c r="S101" s="426">
        <f t="shared" si="44"/>
        <v>0.09</v>
      </c>
      <c r="T101" s="425">
        <v>0.19999999999999998</v>
      </c>
      <c r="U101" s="426">
        <f t="shared" si="45"/>
        <v>5.7142857142857134E-2</v>
      </c>
      <c r="V101" s="1272" t="s">
        <v>232</v>
      </c>
      <c r="W101" s="1272" t="str">
        <f t="shared" si="46"/>
        <v>na</v>
      </c>
      <c r="X101" s="412" t="str">
        <f t="shared" si="47"/>
        <v>na</v>
      </c>
      <c r="Y101" s="1272" t="s">
        <v>232</v>
      </c>
      <c r="Z101" s="412" t="str">
        <f t="shared" si="48"/>
        <v>na</v>
      </c>
      <c r="AA101" s="412" t="s">
        <v>221</v>
      </c>
      <c r="AB101" s="439">
        <v>2</v>
      </c>
      <c r="AC101" s="1242">
        <v>0.03</v>
      </c>
      <c r="AD101" s="1257">
        <v>1</v>
      </c>
      <c r="AE101" s="1257">
        <v>0</v>
      </c>
      <c r="AF101" s="1292" t="s">
        <v>144</v>
      </c>
      <c r="AG101" s="535" t="s">
        <v>221</v>
      </c>
      <c r="AH101" s="449" t="s">
        <v>221</v>
      </c>
      <c r="AI101" s="449" t="s">
        <v>221</v>
      </c>
      <c r="AJ101" s="449" t="s">
        <v>221</v>
      </c>
      <c r="AK101" s="449" t="str">
        <f t="shared" si="49"/>
        <v>no</v>
      </c>
      <c r="AL101" s="221" t="s">
        <v>232</v>
      </c>
      <c r="AM101" s="406" t="s">
        <v>232</v>
      </c>
      <c r="AN101" s="1330" t="str">
        <f t="shared" si="50"/>
        <v>na</v>
      </c>
      <c r="AP101" s="1062"/>
    </row>
    <row r="102" spans="1:42" ht="13.9" customHeight="1" x14ac:dyDescent="0.25">
      <c r="A102" s="847">
        <f>Chem!A102</f>
        <v>100</v>
      </c>
      <c r="B102" s="865" t="str">
        <f>Chem!B102</f>
        <v>1,3-Dichlorobenzene</v>
      </c>
      <c r="C102" s="384">
        <v>375</v>
      </c>
      <c r="D102" s="384" t="s">
        <v>232</v>
      </c>
      <c r="E102" s="387">
        <f t="shared" si="36"/>
        <v>0.375</v>
      </c>
      <c r="F102" s="387">
        <f t="shared" si="37"/>
        <v>0.375</v>
      </c>
      <c r="G102" s="387" t="s">
        <v>232</v>
      </c>
      <c r="H102" s="387" t="s">
        <v>232</v>
      </c>
      <c r="I102" s="387">
        <f t="shared" si="52"/>
        <v>7.125</v>
      </c>
      <c r="J102" s="387">
        <f t="shared" si="39"/>
        <v>7.125</v>
      </c>
      <c r="K102" s="400">
        <v>5.0933576999831615E-2</v>
      </c>
      <c r="L102" s="400">
        <v>0.107522485690924</v>
      </c>
      <c r="M102" s="400">
        <f t="shared" si="42"/>
        <v>5.0933576999831615E-2</v>
      </c>
      <c r="N102" s="271" t="s">
        <v>232</v>
      </c>
      <c r="O102" s="425" t="s">
        <v>232</v>
      </c>
      <c r="P102" s="1650">
        <v>0.8</v>
      </c>
      <c r="Q102" s="426" t="str">
        <f t="shared" si="43"/>
        <v>na</v>
      </c>
      <c r="R102" s="1666">
        <v>1</v>
      </c>
      <c r="S102" s="426" t="str">
        <f t="shared" si="44"/>
        <v>na</v>
      </c>
      <c r="T102" s="425" t="s">
        <v>232</v>
      </c>
      <c r="U102" s="426" t="str">
        <f t="shared" si="45"/>
        <v>na</v>
      </c>
      <c r="V102" s="1272" t="s">
        <v>232</v>
      </c>
      <c r="W102" s="1272" t="str">
        <f t="shared" si="46"/>
        <v>na</v>
      </c>
      <c r="X102" s="412" t="str">
        <f t="shared" si="47"/>
        <v>na</v>
      </c>
      <c r="Y102" s="1272" t="s">
        <v>232</v>
      </c>
      <c r="Z102" s="412" t="str">
        <f t="shared" si="48"/>
        <v>na</v>
      </c>
      <c r="AA102" s="412" t="s">
        <v>221</v>
      </c>
      <c r="AB102" s="439">
        <v>2</v>
      </c>
      <c r="AC102" s="1242">
        <v>0.03</v>
      </c>
      <c r="AD102" s="1257">
        <v>1</v>
      </c>
      <c r="AE102" s="1257">
        <v>0</v>
      </c>
      <c r="AF102" s="1292" t="s">
        <v>221</v>
      </c>
      <c r="AG102" s="535" t="s">
        <v>221</v>
      </c>
      <c r="AH102" s="449" t="s">
        <v>221</v>
      </c>
      <c r="AI102" s="449" t="s">
        <v>221</v>
      </c>
      <c r="AJ102" s="449" t="s">
        <v>221</v>
      </c>
      <c r="AK102" s="449" t="str">
        <f t="shared" si="49"/>
        <v>no</v>
      </c>
      <c r="AL102" s="221" t="s">
        <v>232</v>
      </c>
      <c r="AM102" s="406" t="s">
        <v>232</v>
      </c>
      <c r="AN102" s="1330" t="str">
        <f t="shared" si="50"/>
        <v>na</v>
      </c>
      <c r="AP102" s="1062"/>
    </row>
    <row r="103" spans="1:42" ht="13.9" customHeight="1" x14ac:dyDescent="0.25">
      <c r="A103" s="847">
        <f>Chem!A103</f>
        <v>101</v>
      </c>
      <c r="B103" s="865" t="str">
        <f>Chem!B103</f>
        <v>1,4-Dichlorobenzene</v>
      </c>
      <c r="C103" s="384">
        <v>616</v>
      </c>
      <c r="D103" s="384" t="s">
        <v>232</v>
      </c>
      <c r="E103" s="387">
        <f t="shared" si="36"/>
        <v>0.61599999999999999</v>
      </c>
      <c r="F103" s="387">
        <f t="shared" si="37"/>
        <v>0.61599999999999999</v>
      </c>
      <c r="G103" s="387" t="s">
        <v>232</v>
      </c>
      <c r="H103" s="387" t="s">
        <v>232</v>
      </c>
      <c r="I103" s="387">
        <f t="shared" si="52"/>
        <v>11.703999999999999</v>
      </c>
      <c r="J103" s="387">
        <f t="shared" si="39"/>
        <v>11.703999999999999</v>
      </c>
      <c r="K103" s="400">
        <v>4.5786926067774833E-2</v>
      </c>
      <c r="L103" s="400">
        <v>9.8528209321341001E-2</v>
      </c>
      <c r="M103" s="400">
        <f t="shared" si="42"/>
        <v>4.5786926067774833E-2</v>
      </c>
      <c r="N103" s="271">
        <v>55.6</v>
      </c>
      <c r="O103" s="425">
        <v>7.0000000000000007E-2</v>
      </c>
      <c r="P103" s="1650">
        <v>0.8</v>
      </c>
      <c r="Q103" s="426">
        <f t="shared" si="43"/>
        <v>5.6000000000000008E-2</v>
      </c>
      <c r="R103" s="1666">
        <v>1</v>
      </c>
      <c r="S103" s="426">
        <f t="shared" si="44"/>
        <v>7.0000000000000007E-2</v>
      </c>
      <c r="T103" s="425">
        <v>0.79999999999999993</v>
      </c>
      <c r="U103" s="426">
        <f t="shared" si="45"/>
        <v>0.22857142857142854</v>
      </c>
      <c r="V103" s="1272">
        <v>5.4000000000000003E-3</v>
      </c>
      <c r="W103" s="1272">
        <f t="shared" si="46"/>
        <v>6.7499999999999999E-3</v>
      </c>
      <c r="X103" s="412">
        <f t="shared" si="47"/>
        <v>5.4000000000000003E-3</v>
      </c>
      <c r="Y103" s="1272">
        <v>1.1000000000000001E-5</v>
      </c>
      <c r="Z103" s="412">
        <f t="shared" si="48"/>
        <v>3.85E-2</v>
      </c>
      <c r="AA103" s="412" t="s">
        <v>221</v>
      </c>
      <c r="AB103" s="439">
        <v>2</v>
      </c>
      <c r="AC103" s="1242">
        <v>0.03</v>
      </c>
      <c r="AD103" s="1257">
        <v>1</v>
      </c>
      <c r="AE103" s="1257">
        <v>0</v>
      </c>
      <c r="AF103" s="1292" t="s">
        <v>144</v>
      </c>
      <c r="AG103" s="535" t="s">
        <v>221</v>
      </c>
      <c r="AH103" s="449" t="s">
        <v>221</v>
      </c>
      <c r="AI103" s="449" t="s">
        <v>221</v>
      </c>
      <c r="AJ103" s="449" t="s">
        <v>221</v>
      </c>
      <c r="AK103" s="449" t="str">
        <f t="shared" si="49"/>
        <v>no</v>
      </c>
      <c r="AL103" s="221" t="s">
        <v>232</v>
      </c>
      <c r="AM103" s="406" t="s">
        <v>232</v>
      </c>
      <c r="AN103" s="1330" t="str">
        <f t="shared" si="50"/>
        <v>na</v>
      </c>
      <c r="AP103" s="1062"/>
    </row>
    <row r="104" spans="1:42" ht="13.9" customHeight="1" x14ac:dyDescent="0.25">
      <c r="A104" s="847">
        <f>Chem!A104</f>
        <v>102</v>
      </c>
      <c r="B104" s="865" t="str">
        <f>Chem!B104</f>
        <v>3,3'-Dichlorobenzidine</v>
      </c>
      <c r="C104" s="384">
        <v>3190</v>
      </c>
      <c r="D104" s="384" t="s">
        <v>232</v>
      </c>
      <c r="E104" s="387">
        <f t="shared" si="36"/>
        <v>3.19</v>
      </c>
      <c r="F104" s="387">
        <f t="shared" si="37"/>
        <v>3.19</v>
      </c>
      <c r="G104" s="387" t="s">
        <v>232</v>
      </c>
      <c r="H104" s="387" t="s">
        <v>232</v>
      </c>
      <c r="I104" s="387">
        <f t="shared" si="52"/>
        <v>60.61</v>
      </c>
      <c r="J104" s="387">
        <f t="shared" si="39"/>
        <v>60.61</v>
      </c>
      <c r="K104" s="400" t="s">
        <v>740</v>
      </c>
      <c r="L104" s="400">
        <v>1.16107931316435E-9</v>
      </c>
      <c r="M104" s="400">
        <f t="shared" si="42"/>
        <v>1.16107931316435E-9</v>
      </c>
      <c r="N104" s="271">
        <v>312</v>
      </c>
      <c r="O104" s="425" t="s">
        <v>232</v>
      </c>
      <c r="P104" s="1650">
        <v>0.5</v>
      </c>
      <c r="Q104" s="426" t="str">
        <f t="shared" si="43"/>
        <v>na</v>
      </c>
      <c r="R104" s="1666">
        <v>1</v>
      </c>
      <c r="S104" s="426" t="str">
        <f t="shared" si="44"/>
        <v>na</v>
      </c>
      <c r="T104" s="425" t="s">
        <v>232</v>
      </c>
      <c r="U104" s="426" t="str">
        <f t="shared" si="45"/>
        <v>na</v>
      </c>
      <c r="V104" s="1272">
        <v>0.45</v>
      </c>
      <c r="W104" s="1272">
        <f t="shared" si="46"/>
        <v>0.9</v>
      </c>
      <c r="X104" s="412">
        <f t="shared" si="47"/>
        <v>0.45</v>
      </c>
      <c r="Y104" s="1272">
        <v>3.4000000000000008E-4</v>
      </c>
      <c r="Z104" s="412">
        <f t="shared" si="48"/>
        <v>1.1900000000000002</v>
      </c>
      <c r="AA104" s="412" t="s">
        <v>221</v>
      </c>
      <c r="AB104" s="439">
        <v>1</v>
      </c>
      <c r="AC104" s="1242">
        <v>0.1</v>
      </c>
      <c r="AD104" s="1257">
        <v>1</v>
      </c>
      <c r="AE104" s="1257">
        <v>0.1</v>
      </c>
      <c r="AF104" s="1292" t="s">
        <v>221</v>
      </c>
      <c r="AG104" s="535" t="s">
        <v>221</v>
      </c>
      <c r="AH104" s="449" t="s">
        <v>221</v>
      </c>
      <c r="AI104" s="449" t="s">
        <v>221</v>
      </c>
      <c r="AJ104" s="449" t="s">
        <v>221</v>
      </c>
      <c r="AK104" s="449" t="str">
        <f t="shared" si="49"/>
        <v>no</v>
      </c>
      <c r="AL104" s="221" t="s">
        <v>232</v>
      </c>
      <c r="AM104" s="406" t="s">
        <v>232</v>
      </c>
      <c r="AN104" s="1330" t="str">
        <f t="shared" si="50"/>
        <v>na</v>
      </c>
      <c r="AP104" s="1062"/>
    </row>
    <row r="105" spans="1:42" ht="13.9" customHeight="1" x14ac:dyDescent="0.25">
      <c r="A105" s="847">
        <f>Chem!A105</f>
        <v>103</v>
      </c>
      <c r="B105" s="865" t="str">
        <f>Chem!B105</f>
        <v>2,4-Dichlorophenol</v>
      </c>
      <c r="C105" s="45">
        <v>147</v>
      </c>
      <c r="D105" s="384" t="s">
        <v>232</v>
      </c>
      <c r="E105" s="387">
        <f t="shared" si="36"/>
        <v>0.14699999999999999</v>
      </c>
      <c r="F105" s="387">
        <f t="shared" si="37"/>
        <v>0.14699999999999999</v>
      </c>
      <c r="G105" s="387">
        <v>71.7</v>
      </c>
      <c r="H105" s="387" t="s">
        <v>232</v>
      </c>
      <c r="I105" s="387" t="s">
        <v>232</v>
      </c>
      <c r="J105" s="387">
        <f t="shared" si="39"/>
        <v>1.3623000000000001</v>
      </c>
      <c r="K105" s="400">
        <v>7.4579966955433521E-5</v>
      </c>
      <c r="L105" s="400">
        <v>1.75388389206868E-4</v>
      </c>
      <c r="M105" s="400">
        <f t="shared" si="42"/>
        <v>7.4579966955433521E-5</v>
      </c>
      <c r="N105" s="271">
        <v>40.700000000000003</v>
      </c>
      <c r="O105" s="425">
        <v>3.0000000000000001E-3</v>
      </c>
      <c r="P105" s="1650">
        <v>0.5</v>
      </c>
      <c r="Q105" s="426">
        <f t="shared" si="43"/>
        <v>1.5E-3</v>
      </c>
      <c r="R105" s="1666">
        <v>1</v>
      </c>
      <c r="S105" s="426">
        <f t="shared" si="44"/>
        <v>3.0000000000000001E-3</v>
      </c>
      <c r="T105" s="425" t="s">
        <v>232</v>
      </c>
      <c r="U105" s="426" t="str">
        <f t="shared" si="45"/>
        <v>na</v>
      </c>
      <c r="V105" s="1272" t="s">
        <v>232</v>
      </c>
      <c r="W105" s="1272" t="str">
        <f t="shared" si="46"/>
        <v>na</v>
      </c>
      <c r="X105" s="412" t="str">
        <f t="shared" si="47"/>
        <v>na</v>
      </c>
      <c r="Y105" s="1272" t="s">
        <v>232</v>
      </c>
      <c r="Z105" s="412" t="str">
        <f t="shared" si="48"/>
        <v>na</v>
      </c>
      <c r="AA105" s="412" t="s">
        <v>221</v>
      </c>
      <c r="AB105" s="439">
        <v>1</v>
      </c>
      <c r="AC105" s="1242">
        <v>0.1</v>
      </c>
      <c r="AD105" s="1257">
        <v>1</v>
      </c>
      <c r="AE105" s="1257">
        <v>0.1</v>
      </c>
      <c r="AF105" s="1292" t="s">
        <v>221</v>
      </c>
      <c r="AG105" s="535" t="s">
        <v>221</v>
      </c>
      <c r="AH105" s="449" t="s">
        <v>221</v>
      </c>
      <c r="AI105" s="449" t="s">
        <v>221</v>
      </c>
      <c r="AJ105" s="449" t="s">
        <v>221</v>
      </c>
      <c r="AK105" s="449" t="str">
        <f t="shared" si="49"/>
        <v>no</v>
      </c>
      <c r="AL105" s="221" t="s">
        <v>232</v>
      </c>
      <c r="AM105" s="406" t="s">
        <v>232</v>
      </c>
      <c r="AN105" s="1330" t="str">
        <f t="shared" si="50"/>
        <v>na</v>
      </c>
      <c r="AP105" s="1062"/>
    </row>
    <row r="106" spans="1:42" ht="13.9" customHeight="1" x14ac:dyDescent="0.25">
      <c r="A106" s="846">
        <f>Chem!A106</f>
        <v>104</v>
      </c>
      <c r="B106" s="865" t="str">
        <f>Chem!B106</f>
        <v>Di(2-ethylhexyl)adipate</v>
      </c>
      <c r="C106" s="384">
        <v>36000</v>
      </c>
      <c r="D106" s="384" t="s">
        <v>232</v>
      </c>
      <c r="E106" s="387">
        <f t="shared" si="36"/>
        <v>36</v>
      </c>
      <c r="F106" s="387">
        <f t="shared" si="37"/>
        <v>36</v>
      </c>
      <c r="G106" s="387" t="s">
        <v>232</v>
      </c>
      <c r="H106" s="387" t="s">
        <v>232</v>
      </c>
      <c r="I106" s="387">
        <f t="shared" ref="I106:I113" si="53">IF(C106="na","na",C106*J$1)</f>
        <v>684</v>
      </c>
      <c r="J106" s="387">
        <f t="shared" si="39"/>
        <v>684</v>
      </c>
      <c r="K106" s="400">
        <v>3.6287582225625749E-6</v>
      </c>
      <c r="L106" s="400">
        <v>1.77432542927228E-5</v>
      </c>
      <c r="M106" s="400">
        <f t="shared" si="42"/>
        <v>3.6287582225625749E-6</v>
      </c>
      <c r="N106" s="271"/>
      <c r="O106" s="425">
        <v>0.6</v>
      </c>
      <c r="P106" s="1650">
        <v>0.5</v>
      </c>
      <c r="Q106" s="426">
        <f t="shared" si="43"/>
        <v>0.3</v>
      </c>
      <c r="R106" s="1666">
        <v>1</v>
      </c>
      <c r="S106" s="426">
        <f t="shared" si="44"/>
        <v>0.6</v>
      </c>
      <c r="T106" s="425" t="s">
        <v>232</v>
      </c>
      <c r="U106" s="426" t="str">
        <f t="shared" si="45"/>
        <v>na</v>
      </c>
      <c r="V106" s="1272">
        <v>1.1999999999999999E-3</v>
      </c>
      <c r="W106" s="1272">
        <f t="shared" si="46"/>
        <v>2.3999999999999998E-3</v>
      </c>
      <c r="X106" s="412">
        <f t="shared" si="47"/>
        <v>1.1999999999999999E-3</v>
      </c>
      <c r="Y106" s="1272" t="s">
        <v>232</v>
      </c>
      <c r="Z106" s="412" t="str">
        <f t="shared" si="48"/>
        <v>na</v>
      </c>
      <c r="AA106" s="412" t="s">
        <v>221</v>
      </c>
      <c r="AB106" s="439">
        <v>1</v>
      </c>
      <c r="AC106" s="1242">
        <v>0.1</v>
      </c>
      <c r="AD106" s="1257">
        <v>1</v>
      </c>
      <c r="AE106" s="1257">
        <v>0.1</v>
      </c>
      <c r="AF106" s="1292" t="s">
        <v>221</v>
      </c>
      <c r="AG106" s="535" t="s">
        <v>221</v>
      </c>
      <c r="AH106" s="449" t="s">
        <v>221</v>
      </c>
      <c r="AI106" s="449" t="s">
        <v>221</v>
      </c>
      <c r="AJ106" s="449" t="s">
        <v>221</v>
      </c>
      <c r="AK106" s="449" t="str">
        <f t="shared" si="49"/>
        <v>no</v>
      </c>
      <c r="AL106" s="221" t="s">
        <v>232</v>
      </c>
      <c r="AM106" s="406" t="s">
        <v>232</v>
      </c>
      <c r="AN106" s="1330" t="str">
        <f t="shared" si="50"/>
        <v>na</v>
      </c>
      <c r="AP106" s="1062"/>
    </row>
    <row r="107" spans="1:42" ht="13.9" customHeight="1" x14ac:dyDescent="0.25">
      <c r="A107" s="846">
        <f>Chem!A107</f>
        <v>105</v>
      </c>
      <c r="B107" s="865" t="str">
        <f>Chem!B107</f>
        <v>Diethyl phthalate</v>
      </c>
      <c r="C107" s="384">
        <v>82</v>
      </c>
      <c r="D107" s="384" t="s">
        <v>232</v>
      </c>
      <c r="E107" s="387">
        <f t="shared" si="36"/>
        <v>8.2000000000000003E-2</v>
      </c>
      <c r="F107" s="387">
        <f t="shared" si="37"/>
        <v>8.2000000000000003E-2</v>
      </c>
      <c r="G107" s="387" t="s">
        <v>232</v>
      </c>
      <c r="H107" s="387" t="s">
        <v>232</v>
      </c>
      <c r="I107" s="387">
        <f t="shared" si="53"/>
        <v>1.5580000000000001</v>
      </c>
      <c r="J107" s="387">
        <f t="shared" si="39"/>
        <v>1.5580000000000001</v>
      </c>
      <c r="K107" s="400">
        <v>6.5248141196191936E-6</v>
      </c>
      <c r="L107" s="400">
        <v>2.4938675388389201E-5</v>
      </c>
      <c r="M107" s="400">
        <f t="shared" si="42"/>
        <v>6.5248141196191936E-6</v>
      </c>
      <c r="N107" s="271">
        <v>73</v>
      </c>
      <c r="O107" s="425">
        <v>0.8</v>
      </c>
      <c r="P107" s="1650">
        <v>0.5</v>
      </c>
      <c r="Q107" s="426">
        <f t="shared" si="43"/>
        <v>0.4</v>
      </c>
      <c r="R107" s="1666">
        <v>1</v>
      </c>
      <c r="S107" s="426">
        <f t="shared" si="44"/>
        <v>0.8</v>
      </c>
      <c r="T107" s="425" t="s">
        <v>232</v>
      </c>
      <c r="U107" s="426" t="str">
        <f t="shared" si="45"/>
        <v>na</v>
      </c>
      <c r="V107" s="1272" t="s">
        <v>232</v>
      </c>
      <c r="W107" s="1272" t="str">
        <f t="shared" si="46"/>
        <v>na</v>
      </c>
      <c r="X107" s="412" t="str">
        <f t="shared" si="47"/>
        <v>na</v>
      </c>
      <c r="Y107" s="1272" t="s">
        <v>232</v>
      </c>
      <c r="Z107" s="412" t="str">
        <f t="shared" si="48"/>
        <v>na</v>
      </c>
      <c r="AA107" s="412" t="s">
        <v>221</v>
      </c>
      <c r="AB107" s="439">
        <v>1</v>
      </c>
      <c r="AC107" s="1242">
        <v>0.1</v>
      </c>
      <c r="AD107" s="1257">
        <v>1</v>
      </c>
      <c r="AE107" s="1257">
        <v>0.1</v>
      </c>
      <c r="AF107" s="1292" t="s">
        <v>221</v>
      </c>
      <c r="AG107" s="535" t="s">
        <v>221</v>
      </c>
      <c r="AH107" s="449" t="s">
        <v>221</v>
      </c>
      <c r="AI107" s="449" t="s">
        <v>221</v>
      </c>
      <c r="AJ107" s="449" t="s">
        <v>221</v>
      </c>
      <c r="AK107" s="449" t="str">
        <f t="shared" si="49"/>
        <v>no</v>
      </c>
      <c r="AL107" s="221" t="s">
        <v>232</v>
      </c>
      <c r="AM107" s="406" t="s">
        <v>232</v>
      </c>
      <c r="AN107" s="1330" t="str">
        <f t="shared" si="50"/>
        <v>na</v>
      </c>
      <c r="AP107" s="1062"/>
    </row>
    <row r="108" spans="1:42" ht="13.9" customHeight="1" x14ac:dyDescent="0.25">
      <c r="A108" s="847">
        <f>Chem!A108</f>
        <v>106</v>
      </c>
      <c r="B108" s="864" t="str">
        <f>Chem!B108</f>
        <v>Dimethyl phthalate</v>
      </c>
      <c r="C108" s="387">
        <v>31.6</v>
      </c>
      <c r="D108" s="387" t="s">
        <v>232</v>
      </c>
      <c r="E108" s="387">
        <f t="shared" si="36"/>
        <v>3.1600000000000003E-2</v>
      </c>
      <c r="F108" s="387">
        <f t="shared" si="37"/>
        <v>3.1600000000000003E-2</v>
      </c>
      <c r="G108" s="387" t="s">
        <v>232</v>
      </c>
      <c r="H108" s="387" t="s">
        <v>232</v>
      </c>
      <c r="I108" s="387">
        <f t="shared" si="53"/>
        <v>0.60040000000000004</v>
      </c>
      <c r="J108" s="387">
        <f t="shared" si="39"/>
        <v>0.60040000000000004</v>
      </c>
      <c r="K108" s="403">
        <v>2.2859456222679018E-6</v>
      </c>
      <c r="L108" s="403">
        <v>8.0539656582174995E-6</v>
      </c>
      <c r="M108" s="403">
        <f t="shared" si="42"/>
        <v>2.2859456222679018E-6</v>
      </c>
      <c r="N108" s="270">
        <v>36</v>
      </c>
      <c r="O108" s="432" t="s">
        <v>232</v>
      </c>
      <c r="P108" s="1650">
        <v>0.5</v>
      </c>
      <c r="Q108" s="433" t="str">
        <f t="shared" si="43"/>
        <v>na</v>
      </c>
      <c r="R108" s="1665">
        <v>1</v>
      </c>
      <c r="S108" s="433" t="str">
        <f t="shared" si="44"/>
        <v>na</v>
      </c>
      <c r="T108" s="432" t="s">
        <v>232</v>
      </c>
      <c r="U108" s="433" t="str">
        <f t="shared" si="45"/>
        <v>na</v>
      </c>
      <c r="V108" s="1274" t="s">
        <v>232</v>
      </c>
      <c r="W108" s="1274" t="str">
        <f t="shared" si="46"/>
        <v>na</v>
      </c>
      <c r="X108" s="415" t="str">
        <f t="shared" si="47"/>
        <v>na</v>
      </c>
      <c r="Y108" s="1274" t="s">
        <v>232</v>
      </c>
      <c r="Z108" s="415" t="str">
        <f t="shared" si="48"/>
        <v>na</v>
      </c>
      <c r="AA108" s="415" t="s">
        <v>221</v>
      </c>
      <c r="AB108" s="443">
        <v>1</v>
      </c>
      <c r="AC108" s="1242">
        <v>0.1</v>
      </c>
      <c r="AD108" s="1259">
        <v>1</v>
      </c>
      <c r="AE108" s="1259">
        <v>0.1</v>
      </c>
      <c r="AF108" s="1295" t="s">
        <v>221</v>
      </c>
      <c r="AG108" s="538" t="s">
        <v>221</v>
      </c>
      <c r="AH108" s="452" t="s">
        <v>221</v>
      </c>
      <c r="AI108" s="452" t="s">
        <v>221</v>
      </c>
      <c r="AJ108" s="452" t="s">
        <v>221</v>
      </c>
      <c r="AK108" s="449" t="str">
        <f t="shared" si="49"/>
        <v>no</v>
      </c>
      <c r="AL108" s="221" t="s">
        <v>232</v>
      </c>
      <c r="AM108" s="406" t="s">
        <v>232</v>
      </c>
      <c r="AN108" s="1330" t="str">
        <f t="shared" si="50"/>
        <v>na</v>
      </c>
      <c r="AP108" s="1062"/>
    </row>
    <row r="109" spans="1:42" ht="13.9" customHeight="1" x14ac:dyDescent="0.25">
      <c r="A109" s="847">
        <f>Chem!A109</f>
        <v>107</v>
      </c>
      <c r="B109" s="865" t="str">
        <f>Chem!B109</f>
        <v>2,4-Dimethylphenol</v>
      </c>
      <c r="C109" s="384">
        <v>492</v>
      </c>
      <c r="D109" s="384" t="s">
        <v>232</v>
      </c>
      <c r="E109" s="387">
        <f t="shared" si="36"/>
        <v>0.49199999999999999</v>
      </c>
      <c r="F109" s="387">
        <f t="shared" si="37"/>
        <v>0.49199999999999999</v>
      </c>
      <c r="G109" s="387" t="s">
        <v>232</v>
      </c>
      <c r="H109" s="387" t="s">
        <v>232</v>
      </c>
      <c r="I109" s="387">
        <f t="shared" si="53"/>
        <v>9.347999999999999</v>
      </c>
      <c r="J109" s="387">
        <f t="shared" si="39"/>
        <v>9.347999999999999</v>
      </c>
      <c r="K109" s="400">
        <v>1.4076840573291404E-5</v>
      </c>
      <c r="L109" s="400">
        <v>3.8879803761242802E-5</v>
      </c>
      <c r="M109" s="400">
        <f t="shared" si="42"/>
        <v>1.4076840573291404E-5</v>
      </c>
      <c r="N109" s="271">
        <v>93.8</v>
      </c>
      <c r="O109" s="425">
        <v>0.02</v>
      </c>
      <c r="P109" s="1650">
        <v>0.5</v>
      </c>
      <c r="Q109" s="426">
        <f t="shared" si="43"/>
        <v>0.01</v>
      </c>
      <c r="R109" s="1666">
        <v>1</v>
      </c>
      <c r="S109" s="426">
        <f t="shared" si="44"/>
        <v>0.02</v>
      </c>
      <c r="T109" s="425" t="s">
        <v>232</v>
      </c>
      <c r="U109" s="426" t="str">
        <f t="shared" si="45"/>
        <v>na</v>
      </c>
      <c r="V109" s="1272" t="s">
        <v>232</v>
      </c>
      <c r="W109" s="1272" t="str">
        <f t="shared" si="46"/>
        <v>na</v>
      </c>
      <c r="X109" s="412" t="str">
        <f t="shared" si="47"/>
        <v>na</v>
      </c>
      <c r="Y109" s="1272" t="s">
        <v>232</v>
      </c>
      <c r="Z109" s="412" t="str">
        <f t="shared" si="48"/>
        <v>na</v>
      </c>
      <c r="AA109" s="412" t="s">
        <v>221</v>
      </c>
      <c r="AB109" s="439">
        <v>1</v>
      </c>
      <c r="AC109" s="1242">
        <v>0.1</v>
      </c>
      <c r="AD109" s="1257">
        <v>1</v>
      </c>
      <c r="AE109" s="1257">
        <v>0.1</v>
      </c>
      <c r="AF109" s="1292" t="s">
        <v>221</v>
      </c>
      <c r="AG109" s="535" t="s">
        <v>221</v>
      </c>
      <c r="AH109" s="449" t="s">
        <v>221</v>
      </c>
      <c r="AI109" s="449" t="s">
        <v>221</v>
      </c>
      <c r="AJ109" s="449" t="s">
        <v>221</v>
      </c>
      <c r="AK109" s="449" t="str">
        <f t="shared" si="49"/>
        <v>no</v>
      </c>
      <c r="AL109" s="221" t="s">
        <v>232</v>
      </c>
      <c r="AM109" s="406" t="s">
        <v>232</v>
      </c>
      <c r="AN109" s="1330" t="str">
        <f t="shared" si="50"/>
        <v>na</v>
      </c>
      <c r="AP109" s="1062"/>
    </row>
    <row r="110" spans="1:42" ht="13.9" customHeight="1" x14ac:dyDescent="0.25">
      <c r="A110" s="847">
        <f>Chem!A110</f>
        <v>108</v>
      </c>
      <c r="B110" s="865" t="str">
        <f>Chem!B110</f>
        <v>1,2-Dinitrobenzene</v>
      </c>
      <c r="C110" s="384">
        <v>359</v>
      </c>
      <c r="D110" s="384" t="s">
        <v>232</v>
      </c>
      <c r="E110" s="387">
        <f t="shared" si="36"/>
        <v>0.35899999999999999</v>
      </c>
      <c r="F110" s="387">
        <f t="shared" si="37"/>
        <v>0.35899999999999999</v>
      </c>
      <c r="G110" s="387" t="s">
        <v>232</v>
      </c>
      <c r="H110" s="387" t="s">
        <v>232</v>
      </c>
      <c r="I110" s="387">
        <f t="shared" si="53"/>
        <v>6.8209999999999997</v>
      </c>
      <c r="J110" s="387">
        <f t="shared" si="39"/>
        <v>6.8209999999999997</v>
      </c>
      <c r="K110" s="400">
        <v>5.0029317929481896E-7</v>
      </c>
      <c r="L110" s="400">
        <v>2.1790678659035201E-6</v>
      </c>
      <c r="M110" s="400">
        <f t="shared" si="42"/>
        <v>5.0029317929481896E-7</v>
      </c>
      <c r="N110" s="271" t="s">
        <v>232</v>
      </c>
      <c r="O110" s="425">
        <v>1E-4</v>
      </c>
      <c r="P110" s="1650">
        <v>0.5</v>
      </c>
      <c r="Q110" s="426">
        <f t="shared" si="43"/>
        <v>5.0000000000000002E-5</v>
      </c>
      <c r="R110" s="1666">
        <v>1</v>
      </c>
      <c r="S110" s="426">
        <f t="shared" si="44"/>
        <v>1E-4</v>
      </c>
      <c r="T110" s="425" t="s">
        <v>232</v>
      </c>
      <c r="U110" s="426" t="str">
        <f t="shared" si="45"/>
        <v>na</v>
      </c>
      <c r="V110" s="1272" t="s">
        <v>232</v>
      </c>
      <c r="W110" s="1272" t="str">
        <f t="shared" si="46"/>
        <v>na</v>
      </c>
      <c r="X110" s="412" t="str">
        <f t="shared" si="47"/>
        <v>na</v>
      </c>
      <c r="Y110" s="1272" t="s">
        <v>232</v>
      </c>
      <c r="Z110" s="412" t="str">
        <f t="shared" si="48"/>
        <v>na</v>
      </c>
      <c r="AA110" s="412" t="s">
        <v>221</v>
      </c>
      <c r="AB110" s="439">
        <v>1</v>
      </c>
      <c r="AC110" s="1242">
        <v>0.1</v>
      </c>
      <c r="AD110" s="1257">
        <v>1</v>
      </c>
      <c r="AE110" s="1257">
        <v>0.1</v>
      </c>
      <c r="AF110" s="1292" t="s">
        <v>221</v>
      </c>
      <c r="AG110" s="535" t="s">
        <v>221</v>
      </c>
      <c r="AH110" s="449" t="s">
        <v>221</v>
      </c>
      <c r="AI110" s="449" t="s">
        <v>221</v>
      </c>
      <c r="AJ110" s="449" t="s">
        <v>221</v>
      </c>
      <c r="AK110" s="449" t="str">
        <f t="shared" si="49"/>
        <v>no</v>
      </c>
      <c r="AL110" s="221" t="s">
        <v>232</v>
      </c>
      <c r="AM110" s="406" t="s">
        <v>232</v>
      </c>
      <c r="AN110" s="1330" t="str">
        <f t="shared" si="50"/>
        <v>na</v>
      </c>
      <c r="AP110" s="1062"/>
    </row>
    <row r="111" spans="1:42" ht="13.9" customHeight="1" x14ac:dyDescent="0.25">
      <c r="A111" s="847">
        <f>Chem!A111</f>
        <v>109</v>
      </c>
      <c r="B111" s="865" t="str">
        <f>Chem!B111</f>
        <v>1,3-Dinitrobenzene</v>
      </c>
      <c r="C111" s="384">
        <v>352</v>
      </c>
      <c r="D111" s="384" t="s">
        <v>232</v>
      </c>
      <c r="E111" s="387">
        <f t="shared" si="36"/>
        <v>0.35199999999999998</v>
      </c>
      <c r="F111" s="387">
        <f t="shared" si="37"/>
        <v>0.35199999999999998</v>
      </c>
      <c r="G111" s="387" t="s">
        <v>232</v>
      </c>
      <c r="H111" s="387" t="s">
        <v>232</v>
      </c>
      <c r="I111" s="387">
        <f t="shared" si="53"/>
        <v>6.6879999999999997</v>
      </c>
      <c r="J111" s="387">
        <f t="shared" si="39"/>
        <v>6.6879999999999997</v>
      </c>
      <c r="K111" s="400">
        <v>5.0630855024459349E-7</v>
      </c>
      <c r="L111" s="400">
        <v>2.0032706459525801E-6</v>
      </c>
      <c r="M111" s="400">
        <f t="shared" si="42"/>
        <v>5.0630855024459349E-7</v>
      </c>
      <c r="N111" s="271" t="s">
        <v>232</v>
      </c>
      <c r="O111" s="425">
        <v>1E-4</v>
      </c>
      <c r="P111" s="1650">
        <v>0.5</v>
      </c>
      <c r="Q111" s="426">
        <f t="shared" ref="Q111:Q140" si="54">IF(O111="na","na",O111*P111)</f>
        <v>5.0000000000000002E-5</v>
      </c>
      <c r="R111" s="1666">
        <v>1</v>
      </c>
      <c r="S111" s="426">
        <f t="shared" ref="S111:S142" si="55">IF(O111="na","na",O111*R111)</f>
        <v>1E-4</v>
      </c>
      <c r="T111" s="425" t="s">
        <v>232</v>
      </c>
      <c r="U111" s="426" t="str">
        <f t="shared" ref="U111:U142" si="56">IF(ISNUMBER(T111),T111*20/70,"na")</f>
        <v>na</v>
      </c>
      <c r="V111" s="1272" t="s">
        <v>232</v>
      </c>
      <c r="W111" s="1272" t="str">
        <f t="shared" ref="W111:W142" si="57">IF(V111="na","na",V111/P111)</f>
        <v>na</v>
      </c>
      <c r="X111" s="412" t="str">
        <f t="shared" ref="X111:X145" si="58">IF(V111="na","na",V111/R111)</f>
        <v>na</v>
      </c>
      <c r="Y111" s="1272" t="s">
        <v>232</v>
      </c>
      <c r="Z111" s="412" t="str">
        <f t="shared" ref="Z111:Z142" si="59">IF(ISNUMBER(Y111),Y111*70*1000/20,"na")</f>
        <v>na</v>
      </c>
      <c r="AA111" s="412" t="s">
        <v>221</v>
      </c>
      <c r="AB111" s="439">
        <v>1</v>
      </c>
      <c r="AC111" s="1242">
        <v>0.1</v>
      </c>
      <c r="AD111" s="1257">
        <v>1</v>
      </c>
      <c r="AE111" s="1257">
        <v>0.1</v>
      </c>
      <c r="AF111" s="1292" t="s">
        <v>221</v>
      </c>
      <c r="AG111" s="535" t="s">
        <v>221</v>
      </c>
      <c r="AH111" s="449" t="s">
        <v>221</v>
      </c>
      <c r="AI111" s="449" t="s">
        <v>221</v>
      </c>
      <c r="AJ111" s="449" t="s">
        <v>221</v>
      </c>
      <c r="AK111" s="449" t="str">
        <f t="shared" si="49"/>
        <v>no</v>
      </c>
      <c r="AL111" s="221" t="s">
        <v>232</v>
      </c>
      <c r="AM111" s="406" t="s">
        <v>232</v>
      </c>
      <c r="AN111" s="1330" t="str">
        <f t="shared" si="50"/>
        <v>na</v>
      </c>
      <c r="AP111" s="1062"/>
    </row>
    <row r="112" spans="1:42" ht="13.9" customHeight="1" x14ac:dyDescent="0.25">
      <c r="A112" s="847">
        <f>Chem!A112</f>
        <v>110</v>
      </c>
      <c r="B112" s="865" t="str">
        <f>Chem!B112</f>
        <v>1,4-Dinitrobenzene</v>
      </c>
      <c r="C112" s="384">
        <v>352</v>
      </c>
      <c r="D112" s="384" t="s">
        <v>232</v>
      </c>
      <c r="E112" s="387">
        <f t="shared" si="36"/>
        <v>0.35199999999999998</v>
      </c>
      <c r="F112" s="387">
        <f t="shared" si="37"/>
        <v>0.35199999999999998</v>
      </c>
      <c r="G112" s="387" t="s">
        <v>232</v>
      </c>
      <c r="H112" s="387" t="s">
        <v>232</v>
      </c>
      <c r="I112" s="387">
        <f t="shared" si="53"/>
        <v>6.6879999999999997</v>
      </c>
      <c r="J112" s="387">
        <f t="shared" si="39"/>
        <v>6.6879999999999997</v>
      </c>
      <c r="K112" s="400">
        <v>8.4222522539131311E-7</v>
      </c>
      <c r="L112" s="400">
        <v>3.4300899427636999E-6</v>
      </c>
      <c r="M112" s="400">
        <f t="shared" si="42"/>
        <v>8.4222522539131311E-7</v>
      </c>
      <c r="N112" s="271" t="s">
        <v>232</v>
      </c>
      <c r="O112" s="425">
        <v>1E-4</v>
      </c>
      <c r="P112" s="1650">
        <v>0.5</v>
      </c>
      <c r="Q112" s="426">
        <f t="shared" si="54"/>
        <v>5.0000000000000002E-5</v>
      </c>
      <c r="R112" s="1666">
        <v>1</v>
      </c>
      <c r="S112" s="426">
        <f t="shared" si="55"/>
        <v>1E-4</v>
      </c>
      <c r="T112" s="425" t="s">
        <v>232</v>
      </c>
      <c r="U112" s="426" t="str">
        <f t="shared" si="56"/>
        <v>na</v>
      </c>
      <c r="V112" s="1272" t="s">
        <v>232</v>
      </c>
      <c r="W112" s="1272" t="str">
        <f t="shared" si="57"/>
        <v>na</v>
      </c>
      <c r="X112" s="412" t="str">
        <f t="shared" si="58"/>
        <v>na</v>
      </c>
      <c r="Y112" s="1272" t="s">
        <v>232</v>
      </c>
      <c r="Z112" s="412" t="str">
        <f t="shared" si="59"/>
        <v>na</v>
      </c>
      <c r="AA112" s="412" t="s">
        <v>221</v>
      </c>
      <c r="AB112" s="439">
        <v>1</v>
      </c>
      <c r="AC112" s="1242">
        <v>0.1</v>
      </c>
      <c r="AD112" s="1257">
        <v>1</v>
      </c>
      <c r="AE112" s="1257">
        <v>0.1</v>
      </c>
      <c r="AF112" s="1292" t="s">
        <v>221</v>
      </c>
      <c r="AG112" s="535" t="s">
        <v>221</v>
      </c>
      <c r="AH112" s="449" t="s">
        <v>221</v>
      </c>
      <c r="AI112" s="449" t="s">
        <v>221</v>
      </c>
      <c r="AJ112" s="449" t="s">
        <v>221</v>
      </c>
      <c r="AK112" s="449" t="str">
        <f t="shared" si="49"/>
        <v>no</v>
      </c>
      <c r="AL112" s="221" t="s">
        <v>232</v>
      </c>
      <c r="AM112" s="406" t="s">
        <v>232</v>
      </c>
      <c r="AN112" s="1330" t="str">
        <f t="shared" si="50"/>
        <v>na</v>
      </c>
      <c r="AP112" s="1062"/>
    </row>
    <row r="113" spans="1:44" ht="13.9" customHeight="1" x14ac:dyDescent="0.25">
      <c r="A113" s="847">
        <f>Chem!A113</f>
        <v>111</v>
      </c>
      <c r="B113" s="865" t="str">
        <f>Chem!B113</f>
        <v>4,6-Dinitro-o-cresol (DNOC)</v>
      </c>
      <c r="C113" s="384">
        <v>754</v>
      </c>
      <c r="D113" s="384" t="s">
        <v>232</v>
      </c>
      <c r="E113" s="387">
        <f t="shared" si="36"/>
        <v>0.754</v>
      </c>
      <c r="F113" s="387">
        <f t="shared" si="37"/>
        <v>0.754</v>
      </c>
      <c r="G113" s="387" t="s">
        <v>232</v>
      </c>
      <c r="H113" s="387" t="s">
        <v>232</v>
      </c>
      <c r="I113" s="387">
        <f t="shared" si="53"/>
        <v>14.326000000000001</v>
      </c>
      <c r="J113" s="387">
        <f t="shared" si="39"/>
        <v>14.326000000000001</v>
      </c>
      <c r="K113" s="400" t="s">
        <v>232</v>
      </c>
      <c r="L113" s="400">
        <v>5.7236304170073601E-5</v>
      </c>
      <c r="M113" s="400">
        <f t="shared" si="42"/>
        <v>5.7236304170073601E-5</v>
      </c>
      <c r="N113" s="271" t="s">
        <v>232</v>
      </c>
      <c r="O113" s="425">
        <v>8.0000000000000007E-5</v>
      </c>
      <c r="P113" s="1650">
        <v>0.5</v>
      </c>
      <c r="Q113" s="426">
        <f t="shared" si="54"/>
        <v>4.0000000000000003E-5</v>
      </c>
      <c r="R113" s="1666">
        <v>1</v>
      </c>
      <c r="S113" s="426">
        <f t="shared" si="55"/>
        <v>8.0000000000000007E-5</v>
      </c>
      <c r="T113" s="425" t="s">
        <v>232</v>
      </c>
      <c r="U113" s="426" t="str">
        <f t="shared" si="56"/>
        <v>na</v>
      </c>
      <c r="V113" s="1272" t="s">
        <v>232</v>
      </c>
      <c r="W113" s="1272" t="str">
        <f t="shared" si="57"/>
        <v>na</v>
      </c>
      <c r="X113" s="412" t="str">
        <f t="shared" si="58"/>
        <v>na</v>
      </c>
      <c r="Y113" s="1272" t="s">
        <v>232</v>
      </c>
      <c r="Z113" s="412" t="str">
        <f t="shared" si="59"/>
        <v>na</v>
      </c>
      <c r="AA113" s="412" t="s">
        <v>221</v>
      </c>
      <c r="AB113" s="439">
        <v>1</v>
      </c>
      <c r="AC113" s="1242">
        <v>0.1</v>
      </c>
      <c r="AD113" s="1257">
        <v>1</v>
      </c>
      <c r="AE113" s="1257">
        <v>0.1</v>
      </c>
      <c r="AF113" s="1292" t="s">
        <v>221</v>
      </c>
      <c r="AG113" s="535" t="s">
        <v>221</v>
      </c>
      <c r="AH113" s="449" t="s">
        <v>221</v>
      </c>
      <c r="AI113" s="449" t="s">
        <v>221</v>
      </c>
      <c r="AJ113" s="449" t="s">
        <v>221</v>
      </c>
      <c r="AK113" s="449" t="str">
        <f t="shared" si="49"/>
        <v>no</v>
      </c>
      <c r="AL113" s="221" t="s">
        <v>232</v>
      </c>
      <c r="AM113" s="406" t="s">
        <v>232</v>
      </c>
      <c r="AN113" s="1330" t="str">
        <f t="shared" si="50"/>
        <v>na</v>
      </c>
      <c r="AP113" s="1062"/>
    </row>
    <row r="114" spans="1:44" ht="13.9" customHeight="1" x14ac:dyDescent="0.25">
      <c r="A114" s="847">
        <f>Chem!A114</f>
        <v>112</v>
      </c>
      <c r="B114" s="865" t="str">
        <f>Chem!B114</f>
        <v>2,4-Dinitrophenol</v>
      </c>
      <c r="C114" s="45">
        <v>0.01</v>
      </c>
      <c r="D114" s="384" t="s">
        <v>232</v>
      </c>
      <c r="E114" s="387">
        <f t="shared" si="36"/>
        <v>1.0000000000000001E-5</v>
      </c>
      <c r="F114" s="387">
        <f t="shared" si="37"/>
        <v>1.0000000000000001E-5</v>
      </c>
      <c r="G114" s="387">
        <v>0.01</v>
      </c>
      <c r="H114" s="387" t="s">
        <v>232</v>
      </c>
      <c r="I114" s="387" t="s">
        <v>232</v>
      </c>
      <c r="J114" s="387">
        <f t="shared" si="39"/>
        <v>1.9000000000000001E-4</v>
      </c>
      <c r="K114" s="400" t="s">
        <v>232</v>
      </c>
      <c r="L114" s="400">
        <v>3.5159443990188099E-6</v>
      </c>
      <c r="M114" s="400">
        <f t="shared" si="42"/>
        <v>3.5159443990188099E-6</v>
      </c>
      <c r="N114" s="271">
        <v>1.5</v>
      </c>
      <c r="O114" s="425">
        <v>2E-3</v>
      </c>
      <c r="P114" s="1650">
        <v>0.5</v>
      </c>
      <c r="Q114" s="426">
        <f t="shared" si="54"/>
        <v>1E-3</v>
      </c>
      <c r="R114" s="1666">
        <v>1</v>
      </c>
      <c r="S114" s="426">
        <f t="shared" si="55"/>
        <v>2E-3</v>
      </c>
      <c r="T114" s="425" t="s">
        <v>232</v>
      </c>
      <c r="U114" s="426" t="str">
        <f t="shared" si="56"/>
        <v>na</v>
      </c>
      <c r="V114" s="1272" t="s">
        <v>232</v>
      </c>
      <c r="W114" s="1272" t="str">
        <f t="shared" si="57"/>
        <v>na</v>
      </c>
      <c r="X114" s="412" t="str">
        <f t="shared" si="58"/>
        <v>na</v>
      </c>
      <c r="Y114" s="1272" t="s">
        <v>232</v>
      </c>
      <c r="Z114" s="412" t="str">
        <f t="shared" si="59"/>
        <v>na</v>
      </c>
      <c r="AA114" s="412" t="s">
        <v>221</v>
      </c>
      <c r="AB114" s="439">
        <v>1</v>
      </c>
      <c r="AC114" s="1242">
        <v>0.1</v>
      </c>
      <c r="AD114" s="1257">
        <v>1</v>
      </c>
      <c r="AE114" s="1257">
        <v>0.1</v>
      </c>
      <c r="AF114" s="1292" t="s">
        <v>221</v>
      </c>
      <c r="AG114" s="535" t="s">
        <v>221</v>
      </c>
      <c r="AH114" s="449" t="s">
        <v>221</v>
      </c>
      <c r="AI114" s="449" t="s">
        <v>221</v>
      </c>
      <c r="AJ114" s="449" t="s">
        <v>221</v>
      </c>
      <c r="AK114" s="449" t="str">
        <f t="shared" si="49"/>
        <v>no</v>
      </c>
      <c r="AL114" s="221" t="s">
        <v>232</v>
      </c>
      <c r="AM114" s="406" t="s">
        <v>232</v>
      </c>
      <c r="AN114" s="1330" t="str">
        <f t="shared" si="50"/>
        <v>na</v>
      </c>
      <c r="AP114" s="1062"/>
    </row>
    <row r="115" spans="1:44" ht="13.9" customHeight="1" x14ac:dyDescent="0.25">
      <c r="A115" s="847">
        <f>Chem!A115</f>
        <v>113</v>
      </c>
      <c r="B115" s="865" t="str">
        <f>Chem!B115</f>
        <v>2,4-Dinitrotoluene</v>
      </c>
      <c r="C115" s="384">
        <v>576</v>
      </c>
      <c r="D115" s="384" t="s">
        <v>232</v>
      </c>
      <c r="E115" s="387">
        <f t="shared" si="36"/>
        <v>0.57600000000000007</v>
      </c>
      <c r="F115" s="387">
        <f t="shared" si="37"/>
        <v>0.57600000000000007</v>
      </c>
      <c r="G115" s="387" t="s">
        <v>232</v>
      </c>
      <c r="H115" s="387" t="s">
        <v>232</v>
      </c>
      <c r="I115" s="387">
        <f t="shared" ref="I115:I137" si="60">IF(C115="na","na",C115*J$1)</f>
        <v>10.943999999999999</v>
      </c>
      <c r="J115" s="387">
        <f t="shared" si="39"/>
        <v>10.943999999999999</v>
      </c>
      <c r="K115" s="400">
        <v>4.8258826502931966E-7</v>
      </c>
      <c r="L115" s="400">
        <v>2.2076860179885502E-6</v>
      </c>
      <c r="M115" s="400">
        <f t="shared" si="42"/>
        <v>4.8258826502931966E-7</v>
      </c>
      <c r="N115" s="271">
        <v>3.8</v>
      </c>
      <c r="O115" s="425">
        <v>2E-3</v>
      </c>
      <c r="P115" s="1650">
        <v>0.5</v>
      </c>
      <c r="Q115" s="426">
        <f t="shared" si="54"/>
        <v>1E-3</v>
      </c>
      <c r="R115" s="1666">
        <v>1</v>
      </c>
      <c r="S115" s="426">
        <f t="shared" si="55"/>
        <v>2E-3</v>
      </c>
      <c r="T115" s="425" t="s">
        <v>232</v>
      </c>
      <c r="U115" s="426" t="str">
        <f t="shared" si="56"/>
        <v>na</v>
      </c>
      <c r="V115" s="1272">
        <v>0.31</v>
      </c>
      <c r="W115" s="1272">
        <f t="shared" si="57"/>
        <v>0.62</v>
      </c>
      <c r="X115" s="412">
        <f t="shared" si="58"/>
        <v>0.31</v>
      </c>
      <c r="Y115" s="1272">
        <v>8.9000000000000008E-5</v>
      </c>
      <c r="Z115" s="412">
        <f t="shared" si="59"/>
        <v>0.3115</v>
      </c>
      <c r="AA115" s="412" t="s">
        <v>221</v>
      </c>
      <c r="AB115" s="439">
        <v>1</v>
      </c>
      <c r="AC115" s="1242">
        <v>0.10199999999999999</v>
      </c>
      <c r="AD115" s="1257">
        <v>1</v>
      </c>
      <c r="AE115" s="1257">
        <v>0.10199999999999999</v>
      </c>
      <c r="AF115" s="1292" t="s">
        <v>221</v>
      </c>
      <c r="AG115" s="535" t="s">
        <v>221</v>
      </c>
      <c r="AH115" s="449" t="s">
        <v>221</v>
      </c>
      <c r="AI115" s="449" t="s">
        <v>221</v>
      </c>
      <c r="AJ115" s="449" t="s">
        <v>221</v>
      </c>
      <c r="AK115" s="449" t="str">
        <f t="shared" si="49"/>
        <v>no</v>
      </c>
      <c r="AL115" s="221" t="s">
        <v>232</v>
      </c>
      <c r="AM115" s="406" t="s">
        <v>232</v>
      </c>
      <c r="AN115" s="1330" t="str">
        <f t="shared" si="50"/>
        <v>na</v>
      </c>
      <c r="AP115" s="1062"/>
    </row>
    <row r="116" spans="1:44" ht="13.9" customHeight="1" x14ac:dyDescent="0.25">
      <c r="A116" s="842">
        <f>Chem!A116</f>
        <v>114</v>
      </c>
      <c r="B116" s="865" t="str">
        <f>Chem!B116</f>
        <v>2,6-Dinitrotoluene</v>
      </c>
      <c r="C116" s="384">
        <v>587</v>
      </c>
      <c r="D116" s="384" t="s">
        <v>232</v>
      </c>
      <c r="E116" s="387">
        <f t="shared" si="36"/>
        <v>0.58699999999999997</v>
      </c>
      <c r="F116" s="387">
        <f t="shared" si="37"/>
        <v>0.58699999999999997</v>
      </c>
      <c r="G116" s="387" t="s">
        <v>232</v>
      </c>
      <c r="H116" s="387" t="s">
        <v>232</v>
      </c>
      <c r="I116" s="387">
        <f t="shared" si="60"/>
        <v>11.153</v>
      </c>
      <c r="J116" s="387">
        <f t="shared" si="39"/>
        <v>11.153</v>
      </c>
      <c r="K116" s="400">
        <v>7.2603608447526589E-6</v>
      </c>
      <c r="L116" s="400">
        <v>3.0539656582175002E-5</v>
      </c>
      <c r="M116" s="400">
        <f t="shared" si="42"/>
        <v>7.2603608447526589E-6</v>
      </c>
      <c r="N116" s="271" t="s">
        <v>232</v>
      </c>
      <c r="O116" s="425">
        <v>2.9999999999999997E-4</v>
      </c>
      <c r="P116" s="1650">
        <v>0.5</v>
      </c>
      <c r="Q116" s="426">
        <f t="shared" si="54"/>
        <v>1.4999999999999999E-4</v>
      </c>
      <c r="R116" s="1666">
        <v>1</v>
      </c>
      <c r="S116" s="426">
        <f t="shared" si="55"/>
        <v>2.9999999999999997E-4</v>
      </c>
      <c r="T116" s="425" t="s">
        <v>232</v>
      </c>
      <c r="U116" s="426" t="str">
        <f t="shared" si="56"/>
        <v>na</v>
      </c>
      <c r="V116" s="1272">
        <v>1.5</v>
      </c>
      <c r="W116" s="1272">
        <f t="shared" si="57"/>
        <v>3</v>
      </c>
      <c r="X116" s="412">
        <f t="shared" si="58"/>
        <v>1.5</v>
      </c>
      <c r="Y116" s="1272" t="s">
        <v>232</v>
      </c>
      <c r="Z116" s="412" t="str">
        <f t="shared" si="59"/>
        <v>na</v>
      </c>
      <c r="AA116" s="412" t="s">
        <v>221</v>
      </c>
      <c r="AB116" s="439">
        <v>1</v>
      </c>
      <c r="AC116" s="1242">
        <v>9.9000000000000005E-2</v>
      </c>
      <c r="AD116" s="1257">
        <v>1</v>
      </c>
      <c r="AE116" s="1257">
        <v>9.9000000000000005E-2</v>
      </c>
      <c r="AF116" s="1292" t="s">
        <v>221</v>
      </c>
      <c r="AG116" s="535" t="s">
        <v>221</v>
      </c>
      <c r="AH116" s="449" t="s">
        <v>221</v>
      </c>
      <c r="AI116" s="449" t="s">
        <v>221</v>
      </c>
      <c r="AJ116" s="449" t="s">
        <v>221</v>
      </c>
      <c r="AK116" s="449" t="str">
        <f t="shared" si="49"/>
        <v>no</v>
      </c>
      <c r="AL116" s="221" t="s">
        <v>232</v>
      </c>
      <c r="AM116" s="406" t="s">
        <v>232</v>
      </c>
      <c r="AN116" s="1330" t="str">
        <f t="shared" si="50"/>
        <v>na</v>
      </c>
      <c r="AP116" s="1062"/>
    </row>
    <row r="117" spans="1:44" ht="13.9" customHeight="1" x14ac:dyDescent="0.25">
      <c r="A117" s="847">
        <f>Chem!A117</f>
        <v>115</v>
      </c>
      <c r="B117" s="870" t="str">
        <f>Chem!B117</f>
        <v>Di-n-octyl phthalate</v>
      </c>
      <c r="C117" s="392">
        <v>141000</v>
      </c>
      <c r="D117" s="392" t="s">
        <v>232</v>
      </c>
      <c r="E117" s="387">
        <f t="shared" si="36"/>
        <v>141</v>
      </c>
      <c r="F117" s="389">
        <f t="shared" si="37"/>
        <v>141</v>
      </c>
      <c r="G117" s="389" t="s">
        <v>232</v>
      </c>
      <c r="H117" s="389" t="s">
        <v>232</v>
      </c>
      <c r="I117" s="389">
        <f t="shared" si="60"/>
        <v>2679</v>
      </c>
      <c r="J117" s="389">
        <f t="shared" si="39"/>
        <v>2679</v>
      </c>
      <c r="K117" s="404">
        <v>1.4933990270240736E-5</v>
      </c>
      <c r="L117" s="404">
        <v>1.05069501226492E-4</v>
      </c>
      <c r="M117" s="404">
        <f t="shared" si="42"/>
        <v>1.4933990270240736E-5</v>
      </c>
      <c r="N117" s="272" t="s">
        <v>232</v>
      </c>
      <c r="O117" s="427">
        <v>0.01</v>
      </c>
      <c r="P117" s="1650">
        <v>0.5</v>
      </c>
      <c r="Q117" s="428">
        <f t="shared" si="54"/>
        <v>5.0000000000000001E-3</v>
      </c>
      <c r="R117" s="1667">
        <v>1</v>
      </c>
      <c r="S117" s="428">
        <f t="shared" si="55"/>
        <v>0.01</v>
      </c>
      <c r="T117" s="427" t="s">
        <v>232</v>
      </c>
      <c r="U117" s="428" t="str">
        <f t="shared" si="56"/>
        <v>na</v>
      </c>
      <c r="V117" s="1275" t="s">
        <v>232</v>
      </c>
      <c r="W117" s="1275" t="str">
        <f t="shared" si="57"/>
        <v>na</v>
      </c>
      <c r="X117" s="417" t="str">
        <f t="shared" si="58"/>
        <v>na</v>
      </c>
      <c r="Y117" s="1275" t="s">
        <v>232</v>
      </c>
      <c r="Z117" s="417" t="str">
        <f t="shared" si="59"/>
        <v>na</v>
      </c>
      <c r="AA117" s="417" t="s">
        <v>221</v>
      </c>
      <c r="AB117" s="444">
        <v>1</v>
      </c>
      <c r="AC117" s="1242">
        <v>0.1</v>
      </c>
      <c r="AD117" s="1261">
        <v>1</v>
      </c>
      <c r="AE117" s="1261">
        <v>0.1</v>
      </c>
      <c r="AF117" s="1293" t="s">
        <v>221</v>
      </c>
      <c r="AG117" s="530" t="s">
        <v>221</v>
      </c>
      <c r="AH117" s="451" t="s">
        <v>221</v>
      </c>
      <c r="AI117" s="451" t="s">
        <v>221</v>
      </c>
      <c r="AJ117" s="451" t="s">
        <v>221</v>
      </c>
      <c r="AK117" s="449" t="str">
        <f t="shared" si="49"/>
        <v>no</v>
      </c>
      <c r="AL117" s="221" t="s">
        <v>232</v>
      </c>
      <c r="AM117" s="406" t="s">
        <v>232</v>
      </c>
      <c r="AN117" s="1330" t="str">
        <f t="shared" si="50"/>
        <v>na</v>
      </c>
      <c r="AP117" s="1062"/>
    </row>
    <row r="118" spans="1:44" s="144" customFormat="1" ht="13.9" customHeight="1" x14ac:dyDescent="0.25">
      <c r="A118" s="848">
        <f>Chem!A118</f>
        <v>116</v>
      </c>
      <c r="B118" s="866" t="str">
        <f>Chem!B118</f>
        <v>1,4-Dioxane</v>
      </c>
      <c r="C118" s="394">
        <v>2.63</v>
      </c>
      <c r="D118" s="394" t="s">
        <v>232</v>
      </c>
      <c r="E118" s="387">
        <f t="shared" si="36"/>
        <v>2.63E-3</v>
      </c>
      <c r="F118" s="387">
        <f t="shared" si="37"/>
        <v>2.63E-3</v>
      </c>
      <c r="G118" s="387" t="s">
        <v>232</v>
      </c>
      <c r="H118" s="387" t="s">
        <v>232</v>
      </c>
      <c r="I118" s="387">
        <f t="shared" si="60"/>
        <v>4.9969999999999994E-2</v>
      </c>
      <c r="J118" s="387">
        <f t="shared" si="39"/>
        <v>4.9969999999999994E-2</v>
      </c>
      <c r="K118" s="407">
        <v>1.0625393533353386E-4</v>
      </c>
      <c r="L118" s="407">
        <v>1.9623875715453799E-4</v>
      </c>
      <c r="M118" s="407">
        <f t="shared" si="42"/>
        <v>1.0625393533353386E-4</v>
      </c>
      <c r="N118" s="217" t="s">
        <v>232</v>
      </c>
      <c r="O118" s="1267">
        <v>0.03</v>
      </c>
      <c r="P118" s="1650">
        <v>0.8</v>
      </c>
      <c r="Q118" s="435">
        <f t="shared" si="54"/>
        <v>2.4E-2</v>
      </c>
      <c r="R118" s="1666">
        <v>1</v>
      </c>
      <c r="S118" s="435">
        <f t="shared" si="55"/>
        <v>0.03</v>
      </c>
      <c r="T118" s="1267">
        <v>3.0000000000000002E-2</v>
      </c>
      <c r="U118" s="435">
        <f t="shared" si="56"/>
        <v>8.5714285714285719E-3</v>
      </c>
      <c r="V118" s="1277">
        <v>0.1</v>
      </c>
      <c r="W118" s="1277">
        <f t="shared" si="57"/>
        <v>0.125</v>
      </c>
      <c r="X118" s="418">
        <f t="shared" si="58"/>
        <v>0.1</v>
      </c>
      <c r="Y118" s="1277">
        <v>5.0000000000000013E-6</v>
      </c>
      <c r="Z118" s="418">
        <f t="shared" si="59"/>
        <v>1.7500000000000005E-2</v>
      </c>
      <c r="AA118" s="418" t="s">
        <v>221</v>
      </c>
      <c r="AB118" s="445">
        <v>2</v>
      </c>
      <c r="AC118" s="1242">
        <v>0.03</v>
      </c>
      <c r="AD118" s="1257">
        <v>1</v>
      </c>
      <c r="AE118" s="1257">
        <v>0</v>
      </c>
      <c r="AF118" s="1292" t="s">
        <v>144</v>
      </c>
      <c r="AG118" s="535" t="s">
        <v>221</v>
      </c>
      <c r="AH118" s="449" t="s">
        <v>221</v>
      </c>
      <c r="AI118" s="449" t="s">
        <v>221</v>
      </c>
      <c r="AJ118" s="449" t="s">
        <v>221</v>
      </c>
      <c r="AK118" s="449" t="str">
        <f t="shared" si="49"/>
        <v>no</v>
      </c>
      <c r="AL118" s="221" t="s">
        <v>232</v>
      </c>
      <c r="AM118" s="406" t="s">
        <v>232</v>
      </c>
      <c r="AN118" s="1330" t="str">
        <f t="shared" si="50"/>
        <v>na</v>
      </c>
      <c r="AP118" s="1062"/>
      <c r="AR118" s="2238"/>
    </row>
    <row r="119" spans="1:44" ht="13.9" customHeight="1" x14ac:dyDescent="0.25">
      <c r="A119" s="848">
        <f>Chem!A119</f>
        <v>117</v>
      </c>
      <c r="B119" s="872" t="str">
        <f>Chem!B119</f>
        <v>1,2-Diphenylhydrazine</v>
      </c>
      <c r="C119" s="395">
        <v>1510</v>
      </c>
      <c r="D119" s="395" t="s">
        <v>232</v>
      </c>
      <c r="E119" s="387">
        <f t="shared" si="36"/>
        <v>1.51</v>
      </c>
      <c r="F119" s="387">
        <f t="shared" si="37"/>
        <v>1.51</v>
      </c>
      <c r="G119" s="387" t="s">
        <v>232</v>
      </c>
      <c r="H119" s="387" t="s">
        <v>232</v>
      </c>
      <c r="I119" s="387">
        <f t="shared" si="60"/>
        <v>28.689999999999998</v>
      </c>
      <c r="J119" s="387">
        <f t="shared" si="39"/>
        <v>28.689999999999998</v>
      </c>
      <c r="K119" s="408">
        <v>5.8982463628769713E-6</v>
      </c>
      <c r="L119" s="408">
        <v>1.9542109566639399E-5</v>
      </c>
      <c r="M119" s="408">
        <f t="shared" si="42"/>
        <v>5.8982463628769713E-6</v>
      </c>
      <c r="N119" s="287">
        <v>24.9</v>
      </c>
      <c r="O119" s="1268" t="s">
        <v>232</v>
      </c>
      <c r="P119" s="1650">
        <v>0.5</v>
      </c>
      <c r="Q119" s="436" t="str">
        <f t="shared" si="54"/>
        <v>na</v>
      </c>
      <c r="R119" s="1665">
        <v>1</v>
      </c>
      <c r="S119" s="436" t="str">
        <f t="shared" si="55"/>
        <v>na</v>
      </c>
      <c r="T119" s="1268" t="s">
        <v>232</v>
      </c>
      <c r="U119" s="436" t="str">
        <f t="shared" si="56"/>
        <v>na</v>
      </c>
      <c r="V119" s="1278">
        <v>0.8</v>
      </c>
      <c r="W119" s="1278">
        <f t="shared" si="57"/>
        <v>1.6</v>
      </c>
      <c r="X119" s="419">
        <f t="shared" si="58"/>
        <v>0.8</v>
      </c>
      <c r="Y119" s="1278">
        <v>2.2000000000000003E-4</v>
      </c>
      <c r="Z119" s="419">
        <f t="shared" si="59"/>
        <v>0.77000000000000013</v>
      </c>
      <c r="AA119" s="419" t="s">
        <v>221</v>
      </c>
      <c r="AB119" s="446">
        <v>1</v>
      </c>
      <c r="AC119" s="1242">
        <v>0.1</v>
      </c>
      <c r="AD119" s="1259">
        <v>1</v>
      </c>
      <c r="AE119" s="1259">
        <v>0.1</v>
      </c>
      <c r="AF119" s="1295" t="s">
        <v>221</v>
      </c>
      <c r="AG119" s="538" t="s">
        <v>221</v>
      </c>
      <c r="AH119" s="452" t="s">
        <v>221</v>
      </c>
      <c r="AI119" s="452" t="s">
        <v>221</v>
      </c>
      <c r="AJ119" s="452" t="s">
        <v>221</v>
      </c>
      <c r="AK119" s="449" t="str">
        <f t="shared" si="49"/>
        <v>no</v>
      </c>
      <c r="AL119" s="221" t="s">
        <v>232</v>
      </c>
      <c r="AM119" s="406" t="s">
        <v>232</v>
      </c>
      <c r="AN119" s="1330" t="str">
        <f t="shared" si="50"/>
        <v>na</v>
      </c>
      <c r="AP119" s="1062"/>
    </row>
    <row r="120" spans="1:44" ht="13.9" customHeight="1" x14ac:dyDescent="0.25">
      <c r="A120" s="847">
        <f>Chem!A120</f>
        <v>118</v>
      </c>
      <c r="B120" s="864" t="str">
        <f>Chem!B120</f>
        <v>Hexachlorobenzene</v>
      </c>
      <c r="C120" s="387">
        <v>80000</v>
      </c>
      <c r="D120" s="387" t="s">
        <v>232</v>
      </c>
      <c r="E120" s="387">
        <f t="shared" si="36"/>
        <v>80</v>
      </c>
      <c r="F120" s="387">
        <f t="shared" si="37"/>
        <v>80</v>
      </c>
      <c r="G120" s="387" t="s">
        <v>232</v>
      </c>
      <c r="H120" s="387" t="s">
        <v>232</v>
      </c>
      <c r="I120" s="387">
        <f t="shared" si="60"/>
        <v>1520</v>
      </c>
      <c r="J120" s="387">
        <f t="shared" si="39"/>
        <v>1520</v>
      </c>
      <c r="K120" s="403">
        <v>2.2205009396001001E-2</v>
      </c>
      <c r="L120" s="403">
        <v>6.9501226492232199E-2</v>
      </c>
      <c r="M120" s="403">
        <f t="shared" si="42"/>
        <v>2.2205009396001001E-2</v>
      </c>
      <c r="N120" s="270">
        <v>8690</v>
      </c>
      <c r="O120" s="425">
        <v>8.0000000000000004E-4</v>
      </c>
      <c r="P120" s="1650">
        <v>0.8</v>
      </c>
      <c r="Q120" s="433">
        <f t="shared" si="54"/>
        <v>6.4000000000000005E-4</v>
      </c>
      <c r="R120" s="1665">
        <v>1</v>
      </c>
      <c r="S120" s="433">
        <f t="shared" si="55"/>
        <v>8.0000000000000004E-4</v>
      </c>
      <c r="T120" s="432" t="s">
        <v>232</v>
      </c>
      <c r="U120" s="433" t="str">
        <f t="shared" si="56"/>
        <v>na</v>
      </c>
      <c r="V120" s="1274">
        <v>1.6</v>
      </c>
      <c r="W120" s="1274">
        <f t="shared" si="57"/>
        <v>2</v>
      </c>
      <c r="X120" s="415">
        <f t="shared" si="58"/>
        <v>1.6</v>
      </c>
      <c r="Y120" s="1274">
        <v>4.6000000000000007E-4</v>
      </c>
      <c r="Z120" s="415">
        <f t="shared" si="59"/>
        <v>1.61</v>
      </c>
      <c r="AA120" s="415" t="s">
        <v>221</v>
      </c>
      <c r="AB120" s="443">
        <v>2</v>
      </c>
      <c r="AC120" s="1242">
        <v>0.03</v>
      </c>
      <c r="AD120" s="1259">
        <v>1</v>
      </c>
      <c r="AE120" s="1259">
        <v>0</v>
      </c>
      <c r="AF120" s="1295" t="s">
        <v>144</v>
      </c>
      <c r="AG120" s="538" t="s">
        <v>144</v>
      </c>
      <c r="AH120" s="452" t="s">
        <v>144</v>
      </c>
      <c r="AI120" s="452" t="s">
        <v>144</v>
      </c>
      <c r="AJ120" s="452" t="s">
        <v>221</v>
      </c>
      <c r="AK120" s="449" t="str">
        <f t="shared" si="49"/>
        <v>YES</v>
      </c>
      <c r="AL120" s="221" t="s">
        <v>232</v>
      </c>
      <c r="AM120" s="406" t="s">
        <v>232</v>
      </c>
      <c r="AN120" s="1330" t="str">
        <f t="shared" si="50"/>
        <v>na</v>
      </c>
      <c r="AP120" s="1062"/>
    </row>
    <row r="121" spans="1:44" ht="13.9" customHeight="1" x14ac:dyDescent="0.25">
      <c r="A121" s="847">
        <f>Chem!A121</f>
        <v>119</v>
      </c>
      <c r="B121" s="865" t="str">
        <f>Chem!B121</f>
        <v>Hexachlorobutadiene</v>
      </c>
      <c r="C121" s="384">
        <v>845</v>
      </c>
      <c r="D121" s="384" t="s">
        <v>232</v>
      </c>
      <c r="E121" s="387">
        <f t="shared" si="36"/>
        <v>0.84499999999999997</v>
      </c>
      <c r="F121" s="387">
        <f t="shared" si="37"/>
        <v>0.84499999999999997</v>
      </c>
      <c r="G121" s="387" t="s">
        <v>232</v>
      </c>
      <c r="H121" s="387" t="s">
        <v>232</v>
      </c>
      <c r="I121" s="387">
        <f t="shared" si="60"/>
        <v>16.055</v>
      </c>
      <c r="J121" s="387">
        <f t="shared" si="39"/>
        <v>16.055</v>
      </c>
      <c r="K121" s="400">
        <v>0.17802346040212969</v>
      </c>
      <c r="L121" s="400">
        <v>0.421095666394113</v>
      </c>
      <c r="M121" s="400">
        <f t="shared" si="42"/>
        <v>0.17802346040212969</v>
      </c>
      <c r="N121" s="271">
        <v>2.78</v>
      </c>
      <c r="O121" s="425">
        <v>1E-3</v>
      </c>
      <c r="P121" s="1650">
        <v>0.8</v>
      </c>
      <c r="Q121" s="426">
        <f t="shared" si="54"/>
        <v>8.0000000000000004E-4</v>
      </c>
      <c r="R121" s="1666">
        <v>1</v>
      </c>
      <c r="S121" s="426">
        <f t="shared" si="55"/>
        <v>1E-3</v>
      </c>
      <c r="T121" s="425" t="s">
        <v>232</v>
      </c>
      <c r="U121" s="426" t="str">
        <f t="shared" si="56"/>
        <v>na</v>
      </c>
      <c r="V121" s="1272">
        <v>7.8E-2</v>
      </c>
      <c r="W121" s="1272">
        <f t="shared" si="57"/>
        <v>9.7499999999999989E-2</v>
      </c>
      <c r="X121" s="412">
        <f t="shared" si="58"/>
        <v>7.8E-2</v>
      </c>
      <c r="Y121" s="1272">
        <v>2.2000000000000003E-5</v>
      </c>
      <c r="Z121" s="412">
        <f t="shared" si="59"/>
        <v>7.6999999999999999E-2</v>
      </c>
      <c r="AA121" s="412" t="s">
        <v>221</v>
      </c>
      <c r="AB121" s="439">
        <v>2</v>
      </c>
      <c r="AC121" s="1242">
        <v>0.03</v>
      </c>
      <c r="AD121" s="1257">
        <v>1</v>
      </c>
      <c r="AE121" s="1257">
        <v>0</v>
      </c>
      <c r="AF121" s="1292" t="s">
        <v>144</v>
      </c>
      <c r="AG121" s="535" t="s">
        <v>144</v>
      </c>
      <c r="AH121" s="449" t="s">
        <v>221</v>
      </c>
      <c r="AI121" s="449" t="s">
        <v>221</v>
      </c>
      <c r="AJ121" s="449" t="s">
        <v>221</v>
      </c>
      <c r="AK121" s="449" t="str">
        <f t="shared" si="49"/>
        <v>no</v>
      </c>
      <c r="AL121" s="221" t="s">
        <v>232</v>
      </c>
      <c r="AM121" s="406" t="s">
        <v>232</v>
      </c>
      <c r="AN121" s="1330" t="str">
        <f t="shared" si="50"/>
        <v>na</v>
      </c>
      <c r="AP121" s="1062"/>
    </row>
    <row r="122" spans="1:44" ht="13.9" customHeight="1" x14ac:dyDescent="0.25">
      <c r="A122" s="847">
        <f>Chem!A122</f>
        <v>120</v>
      </c>
      <c r="B122" s="865" t="str">
        <f>Chem!B122</f>
        <v>Hexachlorocyclopentadiene</v>
      </c>
      <c r="C122" s="384">
        <v>1400</v>
      </c>
      <c r="D122" s="384" t="s">
        <v>232</v>
      </c>
      <c r="E122" s="387">
        <f t="shared" si="36"/>
        <v>1.4000000000000001</v>
      </c>
      <c r="F122" s="387">
        <f t="shared" si="37"/>
        <v>1.4000000000000001</v>
      </c>
      <c r="G122" s="387" t="s">
        <v>232</v>
      </c>
      <c r="H122" s="387" t="s">
        <v>232</v>
      </c>
      <c r="I122" s="387">
        <f t="shared" si="60"/>
        <v>26.599999999999998</v>
      </c>
      <c r="J122" s="387">
        <f t="shared" si="39"/>
        <v>26.599999999999998</v>
      </c>
      <c r="K122" s="400">
        <v>2.168508612790597E-2</v>
      </c>
      <c r="L122" s="400">
        <v>1.1038430089942799</v>
      </c>
      <c r="M122" s="400">
        <f t="shared" si="42"/>
        <v>2.168508612790597E-2</v>
      </c>
      <c r="N122" s="271">
        <v>4.34</v>
      </c>
      <c r="O122" s="425">
        <v>6.0000000000000001E-3</v>
      </c>
      <c r="P122" s="1650">
        <v>0.8</v>
      </c>
      <c r="Q122" s="426">
        <f t="shared" si="54"/>
        <v>4.8000000000000004E-3</v>
      </c>
      <c r="R122" s="1666">
        <v>1</v>
      </c>
      <c r="S122" s="426">
        <f t="shared" si="55"/>
        <v>6.0000000000000001E-3</v>
      </c>
      <c r="T122" s="425">
        <v>1.9999999999999998E-4</v>
      </c>
      <c r="U122" s="426">
        <f t="shared" si="56"/>
        <v>5.7142857142857142E-5</v>
      </c>
      <c r="V122" s="1272" t="s">
        <v>232</v>
      </c>
      <c r="W122" s="1272" t="str">
        <f t="shared" si="57"/>
        <v>na</v>
      </c>
      <c r="X122" s="412" t="str">
        <f t="shared" si="58"/>
        <v>na</v>
      </c>
      <c r="Y122" s="1272" t="s">
        <v>232</v>
      </c>
      <c r="Z122" s="412" t="str">
        <f t="shared" si="59"/>
        <v>na</v>
      </c>
      <c r="AA122" s="412" t="s">
        <v>221</v>
      </c>
      <c r="AB122" s="439">
        <v>2</v>
      </c>
      <c r="AC122" s="1242">
        <v>0.03</v>
      </c>
      <c r="AD122" s="1257">
        <v>1</v>
      </c>
      <c r="AE122" s="1257">
        <v>0</v>
      </c>
      <c r="AF122" s="1292" t="s">
        <v>144</v>
      </c>
      <c r="AG122" s="535" t="s">
        <v>221</v>
      </c>
      <c r="AH122" s="449" t="s">
        <v>221</v>
      </c>
      <c r="AI122" s="449" t="s">
        <v>221</v>
      </c>
      <c r="AJ122" s="449" t="s">
        <v>221</v>
      </c>
      <c r="AK122" s="449" t="str">
        <f t="shared" si="49"/>
        <v>no</v>
      </c>
      <c r="AL122" s="221" t="s">
        <v>232</v>
      </c>
      <c r="AM122" s="406" t="s">
        <v>232</v>
      </c>
      <c r="AN122" s="1330" t="str">
        <f t="shared" si="50"/>
        <v>na</v>
      </c>
      <c r="AP122" s="1062"/>
    </row>
    <row r="123" spans="1:44" ht="13.9" customHeight="1" x14ac:dyDescent="0.25">
      <c r="A123" s="847">
        <f>Chem!A123</f>
        <v>121</v>
      </c>
      <c r="B123" s="865" t="str">
        <f>Chem!B123</f>
        <v>Hexachloroethane</v>
      </c>
      <c r="C123" s="384">
        <v>197</v>
      </c>
      <c r="D123" s="384" t="s">
        <v>232</v>
      </c>
      <c r="E123" s="387">
        <f t="shared" si="36"/>
        <v>0.19700000000000001</v>
      </c>
      <c r="F123" s="387">
        <f t="shared" si="37"/>
        <v>0.19700000000000001</v>
      </c>
      <c r="G123" s="387" t="s">
        <v>232</v>
      </c>
      <c r="H123" s="387" t="s">
        <v>232</v>
      </c>
      <c r="I123" s="387">
        <f t="shared" si="60"/>
        <v>3.7429999999999999</v>
      </c>
      <c r="J123" s="387">
        <f t="shared" si="39"/>
        <v>3.7429999999999999</v>
      </c>
      <c r="K123" s="400">
        <v>5.91E-2</v>
      </c>
      <c r="L123" s="400">
        <v>0.15903515944398999</v>
      </c>
      <c r="M123" s="400">
        <f t="shared" si="42"/>
        <v>5.91E-2</v>
      </c>
      <c r="N123" s="271">
        <v>86.9</v>
      </c>
      <c r="O123" s="425">
        <v>6.9999999999999999E-4</v>
      </c>
      <c r="P123" s="1650">
        <v>0.8</v>
      </c>
      <c r="Q123" s="426">
        <f t="shared" si="54"/>
        <v>5.6000000000000006E-4</v>
      </c>
      <c r="R123" s="1666">
        <v>1</v>
      </c>
      <c r="S123" s="426">
        <f t="shared" si="55"/>
        <v>6.9999999999999999E-4</v>
      </c>
      <c r="T123" s="425">
        <v>3.0000000000000002E-2</v>
      </c>
      <c r="U123" s="426">
        <f t="shared" si="56"/>
        <v>8.5714285714285719E-3</v>
      </c>
      <c r="V123" s="1272">
        <v>0.04</v>
      </c>
      <c r="W123" s="1272">
        <f t="shared" si="57"/>
        <v>4.9999999999999996E-2</v>
      </c>
      <c r="X123" s="412">
        <f t="shared" si="58"/>
        <v>0.04</v>
      </c>
      <c r="Y123" s="1272">
        <v>1.1000000000000001E-5</v>
      </c>
      <c r="Z123" s="412">
        <f t="shared" si="59"/>
        <v>3.85E-2</v>
      </c>
      <c r="AA123" s="412" t="s">
        <v>221</v>
      </c>
      <c r="AB123" s="439">
        <v>2</v>
      </c>
      <c r="AC123" s="1242">
        <v>0.03</v>
      </c>
      <c r="AD123" s="1257">
        <v>1</v>
      </c>
      <c r="AE123" s="1257">
        <v>0</v>
      </c>
      <c r="AF123" s="1292" t="s">
        <v>144</v>
      </c>
      <c r="AG123" s="535" t="s">
        <v>221</v>
      </c>
      <c r="AH123" s="449" t="s">
        <v>221</v>
      </c>
      <c r="AI123" s="449" t="s">
        <v>221</v>
      </c>
      <c r="AJ123" s="449" t="s">
        <v>221</v>
      </c>
      <c r="AK123" s="449" t="str">
        <f t="shared" si="49"/>
        <v>no</v>
      </c>
      <c r="AL123" s="221" t="s">
        <v>232</v>
      </c>
      <c r="AM123" s="406" t="s">
        <v>232</v>
      </c>
      <c r="AN123" s="1330" t="str">
        <f t="shared" si="50"/>
        <v>na</v>
      </c>
      <c r="AP123" s="1062"/>
    </row>
    <row r="124" spans="1:44" ht="13.9" customHeight="1" x14ac:dyDescent="0.25">
      <c r="A124" s="847">
        <f>Chem!A124</f>
        <v>122</v>
      </c>
      <c r="B124" s="865" t="str">
        <f>Chem!B124</f>
        <v>Isophorone</v>
      </c>
      <c r="C124" s="384">
        <v>65.2</v>
      </c>
      <c r="D124" s="384" t="s">
        <v>232</v>
      </c>
      <c r="E124" s="387">
        <f t="shared" si="36"/>
        <v>6.5200000000000008E-2</v>
      </c>
      <c r="F124" s="387">
        <f t="shared" si="37"/>
        <v>6.5200000000000008E-2</v>
      </c>
      <c r="G124" s="387" t="s">
        <v>232</v>
      </c>
      <c r="H124" s="387" t="s">
        <v>232</v>
      </c>
      <c r="I124" s="387">
        <f t="shared" si="60"/>
        <v>1.2388000000000001</v>
      </c>
      <c r="J124" s="387">
        <f t="shared" si="39"/>
        <v>1.2388000000000001</v>
      </c>
      <c r="K124" s="400">
        <v>1.1276765765128316E-4</v>
      </c>
      <c r="L124" s="400">
        <v>2.7146361406377802E-4</v>
      </c>
      <c r="M124" s="400">
        <f t="shared" si="42"/>
        <v>1.1276765765128316E-4</v>
      </c>
      <c r="N124" s="271">
        <v>4.38</v>
      </c>
      <c r="O124" s="425">
        <v>0.2</v>
      </c>
      <c r="P124" s="1650">
        <v>0.5</v>
      </c>
      <c r="Q124" s="426">
        <f t="shared" si="54"/>
        <v>0.1</v>
      </c>
      <c r="R124" s="1666">
        <v>1</v>
      </c>
      <c r="S124" s="426">
        <f t="shared" si="55"/>
        <v>0.2</v>
      </c>
      <c r="T124" s="425">
        <v>2</v>
      </c>
      <c r="U124" s="426">
        <f t="shared" si="56"/>
        <v>0.5714285714285714</v>
      </c>
      <c r="V124" s="1272">
        <v>9.5E-4</v>
      </c>
      <c r="W124" s="1272">
        <f t="shared" si="57"/>
        <v>1.9E-3</v>
      </c>
      <c r="X124" s="412">
        <f t="shared" si="58"/>
        <v>9.5E-4</v>
      </c>
      <c r="Y124" s="1272" t="s">
        <v>232</v>
      </c>
      <c r="Z124" s="412" t="str">
        <f t="shared" si="59"/>
        <v>na</v>
      </c>
      <c r="AA124" s="412" t="s">
        <v>221</v>
      </c>
      <c r="AB124" s="439">
        <v>1</v>
      </c>
      <c r="AC124" s="1242">
        <v>0.1</v>
      </c>
      <c r="AD124" s="1257">
        <v>1</v>
      </c>
      <c r="AE124" s="1257">
        <v>0.1</v>
      </c>
      <c r="AF124" s="1292" t="s">
        <v>221</v>
      </c>
      <c r="AG124" s="535" t="s">
        <v>221</v>
      </c>
      <c r="AH124" s="449" t="s">
        <v>221</v>
      </c>
      <c r="AI124" s="449" t="s">
        <v>221</v>
      </c>
      <c r="AJ124" s="449" t="s">
        <v>221</v>
      </c>
      <c r="AK124" s="449" t="str">
        <f t="shared" si="49"/>
        <v>no</v>
      </c>
      <c r="AL124" s="221" t="s">
        <v>232</v>
      </c>
      <c r="AM124" s="406" t="s">
        <v>232</v>
      </c>
      <c r="AN124" s="1330" t="str">
        <f t="shared" si="50"/>
        <v>na</v>
      </c>
      <c r="AP124" s="1062"/>
    </row>
    <row r="125" spans="1:44" ht="13.9" customHeight="1" x14ac:dyDescent="0.25">
      <c r="A125" s="847">
        <f>Chem!A125</f>
        <v>123</v>
      </c>
      <c r="B125" s="865" t="str">
        <f>Chem!B125</f>
        <v>2-Methoxynaphthalene</v>
      </c>
      <c r="C125" s="384" t="s">
        <v>232</v>
      </c>
      <c r="D125" s="384" t="s">
        <v>232</v>
      </c>
      <c r="E125" s="387" t="str">
        <f t="shared" si="36"/>
        <v>na</v>
      </c>
      <c r="F125" s="387" t="str">
        <f t="shared" si="37"/>
        <v>na</v>
      </c>
      <c r="G125" s="387" t="s">
        <v>232</v>
      </c>
      <c r="H125" s="387" t="s">
        <v>232</v>
      </c>
      <c r="I125" s="387" t="str">
        <f t="shared" si="60"/>
        <v>na</v>
      </c>
      <c r="J125" s="387" t="str">
        <f t="shared" si="39"/>
        <v>na</v>
      </c>
      <c r="K125" s="400" t="s">
        <v>232</v>
      </c>
      <c r="L125" s="400" t="s">
        <v>232</v>
      </c>
      <c r="M125" s="400">
        <f t="shared" si="42"/>
        <v>0</v>
      </c>
      <c r="N125" s="271" t="s">
        <v>232</v>
      </c>
      <c r="O125" s="425" t="s">
        <v>232</v>
      </c>
      <c r="P125" s="1650">
        <v>0.5</v>
      </c>
      <c r="Q125" s="426" t="str">
        <f t="shared" si="54"/>
        <v>na</v>
      </c>
      <c r="R125" s="1666">
        <v>1</v>
      </c>
      <c r="S125" s="426" t="str">
        <f t="shared" si="55"/>
        <v>na</v>
      </c>
      <c r="T125" s="425" t="s">
        <v>232</v>
      </c>
      <c r="U125" s="426" t="str">
        <f t="shared" si="56"/>
        <v>na</v>
      </c>
      <c r="V125" s="1272" t="s">
        <v>232</v>
      </c>
      <c r="W125" s="1272" t="str">
        <f t="shared" si="57"/>
        <v>na</v>
      </c>
      <c r="X125" s="412" t="str">
        <f t="shared" si="58"/>
        <v>na</v>
      </c>
      <c r="Y125" s="1272" t="s">
        <v>232</v>
      </c>
      <c r="Z125" s="412" t="str">
        <f t="shared" si="59"/>
        <v>na</v>
      </c>
      <c r="AA125" s="412" t="s">
        <v>221</v>
      </c>
      <c r="AB125" s="439" t="s">
        <v>232</v>
      </c>
      <c r="AC125" s="1242" t="s">
        <v>232</v>
      </c>
      <c r="AD125" s="1257" t="s">
        <v>232</v>
      </c>
      <c r="AE125" s="1257">
        <v>0.1</v>
      </c>
      <c r="AF125" s="1292" t="s">
        <v>221</v>
      </c>
      <c r="AG125" s="535" t="s">
        <v>221</v>
      </c>
      <c r="AH125" s="449" t="s">
        <v>221</v>
      </c>
      <c r="AI125" s="449" t="s">
        <v>221</v>
      </c>
      <c r="AJ125" s="449" t="s">
        <v>221</v>
      </c>
      <c r="AK125" s="449" t="str">
        <f t="shared" si="49"/>
        <v>no</v>
      </c>
      <c r="AL125" s="221" t="s">
        <v>232</v>
      </c>
      <c r="AM125" s="406" t="s">
        <v>232</v>
      </c>
      <c r="AN125" s="1330" t="str">
        <f t="shared" si="50"/>
        <v>na</v>
      </c>
      <c r="AP125" s="1062"/>
    </row>
    <row r="126" spans="1:44" ht="13.9" customHeight="1" x14ac:dyDescent="0.25">
      <c r="A126" s="847">
        <f>Chem!A126</f>
        <v>124</v>
      </c>
      <c r="B126" s="865" t="str">
        <f>Chem!B126</f>
        <v>2-Methylphenol (o-cresol)</v>
      </c>
      <c r="C126" s="384">
        <v>307</v>
      </c>
      <c r="D126" s="384" t="s">
        <v>232</v>
      </c>
      <c r="E126" s="387">
        <f t="shared" si="36"/>
        <v>0.307</v>
      </c>
      <c r="F126" s="387">
        <f t="shared" si="37"/>
        <v>0.307</v>
      </c>
      <c r="G126" s="387" t="s">
        <v>232</v>
      </c>
      <c r="H126" s="387" t="s">
        <v>232</v>
      </c>
      <c r="I126" s="387">
        <f t="shared" si="60"/>
        <v>5.8330000000000002</v>
      </c>
      <c r="J126" s="387">
        <f t="shared" si="39"/>
        <v>5.8330000000000002</v>
      </c>
      <c r="K126" s="400">
        <v>1.9828130714014083E-5</v>
      </c>
      <c r="L126" s="400">
        <v>4.9059689288634497E-5</v>
      </c>
      <c r="M126" s="400">
        <f t="shared" si="42"/>
        <v>1.9828130714014083E-5</v>
      </c>
      <c r="N126" s="271" t="s">
        <v>232</v>
      </c>
      <c r="O126" s="425">
        <v>0.05</v>
      </c>
      <c r="P126" s="1650">
        <v>0.5</v>
      </c>
      <c r="Q126" s="426">
        <f t="shared" si="54"/>
        <v>2.5000000000000001E-2</v>
      </c>
      <c r="R126" s="1666">
        <v>1</v>
      </c>
      <c r="S126" s="426">
        <f t="shared" si="55"/>
        <v>0.05</v>
      </c>
      <c r="T126" s="425">
        <v>0.6</v>
      </c>
      <c r="U126" s="426">
        <f t="shared" si="56"/>
        <v>0.17142857142857143</v>
      </c>
      <c r="V126" s="1272" t="s">
        <v>232</v>
      </c>
      <c r="W126" s="1272" t="str">
        <f t="shared" si="57"/>
        <v>na</v>
      </c>
      <c r="X126" s="412" t="str">
        <f t="shared" si="58"/>
        <v>na</v>
      </c>
      <c r="Y126" s="1272" t="s">
        <v>232</v>
      </c>
      <c r="Z126" s="412" t="str">
        <f t="shared" si="59"/>
        <v>na</v>
      </c>
      <c r="AA126" s="412" t="s">
        <v>221</v>
      </c>
      <c r="AB126" s="439">
        <v>1</v>
      </c>
      <c r="AC126" s="1242">
        <v>0.1</v>
      </c>
      <c r="AD126" s="1257">
        <v>1</v>
      </c>
      <c r="AE126" s="1257">
        <v>0.1</v>
      </c>
      <c r="AF126" s="1292" t="s">
        <v>221</v>
      </c>
      <c r="AG126" s="535" t="s">
        <v>221</v>
      </c>
      <c r="AH126" s="449" t="s">
        <v>221</v>
      </c>
      <c r="AI126" s="449" t="s">
        <v>221</v>
      </c>
      <c r="AJ126" s="449" t="s">
        <v>221</v>
      </c>
      <c r="AK126" s="449" t="str">
        <f t="shared" si="49"/>
        <v>no</v>
      </c>
      <c r="AL126" s="221" t="s">
        <v>232</v>
      </c>
      <c r="AM126" s="406" t="s">
        <v>232</v>
      </c>
      <c r="AN126" s="1330" t="str">
        <f t="shared" si="50"/>
        <v>na</v>
      </c>
      <c r="AP126" s="1062"/>
    </row>
    <row r="127" spans="1:44" ht="13.9" customHeight="1" x14ac:dyDescent="0.25">
      <c r="A127" s="847">
        <f>Chem!A127</f>
        <v>125</v>
      </c>
      <c r="B127" s="865" t="str">
        <f>Chem!B127</f>
        <v>3-Methylphenol (m-cresol)</v>
      </c>
      <c r="C127" s="384">
        <v>300</v>
      </c>
      <c r="D127" s="384" t="s">
        <v>232</v>
      </c>
      <c r="E127" s="387">
        <f t="shared" si="36"/>
        <v>0.3</v>
      </c>
      <c r="F127" s="387">
        <f t="shared" si="37"/>
        <v>0.3</v>
      </c>
      <c r="G127" s="387" t="s">
        <v>232</v>
      </c>
      <c r="H127" s="387" t="s">
        <v>232</v>
      </c>
      <c r="I127" s="387">
        <f t="shared" si="60"/>
        <v>5.7</v>
      </c>
      <c r="J127" s="387">
        <f t="shared" si="39"/>
        <v>5.7</v>
      </c>
      <c r="K127" s="400">
        <v>1.3290337160199131E-5</v>
      </c>
      <c r="L127" s="400">
        <v>3.4995911692559303E-5</v>
      </c>
      <c r="M127" s="400">
        <f t="shared" si="42"/>
        <v>1.3290337160199131E-5</v>
      </c>
      <c r="N127" s="271" t="s">
        <v>232</v>
      </c>
      <c r="O127" s="425">
        <v>0.05</v>
      </c>
      <c r="P127" s="1650">
        <v>0.5</v>
      </c>
      <c r="Q127" s="426">
        <f t="shared" si="54"/>
        <v>2.5000000000000001E-2</v>
      </c>
      <c r="R127" s="1666">
        <v>1</v>
      </c>
      <c r="S127" s="426">
        <f t="shared" si="55"/>
        <v>0.05</v>
      </c>
      <c r="T127" s="425">
        <v>0.6</v>
      </c>
      <c r="U127" s="426">
        <f t="shared" si="56"/>
        <v>0.17142857142857143</v>
      </c>
      <c r="V127" s="1272" t="s">
        <v>232</v>
      </c>
      <c r="W127" s="1272" t="str">
        <f t="shared" si="57"/>
        <v>na</v>
      </c>
      <c r="X127" s="412" t="str">
        <f t="shared" si="58"/>
        <v>na</v>
      </c>
      <c r="Y127" s="1272" t="s">
        <v>232</v>
      </c>
      <c r="Z127" s="412" t="str">
        <f t="shared" si="59"/>
        <v>na</v>
      </c>
      <c r="AA127" s="412" t="s">
        <v>221</v>
      </c>
      <c r="AB127" s="439">
        <v>1</v>
      </c>
      <c r="AC127" s="1242">
        <v>0.1</v>
      </c>
      <c r="AD127" s="1257">
        <v>1</v>
      </c>
      <c r="AE127" s="1257">
        <v>0.1</v>
      </c>
      <c r="AF127" s="1292" t="s">
        <v>221</v>
      </c>
      <c r="AG127" s="535" t="s">
        <v>221</v>
      </c>
      <c r="AH127" s="449" t="s">
        <v>221</v>
      </c>
      <c r="AI127" s="449" t="s">
        <v>221</v>
      </c>
      <c r="AJ127" s="449" t="s">
        <v>221</v>
      </c>
      <c r="AK127" s="449" t="str">
        <f t="shared" si="49"/>
        <v>no</v>
      </c>
      <c r="AL127" s="221" t="s">
        <v>232</v>
      </c>
      <c r="AM127" s="406" t="s">
        <v>232</v>
      </c>
      <c r="AN127" s="1330" t="str">
        <f t="shared" si="50"/>
        <v>na</v>
      </c>
      <c r="AP127" s="1062"/>
    </row>
    <row r="128" spans="1:44" ht="13.9" customHeight="1" x14ac:dyDescent="0.25">
      <c r="A128" s="847">
        <f>Chem!A128</f>
        <v>126</v>
      </c>
      <c r="B128" s="865" t="str">
        <f>Chem!B128</f>
        <v>4-Methylphenol (p-cresol)</v>
      </c>
      <c r="C128" s="384">
        <v>300</v>
      </c>
      <c r="D128" s="384" t="s">
        <v>232</v>
      </c>
      <c r="E128" s="387">
        <f t="shared" si="36"/>
        <v>0.3</v>
      </c>
      <c r="F128" s="387">
        <f t="shared" si="37"/>
        <v>0.3</v>
      </c>
      <c r="G128" s="387" t="s">
        <v>232</v>
      </c>
      <c r="H128" s="387" t="s">
        <v>232</v>
      </c>
      <c r="I128" s="387">
        <f t="shared" si="60"/>
        <v>5.7</v>
      </c>
      <c r="J128" s="387">
        <f t="shared" si="39"/>
        <v>5.7</v>
      </c>
      <c r="K128" s="400">
        <v>1.5498246638563197E-5</v>
      </c>
      <c r="L128" s="400">
        <v>4.0883074407195399E-5</v>
      </c>
      <c r="M128" s="400">
        <f t="shared" si="42"/>
        <v>1.5498246638563197E-5</v>
      </c>
      <c r="N128" s="271" t="s">
        <v>232</v>
      </c>
      <c r="O128" s="425">
        <v>0.1</v>
      </c>
      <c r="P128" s="1650">
        <v>0.5</v>
      </c>
      <c r="Q128" s="426">
        <f t="shared" si="54"/>
        <v>0.05</v>
      </c>
      <c r="R128" s="1666">
        <v>1</v>
      </c>
      <c r="S128" s="426">
        <f t="shared" si="55"/>
        <v>0.1</v>
      </c>
      <c r="T128" s="425">
        <v>0.6</v>
      </c>
      <c r="U128" s="426">
        <f t="shared" si="56"/>
        <v>0.17142857142857143</v>
      </c>
      <c r="V128" s="1272" t="s">
        <v>232</v>
      </c>
      <c r="W128" s="1272" t="str">
        <f t="shared" si="57"/>
        <v>na</v>
      </c>
      <c r="X128" s="412" t="str">
        <f t="shared" si="58"/>
        <v>na</v>
      </c>
      <c r="Y128" s="1272" t="s">
        <v>232</v>
      </c>
      <c r="Z128" s="412" t="str">
        <f t="shared" si="59"/>
        <v>na</v>
      </c>
      <c r="AA128" s="412" t="s">
        <v>221</v>
      </c>
      <c r="AB128" s="439">
        <v>1</v>
      </c>
      <c r="AC128" s="1242">
        <v>0.1</v>
      </c>
      <c r="AD128" s="1257">
        <v>1</v>
      </c>
      <c r="AE128" s="1257">
        <v>0.1</v>
      </c>
      <c r="AF128" s="1292" t="s">
        <v>221</v>
      </c>
      <c r="AG128" s="535" t="s">
        <v>221</v>
      </c>
      <c r="AH128" s="449" t="s">
        <v>221</v>
      </c>
      <c r="AI128" s="449" t="s">
        <v>221</v>
      </c>
      <c r="AJ128" s="449" t="s">
        <v>221</v>
      </c>
      <c r="AK128" s="449" t="str">
        <f t="shared" si="49"/>
        <v>no</v>
      </c>
      <c r="AL128" s="221" t="s">
        <v>232</v>
      </c>
      <c r="AM128" s="406" t="s">
        <v>232</v>
      </c>
      <c r="AN128" s="1330" t="str">
        <f t="shared" si="50"/>
        <v>na</v>
      </c>
      <c r="AP128" s="1062"/>
    </row>
    <row r="129" spans="1:42" ht="13.9" customHeight="1" x14ac:dyDescent="0.25">
      <c r="A129" s="847">
        <f>Chem!A129</f>
        <v>127</v>
      </c>
      <c r="B129" s="865" t="str">
        <f>Chem!B129</f>
        <v>2-Nitroaniline</v>
      </c>
      <c r="C129" s="384">
        <v>111</v>
      </c>
      <c r="D129" s="384" t="s">
        <v>232</v>
      </c>
      <c r="E129" s="387">
        <f t="shared" si="36"/>
        <v>0.111</v>
      </c>
      <c r="F129" s="387">
        <f t="shared" si="37"/>
        <v>0.111</v>
      </c>
      <c r="G129" s="387" t="s">
        <v>232</v>
      </c>
      <c r="H129" s="387" t="s">
        <v>232</v>
      </c>
      <c r="I129" s="387">
        <f t="shared" si="60"/>
        <v>2.109</v>
      </c>
      <c r="J129" s="387">
        <f t="shared" si="39"/>
        <v>2.109</v>
      </c>
      <c r="K129" s="400">
        <v>6.1024042964766576E-7</v>
      </c>
      <c r="L129" s="400">
        <v>2.41210139002453E-6</v>
      </c>
      <c r="M129" s="400">
        <f t="shared" si="42"/>
        <v>6.1024042964766576E-7</v>
      </c>
      <c r="N129" s="271" t="s">
        <v>232</v>
      </c>
      <c r="O129" s="425">
        <v>0.01</v>
      </c>
      <c r="P129" s="1650">
        <v>0.5</v>
      </c>
      <c r="Q129" s="426">
        <f t="shared" si="54"/>
        <v>5.0000000000000001E-3</v>
      </c>
      <c r="R129" s="1666">
        <v>1</v>
      </c>
      <c r="S129" s="426">
        <f t="shared" si="55"/>
        <v>0.01</v>
      </c>
      <c r="T129" s="425">
        <v>4.9999999999999996E-5</v>
      </c>
      <c r="U129" s="426">
        <f t="shared" si="56"/>
        <v>1.4285714285714285E-5</v>
      </c>
      <c r="V129" s="1272" t="s">
        <v>232</v>
      </c>
      <c r="W129" s="1272" t="str">
        <f t="shared" si="57"/>
        <v>na</v>
      </c>
      <c r="X129" s="412" t="str">
        <f t="shared" si="58"/>
        <v>na</v>
      </c>
      <c r="Y129" s="1272" t="s">
        <v>232</v>
      </c>
      <c r="Z129" s="412" t="str">
        <f t="shared" si="59"/>
        <v>na</v>
      </c>
      <c r="AA129" s="412" t="s">
        <v>221</v>
      </c>
      <c r="AB129" s="439">
        <v>1</v>
      </c>
      <c r="AC129" s="1242">
        <v>0.1</v>
      </c>
      <c r="AD129" s="1257">
        <v>1</v>
      </c>
      <c r="AE129" s="1257">
        <v>0.1</v>
      </c>
      <c r="AF129" s="1292" t="s">
        <v>221</v>
      </c>
      <c r="AG129" s="535" t="s">
        <v>221</v>
      </c>
      <c r="AH129" s="449" t="s">
        <v>221</v>
      </c>
      <c r="AI129" s="449" t="s">
        <v>221</v>
      </c>
      <c r="AJ129" s="449" t="s">
        <v>221</v>
      </c>
      <c r="AK129" s="449" t="str">
        <f t="shared" si="49"/>
        <v>no</v>
      </c>
      <c r="AL129" s="221" t="s">
        <v>232</v>
      </c>
      <c r="AM129" s="406" t="s">
        <v>232</v>
      </c>
      <c r="AN129" s="1330" t="str">
        <f t="shared" si="50"/>
        <v>na</v>
      </c>
      <c r="AP129" s="1062"/>
    </row>
    <row r="130" spans="1:42" ht="13.9" customHeight="1" x14ac:dyDescent="0.25">
      <c r="A130" s="847">
        <f>Chem!A130</f>
        <v>128</v>
      </c>
      <c r="B130" s="865" t="str">
        <f>Chem!B130</f>
        <v>3-Nitroaniline</v>
      </c>
      <c r="C130" s="384" t="s">
        <v>232</v>
      </c>
      <c r="D130" s="384" t="s">
        <v>232</v>
      </c>
      <c r="E130" s="387" t="str">
        <f t="shared" si="36"/>
        <v>na</v>
      </c>
      <c r="F130" s="387" t="str">
        <f t="shared" si="37"/>
        <v>na</v>
      </c>
      <c r="G130" s="387" t="s">
        <v>232</v>
      </c>
      <c r="H130" s="387" t="s">
        <v>232</v>
      </c>
      <c r="I130" s="387" t="str">
        <f t="shared" si="60"/>
        <v>na</v>
      </c>
      <c r="J130" s="387" t="str">
        <f t="shared" si="39"/>
        <v>na</v>
      </c>
      <c r="K130" s="400" t="s">
        <v>232</v>
      </c>
      <c r="L130" s="400" t="s">
        <v>232</v>
      </c>
      <c r="M130" s="400">
        <f t="shared" si="42"/>
        <v>0</v>
      </c>
      <c r="N130" s="271" t="s">
        <v>232</v>
      </c>
      <c r="O130" s="425" t="s">
        <v>232</v>
      </c>
      <c r="P130" s="1650">
        <v>0.5</v>
      </c>
      <c r="Q130" s="426" t="str">
        <f t="shared" si="54"/>
        <v>na</v>
      </c>
      <c r="R130" s="1666">
        <v>1</v>
      </c>
      <c r="S130" s="426" t="str">
        <f t="shared" si="55"/>
        <v>na</v>
      </c>
      <c r="T130" s="425" t="s">
        <v>232</v>
      </c>
      <c r="U130" s="426" t="str">
        <f t="shared" si="56"/>
        <v>na</v>
      </c>
      <c r="V130" s="1272" t="s">
        <v>232</v>
      </c>
      <c r="W130" s="1272" t="str">
        <f t="shared" si="57"/>
        <v>na</v>
      </c>
      <c r="X130" s="412" t="str">
        <f t="shared" si="58"/>
        <v>na</v>
      </c>
      <c r="Y130" s="1272" t="s">
        <v>232</v>
      </c>
      <c r="Z130" s="412" t="str">
        <f t="shared" si="59"/>
        <v>na</v>
      </c>
      <c r="AA130" s="412" t="s">
        <v>221</v>
      </c>
      <c r="AB130" s="439" t="s">
        <v>232</v>
      </c>
      <c r="AC130" s="1242" t="s">
        <v>232</v>
      </c>
      <c r="AD130" s="1257" t="s">
        <v>232</v>
      </c>
      <c r="AE130" s="1257">
        <v>0.1</v>
      </c>
      <c r="AF130" s="1292" t="s">
        <v>221</v>
      </c>
      <c r="AG130" s="535" t="s">
        <v>221</v>
      </c>
      <c r="AH130" s="449" t="s">
        <v>221</v>
      </c>
      <c r="AI130" s="449" t="s">
        <v>221</v>
      </c>
      <c r="AJ130" s="449" t="s">
        <v>221</v>
      </c>
      <c r="AK130" s="449" t="str">
        <f t="shared" si="49"/>
        <v>no</v>
      </c>
      <c r="AL130" s="221" t="s">
        <v>232</v>
      </c>
      <c r="AM130" s="406" t="s">
        <v>232</v>
      </c>
      <c r="AN130" s="1330" t="str">
        <f t="shared" si="50"/>
        <v>na</v>
      </c>
      <c r="AP130" s="1062"/>
    </row>
    <row r="131" spans="1:42" ht="13.9" customHeight="1" x14ac:dyDescent="0.25">
      <c r="A131" s="847">
        <f>Chem!A131</f>
        <v>129</v>
      </c>
      <c r="B131" s="865" t="str">
        <f>Chem!B131</f>
        <v>4-Nitroaniline</v>
      </c>
      <c r="C131" s="384">
        <v>109.32</v>
      </c>
      <c r="D131" s="384" t="s">
        <v>232</v>
      </c>
      <c r="E131" s="387">
        <f t="shared" si="36"/>
        <v>0.10932</v>
      </c>
      <c r="F131" s="387">
        <f t="shared" si="37"/>
        <v>0.10932</v>
      </c>
      <c r="G131" s="387" t="s">
        <v>232</v>
      </c>
      <c r="H131" s="387" t="s">
        <v>232</v>
      </c>
      <c r="I131" s="387">
        <f t="shared" si="60"/>
        <v>2.07708</v>
      </c>
      <c r="J131" s="387">
        <f t="shared" si="39"/>
        <v>2.07708</v>
      </c>
      <c r="K131" s="400">
        <v>1.0788231855297398E-8</v>
      </c>
      <c r="L131" s="400">
        <v>5.15126737530662E-8</v>
      </c>
      <c r="M131" s="400">
        <f t="shared" si="42"/>
        <v>1.0788231855297398E-8</v>
      </c>
      <c r="N131" s="271" t="s">
        <v>232</v>
      </c>
      <c r="O131" s="425">
        <v>4.0000000000000001E-3</v>
      </c>
      <c r="P131" s="1650">
        <v>0.5</v>
      </c>
      <c r="Q131" s="426">
        <f t="shared" si="54"/>
        <v>2E-3</v>
      </c>
      <c r="R131" s="1666">
        <v>1</v>
      </c>
      <c r="S131" s="426">
        <f t="shared" si="55"/>
        <v>4.0000000000000001E-3</v>
      </c>
      <c r="T131" s="425">
        <v>6.0000000000000001E-3</v>
      </c>
      <c r="U131" s="426">
        <f t="shared" si="56"/>
        <v>1.7142857142857142E-3</v>
      </c>
      <c r="V131" s="1272">
        <v>0.02</v>
      </c>
      <c r="W131" s="1272">
        <f t="shared" si="57"/>
        <v>0.04</v>
      </c>
      <c r="X131" s="412">
        <f t="shared" si="58"/>
        <v>0.02</v>
      </c>
      <c r="Y131" s="1272" t="s">
        <v>232</v>
      </c>
      <c r="Z131" s="412" t="str">
        <f t="shared" si="59"/>
        <v>na</v>
      </c>
      <c r="AA131" s="412" t="s">
        <v>221</v>
      </c>
      <c r="AB131" s="439">
        <v>1</v>
      </c>
      <c r="AC131" s="1242">
        <v>0.1</v>
      </c>
      <c r="AD131" s="1257">
        <v>1</v>
      </c>
      <c r="AE131" s="1257">
        <v>0.1</v>
      </c>
      <c r="AF131" s="1292" t="s">
        <v>221</v>
      </c>
      <c r="AG131" s="535" t="s">
        <v>221</v>
      </c>
      <c r="AH131" s="449" t="s">
        <v>221</v>
      </c>
      <c r="AI131" s="449" t="s">
        <v>221</v>
      </c>
      <c r="AJ131" s="449" t="s">
        <v>221</v>
      </c>
      <c r="AK131" s="449" t="str">
        <f t="shared" si="49"/>
        <v>no</v>
      </c>
      <c r="AL131" s="221" t="s">
        <v>232</v>
      </c>
      <c r="AM131" s="406" t="s">
        <v>232</v>
      </c>
      <c r="AN131" s="1330" t="str">
        <f t="shared" si="50"/>
        <v>na</v>
      </c>
      <c r="AP131" s="1062"/>
    </row>
    <row r="132" spans="1:42" ht="13.9" customHeight="1" x14ac:dyDescent="0.25">
      <c r="A132" s="847">
        <f>Chem!A132</f>
        <v>130</v>
      </c>
      <c r="B132" s="865" t="str">
        <f>Chem!B132</f>
        <v>Nitrobenzene</v>
      </c>
      <c r="C132" s="384">
        <v>119</v>
      </c>
      <c r="D132" s="384" t="s">
        <v>232</v>
      </c>
      <c r="E132" s="387">
        <f t="shared" ref="E132:E195" si="61">IF(C132="na","na",C132*F$1)</f>
        <v>0.11900000000000001</v>
      </c>
      <c r="F132" s="387">
        <f t="shared" ref="F132:F195" si="62">IF(D132="na",E132,D132)</f>
        <v>0.11900000000000001</v>
      </c>
      <c r="G132" s="387" t="s">
        <v>232</v>
      </c>
      <c r="H132" s="387" t="s">
        <v>232</v>
      </c>
      <c r="I132" s="387">
        <f t="shared" si="60"/>
        <v>2.2610000000000001</v>
      </c>
      <c r="J132" s="387">
        <f t="shared" si="39"/>
        <v>2.2610000000000001</v>
      </c>
      <c r="K132" s="400">
        <v>3.9730054605151852E-4</v>
      </c>
      <c r="L132" s="400">
        <v>9.8119378577268997E-4</v>
      </c>
      <c r="M132" s="400">
        <f t="shared" si="42"/>
        <v>3.9730054605151852E-4</v>
      </c>
      <c r="N132" s="271">
        <v>2.89</v>
      </c>
      <c r="O132" s="425">
        <v>2E-3</v>
      </c>
      <c r="P132" s="1650">
        <v>0.8</v>
      </c>
      <c r="Q132" s="426">
        <f t="shared" si="54"/>
        <v>1.6000000000000001E-3</v>
      </c>
      <c r="R132" s="1666">
        <v>1</v>
      </c>
      <c r="S132" s="426">
        <f t="shared" si="55"/>
        <v>2E-3</v>
      </c>
      <c r="T132" s="425">
        <v>8.9999999999999993E-3</v>
      </c>
      <c r="U132" s="426">
        <f t="shared" si="56"/>
        <v>2.5714285714285713E-3</v>
      </c>
      <c r="V132" s="1272" t="s">
        <v>232</v>
      </c>
      <c r="W132" s="1272" t="str">
        <f t="shared" si="57"/>
        <v>na</v>
      </c>
      <c r="X132" s="412" t="str">
        <f t="shared" si="58"/>
        <v>na</v>
      </c>
      <c r="Y132" s="1272">
        <v>4.000000000000001E-5</v>
      </c>
      <c r="Z132" s="412">
        <f t="shared" si="59"/>
        <v>0.14000000000000004</v>
      </c>
      <c r="AA132" s="412" t="s">
        <v>221</v>
      </c>
      <c r="AB132" s="439">
        <v>2</v>
      </c>
      <c r="AC132" s="1242">
        <v>0.03</v>
      </c>
      <c r="AD132" s="1257">
        <v>1</v>
      </c>
      <c r="AE132" s="1257">
        <v>0</v>
      </c>
      <c r="AF132" s="1292" t="s">
        <v>221</v>
      </c>
      <c r="AG132" s="535" t="s">
        <v>221</v>
      </c>
      <c r="AH132" s="449" t="s">
        <v>221</v>
      </c>
      <c r="AI132" s="449" t="s">
        <v>221</v>
      </c>
      <c r="AJ132" s="449" t="s">
        <v>221</v>
      </c>
      <c r="AK132" s="449" t="str">
        <f t="shared" si="49"/>
        <v>no</v>
      </c>
      <c r="AL132" s="221" t="s">
        <v>232</v>
      </c>
      <c r="AM132" s="406" t="s">
        <v>232</v>
      </c>
      <c r="AN132" s="1330" t="str">
        <f t="shared" si="50"/>
        <v>na</v>
      </c>
      <c r="AP132" s="1062"/>
    </row>
    <row r="133" spans="1:42" ht="13.9" customHeight="1" x14ac:dyDescent="0.25">
      <c r="A133" s="847">
        <f>Chem!A133</f>
        <v>131</v>
      </c>
      <c r="B133" s="865" t="str">
        <f>Chem!B133</f>
        <v>2-Nitrophenol</v>
      </c>
      <c r="C133" s="384" t="s">
        <v>232</v>
      </c>
      <c r="D133" s="384" t="s">
        <v>232</v>
      </c>
      <c r="E133" s="387" t="str">
        <f t="shared" si="61"/>
        <v>na</v>
      </c>
      <c r="F133" s="387" t="str">
        <f t="shared" si="62"/>
        <v>na</v>
      </c>
      <c r="G133" s="387" t="s">
        <v>232</v>
      </c>
      <c r="H133" s="387" t="s">
        <v>232</v>
      </c>
      <c r="I133" s="387" t="str">
        <f t="shared" si="60"/>
        <v>na</v>
      </c>
      <c r="J133" s="387" t="str">
        <f t="shared" ref="J133:J196" si="63">IF(ISNUMBER(G133),G133*J$1,IF(ISNUMBER(H133),H133,I133))</f>
        <v>na</v>
      </c>
      <c r="K133" s="400" t="s">
        <v>232</v>
      </c>
      <c r="L133" s="400" t="s">
        <v>232</v>
      </c>
      <c r="M133" s="400">
        <f t="shared" si="42"/>
        <v>0</v>
      </c>
      <c r="N133" s="271" t="s">
        <v>232</v>
      </c>
      <c r="O133" s="425" t="s">
        <v>232</v>
      </c>
      <c r="P133" s="1650">
        <v>0.5</v>
      </c>
      <c r="Q133" s="426" t="str">
        <f t="shared" si="54"/>
        <v>na</v>
      </c>
      <c r="R133" s="1666">
        <v>1</v>
      </c>
      <c r="S133" s="426" t="str">
        <f t="shared" si="55"/>
        <v>na</v>
      </c>
      <c r="T133" s="425" t="s">
        <v>232</v>
      </c>
      <c r="U133" s="426" t="str">
        <f t="shared" si="56"/>
        <v>na</v>
      </c>
      <c r="V133" s="1272" t="s">
        <v>232</v>
      </c>
      <c r="W133" s="1272" t="str">
        <f t="shared" si="57"/>
        <v>na</v>
      </c>
      <c r="X133" s="412" t="str">
        <f t="shared" si="58"/>
        <v>na</v>
      </c>
      <c r="Y133" s="1272" t="s">
        <v>232</v>
      </c>
      <c r="Z133" s="412" t="str">
        <f t="shared" si="59"/>
        <v>na</v>
      </c>
      <c r="AA133" s="412" t="s">
        <v>221</v>
      </c>
      <c r="AB133" s="439" t="s">
        <v>232</v>
      </c>
      <c r="AC133" s="1242" t="s">
        <v>232</v>
      </c>
      <c r="AD133" s="1257" t="s">
        <v>232</v>
      </c>
      <c r="AE133" s="1257">
        <v>0.1</v>
      </c>
      <c r="AF133" s="1292" t="s">
        <v>221</v>
      </c>
      <c r="AG133" s="535" t="s">
        <v>221</v>
      </c>
      <c r="AH133" s="449" t="s">
        <v>221</v>
      </c>
      <c r="AI133" s="449" t="s">
        <v>221</v>
      </c>
      <c r="AJ133" s="449" t="s">
        <v>221</v>
      </c>
      <c r="AK133" s="449" t="str">
        <f t="shared" si="49"/>
        <v>no</v>
      </c>
      <c r="AL133" s="221" t="s">
        <v>232</v>
      </c>
      <c r="AM133" s="406" t="s">
        <v>232</v>
      </c>
      <c r="AN133" s="1330" t="str">
        <f t="shared" si="50"/>
        <v>na</v>
      </c>
      <c r="AP133" s="1062"/>
    </row>
    <row r="134" spans="1:42" ht="13.9" customHeight="1" x14ac:dyDescent="0.25">
      <c r="A134" s="847">
        <f>Chem!A134</f>
        <v>132</v>
      </c>
      <c r="B134" s="865" t="str">
        <f>Chem!B134</f>
        <v>4-Nitrophenol</v>
      </c>
      <c r="C134" s="384" t="s">
        <v>232</v>
      </c>
      <c r="D134" s="384" t="s">
        <v>232</v>
      </c>
      <c r="E134" s="387" t="str">
        <f t="shared" si="61"/>
        <v>na</v>
      </c>
      <c r="F134" s="387" t="str">
        <f t="shared" si="62"/>
        <v>na</v>
      </c>
      <c r="G134" s="387" t="s">
        <v>232</v>
      </c>
      <c r="H134" s="387" t="s">
        <v>232</v>
      </c>
      <c r="I134" s="387" t="str">
        <f t="shared" si="60"/>
        <v>na</v>
      </c>
      <c r="J134" s="387" t="str">
        <f t="shared" si="63"/>
        <v>na</v>
      </c>
      <c r="K134" s="400" t="s">
        <v>232</v>
      </c>
      <c r="L134" s="400" t="s">
        <v>232</v>
      </c>
      <c r="M134" s="400">
        <f t="shared" si="42"/>
        <v>0</v>
      </c>
      <c r="N134" s="271" t="s">
        <v>232</v>
      </c>
      <c r="O134" s="425" t="s">
        <v>232</v>
      </c>
      <c r="P134" s="1650">
        <v>0.5</v>
      </c>
      <c r="Q134" s="426" t="str">
        <f t="shared" si="54"/>
        <v>na</v>
      </c>
      <c r="R134" s="1666">
        <v>1</v>
      </c>
      <c r="S134" s="426" t="str">
        <f t="shared" si="55"/>
        <v>na</v>
      </c>
      <c r="T134" s="425" t="s">
        <v>232</v>
      </c>
      <c r="U134" s="426" t="str">
        <f t="shared" si="56"/>
        <v>na</v>
      </c>
      <c r="V134" s="1272" t="s">
        <v>232</v>
      </c>
      <c r="W134" s="1272" t="str">
        <f t="shared" si="57"/>
        <v>na</v>
      </c>
      <c r="X134" s="412" t="str">
        <f t="shared" si="58"/>
        <v>na</v>
      </c>
      <c r="Y134" s="1272" t="s">
        <v>232</v>
      </c>
      <c r="Z134" s="412" t="str">
        <f t="shared" si="59"/>
        <v>na</v>
      </c>
      <c r="AA134" s="412" t="s">
        <v>221</v>
      </c>
      <c r="AB134" s="439" t="s">
        <v>232</v>
      </c>
      <c r="AC134" s="1242" t="s">
        <v>232</v>
      </c>
      <c r="AD134" s="1257" t="s">
        <v>232</v>
      </c>
      <c r="AE134" s="1257">
        <v>0.1</v>
      </c>
      <c r="AF134" s="1292" t="s">
        <v>221</v>
      </c>
      <c r="AG134" s="535" t="s">
        <v>221</v>
      </c>
      <c r="AH134" s="449" t="s">
        <v>221</v>
      </c>
      <c r="AI134" s="449" t="s">
        <v>221</v>
      </c>
      <c r="AJ134" s="449" t="s">
        <v>221</v>
      </c>
      <c r="AK134" s="449" t="str">
        <f t="shared" si="49"/>
        <v>no</v>
      </c>
      <c r="AL134" s="221" t="s">
        <v>232</v>
      </c>
      <c r="AM134" s="406" t="s">
        <v>232</v>
      </c>
      <c r="AN134" s="1330" t="str">
        <f t="shared" si="50"/>
        <v>na</v>
      </c>
      <c r="AP134" s="1062"/>
    </row>
    <row r="135" spans="1:42" ht="13.9" customHeight="1" x14ac:dyDescent="0.25">
      <c r="A135" s="847">
        <f>Chem!A135</f>
        <v>133</v>
      </c>
      <c r="B135" s="1838" t="str">
        <f>Chem!B135</f>
        <v>n-Nitrosodimethylamine</v>
      </c>
      <c r="C135" s="384">
        <v>22.8</v>
      </c>
      <c r="D135" s="384" t="s">
        <v>232</v>
      </c>
      <c r="E135" s="387">
        <f t="shared" si="61"/>
        <v>2.2800000000000001E-2</v>
      </c>
      <c r="F135" s="387">
        <f t="shared" si="62"/>
        <v>2.2800000000000001E-2</v>
      </c>
      <c r="G135" s="387" t="s">
        <v>232</v>
      </c>
      <c r="H135" s="387" t="s">
        <v>232</v>
      </c>
      <c r="I135" s="387">
        <f t="shared" si="60"/>
        <v>0.43320000000000003</v>
      </c>
      <c r="J135" s="387">
        <f t="shared" si="63"/>
        <v>0.43320000000000003</v>
      </c>
      <c r="K135" s="400">
        <v>3.65062517009509E-5</v>
      </c>
      <c r="L135" s="400">
        <v>7.4407195421095695E-5</v>
      </c>
      <c r="M135" s="400">
        <f t="shared" si="42"/>
        <v>3.65062517009509E-5</v>
      </c>
      <c r="N135" s="271">
        <v>2.5999999999999999E-2</v>
      </c>
      <c r="O135" s="425">
        <v>7.9999999999999996E-6</v>
      </c>
      <c r="P135" s="1650">
        <v>0.8</v>
      </c>
      <c r="Q135" s="426">
        <f t="shared" si="54"/>
        <v>6.3999999999999997E-6</v>
      </c>
      <c r="R135" s="1666">
        <v>1</v>
      </c>
      <c r="S135" s="426">
        <f t="shared" si="55"/>
        <v>7.9999999999999996E-6</v>
      </c>
      <c r="T135" s="425">
        <v>4.0000000000000003E-5</v>
      </c>
      <c r="U135" s="426">
        <f t="shared" si="56"/>
        <v>1.1428571428571429E-5</v>
      </c>
      <c r="V135" s="1272">
        <v>51</v>
      </c>
      <c r="W135" s="1272">
        <f t="shared" si="57"/>
        <v>63.75</v>
      </c>
      <c r="X135" s="412">
        <f t="shared" si="58"/>
        <v>51</v>
      </c>
      <c r="Y135" s="1272">
        <v>1.4E-2</v>
      </c>
      <c r="Z135" s="412">
        <f t="shared" si="59"/>
        <v>49</v>
      </c>
      <c r="AA135" s="412" t="s">
        <v>144</v>
      </c>
      <c r="AB135" s="439">
        <v>2</v>
      </c>
      <c r="AC135" s="1242">
        <v>0.03</v>
      </c>
      <c r="AD135" s="1257">
        <v>1</v>
      </c>
      <c r="AE135" s="1257">
        <v>0</v>
      </c>
      <c r="AF135" s="1292" t="s">
        <v>221</v>
      </c>
      <c r="AG135" s="535" t="s">
        <v>221</v>
      </c>
      <c r="AH135" s="449" t="s">
        <v>221</v>
      </c>
      <c r="AI135" s="449" t="s">
        <v>221</v>
      </c>
      <c r="AJ135" s="449" t="s">
        <v>221</v>
      </c>
      <c r="AK135" s="449" t="str">
        <f t="shared" si="49"/>
        <v>no</v>
      </c>
      <c r="AL135" s="221" t="s">
        <v>232</v>
      </c>
      <c r="AM135" s="406" t="s">
        <v>232</v>
      </c>
      <c r="AN135" s="1330" t="str">
        <f t="shared" si="50"/>
        <v>na</v>
      </c>
      <c r="AP135" s="1062"/>
    </row>
    <row r="136" spans="1:42" ht="13.9" customHeight="1" x14ac:dyDescent="0.25">
      <c r="A136" s="847">
        <f>Chem!A136</f>
        <v>134</v>
      </c>
      <c r="B136" s="865" t="str">
        <f>Chem!B136</f>
        <v>n-Nitrosodiphenylamine</v>
      </c>
      <c r="C136" s="384">
        <v>2630</v>
      </c>
      <c r="D136" s="384" t="s">
        <v>232</v>
      </c>
      <c r="E136" s="387">
        <f t="shared" si="61"/>
        <v>2.63</v>
      </c>
      <c r="F136" s="387">
        <f t="shared" si="62"/>
        <v>2.63</v>
      </c>
      <c r="G136" s="387" t="s">
        <v>232</v>
      </c>
      <c r="H136" s="387" t="s">
        <v>232</v>
      </c>
      <c r="I136" s="387">
        <f t="shared" si="60"/>
        <v>49.97</v>
      </c>
      <c r="J136" s="387">
        <f t="shared" si="63"/>
        <v>49.97</v>
      </c>
      <c r="K136" s="400" t="s">
        <v>232</v>
      </c>
      <c r="L136" s="400">
        <v>4.9468520032706501E-5</v>
      </c>
      <c r="M136" s="400">
        <f t="shared" si="42"/>
        <v>4.9468520032706501E-5</v>
      </c>
      <c r="N136" s="271">
        <v>136</v>
      </c>
      <c r="O136" s="425" t="s">
        <v>232</v>
      </c>
      <c r="P136" s="1650">
        <v>0.5</v>
      </c>
      <c r="Q136" s="426" t="str">
        <f t="shared" si="54"/>
        <v>na</v>
      </c>
      <c r="R136" s="1666">
        <v>1</v>
      </c>
      <c r="S136" s="426" t="str">
        <f t="shared" si="55"/>
        <v>na</v>
      </c>
      <c r="T136" s="425" t="s">
        <v>232</v>
      </c>
      <c r="U136" s="426" t="str">
        <f t="shared" si="56"/>
        <v>na</v>
      </c>
      <c r="V136" s="1272">
        <v>4.8999999999999998E-3</v>
      </c>
      <c r="W136" s="1272">
        <f t="shared" si="57"/>
        <v>9.7999999999999997E-3</v>
      </c>
      <c r="X136" s="412">
        <f t="shared" si="58"/>
        <v>4.8999999999999998E-3</v>
      </c>
      <c r="Y136" s="1272">
        <v>2.6000000000000005E-6</v>
      </c>
      <c r="Z136" s="412">
        <f t="shared" si="59"/>
        <v>9.1000000000000004E-3</v>
      </c>
      <c r="AA136" s="412" t="s">
        <v>221</v>
      </c>
      <c r="AB136" s="439">
        <v>1</v>
      </c>
      <c r="AC136" s="1242">
        <v>0.1</v>
      </c>
      <c r="AD136" s="1257">
        <v>1</v>
      </c>
      <c r="AE136" s="1257">
        <v>0.1</v>
      </c>
      <c r="AF136" s="1292" t="s">
        <v>221</v>
      </c>
      <c r="AG136" s="535" t="s">
        <v>221</v>
      </c>
      <c r="AH136" s="449" t="s">
        <v>221</v>
      </c>
      <c r="AI136" s="449" t="s">
        <v>221</v>
      </c>
      <c r="AJ136" s="449" t="s">
        <v>221</v>
      </c>
      <c r="AK136" s="449" t="str">
        <f t="shared" si="49"/>
        <v>no</v>
      </c>
      <c r="AL136" s="221" t="s">
        <v>232</v>
      </c>
      <c r="AM136" s="406" t="s">
        <v>232</v>
      </c>
      <c r="AN136" s="1330" t="str">
        <f t="shared" si="50"/>
        <v>na</v>
      </c>
      <c r="AP136" s="1062"/>
    </row>
    <row r="137" spans="1:42" ht="13.9" customHeight="1" x14ac:dyDescent="0.25">
      <c r="A137" s="847">
        <f>Chem!A137</f>
        <v>135</v>
      </c>
      <c r="B137" s="865" t="str">
        <f>Chem!B137</f>
        <v>n-Nitrosodi-n-propylamine</v>
      </c>
      <c r="C137" s="384">
        <v>275</v>
      </c>
      <c r="D137" s="384" t="s">
        <v>232</v>
      </c>
      <c r="E137" s="387">
        <f t="shared" si="61"/>
        <v>0.27500000000000002</v>
      </c>
      <c r="F137" s="387">
        <f t="shared" si="62"/>
        <v>0.27500000000000002</v>
      </c>
      <c r="G137" s="387" t="s">
        <v>232</v>
      </c>
      <c r="H137" s="387" t="s">
        <v>232</v>
      </c>
      <c r="I137" s="387">
        <f t="shared" si="60"/>
        <v>5.2249999999999996</v>
      </c>
      <c r="J137" s="387">
        <f t="shared" si="63"/>
        <v>5.2249999999999996</v>
      </c>
      <c r="K137" s="400" t="s">
        <v>232</v>
      </c>
      <c r="L137" s="400">
        <v>2.19950940310711E-4</v>
      </c>
      <c r="M137" s="400">
        <f t="shared" si="42"/>
        <v>2.19950940310711E-4</v>
      </c>
      <c r="N137" s="271">
        <v>1.1299999999999999</v>
      </c>
      <c r="O137" s="425" t="s">
        <v>232</v>
      </c>
      <c r="P137" s="1650">
        <v>0.5</v>
      </c>
      <c r="Q137" s="426" t="str">
        <f t="shared" si="54"/>
        <v>na</v>
      </c>
      <c r="R137" s="1666">
        <v>1</v>
      </c>
      <c r="S137" s="426" t="str">
        <f t="shared" si="55"/>
        <v>na</v>
      </c>
      <c r="T137" s="425" t="s">
        <v>232</v>
      </c>
      <c r="U137" s="426" t="str">
        <f t="shared" si="56"/>
        <v>na</v>
      </c>
      <c r="V137" s="1272">
        <v>7</v>
      </c>
      <c r="W137" s="1272">
        <f t="shared" si="57"/>
        <v>14</v>
      </c>
      <c r="X137" s="412">
        <f t="shared" si="58"/>
        <v>7</v>
      </c>
      <c r="Y137" s="1272">
        <v>2E-3</v>
      </c>
      <c r="Z137" s="412">
        <f t="shared" si="59"/>
        <v>7</v>
      </c>
      <c r="AA137" s="412" t="s">
        <v>221</v>
      </c>
      <c r="AB137" s="439">
        <v>1</v>
      </c>
      <c r="AC137" s="1242">
        <v>0.1</v>
      </c>
      <c r="AD137" s="1257">
        <v>1</v>
      </c>
      <c r="AE137" s="1257">
        <v>0.1</v>
      </c>
      <c r="AF137" s="1292" t="s">
        <v>221</v>
      </c>
      <c r="AG137" s="535" t="s">
        <v>221</v>
      </c>
      <c r="AH137" s="449" t="s">
        <v>221</v>
      </c>
      <c r="AI137" s="449" t="s">
        <v>221</v>
      </c>
      <c r="AJ137" s="449" t="s">
        <v>221</v>
      </c>
      <c r="AK137" s="449" t="str">
        <f t="shared" si="49"/>
        <v>no</v>
      </c>
      <c r="AL137" s="221" t="s">
        <v>232</v>
      </c>
      <c r="AM137" s="406" t="s">
        <v>232</v>
      </c>
      <c r="AN137" s="1330" t="str">
        <f t="shared" si="50"/>
        <v>na</v>
      </c>
      <c r="AP137" s="1062"/>
    </row>
    <row r="138" spans="1:42" ht="13.9" customHeight="1" x14ac:dyDescent="0.25">
      <c r="A138" s="847">
        <f>Chem!A138</f>
        <v>136</v>
      </c>
      <c r="B138" s="865" t="str">
        <f>Chem!B138</f>
        <v>Pentachlorophenol</v>
      </c>
      <c r="C138" s="45">
        <v>592</v>
      </c>
      <c r="D138" s="384" t="s">
        <v>232</v>
      </c>
      <c r="E138" s="387">
        <f t="shared" si="61"/>
        <v>0.59199999999999997</v>
      </c>
      <c r="F138" s="387">
        <f t="shared" si="62"/>
        <v>0.59199999999999997</v>
      </c>
      <c r="G138" s="387">
        <v>410</v>
      </c>
      <c r="H138" s="387" t="s">
        <v>232</v>
      </c>
      <c r="I138" s="387" t="s">
        <v>232</v>
      </c>
      <c r="J138" s="387">
        <f t="shared" si="63"/>
        <v>7.79</v>
      </c>
      <c r="K138" s="400" t="s">
        <v>232</v>
      </c>
      <c r="L138" s="400">
        <v>1.0016353229762901E-6</v>
      </c>
      <c r="M138" s="400">
        <f t="shared" si="42"/>
        <v>1.0016353229762901E-6</v>
      </c>
      <c r="N138" s="271">
        <v>11</v>
      </c>
      <c r="O138" s="425">
        <v>5.0000000000000001E-3</v>
      </c>
      <c r="P138" s="1650">
        <v>0.76</v>
      </c>
      <c r="Q138" s="426">
        <f t="shared" si="54"/>
        <v>3.8E-3</v>
      </c>
      <c r="R138" s="1666">
        <v>1</v>
      </c>
      <c r="S138" s="426">
        <f t="shared" si="55"/>
        <v>5.0000000000000001E-3</v>
      </c>
      <c r="T138" s="425" t="s">
        <v>232</v>
      </c>
      <c r="U138" s="426" t="str">
        <f t="shared" si="56"/>
        <v>na</v>
      </c>
      <c r="V138" s="1272">
        <v>0.4</v>
      </c>
      <c r="W138" s="1272">
        <f t="shared" si="57"/>
        <v>0.52631578947368418</v>
      </c>
      <c r="X138" s="412">
        <f t="shared" si="58"/>
        <v>0.4</v>
      </c>
      <c r="Y138" s="1272">
        <v>5.1000000000000011E-6</v>
      </c>
      <c r="Z138" s="412">
        <f t="shared" si="59"/>
        <v>1.7850000000000001E-2</v>
      </c>
      <c r="AA138" s="412" t="s">
        <v>221</v>
      </c>
      <c r="AB138" s="439">
        <v>1</v>
      </c>
      <c r="AC138" s="1242">
        <v>0.25</v>
      </c>
      <c r="AD138" s="1257">
        <v>1</v>
      </c>
      <c r="AE138" s="1257">
        <v>0.25</v>
      </c>
      <c r="AF138" s="1292" t="s">
        <v>221</v>
      </c>
      <c r="AG138" s="535" t="s">
        <v>221</v>
      </c>
      <c r="AH138" s="449" t="s">
        <v>144</v>
      </c>
      <c r="AI138" s="449" t="s">
        <v>144</v>
      </c>
      <c r="AJ138" s="449" t="s">
        <v>221</v>
      </c>
      <c r="AK138" s="449" t="s">
        <v>144</v>
      </c>
      <c r="AL138" s="221" t="s">
        <v>232</v>
      </c>
      <c r="AM138" s="406" t="s">
        <v>232</v>
      </c>
      <c r="AN138" s="1330" t="str">
        <f t="shared" si="50"/>
        <v>na</v>
      </c>
      <c r="AP138" s="1062"/>
    </row>
    <row r="139" spans="1:42" ht="13.9" customHeight="1" x14ac:dyDescent="0.25">
      <c r="A139" s="847">
        <f>Chem!A139</f>
        <v>137</v>
      </c>
      <c r="B139" s="865" t="str">
        <f>Chem!B139</f>
        <v>Phenol</v>
      </c>
      <c r="C139" s="384">
        <v>187</v>
      </c>
      <c r="D139" s="384" t="s">
        <v>232</v>
      </c>
      <c r="E139" s="387">
        <f t="shared" si="61"/>
        <v>0.187</v>
      </c>
      <c r="F139" s="387">
        <f t="shared" si="62"/>
        <v>0.187</v>
      </c>
      <c r="G139" s="387" t="s">
        <v>232</v>
      </c>
      <c r="H139" s="387" t="s">
        <v>232</v>
      </c>
      <c r="I139" s="387">
        <f>IF(C139="na","na",C139*J$1)</f>
        <v>3.5529999999999999</v>
      </c>
      <c r="J139" s="387">
        <f t="shared" si="63"/>
        <v>3.5529999999999999</v>
      </c>
      <c r="K139" s="400">
        <v>5.5304841955272155E-6</v>
      </c>
      <c r="L139" s="400">
        <v>1.3614063777596099E-5</v>
      </c>
      <c r="M139" s="400">
        <f t="shared" si="42"/>
        <v>5.5304841955272155E-6</v>
      </c>
      <c r="N139" s="271">
        <v>1.4</v>
      </c>
      <c r="O139" s="425">
        <v>0.3</v>
      </c>
      <c r="P139" s="1650">
        <v>0.5</v>
      </c>
      <c r="Q139" s="426">
        <f t="shared" si="54"/>
        <v>0.15</v>
      </c>
      <c r="R139" s="1666">
        <v>1</v>
      </c>
      <c r="S139" s="426">
        <f t="shared" si="55"/>
        <v>0.3</v>
      </c>
      <c r="T139" s="425">
        <v>0.19999999999999998</v>
      </c>
      <c r="U139" s="426">
        <f t="shared" si="56"/>
        <v>5.7142857142857134E-2</v>
      </c>
      <c r="V139" s="1272" t="s">
        <v>232</v>
      </c>
      <c r="W139" s="1272" t="str">
        <f t="shared" si="57"/>
        <v>na</v>
      </c>
      <c r="X139" s="412" t="str">
        <f t="shared" si="58"/>
        <v>na</v>
      </c>
      <c r="Y139" s="1272" t="s">
        <v>232</v>
      </c>
      <c r="Z139" s="412" t="str">
        <f t="shared" si="59"/>
        <v>na</v>
      </c>
      <c r="AA139" s="412" t="s">
        <v>221</v>
      </c>
      <c r="AB139" s="439">
        <v>1</v>
      </c>
      <c r="AC139" s="1242">
        <v>0.1</v>
      </c>
      <c r="AD139" s="1257">
        <v>1</v>
      </c>
      <c r="AE139" s="1257">
        <v>0.1</v>
      </c>
      <c r="AF139" s="1292" t="s">
        <v>221</v>
      </c>
      <c r="AG139" s="535" t="s">
        <v>221</v>
      </c>
      <c r="AH139" s="449" t="s">
        <v>221</v>
      </c>
      <c r="AI139" s="449" t="s">
        <v>221</v>
      </c>
      <c r="AJ139" s="449" t="s">
        <v>221</v>
      </c>
      <c r="AK139" s="449" t="str">
        <f t="shared" si="49"/>
        <v>no</v>
      </c>
      <c r="AL139" s="221" t="s">
        <v>232</v>
      </c>
      <c r="AM139" s="406" t="s">
        <v>232</v>
      </c>
      <c r="AN139" s="1330" t="str">
        <f t="shared" si="50"/>
        <v>na</v>
      </c>
      <c r="AP139" s="1062"/>
    </row>
    <row r="140" spans="1:42" ht="13.9" customHeight="1" x14ac:dyDescent="0.25">
      <c r="A140" s="847">
        <f>Chem!A140</f>
        <v>138</v>
      </c>
      <c r="B140" s="865" t="str">
        <f>Chem!B140</f>
        <v>Pyridine</v>
      </c>
      <c r="C140" s="384">
        <v>71.7</v>
      </c>
      <c r="D140" s="384" t="s">
        <v>232</v>
      </c>
      <c r="E140" s="387">
        <f t="shared" si="61"/>
        <v>7.17E-2</v>
      </c>
      <c r="F140" s="387">
        <f t="shared" si="62"/>
        <v>7.17E-2</v>
      </c>
      <c r="G140" s="387" t="s">
        <v>232</v>
      </c>
      <c r="H140" s="387" t="s">
        <v>232</v>
      </c>
      <c r="I140" s="387">
        <f>IF(C140="na","na",C140*J$1)</f>
        <v>1.3623000000000001</v>
      </c>
      <c r="J140" s="387">
        <f t="shared" si="63"/>
        <v>1.3623000000000001</v>
      </c>
      <c r="K140" s="400">
        <v>2.3857993230191337E-4</v>
      </c>
      <c r="L140" s="400">
        <v>4.4971381847914998E-4</v>
      </c>
      <c r="M140" s="400">
        <f t="shared" si="42"/>
        <v>2.3857993230191337E-4</v>
      </c>
      <c r="N140" s="271" t="s">
        <v>232</v>
      </c>
      <c r="O140" s="425">
        <v>1E-3</v>
      </c>
      <c r="P140" s="1650">
        <v>0.8</v>
      </c>
      <c r="Q140" s="426">
        <f t="shared" si="54"/>
        <v>8.0000000000000004E-4</v>
      </c>
      <c r="R140" s="1666">
        <v>1</v>
      </c>
      <c r="S140" s="426">
        <f t="shared" si="55"/>
        <v>1E-3</v>
      </c>
      <c r="T140" s="425" t="s">
        <v>232</v>
      </c>
      <c r="U140" s="426" t="str">
        <f t="shared" si="56"/>
        <v>na</v>
      </c>
      <c r="V140" s="1272" t="s">
        <v>232</v>
      </c>
      <c r="W140" s="1272" t="str">
        <f t="shared" si="57"/>
        <v>na</v>
      </c>
      <c r="X140" s="412" t="str">
        <f t="shared" si="58"/>
        <v>na</v>
      </c>
      <c r="Y140" s="1272" t="s">
        <v>232</v>
      </c>
      <c r="Z140" s="412" t="str">
        <f t="shared" si="59"/>
        <v>na</v>
      </c>
      <c r="AA140" s="412" t="s">
        <v>221</v>
      </c>
      <c r="AB140" s="439">
        <v>2</v>
      </c>
      <c r="AC140" s="1242">
        <v>0.03</v>
      </c>
      <c r="AD140" s="1257">
        <v>1</v>
      </c>
      <c r="AE140" s="1257">
        <v>0</v>
      </c>
      <c r="AF140" s="1292" t="s">
        <v>221</v>
      </c>
      <c r="AG140" s="535" t="s">
        <v>221</v>
      </c>
      <c r="AH140" s="449" t="s">
        <v>221</v>
      </c>
      <c r="AI140" s="449" t="s">
        <v>221</v>
      </c>
      <c r="AJ140" s="449" t="s">
        <v>221</v>
      </c>
      <c r="AK140" s="449" t="str">
        <f t="shared" si="49"/>
        <v>no</v>
      </c>
      <c r="AL140" s="221" t="s">
        <v>232</v>
      </c>
      <c r="AM140" s="406" t="s">
        <v>232</v>
      </c>
      <c r="AN140" s="1330" t="str">
        <f t="shared" si="50"/>
        <v>na</v>
      </c>
      <c r="AP140" s="1062"/>
    </row>
    <row r="141" spans="1:42" ht="13.9" customHeight="1" x14ac:dyDescent="0.25">
      <c r="A141" s="847">
        <f>Chem!A141</f>
        <v>139</v>
      </c>
      <c r="B141" s="865" t="str">
        <f>Chem!B141</f>
        <v>2,3,4,5-Tetrachlorophenol</v>
      </c>
      <c r="C141" s="45" t="s">
        <v>232</v>
      </c>
      <c r="D141" s="384" t="s">
        <v>232</v>
      </c>
      <c r="E141" s="387" t="str">
        <f t="shared" si="61"/>
        <v>na</v>
      </c>
      <c r="F141" s="387" t="str">
        <f t="shared" si="62"/>
        <v>na</v>
      </c>
      <c r="G141" s="387">
        <v>458</v>
      </c>
      <c r="H141" s="387" t="s">
        <v>232</v>
      </c>
      <c r="I141" s="387" t="str">
        <f>IF(C141="na","na",C141*J$1)</f>
        <v>na</v>
      </c>
      <c r="J141" s="387">
        <f t="shared" si="63"/>
        <v>8.702</v>
      </c>
      <c r="K141" s="400" t="s">
        <v>232</v>
      </c>
      <c r="L141" s="400" t="s">
        <v>232</v>
      </c>
      <c r="M141" s="400">
        <f t="shared" si="42"/>
        <v>0</v>
      </c>
      <c r="N141" s="271" t="s">
        <v>232</v>
      </c>
      <c r="O141" s="425" t="s">
        <v>232</v>
      </c>
      <c r="P141" s="1650">
        <v>0.5</v>
      </c>
      <c r="Q141" s="426" t="s">
        <v>232</v>
      </c>
      <c r="R141" s="1666">
        <v>1</v>
      </c>
      <c r="S141" s="426" t="str">
        <f t="shared" si="55"/>
        <v>na</v>
      </c>
      <c r="T141" s="425" t="s">
        <v>232</v>
      </c>
      <c r="U141" s="426" t="str">
        <f t="shared" si="56"/>
        <v>na</v>
      </c>
      <c r="V141" s="1272" t="s">
        <v>232</v>
      </c>
      <c r="W141" s="1272" t="str">
        <f t="shared" si="57"/>
        <v>na</v>
      </c>
      <c r="X141" s="412" t="str">
        <f t="shared" si="58"/>
        <v>na</v>
      </c>
      <c r="Y141" s="1272" t="s">
        <v>232</v>
      </c>
      <c r="Z141" s="412" t="str">
        <f t="shared" si="59"/>
        <v>na</v>
      </c>
      <c r="AA141" s="412" t="s">
        <v>221</v>
      </c>
      <c r="AB141" s="439" t="s">
        <v>232</v>
      </c>
      <c r="AC141" s="1242" t="s">
        <v>232</v>
      </c>
      <c r="AD141" s="1257" t="s">
        <v>232</v>
      </c>
      <c r="AE141" s="1257">
        <v>0.1</v>
      </c>
      <c r="AF141" s="1292" t="s">
        <v>221</v>
      </c>
      <c r="AG141" s="535" t="s">
        <v>221</v>
      </c>
      <c r="AH141" s="449" t="s">
        <v>221</v>
      </c>
      <c r="AI141" s="449" t="s">
        <v>221</v>
      </c>
      <c r="AJ141" s="449" t="s">
        <v>221</v>
      </c>
      <c r="AK141" s="449" t="str">
        <f t="shared" si="49"/>
        <v>no</v>
      </c>
      <c r="AL141" s="221" t="s">
        <v>232</v>
      </c>
      <c r="AM141" s="406" t="s">
        <v>232</v>
      </c>
      <c r="AN141" s="1330" t="str">
        <f t="shared" si="50"/>
        <v>na</v>
      </c>
      <c r="AP141" s="1062"/>
    </row>
    <row r="142" spans="1:42" ht="13.9" customHeight="1" x14ac:dyDescent="0.25">
      <c r="A142" s="847">
        <f>Chem!A142</f>
        <v>140</v>
      </c>
      <c r="B142" s="865" t="str">
        <f>Chem!B142</f>
        <v>2,3,4,6-Tetrachlorophenol</v>
      </c>
      <c r="C142" s="45">
        <v>280</v>
      </c>
      <c r="D142" s="384" t="s">
        <v>232</v>
      </c>
      <c r="E142" s="387">
        <f t="shared" si="61"/>
        <v>0.28000000000000003</v>
      </c>
      <c r="F142" s="387">
        <f t="shared" si="62"/>
        <v>0.28000000000000003</v>
      </c>
      <c r="G142" s="387">
        <v>105</v>
      </c>
      <c r="H142" s="387" t="s">
        <v>232</v>
      </c>
      <c r="I142" s="387" t="s">
        <v>232</v>
      </c>
      <c r="J142" s="387">
        <f t="shared" si="63"/>
        <v>1.9949999999999999</v>
      </c>
      <c r="K142" s="400" t="s">
        <v>232</v>
      </c>
      <c r="L142" s="400">
        <v>3.6140637775960798E-4</v>
      </c>
      <c r="M142" s="400">
        <f t="shared" si="42"/>
        <v>3.6140637775960798E-4</v>
      </c>
      <c r="N142" s="271" t="s">
        <v>232</v>
      </c>
      <c r="O142" s="425">
        <v>0.03</v>
      </c>
      <c r="P142" s="1650">
        <v>0.5</v>
      </c>
      <c r="Q142" s="426">
        <f>IF(O142="na","na",O142*P142)</f>
        <v>1.4999999999999999E-2</v>
      </c>
      <c r="R142" s="1666">
        <v>1</v>
      </c>
      <c r="S142" s="426">
        <f t="shared" si="55"/>
        <v>0.03</v>
      </c>
      <c r="T142" s="425" t="s">
        <v>232</v>
      </c>
      <c r="U142" s="426" t="str">
        <f t="shared" si="56"/>
        <v>na</v>
      </c>
      <c r="V142" s="1272" t="s">
        <v>232</v>
      </c>
      <c r="W142" s="1272" t="str">
        <f t="shared" si="57"/>
        <v>na</v>
      </c>
      <c r="X142" s="412" t="str">
        <f t="shared" si="58"/>
        <v>na</v>
      </c>
      <c r="Y142" s="1272" t="s">
        <v>232</v>
      </c>
      <c r="Z142" s="412" t="str">
        <f t="shared" si="59"/>
        <v>na</v>
      </c>
      <c r="AA142" s="412" t="s">
        <v>221</v>
      </c>
      <c r="AB142" s="439">
        <v>1</v>
      </c>
      <c r="AC142" s="1242">
        <v>0.1</v>
      </c>
      <c r="AD142" s="1257">
        <v>1</v>
      </c>
      <c r="AE142" s="1257">
        <v>0.1</v>
      </c>
      <c r="AF142" s="1292" t="s">
        <v>221</v>
      </c>
      <c r="AG142" s="535" t="s">
        <v>221</v>
      </c>
      <c r="AH142" s="449" t="s">
        <v>221</v>
      </c>
      <c r="AI142" s="449" t="s">
        <v>221</v>
      </c>
      <c r="AJ142" s="449" t="s">
        <v>221</v>
      </c>
      <c r="AK142" s="449" t="str">
        <f t="shared" si="49"/>
        <v>no</v>
      </c>
      <c r="AL142" s="221" t="s">
        <v>232</v>
      </c>
      <c r="AM142" s="406" t="s">
        <v>232</v>
      </c>
      <c r="AN142" s="1330" t="str">
        <f t="shared" si="50"/>
        <v>na</v>
      </c>
      <c r="AP142" s="1062"/>
    </row>
    <row r="143" spans="1:42" ht="13.9" customHeight="1" x14ac:dyDescent="0.25">
      <c r="A143" s="847">
        <f>Chem!A143</f>
        <v>141</v>
      </c>
      <c r="B143" s="865" t="str">
        <f>Chem!B143</f>
        <v>1,2,4-Trichlorobenzene</v>
      </c>
      <c r="C143" s="384">
        <v>1660</v>
      </c>
      <c r="D143" s="384" t="s">
        <v>232</v>
      </c>
      <c r="E143" s="387">
        <f t="shared" si="61"/>
        <v>1.6600000000000001</v>
      </c>
      <c r="F143" s="387">
        <f t="shared" si="62"/>
        <v>1.6600000000000001</v>
      </c>
      <c r="G143" s="387" t="s">
        <v>232</v>
      </c>
      <c r="H143" s="387" t="s">
        <v>232</v>
      </c>
      <c r="I143" s="387">
        <f>IF(C143="na","na",C143*J$1)</f>
        <v>31.54</v>
      </c>
      <c r="J143" s="387">
        <f t="shared" si="63"/>
        <v>31.54</v>
      </c>
      <c r="K143" s="400">
        <v>2.3727692638739032E-2</v>
      </c>
      <c r="L143" s="400">
        <v>5.80539656582175E-2</v>
      </c>
      <c r="M143" s="400">
        <f t="shared" ref="M143:M145" si="64">IF(ISNUMBER(K143),K143,IF(ISNUMBER(L143),L143,0))</f>
        <v>2.3727692638739032E-2</v>
      </c>
      <c r="N143" s="271">
        <v>114</v>
      </c>
      <c r="O143" s="425">
        <v>0.01</v>
      </c>
      <c r="P143" s="1650">
        <v>0.5</v>
      </c>
      <c r="Q143" s="426">
        <f>IF(O143="na","na",O143*P143)</f>
        <v>5.0000000000000001E-3</v>
      </c>
      <c r="R143" s="1666">
        <v>1</v>
      </c>
      <c r="S143" s="426">
        <f t="shared" ref="S143:S145" si="65">IF(O143="na","na",O143*R143)</f>
        <v>0.01</v>
      </c>
      <c r="T143" s="425">
        <v>2E-3</v>
      </c>
      <c r="U143" s="426">
        <f t="shared" ref="U143:U145" si="66">IF(ISNUMBER(T143),T143*20/70,"na")</f>
        <v>5.7142857142857147E-4</v>
      </c>
      <c r="V143" s="1272">
        <v>2.9000000000000001E-2</v>
      </c>
      <c r="W143" s="1272">
        <f t="shared" ref="W143:W145" si="67">IF(V143="na","na",V143/P143)</f>
        <v>5.8000000000000003E-2</v>
      </c>
      <c r="X143" s="412">
        <f t="shared" si="58"/>
        <v>2.9000000000000001E-2</v>
      </c>
      <c r="Y143" s="1272" t="s">
        <v>232</v>
      </c>
      <c r="Z143" s="412" t="str">
        <f t="shared" ref="Z143:Z145" si="68">IF(ISNUMBER(Y143),Y143*70*1000/20,"na")</f>
        <v>na</v>
      </c>
      <c r="AA143" s="412" t="s">
        <v>221</v>
      </c>
      <c r="AB143" s="439">
        <v>2</v>
      </c>
      <c r="AC143" s="1242">
        <v>0.03</v>
      </c>
      <c r="AD143" s="1257">
        <v>1</v>
      </c>
      <c r="AE143" s="1257">
        <v>0</v>
      </c>
      <c r="AF143" s="1292" t="s">
        <v>144</v>
      </c>
      <c r="AG143" s="535" t="s">
        <v>221</v>
      </c>
      <c r="AH143" s="449" t="s">
        <v>221</v>
      </c>
      <c r="AI143" s="449" t="s">
        <v>221</v>
      </c>
      <c r="AJ143" s="449" t="s">
        <v>221</v>
      </c>
      <c r="AK143" s="449" t="str">
        <f t="shared" ref="AK143:AK145" si="69">IF(AND(OR(AG143="YES",AH143="YES"),OR(AI143="YES",AJ143="YES")),"YES","no")</f>
        <v>no</v>
      </c>
      <c r="AL143" s="221" t="s">
        <v>232</v>
      </c>
      <c r="AM143" s="406" t="s">
        <v>232</v>
      </c>
      <c r="AN143" s="1330" t="str">
        <f t="shared" ref="AN143:AN145" si="70">AM143</f>
        <v>na</v>
      </c>
      <c r="AP143" s="1062"/>
    </row>
    <row r="144" spans="1:42" ht="13.9" customHeight="1" x14ac:dyDescent="0.25">
      <c r="A144" s="847">
        <f>Chem!A144</f>
        <v>142</v>
      </c>
      <c r="B144" s="865" t="str">
        <f>Chem!B144</f>
        <v>2,4,5-Trichlorophenol</v>
      </c>
      <c r="C144" s="45">
        <v>1597</v>
      </c>
      <c r="D144" s="384" t="s">
        <v>232</v>
      </c>
      <c r="E144" s="387">
        <f t="shared" si="61"/>
        <v>1.597</v>
      </c>
      <c r="F144" s="387">
        <f t="shared" si="62"/>
        <v>1.597</v>
      </c>
      <c r="G144" s="387">
        <v>298</v>
      </c>
      <c r="H144" s="387" t="s">
        <v>232</v>
      </c>
      <c r="I144" s="387" t="s">
        <v>232</v>
      </c>
      <c r="J144" s="387">
        <f t="shared" si="63"/>
        <v>5.6619999999999999</v>
      </c>
      <c r="K144" s="400">
        <v>2.568277245914184E-5</v>
      </c>
      <c r="L144" s="400">
        <v>6.6230580539656598E-5</v>
      </c>
      <c r="M144" s="400">
        <f t="shared" si="64"/>
        <v>2.568277245914184E-5</v>
      </c>
      <c r="N144" s="271" t="s">
        <v>232</v>
      </c>
      <c r="O144" s="425">
        <v>0.1</v>
      </c>
      <c r="P144" s="1650">
        <v>0.5</v>
      </c>
      <c r="Q144" s="426">
        <f>IF(O144="na","na",O144*P144)</f>
        <v>0.05</v>
      </c>
      <c r="R144" s="1666">
        <v>1</v>
      </c>
      <c r="S144" s="426">
        <f t="shared" si="65"/>
        <v>0.1</v>
      </c>
      <c r="T144" s="425" t="s">
        <v>232</v>
      </c>
      <c r="U144" s="426" t="str">
        <f t="shared" si="66"/>
        <v>na</v>
      </c>
      <c r="V144" s="1272" t="s">
        <v>232</v>
      </c>
      <c r="W144" s="1272" t="str">
        <f t="shared" si="67"/>
        <v>na</v>
      </c>
      <c r="X144" s="412" t="str">
        <f t="shared" si="58"/>
        <v>na</v>
      </c>
      <c r="Y144" s="1272" t="s">
        <v>232</v>
      </c>
      <c r="Z144" s="412" t="str">
        <f t="shared" si="68"/>
        <v>na</v>
      </c>
      <c r="AA144" s="412" t="s">
        <v>221</v>
      </c>
      <c r="AB144" s="439">
        <v>1</v>
      </c>
      <c r="AC144" s="1242">
        <v>0.1</v>
      </c>
      <c r="AD144" s="1257">
        <v>1</v>
      </c>
      <c r="AE144" s="1257">
        <v>0.1</v>
      </c>
      <c r="AF144" s="1292" t="s">
        <v>221</v>
      </c>
      <c r="AG144" s="535" t="s">
        <v>221</v>
      </c>
      <c r="AH144" s="449" t="s">
        <v>221</v>
      </c>
      <c r="AI144" s="449" t="s">
        <v>221</v>
      </c>
      <c r="AJ144" s="449" t="s">
        <v>221</v>
      </c>
      <c r="AK144" s="449" t="str">
        <f t="shared" si="69"/>
        <v>no</v>
      </c>
      <c r="AL144" s="221" t="s">
        <v>232</v>
      </c>
      <c r="AM144" s="406" t="s">
        <v>232</v>
      </c>
      <c r="AN144" s="1330" t="str">
        <f t="shared" si="70"/>
        <v>na</v>
      </c>
      <c r="AP144" s="1062"/>
    </row>
    <row r="145" spans="1:44" s="144" customFormat="1" ht="13.9" customHeight="1" x14ac:dyDescent="0.25">
      <c r="A145" s="842">
        <f>Chem!A145</f>
        <v>143</v>
      </c>
      <c r="B145" s="870" t="str">
        <f>Chem!B145</f>
        <v>2,4,6-Trichlorophenol</v>
      </c>
      <c r="C145" s="47">
        <v>381</v>
      </c>
      <c r="D145" s="392" t="s">
        <v>232</v>
      </c>
      <c r="E145" s="387">
        <f t="shared" si="61"/>
        <v>0.38100000000000001</v>
      </c>
      <c r="F145" s="389">
        <f t="shared" si="62"/>
        <v>0.38100000000000001</v>
      </c>
      <c r="G145" s="389">
        <v>131</v>
      </c>
      <c r="H145" s="389" t="s">
        <v>232</v>
      </c>
      <c r="I145" s="389" t="s">
        <v>232</v>
      </c>
      <c r="J145" s="389">
        <f t="shared" si="63"/>
        <v>2.4889999999999999</v>
      </c>
      <c r="K145" s="404">
        <v>4.1322772775944718E-5</v>
      </c>
      <c r="L145" s="404">
        <v>1.06295993458708E-4</v>
      </c>
      <c r="M145" s="404">
        <f t="shared" si="64"/>
        <v>4.1322772775944718E-5</v>
      </c>
      <c r="N145" s="272">
        <v>150</v>
      </c>
      <c r="O145" s="427">
        <v>1E-3</v>
      </c>
      <c r="P145" s="1654">
        <v>0.5</v>
      </c>
      <c r="Q145" s="428">
        <f>IF(O145="na","na",O145*P145)</f>
        <v>5.0000000000000001E-4</v>
      </c>
      <c r="R145" s="1667">
        <v>1</v>
      </c>
      <c r="S145" s="428">
        <f t="shared" si="65"/>
        <v>1E-3</v>
      </c>
      <c r="T145" s="427" t="s">
        <v>232</v>
      </c>
      <c r="U145" s="551" t="str">
        <f t="shared" si="66"/>
        <v>na</v>
      </c>
      <c r="V145" s="1275">
        <v>1.0999999999999999E-2</v>
      </c>
      <c r="W145" s="1275">
        <f t="shared" si="67"/>
        <v>2.1999999999999999E-2</v>
      </c>
      <c r="X145" s="417">
        <f t="shared" si="58"/>
        <v>1.0999999999999999E-2</v>
      </c>
      <c r="Y145" s="1275">
        <v>3.1000000000000004E-6</v>
      </c>
      <c r="Z145" s="413">
        <f t="shared" si="68"/>
        <v>1.0850000000000002E-2</v>
      </c>
      <c r="AA145" s="413" t="s">
        <v>221</v>
      </c>
      <c r="AB145" s="440">
        <v>1</v>
      </c>
      <c r="AC145" s="1250">
        <v>0.1</v>
      </c>
      <c r="AD145" s="1261">
        <v>1</v>
      </c>
      <c r="AE145" s="1261">
        <v>0.1</v>
      </c>
      <c r="AF145" s="1293" t="s">
        <v>221</v>
      </c>
      <c r="AG145" s="530" t="s">
        <v>221</v>
      </c>
      <c r="AH145" s="451" t="s">
        <v>221</v>
      </c>
      <c r="AI145" s="451" t="s">
        <v>221</v>
      </c>
      <c r="AJ145" s="451" t="s">
        <v>221</v>
      </c>
      <c r="AK145" s="449" t="str">
        <f t="shared" si="69"/>
        <v>no</v>
      </c>
      <c r="AL145" s="257" t="s">
        <v>232</v>
      </c>
      <c r="AM145" s="543" t="s">
        <v>232</v>
      </c>
      <c r="AN145" s="545" t="str">
        <f t="shared" si="70"/>
        <v>na</v>
      </c>
      <c r="AP145" s="1062"/>
      <c r="AR145" s="2238"/>
    </row>
    <row r="146" spans="1:44" s="373" customFormat="1" ht="13.9" customHeight="1" x14ac:dyDescent="0.25">
      <c r="A146" s="1197">
        <f>Chem!A146</f>
        <v>144</v>
      </c>
      <c r="B146" s="850" t="str">
        <f>Chem!B146</f>
        <v>Volatile Organic Compounds</v>
      </c>
      <c r="C146" s="259"/>
      <c r="D146" s="259"/>
      <c r="E146" s="259">
        <f t="shared" si="61"/>
        <v>0</v>
      </c>
      <c r="F146" s="259">
        <f t="shared" si="62"/>
        <v>0</v>
      </c>
      <c r="G146" s="259" t="s">
        <v>232</v>
      </c>
      <c r="H146" s="259"/>
      <c r="I146" s="259">
        <f t="shared" ref="I146:I177" si="71">IF(C146="na","na",C146*J$1)</f>
        <v>0</v>
      </c>
      <c r="J146" s="259">
        <f t="shared" si="63"/>
        <v>0</v>
      </c>
      <c r="K146" s="259"/>
      <c r="L146" s="259"/>
      <c r="M146" s="259"/>
      <c r="N146" s="259"/>
      <c r="O146" s="259"/>
      <c r="P146" s="2342"/>
      <c r="Q146" s="2353"/>
      <c r="R146" s="2354"/>
      <c r="S146" s="2353"/>
      <c r="T146" s="2353"/>
      <c r="U146" s="2353"/>
      <c r="V146" s="2353"/>
      <c r="W146" s="2520"/>
      <c r="X146" s="2353"/>
      <c r="Y146" s="2353"/>
      <c r="Z146" s="2353"/>
      <c r="AA146" s="2353"/>
      <c r="AB146" s="2353"/>
      <c r="AC146" s="2353"/>
      <c r="AD146" s="2353"/>
      <c r="AE146" s="2355"/>
      <c r="AF146" s="2345"/>
      <c r="AG146" s="259"/>
      <c r="AH146" s="259"/>
      <c r="AI146" s="259"/>
      <c r="AJ146" s="259"/>
      <c r="AK146" s="259"/>
      <c r="AL146" s="1495"/>
      <c r="AM146" s="1495"/>
      <c r="AN146" s="2346"/>
      <c r="AP146" s="1063"/>
      <c r="AR146" s="839"/>
    </row>
    <row r="147" spans="1:44" ht="13.9" customHeight="1" x14ac:dyDescent="0.25">
      <c r="A147" s="846">
        <f>Chem!A147</f>
        <v>145</v>
      </c>
      <c r="B147" s="864" t="str">
        <f>Chem!B147</f>
        <v>Acetone</v>
      </c>
      <c r="C147" s="387">
        <v>2.36</v>
      </c>
      <c r="D147" s="387" t="s">
        <v>232</v>
      </c>
      <c r="E147" s="387">
        <f t="shared" si="61"/>
        <v>2.3600000000000001E-3</v>
      </c>
      <c r="F147" s="387">
        <f t="shared" si="62"/>
        <v>2.3600000000000001E-3</v>
      </c>
      <c r="G147" s="387" t="s">
        <v>232</v>
      </c>
      <c r="H147" s="387" t="s">
        <v>232</v>
      </c>
      <c r="I147" s="387">
        <f t="shared" si="71"/>
        <v>4.4839999999999998E-2</v>
      </c>
      <c r="J147" s="387">
        <f t="shared" si="63"/>
        <v>4.4839999999999998E-2</v>
      </c>
      <c r="K147" s="403">
        <v>8.7517628842301732E-4</v>
      </c>
      <c r="L147" s="403">
        <v>1.4309076042518399E-3</v>
      </c>
      <c r="M147" s="403">
        <f t="shared" ref="M147:M211" si="72">IF(ISNUMBER(K147),K147,IF(ISNUMBER(L147),L147,0))</f>
        <v>8.7517628842301732E-4</v>
      </c>
      <c r="N147" s="270" t="s">
        <v>232</v>
      </c>
      <c r="O147" s="432">
        <v>0.9</v>
      </c>
      <c r="P147" s="1649">
        <v>0.8</v>
      </c>
      <c r="Q147" s="433">
        <f t="shared" ref="Q147:Q178" si="73">IF(O147="na","na",O147*P147)</f>
        <v>0.72000000000000008</v>
      </c>
      <c r="R147" s="1665">
        <v>1</v>
      </c>
      <c r="S147" s="433">
        <f t="shared" ref="S147:S178" si="74">IF(O147="na","na",O147*R147)</f>
        <v>0.9</v>
      </c>
      <c r="T147" s="432" t="s">
        <v>232</v>
      </c>
      <c r="U147" s="433" t="str">
        <f t="shared" ref="U147:U178" si="75">IF(ISNUMBER(T147),T147*20/70,"na")</f>
        <v>na</v>
      </c>
      <c r="V147" s="1274" t="s">
        <v>232</v>
      </c>
      <c r="W147" s="1274" t="str">
        <f t="shared" ref="W147:W178" si="76">IF(V147="na","na",V147/P147)</f>
        <v>na</v>
      </c>
      <c r="X147" s="415" t="str">
        <f t="shared" ref="X147:X178" si="77">IF(V147="na","na",V147/R147)</f>
        <v>na</v>
      </c>
      <c r="Y147" s="1274" t="s">
        <v>232</v>
      </c>
      <c r="Z147" s="416" t="str">
        <f t="shared" ref="Z147:Z178" si="78">IF(ISNUMBER(Y147),Y147*70*1000/20,"na")</f>
        <v>na</v>
      </c>
      <c r="AA147" s="416" t="s">
        <v>221</v>
      </c>
      <c r="AB147" s="442">
        <v>2</v>
      </c>
      <c r="AC147" s="1573">
        <v>5.0000000000000001E-4</v>
      </c>
      <c r="AD147" s="1259">
        <v>1</v>
      </c>
      <c r="AE147" s="1259">
        <v>0</v>
      </c>
      <c r="AF147" s="1291" t="s">
        <v>221</v>
      </c>
      <c r="AG147" s="538" t="s">
        <v>221</v>
      </c>
      <c r="AH147" s="452" t="s">
        <v>221</v>
      </c>
      <c r="AI147" s="452" t="s">
        <v>221</v>
      </c>
      <c r="AJ147" s="452" t="s">
        <v>221</v>
      </c>
      <c r="AK147" s="449" t="str">
        <f t="shared" ref="AK147:AK210" si="79">IF(AND(OR(AG147="YES",AH147="YES"),OR(AI147="YES",AJ147="YES")),"YES","no")</f>
        <v>no</v>
      </c>
      <c r="AL147" s="253" t="s">
        <v>232</v>
      </c>
      <c r="AM147" s="405" t="s">
        <v>232</v>
      </c>
      <c r="AN147" s="1152" t="str">
        <f t="shared" ref="AN147:AN210" si="80">AM147</f>
        <v>na</v>
      </c>
      <c r="AP147" s="1062"/>
    </row>
    <row r="148" spans="1:44" ht="13.9" customHeight="1" x14ac:dyDescent="0.25">
      <c r="A148" s="846">
        <f>Chem!A148</f>
        <v>146</v>
      </c>
      <c r="B148" s="864" t="str">
        <f>Chem!B148</f>
        <v>Acetaldehyde</v>
      </c>
      <c r="C148" s="387">
        <v>1</v>
      </c>
      <c r="D148" s="387" t="s">
        <v>232</v>
      </c>
      <c r="E148" s="387">
        <f t="shared" si="61"/>
        <v>1E-3</v>
      </c>
      <c r="F148" s="387">
        <f t="shared" si="62"/>
        <v>1E-3</v>
      </c>
      <c r="G148" s="387" t="s">
        <v>232</v>
      </c>
      <c r="H148" s="387" t="s">
        <v>232</v>
      </c>
      <c r="I148" s="387">
        <f t="shared" si="71"/>
        <v>1.9E-2</v>
      </c>
      <c r="J148" s="387">
        <f t="shared" si="63"/>
        <v>1.9E-2</v>
      </c>
      <c r="K148" s="403">
        <v>1.8253818054003727E-3</v>
      </c>
      <c r="L148" s="403">
        <v>2.7269010629599301E-3</v>
      </c>
      <c r="M148" s="403">
        <f t="shared" si="72"/>
        <v>1.8253818054003727E-3</v>
      </c>
      <c r="N148" s="270" t="s">
        <v>232</v>
      </c>
      <c r="O148" s="432" t="s">
        <v>232</v>
      </c>
      <c r="P148" s="1649">
        <v>0.8</v>
      </c>
      <c r="Q148" s="433" t="str">
        <f t="shared" si="73"/>
        <v>na</v>
      </c>
      <c r="R148" s="1665">
        <v>1</v>
      </c>
      <c r="S148" s="433" t="str">
        <f t="shared" si="74"/>
        <v>na</v>
      </c>
      <c r="T148" s="432">
        <v>8.9999999999999993E-3</v>
      </c>
      <c r="U148" s="433">
        <f t="shared" si="75"/>
        <v>2.5714285714285713E-3</v>
      </c>
      <c r="V148" s="1274" t="s">
        <v>232</v>
      </c>
      <c r="W148" s="1274" t="str">
        <f t="shared" si="76"/>
        <v>na</v>
      </c>
      <c r="X148" s="415" t="str">
        <f t="shared" si="77"/>
        <v>na</v>
      </c>
      <c r="Y148" s="1274">
        <v>2.2000000000000001E-6</v>
      </c>
      <c r="Z148" s="415">
        <f t="shared" si="78"/>
        <v>7.7000000000000002E-3</v>
      </c>
      <c r="AA148" s="415" t="s">
        <v>221</v>
      </c>
      <c r="AB148" s="443">
        <v>2</v>
      </c>
      <c r="AC148" s="1573">
        <v>5.0000000000000001E-4</v>
      </c>
      <c r="AD148" s="1259">
        <v>1</v>
      </c>
      <c r="AE148" s="1259">
        <v>0</v>
      </c>
      <c r="AF148" s="1295" t="s">
        <v>144</v>
      </c>
      <c r="AG148" s="538" t="s">
        <v>221</v>
      </c>
      <c r="AH148" s="452" t="s">
        <v>221</v>
      </c>
      <c r="AI148" s="452" t="s">
        <v>221</v>
      </c>
      <c r="AJ148" s="452" t="s">
        <v>221</v>
      </c>
      <c r="AK148" s="449" t="str">
        <f t="shared" si="79"/>
        <v>no</v>
      </c>
      <c r="AL148" s="221" t="s">
        <v>232</v>
      </c>
      <c r="AM148" s="406" t="s">
        <v>232</v>
      </c>
      <c r="AN148" s="1330" t="str">
        <f t="shared" si="80"/>
        <v>na</v>
      </c>
      <c r="AP148" s="1062"/>
    </row>
    <row r="149" spans="1:44" ht="13.9" customHeight="1" x14ac:dyDescent="0.25">
      <c r="A149" s="846">
        <f>Chem!A149</f>
        <v>147</v>
      </c>
      <c r="B149" s="864" t="str">
        <f>Chem!B149</f>
        <v>Acrolein</v>
      </c>
      <c r="C149" s="387">
        <v>1</v>
      </c>
      <c r="D149" s="387" t="s">
        <v>232</v>
      </c>
      <c r="E149" s="387">
        <f t="shared" si="61"/>
        <v>1E-3</v>
      </c>
      <c r="F149" s="387">
        <f t="shared" si="62"/>
        <v>1E-3</v>
      </c>
      <c r="G149" s="387" t="s">
        <v>232</v>
      </c>
      <c r="H149" s="387" t="s">
        <v>232</v>
      </c>
      <c r="I149" s="387">
        <f t="shared" si="71"/>
        <v>1.9E-2</v>
      </c>
      <c r="J149" s="387">
        <f t="shared" si="63"/>
        <v>1.9E-2</v>
      </c>
      <c r="K149" s="403">
        <v>3.1063433625780931E-3</v>
      </c>
      <c r="L149" s="403">
        <v>4.9877350776778399E-3</v>
      </c>
      <c r="M149" s="403">
        <f t="shared" si="72"/>
        <v>3.1063433625780931E-3</v>
      </c>
      <c r="N149" s="270" t="s">
        <v>232</v>
      </c>
      <c r="O149" s="432">
        <v>5.0000000000000001E-4</v>
      </c>
      <c r="P149" s="1649">
        <v>0.8</v>
      </c>
      <c r="Q149" s="433">
        <f t="shared" si="73"/>
        <v>4.0000000000000002E-4</v>
      </c>
      <c r="R149" s="1665">
        <v>1</v>
      </c>
      <c r="S149" s="433">
        <f t="shared" si="74"/>
        <v>5.0000000000000001E-4</v>
      </c>
      <c r="T149" s="432">
        <v>2.0000000000000002E-5</v>
      </c>
      <c r="U149" s="433">
        <f t="shared" si="75"/>
        <v>5.7142857142857145E-6</v>
      </c>
      <c r="V149" s="1274" t="s">
        <v>232</v>
      </c>
      <c r="W149" s="1274" t="str">
        <f t="shared" si="76"/>
        <v>na</v>
      </c>
      <c r="X149" s="415" t="str">
        <f t="shared" si="77"/>
        <v>na</v>
      </c>
      <c r="Y149" s="1274" t="s">
        <v>232</v>
      </c>
      <c r="Z149" s="415" t="str">
        <f t="shared" si="78"/>
        <v>na</v>
      </c>
      <c r="AA149" s="415" t="s">
        <v>221</v>
      </c>
      <c r="AB149" s="443">
        <v>2</v>
      </c>
      <c r="AC149" s="1573">
        <v>5.0000000000000001E-4</v>
      </c>
      <c r="AD149" s="1259">
        <v>1</v>
      </c>
      <c r="AE149" s="1259">
        <v>0</v>
      </c>
      <c r="AF149" s="1295" t="s">
        <v>144</v>
      </c>
      <c r="AG149" s="538" t="s">
        <v>221</v>
      </c>
      <c r="AH149" s="452" t="s">
        <v>221</v>
      </c>
      <c r="AI149" s="452" t="s">
        <v>221</v>
      </c>
      <c r="AJ149" s="452" t="s">
        <v>221</v>
      </c>
      <c r="AK149" s="449" t="str">
        <f t="shared" si="79"/>
        <v>no</v>
      </c>
      <c r="AL149" s="221" t="s">
        <v>232</v>
      </c>
      <c r="AM149" s="406" t="s">
        <v>232</v>
      </c>
      <c r="AN149" s="1330" t="str">
        <f t="shared" si="80"/>
        <v>na</v>
      </c>
      <c r="AP149" s="1062"/>
    </row>
    <row r="150" spans="1:44" s="144" customFormat="1" ht="13.9" customHeight="1" x14ac:dyDescent="0.25">
      <c r="A150" s="846">
        <f>Chem!A150</f>
        <v>148</v>
      </c>
      <c r="B150" s="865" t="str">
        <f>Chem!B150</f>
        <v>Acrylonitrile</v>
      </c>
      <c r="C150" s="384">
        <v>8.51</v>
      </c>
      <c r="D150" s="384" t="s">
        <v>232</v>
      </c>
      <c r="E150" s="387">
        <f t="shared" si="61"/>
        <v>8.5100000000000002E-3</v>
      </c>
      <c r="F150" s="387">
        <f t="shared" si="62"/>
        <v>8.5100000000000002E-3</v>
      </c>
      <c r="G150" s="387" t="s">
        <v>232</v>
      </c>
      <c r="H150" s="387" t="s">
        <v>232</v>
      </c>
      <c r="I150" s="387">
        <f t="shared" si="71"/>
        <v>0.16169</v>
      </c>
      <c r="J150" s="387">
        <f t="shared" si="63"/>
        <v>0.16169</v>
      </c>
      <c r="K150" s="400">
        <v>3.1817822247492489E-3</v>
      </c>
      <c r="L150" s="400">
        <v>5.6418642681929703E-3</v>
      </c>
      <c r="M150" s="400">
        <f t="shared" si="72"/>
        <v>3.1817822247492489E-3</v>
      </c>
      <c r="N150" s="271">
        <v>30</v>
      </c>
      <c r="O150" s="425">
        <v>1E-3</v>
      </c>
      <c r="P150" s="1649">
        <v>0.8</v>
      </c>
      <c r="Q150" s="426">
        <f t="shared" si="73"/>
        <v>8.0000000000000004E-4</v>
      </c>
      <c r="R150" s="1666">
        <v>1</v>
      </c>
      <c r="S150" s="426">
        <f t="shared" si="74"/>
        <v>1E-3</v>
      </c>
      <c r="T150" s="425">
        <v>2E-3</v>
      </c>
      <c r="U150" s="426">
        <f t="shared" si="75"/>
        <v>5.7142857142857147E-4</v>
      </c>
      <c r="V150" s="1272">
        <v>0.54</v>
      </c>
      <c r="W150" s="1272">
        <f t="shared" si="76"/>
        <v>0.67500000000000004</v>
      </c>
      <c r="X150" s="412">
        <f t="shared" si="77"/>
        <v>0.54</v>
      </c>
      <c r="Y150" s="1272">
        <v>6.7999999999999999E-5</v>
      </c>
      <c r="Z150" s="412">
        <f t="shared" si="78"/>
        <v>0.23800000000000004</v>
      </c>
      <c r="AA150" s="412" t="s">
        <v>221</v>
      </c>
      <c r="AB150" s="439">
        <v>2</v>
      </c>
      <c r="AC150" s="1572">
        <v>5.0000000000000001E-4</v>
      </c>
      <c r="AD150" s="1257">
        <v>1</v>
      </c>
      <c r="AE150" s="1257">
        <v>0</v>
      </c>
      <c r="AF150" s="1292" t="s">
        <v>144</v>
      </c>
      <c r="AG150" s="535" t="s">
        <v>221</v>
      </c>
      <c r="AH150" s="449" t="s">
        <v>221</v>
      </c>
      <c r="AI150" s="449" t="s">
        <v>221</v>
      </c>
      <c r="AJ150" s="449" t="s">
        <v>221</v>
      </c>
      <c r="AK150" s="449" t="str">
        <f t="shared" si="79"/>
        <v>no</v>
      </c>
      <c r="AL150" s="221" t="s">
        <v>232</v>
      </c>
      <c r="AM150" s="406" t="s">
        <v>232</v>
      </c>
      <c r="AN150" s="1330" t="str">
        <f t="shared" si="80"/>
        <v>na</v>
      </c>
      <c r="AP150" s="1062"/>
      <c r="AR150" s="2238"/>
    </row>
    <row r="151" spans="1:44" s="144" customFormat="1" ht="13.9" customHeight="1" x14ac:dyDescent="0.25">
      <c r="A151" s="846">
        <f>Chem!A151</f>
        <v>149</v>
      </c>
      <c r="B151" s="866" t="str">
        <f>Chem!B151</f>
        <v>Benzaldehyde</v>
      </c>
      <c r="C151" s="384">
        <v>11.1</v>
      </c>
      <c r="D151" s="384" t="s">
        <v>232</v>
      </c>
      <c r="E151" s="387">
        <f t="shared" si="61"/>
        <v>1.11E-2</v>
      </c>
      <c r="F151" s="387">
        <f t="shared" si="62"/>
        <v>1.11E-2</v>
      </c>
      <c r="G151" s="387" t="s">
        <v>232</v>
      </c>
      <c r="H151" s="387" t="s">
        <v>232</v>
      </c>
      <c r="I151" s="387">
        <f t="shared" si="71"/>
        <v>0.21089999999999998</v>
      </c>
      <c r="J151" s="387">
        <f t="shared" si="63"/>
        <v>0.21089999999999998</v>
      </c>
      <c r="K151" s="400">
        <v>4.7629715272312124E-4</v>
      </c>
      <c r="L151" s="400">
        <v>1.09157808667212E-3</v>
      </c>
      <c r="M151" s="400">
        <f t="shared" si="72"/>
        <v>4.7629715272312124E-4</v>
      </c>
      <c r="N151" s="271" t="s">
        <v>232</v>
      </c>
      <c r="O151" s="432">
        <v>0.1</v>
      </c>
      <c r="P151" s="1649">
        <v>0.8</v>
      </c>
      <c r="Q151" s="426">
        <f t="shared" si="73"/>
        <v>8.0000000000000016E-2</v>
      </c>
      <c r="R151" s="1666">
        <v>1</v>
      </c>
      <c r="S151" s="426">
        <f t="shared" si="74"/>
        <v>0.1</v>
      </c>
      <c r="T151" s="425" t="s">
        <v>232</v>
      </c>
      <c r="U151" s="426" t="str">
        <f t="shared" si="75"/>
        <v>na</v>
      </c>
      <c r="V151" s="1272">
        <v>4.0000000000000001E-3</v>
      </c>
      <c r="W151" s="1272">
        <f t="shared" si="76"/>
        <v>5.0000000000000001E-3</v>
      </c>
      <c r="X151" s="412">
        <f t="shared" si="77"/>
        <v>4.0000000000000001E-3</v>
      </c>
      <c r="Y151" s="1272" t="s">
        <v>232</v>
      </c>
      <c r="Z151" s="412" t="str">
        <f t="shared" si="78"/>
        <v>na</v>
      </c>
      <c r="AA151" s="412" t="s">
        <v>221</v>
      </c>
      <c r="AB151" s="439">
        <v>2</v>
      </c>
      <c r="AC151" s="1572">
        <v>0.03</v>
      </c>
      <c r="AD151" s="1257">
        <v>1</v>
      </c>
      <c r="AE151" s="1257">
        <v>0</v>
      </c>
      <c r="AF151" s="1292" t="s">
        <v>221</v>
      </c>
      <c r="AG151" s="535" t="s">
        <v>221</v>
      </c>
      <c r="AH151" s="449" t="s">
        <v>221</v>
      </c>
      <c r="AI151" s="449" t="s">
        <v>221</v>
      </c>
      <c r="AJ151" s="449" t="s">
        <v>221</v>
      </c>
      <c r="AK151" s="449" t="str">
        <f t="shared" si="79"/>
        <v>no</v>
      </c>
      <c r="AL151" s="221" t="s">
        <v>232</v>
      </c>
      <c r="AM151" s="406" t="s">
        <v>232</v>
      </c>
      <c r="AN151" s="1330" t="str">
        <f t="shared" si="80"/>
        <v>na</v>
      </c>
      <c r="AP151" s="1062"/>
      <c r="AR151" s="2238"/>
    </row>
    <row r="152" spans="1:44" ht="13.9" customHeight="1" x14ac:dyDescent="0.25">
      <c r="A152" s="846">
        <f>Chem!A152</f>
        <v>150</v>
      </c>
      <c r="B152" s="865" t="str">
        <f>Chem!B152</f>
        <v>Benzene</v>
      </c>
      <c r="C152" s="384">
        <v>62</v>
      </c>
      <c r="D152" s="384" t="s">
        <v>232</v>
      </c>
      <c r="E152" s="387">
        <f t="shared" si="61"/>
        <v>6.2E-2</v>
      </c>
      <c r="F152" s="387">
        <f t="shared" si="62"/>
        <v>6.2E-2</v>
      </c>
      <c r="G152" s="387" t="s">
        <v>232</v>
      </c>
      <c r="H152" s="387" t="s">
        <v>232</v>
      </c>
      <c r="I152" s="387">
        <f t="shared" si="71"/>
        <v>1.1779999999999999</v>
      </c>
      <c r="J152" s="387">
        <f t="shared" si="63"/>
        <v>1.1779999999999999</v>
      </c>
      <c r="K152" s="400">
        <v>0.13393499964479427</v>
      </c>
      <c r="L152" s="400">
        <v>0.22800000000000001</v>
      </c>
      <c r="M152" s="400">
        <f t="shared" si="72"/>
        <v>0.13393499964479427</v>
      </c>
      <c r="N152" s="271">
        <v>5.2</v>
      </c>
      <c r="O152" s="425">
        <v>4.0000000000000001E-3</v>
      </c>
      <c r="P152" s="1649">
        <v>0.97</v>
      </c>
      <c r="Q152" s="426">
        <f t="shared" si="73"/>
        <v>3.8799999999999998E-3</v>
      </c>
      <c r="R152" s="1666">
        <v>1</v>
      </c>
      <c r="S152" s="426">
        <f t="shared" si="74"/>
        <v>4.0000000000000001E-3</v>
      </c>
      <c r="T152" s="425">
        <v>3.0000000000000002E-2</v>
      </c>
      <c r="U152" s="426">
        <f t="shared" si="75"/>
        <v>8.5714285714285719E-3</v>
      </c>
      <c r="V152" s="1272">
        <v>5.5E-2</v>
      </c>
      <c r="W152" s="1272">
        <f t="shared" si="76"/>
        <v>5.6701030927835051E-2</v>
      </c>
      <c r="X152" s="412">
        <f t="shared" si="77"/>
        <v>5.5E-2</v>
      </c>
      <c r="Y152" s="1272">
        <v>7.7999999999999999E-6</v>
      </c>
      <c r="Z152" s="412">
        <f t="shared" si="78"/>
        <v>2.7300000000000001E-2</v>
      </c>
      <c r="AA152" s="412" t="s">
        <v>221</v>
      </c>
      <c r="AB152" s="439">
        <v>2</v>
      </c>
      <c r="AC152" s="1572">
        <v>5.0000000000000001E-4</v>
      </c>
      <c r="AD152" s="1257">
        <v>1</v>
      </c>
      <c r="AE152" s="1257">
        <v>0</v>
      </c>
      <c r="AF152" s="1292" t="s">
        <v>144</v>
      </c>
      <c r="AG152" s="535" t="s">
        <v>221</v>
      </c>
      <c r="AH152" s="449" t="s">
        <v>221</v>
      </c>
      <c r="AI152" s="449" t="s">
        <v>221</v>
      </c>
      <c r="AJ152" s="449" t="s">
        <v>221</v>
      </c>
      <c r="AK152" s="449" t="str">
        <f t="shared" si="79"/>
        <v>no</v>
      </c>
      <c r="AL152" s="221" t="s">
        <v>232</v>
      </c>
      <c r="AM152" s="406" t="s">
        <v>232</v>
      </c>
      <c r="AN152" s="1330" t="str">
        <f t="shared" si="80"/>
        <v>na</v>
      </c>
      <c r="AP152" s="1062"/>
    </row>
    <row r="153" spans="1:44" ht="13.9" customHeight="1" x14ac:dyDescent="0.25">
      <c r="A153" s="846">
        <f>Chem!A153</f>
        <v>151</v>
      </c>
      <c r="B153" s="865" t="str">
        <f>Chem!B153</f>
        <v>Bromobenzene</v>
      </c>
      <c r="C153" s="384">
        <v>234</v>
      </c>
      <c r="D153" s="384" t="s">
        <v>232</v>
      </c>
      <c r="E153" s="387">
        <f t="shared" si="61"/>
        <v>0.23400000000000001</v>
      </c>
      <c r="F153" s="387">
        <f t="shared" si="62"/>
        <v>0.23400000000000001</v>
      </c>
      <c r="G153" s="387" t="s">
        <v>232</v>
      </c>
      <c r="H153" s="387" t="s">
        <v>232</v>
      </c>
      <c r="I153" s="387">
        <f t="shared" si="71"/>
        <v>4.4459999999999997</v>
      </c>
      <c r="J153" s="387">
        <f t="shared" si="63"/>
        <v>4.4459999999999997</v>
      </c>
      <c r="K153" s="400">
        <v>4.3228805615861343E-2</v>
      </c>
      <c r="L153" s="400">
        <v>0.100981193785773</v>
      </c>
      <c r="M153" s="400">
        <f t="shared" si="72"/>
        <v>4.3228805615861343E-2</v>
      </c>
      <c r="N153" s="271" t="s">
        <v>232</v>
      </c>
      <c r="O153" s="425">
        <v>8.0000000000000002E-3</v>
      </c>
      <c r="P153" s="1649">
        <v>0.8</v>
      </c>
      <c r="Q153" s="426">
        <f t="shared" si="73"/>
        <v>6.4000000000000003E-3</v>
      </c>
      <c r="R153" s="1666">
        <v>1</v>
      </c>
      <c r="S153" s="426">
        <f t="shared" si="74"/>
        <v>8.0000000000000002E-3</v>
      </c>
      <c r="T153" s="425">
        <v>6.0000000000000005E-2</v>
      </c>
      <c r="U153" s="426">
        <f t="shared" si="75"/>
        <v>1.7142857142857144E-2</v>
      </c>
      <c r="V153" s="1272" t="s">
        <v>232</v>
      </c>
      <c r="W153" s="1272" t="str">
        <f t="shared" si="76"/>
        <v>na</v>
      </c>
      <c r="X153" s="412" t="str">
        <f t="shared" si="77"/>
        <v>na</v>
      </c>
      <c r="Y153" s="1272" t="s">
        <v>232</v>
      </c>
      <c r="Z153" s="412" t="str">
        <f t="shared" si="78"/>
        <v>na</v>
      </c>
      <c r="AA153" s="412" t="s">
        <v>221</v>
      </c>
      <c r="AB153" s="439">
        <v>2</v>
      </c>
      <c r="AC153" s="1572">
        <v>0.03</v>
      </c>
      <c r="AD153" s="1257">
        <v>1</v>
      </c>
      <c r="AE153" s="1257">
        <v>0</v>
      </c>
      <c r="AF153" s="1292" t="s">
        <v>144</v>
      </c>
      <c r="AG153" s="535" t="s">
        <v>221</v>
      </c>
      <c r="AH153" s="449" t="s">
        <v>221</v>
      </c>
      <c r="AI153" s="449" t="s">
        <v>221</v>
      </c>
      <c r="AJ153" s="449" t="s">
        <v>221</v>
      </c>
      <c r="AK153" s="449" t="str">
        <f t="shared" si="79"/>
        <v>no</v>
      </c>
      <c r="AL153" s="221" t="s">
        <v>232</v>
      </c>
      <c r="AM153" s="406" t="s">
        <v>232</v>
      </c>
      <c r="AN153" s="1330" t="str">
        <f t="shared" si="80"/>
        <v>na</v>
      </c>
      <c r="AP153" s="1062"/>
    </row>
    <row r="154" spans="1:44" ht="13.9" customHeight="1" x14ac:dyDescent="0.25">
      <c r="A154" s="846">
        <f>Chem!A154</f>
        <v>152</v>
      </c>
      <c r="B154" s="865" t="str">
        <f>Chem!B154</f>
        <v>Bromochloromethane</v>
      </c>
      <c r="C154" s="384">
        <v>21.7</v>
      </c>
      <c r="D154" s="384" t="s">
        <v>232</v>
      </c>
      <c r="E154" s="387">
        <f t="shared" si="61"/>
        <v>2.1700000000000001E-2</v>
      </c>
      <c r="F154" s="387">
        <f t="shared" si="62"/>
        <v>2.1700000000000001E-2</v>
      </c>
      <c r="G154" s="387" t="s">
        <v>232</v>
      </c>
      <c r="H154" s="387" t="s">
        <v>232</v>
      </c>
      <c r="I154" s="387">
        <f t="shared" si="71"/>
        <v>0.4123</v>
      </c>
      <c r="J154" s="387">
        <f t="shared" si="63"/>
        <v>0.4123</v>
      </c>
      <c r="K154" s="400">
        <v>3.5945256023649182E-2</v>
      </c>
      <c r="L154" s="400">
        <v>5.9689288634505303E-2</v>
      </c>
      <c r="M154" s="400">
        <f t="shared" si="72"/>
        <v>3.5945256023649182E-2</v>
      </c>
      <c r="N154" s="271" t="s">
        <v>232</v>
      </c>
      <c r="O154" s="425" t="s">
        <v>232</v>
      </c>
      <c r="P154" s="1649">
        <v>0.8</v>
      </c>
      <c r="Q154" s="426" t="str">
        <f t="shared" si="73"/>
        <v>na</v>
      </c>
      <c r="R154" s="1666">
        <v>1</v>
      </c>
      <c r="S154" s="426" t="str">
        <f t="shared" si="74"/>
        <v>na</v>
      </c>
      <c r="T154" s="425">
        <v>0.04</v>
      </c>
      <c r="U154" s="426">
        <f t="shared" si="75"/>
        <v>1.1428571428571429E-2</v>
      </c>
      <c r="V154" s="1272" t="s">
        <v>232</v>
      </c>
      <c r="W154" s="1272" t="str">
        <f t="shared" si="76"/>
        <v>na</v>
      </c>
      <c r="X154" s="412" t="str">
        <f t="shared" si="77"/>
        <v>na</v>
      </c>
      <c r="Y154" s="1272" t="s">
        <v>232</v>
      </c>
      <c r="Z154" s="412" t="str">
        <f t="shared" si="78"/>
        <v>na</v>
      </c>
      <c r="AA154" s="412" t="s">
        <v>221</v>
      </c>
      <c r="AB154" s="439">
        <v>2</v>
      </c>
      <c r="AC154" s="1572">
        <v>5.0000000000000001E-4</v>
      </c>
      <c r="AD154" s="1257">
        <v>1</v>
      </c>
      <c r="AE154" s="1257">
        <v>0</v>
      </c>
      <c r="AF154" s="1292" t="s">
        <v>221</v>
      </c>
      <c r="AG154" s="535" t="s">
        <v>221</v>
      </c>
      <c r="AH154" s="449" t="s">
        <v>221</v>
      </c>
      <c r="AI154" s="449" t="s">
        <v>221</v>
      </c>
      <c r="AJ154" s="449" t="s">
        <v>221</v>
      </c>
      <c r="AK154" s="449" t="str">
        <f t="shared" si="79"/>
        <v>no</v>
      </c>
      <c r="AL154" s="221" t="s">
        <v>232</v>
      </c>
      <c r="AM154" s="406" t="s">
        <v>232</v>
      </c>
      <c r="AN154" s="1330" t="str">
        <f t="shared" si="80"/>
        <v>na</v>
      </c>
      <c r="AP154" s="1062"/>
    </row>
    <row r="155" spans="1:44" ht="13.9" customHeight="1" x14ac:dyDescent="0.25">
      <c r="A155" s="846">
        <f>Chem!A155</f>
        <v>153</v>
      </c>
      <c r="B155" s="865" t="str">
        <f>Chem!B155</f>
        <v>Bromoethane</v>
      </c>
      <c r="C155" s="343" t="s">
        <v>232</v>
      </c>
      <c r="D155" s="343" t="s">
        <v>232</v>
      </c>
      <c r="E155" s="387" t="str">
        <f t="shared" si="61"/>
        <v>na</v>
      </c>
      <c r="F155" s="387" t="str">
        <f t="shared" si="62"/>
        <v>na</v>
      </c>
      <c r="G155" s="387" t="s">
        <v>232</v>
      </c>
      <c r="H155" s="387" t="s">
        <v>232</v>
      </c>
      <c r="I155" s="387" t="str">
        <f t="shared" si="71"/>
        <v>na</v>
      </c>
      <c r="J155" s="387" t="str">
        <f t="shared" si="63"/>
        <v>na</v>
      </c>
      <c r="K155" s="406" t="s">
        <v>232</v>
      </c>
      <c r="L155" s="406" t="s">
        <v>232</v>
      </c>
      <c r="M155" s="406">
        <f t="shared" si="72"/>
        <v>0</v>
      </c>
      <c r="N155" s="221" t="s">
        <v>232</v>
      </c>
      <c r="O155" s="426" t="s">
        <v>232</v>
      </c>
      <c r="P155" s="1649">
        <v>0.8</v>
      </c>
      <c r="Q155" s="426" t="str">
        <f t="shared" si="73"/>
        <v>na</v>
      </c>
      <c r="R155" s="1666">
        <v>1</v>
      </c>
      <c r="S155" s="426" t="str">
        <f t="shared" si="74"/>
        <v>na</v>
      </c>
      <c r="T155" s="426" t="s">
        <v>232</v>
      </c>
      <c r="U155" s="426" t="str">
        <f t="shared" si="75"/>
        <v>na</v>
      </c>
      <c r="V155" s="1272" t="s">
        <v>232</v>
      </c>
      <c r="W155" s="1272" t="str">
        <f t="shared" si="76"/>
        <v>na</v>
      </c>
      <c r="X155" s="412" t="str">
        <f t="shared" si="77"/>
        <v>na</v>
      </c>
      <c r="Y155" s="1272" t="s">
        <v>232</v>
      </c>
      <c r="Z155" s="412" t="str">
        <f t="shared" si="78"/>
        <v>na</v>
      </c>
      <c r="AA155" s="412" t="s">
        <v>221</v>
      </c>
      <c r="AB155" s="439" t="s">
        <v>232</v>
      </c>
      <c r="AC155" s="1572" t="s">
        <v>232</v>
      </c>
      <c r="AD155" s="1257" t="s">
        <v>232</v>
      </c>
      <c r="AE155" s="1257">
        <v>0</v>
      </c>
      <c r="AF155" s="1292" t="s">
        <v>221</v>
      </c>
      <c r="AG155" s="535" t="s">
        <v>221</v>
      </c>
      <c r="AH155" s="449" t="s">
        <v>221</v>
      </c>
      <c r="AI155" s="449" t="s">
        <v>221</v>
      </c>
      <c r="AJ155" s="449" t="s">
        <v>221</v>
      </c>
      <c r="AK155" s="449" t="str">
        <f t="shared" si="79"/>
        <v>no</v>
      </c>
      <c r="AL155" s="221" t="s">
        <v>232</v>
      </c>
      <c r="AM155" s="406" t="s">
        <v>232</v>
      </c>
      <c r="AN155" s="1330" t="str">
        <f t="shared" si="80"/>
        <v>na</v>
      </c>
      <c r="AP155" s="1062"/>
    </row>
    <row r="156" spans="1:44" ht="13.9" customHeight="1" x14ac:dyDescent="0.25">
      <c r="A156" s="846">
        <f>Chem!A156</f>
        <v>154</v>
      </c>
      <c r="B156" s="865" t="str">
        <f>Chem!B156</f>
        <v>Bromoform</v>
      </c>
      <c r="C156" s="343">
        <v>126</v>
      </c>
      <c r="D156" s="343" t="s">
        <v>232</v>
      </c>
      <c r="E156" s="387">
        <f t="shared" si="61"/>
        <v>0.126</v>
      </c>
      <c r="F156" s="387">
        <f t="shared" si="62"/>
        <v>0.126</v>
      </c>
      <c r="G156" s="387" t="s">
        <v>232</v>
      </c>
      <c r="H156" s="387" t="s">
        <v>232</v>
      </c>
      <c r="I156" s="387">
        <f t="shared" si="71"/>
        <v>2.3940000000000001</v>
      </c>
      <c r="J156" s="387">
        <f t="shared" si="63"/>
        <v>2.3940000000000001</v>
      </c>
      <c r="K156" s="406">
        <v>1.0493536989602176E-2</v>
      </c>
      <c r="L156" s="406">
        <v>2.1872444807849601E-2</v>
      </c>
      <c r="M156" s="406">
        <f t="shared" si="72"/>
        <v>1.0493536989602176E-2</v>
      </c>
      <c r="N156" s="221">
        <v>3.75</v>
      </c>
      <c r="O156" s="426">
        <v>0.02</v>
      </c>
      <c r="P156" s="1649">
        <v>0.8</v>
      </c>
      <c r="Q156" s="426">
        <f t="shared" si="73"/>
        <v>1.6E-2</v>
      </c>
      <c r="R156" s="1666">
        <v>1</v>
      </c>
      <c r="S156" s="426">
        <f t="shared" si="74"/>
        <v>0.02</v>
      </c>
      <c r="T156" s="426" t="s">
        <v>232</v>
      </c>
      <c r="U156" s="426" t="str">
        <f t="shared" si="75"/>
        <v>na</v>
      </c>
      <c r="V156" s="1272">
        <v>7.9000000000000008E-3</v>
      </c>
      <c r="W156" s="1272">
        <f t="shared" si="76"/>
        <v>9.8750000000000001E-3</v>
      </c>
      <c r="X156" s="412">
        <f t="shared" si="77"/>
        <v>7.9000000000000008E-3</v>
      </c>
      <c r="Y156" s="1272">
        <v>1.1000000000000001E-6</v>
      </c>
      <c r="Z156" s="412">
        <f t="shared" si="78"/>
        <v>3.8500000000000001E-3</v>
      </c>
      <c r="AA156" s="412" t="s">
        <v>221</v>
      </c>
      <c r="AB156" s="439">
        <v>2</v>
      </c>
      <c r="AC156" s="1572">
        <v>0.03</v>
      </c>
      <c r="AD156" s="1257">
        <v>1</v>
      </c>
      <c r="AE156" s="1257">
        <v>0</v>
      </c>
      <c r="AF156" s="1292" t="s">
        <v>144</v>
      </c>
      <c r="AG156" s="535" t="s">
        <v>221</v>
      </c>
      <c r="AH156" s="449" t="s">
        <v>221</v>
      </c>
      <c r="AI156" s="449" t="s">
        <v>221</v>
      </c>
      <c r="AJ156" s="449" t="s">
        <v>221</v>
      </c>
      <c r="AK156" s="449" t="str">
        <f t="shared" si="79"/>
        <v>no</v>
      </c>
      <c r="AL156" s="221" t="s">
        <v>232</v>
      </c>
      <c r="AM156" s="406" t="s">
        <v>232</v>
      </c>
      <c r="AN156" s="1330" t="str">
        <f t="shared" si="80"/>
        <v>na</v>
      </c>
      <c r="AP156" s="1062"/>
    </row>
    <row r="157" spans="1:44" ht="13.9" customHeight="1" x14ac:dyDescent="0.25">
      <c r="A157" s="846">
        <f>Chem!A157</f>
        <v>155</v>
      </c>
      <c r="B157" s="865" t="str">
        <f>Chem!B157</f>
        <v>Bromomethane</v>
      </c>
      <c r="C157" s="343">
        <v>9</v>
      </c>
      <c r="D157" s="343" t="s">
        <v>232</v>
      </c>
      <c r="E157" s="387">
        <f t="shared" si="61"/>
        <v>9.0000000000000011E-3</v>
      </c>
      <c r="F157" s="387">
        <f t="shared" si="62"/>
        <v>9.0000000000000011E-3</v>
      </c>
      <c r="G157" s="387" t="s">
        <v>232</v>
      </c>
      <c r="H157" s="387" t="s">
        <v>232</v>
      </c>
      <c r="I157" s="387">
        <f t="shared" si="71"/>
        <v>0.17099999999999999</v>
      </c>
      <c r="J157" s="387">
        <f t="shared" si="63"/>
        <v>0.17099999999999999</v>
      </c>
      <c r="K157" s="406">
        <v>0.20999151248674033</v>
      </c>
      <c r="L157" s="406">
        <v>0.30008176614881399</v>
      </c>
      <c r="M157" s="406">
        <f t="shared" si="72"/>
        <v>0.20999151248674033</v>
      </c>
      <c r="N157" s="221">
        <v>3.75</v>
      </c>
      <c r="O157" s="426">
        <v>1.4E-3</v>
      </c>
      <c r="P157" s="1649">
        <v>0.8</v>
      </c>
      <c r="Q157" s="426">
        <f t="shared" si="73"/>
        <v>1.1200000000000001E-3</v>
      </c>
      <c r="R157" s="1666">
        <v>1</v>
      </c>
      <c r="S157" s="426">
        <f t="shared" si="74"/>
        <v>1.4E-3</v>
      </c>
      <c r="T157" s="426">
        <v>5.0000000000000001E-3</v>
      </c>
      <c r="U157" s="426">
        <f t="shared" si="75"/>
        <v>1.4285714285714286E-3</v>
      </c>
      <c r="V157" s="1272" t="s">
        <v>232</v>
      </c>
      <c r="W157" s="1272" t="str">
        <f t="shared" si="76"/>
        <v>na</v>
      </c>
      <c r="X157" s="412" t="str">
        <f t="shared" si="77"/>
        <v>na</v>
      </c>
      <c r="Y157" s="1272" t="s">
        <v>232</v>
      </c>
      <c r="Z157" s="412" t="str">
        <f t="shared" si="78"/>
        <v>na</v>
      </c>
      <c r="AA157" s="412" t="s">
        <v>221</v>
      </c>
      <c r="AB157" s="439">
        <v>2</v>
      </c>
      <c r="AC157" s="1572">
        <v>5.0000000000000001E-4</v>
      </c>
      <c r="AD157" s="1257">
        <v>1</v>
      </c>
      <c r="AE157" s="1257">
        <v>0</v>
      </c>
      <c r="AF157" s="1292" t="s">
        <v>144</v>
      </c>
      <c r="AG157" s="535" t="s">
        <v>221</v>
      </c>
      <c r="AH157" s="449" t="s">
        <v>221</v>
      </c>
      <c r="AI157" s="449" t="s">
        <v>221</v>
      </c>
      <c r="AJ157" s="449" t="s">
        <v>221</v>
      </c>
      <c r="AK157" s="449" t="str">
        <f t="shared" si="79"/>
        <v>no</v>
      </c>
      <c r="AL157" s="221" t="s">
        <v>232</v>
      </c>
      <c r="AM157" s="406" t="s">
        <v>232</v>
      </c>
      <c r="AN157" s="1330" t="str">
        <f t="shared" si="80"/>
        <v>na</v>
      </c>
      <c r="AP157" s="1062"/>
    </row>
    <row r="158" spans="1:44" ht="13.9" customHeight="1" x14ac:dyDescent="0.25">
      <c r="A158" s="846">
        <f>Chem!A158</f>
        <v>156</v>
      </c>
      <c r="B158" s="865" t="str">
        <f>Chem!B158</f>
        <v>2-Butoxyethanol (EGBE)</v>
      </c>
      <c r="C158" s="384">
        <v>2.82</v>
      </c>
      <c r="D158" s="384" t="s">
        <v>232</v>
      </c>
      <c r="E158" s="387">
        <f t="shared" si="61"/>
        <v>2.82E-3</v>
      </c>
      <c r="F158" s="387">
        <f t="shared" si="62"/>
        <v>2.82E-3</v>
      </c>
      <c r="G158" s="387" t="s">
        <v>232</v>
      </c>
      <c r="H158" s="387" t="s">
        <v>232</v>
      </c>
      <c r="I158" s="387">
        <f t="shared" si="71"/>
        <v>5.3579999999999996E-2</v>
      </c>
      <c r="J158" s="387">
        <f t="shared" si="63"/>
        <v>5.3579999999999996E-2</v>
      </c>
      <c r="K158" s="400">
        <v>2.5325207268919119E-5</v>
      </c>
      <c r="L158" s="400">
        <v>6.5412919051512699E-5</v>
      </c>
      <c r="M158" s="400">
        <f t="shared" si="72"/>
        <v>2.5325207268919119E-5</v>
      </c>
      <c r="N158" s="271" t="s">
        <v>232</v>
      </c>
      <c r="O158" s="426">
        <v>0.1</v>
      </c>
      <c r="P158" s="1649">
        <v>0.5</v>
      </c>
      <c r="Q158" s="426">
        <f t="shared" si="73"/>
        <v>0.05</v>
      </c>
      <c r="R158" s="1666">
        <v>1</v>
      </c>
      <c r="S158" s="426">
        <f t="shared" si="74"/>
        <v>0.1</v>
      </c>
      <c r="T158" s="425">
        <v>1.5999999999999999</v>
      </c>
      <c r="U158" s="426">
        <f t="shared" si="75"/>
        <v>0.45714285714285707</v>
      </c>
      <c r="V158" s="1272" t="s">
        <v>232</v>
      </c>
      <c r="W158" s="1272" t="str">
        <f t="shared" si="76"/>
        <v>na</v>
      </c>
      <c r="X158" s="412" t="str">
        <f t="shared" si="77"/>
        <v>na</v>
      </c>
      <c r="Y158" s="1272" t="s">
        <v>232</v>
      </c>
      <c r="Z158" s="412" t="str">
        <f t="shared" si="78"/>
        <v>na</v>
      </c>
      <c r="AA158" s="412" t="s">
        <v>221</v>
      </c>
      <c r="AB158" s="439">
        <v>1</v>
      </c>
      <c r="AC158" s="1572">
        <v>0.1</v>
      </c>
      <c r="AD158" s="1257">
        <v>1</v>
      </c>
      <c r="AE158" s="1257">
        <v>0.1</v>
      </c>
      <c r="AF158" s="1292" t="s">
        <v>221</v>
      </c>
      <c r="AG158" s="535" t="s">
        <v>221</v>
      </c>
      <c r="AH158" s="449" t="s">
        <v>221</v>
      </c>
      <c r="AI158" s="449" t="s">
        <v>221</v>
      </c>
      <c r="AJ158" s="449" t="s">
        <v>221</v>
      </c>
      <c r="AK158" s="449" t="str">
        <f t="shared" si="79"/>
        <v>no</v>
      </c>
      <c r="AL158" s="221" t="s">
        <v>232</v>
      </c>
      <c r="AM158" s="406" t="s">
        <v>232</v>
      </c>
      <c r="AN158" s="1330" t="str">
        <f t="shared" si="80"/>
        <v>na</v>
      </c>
      <c r="AP158" s="1062"/>
    </row>
    <row r="159" spans="1:44" ht="13.9" customHeight="1" x14ac:dyDescent="0.25">
      <c r="A159" s="846">
        <f>Chem!A159</f>
        <v>157</v>
      </c>
      <c r="B159" s="865" t="str">
        <f>Chem!B159</f>
        <v>n-Butylbenzene</v>
      </c>
      <c r="C159" s="384">
        <v>1480</v>
      </c>
      <c r="D159" s="384" t="s">
        <v>232</v>
      </c>
      <c r="E159" s="387">
        <f t="shared" si="61"/>
        <v>1.48</v>
      </c>
      <c r="F159" s="387">
        <f t="shared" si="62"/>
        <v>1.48</v>
      </c>
      <c r="G159" s="387" t="s">
        <v>232</v>
      </c>
      <c r="H159" s="387" t="s">
        <v>232</v>
      </c>
      <c r="I159" s="387">
        <f t="shared" si="71"/>
        <v>28.12</v>
      </c>
      <c r="J159" s="387">
        <f t="shared" si="63"/>
        <v>28.12</v>
      </c>
      <c r="K159" s="400">
        <v>0.29340915429612474</v>
      </c>
      <c r="L159" s="400">
        <v>0.65004088307440699</v>
      </c>
      <c r="M159" s="400">
        <f t="shared" si="72"/>
        <v>0.29340915429612474</v>
      </c>
      <c r="N159" s="271" t="s">
        <v>232</v>
      </c>
      <c r="O159" s="425">
        <v>0.05</v>
      </c>
      <c r="P159" s="1649">
        <v>0.8</v>
      </c>
      <c r="Q159" s="426">
        <f t="shared" si="73"/>
        <v>4.0000000000000008E-2</v>
      </c>
      <c r="R159" s="1666">
        <v>1</v>
      </c>
      <c r="S159" s="426">
        <f t="shared" si="74"/>
        <v>0.05</v>
      </c>
      <c r="T159" s="425" t="s">
        <v>232</v>
      </c>
      <c r="U159" s="426" t="str">
        <f t="shared" si="75"/>
        <v>na</v>
      </c>
      <c r="V159" s="1272" t="s">
        <v>232</v>
      </c>
      <c r="W159" s="1272" t="str">
        <f t="shared" si="76"/>
        <v>na</v>
      </c>
      <c r="X159" s="412" t="str">
        <f t="shared" si="77"/>
        <v>na</v>
      </c>
      <c r="Y159" s="1272" t="s">
        <v>232</v>
      </c>
      <c r="Z159" s="412" t="str">
        <f t="shared" si="78"/>
        <v>na</v>
      </c>
      <c r="AA159" s="412" t="s">
        <v>221</v>
      </c>
      <c r="AB159" s="439">
        <v>2</v>
      </c>
      <c r="AC159" s="1572">
        <v>0.03</v>
      </c>
      <c r="AD159" s="1257">
        <v>1</v>
      </c>
      <c r="AE159" s="1257">
        <v>0</v>
      </c>
      <c r="AF159" s="1292" t="s">
        <v>221</v>
      </c>
      <c r="AG159" s="535" t="s">
        <v>221</v>
      </c>
      <c r="AH159" s="449" t="s">
        <v>221</v>
      </c>
      <c r="AI159" s="449" t="s">
        <v>221</v>
      </c>
      <c r="AJ159" s="449" t="s">
        <v>221</v>
      </c>
      <c r="AK159" s="449" t="str">
        <f t="shared" si="79"/>
        <v>no</v>
      </c>
      <c r="AL159" s="221" t="s">
        <v>232</v>
      </c>
      <c r="AM159" s="406" t="s">
        <v>232</v>
      </c>
      <c r="AN159" s="1330" t="str">
        <f t="shared" si="80"/>
        <v>na</v>
      </c>
      <c r="AP159" s="1062"/>
    </row>
    <row r="160" spans="1:44" ht="13.9" customHeight="1" x14ac:dyDescent="0.25">
      <c r="A160" s="846">
        <f>Chem!A160</f>
        <v>158</v>
      </c>
      <c r="B160" s="865" t="str">
        <f>Chem!B160</f>
        <v>sec-Butylbenzene</v>
      </c>
      <c r="C160" s="384">
        <v>1330</v>
      </c>
      <c r="D160" s="384" t="s">
        <v>232</v>
      </c>
      <c r="E160" s="387">
        <f t="shared" si="61"/>
        <v>1.33</v>
      </c>
      <c r="F160" s="387">
        <f t="shared" si="62"/>
        <v>1.33</v>
      </c>
      <c r="G160" s="387" t="s">
        <v>232</v>
      </c>
      <c r="H160" s="387" t="s">
        <v>232</v>
      </c>
      <c r="I160" s="387">
        <f t="shared" si="71"/>
        <v>25.27</v>
      </c>
      <c r="J160" s="387">
        <f t="shared" si="63"/>
        <v>25.27</v>
      </c>
      <c r="K160" s="400">
        <v>0.27506032751473342</v>
      </c>
      <c r="L160" s="400">
        <v>0.719542109566639</v>
      </c>
      <c r="M160" s="400">
        <f t="shared" si="72"/>
        <v>0.27506032751473342</v>
      </c>
      <c r="N160" s="271" t="s">
        <v>232</v>
      </c>
      <c r="O160" s="425">
        <v>0.1</v>
      </c>
      <c r="P160" s="1649">
        <v>0.8</v>
      </c>
      <c r="Q160" s="426">
        <f t="shared" si="73"/>
        <v>8.0000000000000016E-2</v>
      </c>
      <c r="R160" s="1666">
        <v>1</v>
      </c>
      <c r="S160" s="426">
        <f t="shared" si="74"/>
        <v>0.1</v>
      </c>
      <c r="T160" s="425" t="s">
        <v>232</v>
      </c>
      <c r="U160" s="426" t="str">
        <f t="shared" si="75"/>
        <v>na</v>
      </c>
      <c r="V160" s="1272" t="s">
        <v>232</v>
      </c>
      <c r="W160" s="1272" t="str">
        <f t="shared" si="76"/>
        <v>na</v>
      </c>
      <c r="X160" s="412" t="str">
        <f t="shared" si="77"/>
        <v>na</v>
      </c>
      <c r="Y160" s="1272" t="s">
        <v>232</v>
      </c>
      <c r="Z160" s="412" t="str">
        <f t="shared" si="78"/>
        <v>na</v>
      </c>
      <c r="AA160" s="412" t="s">
        <v>221</v>
      </c>
      <c r="AB160" s="439">
        <v>2</v>
      </c>
      <c r="AC160" s="1572">
        <v>0.03</v>
      </c>
      <c r="AD160" s="1257">
        <v>1</v>
      </c>
      <c r="AE160" s="1257">
        <v>0</v>
      </c>
      <c r="AF160" s="1292" t="s">
        <v>221</v>
      </c>
      <c r="AG160" s="535" t="s">
        <v>221</v>
      </c>
      <c r="AH160" s="449" t="s">
        <v>221</v>
      </c>
      <c r="AI160" s="449" t="s">
        <v>221</v>
      </c>
      <c r="AJ160" s="449" t="s">
        <v>221</v>
      </c>
      <c r="AK160" s="449" t="str">
        <f t="shared" si="79"/>
        <v>no</v>
      </c>
      <c r="AL160" s="221" t="s">
        <v>232</v>
      </c>
      <c r="AM160" s="406" t="s">
        <v>232</v>
      </c>
      <c r="AN160" s="1330" t="str">
        <f t="shared" si="80"/>
        <v>na</v>
      </c>
      <c r="AP160" s="1062"/>
    </row>
    <row r="161" spans="1:42" ht="13.9" customHeight="1" x14ac:dyDescent="0.25">
      <c r="A161" s="846">
        <f>Chem!A161</f>
        <v>159</v>
      </c>
      <c r="B161" s="865" t="str">
        <f>Chem!B161</f>
        <v>tert-Butylbenzene</v>
      </c>
      <c r="C161" s="384">
        <v>1000</v>
      </c>
      <c r="D161" s="384" t="s">
        <v>232</v>
      </c>
      <c r="E161" s="387">
        <f t="shared" si="61"/>
        <v>1</v>
      </c>
      <c r="F161" s="387">
        <f t="shared" si="62"/>
        <v>1</v>
      </c>
      <c r="G161" s="387" t="s">
        <v>232</v>
      </c>
      <c r="H161" s="387" t="s">
        <v>232</v>
      </c>
      <c r="I161" s="387">
        <f t="shared" si="71"/>
        <v>19</v>
      </c>
      <c r="J161" s="387">
        <f t="shared" si="63"/>
        <v>19</v>
      </c>
      <c r="K161" s="400">
        <v>0.20552470229922171</v>
      </c>
      <c r="L161" s="400">
        <v>0.53965658217498003</v>
      </c>
      <c r="M161" s="400">
        <f t="shared" si="72"/>
        <v>0.20552470229922171</v>
      </c>
      <c r="N161" s="271" t="s">
        <v>232</v>
      </c>
      <c r="O161" s="425">
        <v>0.1</v>
      </c>
      <c r="P161" s="1649">
        <v>0.8</v>
      </c>
      <c r="Q161" s="426">
        <f t="shared" si="73"/>
        <v>8.0000000000000016E-2</v>
      </c>
      <c r="R161" s="1666">
        <v>1</v>
      </c>
      <c r="S161" s="426">
        <f t="shared" si="74"/>
        <v>0.1</v>
      </c>
      <c r="T161" s="425" t="s">
        <v>232</v>
      </c>
      <c r="U161" s="426" t="str">
        <f t="shared" si="75"/>
        <v>na</v>
      </c>
      <c r="V161" s="1272" t="s">
        <v>232</v>
      </c>
      <c r="W161" s="1272" t="str">
        <f t="shared" si="76"/>
        <v>na</v>
      </c>
      <c r="X161" s="412" t="str">
        <f t="shared" si="77"/>
        <v>na</v>
      </c>
      <c r="Y161" s="1272" t="s">
        <v>232</v>
      </c>
      <c r="Z161" s="412" t="str">
        <f t="shared" si="78"/>
        <v>na</v>
      </c>
      <c r="AA161" s="412" t="s">
        <v>221</v>
      </c>
      <c r="AB161" s="439">
        <v>2</v>
      </c>
      <c r="AC161" s="1572">
        <v>0.03</v>
      </c>
      <c r="AD161" s="1257">
        <v>1</v>
      </c>
      <c r="AE161" s="1257">
        <v>0</v>
      </c>
      <c r="AF161" s="1292" t="s">
        <v>221</v>
      </c>
      <c r="AG161" s="535" t="s">
        <v>221</v>
      </c>
      <c r="AH161" s="449" t="s">
        <v>221</v>
      </c>
      <c r="AI161" s="449" t="s">
        <v>221</v>
      </c>
      <c r="AJ161" s="449" t="s">
        <v>221</v>
      </c>
      <c r="AK161" s="449" t="str">
        <f t="shared" si="79"/>
        <v>no</v>
      </c>
      <c r="AL161" s="221" t="s">
        <v>232</v>
      </c>
      <c r="AM161" s="406" t="s">
        <v>232</v>
      </c>
      <c r="AN161" s="1330" t="str">
        <f t="shared" si="80"/>
        <v>na</v>
      </c>
      <c r="AP161" s="1062"/>
    </row>
    <row r="162" spans="1:42" ht="13.9" customHeight="1" x14ac:dyDescent="0.25">
      <c r="A162" s="846">
        <f>Chem!A162</f>
        <v>160</v>
      </c>
      <c r="B162" s="865" t="str">
        <f>Chem!B162</f>
        <v>Carbon disulfide</v>
      </c>
      <c r="C162" s="384">
        <v>21.7</v>
      </c>
      <c r="D162" s="384" t="s">
        <v>232</v>
      </c>
      <c r="E162" s="387">
        <f t="shared" si="61"/>
        <v>2.1700000000000001E-2</v>
      </c>
      <c r="F162" s="387">
        <f t="shared" si="62"/>
        <v>2.1700000000000001E-2</v>
      </c>
      <c r="G162" s="387" t="s">
        <v>232</v>
      </c>
      <c r="H162" s="387" t="s">
        <v>232</v>
      </c>
      <c r="I162" s="387">
        <f t="shared" si="71"/>
        <v>0.4123</v>
      </c>
      <c r="J162" s="387">
        <f t="shared" si="63"/>
        <v>0.4123</v>
      </c>
      <c r="K162" s="400">
        <v>0.38272639037996992</v>
      </c>
      <c r="L162" s="400">
        <v>0.58871627146361405</v>
      </c>
      <c r="M162" s="400">
        <f t="shared" si="72"/>
        <v>0.38272639037996992</v>
      </c>
      <c r="N162" s="271" t="s">
        <v>232</v>
      </c>
      <c r="O162" s="426">
        <v>0.1</v>
      </c>
      <c r="P162" s="1649">
        <v>0.8</v>
      </c>
      <c r="Q162" s="426">
        <f t="shared" si="73"/>
        <v>8.0000000000000016E-2</v>
      </c>
      <c r="R162" s="1666">
        <v>1</v>
      </c>
      <c r="S162" s="426">
        <f t="shared" si="74"/>
        <v>0.1</v>
      </c>
      <c r="T162" s="425">
        <v>0.70000000000000007</v>
      </c>
      <c r="U162" s="426">
        <f t="shared" si="75"/>
        <v>0.20000000000000004</v>
      </c>
      <c r="V162" s="1272" t="s">
        <v>232</v>
      </c>
      <c r="W162" s="1272" t="str">
        <f t="shared" si="76"/>
        <v>na</v>
      </c>
      <c r="X162" s="412" t="str">
        <f t="shared" si="77"/>
        <v>na</v>
      </c>
      <c r="Y162" s="1272" t="s">
        <v>232</v>
      </c>
      <c r="Z162" s="412" t="str">
        <f t="shared" si="78"/>
        <v>na</v>
      </c>
      <c r="AA162" s="412" t="s">
        <v>221</v>
      </c>
      <c r="AB162" s="439">
        <v>2</v>
      </c>
      <c r="AC162" s="1572">
        <v>5.0000000000000001E-4</v>
      </c>
      <c r="AD162" s="1257">
        <v>1</v>
      </c>
      <c r="AE162" s="1257">
        <v>0</v>
      </c>
      <c r="AF162" s="1292" t="s">
        <v>144</v>
      </c>
      <c r="AG162" s="535" t="s">
        <v>221</v>
      </c>
      <c r="AH162" s="449" t="s">
        <v>221</v>
      </c>
      <c r="AI162" s="449" t="s">
        <v>221</v>
      </c>
      <c r="AJ162" s="449" t="s">
        <v>221</v>
      </c>
      <c r="AK162" s="449" t="str">
        <f t="shared" si="79"/>
        <v>no</v>
      </c>
      <c r="AL162" s="221" t="s">
        <v>232</v>
      </c>
      <c r="AM162" s="406" t="s">
        <v>232</v>
      </c>
      <c r="AN162" s="1330" t="str">
        <f t="shared" si="80"/>
        <v>na</v>
      </c>
      <c r="AP162" s="1062"/>
    </row>
    <row r="163" spans="1:42" ht="13.9" customHeight="1" x14ac:dyDescent="0.25">
      <c r="A163" s="846">
        <f>Chem!A163</f>
        <v>161</v>
      </c>
      <c r="B163" s="865" t="str">
        <f>Chem!B163</f>
        <v>Carbon tetrachloride</v>
      </c>
      <c r="C163" s="384">
        <v>152</v>
      </c>
      <c r="D163" s="384" t="s">
        <v>232</v>
      </c>
      <c r="E163" s="387">
        <f t="shared" si="61"/>
        <v>0.152</v>
      </c>
      <c r="F163" s="387">
        <f t="shared" si="62"/>
        <v>0.152</v>
      </c>
      <c r="G163" s="387" t="s">
        <v>232</v>
      </c>
      <c r="H163" s="387" t="s">
        <v>232</v>
      </c>
      <c r="I163" s="387">
        <f t="shared" si="71"/>
        <v>2.8879999999999999</v>
      </c>
      <c r="J163" s="387">
        <f t="shared" si="63"/>
        <v>2.8879999999999999</v>
      </c>
      <c r="K163" s="400">
        <v>0.67522387061358224</v>
      </c>
      <c r="L163" s="400">
        <v>1.12837285363859</v>
      </c>
      <c r="M163" s="400">
        <f t="shared" si="72"/>
        <v>0.67522387061358224</v>
      </c>
      <c r="N163" s="271">
        <v>18.75</v>
      </c>
      <c r="O163" s="425">
        <v>4.0000000000000001E-3</v>
      </c>
      <c r="P163" s="1649">
        <v>0.8</v>
      </c>
      <c r="Q163" s="426">
        <f t="shared" si="73"/>
        <v>3.2000000000000002E-3</v>
      </c>
      <c r="R163" s="1666">
        <v>1</v>
      </c>
      <c r="S163" s="426">
        <f t="shared" si="74"/>
        <v>4.0000000000000001E-3</v>
      </c>
      <c r="T163" s="425">
        <v>9.9999999999999992E-2</v>
      </c>
      <c r="U163" s="426">
        <f t="shared" si="75"/>
        <v>2.8571428571428567E-2</v>
      </c>
      <c r="V163" s="1272">
        <v>7.0000000000000007E-2</v>
      </c>
      <c r="W163" s="1272">
        <f t="shared" si="76"/>
        <v>8.7500000000000008E-2</v>
      </c>
      <c r="X163" s="412">
        <f t="shared" si="77"/>
        <v>7.0000000000000007E-2</v>
      </c>
      <c r="Y163" s="1272">
        <v>6.000000000000001E-6</v>
      </c>
      <c r="Z163" s="412">
        <f t="shared" si="78"/>
        <v>2.1000000000000005E-2</v>
      </c>
      <c r="AA163" s="412" t="s">
        <v>221</v>
      </c>
      <c r="AB163" s="439">
        <v>2</v>
      </c>
      <c r="AC163" s="1572">
        <v>5.0000000000000001E-4</v>
      </c>
      <c r="AD163" s="1257">
        <v>1</v>
      </c>
      <c r="AE163" s="1257">
        <v>0</v>
      </c>
      <c r="AF163" s="1292" t="s">
        <v>144</v>
      </c>
      <c r="AG163" s="535" t="s">
        <v>221</v>
      </c>
      <c r="AH163" s="449" t="s">
        <v>221</v>
      </c>
      <c r="AI163" s="449" t="s">
        <v>221</v>
      </c>
      <c r="AJ163" s="449" t="s">
        <v>221</v>
      </c>
      <c r="AK163" s="449" t="str">
        <f t="shared" si="79"/>
        <v>no</v>
      </c>
      <c r="AL163" s="221" t="s">
        <v>232</v>
      </c>
      <c r="AM163" s="406" t="s">
        <v>232</v>
      </c>
      <c r="AN163" s="1330" t="str">
        <f t="shared" si="80"/>
        <v>na</v>
      </c>
      <c r="AP163" s="1062"/>
    </row>
    <row r="164" spans="1:42" ht="13.9" customHeight="1" x14ac:dyDescent="0.25">
      <c r="A164" s="846">
        <f>Chem!A164</f>
        <v>162</v>
      </c>
      <c r="B164" s="865" t="str">
        <f>Chem!B164</f>
        <v>Chlorobenzene</v>
      </c>
      <c r="C164" s="384">
        <v>224</v>
      </c>
      <c r="D164" s="384" t="s">
        <v>232</v>
      </c>
      <c r="E164" s="387">
        <f t="shared" si="61"/>
        <v>0.224</v>
      </c>
      <c r="F164" s="387">
        <f t="shared" si="62"/>
        <v>0.224</v>
      </c>
      <c r="G164" s="387" t="s">
        <v>232</v>
      </c>
      <c r="H164" s="387" t="s">
        <v>232</v>
      </c>
      <c r="I164" s="387">
        <f t="shared" si="71"/>
        <v>4.2560000000000002</v>
      </c>
      <c r="J164" s="387">
        <f t="shared" si="63"/>
        <v>4.2560000000000002</v>
      </c>
      <c r="K164" s="400">
        <v>6.6296995619270757E-2</v>
      </c>
      <c r="L164" s="400">
        <v>0.127146361406378</v>
      </c>
      <c r="M164" s="400">
        <f t="shared" si="72"/>
        <v>6.6296995619270757E-2</v>
      </c>
      <c r="N164" s="271">
        <v>10.3</v>
      </c>
      <c r="O164" s="425">
        <v>0.02</v>
      </c>
      <c r="P164" s="1649">
        <v>0.8</v>
      </c>
      <c r="Q164" s="426">
        <f t="shared" si="73"/>
        <v>1.6E-2</v>
      </c>
      <c r="R164" s="1666">
        <v>1</v>
      </c>
      <c r="S164" s="426">
        <f t="shared" si="74"/>
        <v>0.02</v>
      </c>
      <c r="T164" s="425">
        <v>4.9999999999999996E-2</v>
      </c>
      <c r="U164" s="426">
        <f t="shared" si="75"/>
        <v>1.4285714285714284E-2</v>
      </c>
      <c r="V164" s="1272" t="s">
        <v>232</v>
      </c>
      <c r="W164" s="1272" t="str">
        <f t="shared" si="76"/>
        <v>na</v>
      </c>
      <c r="X164" s="412" t="str">
        <f t="shared" si="77"/>
        <v>na</v>
      </c>
      <c r="Y164" s="1272" t="s">
        <v>232</v>
      </c>
      <c r="Z164" s="412" t="str">
        <f t="shared" si="78"/>
        <v>na</v>
      </c>
      <c r="AA164" s="412" t="s">
        <v>221</v>
      </c>
      <c r="AB164" s="439">
        <v>2</v>
      </c>
      <c r="AC164" s="1572">
        <v>0.03</v>
      </c>
      <c r="AD164" s="1257">
        <v>1</v>
      </c>
      <c r="AE164" s="1257">
        <v>0</v>
      </c>
      <c r="AF164" s="1292" t="s">
        <v>144</v>
      </c>
      <c r="AG164" s="535" t="s">
        <v>221</v>
      </c>
      <c r="AH164" s="449" t="s">
        <v>221</v>
      </c>
      <c r="AI164" s="449" t="s">
        <v>221</v>
      </c>
      <c r="AJ164" s="449" t="s">
        <v>221</v>
      </c>
      <c r="AK164" s="449" t="str">
        <f t="shared" si="79"/>
        <v>no</v>
      </c>
      <c r="AL164" s="221" t="s">
        <v>232</v>
      </c>
      <c r="AM164" s="406" t="s">
        <v>232</v>
      </c>
      <c r="AN164" s="1330" t="str">
        <f t="shared" si="80"/>
        <v>na</v>
      </c>
      <c r="AP164" s="1062"/>
    </row>
    <row r="165" spans="1:42" ht="13.9" customHeight="1" x14ac:dyDescent="0.25">
      <c r="A165" s="846">
        <f>Chem!A165</f>
        <v>163</v>
      </c>
      <c r="B165" s="865" t="str">
        <f>Chem!B165</f>
        <v>Chloroethane</v>
      </c>
      <c r="C165" s="384">
        <v>21.7</v>
      </c>
      <c r="D165" s="384" t="s">
        <v>232</v>
      </c>
      <c r="E165" s="387">
        <f t="shared" si="61"/>
        <v>2.1700000000000001E-2</v>
      </c>
      <c r="F165" s="387">
        <f t="shared" si="62"/>
        <v>2.1700000000000001E-2</v>
      </c>
      <c r="G165" s="387" t="s">
        <v>232</v>
      </c>
      <c r="H165" s="387" t="s">
        <v>232</v>
      </c>
      <c r="I165" s="387">
        <f t="shared" si="71"/>
        <v>0.4123</v>
      </c>
      <c r="J165" s="387">
        <f t="shared" si="63"/>
        <v>0.4123</v>
      </c>
      <c r="K165" s="400">
        <v>0.31170943014866348</v>
      </c>
      <c r="L165" s="400">
        <v>0.45380212591986901</v>
      </c>
      <c r="M165" s="400">
        <f t="shared" si="72"/>
        <v>0.31170943014866348</v>
      </c>
      <c r="N165" s="271" t="s">
        <v>232</v>
      </c>
      <c r="O165" s="425" t="s">
        <v>232</v>
      </c>
      <c r="P165" s="1649">
        <v>0.8</v>
      </c>
      <c r="Q165" s="426" t="str">
        <f t="shared" si="73"/>
        <v>na</v>
      </c>
      <c r="R165" s="1666">
        <v>1</v>
      </c>
      <c r="S165" s="426" t="str">
        <f t="shared" si="74"/>
        <v>na</v>
      </c>
      <c r="T165" s="425">
        <v>10</v>
      </c>
      <c r="U165" s="426">
        <f t="shared" si="75"/>
        <v>2.8571428571428572</v>
      </c>
      <c r="V165" s="1272" t="s">
        <v>232</v>
      </c>
      <c r="W165" s="1272" t="str">
        <f t="shared" si="76"/>
        <v>na</v>
      </c>
      <c r="X165" s="412" t="str">
        <f t="shared" si="77"/>
        <v>na</v>
      </c>
      <c r="Y165" s="1272" t="s">
        <v>232</v>
      </c>
      <c r="Z165" s="412" t="str">
        <f t="shared" si="78"/>
        <v>na</v>
      </c>
      <c r="AA165" s="412" t="s">
        <v>221</v>
      </c>
      <c r="AB165" s="439">
        <v>2</v>
      </c>
      <c r="AC165" s="1572">
        <v>5.0000000000000001E-4</v>
      </c>
      <c r="AD165" s="1257">
        <v>1</v>
      </c>
      <c r="AE165" s="1257">
        <v>0</v>
      </c>
      <c r="AF165" s="1292" t="s">
        <v>144</v>
      </c>
      <c r="AG165" s="535" t="s">
        <v>221</v>
      </c>
      <c r="AH165" s="449" t="s">
        <v>221</v>
      </c>
      <c r="AI165" s="449" t="s">
        <v>221</v>
      </c>
      <c r="AJ165" s="449" t="s">
        <v>221</v>
      </c>
      <c r="AK165" s="449" t="str">
        <f t="shared" si="79"/>
        <v>no</v>
      </c>
      <c r="AL165" s="221" t="s">
        <v>232</v>
      </c>
      <c r="AM165" s="406" t="s">
        <v>232</v>
      </c>
      <c r="AN165" s="1330" t="str">
        <f t="shared" si="80"/>
        <v>na</v>
      </c>
      <c r="AP165" s="1062"/>
    </row>
    <row r="166" spans="1:42" ht="13.9" customHeight="1" x14ac:dyDescent="0.25">
      <c r="A166" s="846">
        <f>Chem!A166</f>
        <v>164</v>
      </c>
      <c r="B166" s="865" t="str">
        <f>Chem!B166</f>
        <v>2-Chloroethyl vinyl ether</v>
      </c>
      <c r="C166" s="384" t="s">
        <v>232</v>
      </c>
      <c r="D166" s="384" t="s">
        <v>232</v>
      </c>
      <c r="E166" s="387" t="str">
        <f t="shared" si="61"/>
        <v>na</v>
      </c>
      <c r="F166" s="387" t="str">
        <f t="shared" si="62"/>
        <v>na</v>
      </c>
      <c r="G166" s="387" t="s">
        <v>232</v>
      </c>
      <c r="H166" s="387" t="s">
        <v>232</v>
      </c>
      <c r="I166" s="387" t="str">
        <f t="shared" si="71"/>
        <v>na</v>
      </c>
      <c r="J166" s="387" t="str">
        <f t="shared" si="63"/>
        <v>na</v>
      </c>
      <c r="K166" s="400" t="s">
        <v>232</v>
      </c>
      <c r="L166" s="400" t="s">
        <v>232</v>
      </c>
      <c r="M166" s="400">
        <f t="shared" si="72"/>
        <v>0</v>
      </c>
      <c r="N166" s="271" t="s">
        <v>232</v>
      </c>
      <c r="O166" s="425" t="s">
        <v>232</v>
      </c>
      <c r="P166" s="1649">
        <v>0.8</v>
      </c>
      <c r="Q166" s="426" t="str">
        <f t="shared" si="73"/>
        <v>na</v>
      </c>
      <c r="R166" s="1666">
        <v>1</v>
      </c>
      <c r="S166" s="426" t="str">
        <f t="shared" si="74"/>
        <v>na</v>
      </c>
      <c r="T166" s="425" t="s">
        <v>232</v>
      </c>
      <c r="U166" s="426" t="str">
        <f t="shared" si="75"/>
        <v>na</v>
      </c>
      <c r="V166" s="1272" t="s">
        <v>232</v>
      </c>
      <c r="W166" s="1272" t="str">
        <f t="shared" si="76"/>
        <v>na</v>
      </c>
      <c r="X166" s="412" t="str">
        <f t="shared" si="77"/>
        <v>na</v>
      </c>
      <c r="Y166" s="1272" t="s">
        <v>232</v>
      </c>
      <c r="Z166" s="412" t="str">
        <f t="shared" si="78"/>
        <v>na</v>
      </c>
      <c r="AA166" s="412" t="s">
        <v>221</v>
      </c>
      <c r="AB166" s="439" t="s">
        <v>232</v>
      </c>
      <c r="AC166" s="1572" t="s">
        <v>232</v>
      </c>
      <c r="AD166" s="1257" t="s">
        <v>232</v>
      </c>
      <c r="AE166" s="1257">
        <v>0</v>
      </c>
      <c r="AF166" s="1292" t="s">
        <v>221</v>
      </c>
      <c r="AG166" s="535" t="s">
        <v>221</v>
      </c>
      <c r="AH166" s="449" t="s">
        <v>221</v>
      </c>
      <c r="AI166" s="449" t="s">
        <v>221</v>
      </c>
      <c r="AJ166" s="449" t="s">
        <v>221</v>
      </c>
      <c r="AK166" s="449" t="str">
        <f t="shared" si="79"/>
        <v>no</v>
      </c>
      <c r="AL166" s="221" t="s">
        <v>232</v>
      </c>
      <c r="AM166" s="406" t="s">
        <v>232</v>
      </c>
      <c r="AN166" s="1330" t="str">
        <f t="shared" si="80"/>
        <v>na</v>
      </c>
      <c r="AP166" s="1062"/>
    </row>
    <row r="167" spans="1:42" ht="13.9" customHeight="1" x14ac:dyDescent="0.25">
      <c r="A167" s="846">
        <f>Chem!A167</f>
        <v>165</v>
      </c>
      <c r="B167" s="865" t="str">
        <f>Chem!B167</f>
        <v>Chloroform</v>
      </c>
      <c r="C167" s="384">
        <v>53</v>
      </c>
      <c r="D167" s="384" t="s">
        <v>232</v>
      </c>
      <c r="E167" s="387">
        <f t="shared" si="61"/>
        <v>5.2999999999999999E-2</v>
      </c>
      <c r="F167" s="387">
        <f t="shared" si="62"/>
        <v>5.2999999999999999E-2</v>
      </c>
      <c r="G167" s="387" t="s">
        <v>232</v>
      </c>
      <c r="H167" s="387" t="s">
        <v>232</v>
      </c>
      <c r="I167" s="387">
        <f t="shared" si="71"/>
        <v>1.0069999999999999</v>
      </c>
      <c r="J167" s="387">
        <f t="shared" si="63"/>
        <v>1.0069999999999999</v>
      </c>
      <c r="K167" s="400">
        <v>9.1749846572671157E-2</v>
      </c>
      <c r="L167" s="400">
        <v>0.15004088307440699</v>
      </c>
      <c r="M167" s="400">
        <f t="shared" si="72"/>
        <v>9.1749846572671157E-2</v>
      </c>
      <c r="N167" s="271">
        <v>3.75</v>
      </c>
      <c r="O167" s="425">
        <v>0.01</v>
      </c>
      <c r="P167" s="1649">
        <v>0.8</v>
      </c>
      <c r="Q167" s="426">
        <f t="shared" si="73"/>
        <v>8.0000000000000002E-3</v>
      </c>
      <c r="R167" s="1666">
        <v>1</v>
      </c>
      <c r="S167" s="426">
        <f t="shared" si="74"/>
        <v>0.01</v>
      </c>
      <c r="T167" s="425">
        <v>2E-3</v>
      </c>
      <c r="U167" s="426">
        <f t="shared" si="75"/>
        <v>5.7142857142857147E-4</v>
      </c>
      <c r="V167" s="1272">
        <v>3.1E-2</v>
      </c>
      <c r="W167" s="1272">
        <f t="shared" si="76"/>
        <v>3.875E-2</v>
      </c>
      <c r="X167" s="412">
        <f t="shared" si="77"/>
        <v>3.1E-2</v>
      </c>
      <c r="Y167" s="1272">
        <v>2.3000000000000003E-5</v>
      </c>
      <c r="Z167" s="412">
        <f t="shared" si="78"/>
        <v>8.0500000000000016E-2</v>
      </c>
      <c r="AA167" s="412" t="s">
        <v>221</v>
      </c>
      <c r="AB167" s="439">
        <v>2</v>
      </c>
      <c r="AC167" s="1572">
        <v>5.0000000000000001E-4</v>
      </c>
      <c r="AD167" s="1257">
        <v>1</v>
      </c>
      <c r="AE167" s="1257">
        <v>0</v>
      </c>
      <c r="AF167" s="1292" t="s">
        <v>144</v>
      </c>
      <c r="AG167" s="535" t="s">
        <v>221</v>
      </c>
      <c r="AH167" s="449" t="s">
        <v>221</v>
      </c>
      <c r="AI167" s="449" t="s">
        <v>221</v>
      </c>
      <c r="AJ167" s="449" t="s">
        <v>221</v>
      </c>
      <c r="AK167" s="449" t="str">
        <f t="shared" si="79"/>
        <v>no</v>
      </c>
      <c r="AL167" s="221" t="s">
        <v>232</v>
      </c>
      <c r="AM167" s="406" t="s">
        <v>232</v>
      </c>
      <c r="AN167" s="1330" t="str">
        <f t="shared" si="80"/>
        <v>na</v>
      </c>
      <c r="AP167" s="1062"/>
    </row>
    <row r="168" spans="1:42" ht="13.9" customHeight="1" x14ac:dyDescent="0.25">
      <c r="A168" s="846">
        <f>Chem!A168</f>
        <v>166</v>
      </c>
      <c r="B168" s="865" t="str">
        <f>Chem!B168</f>
        <v>Chloromethane</v>
      </c>
      <c r="C168" s="384">
        <v>6</v>
      </c>
      <c r="D168" s="384" t="s">
        <v>232</v>
      </c>
      <c r="E168" s="387">
        <f t="shared" si="61"/>
        <v>6.0000000000000001E-3</v>
      </c>
      <c r="F168" s="387">
        <f t="shared" si="62"/>
        <v>6.0000000000000001E-3</v>
      </c>
      <c r="G168" s="387" t="s">
        <v>232</v>
      </c>
      <c r="H168" s="387" t="s">
        <v>232</v>
      </c>
      <c r="I168" s="387">
        <f t="shared" si="71"/>
        <v>0.11399999999999999</v>
      </c>
      <c r="J168" s="387">
        <f t="shared" si="63"/>
        <v>0.11399999999999999</v>
      </c>
      <c r="K168" s="400">
        <v>0.26910016390634151</v>
      </c>
      <c r="L168" s="400">
        <v>0.36058871627146399</v>
      </c>
      <c r="M168" s="400">
        <f t="shared" si="72"/>
        <v>0.26910016390634151</v>
      </c>
      <c r="N168" s="271">
        <v>3.75</v>
      </c>
      <c r="O168" s="425" t="s">
        <v>232</v>
      </c>
      <c r="P168" s="1649">
        <v>0.8</v>
      </c>
      <c r="Q168" s="426" t="str">
        <f t="shared" si="73"/>
        <v>na</v>
      </c>
      <c r="R168" s="1666">
        <v>1</v>
      </c>
      <c r="S168" s="426" t="str">
        <f t="shared" si="74"/>
        <v>na</v>
      </c>
      <c r="T168" s="425">
        <v>8.9999999999999983E-2</v>
      </c>
      <c r="U168" s="426">
        <f t="shared" si="75"/>
        <v>2.5714285714285707E-2</v>
      </c>
      <c r="V168" s="1272" t="s">
        <v>232</v>
      </c>
      <c r="W168" s="1272" t="str">
        <f t="shared" si="76"/>
        <v>na</v>
      </c>
      <c r="X168" s="412" t="str">
        <f t="shared" si="77"/>
        <v>na</v>
      </c>
      <c r="Y168" s="1272" t="s">
        <v>232</v>
      </c>
      <c r="Z168" s="412" t="str">
        <f t="shared" si="78"/>
        <v>na</v>
      </c>
      <c r="AA168" s="412" t="s">
        <v>221</v>
      </c>
      <c r="AB168" s="439">
        <v>2</v>
      </c>
      <c r="AC168" s="1572">
        <v>5.0000000000000001E-4</v>
      </c>
      <c r="AD168" s="1257">
        <v>1</v>
      </c>
      <c r="AE168" s="1257">
        <v>0</v>
      </c>
      <c r="AF168" s="1292" t="s">
        <v>144</v>
      </c>
      <c r="AG168" s="535" t="s">
        <v>221</v>
      </c>
      <c r="AH168" s="449" t="s">
        <v>221</v>
      </c>
      <c r="AI168" s="449" t="s">
        <v>221</v>
      </c>
      <c r="AJ168" s="449" t="s">
        <v>221</v>
      </c>
      <c r="AK168" s="449" t="str">
        <f t="shared" si="79"/>
        <v>no</v>
      </c>
      <c r="AL168" s="221" t="s">
        <v>232</v>
      </c>
      <c r="AM168" s="406" t="s">
        <v>232</v>
      </c>
      <c r="AN168" s="1330" t="str">
        <f t="shared" si="80"/>
        <v>na</v>
      </c>
      <c r="AP168" s="1062"/>
    </row>
    <row r="169" spans="1:42" ht="13.9" customHeight="1" x14ac:dyDescent="0.25">
      <c r="A169" s="846">
        <f>Chem!A169</f>
        <v>167</v>
      </c>
      <c r="B169" s="865" t="str">
        <f>Chem!B169</f>
        <v>3-Chloro-1-propene (allyl chloride)</v>
      </c>
      <c r="C169" s="384">
        <v>39.6</v>
      </c>
      <c r="D169" s="384" t="s">
        <v>232</v>
      </c>
      <c r="E169" s="387">
        <f t="shared" si="61"/>
        <v>3.9600000000000003E-2</v>
      </c>
      <c r="F169" s="387">
        <f t="shared" si="62"/>
        <v>3.9600000000000003E-2</v>
      </c>
      <c r="G169" s="387" t="s">
        <v>232</v>
      </c>
      <c r="H169" s="387" t="s">
        <v>232</v>
      </c>
      <c r="I169" s="387">
        <f t="shared" si="71"/>
        <v>0.75239999999999996</v>
      </c>
      <c r="J169" s="387">
        <f t="shared" si="63"/>
        <v>0.75239999999999996</v>
      </c>
      <c r="K169" s="400">
        <v>0.27939553309613074</v>
      </c>
      <c r="L169" s="400">
        <v>0.44971381847914998</v>
      </c>
      <c r="M169" s="400">
        <f t="shared" si="72"/>
        <v>0.27939553309613074</v>
      </c>
      <c r="N169" s="271" t="s">
        <v>232</v>
      </c>
      <c r="O169" s="425" t="s">
        <v>232</v>
      </c>
      <c r="P169" s="1649">
        <v>0.8</v>
      </c>
      <c r="Q169" s="426" t="str">
        <f t="shared" si="73"/>
        <v>na</v>
      </c>
      <c r="R169" s="1666">
        <v>1</v>
      </c>
      <c r="S169" s="426" t="str">
        <f t="shared" si="74"/>
        <v>na</v>
      </c>
      <c r="T169" s="425">
        <v>1E-3</v>
      </c>
      <c r="U169" s="426">
        <f t="shared" si="75"/>
        <v>2.8571428571428574E-4</v>
      </c>
      <c r="V169" s="1272">
        <v>2.1000000000000001E-2</v>
      </c>
      <c r="W169" s="1272">
        <f t="shared" si="76"/>
        <v>2.6249999999999999E-2</v>
      </c>
      <c r="X169" s="412">
        <f t="shared" si="77"/>
        <v>2.1000000000000001E-2</v>
      </c>
      <c r="Y169" s="1272">
        <v>6.000000000000001E-6</v>
      </c>
      <c r="Z169" s="412">
        <f t="shared" si="78"/>
        <v>2.1000000000000005E-2</v>
      </c>
      <c r="AA169" s="412" t="s">
        <v>221</v>
      </c>
      <c r="AB169" s="439">
        <v>2</v>
      </c>
      <c r="AC169" s="1572">
        <v>5.0000000000000001E-4</v>
      </c>
      <c r="AD169" s="1257">
        <v>1</v>
      </c>
      <c r="AE169" s="1257">
        <v>0</v>
      </c>
      <c r="AF169" s="1292" t="s">
        <v>144</v>
      </c>
      <c r="AG169" s="535" t="s">
        <v>221</v>
      </c>
      <c r="AH169" s="449" t="s">
        <v>221</v>
      </c>
      <c r="AI169" s="449" t="s">
        <v>221</v>
      </c>
      <c r="AJ169" s="449" t="s">
        <v>221</v>
      </c>
      <c r="AK169" s="449" t="str">
        <f t="shared" si="79"/>
        <v>no</v>
      </c>
      <c r="AL169" s="221" t="s">
        <v>232</v>
      </c>
      <c r="AM169" s="406" t="s">
        <v>232</v>
      </c>
      <c r="AN169" s="1330" t="str">
        <f t="shared" si="80"/>
        <v>na</v>
      </c>
      <c r="AP169" s="1062"/>
    </row>
    <row r="170" spans="1:42" ht="13.9" customHeight="1" x14ac:dyDescent="0.25">
      <c r="A170" s="846">
        <f>Chem!A170</f>
        <v>168</v>
      </c>
      <c r="B170" s="865" t="str">
        <f>Chem!B170</f>
        <v>2-Chlorotoluene</v>
      </c>
      <c r="C170" s="384">
        <v>383</v>
      </c>
      <c r="D170" s="384" t="s">
        <v>232</v>
      </c>
      <c r="E170" s="387">
        <f t="shared" si="61"/>
        <v>0.38300000000000001</v>
      </c>
      <c r="F170" s="387">
        <f t="shared" si="62"/>
        <v>0.38300000000000001</v>
      </c>
      <c r="G170" s="387" t="s">
        <v>232</v>
      </c>
      <c r="H170" s="387" t="s">
        <v>232</v>
      </c>
      <c r="I170" s="387">
        <f t="shared" si="71"/>
        <v>7.2770000000000001</v>
      </c>
      <c r="J170" s="387">
        <f t="shared" si="63"/>
        <v>7.2770000000000001</v>
      </c>
      <c r="K170" s="400">
        <v>7.076039778255426E-2</v>
      </c>
      <c r="L170" s="400">
        <v>0.14595257563368799</v>
      </c>
      <c r="M170" s="400">
        <f t="shared" si="72"/>
        <v>7.076039778255426E-2</v>
      </c>
      <c r="N170" s="271" t="s">
        <v>232</v>
      </c>
      <c r="O170" s="425">
        <v>0.02</v>
      </c>
      <c r="P170" s="1649">
        <v>0.8</v>
      </c>
      <c r="Q170" s="426">
        <f t="shared" si="73"/>
        <v>1.6E-2</v>
      </c>
      <c r="R170" s="1666">
        <v>1</v>
      </c>
      <c r="S170" s="426">
        <f t="shared" si="74"/>
        <v>0.02</v>
      </c>
      <c r="T170" s="425" t="s">
        <v>232</v>
      </c>
      <c r="U170" s="426" t="str">
        <f t="shared" si="75"/>
        <v>na</v>
      </c>
      <c r="V170" s="1272" t="s">
        <v>232</v>
      </c>
      <c r="W170" s="1272" t="str">
        <f t="shared" si="76"/>
        <v>na</v>
      </c>
      <c r="X170" s="412" t="str">
        <f t="shared" si="77"/>
        <v>na</v>
      </c>
      <c r="Y170" s="1272" t="s">
        <v>232</v>
      </c>
      <c r="Z170" s="412" t="str">
        <f t="shared" si="78"/>
        <v>na</v>
      </c>
      <c r="AA170" s="412" t="s">
        <v>221</v>
      </c>
      <c r="AB170" s="439">
        <v>2</v>
      </c>
      <c r="AC170" s="1572">
        <v>0.03</v>
      </c>
      <c r="AD170" s="1257">
        <v>1</v>
      </c>
      <c r="AE170" s="1257">
        <v>0</v>
      </c>
      <c r="AF170" s="1292" t="s">
        <v>221</v>
      </c>
      <c r="AG170" s="535" t="s">
        <v>221</v>
      </c>
      <c r="AH170" s="449" t="s">
        <v>221</v>
      </c>
      <c r="AI170" s="449" t="s">
        <v>221</v>
      </c>
      <c r="AJ170" s="449" t="s">
        <v>221</v>
      </c>
      <c r="AK170" s="449" t="str">
        <f t="shared" si="79"/>
        <v>no</v>
      </c>
      <c r="AL170" s="221" t="s">
        <v>232</v>
      </c>
      <c r="AM170" s="406" t="s">
        <v>232</v>
      </c>
      <c r="AN170" s="1330" t="str">
        <f t="shared" si="80"/>
        <v>na</v>
      </c>
      <c r="AP170" s="1062"/>
    </row>
    <row r="171" spans="1:42" ht="13.9" customHeight="1" x14ac:dyDescent="0.25">
      <c r="A171" s="846">
        <f>Chem!A171</f>
        <v>169</v>
      </c>
      <c r="B171" s="865" t="str">
        <f>Chem!B171</f>
        <v>4-Chlorotoluene</v>
      </c>
      <c r="C171" s="384">
        <v>375</v>
      </c>
      <c r="D171" s="384" t="s">
        <v>232</v>
      </c>
      <c r="E171" s="387">
        <f t="shared" si="61"/>
        <v>0.375</v>
      </c>
      <c r="F171" s="387">
        <f t="shared" si="62"/>
        <v>0.375</v>
      </c>
      <c r="G171" s="387" t="s">
        <v>232</v>
      </c>
      <c r="H171" s="387" t="s">
        <v>232</v>
      </c>
      <c r="I171" s="387">
        <f t="shared" si="71"/>
        <v>7.125</v>
      </c>
      <c r="J171" s="387">
        <f t="shared" si="63"/>
        <v>7.125</v>
      </c>
      <c r="K171" s="400">
        <v>8.0724687642473356E-2</v>
      </c>
      <c r="L171" s="400">
        <v>0.179067865903516</v>
      </c>
      <c r="M171" s="400">
        <f t="shared" si="72"/>
        <v>8.0724687642473356E-2</v>
      </c>
      <c r="N171" s="271" t="s">
        <v>232</v>
      </c>
      <c r="O171" s="425">
        <v>0.02</v>
      </c>
      <c r="P171" s="1649">
        <v>0.8</v>
      </c>
      <c r="Q171" s="426">
        <f t="shared" si="73"/>
        <v>1.6E-2</v>
      </c>
      <c r="R171" s="1666">
        <v>1</v>
      </c>
      <c r="S171" s="426">
        <f t="shared" si="74"/>
        <v>0.02</v>
      </c>
      <c r="T171" s="425" t="s">
        <v>232</v>
      </c>
      <c r="U171" s="426" t="str">
        <f t="shared" si="75"/>
        <v>na</v>
      </c>
      <c r="V171" s="1272" t="s">
        <v>232</v>
      </c>
      <c r="W171" s="1272" t="str">
        <f t="shared" si="76"/>
        <v>na</v>
      </c>
      <c r="X171" s="412" t="str">
        <f t="shared" si="77"/>
        <v>na</v>
      </c>
      <c r="Y171" s="1272" t="s">
        <v>232</v>
      </c>
      <c r="Z171" s="412" t="str">
        <f t="shared" si="78"/>
        <v>na</v>
      </c>
      <c r="AA171" s="412" t="s">
        <v>221</v>
      </c>
      <c r="AB171" s="439">
        <v>2</v>
      </c>
      <c r="AC171" s="1572">
        <v>0.03</v>
      </c>
      <c r="AD171" s="1257">
        <v>1</v>
      </c>
      <c r="AE171" s="1257">
        <v>0</v>
      </c>
      <c r="AF171" s="1292" t="s">
        <v>221</v>
      </c>
      <c r="AG171" s="535" t="s">
        <v>221</v>
      </c>
      <c r="AH171" s="449" t="s">
        <v>221</v>
      </c>
      <c r="AI171" s="449" t="s">
        <v>221</v>
      </c>
      <c r="AJ171" s="449" t="s">
        <v>221</v>
      </c>
      <c r="AK171" s="449" t="str">
        <f t="shared" si="79"/>
        <v>no</v>
      </c>
      <c r="AL171" s="221" t="s">
        <v>232</v>
      </c>
      <c r="AM171" s="406" t="s">
        <v>232</v>
      </c>
      <c r="AN171" s="1330" t="str">
        <f t="shared" si="80"/>
        <v>na</v>
      </c>
      <c r="AP171" s="1062"/>
    </row>
    <row r="172" spans="1:42" ht="13.9" customHeight="1" x14ac:dyDescent="0.25">
      <c r="A172" s="846">
        <f>Chem!A172</f>
        <v>170</v>
      </c>
      <c r="B172" s="865" t="str">
        <f>Chem!B172</f>
        <v>Dibromochloromethane</v>
      </c>
      <c r="C172" s="384">
        <v>31.8</v>
      </c>
      <c r="D172" s="384" t="s">
        <v>232</v>
      </c>
      <c r="E172" s="387">
        <f t="shared" si="61"/>
        <v>3.1800000000000002E-2</v>
      </c>
      <c r="F172" s="387">
        <f t="shared" si="62"/>
        <v>3.1800000000000002E-2</v>
      </c>
      <c r="G172" s="387" t="s">
        <v>232</v>
      </c>
      <c r="H172" s="387" t="s">
        <v>232</v>
      </c>
      <c r="I172" s="387">
        <f t="shared" si="71"/>
        <v>0.60419999999999996</v>
      </c>
      <c r="J172" s="387">
        <f t="shared" si="63"/>
        <v>0.60419999999999996</v>
      </c>
      <c r="K172" s="400">
        <v>2.1021467943253914E-2</v>
      </c>
      <c r="L172" s="400">
        <v>3.2011447260833999E-2</v>
      </c>
      <c r="M172" s="400">
        <f t="shared" si="72"/>
        <v>2.1021467943253914E-2</v>
      </c>
      <c r="N172" s="271">
        <v>3.75</v>
      </c>
      <c r="O172" s="425">
        <v>0.02</v>
      </c>
      <c r="P172" s="1649">
        <v>0.8</v>
      </c>
      <c r="Q172" s="426">
        <f t="shared" si="73"/>
        <v>1.6E-2</v>
      </c>
      <c r="R172" s="1666">
        <v>1</v>
      </c>
      <c r="S172" s="426">
        <f t="shared" si="74"/>
        <v>0.02</v>
      </c>
      <c r="T172" s="425" t="s">
        <v>232</v>
      </c>
      <c r="U172" s="426" t="str">
        <f t="shared" si="75"/>
        <v>na</v>
      </c>
      <c r="V172" s="1272">
        <v>8.4000000000000005E-2</v>
      </c>
      <c r="W172" s="1272">
        <f t="shared" si="76"/>
        <v>0.105</v>
      </c>
      <c r="X172" s="412">
        <f t="shared" si="77"/>
        <v>8.4000000000000005E-2</v>
      </c>
      <c r="Y172" s="1272" t="s">
        <v>232</v>
      </c>
      <c r="Z172" s="412" t="str">
        <f t="shared" si="78"/>
        <v>na</v>
      </c>
      <c r="AA172" s="412" t="s">
        <v>221</v>
      </c>
      <c r="AB172" s="439">
        <v>2</v>
      </c>
      <c r="AC172" s="1572">
        <v>0.03</v>
      </c>
      <c r="AD172" s="1257">
        <v>1</v>
      </c>
      <c r="AE172" s="1257">
        <v>0</v>
      </c>
      <c r="AF172" s="1292" t="s">
        <v>221</v>
      </c>
      <c r="AG172" s="535" t="s">
        <v>221</v>
      </c>
      <c r="AH172" s="449" t="s">
        <v>221</v>
      </c>
      <c r="AI172" s="449" t="s">
        <v>221</v>
      </c>
      <c r="AJ172" s="449" t="s">
        <v>221</v>
      </c>
      <c r="AK172" s="449" t="str">
        <f t="shared" si="79"/>
        <v>no</v>
      </c>
      <c r="AL172" s="221" t="s">
        <v>232</v>
      </c>
      <c r="AM172" s="406" t="s">
        <v>232</v>
      </c>
      <c r="AN172" s="1330" t="str">
        <f t="shared" si="80"/>
        <v>na</v>
      </c>
      <c r="AP172" s="1062"/>
    </row>
    <row r="173" spans="1:42" ht="13.9" customHeight="1" x14ac:dyDescent="0.25">
      <c r="A173" s="846">
        <f>Chem!A173</f>
        <v>171</v>
      </c>
      <c r="B173" s="1838" t="str">
        <f>Chem!B173</f>
        <v>1,2-Dibromo-3-chloropropane</v>
      </c>
      <c r="C173" s="384">
        <v>116</v>
      </c>
      <c r="D173" s="384" t="s">
        <v>232</v>
      </c>
      <c r="E173" s="387">
        <f t="shared" si="61"/>
        <v>0.11600000000000001</v>
      </c>
      <c r="F173" s="387">
        <f t="shared" si="62"/>
        <v>0.11600000000000001</v>
      </c>
      <c r="G173" s="387" t="s">
        <v>232</v>
      </c>
      <c r="H173" s="387" t="s">
        <v>232</v>
      </c>
      <c r="I173" s="387">
        <f t="shared" si="71"/>
        <v>2.2039999999999997</v>
      </c>
      <c r="J173" s="387">
        <f t="shared" si="63"/>
        <v>2.2039999999999997</v>
      </c>
      <c r="K173" s="400">
        <v>2.60438041827246E-3</v>
      </c>
      <c r="L173" s="400">
        <v>6.0098119378577302E-3</v>
      </c>
      <c r="M173" s="400">
        <f t="shared" si="72"/>
        <v>2.60438041827246E-3</v>
      </c>
      <c r="N173" s="271" t="s">
        <v>232</v>
      </c>
      <c r="O173" s="425">
        <v>2.0000000000000001E-4</v>
      </c>
      <c r="P173" s="1649">
        <v>0.8</v>
      </c>
      <c r="Q173" s="426">
        <f t="shared" si="73"/>
        <v>1.6000000000000001E-4</v>
      </c>
      <c r="R173" s="1666">
        <v>1</v>
      </c>
      <c r="S173" s="426">
        <f t="shared" si="74"/>
        <v>2.0000000000000001E-4</v>
      </c>
      <c r="T173" s="425">
        <v>1.9999999999999998E-4</v>
      </c>
      <c r="U173" s="426">
        <f t="shared" si="75"/>
        <v>5.7142857142857142E-5</v>
      </c>
      <c r="V173" s="1272">
        <v>0.8</v>
      </c>
      <c r="W173" s="1272">
        <f t="shared" si="76"/>
        <v>1</v>
      </c>
      <c r="X173" s="412">
        <f t="shared" si="77"/>
        <v>0.8</v>
      </c>
      <c r="Y173" s="1272">
        <v>6.0000000000000001E-3</v>
      </c>
      <c r="Z173" s="412">
        <f t="shared" si="78"/>
        <v>21</v>
      </c>
      <c r="AA173" s="412" t="s">
        <v>144</v>
      </c>
      <c r="AB173" s="439">
        <v>2</v>
      </c>
      <c r="AC173" s="1572">
        <v>0.03</v>
      </c>
      <c r="AD173" s="1257">
        <v>1</v>
      </c>
      <c r="AE173" s="1257">
        <v>0</v>
      </c>
      <c r="AF173" s="1292" t="s">
        <v>144</v>
      </c>
      <c r="AG173" s="535" t="s">
        <v>221</v>
      </c>
      <c r="AH173" s="449" t="s">
        <v>221</v>
      </c>
      <c r="AI173" s="449" t="s">
        <v>221</v>
      </c>
      <c r="AJ173" s="449" t="s">
        <v>221</v>
      </c>
      <c r="AK173" s="449" t="str">
        <f t="shared" si="79"/>
        <v>no</v>
      </c>
      <c r="AL173" s="221" t="s">
        <v>232</v>
      </c>
      <c r="AM173" s="406" t="s">
        <v>232</v>
      </c>
      <c r="AN173" s="1330" t="str">
        <f t="shared" si="80"/>
        <v>na</v>
      </c>
      <c r="AP173" s="1062"/>
    </row>
    <row r="174" spans="1:42" ht="13.9" customHeight="1" x14ac:dyDescent="0.25">
      <c r="A174" s="846">
        <f>Chem!A174</f>
        <v>172</v>
      </c>
      <c r="B174" s="865" t="str">
        <f>Chem!B174</f>
        <v>Dibromomethane</v>
      </c>
      <c r="C174" s="384">
        <v>21.73</v>
      </c>
      <c r="D174" s="384" t="s">
        <v>232</v>
      </c>
      <c r="E174" s="387">
        <f t="shared" si="61"/>
        <v>2.1729999999999999E-2</v>
      </c>
      <c r="F174" s="387">
        <f t="shared" si="62"/>
        <v>2.1729999999999999E-2</v>
      </c>
      <c r="G174" s="387" t="s">
        <v>232</v>
      </c>
      <c r="H174" s="387" t="s">
        <v>232</v>
      </c>
      <c r="I174" s="387">
        <f t="shared" si="71"/>
        <v>0.41287000000000001</v>
      </c>
      <c r="J174" s="387">
        <f t="shared" si="63"/>
        <v>0.41287000000000001</v>
      </c>
      <c r="K174" s="400">
        <v>1.8920517409290297E-2</v>
      </c>
      <c r="L174" s="400">
        <v>3.36058871627146E-2</v>
      </c>
      <c r="M174" s="400">
        <f t="shared" si="72"/>
        <v>1.8920517409290297E-2</v>
      </c>
      <c r="N174" s="271" t="s">
        <v>232</v>
      </c>
      <c r="O174" s="425">
        <v>0.01</v>
      </c>
      <c r="P174" s="1649">
        <v>0.8</v>
      </c>
      <c r="Q174" s="426">
        <f t="shared" si="73"/>
        <v>8.0000000000000002E-3</v>
      </c>
      <c r="R174" s="1666">
        <v>1</v>
      </c>
      <c r="S174" s="426">
        <f t="shared" si="74"/>
        <v>0.01</v>
      </c>
      <c r="T174" s="425">
        <v>4.0000000000000001E-3</v>
      </c>
      <c r="U174" s="426">
        <f t="shared" si="75"/>
        <v>1.1428571428571429E-3</v>
      </c>
      <c r="V174" s="1272" t="s">
        <v>232</v>
      </c>
      <c r="W174" s="1272" t="str">
        <f t="shared" si="76"/>
        <v>na</v>
      </c>
      <c r="X174" s="412" t="str">
        <f t="shared" si="77"/>
        <v>na</v>
      </c>
      <c r="Y174" s="1272" t="s">
        <v>232</v>
      </c>
      <c r="Z174" s="412" t="str">
        <f t="shared" si="78"/>
        <v>na</v>
      </c>
      <c r="AA174" s="412" t="s">
        <v>221</v>
      </c>
      <c r="AB174" s="439">
        <v>2</v>
      </c>
      <c r="AC174" s="1572">
        <v>0.03</v>
      </c>
      <c r="AD174" s="1257">
        <v>1</v>
      </c>
      <c r="AE174" s="1257">
        <v>0</v>
      </c>
      <c r="AF174" s="1292" t="s">
        <v>144</v>
      </c>
      <c r="AG174" s="535" t="s">
        <v>221</v>
      </c>
      <c r="AH174" s="449" t="s">
        <v>221</v>
      </c>
      <c r="AI174" s="449" t="s">
        <v>221</v>
      </c>
      <c r="AJ174" s="449" t="s">
        <v>221</v>
      </c>
      <c r="AK174" s="449" t="str">
        <f t="shared" si="79"/>
        <v>no</v>
      </c>
      <c r="AL174" s="221" t="s">
        <v>232</v>
      </c>
      <c r="AM174" s="406" t="s">
        <v>232</v>
      </c>
      <c r="AN174" s="1330" t="str">
        <f t="shared" si="80"/>
        <v>na</v>
      </c>
      <c r="AP174" s="1062"/>
    </row>
    <row r="175" spans="1:42" ht="13.9" customHeight="1" x14ac:dyDescent="0.25">
      <c r="A175" s="846">
        <f>Chem!A175</f>
        <v>173</v>
      </c>
      <c r="B175" s="865" t="str">
        <f>Chem!B175</f>
        <v>Dichlorobromomethane</v>
      </c>
      <c r="C175" s="384">
        <v>31.8</v>
      </c>
      <c r="D175" s="384" t="s">
        <v>232</v>
      </c>
      <c r="E175" s="387">
        <f t="shared" si="61"/>
        <v>3.1800000000000002E-2</v>
      </c>
      <c r="F175" s="387">
        <f t="shared" si="62"/>
        <v>3.1800000000000002E-2</v>
      </c>
      <c r="G175" s="387" t="s">
        <v>232</v>
      </c>
      <c r="H175" s="387" t="s">
        <v>232</v>
      </c>
      <c r="I175" s="387">
        <f t="shared" si="71"/>
        <v>0.60419999999999996</v>
      </c>
      <c r="J175" s="387">
        <f t="shared" si="63"/>
        <v>0.60419999999999996</v>
      </c>
      <c r="K175" s="400">
        <v>4.8987240901005022E-2</v>
      </c>
      <c r="L175" s="400">
        <v>8.6672117743254298E-2</v>
      </c>
      <c r="M175" s="400">
        <f t="shared" si="72"/>
        <v>4.8987240901005022E-2</v>
      </c>
      <c r="N175" s="271">
        <v>3.75</v>
      </c>
      <c r="O175" s="425">
        <v>0.02</v>
      </c>
      <c r="P175" s="1649">
        <v>0.8</v>
      </c>
      <c r="Q175" s="426">
        <f t="shared" si="73"/>
        <v>1.6E-2</v>
      </c>
      <c r="R175" s="1666">
        <v>1</v>
      </c>
      <c r="S175" s="426">
        <f t="shared" si="74"/>
        <v>0.02</v>
      </c>
      <c r="T175" s="425" t="s">
        <v>232</v>
      </c>
      <c r="U175" s="426" t="str">
        <f t="shared" si="75"/>
        <v>na</v>
      </c>
      <c r="V175" s="1272">
        <v>6.2E-2</v>
      </c>
      <c r="W175" s="1272">
        <f t="shared" si="76"/>
        <v>7.7499999999999999E-2</v>
      </c>
      <c r="X175" s="412">
        <f t="shared" si="77"/>
        <v>6.2E-2</v>
      </c>
      <c r="Y175" s="1272">
        <v>3.7000000000000005E-5</v>
      </c>
      <c r="Z175" s="412">
        <f t="shared" si="78"/>
        <v>0.1295</v>
      </c>
      <c r="AA175" s="412" t="s">
        <v>221</v>
      </c>
      <c r="AB175" s="439">
        <v>2</v>
      </c>
      <c r="AC175" s="1572">
        <v>0.03</v>
      </c>
      <c r="AD175" s="1257">
        <v>1</v>
      </c>
      <c r="AE175" s="1257">
        <v>0</v>
      </c>
      <c r="AF175" s="1292" t="s">
        <v>144</v>
      </c>
      <c r="AG175" s="535" t="s">
        <v>221</v>
      </c>
      <c r="AH175" s="449" t="s">
        <v>221</v>
      </c>
      <c r="AI175" s="449" t="s">
        <v>221</v>
      </c>
      <c r="AJ175" s="449" t="s">
        <v>221</v>
      </c>
      <c r="AK175" s="449" t="str">
        <f t="shared" si="79"/>
        <v>no</v>
      </c>
      <c r="AL175" s="221" t="s">
        <v>232</v>
      </c>
      <c r="AM175" s="406" t="s">
        <v>232</v>
      </c>
      <c r="AN175" s="1330" t="str">
        <f t="shared" si="80"/>
        <v>na</v>
      </c>
      <c r="AP175" s="1062"/>
    </row>
    <row r="176" spans="1:42" ht="13.9" customHeight="1" x14ac:dyDescent="0.25">
      <c r="A176" s="846">
        <f>Chem!A176</f>
        <v>174</v>
      </c>
      <c r="B176" s="865" t="str">
        <f>Chem!B176</f>
        <v>trans-1,4-Dichloro-2-butene</v>
      </c>
      <c r="C176" s="384">
        <v>132</v>
      </c>
      <c r="D176" s="384" t="s">
        <v>232</v>
      </c>
      <c r="E176" s="387">
        <f t="shared" si="61"/>
        <v>0.13200000000000001</v>
      </c>
      <c r="F176" s="387">
        <f t="shared" si="62"/>
        <v>0.13200000000000001</v>
      </c>
      <c r="G176" s="387" t="s">
        <v>232</v>
      </c>
      <c r="H176" s="387" t="s">
        <v>232</v>
      </c>
      <c r="I176" s="387">
        <f t="shared" si="71"/>
        <v>2.508</v>
      </c>
      <c r="J176" s="387">
        <f t="shared" si="63"/>
        <v>2.508</v>
      </c>
      <c r="K176" s="400">
        <v>1.2956406270293997E-2</v>
      </c>
      <c r="L176" s="400">
        <v>2.71463614063778E-2</v>
      </c>
      <c r="M176" s="400">
        <f t="shared" si="72"/>
        <v>1.2956406270293997E-2</v>
      </c>
      <c r="N176" s="271" t="s">
        <v>232</v>
      </c>
      <c r="O176" s="425" t="s">
        <v>232</v>
      </c>
      <c r="P176" s="1649">
        <v>0.8</v>
      </c>
      <c r="Q176" s="426" t="str">
        <f t="shared" si="73"/>
        <v>na</v>
      </c>
      <c r="R176" s="1666">
        <v>1</v>
      </c>
      <c r="S176" s="426" t="str">
        <f t="shared" si="74"/>
        <v>na</v>
      </c>
      <c r="T176" s="425" t="s">
        <v>232</v>
      </c>
      <c r="U176" s="426" t="str">
        <f t="shared" si="75"/>
        <v>na</v>
      </c>
      <c r="V176" s="1272" t="s">
        <v>232</v>
      </c>
      <c r="W176" s="1272" t="str">
        <f t="shared" si="76"/>
        <v>na</v>
      </c>
      <c r="X176" s="412" t="str">
        <f t="shared" si="77"/>
        <v>na</v>
      </c>
      <c r="Y176" s="1272">
        <v>4.1999999999999997E-3</v>
      </c>
      <c r="Z176" s="412">
        <f t="shared" si="78"/>
        <v>14.7</v>
      </c>
      <c r="AA176" s="412" t="s">
        <v>221</v>
      </c>
      <c r="AB176" s="439">
        <v>2</v>
      </c>
      <c r="AC176" s="1572">
        <v>0.03</v>
      </c>
      <c r="AD176" s="1257">
        <v>1</v>
      </c>
      <c r="AE176" s="1257">
        <v>0</v>
      </c>
      <c r="AF176" s="1292" t="s">
        <v>221</v>
      </c>
      <c r="AG176" s="535" t="s">
        <v>221</v>
      </c>
      <c r="AH176" s="449" t="s">
        <v>221</v>
      </c>
      <c r="AI176" s="449" t="s">
        <v>221</v>
      </c>
      <c r="AJ176" s="449" t="s">
        <v>221</v>
      </c>
      <c r="AK176" s="449" t="str">
        <f t="shared" si="79"/>
        <v>no</v>
      </c>
      <c r="AL176" s="221" t="s">
        <v>232</v>
      </c>
      <c r="AM176" s="406" t="s">
        <v>232</v>
      </c>
      <c r="AN176" s="1330" t="str">
        <f t="shared" si="80"/>
        <v>na</v>
      </c>
      <c r="AP176" s="1062"/>
    </row>
    <row r="177" spans="1:42" ht="13.9" customHeight="1" x14ac:dyDescent="0.25">
      <c r="A177" s="846">
        <f>Chem!A177</f>
        <v>175</v>
      </c>
      <c r="B177" s="866" t="str">
        <f>Chem!B177</f>
        <v>Dichlorodifluoromethane</v>
      </c>
      <c r="C177" s="394">
        <v>43.9</v>
      </c>
      <c r="D177" s="394" t="s">
        <v>232</v>
      </c>
      <c r="E177" s="387">
        <f t="shared" si="61"/>
        <v>4.3900000000000002E-2</v>
      </c>
      <c r="F177" s="387">
        <f t="shared" si="62"/>
        <v>4.3900000000000002E-2</v>
      </c>
      <c r="G177" s="387" t="s">
        <v>232</v>
      </c>
      <c r="H177" s="387" t="s">
        <v>232</v>
      </c>
      <c r="I177" s="387">
        <f t="shared" si="71"/>
        <v>0.83409999999999995</v>
      </c>
      <c r="J177" s="387">
        <f t="shared" si="63"/>
        <v>0.83409999999999995</v>
      </c>
      <c r="K177" s="407">
        <v>10.827014872186989</v>
      </c>
      <c r="L177" s="407">
        <v>14.022894521668</v>
      </c>
      <c r="M177" s="407">
        <f t="shared" si="72"/>
        <v>10.827014872186989</v>
      </c>
      <c r="N177" s="217" t="s">
        <v>232</v>
      </c>
      <c r="O177" s="425">
        <v>0.2</v>
      </c>
      <c r="P177" s="1649">
        <v>0.8</v>
      </c>
      <c r="Q177" s="435">
        <f t="shared" si="73"/>
        <v>0.16000000000000003</v>
      </c>
      <c r="R177" s="1679">
        <v>1</v>
      </c>
      <c r="S177" s="435">
        <f t="shared" si="74"/>
        <v>0.2</v>
      </c>
      <c r="T177" s="1267">
        <v>9.9999999999999992E-2</v>
      </c>
      <c r="U177" s="435">
        <f t="shared" si="75"/>
        <v>2.8571428571428567E-2</v>
      </c>
      <c r="V177" s="1277" t="s">
        <v>232</v>
      </c>
      <c r="W177" s="1277" t="str">
        <f t="shared" si="76"/>
        <v>na</v>
      </c>
      <c r="X177" s="418" t="str">
        <f t="shared" si="77"/>
        <v>na</v>
      </c>
      <c r="Y177" s="1277" t="s">
        <v>232</v>
      </c>
      <c r="Z177" s="418" t="str">
        <f t="shared" si="78"/>
        <v>na</v>
      </c>
      <c r="AA177" s="418" t="s">
        <v>221</v>
      </c>
      <c r="AB177" s="439">
        <v>2</v>
      </c>
      <c r="AC177" s="1574">
        <v>5.0000000000000001E-4</v>
      </c>
      <c r="AD177" s="1262">
        <v>1</v>
      </c>
      <c r="AE177" s="1262">
        <v>0</v>
      </c>
      <c r="AF177" s="1292" t="s">
        <v>144</v>
      </c>
      <c r="AG177" s="539" t="s">
        <v>221</v>
      </c>
      <c r="AH177" s="341" t="s">
        <v>221</v>
      </c>
      <c r="AI177" s="341" t="s">
        <v>221</v>
      </c>
      <c r="AJ177" s="341" t="s">
        <v>221</v>
      </c>
      <c r="AK177" s="449" t="str">
        <f t="shared" si="79"/>
        <v>no</v>
      </c>
      <c r="AL177" s="221" t="s">
        <v>232</v>
      </c>
      <c r="AM177" s="406" t="s">
        <v>232</v>
      </c>
      <c r="AN177" s="1330" t="str">
        <f t="shared" si="80"/>
        <v>na</v>
      </c>
      <c r="AP177" s="1062"/>
    </row>
    <row r="178" spans="1:42" ht="13.9" customHeight="1" x14ac:dyDescent="0.25">
      <c r="A178" s="846">
        <f>Chem!A178</f>
        <v>176</v>
      </c>
      <c r="B178" s="865" t="str">
        <f>Chem!B178</f>
        <v>1,1-Dichloroethane</v>
      </c>
      <c r="C178" s="384">
        <v>53</v>
      </c>
      <c r="D178" s="384" t="s">
        <v>232</v>
      </c>
      <c r="E178" s="387">
        <f t="shared" si="61"/>
        <v>5.2999999999999999E-2</v>
      </c>
      <c r="F178" s="387">
        <f t="shared" si="62"/>
        <v>5.2999999999999999E-2</v>
      </c>
      <c r="G178" s="387" t="s">
        <v>232</v>
      </c>
      <c r="H178" s="387" t="s">
        <v>232</v>
      </c>
      <c r="I178" s="387">
        <f t="shared" ref="I178:I209" si="81">IF(C178="na","na",C178*J$1)</f>
        <v>1.0069999999999999</v>
      </c>
      <c r="J178" s="387">
        <f t="shared" si="63"/>
        <v>1.0069999999999999</v>
      </c>
      <c r="K178" s="400">
        <v>0.14158130826026752</v>
      </c>
      <c r="L178" s="400">
        <v>0.22976287816843799</v>
      </c>
      <c r="M178" s="400">
        <f t="shared" si="72"/>
        <v>0.14158130826026752</v>
      </c>
      <c r="N178" s="271" t="s">
        <v>232</v>
      </c>
      <c r="O178" s="425">
        <v>0.2</v>
      </c>
      <c r="P178" s="1649">
        <v>0.8</v>
      </c>
      <c r="Q178" s="426">
        <f t="shared" si="73"/>
        <v>0.16000000000000003</v>
      </c>
      <c r="R178" s="1666">
        <v>1</v>
      </c>
      <c r="S178" s="426">
        <f t="shared" si="74"/>
        <v>0.2</v>
      </c>
      <c r="T178" s="425" t="s">
        <v>232</v>
      </c>
      <c r="U178" s="426" t="str">
        <f t="shared" si="75"/>
        <v>na</v>
      </c>
      <c r="V178" s="1272">
        <v>5.7000000000000002E-3</v>
      </c>
      <c r="W178" s="1272">
        <f t="shared" si="76"/>
        <v>7.1250000000000003E-3</v>
      </c>
      <c r="X178" s="412">
        <f t="shared" si="77"/>
        <v>5.7000000000000002E-3</v>
      </c>
      <c r="Y178" s="1272">
        <v>1.6000000000000001E-6</v>
      </c>
      <c r="Z178" s="412">
        <f t="shared" si="78"/>
        <v>5.6000000000000008E-3</v>
      </c>
      <c r="AA178" s="412" t="s">
        <v>221</v>
      </c>
      <c r="AB178" s="439">
        <v>2</v>
      </c>
      <c r="AC178" s="1572">
        <v>5.0000000000000001E-4</v>
      </c>
      <c r="AD178" s="1257">
        <v>1</v>
      </c>
      <c r="AE178" s="1257">
        <v>0</v>
      </c>
      <c r="AF178" s="1292" t="s">
        <v>144</v>
      </c>
      <c r="AG178" s="535" t="s">
        <v>221</v>
      </c>
      <c r="AH178" s="449" t="s">
        <v>221</v>
      </c>
      <c r="AI178" s="449" t="s">
        <v>221</v>
      </c>
      <c r="AJ178" s="449" t="s">
        <v>221</v>
      </c>
      <c r="AK178" s="449" t="str">
        <f t="shared" si="79"/>
        <v>no</v>
      </c>
      <c r="AL178" s="221" t="s">
        <v>232</v>
      </c>
      <c r="AM178" s="406" t="s">
        <v>232</v>
      </c>
      <c r="AN178" s="1330" t="str">
        <f t="shared" si="80"/>
        <v>na</v>
      </c>
      <c r="AP178" s="1062"/>
    </row>
    <row r="179" spans="1:42" ht="13.9" customHeight="1" x14ac:dyDescent="0.25">
      <c r="A179" s="846">
        <f>Chem!A179</f>
        <v>177</v>
      </c>
      <c r="B179" s="865" t="str">
        <f>Chem!B179</f>
        <v>1,2-Dichloroethane (EDC)</v>
      </c>
      <c r="C179" s="384">
        <v>38</v>
      </c>
      <c r="D179" s="384" t="s">
        <v>232</v>
      </c>
      <c r="E179" s="387">
        <f t="shared" si="61"/>
        <v>3.7999999999999999E-2</v>
      </c>
      <c r="F179" s="387">
        <f t="shared" si="62"/>
        <v>3.7999999999999999E-2</v>
      </c>
      <c r="G179" s="387" t="s">
        <v>232</v>
      </c>
      <c r="H179" s="387" t="s">
        <v>232</v>
      </c>
      <c r="I179" s="387">
        <f t="shared" si="81"/>
        <v>0.72199999999999998</v>
      </c>
      <c r="J179" s="387">
        <f t="shared" si="63"/>
        <v>0.72199999999999998</v>
      </c>
      <c r="K179" s="400">
        <v>2.7554473348855319E-2</v>
      </c>
      <c r="L179" s="400">
        <v>4.8242027800490597E-2</v>
      </c>
      <c r="M179" s="400">
        <f t="shared" si="72"/>
        <v>2.7554473348855319E-2</v>
      </c>
      <c r="N179" s="271">
        <v>1.2</v>
      </c>
      <c r="O179" s="425">
        <v>6.0000000000000001E-3</v>
      </c>
      <c r="P179" s="1649">
        <v>0.8</v>
      </c>
      <c r="Q179" s="426">
        <f t="shared" ref="Q179:Q210" si="82">IF(O179="na","na",O179*P179)</f>
        <v>4.8000000000000004E-3</v>
      </c>
      <c r="R179" s="1666">
        <v>1</v>
      </c>
      <c r="S179" s="426">
        <f t="shared" ref="S179:S210" si="83">IF(O179="na","na",O179*R179)</f>
        <v>6.0000000000000001E-3</v>
      </c>
      <c r="T179" s="425">
        <v>7.0000000000000001E-3</v>
      </c>
      <c r="U179" s="426">
        <f t="shared" ref="U179:U210" si="84">IF(ISNUMBER(T179),T179*20/70,"na")</f>
        <v>2E-3</v>
      </c>
      <c r="V179" s="1272">
        <v>9.0999999999999998E-2</v>
      </c>
      <c r="W179" s="1272">
        <f t="shared" ref="W179:W210" si="85">IF(V179="na","na",V179/P179)</f>
        <v>0.11374999999999999</v>
      </c>
      <c r="X179" s="412">
        <f t="shared" ref="X179:X210" si="86">IF(V179="na","na",V179/R179)</f>
        <v>9.0999999999999998E-2</v>
      </c>
      <c r="Y179" s="1272">
        <v>2.6000000000000002E-5</v>
      </c>
      <c r="Z179" s="412">
        <f t="shared" ref="Z179:Z210" si="87">IF(ISNUMBER(Y179),Y179*70*1000/20,"na")</f>
        <v>9.1000000000000011E-2</v>
      </c>
      <c r="AA179" s="412" t="s">
        <v>221</v>
      </c>
      <c r="AB179" s="439">
        <v>2</v>
      </c>
      <c r="AC179" s="1572">
        <v>0.03</v>
      </c>
      <c r="AD179" s="1257">
        <v>1</v>
      </c>
      <c r="AE179" s="1257">
        <v>0</v>
      </c>
      <c r="AF179" s="1292" t="s">
        <v>144</v>
      </c>
      <c r="AG179" s="535" t="s">
        <v>221</v>
      </c>
      <c r="AH179" s="449" t="s">
        <v>221</v>
      </c>
      <c r="AI179" s="449" t="s">
        <v>221</v>
      </c>
      <c r="AJ179" s="449" t="s">
        <v>221</v>
      </c>
      <c r="AK179" s="449" t="str">
        <f t="shared" si="79"/>
        <v>no</v>
      </c>
      <c r="AL179" s="221" t="s">
        <v>232</v>
      </c>
      <c r="AM179" s="406" t="s">
        <v>232</v>
      </c>
      <c r="AN179" s="1330" t="str">
        <f t="shared" si="80"/>
        <v>na</v>
      </c>
      <c r="AP179" s="1062"/>
    </row>
    <row r="180" spans="1:42" ht="13.9" customHeight="1" x14ac:dyDescent="0.25">
      <c r="A180" s="846">
        <f>Chem!A180</f>
        <v>178</v>
      </c>
      <c r="B180" s="865" t="str">
        <f>Chem!B180</f>
        <v>1,1-Dichloroethylene</v>
      </c>
      <c r="C180" s="384">
        <v>65</v>
      </c>
      <c r="D180" s="384" t="s">
        <v>232</v>
      </c>
      <c r="E180" s="387">
        <f t="shared" si="61"/>
        <v>6.5000000000000002E-2</v>
      </c>
      <c r="F180" s="387">
        <f t="shared" si="62"/>
        <v>6.5000000000000002E-2</v>
      </c>
      <c r="G180" s="387" t="s">
        <v>232</v>
      </c>
      <c r="H180" s="387" t="s">
        <v>232</v>
      </c>
      <c r="I180" s="387">
        <f t="shared" si="81"/>
        <v>1.2349999999999999</v>
      </c>
      <c r="J180" s="387">
        <f t="shared" si="63"/>
        <v>1.2349999999999999</v>
      </c>
      <c r="K180" s="400">
        <v>0.70298676288314521</v>
      </c>
      <c r="L180" s="400">
        <v>1.0670482420278</v>
      </c>
      <c r="M180" s="400">
        <f t="shared" si="72"/>
        <v>0.70298676288314521</v>
      </c>
      <c r="N180" s="271">
        <v>5.6</v>
      </c>
      <c r="O180" s="425">
        <v>0.05</v>
      </c>
      <c r="P180" s="1649">
        <v>0.8</v>
      </c>
      <c r="Q180" s="426">
        <f t="shared" si="82"/>
        <v>4.0000000000000008E-2</v>
      </c>
      <c r="R180" s="1666">
        <v>1</v>
      </c>
      <c r="S180" s="426">
        <f t="shared" si="83"/>
        <v>0.05</v>
      </c>
      <c r="T180" s="425">
        <v>0.19999999999999998</v>
      </c>
      <c r="U180" s="426">
        <f t="shared" si="84"/>
        <v>5.7142857142857134E-2</v>
      </c>
      <c r="V180" s="1272" t="s">
        <v>232</v>
      </c>
      <c r="W180" s="1272" t="str">
        <f t="shared" si="85"/>
        <v>na</v>
      </c>
      <c r="X180" s="412" t="str">
        <f t="shared" si="86"/>
        <v>na</v>
      </c>
      <c r="Y180" s="1272" t="s">
        <v>232</v>
      </c>
      <c r="Z180" s="412" t="str">
        <f t="shared" si="87"/>
        <v>na</v>
      </c>
      <c r="AA180" s="412" t="s">
        <v>221</v>
      </c>
      <c r="AB180" s="439">
        <v>2</v>
      </c>
      <c r="AC180" s="1572">
        <v>5.0000000000000001E-4</v>
      </c>
      <c r="AD180" s="1257">
        <v>1</v>
      </c>
      <c r="AE180" s="1257">
        <v>0</v>
      </c>
      <c r="AF180" s="1292" t="s">
        <v>144</v>
      </c>
      <c r="AG180" s="535" t="s">
        <v>221</v>
      </c>
      <c r="AH180" s="449" t="s">
        <v>221</v>
      </c>
      <c r="AI180" s="449" t="s">
        <v>221</v>
      </c>
      <c r="AJ180" s="449" t="s">
        <v>221</v>
      </c>
      <c r="AK180" s="449" t="str">
        <f t="shared" si="79"/>
        <v>no</v>
      </c>
      <c r="AL180" s="221" t="s">
        <v>232</v>
      </c>
      <c r="AM180" s="406" t="s">
        <v>232</v>
      </c>
      <c r="AN180" s="1330" t="str">
        <f t="shared" si="80"/>
        <v>na</v>
      </c>
      <c r="AP180" s="1062"/>
    </row>
    <row r="181" spans="1:42" ht="13.9" customHeight="1" x14ac:dyDescent="0.25">
      <c r="A181" s="846">
        <f>Chem!A181</f>
        <v>179</v>
      </c>
      <c r="B181" s="865" t="str">
        <f>Chem!B181</f>
        <v>cis-1,2-Dichloroethylene</v>
      </c>
      <c r="C181" s="384">
        <v>39.6</v>
      </c>
      <c r="D181" s="384" t="s">
        <v>232</v>
      </c>
      <c r="E181" s="387">
        <f t="shared" si="61"/>
        <v>3.9600000000000003E-2</v>
      </c>
      <c r="F181" s="387">
        <f t="shared" si="62"/>
        <v>3.9600000000000003E-2</v>
      </c>
      <c r="G181" s="387" t="s">
        <v>232</v>
      </c>
      <c r="H181" s="387" t="s">
        <v>232</v>
      </c>
      <c r="I181" s="387">
        <f t="shared" si="81"/>
        <v>0.75239999999999996</v>
      </c>
      <c r="J181" s="387">
        <f t="shared" si="63"/>
        <v>0.75239999999999996</v>
      </c>
      <c r="K181" s="400">
        <v>0.10033434691359064</v>
      </c>
      <c r="L181" s="400">
        <v>0.166802943581357</v>
      </c>
      <c r="M181" s="400">
        <f t="shared" si="72"/>
        <v>0.10033434691359064</v>
      </c>
      <c r="N181" s="271" t="s">
        <v>232</v>
      </c>
      <c r="O181" s="425">
        <v>2E-3</v>
      </c>
      <c r="P181" s="1649">
        <v>0.8</v>
      </c>
      <c r="Q181" s="426">
        <f t="shared" si="82"/>
        <v>1.6000000000000001E-3</v>
      </c>
      <c r="R181" s="1666">
        <v>1</v>
      </c>
      <c r="S181" s="426">
        <f t="shared" si="83"/>
        <v>2E-3</v>
      </c>
      <c r="T181" s="425">
        <v>0.04</v>
      </c>
      <c r="U181" s="426">
        <f t="shared" si="84"/>
        <v>1.1428571428571429E-2</v>
      </c>
      <c r="V181" s="1272" t="s">
        <v>232</v>
      </c>
      <c r="W181" s="1272" t="str">
        <f t="shared" si="85"/>
        <v>na</v>
      </c>
      <c r="X181" s="412" t="str">
        <f t="shared" si="86"/>
        <v>na</v>
      </c>
      <c r="Y181" s="1272" t="s">
        <v>232</v>
      </c>
      <c r="Z181" s="412" t="str">
        <f t="shared" si="87"/>
        <v>na</v>
      </c>
      <c r="AA181" s="412" t="s">
        <v>221</v>
      </c>
      <c r="AB181" s="439">
        <v>2</v>
      </c>
      <c r="AC181" s="1572">
        <v>5.0000000000000001E-4</v>
      </c>
      <c r="AD181" s="1257">
        <v>1</v>
      </c>
      <c r="AE181" s="1257">
        <v>0</v>
      </c>
      <c r="AF181" s="1292" t="s">
        <v>144</v>
      </c>
      <c r="AG181" s="535" t="s">
        <v>221</v>
      </c>
      <c r="AH181" s="449" t="s">
        <v>221</v>
      </c>
      <c r="AI181" s="449" t="s">
        <v>221</v>
      </c>
      <c r="AJ181" s="449" t="s">
        <v>221</v>
      </c>
      <c r="AK181" s="449" t="str">
        <f t="shared" si="79"/>
        <v>no</v>
      </c>
      <c r="AL181" s="221" t="s">
        <v>232</v>
      </c>
      <c r="AM181" s="406" t="s">
        <v>232</v>
      </c>
      <c r="AN181" s="1330" t="str">
        <f t="shared" si="80"/>
        <v>na</v>
      </c>
      <c r="AP181" s="1062"/>
    </row>
    <row r="182" spans="1:42" ht="13.9" customHeight="1" x14ac:dyDescent="0.25">
      <c r="A182" s="846">
        <f>Chem!A182</f>
        <v>180</v>
      </c>
      <c r="B182" s="865" t="str">
        <f>Chem!B182</f>
        <v>trans-1,2-Dichloroethylene</v>
      </c>
      <c r="C182" s="384">
        <v>38</v>
      </c>
      <c r="D182" s="384" t="s">
        <v>232</v>
      </c>
      <c r="E182" s="387">
        <f t="shared" si="61"/>
        <v>3.7999999999999999E-2</v>
      </c>
      <c r="F182" s="387">
        <f t="shared" si="62"/>
        <v>3.7999999999999999E-2</v>
      </c>
      <c r="G182" s="387" t="s">
        <v>232</v>
      </c>
      <c r="H182" s="387" t="s">
        <v>232</v>
      </c>
      <c r="I182" s="387">
        <f t="shared" si="81"/>
        <v>0.72199999999999998</v>
      </c>
      <c r="J182" s="387">
        <f t="shared" si="63"/>
        <v>0.72199999999999998</v>
      </c>
      <c r="K182" s="400">
        <v>0.23785479588758709</v>
      </c>
      <c r="L182" s="400">
        <v>0.38348323793949302</v>
      </c>
      <c r="M182" s="400">
        <f t="shared" si="72"/>
        <v>0.23785479588758709</v>
      </c>
      <c r="N182" s="271">
        <v>1.58</v>
      </c>
      <c r="O182" s="425">
        <v>0.02</v>
      </c>
      <c r="P182" s="1649">
        <v>0.8</v>
      </c>
      <c r="Q182" s="426">
        <f t="shared" si="82"/>
        <v>1.6E-2</v>
      </c>
      <c r="R182" s="1666">
        <v>1</v>
      </c>
      <c r="S182" s="426">
        <f t="shared" si="83"/>
        <v>0.02</v>
      </c>
      <c r="T182" s="425">
        <v>0.04</v>
      </c>
      <c r="U182" s="426">
        <f t="shared" si="84"/>
        <v>1.1428571428571429E-2</v>
      </c>
      <c r="V182" s="1272" t="s">
        <v>232</v>
      </c>
      <c r="W182" s="1272" t="str">
        <f t="shared" si="85"/>
        <v>na</v>
      </c>
      <c r="X182" s="412" t="str">
        <f t="shared" si="86"/>
        <v>na</v>
      </c>
      <c r="Y182" s="1272" t="s">
        <v>232</v>
      </c>
      <c r="Z182" s="412" t="str">
        <f t="shared" si="87"/>
        <v>na</v>
      </c>
      <c r="AA182" s="412" t="s">
        <v>221</v>
      </c>
      <c r="AB182" s="439">
        <v>2</v>
      </c>
      <c r="AC182" s="1572">
        <v>5.0000000000000001E-4</v>
      </c>
      <c r="AD182" s="1257">
        <v>1</v>
      </c>
      <c r="AE182" s="1257">
        <v>0</v>
      </c>
      <c r="AF182" s="1292" t="s">
        <v>144</v>
      </c>
      <c r="AG182" s="535" t="s">
        <v>221</v>
      </c>
      <c r="AH182" s="449" t="s">
        <v>221</v>
      </c>
      <c r="AI182" s="449" t="s">
        <v>221</v>
      </c>
      <c r="AJ182" s="449" t="s">
        <v>221</v>
      </c>
      <c r="AK182" s="449" t="str">
        <f t="shared" si="79"/>
        <v>no</v>
      </c>
      <c r="AL182" s="221" t="s">
        <v>232</v>
      </c>
      <c r="AM182" s="406" t="s">
        <v>232</v>
      </c>
      <c r="AN182" s="1330" t="str">
        <f t="shared" si="80"/>
        <v>na</v>
      </c>
      <c r="AP182" s="1062"/>
    </row>
    <row r="183" spans="1:42" ht="15" x14ac:dyDescent="0.25">
      <c r="A183" s="846">
        <f>Chem!A183</f>
        <v>181</v>
      </c>
      <c r="B183" s="865" t="str">
        <f>Chem!B183</f>
        <v>1,2-Dichloroethylene (mixed isomers)</v>
      </c>
      <c r="C183" s="384">
        <v>35.5</v>
      </c>
      <c r="D183" s="384" t="s">
        <v>232</v>
      </c>
      <c r="E183" s="387">
        <f t="shared" si="61"/>
        <v>3.5500000000000004E-2</v>
      </c>
      <c r="F183" s="387">
        <f t="shared" si="62"/>
        <v>3.5500000000000004E-2</v>
      </c>
      <c r="G183" s="387" t="s">
        <v>232</v>
      </c>
      <c r="H183" s="387" t="s">
        <v>232</v>
      </c>
      <c r="I183" s="387">
        <f t="shared" si="81"/>
        <v>0.67449999999999999</v>
      </c>
      <c r="J183" s="387">
        <f t="shared" si="63"/>
        <v>0.67449999999999999</v>
      </c>
      <c r="K183" s="400" t="s">
        <v>232</v>
      </c>
      <c r="L183" s="400" t="s">
        <v>232</v>
      </c>
      <c r="M183" s="400">
        <f t="shared" si="72"/>
        <v>0</v>
      </c>
      <c r="N183" s="271" t="s">
        <v>232</v>
      </c>
      <c r="O183" s="425" t="s">
        <v>232</v>
      </c>
      <c r="P183" s="1649">
        <v>0.8</v>
      </c>
      <c r="Q183" s="426" t="str">
        <f t="shared" si="82"/>
        <v>na</v>
      </c>
      <c r="R183" s="1666">
        <v>1</v>
      </c>
      <c r="S183" s="426" t="str">
        <f t="shared" si="83"/>
        <v>na</v>
      </c>
      <c r="T183" s="425" t="s">
        <v>232</v>
      </c>
      <c r="U183" s="426" t="str">
        <f t="shared" si="84"/>
        <v>na</v>
      </c>
      <c r="V183" s="1272" t="s">
        <v>232</v>
      </c>
      <c r="W183" s="1272" t="str">
        <f t="shared" si="85"/>
        <v>na</v>
      </c>
      <c r="X183" s="412" t="str">
        <f t="shared" si="86"/>
        <v>na</v>
      </c>
      <c r="Y183" s="1272" t="s">
        <v>232</v>
      </c>
      <c r="Z183" s="412" t="str">
        <f t="shared" si="87"/>
        <v>na</v>
      </c>
      <c r="AA183" s="412" t="s">
        <v>221</v>
      </c>
      <c r="AB183" s="439" t="s">
        <v>232</v>
      </c>
      <c r="AC183" s="1572" t="s">
        <v>232</v>
      </c>
      <c r="AD183" s="1257" t="s">
        <v>232</v>
      </c>
      <c r="AE183" s="1257">
        <v>0</v>
      </c>
      <c r="AF183" s="1292" t="s">
        <v>144</v>
      </c>
      <c r="AG183" s="535" t="s">
        <v>221</v>
      </c>
      <c r="AH183" s="449" t="s">
        <v>221</v>
      </c>
      <c r="AI183" s="449" t="s">
        <v>221</v>
      </c>
      <c r="AJ183" s="449" t="s">
        <v>221</v>
      </c>
      <c r="AK183" s="449" t="str">
        <f t="shared" si="79"/>
        <v>no</v>
      </c>
      <c r="AL183" s="221" t="s">
        <v>232</v>
      </c>
      <c r="AM183" s="406" t="s">
        <v>232</v>
      </c>
      <c r="AN183" s="1330" t="str">
        <f t="shared" si="80"/>
        <v>na</v>
      </c>
      <c r="AP183" s="1062"/>
    </row>
    <row r="184" spans="1:42" ht="13.9" customHeight="1" x14ac:dyDescent="0.25">
      <c r="A184" s="846">
        <f>Chem!A184</f>
        <v>182</v>
      </c>
      <c r="B184" s="865" t="str">
        <f>Chem!B184</f>
        <v>1,2-Dichloropropane</v>
      </c>
      <c r="C184" s="384">
        <v>47</v>
      </c>
      <c r="D184" s="384" t="s">
        <v>232</v>
      </c>
      <c r="E184" s="387">
        <f t="shared" si="61"/>
        <v>4.7E-2</v>
      </c>
      <c r="F184" s="387">
        <f t="shared" si="62"/>
        <v>4.7E-2</v>
      </c>
      <c r="G184" s="387" t="s">
        <v>232</v>
      </c>
      <c r="H184" s="387" t="s">
        <v>232</v>
      </c>
      <c r="I184" s="387">
        <f t="shared" si="81"/>
        <v>0.89300000000000002</v>
      </c>
      <c r="J184" s="387">
        <f t="shared" si="63"/>
        <v>0.89300000000000002</v>
      </c>
      <c r="K184" s="400">
        <v>6.5406554713475965E-2</v>
      </c>
      <c r="L184" s="400">
        <v>0.11529026982829101</v>
      </c>
      <c r="M184" s="400">
        <f t="shared" si="72"/>
        <v>6.5406554713475965E-2</v>
      </c>
      <c r="N184" s="271">
        <v>4.1100000000000003</v>
      </c>
      <c r="O184" s="425">
        <v>0.04</v>
      </c>
      <c r="P184" s="1649">
        <v>0.8</v>
      </c>
      <c r="Q184" s="426">
        <f t="shared" si="82"/>
        <v>3.2000000000000001E-2</v>
      </c>
      <c r="R184" s="1666">
        <v>1</v>
      </c>
      <c r="S184" s="426">
        <f t="shared" si="83"/>
        <v>0.04</v>
      </c>
      <c r="T184" s="425">
        <v>4.0000000000000001E-3</v>
      </c>
      <c r="U184" s="426">
        <f t="shared" si="84"/>
        <v>1.1428571428571429E-3</v>
      </c>
      <c r="V184" s="1272">
        <v>3.6999999999999998E-2</v>
      </c>
      <c r="W184" s="1272">
        <f t="shared" si="85"/>
        <v>4.6249999999999993E-2</v>
      </c>
      <c r="X184" s="412">
        <f t="shared" si="86"/>
        <v>3.6999999999999998E-2</v>
      </c>
      <c r="Y184" s="1272">
        <v>3.7000000000000002E-6</v>
      </c>
      <c r="Z184" s="412">
        <f t="shared" si="87"/>
        <v>1.295E-2</v>
      </c>
      <c r="AA184" s="412" t="s">
        <v>221</v>
      </c>
      <c r="AB184" s="439">
        <v>2</v>
      </c>
      <c r="AC184" s="1572">
        <v>0.03</v>
      </c>
      <c r="AD184" s="1257">
        <v>1</v>
      </c>
      <c r="AE184" s="1257">
        <v>0</v>
      </c>
      <c r="AF184" s="1292" t="s">
        <v>144</v>
      </c>
      <c r="AG184" s="535" t="s">
        <v>221</v>
      </c>
      <c r="AH184" s="449" t="s">
        <v>221</v>
      </c>
      <c r="AI184" s="449" t="s">
        <v>221</v>
      </c>
      <c r="AJ184" s="449" t="s">
        <v>221</v>
      </c>
      <c r="AK184" s="449" t="str">
        <f t="shared" si="79"/>
        <v>no</v>
      </c>
      <c r="AL184" s="221" t="s">
        <v>232</v>
      </c>
      <c r="AM184" s="406" t="s">
        <v>232</v>
      </c>
      <c r="AN184" s="1330" t="str">
        <f t="shared" si="80"/>
        <v>na</v>
      </c>
      <c r="AP184" s="1062"/>
    </row>
    <row r="185" spans="1:42" ht="13.9" customHeight="1" x14ac:dyDescent="0.25">
      <c r="A185" s="846">
        <f>Chem!A185</f>
        <v>183</v>
      </c>
      <c r="B185" s="865" t="str">
        <f>Chem!B185</f>
        <v>1,3-Dichloropropane</v>
      </c>
      <c r="C185" s="384">
        <v>72.2</v>
      </c>
      <c r="D185" s="384" t="s">
        <v>232</v>
      </c>
      <c r="E185" s="387">
        <f t="shared" si="61"/>
        <v>7.22E-2</v>
      </c>
      <c r="F185" s="387">
        <f t="shared" si="62"/>
        <v>7.22E-2</v>
      </c>
      <c r="G185" s="387" t="s">
        <v>232</v>
      </c>
      <c r="H185" s="387" t="s">
        <v>232</v>
      </c>
      <c r="I185" s="387">
        <f t="shared" si="81"/>
        <v>1.3718000000000001</v>
      </c>
      <c r="J185" s="387">
        <f t="shared" si="63"/>
        <v>1.3718000000000001</v>
      </c>
      <c r="K185" s="400">
        <v>2.0921292672303159E-2</v>
      </c>
      <c r="L185" s="400">
        <v>3.9901880621422699E-2</v>
      </c>
      <c r="M185" s="400">
        <f t="shared" si="72"/>
        <v>2.0921292672303159E-2</v>
      </c>
      <c r="N185" s="271" t="s">
        <v>232</v>
      </c>
      <c r="O185" s="425">
        <v>0.02</v>
      </c>
      <c r="P185" s="1649">
        <v>0.8</v>
      </c>
      <c r="Q185" s="426">
        <f t="shared" si="82"/>
        <v>1.6E-2</v>
      </c>
      <c r="R185" s="1666">
        <v>1</v>
      </c>
      <c r="S185" s="426">
        <f t="shared" si="83"/>
        <v>0.02</v>
      </c>
      <c r="T185" s="425" t="s">
        <v>232</v>
      </c>
      <c r="U185" s="426" t="str">
        <f t="shared" si="84"/>
        <v>na</v>
      </c>
      <c r="V185" s="1272" t="s">
        <v>232</v>
      </c>
      <c r="W185" s="1272" t="str">
        <f t="shared" si="85"/>
        <v>na</v>
      </c>
      <c r="X185" s="412" t="str">
        <f t="shared" si="86"/>
        <v>na</v>
      </c>
      <c r="Y185" s="1272" t="s">
        <v>232</v>
      </c>
      <c r="Z185" s="412" t="str">
        <f t="shared" si="87"/>
        <v>na</v>
      </c>
      <c r="AA185" s="412" t="s">
        <v>221</v>
      </c>
      <c r="AB185" s="439">
        <v>2</v>
      </c>
      <c r="AC185" s="1572">
        <v>0.03</v>
      </c>
      <c r="AD185" s="1257">
        <v>1</v>
      </c>
      <c r="AE185" s="1257">
        <v>0</v>
      </c>
      <c r="AF185" s="1292" t="s">
        <v>221</v>
      </c>
      <c r="AG185" s="535" t="s">
        <v>221</v>
      </c>
      <c r="AH185" s="449" t="s">
        <v>221</v>
      </c>
      <c r="AI185" s="449" t="s">
        <v>221</v>
      </c>
      <c r="AJ185" s="449" t="s">
        <v>221</v>
      </c>
      <c r="AK185" s="449" t="str">
        <f t="shared" si="79"/>
        <v>no</v>
      </c>
      <c r="AL185" s="221" t="s">
        <v>232</v>
      </c>
      <c r="AM185" s="406" t="s">
        <v>232</v>
      </c>
      <c r="AN185" s="1330" t="str">
        <f t="shared" si="80"/>
        <v>na</v>
      </c>
      <c r="AP185" s="1062"/>
    </row>
    <row r="186" spans="1:42" ht="13.9" customHeight="1" x14ac:dyDescent="0.25">
      <c r="A186" s="846">
        <f>Chem!A186</f>
        <v>184</v>
      </c>
      <c r="B186" s="865" t="str">
        <f>Chem!B186</f>
        <v>2,2-Dichloropropane</v>
      </c>
      <c r="C186" s="384" t="s">
        <v>232</v>
      </c>
      <c r="D186" s="384" t="s">
        <v>232</v>
      </c>
      <c r="E186" s="387" t="str">
        <f t="shared" si="61"/>
        <v>na</v>
      </c>
      <c r="F186" s="387" t="str">
        <f t="shared" si="62"/>
        <v>na</v>
      </c>
      <c r="G186" s="387" t="s">
        <v>232</v>
      </c>
      <c r="H186" s="387" t="s">
        <v>232</v>
      </c>
      <c r="I186" s="387" t="str">
        <f t="shared" si="81"/>
        <v>na</v>
      </c>
      <c r="J186" s="387" t="str">
        <f t="shared" si="63"/>
        <v>na</v>
      </c>
      <c r="K186" s="400" t="s">
        <v>232</v>
      </c>
      <c r="L186" s="400" t="s">
        <v>232</v>
      </c>
      <c r="M186" s="400">
        <f t="shared" si="72"/>
        <v>0</v>
      </c>
      <c r="N186" s="271" t="s">
        <v>232</v>
      </c>
      <c r="O186" s="425" t="s">
        <v>232</v>
      </c>
      <c r="P186" s="1649">
        <v>0.8</v>
      </c>
      <c r="Q186" s="426" t="str">
        <f t="shared" si="82"/>
        <v>na</v>
      </c>
      <c r="R186" s="1666">
        <v>1</v>
      </c>
      <c r="S186" s="426" t="str">
        <f t="shared" si="83"/>
        <v>na</v>
      </c>
      <c r="T186" s="425" t="s">
        <v>232</v>
      </c>
      <c r="U186" s="426" t="str">
        <f t="shared" si="84"/>
        <v>na</v>
      </c>
      <c r="V186" s="1272" t="s">
        <v>232</v>
      </c>
      <c r="W186" s="1272" t="str">
        <f t="shared" si="85"/>
        <v>na</v>
      </c>
      <c r="X186" s="412" t="str">
        <f t="shared" si="86"/>
        <v>na</v>
      </c>
      <c r="Y186" s="1272" t="s">
        <v>232</v>
      </c>
      <c r="Z186" s="412" t="str">
        <f t="shared" si="87"/>
        <v>na</v>
      </c>
      <c r="AA186" s="412" t="s">
        <v>221</v>
      </c>
      <c r="AB186" s="439" t="s">
        <v>232</v>
      </c>
      <c r="AC186" s="1572" t="s">
        <v>232</v>
      </c>
      <c r="AD186" s="1257" t="s">
        <v>232</v>
      </c>
      <c r="AE186" s="1257">
        <v>0</v>
      </c>
      <c r="AF186" s="1292" t="s">
        <v>221</v>
      </c>
      <c r="AG186" s="535" t="s">
        <v>221</v>
      </c>
      <c r="AH186" s="449" t="s">
        <v>221</v>
      </c>
      <c r="AI186" s="449" t="s">
        <v>221</v>
      </c>
      <c r="AJ186" s="449" t="s">
        <v>221</v>
      </c>
      <c r="AK186" s="449" t="str">
        <f t="shared" si="79"/>
        <v>no</v>
      </c>
      <c r="AL186" s="221" t="s">
        <v>232</v>
      </c>
      <c r="AM186" s="406" t="s">
        <v>232</v>
      </c>
      <c r="AN186" s="1330" t="str">
        <f t="shared" si="80"/>
        <v>na</v>
      </c>
      <c r="AP186" s="1062"/>
    </row>
    <row r="187" spans="1:42" ht="13.9" customHeight="1" x14ac:dyDescent="0.25">
      <c r="A187" s="846">
        <f>Chem!A187</f>
        <v>185</v>
      </c>
      <c r="B187" s="865" t="str">
        <f>Chem!B187</f>
        <v>1,1-Dichloropropene</v>
      </c>
      <c r="C187" s="384" t="s">
        <v>232</v>
      </c>
      <c r="D187" s="384" t="s">
        <v>232</v>
      </c>
      <c r="E187" s="387" t="str">
        <f t="shared" si="61"/>
        <v>na</v>
      </c>
      <c r="F187" s="387" t="str">
        <f t="shared" si="62"/>
        <v>na</v>
      </c>
      <c r="G187" s="387" t="s">
        <v>232</v>
      </c>
      <c r="H187" s="387" t="s">
        <v>232</v>
      </c>
      <c r="I187" s="387" t="str">
        <f t="shared" si="81"/>
        <v>na</v>
      </c>
      <c r="J187" s="387" t="str">
        <f t="shared" si="63"/>
        <v>na</v>
      </c>
      <c r="K187" s="400" t="s">
        <v>232</v>
      </c>
      <c r="L187" s="400" t="s">
        <v>232</v>
      </c>
      <c r="M187" s="400">
        <f t="shared" si="72"/>
        <v>0</v>
      </c>
      <c r="N187" s="271" t="s">
        <v>232</v>
      </c>
      <c r="O187" s="425" t="s">
        <v>232</v>
      </c>
      <c r="P187" s="1649">
        <v>0.8</v>
      </c>
      <c r="Q187" s="426" t="str">
        <f t="shared" si="82"/>
        <v>na</v>
      </c>
      <c r="R187" s="1666">
        <v>1</v>
      </c>
      <c r="S187" s="426" t="str">
        <f t="shared" si="83"/>
        <v>na</v>
      </c>
      <c r="T187" s="425" t="s">
        <v>232</v>
      </c>
      <c r="U187" s="426" t="str">
        <f t="shared" si="84"/>
        <v>na</v>
      </c>
      <c r="V187" s="1272" t="s">
        <v>232</v>
      </c>
      <c r="W187" s="1272" t="str">
        <f t="shared" si="85"/>
        <v>na</v>
      </c>
      <c r="X187" s="412" t="str">
        <f t="shared" si="86"/>
        <v>na</v>
      </c>
      <c r="Y187" s="1272" t="s">
        <v>232</v>
      </c>
      <c r="Z187" s="412" t="str">
        <f t="shared" si="87"/>
        <v>na</v>
      </c>
      <c r="AA187" s="412" t="s">
        <v>221</v>
      </c>
      <c r="AB187" s="439" t="s">
        <v>232</v>
      </c>
      <c r="AC187" s="1572" t="s">
        <v>232</v>
      </c>
      <c r="AD187" s="1257" t="s">
        <v>232</v>
      </c>
      <c r="AE187" s="1257">
        <v>0</v>
      </c>
      <c r="AF187" s="1292" t="s">
        <v>221</v>
      </c>
      <c r="AG187" s="535" t="s">
        <v>221</v>
      </c>
      <c r="AH187" s="449" t="s">
        <v>221</v>
      </c>
      <c r="AI187" s="449" t="s">
        <v>221</v>
      </c>
      <c r="AJ187" s="449" t="s">
        <v>221</v>
      </c>
      <c r="AK187" s="449" t="str">
        <f t="shared" si="79"/>
        <v>no</v>
      </c>
      <c r="AL187" s="221" t="s">
        <v>232</v>
      </c>
      <c r="AM187" s="406" t="s">
        <v>232</v>
      </c>
      <c r="AN187" s="1330" t="str">
        <f t="shared" si="80"/>
        <v>na</v>
      </c>
      <c r="AP187" s="1062"/>
    </row>
    <row r="188" spans="1:42" ht="13.9" customHeight="1" x14ac:dyDescent="0.25">
      <c r="A188" s="846">
        <f>Chem!A188</f>
        <v>186</v>
      </c>
      <c r="B188" s="865" t="str">
        <f>Chem!B188</f>
        <v>cis-1,3-Dichloropropene</v>
      </c>
      <c r="C188" s="384">
        <v>27</v>
      </c>
      <c r="D188" s="384" t="s">
        <v>232</v>
      </c>
      <c r="E188" s="387">
        <f t="shared" si="61"/>
        <v>2.7E-2</v>
      </c>
      <c r="F188" s="387">
        <f t="shared" si="62"/>
        <v>2.7E-2</v>
      </c>
      <c r="G188" s="387" t="s">
        <v>232</v>
      </c>
      <c r="H188" s="387" t="s">
        <v>232</v>
      </c>
      <c r="I188" s="387">
        <f t="shared" si="81"/>
        <v>0.51300000000000001</v>
      </c>
      <c r="J188" s="387">
        <f t="shared" si="63"/>
        <v>0.51300000000000001</v>
      </c>
      <c r="K188" s="400">
        <v>7.855987965389484E-2</v>
      </c>
      <c r="L188" s="400">
        <v>0.145134914145544</v>
      </c>
      <c r="M188" s="400">
        <f t="shared" si="72"/>
        <v>7.855987965389484E-2</v>
      </c>
      <c r="N188" s="271">
        <v>1.91</v>
      </c>
      <c r="O188" s="425">
        <v>0.03</v>
      </c>
      <c r="P188" s="1649">
        <v>0.8</v>
      </c>
      <c r="Q188" s="426">
        <f t="shared" si="82"/>
        <v>2.4E-2</v>
      </c>
      <c r="R188" s="1666">
        <v>1</v>
      </c>
      <c r="S188" s="426">
        <f t="shared" si="83"/>
        <v>0.03</v>
      </c>
      <c r="T188" s="425">
        <v>0.02</v>
      </c>
      <c r="U188" s="426">
        <f t="shared" si="84"/>
        <v>5.7142857142857143E-3</v>
      </c>
      <c r="V188" s="1272">
        <v>0.1</v>
      </c>
      <c r="W188" s="1272">
        <f t="shared" si="85"/>
        <v>0.125</v>
      </c>
      <c r="X188" s="412">
        <f t="shared" si="86"/>
        <v>0.1</v>
      </c>
      <c r="Y188" s="1272">
        <v>3.9999999999999998E-6</v>
      </c>
      <c r="Z188" s="412">
        <f t="shared" si="87"/>
        <v>1.3999999999999999E-2</v>
      </c>
      <c r="AA188" s="412" t="s">
        <v>221</v>
      </c>
      <c r="AB188" s="439">
        <v>2</v>
      </c>
      <c r="AC188" s="1572">
        <v>0.03</v>
      </c>
      <c r="AD188" s="1257">
        <v>1</v>
      </c>
      <c r="AE188" s="1257">
        <v>0</v>
      </c>
      <c r="AF188" s="1292" t="s">
        <v>144</v>
      </c>
      <c r="AG188" s="535" t="s">
        <v>221</v>
      </c>
      <c r="AH188" s="449" t="s">
        <v>221</v>
      </c>
      <c r="AI188" s="449" t="s">
        <v>221</v>
      </c>
      <c r="AJ188" s="449" t="s">
        <v>221</v>
      </c>
      <c r="AK188" s="449" t="str">
        <f t="shared" si="79"/>
        <v>no</v>
      </c>
      <c r="AL188" s="221" t="s">
        <v>232</v>
      </c>
      <c r="AM188" s="406" t="s">
        <v>232</v>
      </c>
      <c r="AN188" s="1330" t="str">
        <f t="shared" si="80"/>
        <v>na</v>
      </c>
      <c r="AP188" s="1062"/>
    </row>
    <row r="189" spans="1:42" ht="13.9" customHeight="1" x14ac:dyDescent="0.25">
      <c r="A189" s="846">
        <f>Chem!A189</f>
        <v>187</v>
      </c>
      <c r="B189" s="865" t="str">
        <f>Chem!B189</f>
        <v>trans-1,3-Dichloropropene</v>
      </c>
      <c r="C189" s="384">
        <v>27</v>
      </c>
      <c r="D189" s="384" t="s">
        <v>232</v>
      </c>
      <c r="E189" s="387">
        <f t="shared" si="61"/>
        <v>2.7E-2</v>
      </c>
      <c r="F189" s="387">
        <f t="shared" si="62"/>
        <v>2.7E-2</v>
      </c>
      <c r="G189" s="387" t="s">
        <v>232</v>
      </c>
      <c r="H189" s="387" t="s">
        <v>232</v>
      </c>
      <c r="I189" s="387">
        <f t="shared" si="81"/>
        <v>0.51300000000000001</v>
      </c>
      <c r="J189" s="387">
        <f t="shared" si="63"/>
        <v>0.51300000000000001</v>
      </c>
      <c r="K189" s="400">
        <v>7.855987965389484E-2</v>
      </c>
      <c r="L189" s="400">
        <v>0.145134914145544</v>
      </c>
      <c r="M189" s="400">
        <f t="shared" si="72"/>
        <v>7.855987965389484E-2</v>
      </c>
      <c r="N189" s="271">
        <v>1.91</v>
      </c>
      <c r="O189" s="425">
        <v>0.03</v>
      </c>
      <c r="P189" s="1649">
        <v>0.8</v>
      </c>
      <c r="Q189" s="426">
        <f t="shared" si="82"/>
        <v>2.4E-2</v>
      </c>
      <c r="R189" s="1666">
        <v>1</v>
      </c>
      <c r="S189" s="426">
        <f t="shared" si="83"/>
        <v>0.03</v>
      </c>
      <c r="T189" s="425">
        <v>0.02</v>
      </c>
      <c r="U189" s="426">
        <f t="shared" si="84"/>
        <v>5.7142857142857143E-3</v>
      </c>
      <c r="V189" s="1272">
        <v>0.1</v>
      </c>
      <c r="W189" s="1272">
        <f t="shared" si="85"/>
        <v>0.125</v>
      </c>
      <c r="X189" s="412">
        <f t="shared" si="86"/>
        <v>0.1</v>
      </c>
      <c r="Y189" s="1272">
        <v>3.9999999999999998E-6</v>
      </c>
      <c r="Z189" s="412">
        <f t="shared" si="87"/>
        <v>1.3999999999999999E-2</v>
      </c>
      <c r="AA189" s="412" t="s">
        <v>221</v>
      </c>
      <c r="AB189" s="439">
        <v>2</v>
      </c>
      <c r="AC189" s="1572">
        <v>0.03</v>
      </c>
      <c r="AD189" s="1257">
        <v>1</v>
      </c>
      <c r="AE189" s="1257">
        <v>0</v>
      </c>
      <c r="AF189" s="1292" t="s">
        <v>144</v>
      </c>
      <c r="AG189" s="535" t="s">
        <v>221</v>
      </c>
      <c r="AH189" s="449" t="s">
        <v>221</v>
      </c>
      <c r="AI189" s="449" t="s">
        <v>221</v>
      </c>
      <c r="AJ189" s="449" t="s">
        <v>221</v>
      </c>
      <c r="AK189" s="449" t="str">
        <f t="shared" si="79"/>
        <v>no</v>
      </c>
      <c r="AL189" s="221" t="s">
        <v>232</v>
      </c>
      <c r="AM189" s="406" t="s">
        <v>232</v>
      </c>
      <c r="AN189" s="1330" t="str">
        <f t="shared" si="80"/>
        <v>na</v>
      </c>
      <c r="AP189" s="1062"/>
    </row>
    <row r="190" spans="1:42" ht="13.9" customHeight="1" x14ac:dyDescent="0.25">
      <c r="A190" s="846">
        <f>Chem!A190</f>
        <v>188</v>
      </c>
      <c r="B190" s="865" t="str">
        <f>Chem!B190</f>
        <v>Diisopropyl ether</v>
      </c>
      <c r="C190" s="384">
        <v>22.8</v>
      </c>
      <c r="D190" s="384" t="s">
        <v>232</v>
      </c>
      <c r="E190" s="387">
        <f t="shared" si="61"/>
        <v>2.2800000000000001E-2</v>
      </c>
      <c r="F190" s="387">
        <f t="shared" si="62"/>
        <v>2.2800000000000001E-2</v>
      </c>
      <c r="G190" s="387" t="s">
        <v>232</v>
      </c>
      <c r="H190" s="387" t="s">
        <v>232</v>
      </c>
      <c r="I190" s="387">
        <f t="shared" si="81"/>
        <v>0.43320000000000003</v>
      </c>
      <c r="J190" s="387">
        <f t="shared" si="63"/>
        <v>0.43320000000000003</v>
      </c>
      <c r="K190" s="400">
        <v>6.2681916180580513E-2</v>
      </c>
      <c r="L190" s="400">
        <v>0.10466067048242</v>
      </c>
      <c r="M190" s="400">
        <f t="shared" si="72"/>
        <v>6.2681916180580513E-2</v>
      </c>
      <c r="N190" s="271" t="s">
        <v>232</v>
      </c>
      <c r="O190" s="425" t="s">
        <v>232</v>
      </c>
      <c r="P190" s="1649">
        <v>0.8</v>
      </c>
      <c r="Q190" s="426" t="str">
        <f t="shared" si="82"/>
        <v>na</v>
      </c>
      <c r="R190" s="1666">
        <v>1</v>
      </c>
      <c r="S190" s="426" t="str">
        <f t="shared" si="83"/>
        <v>na</v>
      </c>
      <c r="T190" s="425">
        <v>0.7</v>
      </c>
      <c r="U190" s="426">
        <f t="shared" si="84"/>
        <v>0.2</v>
      </c>
      <c r="V190" s="1272" t="s">
        <v>232</v>
      </c>
      <c r="W190" s="1272" t="str">
        <f t="shared" si="85"/>
        <v>na</v>
      </c>
      <c r="X190" s="412" t="str">
        <f t="shared" si="86"/>
        <v>na</v>
      </c>
      <c r="Y190" s="1272" t="s">
        <v>232</v>
      </c>
      <c r="Z190" s="412" t="str">
        <f t="shared" si="87"/>
        <v>na</v>
      </c>
      <c r="AA190" s="412" t="s">
        <v>221</v>
      </c>
      <c r="AB190" s="439">
        <v>2</v>
      </c>
      <c r="AC190" s="1572">
        <v>5.0000000000000001E-4</v>
      </c>
      <c r="AD190" s="1257">
        <v>1</v>
      </c>
      <c r="AE190" s="1257">
        <v>0</v>
      </c>
      <c r="AF190" s="1292" t="s">
        <v>221</v>
      </c>
      <c r="AG190" s="535" t="s">
        <v>221</v>
      </c>
      <c r="AH190" s="449" t="s">
        <v>221</v>
      </c>
      <c r="AI190" s="449" t="s">
        <v>221</v>
      </c>
      <c r="AJ190" s="449" t="s">
        <v>221</v>
      </c>
      <c r="AK190" s="449" t="str">
        <f t="shared" si="79"/>
        <v>no</v>
      </c>
      <c r="AL190" s="221" t="s">
        <v>232</v>
      </c>
      <c r="AM190" s="406" t="s">
        <v>232</v>
      </c>
      <c r="AN190" s="1330" t="str">
        <f t="shared" si="80"/>
        <v>na</v>
      </c>
      <c r="AP190" s="1062"/>
    </row>
    <row r="191" spans="1:42" ht="13.9" customHeight="1" x14ac:dyDescent="0.25">
      <c r="A191" s="846">
        <f>Chem!A191</f>
        <v>189</v>
      </c>
      <c r="B191" s="866" t="str">
        <f>Chem!B191</f>
        <v>Ethane</v>
      </c>
      <c r="C191" s="394" t="s">
        <v>232</v>
      </c>
      <c r="D191" s="394" t="s">
        <v>232</v>
      </c>
      <c r="E191" s="387" t="str">
        <f t="shared" si="61"/>
        <v>na</v>
      </c>
      <c r="F191" s="387" t="str">
        <f t="shared" si="62"/>
        <v>na</v>
      </c>
      <c r="G191" s="387" t="s">
        <v>232</v>
      </c>
      <c r="H191" s="387" t="s">
        <v>232</v>
      </c>
      <c r="I191" s="387" t="str">
        <f t="shared" si="81"/>
        <v>na</v>
      </c>
      <c r="J191" s="387" t="str">
        <f t="shared" si="63"/>
        <v>na</v>
      </c>
      <c r="K191" s="407" t="s">
        <v>232</v>
      </c>
      <c r="L191" s="407" t="s">
        <v>232</v>
      </c>
      <c r="M191" s="407">
        <f t="shared" si="72"/>
        <v>0</v>
      </c>
      <c r="N191" s="217" t="s">
        <v>232</v>
      </c>
      <c r="O191" s="1267" t="s">
        <v>232</v>
      </c>
      <c r="P191" s="1649">
        <v>0.8</v>
      </c>
      <c r="Q191" s="435" t="str">
        <f t="shared" si="82"/>
        <v>na</v>
      </c>
      <c r="R191" s="1679">
        <v>1</v>
      </c>
      <c r="S191" s="435" t="str">
        <f t="shared" si="83"/>
        <v>na</v>
      </c>
      <c r="T191" s="1267" t="s">
        <v>232</v>
      </c>
      <c r="U191" s="435" t="str">
        <f t="shared" si="84"/>
        <v>na</v>
      </c>
      <c r="V191" s="1277" t="s">
        <v>232</v>
      </c>
      <c r="W191" s="1277" t="str">
        <f t="shared" si="85"/>
        <v>na</v>
      </c>
      <c r="X191" s="418" t="str">
        <f t="shared" si="86"/>
        <v>na</v>
      </c>
      <c r="Y191" s="1277" t="s">
        <v>232</v>
      </c>
      <c r="Z191" s="418" t="str">
        <f t="shared" si="87"/>
        <v>na</v>
      </c>
      <c r="AA191" s="418" t="s">
        <v>221</v>
      </c>
      <c r="AB191" s="439" t="s">
        <v>232</v>
      </c>
      <c r="AC191" s="1574" t="s">
        <v>232</v>
      </c>
      <c r="AD191" s="1262" t="s">
        <v>232</v>
      </c>
      <c r="AE191" s="1262">
        <v>0</v>
      </c>
      <c r="AF191" s="1292" t="s">
        <v>221</v>
      </c>
      <c r="AG191" s="539" t="s">
        <v>221</v>
      </c>
      <c r="AH191" s="341" t="s">
        <v>221</v>
      </c>
      <c r="AI191" s="341" t="s">
        <v>221</v>
      </c>
      <c r="AJ191" s="341" t="s">
        <v>221</v>
      </c>
      <c r="AK191" s="449" t="str">
        <f t="shared" si="79"/>
        <v>no</v>
      </c>
      <c r="AL191" s="221" t="s">
        <v>232</v>
      </c>
      <c r="AM191" s="406" t="s">
        <v>232</v>
      </c>
      <c r="AN191" s="1330" t="str">
        <f t="shared" si="80"/>
        <v>na</v>
      </c>
      <c r="AP191" s="1062"/>
    </row>
    <row r="192" spans="1:42" ht="13.9" customHeight="1" x14ac:dyDescent="0.25">
      <c r="A192" s="846">
        <f>Chem!A192</f>
        <v>190</v>
      </c>
      <c r="B192" s="865" t="str">
        <f>Chem!B192</f>
        <v>Ethylbenzene</v>
      </c>
      <c r="C192" s="384">
        <v>204</v>
      </c>
      <c r="D192" s="384" t="s">
        <v>232</v>
      </c>
      <c r="E192" s="387">
        <f t="shared" si="61"/>
        <v>0.20400000000000001</v>
      </c>
      <c r="F192" s="387">
        <f t="shared" si="62"/>
        <v>0.20400000000000001</v>
      </c>
      <c r="G192" s="387" t="s">
        <v>232</v>
      </c>
      <c r="H192" s="387" t="s">
        <v>232</v>
      </c>
      <c r="I192" s="387">
        <f t="shared" si="81"/>
        <v>3.8759999999999999</v>
      </c>
      <c r="J192" s="387">
        <f t="shared" si="63"/>
        <v>3.8759999999999999</v>
      </c>
      <c r="K192" s="400">
        <v>0.1643273183318128</v>
      </c>
      <c r="L192" s="400">
        <v>0.32300000000000001</v>
      </c>
      <c r="M192" s="400">
        <f t="shared" si="72"/>
        <v>0.1643273183318128</v>
      </c>
      <c r="N192" s="271">
        <v>37.5</v>
      </c>
      <c r="O192" s="425">
        <v>0.1</v>
      </c>
      <c r="P192" s="1649">
        <v>0.92</v>
      </c>
      <c r="Q192" s="426">
        <f t="shared" si="82"/>
        <v>9.2000000000000012E-2</v>
      </c>
      <c r="R192" s="1666">
        <v>1</v>
      </c>
      <c r="S192" s="426">
        <f t="shared" si="83"/>
        <v>0.1</v>
      </c>
      <c r="T192" s="425">
        <v>1</v>
      </c>
      <c r="U192" s="426">
        <f t="shared" si="84"/>
        <v>0.2857142857142857</v>
      </c>
      <c r="V192" s="1272" t="s">
        <v>232</v>
      </c>
      <c r="W192" s="1272" t="str">
        <f t="shared" si="85"/>
        <v>na</v>
      </c>
      <c r="X192" s="412" t="str">
        <f t="shared" si="86"/>
        <v>na</v>
      </c>
      <c r="Y192" s="1272" t="s">
        <v>232</v>
      </c>
      <c r="Z192" s="412" t="str">
        <f t="shared" si="87"/>
        <v>na</v>
      </c>
      <c r="AA192" s="412" t="s">
        <v>221</v>
      </c>
      <c r="AB192" s="439">
        <v>2</v>
      </c>
      <c r="AC192" s="1572">
        <v>0.03</v>
      </c>
      <c r="AD192" s="1257">
        <v>1</v>
      </c>
      <c r="AE192" s="1257">
        <v>0</v>
      </c>
      <c r="AF192" s="1292" t="s">
        <v>144</v>
      </c>
      <c r="AG192" s="535" t="s">
        <v>221</v>
      </c>
      <c r="AH192" s="449" t="s">
        <v>221</v>
      </c>
      <c r="AI192" s="449" t="s">
        <v>221</v>
      </c>
      <c r="AJ192" s="449" t="s">
        <v>221</v>
      </c>
      <c r="AK192" s="449" t="str">
        <f t="shared" si="79"/>
        <v>no</v>
      </c>
      <c r="AL192" s="221" t="s">
        <v>232</v>
      </c>
      <c r="AM192" s="406" t="s">
        <v>232</v>
      </c>
      <c r="AN192" s="1330" t="str">
        <f t="shared" si="80"/>
        <v>na</v>
      </c>
      <c r="AP192" s="1062"/>
    </row>
    <row r="193" spans="1:42" ht="13.9" customHeight="1" x14ac:dyDescent="0.25">
      <c r="A193" s="846">
        <f>Chem!A193</f>
        <v>191</v>
      </c>
      <c r="B193" s="1839" t="str">
        <f>Chem!B193</f>
        <v>Ethylene oxide</v>
      </c>
      <c r="C193" s="394">
        <v>3.24</v>
      </c>
      <c r="D193" s="394" t="s">
        <v>232</v>
      </c>
      <c r="E193" s="387">
        <f t="shared" si="61"/>
        <v>3.2400000000000003E-3</v>
      </c>
      <c r="F193" s="387">
        <f t="shared" si="62"/>
        <v>3.2400000000000003E-3</v>
      </c>
      <c r="G193" s="387" t="s">
        <v>232</v>
      </c>
      <c r="H193" s="387" t="s">
        <v>232</v>
      </c>
      <c r="I193" s="387">
        <f t="shared" si="81"/>
        <v>6.1560000000000004E-2</v>
      </c>
      <c r="J193" s="387">
        <f t="shared" si="63"/>
        <v>6.1560000000000004E-2</v>
      </c>
      <c r="K193" s="407">
        <v>4.0992774890405781E-3</v>
      </c>
      <c r="L193" s="407">
        <v>6.05069501226492E-3</v>
      </c>
      <c r="M193" s="407">
        <f t="shared" si="72"/>
        <v>4.0992774890405781E-3</v>
      </c>
      <c r="N193" s="217" t="s">
        <v>232</v>
      </c>
      <c r="O193" s="1267" t="s">
        <v>232</v>
      </c>
      <c r="P193" s="1649">
        <v>0.8</v>
      </c>
      <c r="Q193" s="435" t="str">
        <f t="shared" si="82"/>
        <v>na</v>
      </c>
      <c r="R193" s="1679">
        <v>1</v>
      </c>
      <c r="S193" s="435" t="str">
        <f t="shared" si="83"/>
        <v>na</v>
      </c>
      <c r="T193" s="1267">
        <v>3.0000000000000002E-2</v>
      </c>
      <c r="U193" s="435">
        <f t="shared" si="84"/>
        <v>8.5714285714285719E-3</v>
      </c>
      <c r="V193" s="1277">
        <v>0.31</v>
      </c>
      <c r="W193" s="1277">
        <f t="shared" si="85"/>
        <v>0.38749999999999996</v>
      </c>
      <c r="X193" s="418">
        <f t="shared" si="86"/>
        <v>0.31</v>
      </c>
      <c r="Y193" s="1277">
        <v>3.0000000000000001E-3</v>
      </c>
      <c r="Z193" s="418">
        <f t="shared" si="87"/>
        <v>10.5</v>
      </c>
      <c r="AA193" s="418" t="s">
        <v>144</v>
      </c>
      <c r="AB193" s="439">
        <v>2</v>
      </c>
      <c r="AC193" s="1574">
        <v>5.0000000000000001E-4</v>
      </c>
      <c r="AD193" s="1262">
        <v>1</v>
      </c>
      <c r="AE193" s="1262">
        <v>0</v>
      </c>
      <c r="AF193" s="1292" t="s">
        <v>144</v>
      </c>
      <c r="AG193" s="539" t="s">
        <v>221</v>
      </c>
      <c r="AH193" s="341" t="s">
        <v>221</v>
      </c>
      <c r="AI193" s="341" t="s">
        <v>221</v>
      </c>
      <c r="AJ193" s="341" t="s">
        <v>221</v>
      </c>
      <c r="AK193" s="449" t="str">
        <f t="shared" si="79"/>
        <v>no</v>
      </c>
      <c r="AL193" s="221" t="s">
        <v>232</v>
      </c>
      <c r="AM193" s="406" t="s">
        <v>232</v>
      </c>
      <c r="AN193" s="1330" t="str">
        <f t="shared" si="80"/>
        <v>na</v>
      </c>
      <c r="AP193" s="1062"/>
    </row>
    <row r="194" spans="1:42" ht="13.9" customHeight="1" x14ac:dyDescent="0.25">
      <c r="A194" s="846">
        <f>Chem!A194</f>
        <v>192</v>
      </c>
      <c r="B194" s="865" t="str">
        <f>Chem!B194</f>
        <v>Ethyl ether</v>
      </c>
      <c r="C194" s="384">
        <v>9.6999999999999993</v>
      </c>
      <c r="D194" s="384" t="s">
        <v>232</v>
      </c>
      <c r="E194" s="387">
        <f t="shared" si="61"/>
        <v>9.7000000000000003E-3</v>
      </c>
      <c r="F194" s="387">
        <f t="shared" si="62"/>
        <v>9.7000000000000003E-3</v>
      </c>
      <c r="G194" s="387" t="s">
        <v>232</v>
      </c>
      <c r="H194" s="387" t="s">
        <v>232</v>
      </c>
      <c r="I194" s="387">
        <f t="shared" si="81"/>
        <v>0.18429999999999999</v>
      </c>
      <c r="J194" s="387">
        <f t="shared" si="63"/>
        <v>0.18429999999999999</v>
      </c>
      <c r="K194" s="400">
        <v>3.2723688327777993E-2</v>
      </c>
      <c r="L194" s="400">
        <v>5.0286181520850397E-2</v>
      </c>
      <c r="M194" s="400">
        <f t="shared" si="72"/>
        <v>3.2723688327777993E-2</v>
      </c>
      <c r="N194" s="271" t="s">
        <v>232</v>
      </c>
      <c r="O194" s="425">
        <v>0.2</v>
      </c>
      <c r="P194" s="1649">
        <v>0.8</v>
      </c>
      <c r="Q194" s="426">
        <f t="shared" si="82"/>
        <v>0.16000000000000003</v>
      </c>
      <c r="R194" s="1666">
        <v>1</v>
      </c>
      <c r="S194" s="426">
        <f t="shared" si="83"/>
        <v>0.2</v>
      </c>
      <c r="T194" s="425" t="s">
        <v>232</v>
      </c>
      <c r="U194" s="426" t="str">
        <f t="shared" si="84"/>
        <v>na</v>
      </c>
      <c r="V194" s="1272" t="s">
        <v>232</v>
      </c>
      <c r="W194" s="1272" t="str">
        <f t="shared" si="85"/>
        <v>na</v>
      </c>
      <c r="X194" s="412" t="str">
        <f t="shared" si="86"/>
        <v>na</v>
      </c>
      <c r="Y194" s="1272" t="s">
        <v>232</v>
      </c>
      <c r="Z194" s="412" t="str">
        <f t="shared" si="87"/>
        <v>na</v>
      </c>
      <c r="AA194" s="412" t="s">
        <v>221</v>
      </c>
      <c r="AB194" s="439">
        <v>2</v>
      </c>
      <c r="AC194" s="1572">
        <v>5.0000000000000001E-4</v>
      </c>
      <c r="AD194" s="1257">
        <v>1</v>
      </c>
      <c r="AE194" s="1257">
        <v>0</v>
      </c>
      <c r="AF194" s="1292" t="s">
        <v>221</v>
      </c>
      <c r="AG194" s="535" t="s">
        <v>221</v>
      </c>
      <c r="AH194" s="449" t="s">
        <v>221</v>
      </c>
      <c r="AI194" s="449" t="s">
        <v>221</v>
      </c>
      <c r="AJ194" s="449" t="s">
        <v>221</v>
      </c>
      <c r="AK194" s="449" t="str">
        <f t="shared" si="79"/>
        <v>no</v>
      </c>
      <c r="AL194" s="221" t="s">
        <v>232</v>
      </c>
      <c r="AM194" s="406" t="s">
        <v>232</v>
      </c>
      <c r="AN194" s="1330" t="str">
        <f t="shared" si="80"/>
        <v>na</v>
      </c>
      <c r="AP194" s="1062"/>
    </row>
    <row r="195" spans="1:42" ht="13.9" customHeight="1" x14ac:dyDescent="0.25">
      <c r="A195" s="846">
        <f>Chem!A195</f>
        <v>193</v>
      </c>
      <c r="B195" s="865" t="str">
        <f>Chem!B195</f>
        <v>Ethylene dibromide (EDB)</v>
      </c>
      <c r="C195" s="384">
        <v>66</v>
      </c>
      <c r="D195" s="384" t="s">
        <v>232</v>
      </c>
      <c r="E195" s="387">
        <f t="shared" si="61"/>
        <v>6.6000000000000003E-2</v>
      </c>
      <c r="F195" s="387">
        <f t="shared" si="62"/>
        <v>6.6000000000000003E-2</v>
      </c>
      <c r="G195" s="387" t="s">
        <v>232</v>
      </c>
      <c r="H195" s="387" t="s">
        <v>232</v>
      </c>
      <c r="I195" s="387">
        <f t="shared" si="81"/>
        <v>1.254</v>
      </c>
      <c r="J195" s="387">
        <f t="shared" si="63"/>
        <v>1.254</v>
      </c>
      <c r="K195" s="400">
        <v>1.4107599269135657E-2</v>
      </c>
      <c r="L195" s="400">
        <v>2.6573998364676998E-2</v>
      </c>
      <c r="M195" s="400">
        <f t="shared" si="72"/>
        <v>1.4107599269135657E-2</v>
      </c>
      <c r="N195" s="271" t="s">
        <v>232</v>
      </c>
      <c r="O195" s="425">
        <v>8.9999999999999993E-3</v>
      </c>
      <c r="P195" s="1649">
        <v>0.8</v>
      </c>
      <c r="Q195" s="426">
        <f t="shared" si="82"/>
        <v>7.1999999999999998E-3</v>
      </c>
      <c r="R195" s="1666">
        <v>1</v>
      </c>
      <c r="S195" s="426">
        <f t="shared" si="83"/>
        <v>8.9999999999999993E-3</v>
      </c>
      <c r="T195" s="425">
        <v>8.9999999999999993E-3</v>
      </c>
      <c r="U195" s="426">
        <f t="shared" si="84"/>
        <v>2.5714285714285713E-3</v>
      </c>
      <c r="V195" s="1272">
        <v>2</v>
      </c>
      <c r="W195" s="1272">
        <f t="shared" si="85"/>
        <v>2.5</v>
      </c>
      <c r="X195" s="412">
        <f t="shared" si="86"/>
        <v>2</v>
      </c>
      <c r="Y195" s="1272">
        <v>5.9999999999999995E-4</v>
      </c>
      <c r="Z195" s="412">
        <f t="shared" si="87"/>
        <v>2.0999999999999996</v>
      </c>
      <c r="AA195" s="412" t="s">
        <v>221</v>
      </c>
      <c r="AB195" s="439">
        <v>2</v>
      </c>
      <c r="AC195" s="1572">
        <v>0.03</v>
      </c>
      <c r="AD195" s="1257">
        <v>1</v>
      </c>
      <c r="AE195" s="1257">
        <v>0</v>
      </c>
      <c r="AF195" s="1292" t="s">
        <v>144</v>
      </c>
      <c r="AG195" s="535" t="s">
        <v>221</v>
      </c>
      <c r="AH195" s="449" t="s">
        <v>221</v>
      </c>
      <c r="AI195" s="449" t="s">
        <v>221</v>
      </c>
      <c r="AJ195" s="449" t="s">
        <v>221</v>
      </c>
      <c r="AK195" s="449" t="str">
        <f t="shared" si="79"/>
        <v>no</v>
      </c>
      <c r="AL195" s="221" t="s">
        <v>232</v>
      </c>
      <c r="AM195" s="406" t="s">
        <v>232</v>
      </c>
      <c r="AN195" s="1330" t="str">
        <f t="shared" si="80"/>
        <v>na</v>
      </c>
      <c r="AP195" s="1062"/>
    </row>
    <row r="196" spans="1:42" ht="13.9" customHeight="1" x14ac:dyDescent="0.25">
      <c r="A196" s="846">
        <f>Chem!A196</f>
        <v>194</v>
      </c>
      <c r="B196" s="1838" t="str">
        <f>Chem!B196</f>
        <v>Formaldehyde</v>
      </c>
      <c r="C196" s="384">
        <v>1</v>
      </c>
      <c r="D196" s="384" t="s">
        <v>232</v>
      </c>
      <c r="E196" s="387">
        <f t="shared" ref="E196:E259" si="88">IF(C196="na","na",C196*F$1)</f>
        <v>1E-3</v>
      </c>
      <c r="F196" s="387">
        <f t="shared" ref="F196:F259" si="89">IF(D196="na",E196,D196)</f>
        <v>1E-3</v>
      </c>
      <c r="G196" s="387" t="s">
        <v>232</v>
      </c>
      <c r="H196" s="387" t="s">
        <v>232</v>
      </c>
      <c r="I196" s="387">
        <f t="shared" si="81"/>
        <v>1.9E-2</v>
      </c>
      <c r="J196" s="387">
        <f t="shared" si="63"/>
        <v>1.9E-2</v>
      </c>
      <c r="K196" s="400">
        <v>9.7531985897176139E-6</v>
      </c>
      <c r="L196" s="400">
        <v>1.37775960752249E-5</v>
      </c>
      <c r="M196" s="400">
        <f t="shared" si="72"/>
        <v>9.7531985897176139E-6</v>
      </c>
      <c r="N196" s="271" t="s">
        <v>232</v>
      </c>
      <c r="O196" s="425">
        <v>0.2</v>
      </c>
      <c r="P196" s="1649">
        <v>0.8</v>
      </c>
      <c r="Q196" s="426">
        <f t="shared" si="82"/>
        <v>0.16000000000000003</v>
      </c>
      <c r="R196" s="1666">
        <v>1</v>
      </c>
      <c r="S196" s="426">
        <f t="shared" si="83"/>
        <v>0.2</v>
      </c>
      <c r="T196" s="425">
        <v>7.0000000000000001E-3</v>
      </c>
      <c r="U196" s="426">
        <f t="shared" si="84"/>
        <v>2E-3</v>
      </c>
      <c r="V196" s="1272">
        <v>2.1000000000000001E-2</v>
      </c>
      <c r="W196" s="1272">
        <f t="shared" si="85"/>
        <v>2.6249999999999999E-2</v>
      </c>
      <c r="X196" s="412">
        <f t="shared" si="86"/>
        <v>2.1000000000000001E-2</v>
      </c>
      <c r="Y196" s="1272">
        <v>7.4000000000000003E-6</v>
      </c>
      <c r="Z196" s="412">
        <f t="shared" si="87"/>
        <v>2.5899999999999999E-2</v>
      </c>
      <c r="AA196" s="412" t="s">
        <v>221</v>
      </c>
      <c r="AB196" s="439">
        <v>2</v>
      </c>
      <c r="AC196" s="1572">
        <v>5.0000000000000001E-4</v>
      </c>
      <c r="AD196" s="1257">
        <v>1</v>
      </c>
      <c r="AE196" s="1257">
        <v>0</v>
      </c>
      <c r="AF196" s="1292" t="s">
        <v>221</v>
      </c>
      <c r="AG196" s="535" t="s">
        <v>221</v>
      </c>
      <c r="AH196" s="449" t="s">
        <v>221</v>
      </c>
      <c r="AI196" s="449" t="s">
        <v>221</v>
      </c>
      <c r="AJ196" s="449" t="s">
        <v>221</v>
      </c>
      <c r="AK196" s="449" t="str">
        <f t="shared" si="79"/>
        <v>no</v>
      </c>
      <c r="AL196" s="221" t="s">
        <v>232</v>
      </c>
      <c r="AM196" s="406" t="s">
        <v>232</v>
      </c>
      <c r="AN196" s="1330" t="str">
        <f t="shared" si="80"/>
        <v>na</v>
      </c>
      <c r="AP196" s="1062"/>
    </row>
    <row r="197" spans="1:42" ht="13.9" customHeight="1" x14ac:dyDescent="0.25">
      <c r="A197" s="846">
        <f>Chem!A197</f>
        <v>195</v>
      </c>
      <c r="B197" s="865" t="str">
        <f>Chem!B197</f>
        <v>n-Hexane</v>
      </c>
      <c r="C197" s="384">
        <v>3410</v>
      </c>
      <c r="D197" s="384" t="s">
        <v>232</v>
      </c>
      <c r="E197" s="387">
        <f t="shared" si="88"/>
        <v>3.41</v>
      </c>
      <c r="F197" s="387">
        <f t="shared" si="89"/>
        <v>3.41</v>
      </c>
      <c r="G197" s="387" t="s">
        <v>232</v>
      </c>
      <c r="H197" s="387" t="s">
        <v>232</v>
      </c>
      <c r="I197" s="387">
        <f t="shared" si="81"/>
        <v>64.789999999999992</v>
      </c>
      <c r="J197" s="387">
        <f t="shared" ref="J197:J260" si="90">IF(ISNUMBER(G197),G197*J$1,IF(ISNUMBER(H197),H197,I197))</f>
        <v>64.789999999999992</v>
      </c>
      <c r="K197" s="400">
        <v>44.677962047233926</v>
      </c>
      <c r="L197" s="400">
        <v>74</v>
      </c>
      <c r="M197" s="400">
        <f t="shared" si="72"/>
        <v>44.677962047233926</v>
      </c>
      <c r="N197" s="271" t="s">
        <v>232</v>
      </c>
      <c r="O197" s="425">
        <v>0.06</v>
      </c>
      <c r="P197" s="1649">
        <v>0.8</v>
      </c>
      <c r="Q197" s="426">
        <f t="shared" si="82"/>
        <v>4.8000000000000001E-2</v>
      </c>
      <c r="R197" s="1666">
        <v>1</v>
      </c>
      <c r="S197" s="426">
        <f t="shared" si="83"/>
        <v>0.06</v>
      </c>
      <c r="T197" s="425">
        <v>0.70000000000000007</v>
      </c>
      <c r="U197" s="426">
        <f t="shared" si="84"/>
        <v>0.20000000000000004</v>
      </c>
      <c r="V197" s="1272" t="s">
        <v>232</v>
      </c>
      <c r="W197" s="1272" t="str">
        <f t="shared" si="85"/>
        <v>na</v>
      </c>
      <c r="X197" s="412" t="str">
        <f t="shared" si="86"/>
        <v>na</v>
      </c>
      <c r="Y197" s="1272" t="s">
        <v>232</v>
      </c>
      <c r="Z197" s="412" t="str">
        <f t="shared" si="87"/>
        <v>na</v>
      </c>
      <c r="AA197" s="412" t="s">
        <v>221</v>
      </c>
      <c r="AB197" s="439">
        <v>2</v>
      </c>
      <c r="AC197" s="1572">
        <v>5.0000000000000001E-4</v>
      </c>
      <c r="AD197" s="1257">
        <v>1</v>
      </c>
      <c r="AE197" s="1257">
        <v>0</v>
      </c>
      <c r="AF197" s="1292" t="s">
        <v>144</v>
      </c>
      <c r="AG197" s="535" t="s">
        <v>221</v>
      </c>
      <c r="AH197" s="449" t="s">
        <v>221</v>
      </c>
      <c r="AI197" s="449" t="s">
        <v>221</v>
      </c>
      <c r="AJ197" s="449" t="s">
        <v>221</v>
      </c>
      <c r="AK197" s="449" t="str">
        <f t="shared" si="79"/>
        <v>no</v>
      </c>
      <c r="AL197" s="221" t="s">
        <v>232</v>
      </c>
      <c r="AM197" s="406" t="s">
        <v>232</v>
      </c>
      <c r="AN197" s="1330" t="str">
        <f t="shared" si="80"/>
        <v>na</v>
      </c>
      <c r="AP197" s="1062"/>
    </row>
    <row r="198" spans="1:42" ht="13.9" customHeight="1" x14ac:dyDescent="0.25">
      <c r="A198" s="846">
        <f>Chem!A198</f>
        <v>196</v>
      </c>
      <c r="B198" s="865" t="str">
        <f>Chem!B198</f>
        <v>2-Hexanone</v>
      </c>
      <c r="C198" s="384">
        <v>15</v>
      </c>
      <c r="D198" s="384" t="s">
        <v>232</v>
      </c>
      <c r="E198" s="387">
        <f t="shared" si="88"/>
        <v>1.4999999999999999E-2</v>
      </c>
      <c r="F198" s="387">
        <f t="shared" si="89"/>
        <v>1.4999999999999999E-2</v>
      </c>
      <c r="G198" s="387" t="s">
        <v>232</v>
      </c>
      <c r="H198" s="387" t="s">
        <v>232</v>
      </c>
      <c r="I198" s="387">
        <f t="shared" si="81"/>
        <v>0.28499999999999998</v>
      </c>
      <c r="J198" s="387">
        <f t="shared" si="90"/>
        <v>0.28499999999999998</v>
      </c>
      <c r="K198" s="400">
        <v>1.8904614171262846E-3</v>
      </c>
      <c r="L198" s="400">
        <v>3.8103025347506099E-3</v>
      </c>
      <c r="M198" s="400">
        <f t="shared" si="72"/>
        <v>1.8904614171262846E-3</v>
      </c>
      <c r="N198" s="271" t="s">
        <v>232</v>
      </c>
      <c r="O198" s="425">
        <v>5.0000000000000001E-3</v>
      </c>
      <c r="P198" s="1649">
        <v>0.8</v>
      </c>
      <c r="Q198" s="426">
        <f t="shared" si="82"/>
        <v>4.0000000000000001E-3</v>
      </c>
      <c r="R198" s="1666">
        <v>1</v>
      </c>
      <c r="S198" s="426">
        <f t="shared" si="83"/>
        <v>5.0000000000000001E-3</v>
      </c>
      <c r="T198" s="425">
        <v>0.03</v>
      </c>
      <c r="U198" s="426">
        <f t="shared" si="84"/>
        <v>8.5714285714285719E-3</v>
      </c>
      <c r="V198" s="1272" t="s">
        <v>232</v>
      </c>
      <c r="W198" s="1272" t="str">
        <f t="shared" si="85"/>
        <v>na</v>
      </c>
      <c r="X198" s="412" t="str">
        <f t="shared" si="86"/>
        <v>na</v>
      </c>
      <c r="Y198" s="1272" t="s">
        <v>232</v>
      </c>
      <c r="Z198" s="412" t="str">
        <f t="shared" si="87"/>
        <v>na</v>
      </c>
      <c r="AA198" s="412" t="s">
        <v>221</v>
      </c>
      <c r="AB198" s="439">
        <v>2</v>
      </c>
      <c r="AC198" s="1572">
        <v>0.03</v>
      </c>
      <c r="AD198" s="1257">
        <v>1</v>
      </c>
      <c r="AE198" s="1257">
        <v>0</v>
      </c>
      <c r="AF198" s="1292" t="s">
        <v>144</v>
      </c>
      <c r="AG198" s="535" t="s">
        <v>221</v>
      </c>
      <c r="AH198" s="449" t="s">
        <v>221</v>
      </c>
      <c r="AI198" s="449" t="s">
        <v>221</v>
      </c>
      <c r="AJ198" s="449" t="s">
        <v>221</v>
      </c>
      <c r="AK198" s="449" t="str">
        <f t="shared" si="79"/>
        <v>no</v>
      </c>
      <c r="AL198" s="221" t="s">
        <v>232</v>
      </c>
      <c r="AM198" s="406" t="s">
        <v>232</v>
      </c>
      <c r="AN198" s="1330" t="str">
        <f t="shared" si="80"/>
        <v>na</v>
      </c>
      <c r="AP198" s="1062"/>
    </row>
    <row r="199" spans="1:42" ht="13.9" customHeight="1" x14ac:dyDescent="0.25">
      <c r="A199" s="846">
        <f>Chem!A199</f>
        <v>197</v>
      </c>
      <c r="B199" s="865" t="str">
        <f>Chem!B199</f>
        <v>Isopropylbenzene (cumene)</v>
      </c>
      <c r="C199" s="384">
        <v>698</v>
      </c>
      <c r="D199" s="384" t="s">
        <v>232</v>
      </c>
      <c r="E199" s="387">
        <f t="shared" si="88"/>
        <v>0.69800000000000006</v>
      </c>
      <c r="F199" s="387">
        <f t="shared" si="89"/>
        <v>0.69800000000000006</v>
      </c>
      <c r="G199" s="387" t="s">
        <v>232</v>
      </c>
      <c r="H199" s="387" t="s">
        <v>232</v>
      </c>
      <c r="I199" s="387">
        <f t="shared" si="81"/>
        <v>13.262</v>
      </c>
      <c r="J199" s="387">
        <f t="shared" si="90"/>
        <v>13.262</v>
      </c>
      <c r="K199" s="400">
        <v>0.20060275263649496</v>
      </c>
      <c r="L199" s="400">
        <v>0.47015535568274702</v>
      </c>
      <c r="M199" s="400">
        <f t="shared" si="72"/>
        <v>0.20060275263649496</v>
      </c>
      <c r="N199" s="271" t="s">
        <v>232</v>
      </c>
      <c r="O199" s="425">
        <v>0.1</v>
      </c>
      <c r="P199" s="1649">
        <v>0.8</v>
      </c>
      <c r="Q199" s="426">
        <f t="shared" si="82"/>
        <v>8.0000000000000016E-2</v>
      </c>
      <c r="R199" s="1666">
        <v>1</v>
      </c>
      <c r="S199" s="426">
        <f t="shared" si="83"/>
        <v>0.1</v>
      </c>
      <c r="T199" s="425">
        <v>0.39999999999999997</v>
      </c>
      <c r="U199" s="426">
        <f t="shared" si="84"/>
        <v>0.11428571428571427</v>
      </c>
      <c r="V199" s="1272" t="s">
        <v>232</v>
      </c>
      <c r="W199" s="1272" t="str">
        <f t="shared" si="85"/>
        <v>na</v>
      </c>
      <c r="X199" s="412" t="str">
        <f t="shared" si="86"/>
        <v>na</v>
      </c>
      <c r="Y199" s="1272" t="s">
        <v>232</v>
      </c>
      <c r="Z199" s="412" t="str">
        <f t="shared" si="87"/>
        <v>na</v>
      </c>
      <c r="AA199" s="412" t="s">
        <v>221</v>
      </c>
      <c r="AB199" s="439">
        <v>2</v>
      </c>
      <c r="AC199" s="1572">
        <v>0.03</v>
      </c>
      <c r="AD199" s="1257">
        <v>1</v>
      </c>
      <c r="AE199" s="1257">
        <v>0</v>
      </c>
      <c r="AF199" s="1292" t="s">
        <v>144</v>
      </c>
      <c r="AG199" s="535" t="s">
        <v>221</v>
      </c>
      <c r="AH199" s="449" t="s">
        <v>221</v>
      </c>
      <c r="AI199" s="449" t="s">
        <v>221</v>
      </c>
      <c r="AJ199" s="449" t="s">
        <v>221</v>
      </c>
      <c r="AK199" s="449" t="str">
        <f t="shared" si="79"/>
        <v>no</v>
      </c>
      <c r="AL199" s="221" t="s">
        <v>232</v>
      </c>
      <c r="AM199" s="406" t="s">
        <v>232</v>
      </c>
      <c r="AN199" s="1330" t="str">
        <f t="shared" si="80"/>
        <v>na</v>
      </c>
      <c r="AP199" s="1062"/>
    </row>
    <row r="200" spans="1:42" ht="13.9" customHeight="1" x14ac:dyDescent="0.25">
      <c r="A200" s="846">
        <f>Chem!A200</f>
        <v>198</v>
      </c>
      <c r="B200" s="865" t="str">
        <f>Chem!B200</f>
        <v>4-Isopropyltoluene (p-isopropyltoluene)</v>
      </c>
      <c r="C200" s="384">
        <v>1120</v>
      </c>
      <c r="D200" s="384" t="s">
        <v>232</v>
      </c>
      <c r="E200" s="387">
        <f t="shared" si="88"/>
        <v>1.1200000000000001</v>
      </c>
      <c r="F200" s="387">
        <f t="shared" si="89"/>
        <v>1.1200000000000001</v>
      </c>
      <c r="G200" s="387" t="s">
        <v>232</v>
      </c>
      <c r="H200" s="387" t="s">
        <v>232</v>
      </c>
      <c r="I200" s="387">
        <f t="shared" si="81"/>
        <v>21.28</v>
      </c>
      <c r="J200" s="387">
        <f t="shared" si="90"/>
        <v>21.28</v>
      </c>
      <c r="K200" s="400">
        <v>0.20699999999999999</v>
      </c>
      <c r="L200" s="400">
        <v>0.45</v>
      </c>
      <c r="M200" s="400">
        <f t="shared" si="72"/>
        <v>0.20699999999999999</v>
      </c>
      <c r="N200" s="271" t="s">
        <v>232</v>
      </c>
      <c r="O200" s="425">
        <v>4.0000000000000001E-3</v>
      </c>
      <c r="P200" s="1649">
        <v>0.8</v>
      </c>
      <c r="Q200" s="426">
        <f t="shared" si="82"/>
        <v>3.2000000000000002E-3</v>
      </c>
      <c r="R200" s="1666">
        <v>1</v>
      </c>
      <c r="S200" s="426">
        <f t="shared" si="83"/>
        <v>4.0000000000000001E-3</v>
      </c>
      <c r="T200" s="425">
        <v>0.04</v>
      </c>
      <c r="U200" s="426">
        <f t="shared" si="84"/>
        <v>1.1428571428571429E-2</v>
      </c>
      <c r="V200" s="1272" t="s">
        <v>232</v>
      </c>
      <c r="W200" s="1272" t="str">
        <f t="shared" si="85"/>
        <v>na</v>
      </c>
      <c r="X200" s="412" t="str">
        <f t="shared" si="86"/>
        <v>na</v>
      </c>
      <c r="Y200" s="1272" t="s">
        <v>232</v>
      </c>
      <c r="Z200" s="412" t="str">
        <f t="shared" si="87"/>
        <v>na</v>
      </c>
      <c r="AA200" s="412" t="s">
        <v>221</v>
      </c>
      <c r="AB200" s="439">
        <v>2</v>
      </c>
      <c r="AC200" s="1572">
        <v>0.03</v>
      </c>
      <c r="AD200" s="1257">
        <v>1</v>
      </c>
      <c r="AE200" s="1257">
        <v>0</v>
      </c>
      <c r="AF200" s="1292" t="s">
        <v>144</v>
      </c>
      <c r="AG200" s="535" t="s">
        <v>221</v>
      </c>
      <c r="AH200" s="449" t="s">
        <v>221</v>
      </c>
      <c r="AI200" s="449" t="s">
        <v>221</v>
      </c>
      <c r="AJ200" s="449" t="s">
        <v>221</v>
      </c>
      <c r="AK200" s="449" t="str">
        <f t="shared" si="79"/>
        <v>no</v>
      </c>
      <c r="AL200" s="221" t="s">
        <v>232</v>
      </c>
      <c r="AM200" s="406" t="s">
        <v>232</v>
      </c>
      <c r="AN200" s="1330" t="str">
        <f t="shared" si="80"/>
        <v>na</v>
      </c>
      <c r="AP200" s="1062"/>
    </row>
    <row r="201" spans="1:42" ht="13.9" customHeight="1" x14ac:dyDescent="0.25">
      <c r="A201" s="846">
        <f>Chem!A201</f>
        <v>199</v>
      </c>
      <c r="B201" s="866" t="str">
        <f>Chem!B201</f>
        <v>Methane</v>
      </c>
      <c r="C201" s="394" t="s">
        <v>232</v>
      </c>
      <c r="D201" s="394" t="s">
        <v>232</v>
      </c>
      <c r="E201" s="387" t="str">
        <f t="shared" si="88"/>
        <v>na</v>
      </c>
      <c r="F201" s="387" t="str">
        <f t="shared" si="89"/>
        <v>na</v>
      </c>
      <c r="G201" s="387" t="s">
        <v>232</v>
      </c>
      <c r="H201" s="387" t="s">
        <v>232</v>
      </c>
      <c r="I201" s="387" t="str">
        <f t="shared" si="81"/>
        <v>na</v>
      </c>
      <c r="J201" s="387" t="str">
        <f t="shared" si="90"/>
        <v>na</v>
      </c>
      <c r="K201" s="407" t="s">
        <v>232</v>
      </c>
      <c r="L201" s="407" t="s">
        <v>232</v>
      </c>
      <c r="M201" s="407">
        <f t="shared" si="72"/>
        <v>0</v>
      </c>
      <c r="N201" s="217" t="s">
        <v>232</v>
      </c>
      <c r="O201" s="1267" t="s">
        <v>232</v>
      </c>
      <c r="P201" s="1649">
        <v>0.8</v>
      </c>
      <c r="Q201" s="435" t="str">
        <f t="shared" si="82"/>
        <v>na</v>
      </c>
      <c r="R201" s="1679">
        <v>1</v>
      </c>
      <c r="S201" s="435" t="str">
        <f t="shared" si="83"/>
        <v>na</v>
      </c>
      <c r="T201" s="1267" t="s">
        <v>232</v>
      </c>
      <c r="U201" s="435" t="str">
        <f t="shared" si="84"/>
        <v>na</v>
      </c>
      <c r="V201" s="1277" t="s">
        <v>232</v>
      </c>
      <c r="W201" s="1277" t="str">
        <f t="shared" si="85"/>
        <v>na</v>
      </c>
      <c r="X201" s="418" t="str">
        <f t="shared" si="86"/>
        <v>na</v>
      </c>
      <c r="Y201" s="1277" t="s">
        <v>232</v>
      </c>
      <c r="Z201" s="418" t="str">
        <f t="shared" si="87"/>
        <v>na</v>
      </c>
      <c r="AA201" s="418" t="s">
        <v>221</v>
      </c>
      <c r="AB201" s="439" t="s">
        <v>232</v>
      </c>
      <c r="AC201" s="1574" t="s">
        <v>232</v>
      </c>
      <c r="AD201" s="1262" t="s">
        <v>232</v>
      </c>
      <c r="AE201" s="1262">
        <v>0</v>
      </c>
      <c r="AF201" s="1292" t="s">
        <v>221</v>
      </c>
      <c r="AG201" s="539" t="s">
        <v>221</v>
      </c>
      <c r="AH201" s="341" t="s">
        <v>221</v>
      </c>
      <c r="AI201" s="341" t="s">
        <v>221</v>
      </c>
      <c r="AJ201" s="341" t="s">
        <v>221</v>
      </c>
      <c r="AK201" s="449" t="str">
        <f t="shared" si="79"/>
        <v>no</v>
      </c>
      <c r="AL201" s="221" t="s">
        <v>232</v>
      </c>
      <c r="AM201" s="406" t="s">
        <v>232</v>
      </c>
      <c r="AN201" s="1330" t="str">
        <f t="shared" si="80"/>
        <v>na</v>
      </c>
      <c r="AP201" s="1062"/>
    </row>
    <row r="202" spans="1:42" ht="13.9" customHeight="1" x14ac:dyDescent="0.25">
      <c r="A202" s="846">
        <f>Chem!A202</f>
        <v>200</v>
      </c>
      <c r="B202" s="865" t="str">
        <f>Chem!B202</f>
        <v>Methyl ethyl ketone (2-butanone)</v>
      </c>
      <c r="C202" s="384">
        <v>4.51</v>
      </c>
      <c r="D202" s="384" t="s">
        <v>232</v>
      </c>
      <c r="E202" s="387">
        <f t="shared" si="88"/>
        <v>4.5100000000000001E-3</v>
      </c>
      <c r="F202" s="387">
        <f t="shared" si="89"/>
        <v>4.5100000000000001E-3</v>
      </c>
      <c r="G202" s="387" t="s">
        <v>232</v>
      </c>
      <c r="H202" s="387" t="s">
        <v>232</v>
      </c>
      <c r="I202" s="387">
        <f t="shared" si="81"/>
        <v>8.5689999999999988E-2</v>
      </c>
      <c r="J202" s="387">
        <f t="shared" si="90"/>
        <v>8.5689999999999988E-2</v>
      </c>
      <c r="K202" s="400">
        <v>1.3384265085753068E-3</v>
      </c>
      <c r="L202" s="400">
        <v>2.32624693376942E-3</v>
      </c>
      <c r="M202" s="400">
        <f t="shared" si="72"/>
        <v>1.3384265085753068E-3</v>
      </c>
      <c r="N202" s="271" t="s">
        <v>232</v>
      </c>
      <c r="O202" s="425">
        <v>0.6</v>
      </c>
      <c r="P202" s="1649">
        <v>0.8</v>
      </c>
      <c r="Q202" s="426">
        <f t="shared" si="82"/>
        <v>0.48</v>
      </c>
      <c r="R202" s="1666">
        <v>1</v>
      </c>
      <c r="S202" s="426">
        <f t="shared" si="83"/>
        <v>0.6</v>
      </c>
      <c r="T202" s="425">
        <v>5</v>
      </c>
      <c r="U202" s="426">
        <f t="shared" si="84"/>
        <v>1.4285714285714286</v>
      </c>
      <c r="V202" s="1272" t="s">
        <v>232</v>
      </c>
      <c r="W202" s="1272" t="str">
        <f t="shared" si="85"/>
        <v>na</v>
      </c>
      <c r="X202" s="412" t="str">
        <f t="shared" si="86"/>
        <v>na</v>
      </c>
      <c r="Y202" s="1272" t="s">
        <v>232</v>
      </c>
      <c r="Z202" s="412" t="str">
        <f t="shared" si="87"/>
        <v>na</v>
      </c>
      <c r="AA202" s="412" t="s">
        <v>221</v>
      </c>
      <c r="AB202" s="439">
        <v>2</v>
      </c>
      <c r="AC202" s="1572">
        <v>0.03</v>
      </c>
      <c r="AD202" s="1257">
        <v>1</v>
      </c>
      <c r="AE202" s="1257">
        <v>0</v>
      </c>
      <c r="AF202" s="1292" t="s">
        <v>144</v>
      </c>
      <c r="AG202" s="535" t="s">
        <v>221</v>
      </c>
      <c r="AH202" s="449" t="s">
        <v>221</v>
      </c>
      <c r="AI202" s="449" t="s">
        <v>221</v>
      </c>
      <c r="AJ202" s="449" t="s">
        <v>221</v>
      </c>
      <c r="AK202" s="449" t="str">
        <f t="shared" si="79"/>
        <v>no</v>
      </c>
      <c r="AL202" s="221" t="s">
        <v>232</v>
      </c>
      <c r="AM202" s="406" t="s">
        <v>232</v>
      </c>
      <c r="AN202" s="1330" t="str">
        <f t="shared" si="80"/>
        <v>na</v>
      </c>
      <c r="AP202" s="1062"/>
    </row>
    <row r="203" spans="1:42" ht="13.9" customHeight="1" x14ac:dyDescent="0.25">
      <c r="A203" s="846">
        <f>Chem!A203</f>
        <v>201</v>
      </c>
      <c r="B203" s="865" t="str">
        <f>Chem!B203</f>
        <v>Methyl iodide</v>
      </c>
      <c r="C203" s="384" t="s">
        <v>232</v>
      </c>
      <c r="D203" s="384" t="s">
        <v>232</v>
      </c>
      <c r="E203" s="387" t="str">
        <f t="shared" si="88"/>
        <v>na</v>
      </c>
      <c r="F203" s="387" t="str">
        <f t="shared" si="89"/>
        <v>na</v>
      </c>
      <c r="G203" s="387" t="s">
        <v>232</v>
      </c>
      <c r="H203" s="387" t="s">
        <v>232</v>
      </c>
      <c r="I203" s="387" t="str">
        <f t="shared" si="81"/>
        <v>na</v>
      </c>
      <c r="J203" s="387" t="str">
        <f t="shared" si="90"/>
        <v>na</v>
      </c>
      <c r="K203" s="400" t="s">
        <v>232</v>
      </c>
      <c r="L203" s="400" t="s">
        <v>232</v>
      </c>
      <c r="M203" s="400">
        <f t="shared" si="72"/>
        <v>0</v>
      </c>
      <c r="N203" s="271" t="s">
        <v>232</v>
      </c>
      <c r="O203" s="425" t="s">
        <v>232</v>
      </c>
      <c r="P203" s="1649">
        <v>0.8</v>
      </c>
      <c r="Q203" s="426" t="str">
        <f t="shared" si="82"/>
        <v>na</v>
      </c>
      <c r="R203" s="1666">
        <v>1</v>
      </c>
      <c r="S203" s="426" t="str">
        <f t="shared" si="83"/>
        <v>na</v>
      </c>
      <c r="T203" s="425" t="s">
        <v>232</v>
      </c>
      <c r="U203" s="426" t="str">
        <f t="shared" si="84"/>
        <v>na</v>
      </c>
      <c r="V203" s="1272" t="s">
        <v>232</v>
      </c>
      <c r="W203" s="1272" t="str">
        <f t="shared" si="85"/>
        <v>na</v>
      </c>
      <c r="X203" s="412" t="str">
        <f t="shared" si="86"/>
        <v>na</v>
      </c>
      <c r="Y203" s="1272" t="s">
        <v>232</v>
      </c>
      <c r="Z203" s="412" t="str">
        <f t="shared" si="87"/>
        <v>na</v>
      </c>
      <c r="AA203" s="412" t="s">
        <v>221</v>
      </c>
      <c r="AB203" s="439" t="s">
        <v>232</v>
      </c>
      <c r="AC203" s="1572" t="s">
        <v>232</v>
      </c>
      <c r="AD203" s="1257" t="s">
        <v>232</v>
      </c>
      <c r="AE203" s="1257">
        <v>0</v>
      </c>
      <c r="AF203" s="1292" t="s">
        <v>221</v>
      </c>
      <c r="AG203" s="535" t="s">
        <v>221</v>
      </c>
      <c r="AH203" s="449" t="s">
        <v>221</v>
      </c>
      <c r="AI203" s="449" t="s">
        <v>221</v>
      </c>
      <c r="AJ203" s="449" t="s">
        <v>221</v>
      </c>
      <c r="AK203" s="449" t="str">
        <f t="shared" si="79"/>
        <v>no</v>
      </c>
      <c r="AL203" s="221" t="s">
        <v>232</v>
      </c>
      <c r="AM203" s="406" t="s">
        <v>232</v>
      </c>
      <c r="AN203" s="1330" t="str">
        <f t="shared" si="80"/>
        <v>na</v>
      </c>
      <c r="AP203" s="1062"/>
    </row>
    <row r="204" spans="1:42" ht="13.9" customHeight="1" x14ac:dyDescent="0.25">
      <c r="A204" s="846">
        <f>Chem!A204</f>
        <v>202</v>
      </c>
      <c r="B204" s="865" t="str">
        <f>Chem!B204</f>
        <v>Methyl isobutyl ketone</v>
      </c>
      <c r="C204" s="384">
        <v>12.6</v>
      </c>
      <c r="D204" s="384" t="s">
        <v>232</v>
      </c>
      <c r="E204" s="387">
        <f t="shared" si="88"/>
        <v>1.26E-2</v>
      </c>
      <c r="F204" s="387">
        <f t="shared" si="89"/>
        <v>1.26E-2</v>
      </c>
      <c r="G204" s="387" t="s">
        <v>232</v>
      </c>
      <c r="H204" s="387" t="s">
        <v>232</v>
      </c>
      <c r="I204" s="387">
        <f t="shared" si="81"/>
        <v>0.23939999999999997</v>
      </c>
      <c r="J204" s="387">
        <f t="shared" si="90"/>
        <v>0.23939999999999997</v>
      </c>
      <c r="K204" s="400">
        <v>2.9410992418944779E-3</v>
      </c>
      <c r="L204" s="400">
        <v>5.6418642681929703E-3</v>
      </c>
      <c r="M204" s="400">
        <f t="shared" si="72"/>
        <v>2.9410992418944779E-3</v>
      </c>
      <c r="N204" s="271" t="s">
        <v>232</v>
      </c>
      <c r="O204" s="425">
        <v>0.08</v>
      </c>
      <c r="P204" s="1649">
        <v>0.8</v>
      </c>
      <c r="Q204" s="426">
        <f t="shared" si="82"/>
        <v>6.4000000000000001E-2</v>
      </c>
      <c r="R204" s="1666">
        <v>1</v>
      </c>
      <c r="S204" s="426">
        <f t="shared" si="83"/>
        <v>0.08</v>
      </c>
      <c r="T204" s="425">
        <v>3</v>
      </c>
      <c r="U204" s="426">
        <f t="shared" si="84"/>
        <v>0.8571428571428571</v>
      </c>
      <c r="V204" s="1272" t="s">
        <v>232</v>
      </c>
      <c r="W204" s="1272" t="str">
        <f t="shared" si="85"/>
        <v>na</v>
      </c>
      <c r="X204" s="412" t="str">
        <f t="shared" si="86"/>
        <v>na</v>
      </c>
      <c r="Y204" s="1272" t="s">
        <v>232</v>
      </c>
      <c r="Z204" s="412" t="str">
        <f t="shared" si="87"/>
        <v>na</v>
      </c>
      <c r="AA204" s="412" t="s">
        <v>221</v>
      </c>
      <c r="AB204" s="439">
        <v>2</v>
      </c>
      <c r="AC204" s="1572">
        <v>0.03</v>
      </c>
      <c r="AD204" s="1257">
        <v>1</v>
      </c>
      <c r="AE204" s="1257">
        <v>0</v>
      </c>
      <c r="AF204" s="1292" t="s">
        <v>144</v>
      </c>
      <c r="AG204" s="535" t="s">
        <v>221</v>
      </c>
      <c r="AH204" s="449" t="s">
        <v>221</v>
      </c>
      <c r="AI204" s="449" t="s">
        <v>221</v>
      </c>
      <c r="AJ204" s="449" t="s">
        <v>221</v>
      </c>
      <c r="AK204" s="449" t="str">
        <f t="shared" si="79"/>
        <v>no</v>
      </c>
      <c r="AL204" s="221" t="s">
        <v>232</v>
      </c>
      <c r="AM204" s="406" t="s">
        <v>232</v>
      </c>
      <c r="AN204" s="1330" t="str">
        <f t="shared" si="80"/>
        <v>na</v>
      </c>
      <c r="AP204" s="1062"/>
    </row>
    <row r="205" spans="1:42" ht="13.9" customHeight="1" x14ac:dyDescent="0.25">
      <c r="A205" s="846">
        <f>Chem!A205</f>
        <v>203</v>
      </c>
      <c r="B205" s="865" t="str">
        <f>Chem!B205</f>
        <v>Methyl tert-butyl ether (MTBE)</v>
      </c>
      <c r="C205" s="384">
        <v>10.9</v>
      </c>
      <c r="D205" s="384" t="s">
        <v>232</v>
      </c>
      <c r="E205" s="387">
        <f t="shared" si="88"/>
        <v>1.09E-2</v>
      </c>
      <c r="F205" s="387">
        <f t="shared" si="89"/>
        <v>1.09E-2</v>
      </c>
      <c r="G205" s="387" t="s">
        <v>232</v>
      </c>
      <c r="H205" s="387" t="s">
        <v>232</v>
      </c>
      <c r="I205" s="387">
        <f t="shared" si="81"/>
        <v>0.20710000000000001</v>
      </c>
      <c r="J205" s="387">
        <f t="shared" si="90"/>
        <v>0.20710000000000001</v>
      </c>
      <c r="K205" s="400">
        <v>1.1219516036506364E-2</v>
      </c>
      <c r="L205" s="400">
        <v>1.7999999999999999E-2</v>
      </c>
      <c r="M205" s="400">
        <f t="shared" si="72"/>
        <v>1.1219516036506364E-2</v>
      </c>
      <c r="N205" s="271" t="s">
        <v>232</v>
      </c>
      <c r="O205" s="425" t="s">
        <v>232</v>
      </c>
      <c r="P205" s="1649">
        <v>0.8</v>
      </c>
      <c r="Q205" s="426" t="str">
        <f t="shared" si="82"/>
        <v>na</v>
      </c>
      <c r="R205" s="1666">
        <v>1</v>
      </c>
      <c r="S205" s="426" t="str">
        <f t="shared" si="83"/>
        <v>na</v>
      </c>
      <c r="T205" s="425">
        <v>3</v>
      </c>
      <c r="U205" s="426">
        <f t="shared" si="84"/>
        <v>0.8571428571428571</v>
      </c>
      <c r="V205" s="1272">
        <v>1.8E-3</v>
      </c>
      <c r="W205" s="1272">
        <f t="shared" si="85"/>
        <v>2.2499999999999998E-3</v>
      </c>
      <c r="X205" s="412">
        <f t="shared" si="86"/>
        <v>1.8E-3</v>
      </c>
      <c r="Y205" s="1272">
        <v>2.6E-7</v>
      </c>
      <c r="Z205" s="412">
        <f t="shared" si="87"/>
        <v>9.0999999999999989E-4</v>
      </c>
      <c r="AA205" s="412" t="s">
        <v>221</v>
      </c>
      <c r="AB205" s="439">
        <v>2</v>
      </c>
      <c r="AC205" s="1572">
        <v>5.0000000000000001E-4</v>
      </c>
      <c r="AD205" s="1257">
        <v>1</v>
      </c>
      <c r="AE205" s="1257">
        <v>0</v>
      </c>
      <c r="AF205" s="1292" t="s">
        <v>144</v>
      </c>
      <c r="AG205" s="535" t="s">
        <v>221</v>
      </c>
      <c r="AH205" s="449" t="s">
        <v>221</v>
      </c>
      <c r="AI205" s="449" t="s">
        <v>221</v>
      </c>
      <c r="AJ205" s="449" t="s">
        <v>221</v>
      </c>
      <c r="AK205" s="449" t="str">
        <f t="shared" si="79"/>
        <v>no</v>
      </c>
      <c r="AL205" s="221" t="s">
        <v>232</v>
      </c>
      <c r="AM205" s="406" t="s">
        <v>232</v>
      </c>
      <c r="AN205" s="1330" t="str">
        <f t="shared" si="80"/>
        <v>na</v>
      </c>
      <c r="AP205" s="1062"/>
    </row>
    <row r="206" spans="1:42" ht="13.9" customHeight="1" x14ac:dyDescent="0.25">
      <c r="A206" s="846">
        <f>Chem!A206</f>
        <v>204</v>
      </c>
      <c r="B206" s="1838" t="str">
        <f>Chem!B206</f>
        <v>Methylene chloride</v>
      </c>
      <c r="C206" s="384">
        <v>10</v>
      </c>
      <c r="D206" s="384" t="s">
        <v>232</v>
      </c>
      <c r="E206" s="387">
        <f t="shared" si="88"/>
        <v>0.01</v>
      </c>
      <c r="F206" s="387">
        <f t="shared" si="89"/>
        <v>0.01</v>
      </c>
      <c r="G206" s="387" t="s">
        <v>232</v>
      </c>
      <c r="H206" s="387" t="s">
        <v>232</v>
      </c>
      <c r="I206" s="387">
        <f t="shared" si="81"/>
        <v>0.19</v>
      </c>
      <c r="J206" s="387">
        <f t="shared" si="90"/>
        <v>0.19</v>
      </c>
      <c r="K206" s="400">
        <v>8.4269915506328272E-2</v>
      </c>
      <c r="L206" s="400">
        <v>0.13286999182338499</v>
      </c>
      <c r="M206" s="400">
        <f t="shared" si="72"/>
        <v>8.4269915506328272E-2</v>
      </c>
      <c r="N206" s="271">
        <v>0.9</v>
      </c>
      <c r="O206" s="425">
        <v>6.0000000000000001E-3</v>
      </c>
      <c r="P206" s="1649">
        <v>0.8</v>
      </c>
      <c r="Q206" s="426">
        <f t="shared" si="82"/>
        <v>4.8000000000000004E-3</v>
      </c>
      <c r="R206" s="1666">
        <v>1</v>
      </c>
      <c r="S206" s="426">
        <f t="shared" si="83"/>
        <v>6.0000000000000001E-3</v>
      </c>
      <c r="T206" s="425">
        <v>0.6</v>
      </c>
      <c r="U206" s="426">
        <f t="shared" si="84"/>
        <v>0.17142857142857143</v>
      </c>
      <c r="V206" s="1272">
        <v>2E-3</v>
      </c>
      <c r="W206" s="1272">
        <f t="shared" si="85"/>
        <v>2.5000000000000001E-3</v>
      </c>
      <c r="X206" s="412">
        <f t="shared" si="86"/>
        <v>2E-3</v>
      </c>
      <c r="Y206" s="1272">
        <v>1.0000000000000002E-8</v>
      </c>
      <c r="Z206" s="412">
        <f t="shared" si="87"/>
        <v>3.500000000000001E-5</v>
      </c>
      <c r="AA206" s="412" t="s">
        <v>144</v>
      </c>
      <c r="AB206" s="439">
        <v>2</v>
      </c>
      <c r="AC206" s="1572">
        <v>5.0000000000000001E-4</v>
      </c>
      <c r="AD206" s="1257">
        <v>1</v>
      </c>
      <c r="AE206" s="1257">
        <v>0</v>
      </c>
      <c r="AF206" s="1292" t="s">
        <v>144</v>
      </c>
      <c r="AG206" s="535" t="s">
        <v>221</v>
      </c>
      <c r="AH206" s="449" t="s">
        <v>221</v>
      </c>
      <c r="AI206" s="449" t="s">
        <v>221</v>
      </c>
      <c r="AJ206" s="449" t="s">
        <v>221</v>
      </c>
      <c r="AK206" s="449" t="str">
        <f t="shared" si="79"/>
        <v>no</v>
      </c>
      <c r="AL206" s="221" t="s">
        <v>232</v>
      </c>
      <c r="AM206" s="406" t="s">
        <v>232</v>
      </c>
      <c r="AN206" s="1330" t="str">
        <f t="shared" si="80"/>
        <v>na</v>
      </c>
      <c r="AP206" s="1062"/>
    </row>
    <row r="207" spans="1:42" ht="13.9" customHeight="1" x14ac:dyDescent="0.25">
      <c r="A207" s="846">
        <f>Chem!A207</f>
        <v>205</v>
      </c>
      <c r="B207" s="865" t="str">
        <f>Chem!B207</f>
        <v>2-Pentanone</v>
      </c>
      <c r="C207" s="384" t="s">
        <v>232</v>
      </c>
      <c r="D207" s="384" t="s">
        <v>232</v>
      </c>
      <c r="E207" s="387" t="str">
        <f t="shared" si="88"/>
        <v>na</v>
      </c>
      <c r="F207" s="387" t="str">
        <f t="shared" si="89"/>
        <v>na</v>
      </c>
      <c r="G207" s="387" t="s">
        <v>232</v>
      </c>
      <c r="H207" s="387" t="s">
        <v>232</v>
      </c>
      <c r="I207" s="387" t="str">
        <f t="shared" si="81"/>
        <v>na</v>
      </c>
      <c r="J207" s="387" t="str">
        <f t="shared" si="90"/>
        <v>na</v>
      </c>
      <c r="K207" s="400" t="s">
        <v>232</v>
      </c>
      <c r="L207" s="400" t="s">
        <v>232</v>
      </c>
      <c r="M207" s="400">
        <f t="shared" si="72"/>
        <v>0</v>
      </c>
      <c r="N207" s="271" t="s">
        <v>232</v>
      </c>
      <c r="O207" s="425" t="s">
        <v>232</v>
      </c>
      <c r="P207" s="1649">
        <v>0.8</v>
      </c>
      <c r="Q207" s="426" t="str">
        <f t="shared" si="82"/>
        <v>na</v>
      </c>
      <c r="R207" s="1666">
        <v>1</v>
      </c>
      <c r="S207" s="426" t="str">
        <f t="shared" si="83"/>
        <v>na</v>
      </c>
      <c r="T207" s="425" t="s">
        <v>232</v>
      </c>
      <c r="U207" s="426" t="str">
        <f t="shared" si="84"/>
        <v>na</v>
      </c>
      <c r="V207" s="1272" t="s">
        <v>232</v>
      </c>
      <c r="W207" s="1272" t="str">
        <f t="shared" si="85"/>
        <v>na</v>
      </c>
      <c r="X207" s="412" t="str">
        <f t="shared" si="86"/>
        <v>na</v>
      </c>
      <c r="Y207" s="1272" t="s">
        <v>232</v>
      </c>
      <c r="Z207" s="412" t="str">
        <f t="shared" si="87"/>
        <v>na</v>
      </c>
      <c r="AA207" s="412" t="s">
        <v>221</v>
      </c>
      <c r="AB207" s="439" t="s">
        <v>232</v>
      </c>
      <c r="AC207" s="1572" t="s">
        <v>232</v>
      </c>
      <c r="AD207" s="1257" t="s">
        <v>232</v>
      </c>
      <c r="AE207" s="1257">
        <v>0</v>
      </c>
      <c r="AF207" s="1292" t="s">
        <v>221</v>
      </c>
      <c r="AG207" s="535" t="s">
        <v>221</v>
      </c>
      <c r="AH207" s="449" t="s">
        <v>221</v>
      </c>
      <c r="AI207" s="449" t="s">
        <v>221</v>
      </c>
      <c r="AJ207" s="449" t="s">
        <v>221</v>
      </c>
      <c r="AK207" s="449" t="str">
        <f t="shared" si="79"/>
        <v>no</v>
      </c>
      <c r="AL207" s="221" t="s">
        <v>232</v>
      </c>
      <c r="AM207" s="406" t="s">
        <v>232</v>
      </c>
      <c r="AN207" s="1330" t="str">
        <f t="shared" si="80"/>
        <v>na</v>
      </c>
      <c r="AP207" s="1062"/>
    </row>
    <row r="208" spans="1:42" ht="13.9" customHeight="1" x14ac:dyDescent="0.25">
      <c r="A208" s="846">
        <f>Chem!A208</f>
        <v>206</v>
      </c>
      <c r="B208" s="865" t="str">
        <f>Chem!B208</f>
        <v>n-Propylbenzene</v>
      </c>
      <c r="C208" s="384">
        <v>813</v>
      </c>
      <c r="D208" s="384" t="s">
        <v>232</v>
      </c>
      <c r="E208" s="387">
        <f t="shared" si="88"/>
        <v>0.81300000000000006</v>
      </c>
      <c r="F208" s="387">
        <f t="shared" si="89"/>
        <v>0.81300000000000006</v>
      </c>
      <c r="G208" s="387" t="s">
        <v>232</v>
      </c>
      <c r="H208" s="387" t="s">
        <v>232</v>
      </c>
      <c r="I208" s="387">
        <f t="shared" si="81"/>
        <v>15.446999999999999</v>
      </c>
      <c r="J208" s="387">
        <f t="shared" si="90"/>
        <v>15.446999999999999</v>
      </c>
      <c r="K208" s="400">
        <v>0.2020628221582316</v>
      </c>
      <c r="L208" s="400">
        <v>0.429272281275552</v>
      </c>
      <c r="M208" s="400">
        <f t="shared" si="72"/>
        <v>0.2020628221582316</v>
      </c>
      <c r="N208" s="271" t="s">
        <v>232</v>
      </c>
      <c r="O208" s="425">
        <v>0.1</v>
      </c>
      <c r="P208" s="1649">
        <v>0.8</v>
      </c>
      <c r="Q208" s="426">
        <f t="shared" si="82"/>
        <v>8.0000000000000016E-2</v>
      </c>
      <c r="R208" s="1666">
        <v>1</v>
      </c>
      <c r="S208" s="426">
        <f t="shared" si="83"/>
        <v>0.1</v>
      </c>
      <c r="T208" s="425">
        <v>1</v>
      </c>
      <c r="U208" s="426">
        <f t="shared" si="84"/>
        <v>0.2857142857142857</v>
      </c>
      <c r="V208" s="1272" t="s">
        <v>232</v>
      </c>
      <c r="W208" s="1272" t="str">
        <f t="shared" si="85"/>
        <v>na</v>
      </c>
      <c r="X208" s="412" t="str">
        <f t="shared" si="86"/>
        <v>na</v>
      </c>
      <c r="Y208" s="1272" t="s">
        <v>232</v>
      </c>
      <c r="Z208" s="412" t="str">
        <f t="shared" si="87"/>
        <v>na</v>
      </c>
      <c r="AA208" s="412" t="s">
        <v>221</v>
      </c>
      <c r="AB208" s="439">
        <v>2</v>
      </c>
      <c r="AC208" s="1572">
        <v>0.03</v>
      </c>
      <c r="AD208" s="1257">
        <v>1</v>
      </c>
      <c r="AE208" s="1257">
        <v>0</v>
      </c>
      <c r="AF208" s="1292" t="s">
        <v>144</v>
      </c>
      <c r="AG208" s="535" t="s">
        <v>221</v>
      </c>
      <c r="AH208" s="449" t="s">
        <v>221</v>
      </c>
      <c r="AI208" s="449" t="s">
        <v>221</v>
      </c>
      <c r="AJ208" s="449" t="s">
        <v>221</v>
      </c>
      <c r="AK208" s="449" t="str">
        <f t="shared" si="79"/>
        <v>no</v>
      </c>
      <c r="AL208" s="221" t="s">
        <v>232</v>
      </c>
      <c r="AM208" s="406" t="s">
        <v>232</v>
      </c>
      <c r="AN208" s="1330" t="str">
        <f t="shared" si="80"/>
        <v>na</v>
      </c>
      <c r="AP208" s="1062"/>
    </row>
    <row r="209" spans="1:42" ht="13.9" customHeight="1" x14ac:dyDescent="0.25">
      <c r="A209" s="846">
        <f>Chem!A209</f>
        <v>207</v>
      </c>
      <c r="B209" s="865" t="str">
        <f>Chem!B209</f>
        <v>Styrene</v>
      </c>
      <c r="C209" s="384">
        <v>912</v>
      </c>
      <c r="D209" s="384" t="s">
        <v>232</v>
      </c>
      <c r="E209" s="387">
        <f t="shared" si="88"/>
        <v>0.91200000000000003</v>
      </c>
      <c r="F209" s="387">
        <f t="shared" si="89"/>
        <v>0.91200000000000003</v>
      </c>
      <c r="G209" s="387" t="s">
        <v>232</v>
      </c>
      <c r="H209" s="387" t="s">
        <v>232</v>
      </c>
      <c r="I209" s="387">
        <f t="shared" si="81"/>
        <v>17.327999999999999</v>
      </c>
      <c r="J209" s="387">
        <f t="shared" si="90"/>
        <v>17.327999999999999</v>
      </c>
      <c r="K209" s="400">
        <v>5.3608046534770776E-2</v>
      </c>
      <c r="L209" s="400">
        <v>0.112428454619787</v>
      </c>
      <c r="M209" s="400">
        <f t="shared" si="72"/>
        <v>5.3608046534770776E-2</v>
      </c>
      <c r="N209" s="271" t="s">
        <v>232</v>
      </c>
      <c r="O209" s="425">
        <v>0.2</v>
      </c>
      <c r="P209" s="1649">
        <v>0.8</v>
      </c>
      <c r="Q209" s="426">
        <f t="shared" si="82"/>
        <v>0.16000000000000003</v>
      </c>
      <c r="R209" s="1666">
        <v>1</v>
      </c>
      <c r="S209" s="426">
        <f t="shared" si="83"/>
        <v>0.2</v>
      </c>
      <c r="T209" s="425">
        <v>1</v>
      </c>
      <c r="U209" s="426">
        <f t="shared" si="84"/>
        <v>0.2857142857142857</v>
      </c>
      <c r="V209" s="1272" t="s">
        <v>232</v>
      </c>
      <c r="W209" s="1272" t="str">
        <f t="shared" si="85"/>
        <v>na</v>
      </c>
      <c r="X209" s="412" t="str">
        <f t="shared" si="86"/>
        <v>na</v>
      </c>
      <c r="Y209" s="1272" t="s">
        <v>232</v>
      </c>
      <c r="Z209" s="412" t="str">
        <f t="shared" si="87"/>
        <v>na</v>
      </c>
      <c r="AA209" s="412" t="s">
        <v>221</v>
      </c>
      <c r="AB209" s="439">
        <v>2</v>
      </c>
      <c r="AC209" s="1572">
        <v>0.03</v>
      </c>
      <c r="AD209" s="1257">
        <v>1</v>
      </c>
      <c r="AE209" s="1257">
        <v>0</v>
      </c>
      <c r="AF209" s="1292" t="s">
        <v>144</v>
      </c>
      <c r="AG209" s="535" t="s">
        <v>221</v>
      </c>
      <c r="AH209" s="449" t="s">
        <v>221</v>
      </c>
      <c r="AI209" s="449" t="s">
        <v>221</v>
      </c>
      <c r="AJ209" s="449" t="s">
        <v>221</v>
      </c>
      <c r="AK209" s="449" t="str">
        <f t="shared" si="79"/>
        <v>no</v>
      </c>
      <c r="AL209" s="221" t="s">
        <v>232</v>
      </c>
      <c r="AM209" s="406" t="s">
        <v>232</v>
      </c>
      <c r="AN209" s="1330" t="str">
        <f t="shared" si="80"/>
        <v>na</v>
      </c>
      <c r="AP209" s="1062"/>
    </row>
    <row r="210" spans="1:42" ht="13.9" customHeight="1" x14ac:dyDescent="0.25">
      <c r="A210" s="846">
        <f>Chem!A210</f>
        <v>208</v>
      </c>
      <c r="B210" s="865" t="str">
        <f>Chem!B210</f>
        <v>1,1,1,2-Tetrachloroethane</v>
      </c>
      <c r="C210" s="384">
        <v>86</v>
      </c>
      <c r="D210" s="384" t="s">
        <v>232</v>
      </c>
      <c r="E210" s="387">
        <f t="shared" si="88"/>
        <v>8.6000000000000007E-2</v>
      </c>
      <c r="F210" s="387">
        <f t="shared" si="89"/>
        <v>8.6000000000000007E-2</v>
      </c>
      <c r="G210" s="387" t="s">
        <v>232</v>
      </c>
      <c r="H210" s="387" t="s">
        <v>232</v>
      </c>
      <c r="I210" s="387">
        <f t="shared" ref="I210:I241" si="91">IF(C210="na","na",C210*J$1)</f>
        <v>1.6339999999999999</v>
      </c>
      <c r="J210" s="387">
        <f t="shared" si="90"/>
        <v>1.6339999999999999</v>
      </c>
      <c r="K210" s="400">
        <v>4.7495367757914637E-2</v>
      </c>
      <c r="L210" s="400">
        <v>0.10220768601798901</v>
      </c>
      <c r="M210" s="400">
        <f t="shared" si="72"/>
        <v>4.7495367757914637E-2</v>
      </c>
      <c r="N210" s="271" t="s">
        <v>232</v>
      </c>
      <c r="O210" s="425">
        <v>0.03</v>
      </c>
      <c r="P210" s="1649">
        <v>0.8</v>
      </c>
      <c r="Q210" s="426">
        <f t="shared" si="82"/>
        <v>2.4E-2</v>
      </c>
      <c r="R210" s="1666">
        <v>1</v>
      </c>
      <c r="S210" s="426">
        <f t="shared" si="83"/>
        <v>0.03</v>
      </c>
      <c r="T210" s="425" t="s">
        <v>232</v>
      </c>
      <c r="U210" s="426" t="str">
        <f t="shared" si="84"/>
        <v>na</v>
      </c>
      <c r="V210" s="1272">
        <v>2.5999999999999999E-2</v>
      </c>
      <c r="W210" s="1272">
        <f t="shared" si="85"/>
        <v>3.2499999999999994E-2</v>
      </c>
      <c r="X210" s="412">
        <f t="shared" si="86"/>
        <v>2.5999999999999999E-2</v>
      </c>
      <c r="Y210" s="1272">
        <v>7.4000000000000003E-6</v>
      </c>
      <c r="Z210" s="412">
        <f t="shared" si="87"/>
        <v>2.5899999999999999E-2</v>
      </c>
      <c r="AA210" s="412" t="s">
        <v>221</v>
      </c>
      <c r="AB210" s="439">
        <v>2</v>
      </c>
      <c r="AC210" s="1572">
        <v>0.03</v>
      </c>
      <c r="AD210" s="1257">
        <v>1</v>
      </c>
      <c r="AE210" s="1257">
        <v>0</v>
      </c>
      <c r="AF210" s="1292" t="s">
        <v>144</v>
      </c>
      <c r="AG210" s="535" t="s">
        <v>221</v>
      </c>
      <c r="AH210" s="449" t="s">
        <v>221</v>
      </c>
      <c r="AI210" s="449" t="s">
        <v>221</v>
      </c>
      <c r="AJ210" s="449" t="s">
        <v>221</v>
      </c>
      <c r="AK210" s="449" t="str">
        <f t="shared" si="79"/>
        <v>no</v>
      </c>
      <c r="AL210" s="221" t="s">
        <v>232</v>
      </c>
      <c r="AM210" s="406" t="s">
        <v>232</v>
      </c>
      <c r="AN210" s="1330" t="str">
        <f t="shared" si="80"/>
        <v>na</v>
      </c>
      <c r="AP210" s="1062"/>
    </row>
    <row r="211" spans="1:42" ht="13.9" customHeight="1" x14ac:dyDescent="0.25">
      <c r="A211" s="846">
        <f>Chem!A211</f>
        <v>209</v>
      </c>
      <c r="B211" s="865" t="str">
        <f>Chem!B211</f>
        <v>1,1,2,2-Tetrachloroethane</v>
      </c>
      <c r="C211" s="384">
        <v>79</v>
      </c>
      <c r="D211" s="384" t="s">
        <v>232</v>
      </c>
      <c r="E211" s="387">
        <f t="shared" si="88"/>
        <v>7.9000000000000001E-2</v>
      </c>
      <c r="F211" s="387">
        <f t="shared" si="89"/>
        <v>7.9000000000000001E-2</v>
      </c>
      <c r="G211" s="387" t="s">
        <v>232</v>
      </c>
      <c r="H211" s="387" t="s">
        <v>232</v>
      </c>
      <c r="I211" s="387">
        <f t="shared" si="91"/>
        <v>1.5009999999999999</v>
      </c>
      <c r="J211" s="387">
        <f t="shared" si="90"/>
        <v>1.5009999999999999</v>
      </c>
      <c r="K211" s="400">
        <v>7.34525414777996E-3</v>
      </c>
      <c r="L211" s="400">
        <v>1.50040883074407E-2</v>
      </c>
      <c r="M211" s="400">
        <f t="shared" si="72"/>
        <v>7.34525414777996E-3</v>
      </c>
      <c r="N211" s="271">
        <v>5</v>
      </c>
      <c r="O211" s="425">
        <v>0.02</v>
      </c>
      <c r="P211" s="1649">
        <v>0.8</v>
      </c>
      <c r="Q211" s="426">
        <f t="shared" ref="Q211:Q228" si="92">IF(O211="na","na",O211*P211)</f>
        <v>1.6E-2</v>
      </c>
      <c r="R211" s="1666">
        <v>1</v>
      </c>
      <c r="S211" s="426">
        <f t="shared" ref="S211:S228" si="93">IF(O211="na","na",O211*R211)</f>
        <v>0.02</v>
      </c>
      <c r="T211" s="425" t="s">
        <v>232</v>
      </c>
      <c r="U211" s="426" t="str">
        <f t="shared" ref="U211:U228" si="94">IF(ISNUMBER(T211),T211*20/70,"na")</f>
        <v>na</v>
      </c>
      <c r="V211" s="1272">
        <v>0.2</v>
      </c>
      <c r="W211" s="1272">
        <f t="shared" ref="W211:W228" si="95">IF(V211="na","na",V211/P211)</f>
        <v>0.25</v>
      </c>
      <c r="X211" s="412">
        <f t="shared" ref="X211:X228" si="96">IF(V211="na","na",V211/R211)</f>
        <v>0.2</v>
      </c>
      <c r="Y211" s="1272">
        <v>5.8000000000000007E-5</v>
      </c>
      <c r="Z211" s="412">
        <f t="shared" ref="Z211:Z228" si="97">IF(ISNUMBER(Y211),Y211*70*1000/20,"na")</f>
        <v>0.20300000000000001</v>
      </c>
      <c r="AA211" s="412" t="s">
        <v>221</v>
      </c>
      <c r="AB211" s="439">
        <v>2</v>
      </c>
      <c r="AC211" s="1572">
        <v>0.03</v>
      </c>
      <c r="AD211" s="1257">
        <v>1</v>
      </c>
      <c r="AE211" s="1257">
        <v>0</v>
      </c>
      <c r="AF211" s="1292" t="s">
        <v>144</v>
      </c>
      <c r="AG211" s="535" t="s">
        <v>221</v>
      </c>
      <c r="AH211" s="449" t="s">
        <v>221</v>
      </c>
      <c r="AI211" s="449" t="s">
        <v>221</v>
      </c>
      <c r="AJ211" s="449" t="s">
        <v>221</v>
      </c>
      <c r="AK211" s="449" t="str">
        <f t="shared" ref="AK211:AK239" si="98">IF(AND(OR(AG211="YES",AH211="YES"),OR(AI211="YES",AJ211="YES")),"YES","no")</f>
        <v>no</v>
      </c>
      <c r="AL211" s="221" t="s">
        <v>232</v>
      </c>
      <c r="AM211" s="406" t="s">
        <v>232</v>
      </c>
      <c r="AN211" s="1330" t="str">
        <f t="shared" ref="AN211:AN228" si="99">AM211</f>
        <v>na</v>
      </c>
      <c r="AP211" s="1062"/>
    </row>
    <row r="212" spans="1:42" ht="13.9" customHeight="1" x14ac:dyDescent="0.25">
      <c r="A212" s="846">
        <f>Chem!A212</f>
        <v>210</v>
      </c>
      <c r="B212" s="865" t="str">
        <f>Chem!B212</f>
        <v>Tetrachloroethylene (PCE)</v>
      </c>
      <c r="C212" s="384">
        <v>265</v>
      </c>
      <c r="D212" s="384" t="s">
        <v>232</v>
      </c>
      <c r="E212" s="387">
        <f t="shared" si="88"/>
        <v>0.26500000000000001</v>
      </c>
      <c r="F212" s="387">
        <f t="shared" si="89"/>
        <v>0.26500000000000001</v>
      </c>
      <c r="G212" s="387" t="s">
        <v>232</v>
      </c>
      <c r="H212" s="387" t="s">
        <v>232</v>
      </c>
      <c r="I212" s="387">
        <f t="shared" si="91"/>
        <v>5.0350000000000001</v>
      </c>
      <c r="J212" s="387">
        <f t="shared" si="90"/>
        <v>5.0350000000000001</v>
      </c>
      <c r="K212" s="400">
        <v>0.38398943995760693</v>
      </c>
      <c r="L212" s="400">
        <v>0.72363041700735897</v>
      </c>
      <c r="M212" s="400">
        <f t="shared" ref="M212:M228" si="100">IF(ISNUMBER(K212),K212,IF(ISNUMBER(L212),L212,0))</f>
        <v>0.38398943995760693</v>
      </c>
      <c r="N212" s="271">
        <v>31</v>
      </c>
      <c r="O212" s="425">
        <v>6.0000000000000001E-3</v>
      </c>
      <c r="P212" s="1649">
        <v>0.8</v>
      </c>
      <c r="Q212" s="426">
        <f t="shared" si="92"/>
        <v>4.8000000000000004E-3</v>
      </c>
      <c r="R212" s="1666">
        <v>1</v>
      </c>
      <c r="S212" s="426">
        <f t="shared" si="93"/>
        <v>6.0000000000000001E-3</v>
      </c>
      <c r="T212" s="425">
        <v>0.04</v>
      </c>
      <c r="U212" s="426">
        <f t="shared" si="94"/>
        <v>1.1428571428571429E-2</v>
      </c>
      <c r="V212" s="1272">
        <v>2.0999999999999999E-3</v>
      </c>
      <c r="W212" s="1272">
        <f t="shared" si="95"/>
        <v>2.6249999999999997E-3</v>
      </c>
      <c r="X212" s="412">
        <f t="shared" si="96"/>
        <v>2.0999999999999999E-3</v>
      </c>
      <c r="Y212" s="1272">
        <v>2.6E-7</v>
      </c>
      <c r="Z212" s="412">
        <f t="shared" si="97"/>
        <v>9.0999999999999989E-4</v>
      </c>
      <c r="AA212" s="412" t="s">
        <v>221</v>
      </c>
      <c r="AB212" s="439">
        <v>2</v>
      </c>
      <c r="AC212" s="1572">
        <v>0.03</v>
      </c>
      <c r="AD212" s="1257">
        <v>1</v>
      </c>
      <c r="AE212" s="1257">
        <v>0</v>
      </c>
      <c r="AF212" s="1292" t="s">
        <v>144</v>
      </c>
      <c r="AG212" s="535" t="s">
        <v>221</v>
      </c>
      <c r="AH212" s="449" t="s">
        <v>221</v>
      </c>
      <c r="AI212" s="449" t="s">
        <v>221</v>
      </c>
      <c r="AJ212" s="449" t="s">
        <v>221</v>
      </c>
      <c r="AK212" s="449" t="str">
        <f t="shared" si="98"/>
        <v>no</v>
      </c>
      <c r="AL212" s="221" t="s">
        <v>232</v>
      </c>
      <c r="AM212" s="406" t="s">
        <v>232</v>
      </c>
      <c r="AN212" s="1330" t="str">
        <f t="shared" si="99"/>
        <v>na</v>
      </c>
      <c r="AP212" s="1062"/>
    </row>
    <row r="213" spans="1:42" ht="13.9" customHeight="1" x14ac:dyDescent="0.25">
      <c r="A213" s="846">
        <f>Chem!A213</f>
        <v>211</v>
      </c>
      <c r="B213" s="865" t="str">
        <f>Chem!B213</f>
        <v>Tetrahydrofuran</v>
      </c>
      <c r="C213" s="384">
        <v>10.8</v>
      </c>
      <c r="D213" s="384" t="s">
        <v>232</v>
      </c>
      <c r="E213" s="387">
        <f t="shared" si="88"/>
        <v>1.0800000000000001E-2</v>
      </c>
      <c r="F213" s="387">
        <f t="shared" si="89"/>
        <v>1.0800000000000001E-2</v>
      </c>
      <c r="G213" s="387" t="s">
        <v>232</v>
      </c>
      <c r="H213" s="387" t="s">
        <v>232</v>
      </c>
      <c r="I213" s="387">
        <f t="shared" si="91"/>
        <v>0.20520000000000002</v>
      </c>
      <c r="J213" s="387">
        <f t="shared" si="90"/>
        <v>0.20520000000000002</v>
      </c>
      <c r="K213" s="400">
        <v>1.7388069383760961E-3</v>
      </c>
      <c r="L213" s="400">
        <v>2.8822567457072799E-3</v>
      </c>
      <c r="M213" s="400">
        <f t="shared" si="100"/>
        <v>1.7388069383760961E-3</v>
      </c>
      <c r="N213" s="271" t="s">
        <v>232</v>
      </c>
      <c r="O213" s="425">
        <v>0.9</v>
      </c>
      <c r="P213" s="1649">
        <v>0.8</v>
      </c>
      <c r="Q213" s="426">
        <f t="shared" si="92"/>
        <v>0.72000000000000008</v>
      </c>
      <c r="R213" s="1666">
        <v>1</v>
      </c>
      <c r="S213" s="426">
        <f t="shared" si="93"/>
        <v>0.9</v>
      </c>
      <c r="T213" s="425">
        <v>2</v>
      </c>
      <c r="U213" s="426">
        <f t="shared" si="94"/>
        <v>0.5714285714285714</v>
      </c>
      <c r="V213" s="1272" t="s">
        <v>232</v>
      </c>
      <c r="W213" s="1272" t="str">
        <f t="shared" si="95"/>
        <v>na</v>
      </c>
      <c r="X213" s="412" t="str">
        <f t="shared" si="96"/>
        <v>na</v>
      </c>
      <c r="Y213" s="1272" t="s">
        <v>232</v>
      </c>
      <c r="Z213" s="412" t="str">
        <f t="shared" si="97"/>
        <v>na</v>
      </c>
      <c r="AA213" s="412" t="s">
        <v>221</v>
      </c>
      <c r="AB213" s="439">
        <v>2</v>
      </c>
      <c r="AC213" s="1572">
        <v>5.0000000000000001E-4</v>
      </c>
      <c r="AD213" s="1257">
        <v>1</v>
      </c>
      <c r="AE213" s="1257">
        <v>0</v>
      </c>
      <c r="AF213" s="1292" t="s">
        <v>144</v>
      </c>
      <c r="AG213" s="535" t="s">
        <v>221</v>
      </c>
      <c r="AH213" s="449" t="s">
        <v>221</v>
      </c>
      <c r="AI213" s="449" t="s">
        <v>221</v>
      </c>
      <c r="AJ213" s="449" t="s">
        <v>221</v>
      </c>
      <c r="AK213" s="449" t="str">
        <f t="shared" si="98"/>
        <v>no</v>
      </c>
      <c r="AL213" s="221" t="s">
        <v>232</v>
      </c>
      <c r="AM213" s="406" t="s">
        <v>232</v>
      </c>
      <c r="AN213" s="1330" t="str">
        <f t="shared" si="99"/>
        <v>na</v>
      </c>
      <c r="AP213" s="1062"/>
    </row>
    <row r="214" spans="1:42" ht="13.9" customHeight="1" x14ac:dyDescent="0.25">
      <c r="A214" s="846">
        <f>Chem!A214</f>
        <v>212</v>
      </c>
      <c r="B214" s="865" t="str">
        <f>Chem!B214</f>
        <v>Toluene</v>
      </c>
      <c r="C214" s="384">
        <v>140</v>
      </c>
      <c r="D214" s="384" t="s">
        <v>232</v>
      </c>
      <c r="E214" s="387">
        <f t="shared" si="88"/>
        <v>0.14000000000000001</v>
      </c>
      <c r="F214" s="387">
        <f t="shared" si="89"/>
        <v>0.14000000000000001</v>
      </c>
      <c r="G214" s="387" t="s">
        <v>232</v>
      </c>
      <c r="H214" s="387" t="s">
        <v>232</v>
      </c>
      <c r="I214" s="387">
        <f t="shared" si="91"/>
        <v>2.66</v>
      </c>
      <c r="J214" s="387">
        <f t="shared" si="90"/>
        <v>2.66</v>
      </c>
      <c r="K214" s="400">
        <v>0.14853850277256189</v>
      </c>
      <c r="L214" s="400">
        <v>0.27200000000000002</v>
      </c>
      <c r="M214" s="400">
        <f t="shared" si="100"/>
        <v>0.14853850277256189</v>
      </c>
      <c r="N214" s="271">
        <v>10.7</v>
      </c>
      <c r="O214" s="425">
        <v>0.08</v>
      </c>
      <c r="P214" s="1649">
        <v>1</v>
      </c>
      <c r="Q214" s="426">
        <f t="shared" si="92"/>
        <v>0.08</v>
      </c>
      <c r="R214" s="1666">
        <v>1</v>
      </c>
      <c r="S214" s="426">
        <f t="shared" si="93"/>
        <v>0.08</v>
      </c>
      <c r="T214" s="425">
        <v>5</v>
      </c>
      <c r="U214" s="426">
        <f t="shared" si="94"/>
        <v>1.4285714285714286</v>
      </c>
      <c r="V214" s="1272" t="s">
        <v>232</v>
      </c>
      <c r="W214" s="1272" t="str">
        <f t="shared" si="95"/>
        <v>na</v>
      </c>
      <c r="X214" s="412" t="str">
        <f t="shared" si="96"/>
        <v>na</v>
      </c>
      <c r="Y214" s="1272" t="s">
        <v>232</v>
      </c>
      <c r="Z214" s="412" t="str">
        <f t="shared" si="97"/>
        <v>na</v>
      </c>
      <c r="AA214" s="412" t="s">
        <v>221</v>
      </c>
      <c r="AB214" s="439">
        <v>2</v>
      </c>
      <c r="AC214" s="1572">
        <v>0.03</v>
      </c>
      <c r="AD214" s="1257">
        <v>1</v>
      </c>
      <c r="AE214" s="1257">
        <v>0</v>
      </c>
      <c r="AF214" s="1292" t="s">
        <v>144</v>
      </c>
      <c r="AG214" s="535" t="s">
        <v>221</v>
      </c>
      <c r="AH214" s="449" t="s">
        <v>221</v>
      </c>
      <c r="AI214" s="449" t="s">
        <v>221</v>
      </c>
      <c r="AJ214" s="449" t="s">
        <v>221</v>
      </c>
      <c r="AK214" s="449" t="str">
        <f t="shared" si="98"/>
        <v>no</v>
      </c>
      <c r="AL214" s="221" t="s">
        <v>232</v>
      </c>
      <c r="AM214" s="406" t="s">
        <v>232</v>
      </c>
      <c r="AN214" s="1330" t="str">
        <f t="shared" si="99"/>
        <v>na</v>
      </c>
      <c r="AP214" s="1062"/>
    </row>
    <row r="215" spans="1:42" ht="13.9" customHeight="1" x14ac:dyDescent="0.25">
      <c r="A215" s="846">
        <f>Chem!A215</f>
        <v>213</v>
      </c>
      <c r="B215" s="865" t="str">
        <f>Chem!B215</f>
        <v>1,2,3-Trichlorobenzene</v>
      </c>
      <c r="C215" s="384">
        <v>1380</v>
      </c>
      <c r="D215" s="384" t="s">
        <v>232</v>
      </c>
      <c r="E215" s="387">
        <f t="shared" si="88"/>
        <v>1.3800000000000001</v>
      </c>
      <c r="F215" s="387">
        <f t="shared" si="89"/>
        <v>1.3800000000000001</v>
      </c>
      <c r="G215" s="387" t="s">
        <v>232</v>
      </c>
      <c r="H215" s="387" t="s">
        <v>232</v>
      </c>
      <c r="I215" s="387">
        <f t="shared" si="91"/>
        <v>26.22</v>
      </c>
      <c r="J215" s="387">
        <f t="shared" si="90"/>
        <v>26.22</v>
      </c>
      <c r="K215" s="400">
        <v>1.7234676783375241E-2</v>
      </c>
      <c r="L215" s="400">
        <v>5.1103843008994301E-2</v>
      </c>
      <c r="M215" s="400">
        <f t="shared" si="100"/>
        <v>1.7234676783375241E-2</v>
      </c>
      <c r="N215" s="271" t="s">
        <v>232</v>
      </c>
      <c r="O215" s="425">
        <v>8.0000000000000004E-4</v>
      </c>
      <c r="P215" s="1649">
        <v>0.8</v>
      </c>
      <c r="Q215" s="426">
        <f t="shared" si="92"/>
        <v>6.4000000000000005E-4</v>
      </c>
      <c r="R215" s="1666">
        <v>1</v>
      </c>
      <c r="S215" s="426">
        <f t="shared" si="93"/>
        <v>8.0000000000000004E-4</v>
      </c>
      <c r="T215" s="425" t="s">
        <v>232</v>
      </c>
      <c r="U215" s="426" t="str">
        <f t="shared" si="94"/>
        <v>na</v>
      </c>
      <c r="V215" s="1272" t="s">
        <v>232</v>
      </c>
      <c r="W215" s="1272" t="str">
        <f t="shared" si="95"/>
        <v>na</v>
      </c>
      <c r="X215" s="412" t="str">
        <f t="shared" si="96"/>
        <v>na</v>
      </c>
      <c r="Y215" s="1272" t="s">
        <v>232</v>
      </c>
      <c r="Z215" s="412" t="str">
        <f t="shared" si="97"/>
        <v>na</v>
      </c>
      <c r="AA215" s="412" t="s">
        <v>221</v>
      </c>
      <c r="AB215" s="439">
        <v>2</v>
      </c>
      <c r="AC215" s="1572">
        <v>0.03</v>
      </c>
      <c r="AD215" s="1257">
        <v>1</v>
      </c>
      <c r="AE215" s="1257">
        <v>0</v>
      </c>
      <c r="AF215" s="1292" t="s">
        <v>221</v>
      </c>
      <c r="AG215" s="535" t="s">
        <v>221</v>
      </c>
      <c r="AH215" s="449" t="s">
        <v>221</v>
      </c>
      <c r="AI215" s="449" t="s">
        <v>221</v>
      </c>
      <c r="AJ215" s="449" t="s">
        <v>221</v>
      </c>
      <c r="AK215" s="449" t="str">
        <f t="shared" si="98"/>
        <v>no</v>
      </c>
      <c r="AL215" s="221" t="s">
        <v>232</v>
      </c>
      <c r="AM215" s="406" t="s">
        <v>232</v>
      </c>
      <c r="AN215" s="1330" t="str">
        <f t="shared" si="99"/>
        <v>na</v>
      </c>
      <c r="AP215" s="1062"/>
    </row>
    <row r="216" spans="1:42" ht="13.9" customHeight="1" x14ac:dyDescent="0.25">
      <c r="A216" s="846">
        <f>Chem!A216</f>
        <v>214</v>
      </c>
      <c r="B216" s="865" t="str">
        <f>Chem!B216</f>
        <v>1,1,1-Trichloroethane</v>
      </c>
      <c r="C216" s="384">
        <v>135</v>
      </c>
      <c r="D216" s="384" t="s">
        <v>232</v>
      </c>
      <c r="E216" s="387">
        <f t="shared" si="88"/>
        <v>0.13500000000000001</v>
      </c>
      <c r="F216" s="387">
        <f t="shared" si="89"/>
        <v>0.13500000000000001</v>
      </c>
      <c r="G216" s="387" t="s">
        <v>232</v>
      </c>
      <c r="H216" s="387" t="s">
        <v>232</v>
      </c>
      <c r="I216" s="387">
        <f t="shared" si="91"/>
        <v>2.5649999999999999</v>
      </c>
      <c r="J216" s="387">
        <f t="shared" si="90"/>
        <v>2.5649999999999999</v>
      </c>
      <c r="K216" s="400">
        <v>0.42013340443137548</v>
      </c>
      <c r="L216" s="400">
        <v>0.70318887980376099</v>
      </c>
      <c r="M216" s="400">
        <f t="shared" si="100"/>
        <v>0.42013340443137548</v>
      </c>
      <c r="N216" s="271">
        <v>5.6</v>
      </c>
      <c r="O216" s="425">
        <v>2</v>
      </c>
      <c r="P216" s="1649">
        <v>0.8</v>
      </c>
      <c r="Q216" s="426">
        <f t="shared" si="92"/>
        <v>1.6</v>
      </c>
      <c r="R216" s="1666">
        <v>1</v>
      </c>
      <c r="S216" s="426">
        <f t="shared" si="93"/>
        <v>2</v>
      </c>
      <c r="T216" s="425">
        <v>5</v>
      </c>
      <c r="U216" s="426">
        <f t="shared" si="94"/>
        <v>1.4285714285714286</v>
      </c>
      <c r="V216" s="1272" t="s">
        <v>232</v>
      </c>
      <c r="W216" s="1272" t="str">
        <f t="shared" si="95"/>
        <v>na</v>
      </c>
      <c r="X216" s="412" t="str">
        <f t="shared" si="96"/>
        <v>na</v>
      </c>
      <c r="Y216" s="1272" t="s">
        <v>232</v>
      </c>
      <c r="Z216" s="412" t="str">
        <f t="shared" si="97"/>
        <v>na</v>
      </c>
      <c r="AA216" s="412" t="s">
        <v>221</v>
      </c>
      <c r="AB216" s="439">
        <v>2</v>
      </c>
      <c r="AC216" s="1572">
        <v>5.0000000000000001E-4</v>
      </c>
      <c r="AD216" s="1257">
        <v>1</v>
      </c>
      <c r="AE216" s="1257">
        <v>0</v>
      </c>
      <c r="AF216" s="1292" t="s">
        <v>144</v>
      </c>
      <c r="AG216" s="535" t="s">
        <v>221</v>
      </c>
      <c r="AH216" s="449" t="s">
        <v>221</v>
      </c>
      <c r="AI216" s="449" t="s">
        <v>221</v>
      </c>
      <c r="AJ216" s="449" t="s">
        <v>221</v>
      </c>
      <c r="AK216" s="449" t="str">
        <f t="shared" si="98"/>
        <v>no</v>
      </c>
      <c r="AL216" s="221" t="s">
        <v>232</v>
      </c>
      <c r="AM216" s="406" t="s">
        <v>232</v>
      </c>
      <c r="AN216" s="1330" t="str">
        <f t="shared" si="99"/>
        <v>na</v>
      </c>
      <c r="AP216" s="1062"/>
    </row>
    <row r="217" spans="1:42" ht="13.9" customHeight="1" x14ac:dyDescent="0.25">
      <c r="A217" s="846">
        <f>Chem!A217</f>
        <v>215</v>
      </c>
      <c r="B217" s="865" t="str">
        <f>Chem!B217</f>
        <v>1,1,2-Trichloroethane</v>
      </c>
      <c r="C217" s="384">
        <v>75</v>
      </c>
      <c r="D217" s="384" t="s">
        <v>232</v>
      </c>
      <c r="E217" s="387">
        <f t="shared" si="88"/>
        <v>7.4999999999999997E-2</v>
      </c>
      <c r="F217" s="387">
        <f t="shared" si="89"/>
        <v>7.4999999999999997E-2</v>
      </c>
      <c r="G217" s="387" t="s">
        <v>232</v>
      </c>
      <c r="H217" s="387" t="s">
        <v>232</v>
      </c>
      <c r="I217" s="387">
        <f t="shared" si="91"/>
        <v>1.425</v>
      </c>
      <c r="J217" s="387">
        <f t="shared" si="90"/>
        <v>1.425</v>
      </c>
      <c r="K217" s="400">
        <v>1.7838006198880089E-2</v>
      </c>
      <c r="L217" s="400">
        <v>3.3687653311529002E-2</v>
      </c>
      <c r="M217" s="400">
        <f t="shared" si="100"/>
        <v>1.7838006198880089E-2</v>
      </c>
      <c r="N217" s="271">
        <v>4.5</v>
      </c>
      <c r="O217" s="425">
        <v>4.0000000000000001E-3</v>
      </c>
      <c r="P217" s="1649">
        <v>0.8</v>
      </c>
      <c r="Q217" s="426">
        <f t="shared" si="92"/>
        <v>3.2000000000000002E-3</v>
      </c>
      <c r="R217" s="1666">
        <v>1</v>
      </c>
      <c r="S217" s="426">
        <f t="shared" si="93"/>
        <v>4.0000000000000001E-3</v>
      </c>
      <c r="T217" s="425">
        <v>1.9999999999999998E-4</v>
      </c>
      <c r="U217" s="426">
        <f t="shared" si="94"/>
        <v>5.7142857142857142E-5</v>
      </c>
      <c r="V217" s="1272">
        <v>5.7000000000000002E-2</v>
      </c>
      <c r="W217" s="1272">
        <f t="shared" si="95"/>
        <v>7.1249999999999994E-2</v>
      </c>
      <c r="X217" s="412">
        <f t="shared" si="96"/>
        <v>5.7000000000000002E-2</v>
      </c>
      <c r="Y217" s="1272">
        <v>1.5999999999999999E-5</v>
      </c>
      <c r="Z217" s="412">
        <f t="shared" si="97"/>
        <v>5.5999999999999994E-2</v>
      </c>
      <c r="AA217" s="412" t="s">
        <v>221</v>
      </c>
      <c r="AB217" s="439">
        <v>2</v>
      </c>
      <c r="AC217" s="1572">
        <v>0.03</v>
      </c>
      <c r="AD217" s="1257">
        <v>1</v>
      </c>
      <c r="AE217" s="1257">
        <v>0</v>
      </c>
      <c r="AF217" s="1292" t="s">
        <v>144</v>
      </c>
      <c r="AG217" s="535" t="s">
        <v>221</v>
      </c>
      <c r="AH217" s="449" t="s">
        <v>221</v>
      </c>
      <c r="AI217" s="449" t="s">
        <v>221</v>
      </c>
      <c r="AJ217" s="449" t="s">
        <v>221</v>
      </c>
      <c r="AK217" s="449" t="str">
        <f t="shared" si="98"/>
        <v>no</v>
      </c>
      <c r="AL217" s="221" t="s">
        <v>232</v>
      </c>
      <c r="AM217" s="406" t="s">
        <v>232</v>
      </c>
      <c r="AN217" s="1330" t="str">
        <f t="shared" si="99"/>
        <v>na</v>
      </c>
      <c r="AP217" s="1062"/>
    </row>
    <row r="218" spans="1:42" ht="13.9" customHeight="1" x14ac:dyDescent="0.25">
      <c r="A218" s="846">
        <f>Chem!A218</f>
        <v>216</v>
      </c>
      <c r="B218" s="1838" t="str">
        <f>Chem!B218</f>
        <v>Trichloroethylene (TCE)</v>
      </c>
      <c r="C218" s="384">
        <v>94</v>
      </c>
      <c r="D218" s="384" t="s">
        <v>232</v>
      </c>
      <c r="E218" s="387">
        <f t="shared" si="88"/>
        <v>9.4E-2</v>
      </c>
      <c r="F218" s="387">
        <f t="shared" si="89"/>
        <v>9.4E-2</v>
      </c>
      <c r="G218" s="387" t="s">
        <v>232</v>
      </c>
      <c r="H218" s="387" t="s">
        <v>232</v>
      </c>
      <c r="I218" s="387">
        <f t="shared" si="91"/>
        <v>1.786</v>
      </c>
      <c r="J218" s="387">
        <f t="shared" si="90"/>
        <v>1.786</v>
      </c>
      <c r="K218" s="400">
        <v>0.23236725204694339</v>
      </c>
      <c r="L218" s="400">
        <v>0.40269828291087501</v>
      </c>
      <c r="M218" s="400">
        <f t="shared" si="100"/>
        <v>0.23236725204694339</v>
      </c>
      <c r="N218" s="271">
        <v>11</v>
      </c>
      <c r="O218" s="425">
        <v>5.0000000000000001E-4</v>
      </c>
      <c r="P218" s="1649">
        <v>0.8</v>
      </c>
      <c r="Q218" s="426">
        <f t="shared" si="92"/>
        <v>4.0000000000000002E-4</v>
      </c>
      <c r="R218" s="1666">
        <v>1</v>
      </c>
      <c r="S218" s="426">
        <f t="shared" si="93"/>
        <v>5.0000000000000001E-4</v>
      </c>
      <c r="T218" s="425">
        <v>2E-3</v>
      </c>
      <c r="U218" s="426">
        <f t="shared" si="94"/>
        <v>5.7142857142857147E-4</v>
      </c>
      <c r="V218" s="1272">
        <v>4.5999999999999999E-2</v>
      </c>
      <c r="W218" s="1272">
        <f t="shared" si="95"/>
        <v>5.7499999999999996E-2</v>
      </c>
      <c r="X218" s="412">
        <f t="shared" si="96"/>
        <v>4.5999999999999999E-2</v>
      </c>
      <c r="Y218" s="1272">
        <v>4.0999999999999997E-6</v>
      </c>
      <c r="Z218" s="412">
        <f t="shared" si="97"/>
        <v>1.4349999999999998E-2</v>
      </c>
      <c r="AA218" s="412" t="s">
        <v>144</v>
      </c>
      <c r="AB218" s="439">
        <v>2</v>
      </c>
      <c r="AC218" s="1572">
        <v>0.03</v>
      </c>
      <c r="AD218" s="1257">
        <v>1</v>
      </c>
      <c r="AE218" s="1257">
        <v>0</v>
      </c>
      <c r="AF218" s="1292" t="s">
        <v>144</v>
      </c>
      <c r="AG218" s="535" t="s">
        <v>221</v>
      </c>
      <c r="AH218" s="449" t="s">
        <v>221</v>
      </c>
      <c r="AI218" s="449" t="s">
        <v>221</v>
      </c>
      <c r="AJ218" s="449" t="s">
        <v>221</v>
      </c>
      <c r="AK218" s="449" t="str">
        <f t="shared" si="98"/>
        <v>no</v>
      </c>
      <c r="AL218" s="221" t="s">
        <v>232</v>
      </c>
      <c r="AM218" s="406" t="s">
        <v>232</v>
      </c>
      <c r="AN218" s="1330" t="str">
        <f t="shared" si="99"/>
        <v>na</v>
      </c>
      <c r="AP218" s="1062"/>
    </row>
    <row r="219" spans="1:42" ht="13.9" customHeight="1" x14ac:dyDescent="0.25">
      <c r="A219" s="846">
        <f>Chem!A219</f>
        <v>217</v>
      </c>
      <c r="B219" s="865" t="str">
        <f>Chem!B219</f>
        <v>Trichlorofluoroethane</v>
      </c>
      <c r="C219" s="384" t="s">
        <v>232</v>
      </c>
      <c r="D219" s="384" t="s">
        <v>232</v>
      </c>
      <c r="E219" s="387" t="str">
        <f t="shared" si="88"/>
        <v>na</v>
      </c>
      <c r="F219" s="387" t="str">
        <f t="shared" si="89"/>
        <v>na</v>
      </c>
      <c r="G219" s="387" t="s">
        <v>232</v>
      </c>
      <c r="H219" s="387" t="s">
        <v>232</v>
      </c>
      <c r="I219" s="387" t="str">
        <f t="shared" si="91"/>
        <v>na</v>
      </c>
      <c r="J219" s="387" t="str">
        <f t="shared" si="90"/>
        <v>na</v>
      </c>
      <c r="K219" s="400" t="s">
        <v>232</v>
      </c>
      <c r="L219" s="400" t="s">
        <v>232</v>
      </c>
      <c r="M219" s="400">
        <f t="shared" si="100"/>
        <v>0</v>
      </c>
      <c r="N219" s="271" t="s">
        <v>232</v>
      </c>
      <c r="O219" s="425" t="s">
        <v>232</v>
      </c>
      <c r="P219" s="1649">
        <v>0.8</v>
      </c>
      <c r="Q219" s="426" t="str">
        <f t="shared" si="92"/>
        <v>na</v>
      </c>
      <c r="R219" s="1666">
        <v>1</v>
      </c>
      <c r="S219" s="426" t="str">
        <f t="shared" si="93"/>
        <v>na</v>
      </c>
      <c r="T219" s="425" t="s">
        <v>232</v>
      </c>
      <c r="U219" s="426" t="str">
        <f t="shared" si="94"/>
        <v>na</v>
      </c>
      <c r="V219" s="1272" t="s">
        <v>232</v>
      </c>
      <c r="W219" s="1272" t="str">
        <f t="shared" si="95"/>
        <v>na</v>
      </c>
      <c r="X219" s="412" t="str">
        <f t="shared" si="96"/>
        <v>na</v>
      </c>
      <c r="Y219" s="1272" t="s">
        <v>232</v>
      </c>
      <c r="Z219" s="412" t="str">
        <f t="shared" si="97"/>
        <v>na</v>
      </c>
      <c r="AA219" s="412" t="s">
        <v>221</v>
      </c>
      <c r="AB219" s="439" t="s">
        <v>232</v>
      </c>
      <c r="AC219" s="1572" t="s">
        <v>232</v>
      </c>
      <c r="AD219" s="1257" t="s">
        <v>232</v>
      </c>
      <c r="AE219" s="1257">
        <v>0</v>
      </c>
      <c r="AF219" s="1292" t="s">
        <v>221</v>
      </c>
      <c r="AG219" s="535" t="s">
        <v>221</v>
      </c>
      <c r="AH219" s="449" t="s">
        <v>221</v>
      </c>
      <c r="AI219" s="449" t="s">
        <v>221</v>
      </c>
      <c r="AJ219" s="449" t="s">
        <v>221</v>
      </c>
      <c r="AK219" s="449" t="str">
        <f t="shared" si="98"/>
        <v>no</v>
      </c>
      <c r="AL219" s="221" t="s">
        <v>232</v>
      </c>
      <c r="AM219" s="406" t="s">
        <v>232</v>
      </c>
      <c r="AN219" s="1330" t="str">
        <f t="shared" si="99"/>
        <v>na</v>
      </c>
      <c r="AP219" s="1062"/>
    </row>
    <row r="220" spans="1:42" ht="13.9" customHeight="1" x14ac:dyDescent="0.25">
      <c r="A220" s="846">
        <f>Chem!A220</f>
        <v>218</v>
      </c>
      <c r="B220" s="865" t="str">
        <f>Chem!B220</f>
        <v>Trichlorofluoromethane</v>
      </c>
      <c r="C220" s="384">
        <v>43.9</v>
      </c>
      <c r="D220" s="384" t="s">
        <v>232</v>
      </c>
      <c r="E220" s="387">
        <f t="shared" si="88"/>
        <v>4.3900000000000002E-2</v>
      </c>
      <c r="F220" s="387">
        <f t="shared" si="89"/>
        <v>4.3900000000000002E-2</v>
      </c>
      <c r="G220" s="387" t="s">
        <v>232</v>
      </c>
      <c r="H220" s="387" t="s">
        <v>232</v>
      </c>
      <c r="I220" s="387">
        <f t="shared" si="91"/>
        <v>0.83409999999999995</v>
      </c>
      <c r="J220" s="387">
        <f t="shared" si="90"/>
        <v>0.83409999999999995</v>
      </c>
      <c r="K220" s="400">
        <v>2.6776012500450501</v>
      </c>
      <c r="L220" s="400">
        <v>3.96565821749796</v>
      </c>
      <c r="M220" s="400">
        <f t="shared" si="100"/>
        <v>2.6776012500450501</v>
      </c>
      <c r="N220" s="271" t="s">
        <v>232</v>
      </c>
      <c r="O220" s="425">
        <v>0.3</v>
      </c>
      <c r="P220" s="1649">
        <v>0.8</v>
      </c>
      <c r="Q220" s="426">
        <f t="shared" si="92"/>
        <v>0.24</v>
      </c>
      <c r="R220" s="1666">
        <v>1</v>
      </c>
      <c r="S220" s="426">
        <f t="shared" si="93"/>
        <v>0.3</v>
      </c>
      <c r="T220" s="425">
        <v>0.70000000000000007</v>
      </c>
      <c r="U220" s="426">
        <f t="shared" si="94"/>
        <v>0.20000000000000004</v>
      </c>
      <c r="V220" s="1272" t="s">
        <v>232</v>
      </c>
      <c r="W220" s="1272" t="str">
        <f t="shared" si="95"/>
        <v>na</v>
      </c>
      <c r="X220" s="412" t="str">
        <f t="shared" si="96"/>
        <v>na</v>
      </c>
      <c r="Y220" s="1272" t="s">
        <v>232</v>
      </c>
      <c r="Z220" s="412" t="str">
        <f t="shared" si="97"/>
        <v>na</v>
      </c>
      <c r="AA220" s="412" t="s">
        <v>221</v>
      </c>
      <c r="AB220" s="439">
        <v>2</v>
      </c>
      <c r="AC220" s="1572">
        <v>5.0000000000000001E-4</v>
      </c>
      <c r="AD220" s="1257">
        <v>1</v>
      </c>
      <c r="AE220" s="1257">
        <v>0</v>
      </c>
      <c r="AF220" s="1292" t="s">
        <v>144</v>
      </c>
      <c r="AG220" s="535" t="s">
        <v>221</v>
      </c>
      <c r="AH220" s="449" t="s">
        <v>221</v>
      </c>
      <c r="AI220" s="449" t="s">
        <v>221</v>
      </c>
      <c r="AJ220" s="449" t="s">
        <v>221</v>
      </c>
      <c r="AK220" s="449" t="str">
        <f t="shared" si="98"/>
        <v>no</v>
      </c>
      <c r="AL220" s="221" t="s">
        <v>232</v>
      </c>
      <c r="AM220" s="406" t="s">
        <v>232</v>
      </c>
      <c r="AN220" s="1330" t="str">
        <f t="shared" si="99"/>
        <v>na</v>
      </c>
      <c r="AP220" s="1062"/>
    </row>
    <row r="221" spans="1:42" ht="13.9" customHeight="1" x14ac:dyDescent="0.25">
      <c r="A221" s="846">
        <f>Chem!A221</f>
        <v>219</v>
      </c>
      <c r="B221" s="1838" t="str">
        <f>Chem!B221</f>
        <v>1,2,3-Trichloropropane</v>
      </c>
      <c r="C221" s="384">
        <v>116</v>
      </c>
      <c r="D221" s="384" t="s">
        <v>232</v>
      </c>
      <c r="E221" s="387">
        <f t="shared" si="88"/>
        <v>0.11600000000000001</v>
      </c>
      <c r="F221" s="387">
        <f t="shared" si="89"/>
        <v>0.11600000000000001</v>
      </c>
      <c r="G221" s="387" t="s">
        <v>232</v>
      </c>
      <c r="H221" s="387" t="s">
        <v>232</v>
      </c>
      <c r="I221" s="387">
        <f t="shared" si="91"/>
        <v>2.2039999999999997</v>
      </c>
      <c r="J221" s="387">
        <f t="shared" si="90"/>
        <v>2.2039999999999997</v>
      </c>
      <c r="K221" s="400">
        <v>6.8560589456161019E-3</v>
      </c>
      <c r="L221" s="400">
        <v>1.4022894521668E-2</v>
      </c>
      <c r="M221" s="400">
        <f t="shared" si="100"/>
        <v>6.8560589456161019E-3</v>
      </c>
      <c r="N221" s="271" t="s">
        <v>232</v>
      </c>
      <c r="O221" s="425">
        <v>4.0000000000000001E-3</v>
      </c>
      <c r="P221" s="1649">
        <v>0.8</v>
      </c>
      <c r="Q221" s="426">
        <f t="shared" si="92"/>
        <v>3.2000000000000002E-3</v>
      </c>
      <c r="R221" s="1666">
        <v>1</v>
      </c>
      <c r="S221" s="426">
        <f t="shared" si="93"/>
        <v>4.0000000000000001E-3</v>
      </c>
      <c r="T221" s="425">
        <v>2.9999999999999992E-4</v>
      </c>
      <c r="U221" s="426">
        <f t="shared" si="94"/>
        <v>8.5714285714285685E-5</v>
      </c>
      <c r="V221" s="1272">
        <v>30</v>
      </c>
      <c r="W221" s="1272">
        <f t="shared" si="95"/>
        <v>37.5</v>
      </c>
      <c r="X221" s="412">
        <f t="shared" si="96"/>
        <v>30</v>
      </c>
      <c r="Y221" s="1272" t="s">
        <v>232</v>
      </c>
      <c r="Z221" s="412" t="str">
        <f t="shared" si="97"/>
        <v>na</v>
      </c>
      <c r="AA221" s="412" t="s">
        <v>144</v>
      </c>
      <c r="AB221" s="439">
        <v>2</v>
      </c>
      <c r="AC221" s="1572">
        <v>0.03</v>
      </c>
      <c r="AD221" s="1257">
        <v>1</v>
      </c>
      <c r="AE221" s="1257">
        <v>0</v>
      </c>
      <c r="AF221" s="1292" t="s">
        <v>144</v>
      </c>
      <c r="AG221" s="535" t="s">
        <v>221</v>
      </c>
      <c r="AH221" s="449" t="s">
        <v>221</v>
      </c>
      <c r="AI221" s="449" t="s">
        <v>221</v>
      </c>
      <c r="AJ221" s="449" t="s">
        <v>221</v>
      </c>
      <c r="AK221" s="449" t="str">
        <f t="shared" si="98"/>
        <v>no</v>
      </c>
      <c r="AL221" s="221" t="s">
        <v>232</v>
      </c>
      <c r="AM221" s="406" t="s">
        <v>232</v>
      </c>
      <c r="AN221" s="1330" t="str">
        <f t="shared" si="99"/>
        <v>na</v>
      </c>
      <c r="AP221" s="1062"/>
    </row>
    <row r="222" spans="1:42" ht="13.9" customHeight="1" x14ac:dyDescent="0.25">
      <c r="A222" s="846">
        <f>Chem!A222</f>
        <v>220</v>
      </c>
      <c r="B222" s="865" t="str">
        <f>Chem!B222</f>
        <v>Trichlorotrifluoroethane</v>
      </c>
      <c r="C222" s="384">
        <v>197</v>
      </c>
      <c r="D222" s="384" t="s">
        <v>232</v>
      </c>
      <c r="E222" s="387">
        <f t="shared" si="88"/>
        <v>0.19700000000000001</v>
      </c>
      <c r="F222" s="387">
        <f t="shared" si="89"/>
        <v>0.19700000000000001</v>
      </c>
      <c r="G222" s="387" t="s">
        <v>232</v>
      </c>
      <c r="H222" s="387" t="s">
        <v>232</v>
      </c>
      <c r="I222" s="387">
        <f t="shared" si="91"/>
        <v>3.7429999999999999</v>
      </c>
      <c r="J222" s="387">
        <f t="shared" si="90"/>
        <v>3.7429999999999999</v>
      </c>
      <c r="K222" s="400">
        <v>13.712315554214785</v>
      </c>
      <c r="L222" s="400">
        <v>21.504497138184799</v>
      </c>
      <c r="M222" s="400">
        <f t="shared" si="100"/>
        <v>13.712315554214785</v>
      </c>
      <c r="N222" s="271" t="s">
        <v>232</v>
      </c>
      <c r="O222" s="425">
        <v>30</v>
      </c>
      <c r="P222" s="1649">
        <v>0.8</v>
      </c>
      <c r="Q222" s="426">
        <f t="shared" si="92"/>
        <v>24</v>
      </c>
      <c r="R222" s="1666">
        <v>1</v>
      </c>
      <c r="S222" s="426">
        <f t="shared" si="93"/>
        <v>30</v>
      </c>
      <c r="T222" s="425">
        <v>5</v>
      </c>
      <c r="U222" s="426">
        <f t="shared" si="94"/>
        <v>1.4285714285714286</v>
      </c>
      <c r="V222" s="1272" t="s">
        <v>232</v>
      </c>
      <c r="W222" s="1272" t="str">
        <f t="shared" si="95"/>
        <v>na</v>
      </c>
      <c r="X222" s="412" t="str">
        <f t="shared" si="96"/>
        <v>na</v>
      </c>
      <c r="Y222" s="1272" t="s">
        <v>232</v>
      </c>
      <c r="Z222" s="412" t="str">
        <f t="shared" si="97"/>
        <v>na</v>
      </c>
      <c r="AA222" s="412" t="s">
        <v>221</v>
      </c>
      <c r="AB222" s="439">
        <v>2</v>
      </c>
      <c r="AC222" s="1572">
        <v>5.0000000000000001E-4</v>
      </c>
      <c r="AD222" s="1257">
        <v>1</v>
      </c>
      <c r="AE222" s="1257">
        <v>0</v>
      </c>
      <c r="AF222" s="1292" t="s">
        <v>144</v>
      </c>
      <c r="AG222" s="535" t="s">
        <v>221</v>
      </c>
      <c r="AH222" s="449" t="s">
        <v>221</v>
      </c>
      <c r="AI222" s="449" t="s">
        <v>221</v>
      </c>
      <c r="AJ222" s="449" t="s">
        <v>221</v>
      </c>
      <c r="AK222" s="449" t="str">
        <f t="shared" si="98"/>
        <v>no</v>
      </c>
      <c r="AL222" s="221" t="s">
        <v>232</v>
      </c>
      <c r="AM222" s="406" t="s">
        <v>232</v>
      </c>
      <c r="AN222" s="1330" t="str">
        <f t="shared" si="99"/>
        <v>na</v>
      </c>
      <c r="AP222" s="1062"/>
    </row>
    <row r="223" spans="1:42" ht="13.9" customHeight="1" x14ac:dyDescent="0.25">
      <c r="A223" s="846">
        <f>Chem!A223</f>
        <v>221</v>
      </c>
      <c r="B223" s="866" t="str">
        <f>Chem!B223</f>
        <v>1,2,3-Trimethylbenzene</v>
      </c>
      <c r="C223" s="394">
        <v>627</v>
      </c>
      <c r="D223" s="394" t="s">
        <v>232</v>
      </c>
      <c r="E223" s="387">
        <f t="shared" si="88"/>
        <v>0.627</v>
      </c>
      <c r="F223" s="387">
        <f t="shared" si="89"/>
        <v>0.627</v>
      </c>
      <c r="G223" s="387" t="s">
        <v>232</v>
      </c>
      <c r="H223" s="387" t="s">
        <v>232</v>
      </c>
      <c r="I223" s="387">
        <f t="shared" si="91"/>
        <v>11.913</v>
      </c>
      <c r="J223" s="387">
        <f t="shared" si="90"/>
        <v>11.913</v>
      </c>
      <c r="K223" s="407">
        <v>6.6242614501504857E-2</v>
      </c>
      <c r="L223" s="407">
        <v>0.17825020441537201</v>
      </c>
      <c r="M223" s="407">
        <f t="shared" si="100"/>
        <v>6.6242614501504857E-2</v>
      </c>
      <c r="N223" s="217" t="s">
        <v>232</v>
      </c>
      <c r="O223" s="1267">
        <v>0.01</v>
      </c>
      <c r="P223" s="1649">
        <v>0.8</v>
      </c>
      <c r="Q223" s="435">
        <f t="shared" si="92"/>
        <v>8.0000000000000002E-3</v>
      </c>
      <c r="R223" s="1679">
        <v>1</v>
      </c>
      <c r="S223" s="435">
        <f t="shared" si="93"/>
        <v>0.01</v>
      </c>
      <c r="T223" s="1267">
        <v>0.06</v>
      </c>
      <c r="U223" s="435">
        <f t="shared" si="94"/>
        <v>1.7142857142857144E-2</v>
      </c>
      <c r="V223" s="1277" t="s">
        <v>232</v>
      </c>
      <c r="W223" s="1277" t="str">
        <f t="shared" si="95"/>
        <v>na</v>
      </c>
      <c r="X223" s="418" t="str">
        <f t="shared" si="96"/>
        <v>na</v>
      </c>
      <c r="Y223" s="1277" t="s">
        <v>232</v>
      </c>
      <c r="Z223" s="418" t="str">
        <f t="shared" si="97"/>
        <v>na</v>
      </c>
      <c r="AA223" s="418" t="s">
        <v>221</v>
      </c>
      <c r="AB223" s="439">
        <v>2</v>
      </c>
      <c r="AC223" s="1574">
        <v>0.03</v>
      </c>
      <c r="AD223" s="1262">
        <v>1</v>
      </c>
      <c r="AE223" s="1262">
        <v>0</v>
      </c>
      <c r="AF223" s="1292" t="s">
        <v>144</v>
      </c>
      <c r="AG223" s="539" t="s">
        <v>221</v>
      </c>
      <c r="AH223" s="341" t="s">
        <v>221</v>
      </c>
      <c r="AI223" s="341" t="s">
        <v>221</v>
      </c>
      <c r="AJ223" s="341" t="s">
        <v>221</v>
      </c>
      <c r="AK223" s="449" t="str">
        <f t="shared" si="98"/>
        <v>no</v>
      </c>
      <c r="AL223" s="221" t="s">
        <v>232</v>
      </c>
      <c r="AM223" s="406" t="s">
        <v>232</v>
      </c>
      <c r="AN223" s="1330" t="str">
        <f t="shared" si="99"/>
        <v>na</v>
      </c>
      <c r="AP223" s="1062"/>
    </row>
    <row r="224" spans="1:42" ht="13.9" customHeight="1" x14ac:dyDescent="0.25">
      <c r="A224" s="846">
        <f>Chem!A224</f>
        <v>222</v>
      </c>
      <c r="B224" s="865" t="str">
        <f>Chem!B224</f>
        <v>1,2,4-Trimethylbenzene</v>
      </c>
      <c r="C224" s="384">
        <v>614</v>
      </c>
      <c r="D224" s="384" t="s">
        <v>232</v>
      </c>
      <c r="E224" s="387">
        <f t="shared" si="88"/>
        <v>0.61399999999999999</v>
      </c>
      <c r="F224" s="387">
        <f t="shared" si="89"/>
        <v>0.61399999999999999</v>
      </c>
      <c r="G224" s="387" t="s">
        <v>232</v>
      </c>
      <c r="H224" s="387" t="s">
        <v>232</v>
      </c>
      <c r="I224" s="387">
        <f t="shared" si="91"/>
        <v>11.666</v>
      </c>
      <c r="J224" s="387">
        <f t="shared" si="90"/>
        <v>11.666</v>
      </c>
      <c r="K224" s="400">
        <v>0.11488295111364141</v>
      </c>
      <c r="L224" s="400">
        <v>0.25183973834832402</v>
      </c>
      <c r="M224" s="400">
        <f t="shared" si="100"/>
        <v>0.11488295111364141</v>
      </c>
      <c r="N224" s="271" t="s">
        <v>232</v>
      </c>
      <c r="O224" s="425">
        <v>0.01</v>
      </c>
      <c r="P224" s="1649">
        <v>0.8</v>
      </c>
      <c r="Q224" s="426">
        <f t="shared" si="92"/>
        <v>8.0000000000000002E-3</v>
      </c>
      <c r="R224" s="1666">
        <v>1</v>
      </c>
      <c r="S224" s="426">
        <f t="shared" si="93"/>
        <v>0.01</v>
      </c>
      <c r="T224" s="425">
        <v>0.06</v>
      </c>
      <c r="U224" s="426">
        <f t="shared" si="94"/>
        <v>1.7142857142857144E-2</v>
      </c>
      <c r="V224" s="1272" t="s">
        <v>232</v>
      </c>
      <c r="W224" s="1272" t="str">
        <f t="shared" si="95"/>
        <v>na</v>
      </c>
      <c r="X224" s="412" t="str">
        <f t="shared" si="96"/>
        <v>na</v>
      </c>
      <c r="Y224" s="1272" t="s">
        <v>232</v>
      </c>
      <c r="Z224" s="412" t="str">
        <f t="shared" si="97"/>
        <v>na</v>
      </c>
      <c r="AA224" s="412" t="s">
        <v>221</v>
      </c>
      <c r="AB224" s="439">
        <v>2</v>
      </c>
      <c r="AC224" s="1572">
        <v>0.03</v>
      </c>
      <c r="AD224" s="1257">
        <v>1</v>
      </c>
      <c r="AE224" s="1257">
        <v>0</v>
      </c>
      <c r="AF224" s="1292" t="s">
        <v>144</v>
      </c>
      <c r="AG224" s="535" t="s">
        <v>221</v>
      </c>
      <c r="AH224" s="449" t="s">
        <v>221</v>
      </c>
      <c r="AI224" s="449" t="s">
        <v>221</v>
      </c>
      <c r="AJ224" s="449" t="s">
        <v>221</v>
      </c>
      <c r="AK224" s="449" t="str">
        <f t="shared" si="98"/>
        <v>no</v>
      </c>
      <c r="AL224" s="221" t="s">
        <v>232</v>
      </c>
      <c r="AM224" s="406" t="s">
        <v>232</v>
      </c>
      <c r="AN224" s="1330" t="str">
        <f t="shared" si="99"/>
        <v>na</v>
      </c>
      <c r="AP224" s="1062"/>
    </row>
    <row r="225" spans="1:44" ht="13.9" customHeight="1" x14ac:dyDescent="0.25">
      <c r="A225" s="846">
        <f>Chem!A225</f>
        <v>223</v>
      </c>
      <c r="B225" s="865" t="str">
        <f>Chem!B225</f>
        <v>1,3,5-Trimethylbenzene</v>
      </c>
      <c r="C225" s="384">
        <v>602</v>
      </c>
      <c r="D225" s="384" t="s">
        <v>232</v>
      </c>
      <c r="E225" s="387">
        <f t="shared" si="88"/>
        <v>0.60199999999999998</v>
      </c>
      <c r="F225" s="387">
        <f t="shared" si="89"/>
        <v>0.60199999999999998</v>
      </c>
      <c r="G225" s="387" t="s">
        <v>232</v>
      </c>
      <c r="H225" s="387" t="s">
        <v>232</v>
      </c>
      <c r="I225" s="387">
        <f t="shared" si="91"/>
        <v>11.437999999999999</v>
      </c>
      <c r="J225" s="387">
        <f t="shared" si="90"/>
        <v>11.437999999999999</v>
      </c>
      <c r="K225" s="400">
        <v>0.1638188233796069</v>
      </c>
      <c r="L225" s="400">
        <v>0.35854456255110401</v>
      </c>
      <c r="M225" s="400">
        <f t="shared" si="100"/>
        <v>0.1638188233796069</v>
      </c>
      <c r="N225" s="271" t="s">
        <v>232</v>
      </c>
      <c r="O225" s="425">
        <v>0.01</v>
      </c>
      <c r="P225" s="1649">
        <v>0.8</v>
      </c>
      <c r="Q225" s="426">
        <f t="shared" si="92"/>
        <v>8.0000000000000002E-3</v>
      </c>
      <c r="R225" s="1666">
        <v>1</v>
      </c>
      <c r="S225" s="426">
        <f t="shared" si="93"/>
        <v>0.01</v>
      </c>
      <c r="T225" s="425">
        <v>0.06</v>
      </c>
      <c r="U225" s="426">
        <f t="shared" si="94"/>
        <v>1.7142857142857144E-2</v>
      </c>
      <c r="V225" s="1272" t="s">
        <v>232</v>
      </c>
      <c r="W225" s="1272" t="str">
        <f t="shared" si="95"/>
        <v>na</v>
      </c>
      <c r="X225" s="412" t="str">
        <f t="shared" si="96"/>
        <v>na</v>
      </c>
      <c r="Y225" s="1272" t="s">
        <v>232</v>
      </c>
      <c r="Z225" s="412" t="str">
        <f t="shared" si="97"/>
        <v>na</v>
      </c>
      <c r="AA225" s="412" t="s">
        <v>221</v>
      </c>
      <c r="AB225" s="439">
        <v>2</v>
      </c>
      <c r="AC225" s="1572">
        <v>0.03</v>
      </c>
      <c r="AD225" s="1257">
        <v>1</v>
      </c>
      <c r="AE225" s="1257">
        <v>0</v>
      </c>
      <c r="AF225" s="1292" t="s">
        <v>144</v>
      </c>
      <c r="AG225" s="535" t="s">
        <v>221</v>
      </c>
      <c r="AH225" s="449" t="s">
        <v>221</v>
      </c>
      <c r="AI225" s="449" t="s">
        <v>221</v>
      </c>
      <c r="AJ225" s="449" t="s">
        <v>221</v>
      </c>
      <c r="AK225" s="449" t="str">
        <f t="shared" si="98"/>
        <v>no</v>
      </c>
      <c r="AL225" s="221" t="s">
        <v>232</v>
      </c>
      <c r="AM225" s="406" t="s">
        <v>232</v>
      </c>
      <c r="AN225" s="1330" t="str">
        <f t="shared" si="99"/>
        <v>na</v>
      </c>
      <c r="AP225" s="1062"/>
    </row>
    <row r="226" spans="1:44" ht="13.9" customHeight="1" x14ac:dyDescent="0.25">
      <c r="A226" s="846">
        <f>Chem!A226</f>
        <v>224</v>
      </c>
      <c r="B226" s="865" t="str">
        <f>Chem!B226</f>
        <v>Vinyl acetate</v>
      </c>
      <c r="C226" s="384">
        <v>5.58</v>
      </c>
      <c r="D226" s="384" t="s">
        <v>232</v>
      </c>
      <c r="E226" s="387">
        <f t="shared" si="88"/>
        <v>5.5799999999999999E-3</v>
      </c>
      <c r="F226" s="387">
        <f t="shared" si="89"/>
        <v>5.5799999999999999E-3</v>
      </c>
      <c r="G226" s="387" t="s">
        <v>232</v>
      </c>
      <c r="H226" s="387" t="s">
        <v>232</v>
      </c>
      <c r="I226" s="387">
        <f t="shared" si="91"/>
        <v>0.10602</v>
      </c>
      <c r="J226" s="387">
        <f t="shared" si="90"/>
        <v>0.10602</v>
      </c>
      <c r="K226" s="400">
        <v>1.1305860184252203E-2</v>
      </c>
      <c r="L226" s="400">
        <v>2.0891251022076899E-2</v>
      </c>
      <c r="M226" s="400">
        <f t="shared" si="100"/>
        <v>1.1305860184252203E-2</v>
      </c>
      <c r="N226" s="271" t="s">
        <v>232</v>
      </c>
      <c r="O226" s="425">
        <v>1</v>
      </c>
      <c r="P226" s="1649">
        <v>0.8</v>
      </c>
      <c r="Q226" s="426">
        <f t="shared" si="92"/>
        <v>0.8</v>
      </c>
      <c r="R226" s="1666">
        <v>1</v>
      </c>
      <c r="S226" s="426">
        <f t="shared" si="93"/>
        <v>1</v>
      </c>
      <c r="T226" s="425">
        <v>0.19999999999999998</v>
      </c>
      <c r="U226" s="426">
        <f t="shared" si="94"/>
        <v>5.7142857142857134E-2</v>
      </c>
      <c r="V226" s="1272" t="s">
        <v>232</v>
      </c>
      <c r="W226" s="1272" t="str">
        <f t="shared" si="95"/>
        <v>na</v>
      </c>
      <c r="X226" s="412" t="str">
        <f t="shared" si="96"/>
        <v>na</v>
      </c>
      <c r="Y226" s="1272" t="s">
        <v>232</v>
      </c>
      <c r="Z226" s="412" t="str">
        <f t="shared" si="97"/>
        <v>na</v>
      </c>
      <c r="AA226" s="412" t="s">
        <v>221</v>
      </c>
      <c r="AB226" s="439">
        <v>2</v>
      </c>
      <c r="AC226" s="1572">
        <v>0.03</v>
      </c>
      <c r="AD226" s="1257">
        <v>1</v>
      </c>
      <c r="AE226" s="1257">
        <v>0</v>
      </c>
      <c r="AF226" s="1292" t="s">
        <v>144</v>
      </c>
      <c r="AG226" s="535" t="s">
        <v>221</v>
      </c>
      <c r="AH226" s="449" t="s">
        <v>221</v>
      </c>
      <c r="AI226" s="449" t="s">
        <v>221</v>
      </c>
      <c r="AJ226" s="449" t="s">
        <v>221</v>
      </c>
      <c r="AK226" s="449" t="str">
        <f t="shared" si="98"/>
        <v>no</v>
      </c>
      <c r="AL226" s="221" t="s">
        <v>232</v>
      </c>
      <c r="AM226" s="406" t="s">
        <v>232</v>
      </c>
      <c r="AN226" s="1330" t="str">
        <f t="shared" si="99"/>
        <v>na</v>
      </c>
      <c r="AP226" s="1062"/>
    </row>
    <row r="227" spans="1:44" ht="15" x14ac:dyDescent="0.25">
      <c r="A227" s="846">
        <f>Chem!A227</f>
        <v>225</v>
      </c>
      <c r="B227" s="1838" t="str">
        <f>Chem!B227</f>
        <v>Vinyl chloride</v>
      </c>
      <c r="C227" s="384">
        <v>21.7</v>
      </c>
      <c r="D227" s="384" t="s">
        <v>232</v>
      </c>
      <c r="E227" s="387">
        <f t="shared" si="88"/>
        <v>2.1700000000000001E-2</v>
      </c>
      <c r="F227" s="387">
        <f t="shared" si="89"/>
        <v>2.1700000000000001E-2</v>
      </c>
      <c r="G227" s="387" t="s">
        <v>232</v>
      </c>
      <c r="H227" s="387" t="s">
        <v>232</v>
      </c>
      <c r="I227" s="387">
        <f t="shared" si="91"/>
        <v>0.4123</v>
      </c>
      <c r="J227" s="387">
        <f t="shared" si="90"/>
        <v>0.4123</v>
      </c>
      <c r="K227" s="400">
        <v>0.84959143591779562</v>
      </c>
      <c r="L227" s="400">
        <v>1.1365494685200299</v>
      </c>
      <c r="M227" s="400">
        <f t="shared" si="100"/>
        <v>0.84959143591779562</v>
      </c>
      <c r="N227" s="271">
        <v>1.17</v>
      </c>
      <c r="O227" s="425">
        <v>3.0000000000000001E-3</v>
      </c>
      <c r="P227" s="1649">
        <v>0.8</v>
      </c>
      <c r="Q227" s="426">
        <f t="shared" si="92"/>
        <v>2.4000000000000002E-3</v>
      </c>
      <c r="R227" s="1666">
        <v>1</v>
      </c>
      <c r="S227" s="426">
        <f t="shared" si="93"/>
        <v>3.0000000000000001E-3</v>
      </c>
      <c r="T227" s="425">
        <v>9.9999999999999992E-2</v>
      </c>
      <c r="U227" s="426">
        <f t="shared" si="94"/>
        <v>2.8571428571428567E-2</v>
      </c>
      <c r="V227" s="1272">
        <v>1.5</v>
      </c>
      <c r="W227" s="1272">
        <f t="shared" si="95"/>
        <v>1.875</v>
      </c>
      <c r="X227" s="412">
        <f t="shared" si="96"/>
        <v>1.5</v>
      </c>
      <c r="Y227" s="1272">
        <v>8.8000000000000004E-6</v>
      </c>
      <c r="Z227" s="412">
        <f t="shared" si="97"/>
        <v>3.0800000000000001E-2</v>
      </c>
      <c r="AA227" s="412" t="s">
        <v>144</v>
      </c>
      <c r="AB227" s="439">
        <v>2</v>
      </c>
      <c r="AC227" s="1572">
        <v>5.0000000000000001E-4</v>
      </c>
      <c r="AD227" s="1257">
        <v>1</v>
      </c>
      <c r="AE227" s="1257">
        <v>0</v>
      </c>
      <c r="AF227" s="1292" t="s">
        <v>144</v>
      </c>
      <c r="AG227" s="535" t="s">
        <v>221</v>
      </c>
      <c r="AH227" s="449" t="s">
        <v>221</v>
      </c>
      <c r="AI227" s="449" t="s">
        <v>221</v>
      </c>
      <c r="AJ227" s="449" t="s">
        <v>221</v>
      </c>
      <c r="AK227" s="449" t="str">
        <f t="shared" si="98"/>
        <v>no</v>
      </c>
      <c r="AL227" s="221" t="s">
        <v>232</v>
      </c>
      <c r="AM227" s="406" t="s">
        <v>232</v>
      </c>
      <c r="AN227" s="1330" t="str">
        <f t="shared" si="99"/>
        <v>na</v>
      </c>
      <c r="AP227" s="1062"/>
    </row>
    <row r="228" spans="1:44" ht="13.9" customHeight="1" x14ac:dyDescent="0.25">
      <c r="A228" s="1661">
        <f>Chem!A228</f>
        <v>226</v>
      </c>
      <c r="B228" s="870" t="str">
        <f>Chem!B228</f>
        <v>Total xylenes</v>
      </c>
      <c r="C228" s="392">
        <v>233</v>
      </c>
      <c r="D228" s="392" t="s">
        <v>232</v>
      </c>
      <c r="E228" s="387">
        <f t="shared" si="88"/>
        <v>0.23300000000000001</v>
      </c>
      <c r="F228" s="389">
        <f t="shared" si="89"/>
        <v>0.23300000000000001</v>
      </c>
      <c r="G228" s="389" t="s">
        <v>232</v>
      </c>
      <c r="H228" s="389" t="s">
        <v>232</v>
      </c>
      <c r="I228" s="389">
        <f t="shared" si="91"/>
        <v>4.4269999999999996</v>
      </c>
      <c r="J228" s="389">
        <f t="shared" si="90"/>
        <v>4.4269999999999996</v>
      </c>
      <c r="K228" s="404">
        <v>0.14143801387071567</v>
      </c>
      <c r="L228" s="404">
        <v>0.27900000000000003</v>
      </c>
      <c r="M228" s="404">
        <f t="shared" si="100"/>
        <v>0.14143801387071567</v>
      </c>
      <c r="N228" s="272" t="s">
        <v>232</v>
      </c>
      <c r="O228" s="427">
        <v>0.2</v>
      </c>
      <c r="P228" s="1649">
        <v>0.92</v>
      </c>
      <c r="Q228" s="428">
        <f t="shared" si="92"/>
        <v>0.18400000000000002</v>
      </c>
      <c r="R228" s="1667">
        <v>1</v>
      </c>
      <c r="S228" s="428">
        <f t="shared" si="93"/>
        <v>0.2</v>
      </c>
      <c r="T228" s="427">
        <v>9.9999999999999992E-2</v>
      </c>
      <c r="U228" s="551">
        <f t="shared" si="94"/>
        <v>2.8571428571428567E-2</v>
      </c>
      <c r="V228" s="1275" t="s">
        <v>232</v>
      </c>
      <c r="W228" s="1275" t="str">
        <f t="shared" si="95"/>
        <v>na</v>
      </c>
      <c r="X228" s="417" t="str">
        <f t="shared" si="96"/>
        <v>na</v>
      </c>
      <c r="Y228" s="1275" t="s">
        <v>232</v>
      </c>
      <c r="Z228" s="413" t="str">
        <f t="shared" si="97"/>
        <v>na</v>
      </c>
      <c r="AA228" s="413" t="s">
        <v>221</v>
      </c>
      <c r="AB228" s="440">
        <v>2</v>
      </c>
      <c r="AC228" s="1575">
        <v>0.03</v>
      </c>
      <c r="AD228" s="1261">
        <v>1</v>
      </c>
      <c r="AE228" s="1261">
        <v>0</v>
      </c>
      <c r="AF228" s="1293" t="s">
        <v>144</v>
      </c>
      <c r="AG228" s="530" t="s">
        <v>221</v>
      </c>
      <c r="AH228" s="451" t="s">
        <v>221</v>
      </c>
      <c r="AI228" s="451" t="s">
        <v>221</v>
      </c>
      <c r="AJ228" s="451" t="s">
        <v>221</v>
      </c>
      <c r="AK228" s="449" t="str">
        <f t="shared" si="98"/>
        <v>no</v>
      </c>
      <c r="AL228" s="257" t="s">
        <v>232</v>
      </c>
      <c r="AM228" s="543" t="s">
        <v>232</v>
      </c>
      <c r="AN228" s="545" t="str">
        <f t="shared" si="99"/>
        <v>na</v>
      </c>
      <c r="AP228" s="1062"/>
    </row>
    <row r="229" spans="1:44" ht="13.9" customHeight="1" x14ac:dyDescent="0.25">
      <c r="A229" s="2248">
        <f>Chem!A229</f>
        <v>227</v>
      </c>
      <c r="B229" s="850" t="str">
        <f>Chem!B229</f>
        <v>PFAS</v>
      </c>
      <c r="C229" s="259"/>
      <c r="D229" s="259"/>
      <c r="E229" s="259">
        <f t="shared" si="88"/>
        <v>0</v>
      </c>
      <c r="F229" s="259">
        <f t="shared" si="89"/>
        <v>0</v>
      </c>
      <c r="G229" s="259" t="s">
        <v>232</v>
      </c>
      <c r="H229" s="259"/>
      <c r="I229" s="259">
        <f t="shared" si="91"/>
        <v>0</v>
      </c>
      <c r="J229" s="259">
        <f t="shared" si="90"/>
        <v>0</v>
      </c>
      <c r="K229" s="259"/>
      <c r="L229" s="259"/>
      <c r="M229" s="259"/>
      <c r="N229" s="259"/>
      <c r="O229" s="259"/>
      <c r="P229" s="2342"/>
      <c r="Q229" s="259"/>
      <c r="R229" s="2343"/>
      <c r="S229" s="259"/>
      <c r="T229" s="259"/>
      <c r="U229" s="259"/>
      <c r="V229" s="259"/>
      <c r="W229" s="2518"/>
      <c r="X229" s="259"/>
      <c r="Y229" s="259"/>
      <c r="Z229" s="259"/>
      <c r="AA229" s="259"/>
      <c r="AB229" s="2343"/>
      <c r="AC229" s="2344"/>
      <c r="AD229" s="2344"/>
      <c r="AE229" s="2344"/>
      <c r="AF229" s="2345"/>
      <c r="AG229" s="259"/>
      <c r="AH229" s="259"/>
      <c r="AI229" s="259"/>
      <c r="AJ229" s="259"/>
      <c r="AK229" s="259"/>
      <c r="AL229" s="259"/>
      <c r="AM229" s="259"/>
      <c r="AN229" s="2356"/>
      <c r="AO229" s="373"/>
      <c r="AP229" s="1063"/>
      <c r="AQ229" s="373"/>
    </row>
    <row r="230" spans="1:44" ht="13.9" customHeight="1" x14ac:dyDescent="0.25">
      <c r="A230" s="2247">
        <f>Chem!A230</f>
        <v>228</v>
      </c>
      <c r="B230" s="1099" t="str">
        <f>Chem!B230</f>
        <v>6:2 Fluorotelomer sulfonic acid (6:2 FTS)</v>
      </c>
      <c r="C230" s="1100">
        <v>955</v>
      </c>
      <c r="D230" s="1100" t="s">
        <v>232</v>
      </c>
      <c r="E230" s="1100">
        <f t="shared" si="88"/>
        <v>0.95500000000000007</v>
      </c>
      <c r="F230" s="1100">
        <f t="shared" si="89"/>
        <v>0.95500000000000007</v>
      </c>
      <c r="G230" s="1100" t="s">
        <v>232</v>
      </c>
      <c r="H230" s="1100" t="s">
        <v>232</v>
      </c>
      <c r="I230" s="1100">
        <f t="shared" si="91"/>
        <v>18.145</v>
      </c>
      <c r="J230" s="1100">
        <f t="shared" si="90"/>
        <v>18.145</v>
      </c>
      <c r="K230" s="1101" t="s">
        <v>232</v>
      </c>
      <c r="L230" s="1101">
        <v>7.44E-9</v>
      </c>
      <c r="M230" s="1101">
        <f t="shared" ref="M230:M239" si="101">IF(ISNUMBER(K230),K230,IF(ISNUMBER(L230),L230,0))</f>
        <v>7.44E-9</v>
      </c>
      <c r="N230" s="656" t="s">
        <v>232</v>
      </c>
      <c r="O230" s="1102">
        <v>2.0000000000000001E-4</v>
      </c>
      <c r="P230" s="2249">
        <v>0.5</v>
      </c>
      <c r="Q230" s="1102">
        <f t="shared" ref="Q230:Q239" si="102">IF(O230="na","na",O230*P230)</f>
        <v>1E-4</v>
      </c>
      <c r="R230" s="2250">
        <v>1</v>
      </c>
      <c r="S230" s="1102">
        <f t="shared" ref="S230:S239" si="103">IF(O230="na","na",O230*R230)</f>
        <v>2.0000000000000001E-4</v>
      </c>
      <c r="T230" s="1102" t="s">
        <v>232</v>
      </c>
      <c r="U230" s="1102" t="str">
        <f t="shared" ref="U230:U239" si="104">IF(ISNUMBER(T230),T230*20/70,"na")</f>
        <v>na</v>
      </c>
      <c r="V230" s="1686" t="s">
        <v>232</v>
      </c>
      <c r="W230" s="1103" t="str">
        <f>IF(V230="na","na",V230/P230)</f>
        <v>na</v>
      </c>
      <c r="X230" s="1103" t="str">
        <f t="shared" ref="X230:X239" si="105">IF(V230="na","na",V230/R230)</f>
        <v>na</v>
      </c>
      <c r="Y230" s="1103" t="s">
        <v>232</v>
      </c>
      <c r="Z230" s="1103" t="str">
        <f t="shared" ref="Z230:Z239" si="106">IF(ISNUMBER(Y230),Y230*70*1000/20,"na")</f>
        <v>na</v>
      </c>
      <c r="AA230" s="1103" t="s">
        <v>221</v>
      </c>
      <c r="AB230" s="1104">
        <v>1</v>
      </c>
      <c r="AC230" s="1244">
        <v>0.1</v>
      </c>
      <c r="AD230" s="1244">
        <v>1</v>
      </c>
      <c r="AE230" s="1244">
        <v>0.1</v>
      </c>
      <c r="AF230" s="1295" t="s">
        <v>221</v>
      </c>
      <c r="AG230" s="1100" t="s">
        <v>221</v>
      </c>
      <c r="AH230" s="1100" t="s">
        <v>221</v>
      </c>
      <c r="AI230" s="1100" t="s">
        <v>221</v>
      </c>
      <c r="AJ230" s="1100" t="s">
        <v>221</v>
      </c>
      <c r="AK230" s="1100" t="s">
        <v>221</v>
      </c>
      <c r="AL230" s="656" t="s">
        <v>232</v>
      </c>
      <c r="AM230" s="1101" t="s">
        <v>232</v>
      </c>
      <c r="AN230" s="1970" t="s">
        <v>232</v>
      </c>
      <c r="AP230" s="1062"/>
    </row>
    <row r="231" spans="1:44" ht="13.9" customHeight="1" x14ac:dyDescent="0.25">
      <c r="A231" s="846">
        <f>Chem!A231</f>
        <v>229</v>
      </c>
      <c r="B231" s="905" t="str">
        <f>Chem!B231</f>
        <v>GenX (HFPO-DA)</v>
      </c>
      <c r="C231" s="531">
        <v>407</v>
      </c>
      <c r="D231" s="531" t="s">
        <v>232</v>
      </c>
      <c r="E231" s="531">
        <f t="shared" si="88"/>
        <v>0.40700000000000003</v>
      </c>
      <c r="F231" s="531">
        <f t="shared" si="89"/>
        <v>0.40700000000000003</v>
      </c>
      <c r="G231" s="531" t="s">
        <v>232</v>
      </c>
      <c r="H231" s="531" t="s">
        <v>232</v>
      </c>
      <c r="I231" s="531">
        <f t="shared" si="91"/>
        <v>7.7329999999999997</v>
      </c>
      <c r="J231" s="531">
        <f t="shared" si="90"/>
        <v>7.7329999999999997</v>
      </c>
      <c r="K231" s="1611" t="s">
        <v>232</v>
      </c>
      <c r="L231" s="1611">
        <v>1.022E-2</v>
      </c>
      <c r="M231" s="1611">
        <f t="shared" si="101"/>
        <v>1.022E-2</v>
      </c>
      <c r="N231" s="254" t="s">
        <v>232</v>
      </c>
      <c r="O231" s="433">
        <v>3.0000000000000001E-6</v>
      </c>
      <c r="P231" s="1651">
        <v>0.8</v>
      </c>
      <c r="Q231" s="433">
        <f t="shared" si="102"/>
        <v>2.4000000000000003E-6</v>
      </c>
      <c r="R231" s="1665">
        <v>1</v>
      </c>
      <c r="S231" s="433">
        <f t="shared" si="103"/>
        <v>3.0000000000000001E-6</v>
      </c>
      <c r="T231" s="433" t="s">
        <v>232</v>
      </c>
      <c r="U231" s="433" t="str">
        <f t="shared" si="104"/>
        <v>na</v>
      </c>
      <c r="V231" s="1274" t="s">
        <v>232</v>
      </c>
      <c r="W231" s="1274" t="str">
        <f>IF(V231="na","na",V231/P231)</f>
        <v>na</v>
      </c>
      <c r="X231" s="415" t="str">
        <f t="shared" si="105"/>
        <v>na</v>
      </c>
      <c r="Y231" s="415" t="s">
        <v>232</v>
      </c>
      <c r="Z231" s="415" t="str">
        <f t="shared" si="106"/>
        <v>na</v>
      </c>
      <c r="AA231" s="415" t="s">
        <v>221</v>
      </c>
      <c r="AB231" s="443">
        <v>2</v>
      </c>
      <c r="AC231" s="1248">
        <v>0.03</v>
      </c>
      <c r="AD231" s="1248">
        <v>1</v>
      </c>
      <c r="AE231" s="1248">
        <v>0.1</v>
      </c>
      <c r="AF231" s="1295" t="s">
        <v>221</v>
      </c>
      <c r="AG231" s="531" t="s">
        <v>221</v>
      </c>
      <c r="AH231" s="531" t="s">
        <v>221</v>
      </c>
      <c r="AI231" s="531" t="s">
        <v>221</v>
      </c>
      <c r="AJ231" s="531" t="s">
        <v>221</v>
      </c>
      <c r="AK231" s="452" t="str">
        <f t="shared" si="98"/>
        <v>no</v>
      </c>
      <c r="AL231" s="254" t="s">
        <v>232</v>
      </c>
      <c r="AM231" s="1611" t="s">
        <v>232</v>
      </c>
      <c r="AN231" s="544" t="str">
        <f t="shared" ref="AN231:AN239" si="107">AM231</f>
        <v>na</v>
      </c>
      <c r="AP231" s="1062"/>
    </row>
    <row r="232" spans="1:44" ht="13.9" customHeight="1" x14ac:dyDescent="0.25">
      <c r="A232" s="846">
        <f>Chem!A232</f>
        <v>230</v>
      </c>
      <c r="B232" s="905" t="str">
        <f>Chem!B232</f>
        <v>Perfluorobutanoic acid (PFBA)</v>
      </c>
      <c r="C232" s="531">
        <v>75.900000000000006</v>
      </c>
      <c r="D232" s="531" t="s">
        <v>232</v>
      </c>
      <c r="E232" s="531">
        <f t="shared" si="88"/>
        <v>7.5900000000000009E-2</v>
      </c>
      <c r="F232" s="531">
        <f t="shared" si="89"/>
        <v>7.5900000000000009E-2</v>
      </c>
      <c r="G232" s="531" t="s">
        <v>232</v>
      </c>
      <c r="H232" s="531" t="s">
        <v>232</v>
      </c>
      <c r="I232" s="531">
        <f t="shared" si="91"/>
        <v>1.4421000000000002</v>
      </c>
      <c r="J232" s="531">
        <f t="shared" si="90"/>
        <v>1.4421000000000002</v>
      </c>
      <c r="K232" s="1611" t="s">
        <v>232</v>
      </c>
      <c r="L232" s="1611">
        <v>2.0500000000000002E-3</v>
      </c>
      <c r="M232" s="1611">
        <f t="shared" si="101"/>
        <v>2.0500000000000002E-3</v>
      </c>
      <c r="N232" s="254" t="s">
        <v>232</v>
      </c>
      <c r="O232" s="433">
        <v>1E-3</v>
      </c>
      <c r="P232" s="1651">
        <v>0.8</v>
      </c>
      <c r="Q232" s="433">
        <f t="shared" si="102"/>
        <v>8.0000000000000004E-4</v>
      </c>
      <c r="R232" s="1665">
        <v>1</v>
      </c>
      <c r="S232" s="433">
        <f t="shared" si="103"/>
        <v>1E-3</v>
      </c>
      <c r="T232" s="433" t="s">
        <v>232</v>
      </c>
      <c r="U232" s="433" t="str">
        <f t="shared" si="104"/>
        <v>na</v>
      </c>
      <c r="V232" s="1274" t="s">
        <v>232</v>
      </c>
      <c r="W232" s="1274" t="s">
        <v>232</v>
      </c>
      <c r="X232" s="415" t="str">
        <f t="shared" si="105"/>
        <v>na</v>
      </c>
      <c r="Y232" s="415" t="s">
        <v>232</v>
      </c>
      <c r="Z232" s="415" t="str">
        <f t="shared" si="106"/>
        <v>na</v>
      </c>
      <c r="AA232" s="415" t="s">
        <v>221</v>
      </c>
      <c r="AB232" s="443">
        <v>2</v>
      </c>
      <c r="AC232" s="1248">
        <v>0.03</v>
      </c>
      <c r="AD232" s="1248">
        <v>1</v>
      </c>
      <c r="AE232" s="1248">
        <v>0.1</v>
      </c>
      <c r="AF232" s="1295" t="s">
        <v>221</v>
      </c>
      <c r="AG232" s="531" t="s">
        <v>221</v>
      </c>
      <c r="AH232" s="531" t="s">
        <v>221</v>
      </c>
      <c r="AI232" s="531" t="s">
        <v>221</v>
      </c>
      <c r="AJ232" s="531" t="s">
        <v>221</v>
      </c>
      <c r="AK232" s="452" t="str">
        <f t="shared" si="98"/>
        <v>no</v>
      </c>
      <c r="AL232" s="254" t="s">
        <v>232</v>
      </c>
      <c r="AM232" s="406" t="s">
        <v>232</v>
      </c>
      <c r="AN232" s="1330" t="str">
        <f t="shared" si="107"/>
        <v>na</v>
      </c>
      <c r="AP232" s="1062"/>
    </row>
    <row r="233" spans="1:44" ht="13.9" customHeight="1" x14ac:dyDescent="0.25">
      <c r="A233" s="846">
        <f>Chem!A233</f>
        <v>231</v>
      </c>
      <c r="B233" s="855" t="str">
        <f>Chem!B233</f>
        <v>Perfluorobutanesulfonic acid (PFBS)</v>
      </c>
      <c r="C233" s="343">
        <v>61.7</v>
      </c>
      <c r="D233" s="343" t="s">
        <v>232</v>
      </c>
      <c r="E233" s="343">
        <f t="shared" si="88"/>
        <v>6.1700000000000005E-2</v>
      </c>
      <c r="F233" s="343">
        <f t="shared" si="89"/>
        <v>6.1700000000000005E-2</v>
      </c>
      <c r="G233" s="343" t="s">
        <v>232</v>
      </c>
      <c r="H233" s="343" t="s">
        <v>232</v>
      </c>
      <c r="I233" s="343">
        <f t="shared" si="91"/>
        <v>1.1723000000000001</v>
      </c>
      <c r="J233" s="343">
        <f t="shared" si="90"/>
        <v>1.1723000000000001</v>
      </c>
      <c r="K233" s="406" t="s">
        <v>232</v>
      </c>
      <c r="L233" s="406">
        <v>1.2100000000000001E-8</v>
      </c>
      <c r="M233" s="406">
        <f t="shared" si="101"/>
        <v>1.2100000000000001E-8</v>
      </c>
      <c r="N233" s="221" t="s">
        <v>232</v>
      </c>
      <c r="O233" s="426">
        <v>2.9999999999999997E-4</v>
      </c>
      <c r="P233" s="1650">
        <v>0.5</v>
      </c>
      <c r="Q233" s="426">
        <f t="shared" si="102"/>
        <v>1.4999999999999999E-4</v>
      </c>
      <c r="R233" s="1666">
        <v>1</v>
      </c>
      <c r="S233" s="426">
        <f t="shared" si="103"/>
        <v>2.9999999999999997E-4</v>
      </c>
      <c r="T233" s="426" t="s">
        <v>232</v>
      </c>
      <c r="U233" s="426" t="str">
        <f t="shared" si="104"/>
        <v>na</v>
      </c>
      <c r="V233" s="1272" t="s">
        <v>232</v>
      </c>
      <c r="W233" s="1272" t="s">
        <v>232</v>
      </c>
      <c r="X233" s="412" t="str">
        <f t="shared" si="105"/>
        <v>na</v>
      </c>
      <c r="Y233" s="412" t="s">
        <v>232</v>
      </c>
      <c r="Z233" s="412" t="str">
        <f t="shared" si="106"/>
        <v>na</v>
      </c>
      <c r="AA233" s="412" t="s">
        <v>221</v>
      </c>
      <c r="AB233" s="439">
        <v>1</v>
      </c>
      <c r="AC233" s="1242">
        <v>0.1</v>
      </c>
      <c r="AD233" s="1242">
        <v>1</v>
      </c>
      <c r="AE233" s="1242">
        <v>0.1</v>
      </c>
      <c r="AF233" s="1292" t="s">
        <v>221</v>
      </c>
      <c r="AG233" s="343" t="s">
        <v>221</v>
      </c>
      <c r="AH233" s="343" t="s">
        <v>221</v>
      </c>
      <c r="AI233" s="343" t="s">
        <v>221</v>
      </c>
      <c r="AJ233" s="343" t="s">
        <v>221</v>
      </c>
      <c r="AK233" s="449" t="str">
        <f t="shared" si="98"/>
        <v>no</v>
      </c>
      <c r="AL233" s="221" t="s">
        <v>232</v>
      </c>
      <c r="AM233" s="406" t="s">
        <v>232</v>
      </c>
      <c r="AN233" s="1330" t="str">
        <f t="shared" si="107"/>
        <v>na</v>
      </c>
      <c r="AP233" s="1062"/>
    </row>
    <row r="234" spans="1:44" ht="13.9" customHeight="1" x14ac:dyDescent="0.25">
      <c r="A234" s="846">
        <f>Chem!A234</f>
        <v>232</v>
      </c>
      <c r="B234" s="855" t="str">
        <f>Chem!B234</f>
        <v>Perfluorodecanoic acid (PFDA)</v>
      </c>
      <c r="C234" s="343">
        <v>398</v>
      </c>
      <c r="D234" s="343" t="s">
        <v>232</v>
      </c>
      <c r="E234" s="343">
        <f t="shared" si="88"/>
        <v>0.39800000000000002</v>
      </c>
      <c r="F234" s="343">
        <f t="shared" si="89"/>
        <v>0.39800000000000002</v>
      </c>
      <c r="G234" s="343" t="s">
        <v>232</v>
      </c>
      <c r="H234" s="343" t="s">
        <v>232</v>
      </c>
      <c r="I234" s="343">
        <f t="shared" si="91"/>
        <v>7.5619999999999994</v>
      </c>
      <c r="J234" s="343">
        <f t="shared" si="90"/>
        <v>7.5619999999999994</v>
      </c>
      <c r="K234" s="406">
        <v>2.16E-9</v>
      </c>
      <c r="L234" s="406">
        <v>6.17E-9</v>
      </c>
      <c r="M234" s="406">
        <f t="shared" si="101"/>
        <v>2.16E-9</v>
      </c>
      <c r="N234" s="221" t="s">
        <v>232</v>
      </c>
      <c r="O234" s="426">
        <v>2.0000000000000001E-9</v>
      </c>
      <c r="P234" s="1650">
        <v>0.5</v>
      </c>
      <c r="Q234" s="426">
        <f t="shared" si="102"/>
        <v>1.0000000000000001E-9</v>
      </c>
      <c r="R234" s="1666">
        <v>2</v>
      </c>
      <c r="S234" s="426">
        <f t="shared" si="103"/>
        <v>4.0000000000000002E-9</v>
      </c>
      <c r="T234" s="426" t="s">
        <v>232</v>
      </c>
      <c r="U234" s="426" t="str">
        <f t="shared" si="104"/>
        <v>na</v>
      </c>
      <c r="V234" s="1272" t="s">
        <v>232</v>
      </c>
      <c r="W234" s="1272" t="s">
        <v>232</v>
      </c>
      <c r="X234" s="412" t="str">
        <f t="shared" si="105"/>
        <v>na</v>
      </c>
      <c r="Y234" s="412" t="s">
        <v>232</v>
      </c>
      <c r="Z234" s="412" t="str">
        <f t="shared" si="106"/>
        <v>na</v>
      </c>
      <c r="AA234" s="412" t="s">
        <v>221</v>
      </c>
      <c r="AB234" s="439">
        <v>1</v>
      </c>
      <c r="AC234" s="1242">
        <v>0.1</v>
      </c>
      <c r="AD234" s="1242">
        <v>1</v>
      </c>
      <c r="AE234" s="1242">
        <v>0.1</v>
      </c>
      <c r="AF234" s="1292" t="s">
        <v>221</v>
      </c>
      <c r="AG234" s="343" t="s">
        <v>221</v>
      </c>
      <c r="AH234" s="343" t="s">
        <v>221</v>
      </c>
      <c r="AI234" s="343" t="s">
        <v>221</v>
      </c>
      <c r="AJ234" s="343" t="s">
        <v>221</v>
      </c>
      <c r="AK234" s="449" t="str">
        <f t="shared" si="98"/>
        <v>no</v>
      </c>
      <c r="AL234" s="221" t="s">
        <v>232</v>
      </c>
      <c r="AM234" s="406" t="s">
        <v>232</v>
      </c>
      <c r="AN234" s="1330" t="str">
        <f t="shared" si="107"/>
        <v>na</v>
      </c>
      <c r="AP234" s="1062"/>
    </row>
    <row r="235" spans="1:44" ht="13.9" customHeight="1" x14ac:dyDescent="0.25">
      <c r="A235" s="846">
        <f>Chem!A235</f>
        <v>233</v>
      </c>
      <c r="B235" s="855" t="str">
        <f>Chem!B235</f>
        <v>Perfluorohexanoic acid (PFHxA)</v>
      </c>
      <c r="C235" s="343">
        <v>20.420000000000002</v>
      </c>
      <c r="D235" s="343" t="s">
        <v>232</v>
      </c>
      <c r="E235" s="343">
        <f t="shared" si="88"/>
        <v>2.0420000000000001E-2</v>
      </c>
      <c r="F235" s="343">
        <f t="shared" si="89"/>
        <v>2.0420000000000001E-2</v>
      </c>
      <c r="G235" s="343" t="s">
        <v>232</v>
      </c>
      <c r="H235" s="343" t="s">
        <v>232</v>
      </c>
      <c r="I235" s="343">
        <f t="shared" si="91"/>
        <v>0.38798000000000005</v>
      </c>
      <c r="J235" s="343">
        <f t="shared" si="90"/>
        <v>0.38798000000000005</v>
      </c>
      <c r="K235" s="406" t="s">
        <v>232</v>
      </c>
      <c r="L235" s="406">
        <v>9.6099999999999997E-9</v>
      </c>
      <c r="M235" s="406">
        <f t="shared" si="101"/>
        <v>9.6099999999999997E-9</v>
      </c>
      <c r="N235" s="221" t="s">
        <v>232</v>
      </c>
      <c r="O235" s="426">
        <v>5.0000000000000001E-4</v>
      </c>
      <c r="P235" s="1650">
        <v>0.5</v>
      </c>
      <c r="Q235" s="426">
        <f t="shared" si="102"/>
        <v>2.5000000000000001E-4</v>
      </c>
      <c r="R235" s="1666">
        <v>1</v>
      </c>
      <c r="S235" s="426">
        <f t="shared" si="103"/>
        <v>5.0000000000000001E-4</v>
      </c>
      <c r="T235" s="426" t="s">
        <v>232</v>
      </c>
      <c r="U235" s="426" t="str">
        <f t="shared" si="104"/>
        <v>na</v>
      </c>
      <c r="V235" s="1272" t="s">
        <v>232</v>
      </c>
      <c r="W235" s="1272" t="s">
        <v>232</v>
      </c>
      <c r="X235" s="412" t="str">
        <f t="shared" si="105"/>
        <v>na</v>
      </c>
      <c r="Y235" s="412" t="s">
        <v>232</v>
      </c>
      <c r="Z235" s="412" t="str">
        <f t="shared" si="106"/>
        <v>na</v>
      </c>
      <c r="AA235" s="412" t="s">
        <v>221</v>
      </c>
      <c r="AB235" s="439">
        <v>1</v>
      </c>
      <c r="AC235" s="1242">
        <v>0.1</v>
      </c>
      <c r="AD235" s="1242">
        <v>1</v>
      </c>
      <c r="AE235" s="1242">
        <v>0.1</v>
      </c>
      <c r="AF235" s="1292" t="s">
        <v>221</v>
      </c>
      <c r="AG235" s="343" t="s">
        <v>221</v>
      </c>
      <c r="AH235" s="343" t="s">
        <v>221</v>
      </c>
      <c r="AI235" s="343" t="s">
        <v>221</v>
      </c>
      <c r="AJ235" s="343" t="s">
        <v>221</v>
      </c>
      <c r="AK235" s="449" t="str">
        <f t="shared" si="98"/>
        <v>no</v>
      </c>
      <c r="AL235" s="221" t="s">
        <v>232</v>
      </c>
      <c r="AM235" s="406" t="s">
        <v>232</v>
      </c>
      <c r="AN235" s="1330" t="str">
        <f t="shared" si="107"/>
        <v>na</v>
      </c>
      <c r="AP235" s="1062"/>
    </row>
    <row r="236" spans="1:44" ht="13.9" customHeight="1" x14ac:dyDescent="0.25">
      <c r="A236" s="846">
        <f>Chem!A236</f>
        <v>234</v>
      </c>
      <c r="B236" s="855" t="str">
        <f>Chem!B236</f>
        <v>Perfluorohexanesulfonic acid (PFHxS)</v>
      </c>
      <c r="C236" s="343">
        <v>112</v>
      </c>
      <c r="D236" s="343" t="s">
        <v>232</v>
      </c>
      <c r="E236" s="343">
        <f t="shared" si="88"/>
        <v>0.112</v>
      </c>
      <c r="F236" s="343">
        <f t="shared" si="89"/>
        <v>0.112</v>
      </c>
      <c r="G236" s="343" t="s">
        <v>232</v>
      </c>
      <c r="H236" s="343" t="s">
        <v>232</v>
      </c>
      <c r="I236" s="343">
        <f t="shared" si="91"/>
        <v>2.1280000000000001</v>
      </c>
      <c r="J236" s="343">
        <f t="shared" si="90"/>
        <v>2.1280000000000001</v>
      </c>
      <c r="K236" s="406" t="s">
        <v>232</v>
      </c>
      <c r="L236" s="406" t="s">
        <v>232</v>
      </c>
      <c r="M236" s="406">
        <f t="shared" si="101"/>
        <v>0</v>
      </c>
      <c r="N236" s="221" t="s">
        <v>232</v>
      </c>
      <c r="O236" s="426">
        <v>4.0000000000000001E-10</v>
      </c>
      <c r="P236" s="1650">
        <v>0.5</v>
      </c>
      <c r="Q236" s="426">
        <f t="shared" si="102"/>
        <v>2.0000000000000001E-10</v>
      </c>
      <c r="R236" s="1666">
        <v>1</v>
      </c>
      <c r="S236" s="426">
        <f t="shared" si="103"/>
        <v>4.0000000000000001E-10</v>
      </c>
      <c r="T236" s="426" t="s">
        <v>232</v>
      </c>
      <c r="U236" s="426" t="str">
        <f t="shared" si="104"/>
        <v>na</v>
      </c>
      <c r="V236" s="1272" t="s">
        <v>232</v>
      </c>
      <c r="W236" s="1272" t="s">
        <v>232</v>
      </c>
      <c r="X236" s="412" t="str">
        <f t="shared" si="105"/>
        <v>na</v>
      </c>
      <c r="Y236" s="412" t="s">
        <v>232</v>
      </c>
      <c r="Z236" s="412" t="str">
        <f t="shared" si="106"/>
        <v>na</v>
      </c>
      <c r="AA236" s="412" t="s">
        <v>221</v>
      </c>
      <c r="AB236" s="439">
        <v>1</v>
      </c>
      <c r="AC236" s="1242">
        <v>0.1</v>
      </c>
      <c r="AD236" s="1242">
        <v>1</v>
      </c>
      <c r="AE236" s="1242">
        <v>0.1</v>
      </c>
      <c r="AF236" s="1292" t="s">
        <v>221</v>
      </c>
      <c r="AG236" s="343" t="s">
        <v>221</v>
      </c>
      <c r="AH236" s="343" t="s">
        <v>221</v>
      </c>
      <c r="AI236" s="343" t="s">
        <v>221</v>
      </c>
      <c r="AJ236" s="343" t="s">
        <v>221</v>
      </c>
      <c r="AK236" s="449" t="str">
        <f t="shared" si="98"/>
        <v>no</v>
      </c>
      <c r="AL236" s="221" t="s">
        <v>232</v>
      </c>
      <c r="AM236" s="406" t="s">
        <v>232</v>
      </c>
      <c r="AN236" s="1330" t="str">
        <f t="shared" si="107"/>
        <v>na</v>
      </c>
      <c r="AP236" s="1062"/>
    </row>
    <row r="237" spans="1:44" ht="13.9" customHeight="1" x14ac:dyDescent="0.25">
      <c r="A237" s="846">
        <f>Chem!A237</f>
        <v>235</v>
      </c>
      <c r="B237" s="855" t="str">
        <f>Chem!B237</f>
        <v>Perfluorononanoic acid (PFNA)</v>
      </c>
      <c r="C237" s="343">
        <v>246</v>
      </c>
      <c r="D237" s="343" t="s">
        <v>232</v>
      </c>
      <c r="E237" s="343">
        <f t="shared" si="88"/>
        <v>0.246</v>
      </c>
      <c r="F237" s="343">
        <f t="shared" si="89"/>
        <v>0.246</v>
      </c>
      <c r="G237" s="343" t="s">
        <v>232</v>
      </c>
      <c r="H237" s="343" t="s">
        <v>232</v>
      </c>
      <c r="I237" s="343">
        <f t="shared" si="91"/>
        <v>4.6739999999999995</v>
      </c>
      <c r="J237" s="343">
        <f t="shared" si="90"/>
        <v>4.6739999999999995</v>
      </c>
      <c r="K237" s="406" t="s">
        <v>232</v>
      </c>
      <c r="L237" s="406" t="s">
        <v>232</v>
      </c>
      <c r="M237" s="406">
        <f t="shared" si="101"/>
        <v>0</v>
      </c>
      <c r="N237" s="221" t="s">
        <v>232</v>
      </c>
      <c r="O237" s="426">
        <v>2.5000000000000002E-6</v>
      </c>
      <c r="P237" s="1650">
        <v>0.5</v>
      </c>
      <c r="Q237" s="426">
        <f t="shared" si="102"/>
        <v>1.2500000000000001E-6</v>
      </c>
      <c r="R237" s="1666">
        <v>1</v>
      </c>
      <c r="S237" s="426">
        <f t="shared" si="103"/>
        <v>2.5000000000000002E-6</v>
      </c>
      <c r="T237" s="426" t="s">
        <v>232</v>
      </c>
      <c r="U237" s="426" t="str">
        <f t="shared" si="104"/>
        <v>na</v>
      </c>
      <c r="V237" s="1272" t="s">
        <v>232</v>
      </c>
      <c r="W237" s="1272" t="s">
        <v>232</v>
      </c>
      <c r="X237" s="412" t="str">
        <f t="shared" si="105"/>
        <v>na</v>
      </c>
      <c r="Y237" s="412" t="s">
        <v>232</v>
      </c>
      <c r="Z237" s="412" t="str">
        <f t="shared" si="106"/>
        <v>na</v>
      </c>
      <c r="AA237" s="412" t="s">
        <v>221</v>
      </c>
      <c r="AB237" s="439">
        <v>1</v>
      </c>
      <c r="AC237" s="1242">
        <v>0.1</v>
      </c>
      <c r="AD237" s="1242">
        <v>1</v>
      </c>
      <c r="AE237" s="1242">
        <v>0.1</v>
      </c>
      <c r="AF237" s="1292" t="s">
        <v>221</v>
      </c>
      <c r="AG237" s="343" t="s">
        <v>221</v>
      </c>
      <c r="AH237" s="343" t="s">
        <v>221</v>
      </c>
      <c r="AI237" s="343" t="s">
        <v>221</v>
      </c>
      <c r="AJ237" s="343" t="s">
        <v>221</v>
      </c>
      <c r="AK237" s="449" t="str">
        <f t="shared" si="98"/>
        <v>no</v>
      </c>
      <c r="AL237" s="221" t="s">
        <v>232</v>
      </c>
      <c r="AM237" s="406" t="s">
        <v>232</v>
      </c>
      <c r="AN237" s="1330" t="str">
        <f t="shared" si="107"/>
        <v>na</v>
      </c>
      <c r="AP237" s="1062"/>
    </row>
    <row r="238" spans="1:44" ht="13.9" customHeight="1" x14ac:dyDescent="0.25">
      <c r="A238" s="846">
        <f>Chem!A238</f>
        <v>236</v>
      </c>
      <c r="B238" s="855" t="str">
        <f>Chem!B238</f>
        <v>Perfluorooctanesulfonic acid (PFOS)</v>
      </c>
      <c r="C238" s="343">
        <v>372</v>
      </c>
      <c r="D238" s="343" t="s">
        <v>232</v>
      </c>
      <c r="E238" s="343">
        <f t="shared" si="88"/>
        <v>0.372</v>
      </c>
      <c r="F238" s="343">
        <f t="shared" si="89"/>
        <v>0.372</v>
      </c>
      <c r="G238" s="343" t="s">
        <v>232</v>
      </c>
      <c r="H238" s="343" t="s">
        <v>232</v>
      </c>
      <c r="I238" s="343">
        <f t="shared" si="91"/>
        <v>7.0679999999999996</v>
      </c>
      <c r="J238" s="343">
        <f t="shared" si="90"/>
        <v>7.0679999999999996</v>
      </c>
      <c r="K238" s="406" t="s">
        <v>232</v>
      </c>
      <c r="L238" s="406">
        <v>1.77432542927228E-5</v>
      </c>
      <c r="M238" s="406">
        <f t="shared" si="101"/>
        <v>1.77432542927228E-5</v>
      </c>
      <c r="N238" s="221" t="s">
        <v>232</v>
      </c>
      <c r="O238" s="426">
        <v>9.9999999999999995E-8</v>
      </c>
      <c r="P238" s="1650">
        <v>0.5</v>
      </c>
      <c r="Q238" s="426">
        <f t="shared" si="102"/>
        <v>4.9999999999999998E-8</v>
      </c>
      <c r="R238" s="1666">
        <v>1</v>
      </c>
      <c r="S238" s="426">
        <f t="shared" si="103"/>
        <v>9.9999999999999995E-8</v>
      </c>
      <c r="T238" s="426" t="s">
        <v>232</v>
      </c>
      <c r="U238" s="426" t="str">
        <f t="shared" si="104"/>
        <v>na</v>
      </c>
      <c r="V238" s="1272">
        <v>39.5</v>
      </c>
      <c r="W238" s="1272" t="s">
        <v>232</v>
      </c>
      <c r="X238" s="412">
        <f t="shared" si="105"/>
        <v>39.5</v>
      </c>
      <c r="Y238" s="412" t="s">
        <v>232</v>
      </c>
      <c r="Z238" s="412" t="str">
        <f t="shared" si="106"/>
        <v>na</v>
      </c>
      <c r="AA238" s="412" t="s">
        <v>221</v>
      </c>
      <c r="AB238" s="439">
        <v>1</v>
      </c>
      <c r="AC238" s="1242">
        <v>0.1</v>
      </c>
      <c r="AD238" s="1242">
        <v>1</v>
      </c>
      <c r="AE238" s="1242">
        <v>0.1</v>
      </c>
      <c r="AF238" s="1292" t="s">
        <v>221</v>
      </c>
      <c r="AG238" s="343" t="s">
        <v>144</v>
      </c>
      <c r="AH238" s="343" t="s">
        <v>221</v>
      </c>
      <c r="AI238" s="343" t="s">
        <v>221</v>
      </c>
      <c r="AJ238" s="343" t="s">
        <v>221</v>
      </c>
      <c r="AK238" s="449" t="str">
        <f t="shared" si="98"/>
        <v>no</v>
      </c>
      <c r="AL238" s="221" t="s">
        <v>232</v>
      </c>
      <c r="AM238" s="406" t="s">
        <v>232</v>
      </c>
      <c r="AN238" s="1330" t="str">
        <f t="shared" si="107"/>
        <v>na</v>
      </c>
      <c r="AP238" s="1062"/>
    </row>
    <row r="239" spans="1:44" ht="13.9" customHeight="1" x14ac:dyDescent="0.25">
      <c r="A239" s="1661">
        <f>Chem!A239</f>
        <v>237</v>
      </c>
      <c r="B239" s="885" t="str">
        <f>Chem!B239</f>
        <v>Perfluorooctanoic acid (PFOA)</v>
      </c>
      <c r="C239" s="533">
        <v>115</v>
      </c>
      <c r="D239" s="533" t="s">
        <v>232</v>
      </c>
      <c r="E239" s="533">
        <f t="shared" si="88"/>
        <v>0.115</v>
      </c>
      <c r="F239" s="533">
        <f t="shared" si="89"/>
        <v>0.115</v>
      </c>
      <c r="G239" s="533" t="s">
        <v>232</v>
      </c>
      <c r="H239" s="533" t="s">
        <v>232</v>
      </c>
      <c r="I239" s="533">
        <f t="shared" si="91"/>
        <v>2.1850000000000001</v>
      </c>
      <c r="J239" s="533">
        <f t="shared" si="90"/>
        <v>2.1850000000000001</v>
      </c>
      <c r="K239" s="543" t="s">
        <v>232</v>
      </c>
      <c r="L239" s="543">
        <v>1.4603399999999999E-4</v>
      </c>
      <c r="M239" s="543">
        <f t="shared" si="101"/>
        <v>1.4603399999999999E-4</v>
      </c>
      <c r="N239" s="257" t="s">
        <v>232</v>
      </c>
      <c r="O239" s="551">
        <v>2.9999999999999997E-8</v>
      </c>
      <c r="P239" s="1654">
        <v>0.5</v>
      </c>
      <c r="Q239" s="551">
        <f t="shared" si="102"/>
        <v>1.4999999999999999E-8</v>
      </c>
      <c r="R239" s="1680">
        <v>1</v>
      </c>
      <c r="S239" s="551">
        <f t="shared" si="103"/>
        <v>2.9999999999999997E-8</v>
      </c>
      <c r="T239" s="551" t="s">
        <v>232</v>
      </c>
      <c r="U239" s="551" t="str">
        <f t="shared" si="104"/>
        <v>na</v>
      </c>
      <c r="V239" s="1273">
        <v>29300</v>
      </c>
      <c r="W239" s="1273" t="s">
        <v>232</v>
      </c>
      <c r="X239" s="413">
        <f t="shared" si="105"/>
        <v>29300</v>
      </c>
      <c r="Y239" s="413" t="s">
        <v>232</v>
      </c>
      <c r="Z239" s="413" t="str">
        <f t="shared" si="106"/>
        <v>na</v>
      </c>
      <c r="AA239" s="413" t="s">
        <v>221</v>
      </c>
      <c r="AB239" s="440">
        <v>1</v>
      </c>
      <c r="AC239" s="1243">
        <v>0.1</v>
      </c>
      <c r="AD239" s="1243">
        <v>1</v>
      </c>
      <c r="AE239" s="1243">
        <v>0.1</v>
      </c>
      <c r="AF239" s="1296" t="s">
        <v>221</v>
      </c>
      <c r="AG239" s="533" t="s">
        <v>221</v>
      </c>
      <c r="AH239" s="533" t="s">
        <v>221</v>
      </c>
      <c r="AI239" s="533" t="s">
        <v>221</v>
      </c>
      <c r="AJ239" s="533" t="s">
        <v>221</v>
      </c>
      <c r="AK239" s="450" t="str">
        <f t="shared" si="98"/>
        <v>no</v>
      </c>
      <c r="AL239" s="257" t="s">
        <v>232</v>
      </c>
      <c r="AM239" s="543" t="s">
        <v>232</v>
      </c>
      <c r="AN239" s="545" t="str">
        <f t="shared" si="107"/>
        <v>na</v>
      </c>
      <c r="AP239" s="1062"/>
    </row>
    <row r="240" spans="1:44" s="373" customFormat="1" ht="13.9" customHeight="1" x14ac:dyDescent="0.25">
      <c r="A240" s="1197">
        <f>Chem!A240</f>
        <v>238</v>
      </c>
      <c r="B240" s="850" t="str">
        <f>Chem!B240</f>
        <v>Petroleum Hydrocarbons</v>
      </c>
      <c r="C240" s="259"/>
      <c r="D240" s="259"/>
      <c r="E240" s="259">
        <f t="shared" si="88"/>
        <v>0</v>
      </c>
      <c r="F240" s="259">
        <f t="shared" si="89"/>
        <v>0</v>
      </c>
      <c r="G240" s="259" t="s">
        <v>232</v>
      </c>
      <c r="H240" s="259"/>
      <c r="I240" s="259">
        <f t="shared" si="91"/>
        <v>0</v>
      </c>
      <c r="J240" s="259">
        <f t="shared" si="90"/>
        <v>0</v>
      </c>
      <c r="K240" s="259"/>
      <c r="L240" s="259"/>
      <c r="M240" s="259"/>
      <c r="N240" s="259"/>
      <c r="O240" s="259"/>
      <c r="P240" s="2342"/>
      <c r="Q240" s="259"/>
      <c r="R240" s="2343"/>
      <c r="S240" s="259"/>
      <c r="T240" s="259"/>
      <c r="U240" s="259"/>
      <c r="V240" s="259"/>
      <c r="W240" s="2518"/>
      <c r="X240" s="259"/>
      <c r="Y240" s="259"/>
      <c r="Z240" s="259"/>
      <c r="AA240" s="259"/>
      <c r="AB240" s="2343"/>
      <c r="AC240" s="2344"/>
      <c r="AD240" s="2344"/>
      <c r="AE240" s="2344"/>
      <c r="AF240" s="2345"/>
      <c r="AG240" s="259"/>
      <c r="AH240" s="259"/>
      <c r="AI240" s="259"/>
      <c r="AJ240" s="259"/>
      <c r="AK240" s="259"/>
      <c r="AL240" s="1495"/>
      <c r="AM240" s="1495"/>
      <c r="AN240" s="2346"/>
      <c r="AP240" s="1063"/>
      <c r="AR240" s="839"/>
    </row>
    <row r="241" spans="1:44" s="373" customFormat="1" ht="13.9" customHeight="1" x14ac:dyDescent="0.25">
      <c r="A241" s="846">
        <f>Chem!A241</f>
        <v>239</v>
      </c>
      <c r="B241" s="873" t="str">
        <f>Chem!B241</f>
        <v>Gasoline range hydrocarbons, fresh</v>
      </c>
      <c r="C241" s="396" t="s">
        <v>232</v>
      </c>
      <c r="D241" s="396" t="s">
        <v>232</v>
      </c>
      <c r="E241" s="590" t="str">
        <f t="shared" si="88"/>
        <v>na</v>
      </c>
      <c r="F241" s="590" t="str">
        <f t="shared" si="89"/>
        <v>na</v>
      </c>
      <c r="G241" s="590" t="s">
        <v>232</v>
      </c>
      <c r="H241" s="590" t="s">
        <v>232</v>
      </c>
      <c r="I241" s="590" t="str">
        <f t="shared" si="91"/>
        <v>na</v>
      </c>
      <c r="J241" s="590" t="str">
        <f t="shared" si="90"/>
        <v>na</v>
      </c>
      <c r="K241" s="409" t="s">
        <v>232</v>
      </c>
      <c r="L241" s="409" t="s">
        <v>232</v>
      </c>
      <c r="M241" s="409">
        <f t="shared" ref="M241:M246" si="108">IF(ISNUMBER(K241),K241,IF(ISNUMBER(L241),L241,0))</f>
        <v>0</v>
      </c>
      <c r="N241" s="261" t="s">
        <v>232</v>
      </c>
      <c r="O241" s="437" t="s">
        <v>232</v>
      </c>
      <c r="P241" s="1655">
        <v>0.8</v>
      </c>
      <c r="Q241" s="437" t="str">
        <f t="shared" ref="Q241:Q246" si="109">IF(O241="na","na",O241*P241)</f>
        <v>na</v>
      </c>
      <c r="R241" s="1681">
        <v>1</v>
      </c>
      <c r="S241" s="437" t="str">
        <f t="shared" ref="S241:S246" si="110">IF(O241="na","na",O241*R241)</f>
        <v>na</v>
      </c>
      <c r="T241" s="437" t="s">
        <v>232</v>
      </c>
      <c r="U241" s="437" t="str">
        <f t="shared" ref="U241:U246" si="111">IF(ISNUMBER(T241),T241*20/70,"na")</f>
        <v>na</v>
      </c>
      <c r="V241" s="1279" t="s">
        <v>232</v>
      </c>
      <c r="W241" s="1279" t="str">
        <f t="shared" ref="W241:W246" si="112">IF(V241="na","na",V241/P241)</f>
        <v>na</v>
      </c>
      <c r="X241" s="420" t="str">
        <f t="shared" ref="X241:X246" si="113">IF(V241="na","na",V241/R241)</f>
        <v>na</v>
      </c>
      <c r="Y241" s="1279" t="s">
        <v>232</v>
      </c>
      <c r="Z241" s="420" t="str">
        <f t="shared" ref="Z241:Z246" si="114">IF(ISNUMBER(Y241),Y241*70*1000/20,"na")</f>
        <v>na</v>
      </c>
      <c r="AA241" s="420" t="s">
        <v>221</v>
      </c>
      <c r="AB241" s="447">
        <v>1</v>
      </c>
      <c r="AC241" s="1251" t="s">
        <v>232</v>
      </c>
      <c r="AD241" s="1263">
        <v>1</v>
      </c>
      <c r="AE241" s="1263">
        <v>0</v>
      </c>
      <c r="AF241" s="1291" t="s">
        <v>144</v>
      </c>
      <c r="AG241" s="1289" t="s">
        <v>221</v>
      </c>
      <c r="AH241" s="455" t="s">
        <v>221</v>
      </c>
      <c r="AI241" s="455" t="s">
        <v>221</v>
      </c>
      <c r="AJ241" s="455" t="s">
        <v>221</v>
      </c>
      <c r="AK241" s="454" t="str">
        <f t="shared" ref="AK241:AK246" si="115">IF(AND(OR(AG241="YES",AH241="YES"),OR(AI241="YES",AJ241="YES")),"YES","no")</f>
        <v>no</v>
      </c>
      <c r="AL241" s="253" t="s">
        <v>232</v>
      </c>
      <c r="AM241" s="405" t="s">
        <v>232</v>
      </c>
      <c r="AN241" s="1152" t="str">
        <f t="shared" ref="AN241:AN246" si="116">AM241</f>
        <v>na</v>
      </c>
      <c r="AP241" s="1062"/>
      <c r="AR241" s="839"/>
    </row>
    <row r="242" spans="1:44" s="373" customFormat="1" ht="13.9" customHeight="1" x14ac:dyDescent="0.25">
      <c r="A242" s="846">
        <f>Chem!A242</f>
        <v>240</v>
      </c>
      <c r="B242" s="874" t="str">
        <f>Chem!B242</f>
        <v>Gasoline range hydrocarbons, weathered</v>
      </c>
      <c r="C242" s="397" t="s">
        <v>232</v>
      </c>
      <c r="D242" s="397" t="s">
        <v>232</v>
      </c>
      <c r="E242" s="384" t="str">
        <f t="shared" si="88"/>
        <v>na</v>
      </c>
      <c r="F242" s="384" t="str">
        <f t="shared" si="89"/>
        <v>na</v>
      </c>
      <c r="G242" s="384" t="s">
        <v>232</v>
      </c>
      <c r="H242" s="384" t="s">
        <v>232</v>
      </c>
      <c r="I242" s="384" t="str">
        <f t="shared" ref="I242:I276" si="117">IF(C242="na","na",C242*J$1)</f>
        <v>na</v>
      </c>
      <c r="J242" s="384" t="str">
        <f t="shared" si="90"/>
        <v>na</v>
      </c>
      <c r="K242" s="410" t="s">
        <v>232</v>
      </c>
      <c r="L242" s="410" t="s">
        <v>232</v>
      </c>
      <c r="M242" s="410">
        <f t="shared" si="108"/>
        <v>0</v>
      </c>
      <c r="N242" s="263" t="s">
        <v>232</v>
      </c>
      <c r="O242" s="438" t="s">
        <v>232</v>
      </c>
      <c r="P242" s="1640">
        <v>0.8</v>
      </c>
      <c r="Q242" s="438" t="str">
        <f t="shared" si="109"/>
        <v>na</v>
      </c>
      <c r="R242" s="1682">
        <v>1</v>
      </c>
      <c r="S242" s="438" t="str">
        <f t="shared" si="110"/>
        <v>na</v>
      </c>
      <c r="T242" s="438" t="s">
        <v>232</v>
      </c>
      <c r="U242" s="438" t="str">
        <f t="shared" si="111"/>
        <v>na</v>
      </c>
      <c r="V242" s="1280" t="s">
        <v>232</v>
      </c>
      <c r="W242" s="1280" t="str">
        <f t="shared" si="112"/>
        <v>na</v>
      </c>
      <c r="X242" s="421" t="str">
        <f t="shared" si="113"/>
        <v>na</v>
      </c>
      <c r="Y242" s="1280" t="s">
        <v>232</v>
      </c>
      <c r="Z242" s="421" t="str">
        <f t="shared" si="114"/>
        <v>na</v>
      </c>
      <c r="AA242" s="421" t="s">
        <v>221</v>
      </c>
      <c r="AB242" s="448">
        <v>1</v>
      </c>
      <c r="AC242" s="1252" t="s">
        <v>232</v>
      </c>
      <c r="AD242" s="1264">
        <v>1</v>
      </c>
      <c r="AE242" s="1264">
        <v>0.1</v>
      </c>
      <c r="AF242" s="1292" t="s">
        <v>144</v>
      </c>
      <c r="AG242" s="537" t="s">
        <v>221</v>
      </c>
      <c r="AH242" s="457" t="s">
        <v>221</v>
      </c>
      <c r="AI242" s="457" t="s">
        <v>221</v>
      </c>
      <c r="AJ242" s="457" t="s">
        <v>221</v>
      </c>
      <c r="AK242" s="449" t="str">
        <f t="shared" si="115"/>
        <v>no</v>
      </c>
      <c r="AL242" s="221" t="s">
        <v>232</v>
      </c>
      <c r="AM242" s="406" t="s">
        <v>232</v>
      </c>
      <c r="AN242" s="1330" t="str">
        <f t="shared" si="116"/>
        <v>na</v>
      </c>
      <c r="AP242" s="1062"/>
      <c r="AR242" s="839"/>
    </row>
    <row r="243" spans="1:44" ht="13.9" customHeight="1" x14ac:dyDescent="0.25">
      <c r="A243" s="846">
        <f>Chem!A243</f>
        <v>241</v>
      </c>
      <c r="B243" s="874" t="str">
        <f>Chem!B243</f>
        <v>Diesel range hydrocarbons, fresh</v>
      </c>
      <c r="C243" s="397" t="s">
        <v>232</v>
      </c>
      <c r="D243" s="397" t="s">
        <v>232</v>
      </c>
      <c r="E243" s="387" t="str">
        <f t="shared" si="88"/>
        <v>na</v>
      </c>
      <c r="F243" s="387" t="str">
        <f t="shared" si="89"/>
        <v>na</v>
      </c>
      <c r="G243" s="387" t="s">
        <v>232</v>
      </c>
      <c r="H243" s="387" t="s">
        <v>232</v>
      </c>
      <c r="I243" s="387" t="str">
        <f t="shared" si="117"/>
        <v>na</v>
      </c>
      <c r="J243" s="387" t="str">
        <f t="shared" si="90"/>
        <v>na</v>
      </c>
      <c r="K243" s="410" t="s">
        <v>232</v>
      </c>
      <c r="L243" s="410" t="s">
        <v>232</v>
      </c>
      <c r="M243" s="410">
        <f t="shared" si="108"/>
        <v>0</v>
      </c>
      <c r="N243" s="263" t="s">
        <v>232</v>
      </c>
      <c r="O243" s="438" t="s">
        <v>232</v>
      </c>
      <c r="P243" s="1640">
        <v>0.5</v>
      </c>
      <c r="Q243" s="438" t="str">
        <f t="shared" si="109"/>
        <v>na</v>
      </c>
      <c r="R243" s="1682">
        <v>1</v>
      </c>
      <c r="S243" s="438" t="str">
        <f t="shared" si="110"/>
        <v>na</v>
      </c>
      <c r="T243" s="438" t="s">
        <v>232</v>
      </c>
      <c r="U243" s="438" t="str">
        <f t="shared" si="111"/>
        <v>na</v>
      </c>
      <c r="V243" s="1280" t="s">
        <v>232</v>
      </c>
      <c r="W243" s="1280" t="str">
        <f t="shared" si="112"/>
        <v>na</v>
      </c>
      <c r="X243" s="421" t="str">
        <f t="shared" si="113"/>
        <v>na</v>
      </c>
      <c r="Y243" s="1280" t="s">
        <v>232</v>
      </c>
      <c r="Z243" s="421" t="str">
        <f t="shared" si="114"/>
        <v>na</v>
      </c>
      <c r="AA243" s="421" t="s">
        <v>221</v>
      </c>
      <c r="AB243" s="448">
        <v>1</v>
      </c>
      <c r="AC243" s="1252" t="s">
        <v>232</v>
      </c>
      <c r="AD243" s="1264">
        <v>1</v>
      </c>
      <c r="AE243" s="1264">
        <v>0.1</v>
      </c>
      <c r="AF243" s="1292" t="s">
        <v>221</v>
      </c>
      <c r="AG243" s="537" t="s">
        <v>221</v>
      </c>
      <c r="AH243" s="457" t="s">
        <v>221</v>
      </c>
      <c r="AI243" s="457" t="s">
        <v>221</v>
      </c>
      <c r="AJ243" s="457" t="s">
        <v>221</v>
      </c>
      <c r="AK243" s="449" t="str">
        <f t="shared" si="115"/>
        <v>no</v>
      </c>
      <c r="AL243" s="221" t="s">
        <v>232</v>
      </c>
      <c r="AM243" s="406" t="s">
        <v>232</v>
      </c>
      <c r="AN243" s="1330" t="str">
        <f t="shared" si="116"/>
        <v>na</v>
      </c>
      <c r="AP243" s="1062"/>
    </row>
    <row r="244" spans="1:44" ht="13.9" customHeight="1" x14ac:dyDescent="0.25">
      <c r="A244" s="846">
        <f>Chem!A244</f>
        <v>242</v>
      </c>
      <c r="B244" s="874" t="str">
        <f>Chem!B244</f>
        <v>Diesel range hydrocarbons, weathered</v>
      </c>
      <c r="C244" s="397" t="s">
        <v>232</v>
      </c>
      <c r="D244" s="397" t="s">
        <v>232</v>
      </c>
      <c r="E244" s="387" t="str">
        <f t="shared" si="88"/>
        <v>na</v>
      </c>
      <c r="F244" s="387" t="str">
        <f t="shared" si="89"/>
        <v>na</v>
      </c>
      <c r="G244" s="387" t="s">
        <v>232</v>
      </c>
      <c r="H244" s="387" t="s">
        <v>232</v>
      </c>
      <c r="I244" s="387" t="str">
        <f t="shared" si="117"/>
        <v>na</v>
      </c>
      <c r="J244" s="387" t="str">
        <f t="shared" si="90"/>
        <v>na</v>
      </c>
      <c r="K244" s="410" t="s">
        <v>232</v>
      </c>
      <c r="L244" s="410" t="s">
        <v>232</v>
      </c>
      <c r="M244" s="410">
        <f t="shared" si="108"/>
        <v>0</v>
      </c>
      <c r="N244" s="263" t="s">
        <v>232</v>
      </c>
      <c r="O244" s="438" t="s">
        <v>232</v>
      </c>
      <c r="P244" s="1640">
        <v>0.5</v>
      </c>
      <c r="Q244" s="438" t="str">
        <f t="shared" si="109"/>
        <v>na</v>
      </c>
      <c r="R244" s="1682">
        <v>1</v>
      </c>
      <c r="S244" s="438" t="str">
        <f t="shared" si="110"/>
        <v>na</v>
      </c>
      <c r="T244" s="438" t="s">
        <v>232</v>
      </c>
      <c r="U244" s="438" t="str">
        <f t="shared" si="111"/>
        <v>na</v>
      </c>
      <c r="V244" s="1280" t="s">
        <v>232</v>
      </c>
      <c r="W244" s="1280" t="str">
        <f t="shared" si="112"/>
        <v>na</v>
      </c>
      <c r="X244" s="421" t="str">
        <f t="shared" si="113"/>
        <v>na</v>
      </c>
      <c r="Y244" s="1280" t="s">
        <v>232</v>
      </c>
      <c r="Z244" s="421" t="str">
        <f t="shared" si="114"/>
        <v>na</v>
      </c>
      <c r="AA244" s="421" t="s">
        <v>221</v>
      </c>
      <c r="AB244" s="448">
        <v>1</v>
      </c>
      <c r="AC244" s="1252" t="s">
        <v>232</v>
      </c>
      <c r="AD244" s="1264">
        <v>1</v>
      </c>
      <c r="AE244" s="1264">
        <v>0.1</v>
      </c>
      <c r="AF244" s="1292" t="s">
        <v>221</v>
      </c>
      <c r="AG244" s="537" t="s">
        <v>221</v>
      </c>
      <c r="AH244" s="457" t="s">
        <v>221</v>
      </c>
      <c r="AI244" s="457" t="s">
        <v>221</v>
      </c>
      <c r="AJ244" s="457" t="s">
        <v>221</v>
      </c>
      <c r="AK244" s="449" t="str">
        <f t="shared" si="115"/>
        <v>no</v>
      </c>
      <c r="AL244" s="221" t="s">
        <v>232</v>
      </c>
      <c r="AM244" s="406" t="s">
        <v>232</v>
      </c>
      <c r="AN244" s="1330" t="str">
        <f t="shared" si="116"/>
        <v>na</v>
      </c>
      <c r="AP244" s="1062"/>
    </row>
    <row r="245" spans="1:44" ht="13.9" customHeight="1" x14ac:dyDescent="0.25">
      <c r="A245" s="846">
        <f>Chem!A245</f>
        <v>243</v>
      </c>
      <c r="B245" s="875" t="str">
        <f>Chem!B245</f>
        <v>Oil range hydrocarbons</v>
      </c>
      <c r="C245" s="398" t="s">
        <v>232</v>
      </c>
      <c r="D245" s="398" t="s">
        <v>232</v>
      </c>
      <c r="E245" s="387" t="str">
        <f t="shared" si="88"/>
        <v>na</v>
      </c>
      <c r="F245" s="387" t="str">
        <f t="shared" si="89"/>
        <v>na</v>
      </c>
      <c r="G245" s="387" t="s">
        <v>232</v>
      </c>
      <c r="H245" s="387" t="s">
        <v>232</v>
      </c>
      <c r="I245" s="387" t="str">
        <f t="shared" si="117"/>
        <v>na</v>
      </c>
      <c r="J245" s="387" t="str">
        <f t="shared" si="90"/>
        <v>na</v>
      </c>
      <c r="K245" s="411" t="s">
        <v>232</v>
      </c>
      <c r="L245" s="411" t="s">
        <v>232</v>
      </c>
      <c r="M245" s="411">
        <f t="shared" si="108"/>
        <v>0</v>
      </c>
      <c r="N245" s="275" t="s">
        <v>232</v>
      </c>
      <c r="O245" s="1269" t="s">
        <v>232</v>
      </c>
      <c r="P245" s="1640">
        <v>0.5</v>
      </c>
      <c r="Q245" s="438" t="str">
        <f t="shared" si="109"/>
        <v>na</v>
      </c>
      <c r="R245" s="1683">
        <v>1</v>
      </c>
      <c r="S245" s="438" t="str">
        <f t="shared" si="110"/>
        <v>na</v>
      </c>
      <c r="T245" s="1269" t="s">
        <v>232</v>
      </c>
      <c r="U245" s="438" t="str">
        <f t="shared" si="111"/>
        <v>na</v>
      </c>
      <c r="V245" s="1280" t="s">
        <v>232</v>
      </c>
      <c r="W245" s="1280" t="str">
        <f t="shared" si="112"/>
        <v>na</v>
      </c>
      <c r="X245" s="421" t="str">
        <f t="shared" si="113"/>
        <v>na</v>
      </c>
      <c r="Y245" s="1280" t="s">
        <v>232</v>
      </c>
      <c r="Z245" s="421" t="str">
        <f t="shared" si="114"/>
        <v>na</v>
      </c>
      <c r="AA245" s="421" t="s">
        <v>221</v>
      </c>
      <c r="AB245" s="448">
        <v>1</v>
      </c>
      <c r="AC245" s="1252" t="s">
        <v>232</v>
      </c>
      <c r="AD245" s="1264">
        <v>1</v>
      </c>
      <c r="AE245" s="1984">
        <v>0.1</v>
      </c>
      <c r="AF245" s="1293" t="s">
        <v>221</v>
      </c>
      <c r="AG245" s="537" t="s">
        <v>221</v>
      </c>
      <c r="AH245" s="457" t="s">
        <v>221</v>
      </c>
      <c r="AI245" s="457" t="s">
        <v>221</v>
      </c>
      <c r="AJ245" s="457" t="s">
        <v>221</v>
      </c>
      <c r="AK245" s="449" t="str">
        <f t="shared" si="115"/>
        <v>no</v>
      </c>
      <c r="AL245" s="221" t="s">
        <v>232</v>
      </c>
      <c r="AM245" s="406" t="s">
        <v>232</v>
      </c>
      <c r="AN245" s="1330" t="str">
        <f t="shared" si="116"/>
        <v>na</v>
      </c>
      <c r="AP245" s="1062"/>
    </row>
    <row r="246" spans="1:44" ht="13.9" customHeight="1" x14ac:dyDescent="0.25">
      <c r="A246" s="1661">
        <f>Chem!A246</f>
        <v>244</v>
      </c>
      <c r="B246" s="875" t="str">
        <f>Chem!B246</f>
        <v>Total diesel &amp; oil range hydrocarbons</v>
      </c>
      <c r="C246" s="398" t="s">
        <v>232</v>
      </c>
      <c r="D246" s="398" t="s">
        <v>232</v>
      </c>
      <c r="E246" s="387" t="str">
        <f t="shared" si="88"/>
        <v>na</v>
      </c>
      <c r="F246" s="387" t="str">
        <f t="shared" si="89"/>
        <v>na</v>
      </c>
      <c r="G246" s="387" t="s">
        <v>232</v>
      </c>
      <c r="H246" s="387" t="s">
        <v>232</v>
      </c>
      <c r="I246" s="387" t="str">
        <f t="shared" si="117"/>
        <v>na</v>
      </c>
      <c r="J246" s="387" t="str">
        <f t="shared" si="90"/>
        <v>na</v>
      </c>
      <c r="K246" s="411" t="s">
        <v>232</v>
      </c>
      <c r="L246" s="411" t="s">
        <v>232</v>
      </c>
      <c r="M246" s="411">
        <f t="shared" si="108"/>
        <v>0</v>
      </c>
      <c r="N246" s="275" t="s">
        <v>232</v>
      </c>
      <c r="O246" s="1269" t="s">
        <v>232</v>
      </c>
      <c r="P246" s="1640">
        <v>0.5</v>
      </c>
      <c r="Q246" s="438" t="str">
        <f t="shared" si="109"/>
        <v>na</v>
      </c>
      <c r="R246" s="1683">
        <v>1</v>
      </c>
      <c r="S246" s="438" t="str">
        <f t="shared" si="110"/>
        <v>na</v>
      </c>
      <c r="T246" s="1269" t="s">
        <v>232</v>
      </c>
      <c r="U246" s="1537" t="str">
        <f t="shared" si="111"/>
        <v>na</v>
      </c>
      <c r="V246" s="1280" t="s">
        <v>232</v>
      </c>
      <c r="W246" s="1280" t="str">
        <f t="shared" si="112"/>
        <v>na</v>
      </c>
      <c r="X246" s="1688" t="str">
        <f t="shared" si="113"/>
        <v>na</v>
      </c>
      <c r="Y246" s="1538" t="s">
        <v>232</v>
      </c>
      <c r="Z246" s="994" t="str">
        <f t="shared" si="114"/>
        <v>na</v>
      </c>
      <c r="AA246" s="994" t="s">
        <v>221</v>
      </c>
      <c r="AB246" s="995" t="s">
        <v>232</v>
      </c>
      <c r="AC246" s="1252" t="s">
        <v>232</v>
      </c>
      <c r="AD246" s="1264" t="s">
        <v>232</v>
      </c>
      <c r="AE246" s="1984">
        <v>0.1</v>
      </c>
      <c r="AF246" s="1293" t="s">
        <v>221</v>
      </c>
      <c r="AG246" s="537" t="s">
        <v>221</v>
      </c>
      <c r="AH246" s="457" t="s">
        <v>221</v>
      </c>
      <c r="AI246" s="457" t="s">
        <v>221</v>
      </c>
      <c r="AJ246" s="457" t="s">
        <v>221</v>
      </c>
      <c r="AK246" s="449" t="str">
        <f t="shared" si="115"/>
        <v>no</v>
      </c>
      <c r="AL246" s="257" t="s">
        <v>232</v>
      </c>
      <c r="AM246" s="543" t="s">
        <v>232</v>
      </c>
      <c r="AN246" s="545" t="str">
        <f t="shared" si="116"/>
        <v>na</v>
      </c>
      <c r="AP246" s="1062"/>
    </row>
    <row r="247" spans="1:44" s="373" customFormat="1" ht="13.9" customHeight="1" x14ac:dyDescent="0.25">
      <c r="A247" s="1197">
        <f>Chem!A247</f>
        <v>245</v>
      </c>
      <c r="B247" s="850" t="str">
        <f>Chem!B247</f>
        <v>Pesticides</v>
      </c>
      <c r="C247" s="259"/>
      <c r="D247" s="259"/>
      <c r="E247" s="259">
        <f t="shared" si="88"/>
        <v>0</v>
      </c>
      <c r="F247" s="259">
        <f t="shared" si="89"/>
        <v>0</v>
      </c>
      <c r="G247" s="259" t="s">
        <v>232</v>
      </c>
      <c r="H247" s="259"/>
      <c r="I247" s="259">
        <f t="shared" si="117"/>
        <v>0</v>
      </c>
      <c r="J247" s="259">
        <f t="shared" si="90"/>
        <v>0</v>
      </c>
      <c r="K247" s="259"/>
      <c r="L247" s="259"/>
      <c r="M247" s="259"/>
      <c r="N247" s="259"/>
      <c r="O247" s="259"/>
      <c r="P247" s="2342"/>
      <c r="Q247" s="259"/>
      <c r="R247" s="2343"/>
      <c r="S247" s="259"/>
      <c r="T247" s="259"/>
      <c r="U247" s="259"/>
      <c r="V247" s="259"/>
      <c r="W247" s="2518"/>
      <c r="X247" s="259"/>
      <c r="Y247" s="259"/>
      <c r="Z247" s="259"/>
      <c r="AA247" s="259"/>
      <c r="AB247" s="2343"/>
      <c r="AC247" s="2344"/>
      <c r="AD247" s="2344"/>
      <c r="AE247" s="2344"/>
      <c r="AF247" s="2345"/>
      <c r="AG247" s="259"/>
      <c r="AH247" s="259"/>
      <c r="AI247" s="259"/>
      <c r="AJ247" s="259"/>
      <c r="AK247" s="259"/>
      <c r="AL247" s="1495"/>
      <c r="AM247" s="1495"/>
      <c r="AN247" s="2346"/>
      <c r="AP247" s="1063"/>
      <c r="AR247" s="839"/>
    </row>
    <row r="248" spans="1:44" s="373" customFormat="1" ht="13.9" customHeight="1" x14ac:dyDescent="0.25">
      <c r="A248" s="846">
        <f>Chem!A248</f>
        <v>246</v>
      </c>
      <c r="B248" s="873" t="str">
        <f>Chem!B248</f>
        <v>Aldrin</v>
      </c>
      <c r="C248" s="396">
        <v>48700</v>
      </c>
      <c r="D248" s="396" t="s">
        <v>232</v>
      </c>
      <c r="E248" s="396">
        <f t="shared" si="88"/>
        <v>48.7</v>
      </c>
      <c r="F248" s="396">
        <f t="shared" si="89"/>
        <v>48.7</v>
      </c>
      <c r="G248" s="396" t="s">
        <v>232</v>
      </c>
      <c r="H248" s="396" t="s">
        <v>232</v>
      </c>
      <c r="I248" s="396">
        <f t="shared" si="117"/>
        <v>925.3</v>
      </c>
      <c r="J248" s="396">
        <f t="shared" si="90"/>
        <v>925.3</v>
      </c>
      <c r="K248" s="409">
        <v>8.0803289362288205E-5</v>
      </c>
      <c r="L248" s="409">
        <v>1.7988552739165999E-3</v>
      </c>
      <c r="M248" s="409">
        <f t="shared" ref="M248:M280" si="118">IF(ISNUMBER(K248),K248,IF(ISNUMBER(L248),L248,0))</f>
        <v>8.0803289362288205E-5</v>
      </c>
      <c r="N248" s="261">
        <v>4670</v>
      </c>
      <c r="O248" s="437">
        <v>3.0000000000000001E-5</v>
      </c>
      <c r="P248" s="1656">
        <v>0.8</v>
      </c>
      <c r="Q248" s="437">
        <f t="shared" ref="Q248:Q280" si="119">IF(O248="na","na",O248*P248)</f>
        <v>2.4000000000000001E-5</v>
      </c>
      <c r="R248" s="1681">
        <v>1</v>
      </c>
      <c r="S248" s="437">
        <f t="shared" ref="S248:S280" si="120">IF(O248="na","na",O248*R248)</f>
        <v>3.0000000000000001E-5</v>
      </c>
      <c r="T248" s="437" t="s">
        <v>232</v>
      </c>
      <c r="U248" s="437" t="str">
        <f t="shared" ref="U248:U280" si="121">IF(ISNUMBER(T248),T248*20/70,"na")</f>
        <v>na</v>
      </c>
      <c r="V248" s="1279">
        <v>17</v>
      </c>
      <c r="W248" s="1279">
        <f t="shared" ref="W248:W280" si="122">IF(V248="na","na",V248/P248)</f>
        <v>21.25</v>
      </c>
      <c r="X248" s="420">
        <f t="shared" ref="X248:X259" si="123">IF(V248="na","na",V248/R248)</f>
        <v>17</v>
      </c>
      <c r="Y248" s="1279">
        <v>4.8999999999999998E-3</v>
      </c>
      <c r="Z248" s="420">
        <f t="shared" ref="Z248:Z280" si="124">IF(ISNUMBER(Y248),Y248*70*1000/20,"na")</f>
        <v>17.149999999999999</v>
      </c>
      <c r="AA248" s="420" t="s">
        <v>221</v>
      </c>
      <c r="AB248" s="447">
        <v>2</v>
      </c>
      <c r="AC248" s="1251">
        <v>0.03</v>
      </c>
      <c r="AD248" s="1263">
        <v>1</v>
      </c>
      <c r="AE248" s="1263">
        <v>0</v>
      </c>
      <c r="AF248" s="1291" t="s">
        <v>221</v>
      </c>
      <c r="AG248" s="1289" t="s">
        <v>144</v>
      </c>
      <c r="AH248" s="455" t="s">
        <v>221</v>
      </c>
      <c r="AI248" s="456" t="s">
        <v>144</v>
      </c>
      <c r="AJ248" s="456" t="s">
        <v>221</v>
      </c>
      <c r="AK248" s="449" t="str">
        <f t="shared" ref="AJ248:AK291" si="125">IF(AND(OR(AG248="YES",AH248="YES"),OR(AI248="YES",AJ248="YES")),"YES","no")</f>
        <v>YES</v>
      </c>
      <c r="AL248" s="253" t="s">
        <v>232</v>
      </c>
      <c r="AM248" s="405" t="s">
        <v>232</v>
      </c>
      <c r="AN248" s="1152" t="str">
        <f t="shared" ref="AN248:AN280" si="126">AM248</f>
        <v>na</v>
      </c>
      <c r="AP248" s="1062"/>
      <c r="AR248" s="839"/>
    </row>
    <row r="249" spans="1:44" ht="13.9" customHeight="1" x14ac:dyDescent="0.25">
      <c r="A249" s="846">
        <f>Chem!A249</f>
        <v>247</v>
      </c>
      <c r="B249" s="864" t="str">
        <f>Chem!B249</f>
        <v>alpha-BHC (alpha-HCH)</v>
      </c>
      <c r="C249" s="387">
        <v>1760</v>
      </c>
      <c r="D249" s="387" t="s">
        <v>232</v>
      </c>
      <c r="E249" s="387">
        <f t="shared" si="88"/>
        <v>1.76</v>
      </c>
      <c r="F249" s="387">
        <f t="shared" si="89"/>
        <v>1.76</v>
      </c>
      <c r="G249" s="387" t="s">
        <v>232</v>
      </c>
      <c r="H249" s="387" t="s">
        <v>232</v>
      </c>
      <c r="I249" s="387">
        <f t="shared" si="117"/>
        <v>33.44</v>
      </c>
      <c r="J249" s="387">
        <f t="shared" si="90"/>
        <v>33.44</v>
      </c>
      <c r="K249" s="403" t="s">
        <v>232</v>
      </c>
      <c r="L249" s="403">
        <v>2.7391659852820901E-4</v>
      </c>
      <c r="M249" s="403">
        <f t="shared" si="118"/>
        <v>2.7391659852820901E-4</v>
      </c>
      <c r="N249" s="270">
        <v>130</v>
      </c>
      <c r="O249" s="432">
        <v>8.9999999999999998E-4</v>
      </c>
      <c r="P249" s="1657">
        <v>0.5</v>
      </c>
      <c r="Q249" s="433">
        <f t="shared" si="119"/>
        <v>4.4999999999999999E-4</v>
      </c>
      <c r="R249" s="1665">
        <v>1</v>
      </c>
      <c r="S249" s="433">
        <f t="shared" si="120"/>
        <v>8.9999999999999998E-4</v>
      </c>
      <c r="T249" s="432" t="s">
        <v>232</v>
      </c>
      <c r="U249" s="433" t="str">
        <f t="shared" si="121"/>
        <v>na</v>
      </c>
      <c r="V249" s="1274">
        <v>6.3</v>
      </c>
      <c r="W249" s="1274">
        <f t="shared" si="122"/>
        <v>12.6</v>
      </c>
      <c r="X249" s="415">
        <f t="shared" si="123"/>
        <v>6.3</v>
      </c>
      <c r="Y249" s="1274">
        <v>1.8000000000000002E-3</v>
      </c>
      <c r="Z249" s="415">
        <f t="shared" si="124"/>
        <v>6.3</v>
      </c>
      <c r="AA249" s="415" t="s">
        <v>221</v>
      </c>
      <c r="AB249" s="443">
        <v>1</v>
      </c>
      <c r="AC249" s="1248">
        <v>0.1</v>
      </c>
      <c r="AD249" s="1259">
        <v>1</v>
      </c>
      <c r="AE249" s="1259">
        <v>0.1</v>
      </c>
      <c r="AF249" s="1295" t="s">
        <v>221</v>
      </c>
      <c r="AG249" s="538" t="s">
        <v>221</v>
      </c>
      <c r="AH249" s="452" t="s">
        <v>221</v>
      </c>
      <c r="AI249" s="452" t="s">
        <v>144</v>
      </c>
      <c r="AJ249" s="452" t="s">
        <v>221</v>
      </c>
      <c r="AK249" s="449" t="str">
        <f t="shared" si="125"/>
        <v>no</v>
      </c>
      <c r="AL249" s="221" t="s">
        <v>232</v>
      </c>
      <c r="AM249" s="406" t="s">
        <v>232</v>
      </c>
      <c r="AN249" s="1330" t="str">
        <f t="shared" si="126"/>
        <v>na</v>
      </c>
      <c r="AP249" s="1062"/>
    </row>
    <row r="250" spans="1:44" ht="13.9" customHeight="1" x14ac:dyDescent="0.25">
      <c r="A250" s="846">
        <f>Chem!A250</f>
        <v>248</v>
      </c>
      <c r="B250" s="865" t="str">
        <f>Chem!B250</f>
        <v>beta-BHC (beta-HCH)</v>
      </c>
      <c r="C250" s="384">
        <v>2140</v>
      </c>
      <c r="D250" s="384" t="s">
        <v>232</v>
      </c>
      <c r="E250" s="384">
        <f t="shared" si="88"/>
        <v>2.14</v>
      </c>
      <c r="F250" s="384">
        <f t="shared" si="89"/>
        <v>2.14</v>
      </c>
      <c r="G250" s="384" t="s">
        <v>232</v>
      </c>
      <c r="H250" s="384" t="s">
        <v>232</v>
      </c>
      <c r="I250" s="384">
        <f t="shared" si="117"/>
        <v>40.659999999999997</v>
      </c>
      <c r="J250" s="384">
        <f t="shared" si="90"/>
        <v>40.659999999999997</v>
      </c>
      <c r="K250" s="400" t="s">
        <v>232</v>
      </c>
      <c r="L250" s="400">
        <v>1.7988552739166E-5</v>
      </c>
      <c r="M250" s="400">
        <f t="shared" si="118"/>
        <v>1.7988552739166E-5</v>
      </c>
      <c r="N250" s="271">
        <v>130</v>
      </c>
      <c r="O250" s="425" t="s">
        <v>232</v>
      </c>
      <c r="P250" s="1657">
        <v>0.5</v>
      </c>
      <c r="Q250" s="426" t="str">
        <f t="shared" si="119"/>
        <v>na</v>
      </c>
      <c r="R250" s="1665">
        <v>1</v>
      </c>
      <c r="S250" s="426" t="str">
        <f t="shared" si="120"/>
        <v>na</v>
      </c>
      <c r="T250" s="425" t="s">
        <v>232</v>
      </c>
      <c r="U250" s="426" t="str">
        <f t="shared" si="121"/>
        <v>na</v>
      </c>
      <c r="V250" s="1272">
        <v>1.8</v>
      </c>
      <c r="W250" s="1272">
        <f t="shared" si="122"/>
        <v>3.6</v>
      </c>
      <c r="X250" s="412">
        <f t="shared" si="123"/>
        <v>1.8</v>
      </c>
      <c r="Y250" s="1272">
        <v>5.2999999999999998E-4</v>
      </c>
      <c r="Z250" s="412">
        <f t="shared" si="124"/>
        <v>1.855</v>
      </c>
      <c r="AA250" s="412" t="s">
        <v>221</v>
      </c>
      <c r="AB250" s="439">
        <v>1</v>
      </c>
      <c r="AC250" s="1248">
        <v>0.1</v>
      </c>
      <c r="AD250" s="1259">
        <v>1</v>
      </c>
      <c r="AE250" s="1259">
        <v>0.1</v>
      </c>
      <c r="AF250" s="1292" t="s">
        <v>221</v>
      </c>
      <c r="AG250" s="538" t="s">
        <v>221</v>
      </c>
      <c r="AH250" s="452" t="s">
        <v>221</v>
      </c>
      <c r="AI250" s="452" t="s">
        <v>144</v>
      </c>
      <c r="AJ250" s="452" t="s">
        <v>221</v>
      </c>
      <c r="AK250" s="449" t="str">
        <f t="shared" si="125"/>
        <v>no</v>
      </c>
      <c r="AL250" s="221" t="s">
        <v>232</v>
      </c>
      <c r="AM250" s="406" t="s">
        <v>232</v>
      </c>
      <c r="AN250" s="1330" t="str">
        <f t="shared" si="126"/>
        <v>na</v>
      </c>
      <c r="AP250" s="1062"/>
    </row>
    <row r="251" spans="1:44" ht="13.9" customHeight="1" x14ac:dyDescent="0.25">
      <c r="A251" s="846">
        <f>Chem!A251</f>
        <v>249</v>
      </c>
      <c r="B251" s="865" t="str">
        <f>Chem!B251</f>
        <v>delta-BHC (delta-HCH)</v>
      </c>
      <c r="C251" s="384">
        <v>2810</v>
      </c>
      <c r="D251" s="384" t="s">
        <v>232</v>
      </c>
      <c r="E251" s="384">
        <f t="shared" si="88"/>
        <v>2.81</v>
      </c>
      <c r="F251" s="384">
        <f t="shared" si="89"/>
        <v>2.81</v>
      </c>
      <c r="G251" s="384" t="s">
        <v>232</v>
      </c>
      <c r="H251" s="384" t="s">
        <v>232</v>
      </c>
      <c r="I251" s="384">
        <f t="shared" si="117"/>
        <v>53.39</v>
      </c>
      <c r="J251" s="384">
        <f t="shared" si="90"/>
        <v>53.39</v>
      </c>
      <c r="K251" s="400" t="s">
        <v>232</v>
      </c>
      <c r="L251" s="400">
        <v>2.1000000000000001E-4</v>
      </c>
      <c r="M251" s="400">
        <f t="shared" si="118"/>
        <v>2.1000000000000001E-4</v>
      </c>
      <c r="N251" s="271" t="s">
        <v>232</v>
      </c>
      <c r="O251" s="425">
        <v>5.9999999999999995E-8</v>
      </c>
      <c r="P251" s="1657">
        <v>0.5</v>
      </c>
      <c r="Q251" s="426">
        <f t="shared" si="119"/>
        <v>2.9999999999999997E-8</v>
      </c>
      <c r="R251" s="1665">
        <v>1</v>
      </c>
      <c r="S251" s="426">
        <f t="shared" si="120"/>
        <v>5.9999999999999995E-8</v>
      </c>
      <c r="T251" s="425" t="s">
        <v>232</v>
      </c>
      <c r="U251" s="426" t="str">
        <f t="shared" si="121"/>
        <v>na</v>
      </c>
      <c r="V251" s="1272" t="s">
        <v>232</v>
      </c>
      <c r="W251" s="1272" t="str">
        <f t="shared" si="122"/>
        <v>na</v>
      </c>
      <c r="X251" s="412" t="str">
        <f t="shared" si="123"/>
        <v>na</v>
      </c>
      <c r="Y251" s="1272" t="s">
        <v>232</v>
      </c>
      <c r="Z251" s="412" t="str">
        <f t="shared" si="124"/>
        <v>na</v>
      </c>
      <c r="AA251" s="412" t="s">
        <v>221</v>
      </c>
      <c r="AB251" s="439">
        <v>1</v>
      </c>
      <c r="AC251" s="1248">
        <v>0.1</v>
      </c>
      <c r="AD251" s="1259">
        <v>1</v>
      </c>
      <c r="AE251" s="1259">
        <v>0.1</v>
      </c>
      <c r="AF251" s="1292" t="s">
        <v>221</v>
      </c>
      <c r="AG251" s="538" t="s">
        <v>221</v>
      </c>
      <c r="AH251" s="452" t="s">
        <v>221</v>
      </c>
      <c r="AI251" s="452" t="s">
        <v>221</v>
      </c>
      <c r="AJ251" s="452" t="s">
        <v>221</v>
      </c>
      <c r="AK251" s="449" t="str">
        <f t="shared" si="125"/>
        <v>no</v>
      </c>
      <c r="AL251" s="221" t="s">
        <v>232</v>
      </c>
      <c r="AM251" s="406" t="s">
        <v>232</v>
      </c>
      <c r="AN251" s="1330" t="str">
        <f t="shared" si="126"/>
        <v>na</v>
      </c>
      <c r="AP251" s="1062"/>
    </row>
    <row r="252" spans="1:44" ht="13.9" customHeight="1" x14ac:dyDescent="0.25">
      <c r="A252" s="846">
        <f>Chem!A252</f>
        <v>250</v>
      </c>
      <c r="B252" s="865" t="str">
        <f>Chem!B252</f>
        <v>Carbaryl</v>
      </c>
      <c r="C252" s="384">
        <v>354.8</v>
      </c>
      <c r="D252" s="384" t="s">
        <v>232</v>
      </c>
      <c r="E252" s="384">
        <f t="shared" si="88"/>
        <v>0.3548</v>
      </c>
      <c r="F252" s="384">
        <f t="shared" si="89"/>
        <v>0.3548</v>
      </c>
      <c r="G252" s="384" t="s">
        <v>232</v>
      </c>
      <c r="H252" s="384" t="s">
        <v>232</v>
      </c>
      <c r="I252" s="384">
        <f t="shared" si="117"/>
        <v>6.7412000000000001</v>
      </c>
      <c r="J252" s="384">
        <f t="shared" si="90"/>
        <v>6.7412000000000001</v>
      </c>
      <c r="K252" s="400" t="s">
        <v>232</v>
      </c>
      <c r="L252" s="400">
        <v>1.3368765331152899E-7</v>
      </c>
      <c r="M252" s="400">
        <f t="shared" si="118"/>
        <v>1.3368765331152899E-7</v>
      </c>
      <c r="N252" s="271" t="s">
        <v>232</v>
      </c>
      <c r="O252" s="425">
        <v>0.1</v>
      </c>
      <c r="P252" s="1657">
        <v>0.5</v>
      </c>
      <c r="Q252" s="426">
        <f t="shared" si="119"/>
        <v>0.05</v>
      </c>
      <c r="R252" s="1665">
        <v>1</v>
      </c>
      <c r="S252" s="426">
        <f t="shared" si="120"/>
        <v>0.1</v>
      </c>
      <c r="T252" s="425" t="s">
        <v>232</v>
      </c>
      <c r="U252" s="426" t="str">
        <f t="shared" si="121"/>
        <v>na</v>
      </c>
      <c r="V252" s="1272" t="s">
        <v>232</v>
      </c>
      <c r="W252" s="1272" t="str">
        <f t="shared" si="122"/>
        <v>na</v>
      </c>
      <c r="X252" s="412" t="str">
        <f t="shared" si="123"/>
        <v>na</v>
      </c>
      <c r="Y252" s="1272" t="s">
        <v>232</v>
      </c>
      <c r="Z252" s="412" t="str">
        <f t="shared" si="124"/>
        <v>na</v>
      </c>
      <c r="AA252" s="412" t="s">
        <v>221</v>
      </c>
      <c r="AB252" s="439">
        <v>1</v>
      </c>
      <c r="AC252" s="1248">
        <v>0.1</v>
      </c>
      <c r="AD252" s="1259">
        <v>1</v>
      </c>
      <c r="AE252" s="1259">
        <v>0.1</v>
      </c>
      <c r="AF252" s="1292" t="s">
        <v>221</v>
      </c>
      <c r="AG252" s="538" t="s">
        <v>221</v>
      </c>
      <c r="AH252" s="452" t="s">
        <v>221</v>
      </c>
      <c r="AI252" s="452" t="s">
        <v>221</v>
      </c>
      <c r="AJ252" s="452" t="s">
        <v>221</v>
      </c>
      <c r="AK252" s="449" t="str">
        <f t="shared" si="125"/>
        <v>no</v>
      </c>
      <c r="AL252" s="221" t="s">
        <v>232</v>
      </c>
      <c r="AM252" s="406" t="s">
        <v>232</v>
      </c>
      <c r="AN252" s="1330" t="str">
        <f t="shared" si="126"/>
        <v>na</v>
      </c>
      <c r="AP252" s="1062"/>
    </row>
    <row r="253" spans="1:44" ht="13.9" customHeight="1" x14ac:dyDescent="0.25">
      <c r="A253" s="846">
        <f>Chem!A253</f>
        <v>251</v>
      </c>
      <c r="B253" s="865" t="str">
        <f>Chem!B253</f>
        <v>cis-Chlordane (alpha)</v>
      </c>
      <c r="C253" s="384">
        <v>67500</v>
      </c>
      <c r="D253" s="384" t="s">
        <v>232</v>
      </c>
      <c r="E253" s="384">
        <f t="shared" si="88"/>
        <v>67.5</v>
      </c>
      <c r="F253" s="384">
        <f t="shared" si="89"/>
        <v>67.5</v>
      </c>
      <c r="G253" s="384" t="s">
        <v>232</v>
      </c>
      <c r="H253" s="384" t="s">
        <v>232</v>
      </c>
      <c r="I253" s="384">
        <f t="shared" si="117"/>
        <v>1282.5</v>
      </c>
      <c r="J253" s="384">
        <f t="shared" si="90"/>
        <v>1282.5</v>
      </c>
      <c r="K253" s="400" t="s">
        <v>232</v>
      </c>
      <c r="L253" s="400">
        <v>1.9869174161896998E-3</v>
      </c>
      <c r="M253" s="400">
        <f t="shared" si="118"/>
        <v>1.9869174161896998E-3</v>
      </c>
      <c r="N253" s="271" t="s">
        <v>232</v>
      </c>
      <c r="O253" s="425">
        <v>5.0000000000000001E-4</v>
      </c>
      <c r="P253" s="1657">
        <v>0.8</v>
      </c>
      <c r="Q253" s="426">
        <f t="shared" si="119"/>
        <v>4.0000000000000002E-4</v>
      </c>
      <c r="R253" s="1665">
        <v>1</v>
      </c>
      <c r="S253" s="426">
        <f t="shared" si="120"/>
        <v>5.0000000000000001E-4</v>
      </c>
      <c r="T253" s="425" t="s">
        <v>232</v>
      </c>
      <c r="U253" s="426" t="str">
        <f t="shared" si="121"/>
        <v>na</v>
      </c>
      <c r="V253" s="1272" t="s">
        <v>232</v>
      </c>
      <c r="W253" s="1272" t="str">
        <f t="shared" si="122"/>
        <v>na</v>
      </c>
      <c r="X253" s="412" t="str">
        <f t="shared" si="123"/>
        <v>na</v>
      </c>
      <c r="Y253" s="1272" t="s">
        <v>232</v>
      </c>
      <c r="Z253" s="412" t="str">
        <f t="shared" si="124"/>
        <v>na</v>
      </c>
      <c r="AA253" s="412" t="s">
        <v>221</v>
      </c>
      <c r="AB253" s="439">
        <v>2</v>
      </c>
      <c r="AC253" s="1248">
        <v>0.04</v>
      </c>
      <c r="AD253" s="1259">
        <v>1</v>
      </c>
      <c r="AE253" s="1259">
        <v>0.04</v>
      </c>
      <c r="AF253" s="1292" t="s">
        <v>221</v>
      </c>
      <c r="AG253" s="538" t="s">
        <v>144</v>
      </c>
      <c r="AH253" s="452" t="s">
        <v>144</v>
      </c>
      <c r="AI253" s="452" t="s">
        <v>144</v>
      </c>
      <c r="AJ253" s="452" t="s">
        <v>221</v>
      </c>
      <c r="AK253" s="449" t="s">
        <v>144</v>
      </c>
      <c r="AL253" s="221" t="s">
        <v>232</v>
      </c>
      <c r="AM253" s="406" t="s">
        <v>232</v>
      </c>
      <c r="AN253" s="1330" t="str">
        <f t="shared" si="126"/>
        <v>na</v>
      </c>
      <c r="AP253" s="1062"/>
    </row>
    <row r="254" spans="1:44" ht="13.9" customHeight="1" x14ac:dyDescent="0.25">
      <c r="A254" s="846">
        <f>Chem!A254</f>
        <v>252</v>
      </c>
      <c r="B254" s="865" t="str">
        <f>Chem!B254</f>
        <v>trans-Chlordane (gamma)</v>
      </c>
      <c r="C254" s="384">
        <v>67500</v>
      </c>
      <c r="D254" s="384" t="s">
        <v>232</v>
      </c>
      <c r="E254" s="384">
        <f t="shared" si="88"/>
        <v>67.5</v>
      </c>
      <c r="F254" s="384">
        <f t="shared" si="89"/>
        <v>67.5</v>
      </c>
      <c r="G254" s="384" t="s">
        <v>232</v>
      </c>
      <c r="H254" s="384" t="s">
        <v>232</v>
      </c>
      <c r="I254" s="384">
        <f t="shared" si="117"/>
        <v>1282.5</v>
      </c>
      <c r="J254" s="384">
        <f t="shared" si="90"/>
        <v>1282.5</v>
      </c>
      <c r="K254" s="400" t="s">
        <v>232</v>
      </c>
      <c r="L254" s="400">
        <v>1.9869174161896998E-3</v>
      </c>
      <c r="M254" s="400">
        <f t="shared" si="118"/>
        <v>1.9869174161896998E-3</v>
      </c>
      <c r="N254" s="271" t="s">
        <v>232</v>
      </c>
      <c r="O254" s="425">
        <v>5.0000000000000001E-4</v>
      </c>
      <c r="P254" s="1657">
        <v>0.8</v>
      </c>
      <c r="Q254" s="426">
        <f t="shared" si="119"/>
        <v>4.0000000000000002E-4</v>
      </c>
      <c r="R254" s="1665">
        <v>1</v>
      </c>
      <c r="S254" s="426">
        <f t="shared" si="120"/>
        <v>5.0000000000000001E-4</v>
      </c>
      <c r="T254" s="425" t="s">
        <v>232</v>
      </c>
      <c r="U254" s="426" t="str">
        <f t="shared" si="121"/>
        <v>na</v>
      </c>
      <c r="V254" s="1272" t="s">
        <v>232</v>
      </c>
      <c r="W254" s="1272" t="str">
        <f t="shared" si="122"/>
        <v>na</v>
      </c>
      <c r="X254" s="412" t="str">
        <f t="shared" si="123"/>
        <v>na</v>
      </c>
      <c r="Y254" s="1272" t="s">
        <v>232</v>
      </c>
      <c r="Z254" s="412" t="str">
        <f t="shared" si="124"/>
        <v>na</v>
      </c>
      <c r="AA254" s="412" t="s">
        <v>221</v>
      </c>
      <c r="AB254" s="439">
        <v>2</v>
      </c>
      <c r="AC254" s="1248">
        <v>0.04</v>
      </c>
      <c r="AD254" s="1259">
        <v>1</v>
      </c>
      <c r="AE254" s="1259">
        <v>0.04</v>
      </c>
      <c r="AF254" s="1292" t="s">
        <v>221</v>
      </c>
      <c r="AG254" s="538" t="s">
        <v>144</v>
      </c>
      <c r="AH254" s="452" t="s">
        <v>144</v>
      </c>
      <c r="AI254" s="452" t="s">
        <v>144</v>
      </c>
      <c r="AJ254" s="452" t="s">
        <v>221</v>
      </c>
      <c r="AK254" s="449" t="s">
        <v>144</v>
      </c>
      <c r="AL254" s="221" t="s">
        <v>232</v>
      </c>
      <c r="AM254" s="406" t="s">
        <v>232</v>
      </c>
      <c r="AN254" s="1330" t="str">
        <f t="shared" si="126"/>
        <v>na</v>
      </c>
      <c r="AP254" s="1062"/>
    </row>
    <row r="255" spans="1:44" ht="13.9" customHeight="1" x14ac:dyDescent="0.25">
      <c r="A255" s="846">
        <f>Chem!A255</f>
        <v>253</v>
      </c>
      <c r="B255" s="865" t="str">
        <f>Chem!B255</f>
        <v>Chlordane</v>
      </c>
      <c r="C255" s="384">
        <v>51300</v>
      </c>
      <c r="D255" s="384" t="s">
        <v>232</v>
      </c>
      <c r="E255" s="384">
        <f t="shared" si="88"/>
        <v>51.300000000000004</v>
      </c>
      <c r="F255" s="384">
        <f t="shared" si="89"/>
        <v>51.300000000000004</v>
      </c>
      <c r="G255" s="384" t="s">
        <v>232</v>
      </c>
      <c r="H255" s="384" t="s">
        <v>232</v>
      </c>
      <c r="I255" s="384">
        <f t="shared" si="117"/>
        <v>974.69999999999993</v>
      </c>
      <c r="J255" s="384">
        <f t="shared" si="90"/>
        <v>974.69999999999993</v>
      </c>
      <c r="K255" s="400">
        <v>2.0096832107777726E-4</v>
      </c>
      <c r="L255" s="400">
        <v>1.9869174161896998E-3</v>
      </c>
      <c r="M255" s="400">
        <f t="shared" si="118"/>
        <v>2.0096832107777726E-4</v>
      </c>
      <c r="N255" s="271">
        <v>14100</v>
      </c>
      <c r="O255" s="425">
        <v>5.0000000000000001E-4</v>
      </c>
      <c r="P255" s="1657">
        <v>0.8</v>
      </c>
      <c r="Q255" s="426">
        <f t="shared" si="119"/>
        <v>4.0000000000000002E-4</v>
      </c>
      <c r="R255" s="1665">
        <v>1</v>
      </c>
      <c r="S255" s="426">
        <f t="shared" si="120"/>
        <v>5.0000000000000001E-4</v>
      </c>
      <c r="T255" s="425">
        <v>6.9999999999999999E-4</v>
      </c>
      <c r="U255" s="426">
        <f t="shared" si="121"/>
        <v>2.0000000000000001E-4</v>
      </c>
      <c r="V255" s="1272">
        <v>0.35</v>
      </c>
      <c r="W255" s="1272">
        <f t="shared" si="122"/>
        <v>0.43749999999999994</v>
      </c>
      <c r="X255" s="412">
        <f t="shared" si="123"/>
        <v>0.35</v>
      </c>
      <c r="Y255" s="1272">
        <v>1.0000000000000002E-4</v>
      </c>
      <c r="Z255" s="412">
        <f t="shared" si="124"/>
        <v>0.35000000000000003</v>
      </c>
      <c r="AA255" s="412" t="s">
        <v>221</v>
      </c>
      <c r="AB255" s="439">
        <v>2</v>
      </c>
      <c r="AC255" s="1248">
        <v>0.04</v>
      </c>
      <c r="AD255" s="1259">
        <v>1</v>
      </c>
      <c r="AE255" s="1259">
        <v>0.04</v>
      </c>
      <c r="AF255" s="1292" t="s">
        <v>221</v>
      </c>
      <c r="AG255" s="538" t="s">
        <v>144</v>
      </c>
      <c r="AH255" s="452" t="s">
        <v>144</v>
      </c>
      <c r="AI255" s="452" t="s">
        <v>144</v>
      </c>
      <c r="AJ255" s="452" t="s">
        <v>221</v>
      </c>
      <c r="AK255" s="449" t="str">
        <f t="shared" si="125"/>
        <v>YES</v>
      </c>
      <c r="AL255" s="221" t="s">
        <v>232</v>
      </c>
      <c r="AM255" s="406" t="s">
        <v>232</v>
      </c>
      <c r="AN255" s="1330" t="str">
        <f t="shared" si="126"/>
        <v>na</v>
      </c>
      <c r="AP255" s="1062"/>
    </row>
    <row r="256" spans="1:44" ht="13.9" customHeight="1" x14ac:dyDescent="0.25">
      <c r="A256" s="846">
        <f>Chem!A256</f>
        <v>254</v>
      </c>
      <c r="B256" s="865" t="str">
        <f>Chem!B256</f>
        <v>Chlorpyrifos</v>
      </c>
      <c r="C256" s="384">
        <v>7280</v>
      </c>
      <c r="D256" s="384" t="s">
        <v>232</v>
      </c>
      <c r="E256" s="384">
        <f t="shared" si="88"/>
        <v>7.28</v>
      </c>
      <c r="F256" s="384">
        <f t="shared" si="89"/>
        <v>7.28</v>
      </c>
      <c r="G256" s="384" t="s">
        <v>232</v>
      </c>
      <c r="H256" s="384" t="s">
        <v>232</v>
      </c>
      <c r="I256" s="384">
        <f t="shared" si="117"/>
        <v>138.32</v>
      </c>
      <c r="J256" s="384">
        <f t="shared" si="90"/>
        <v>138.32</v>
      </c>
      <c r="K256" s="400" t="s">
        <v>232</v>
      </c>
      <c r="L256" s="400">
        <v>1.1978740801308301E-4</v>
      </c>
      <c r="M256" s="400">
        <f t="shared" si="118"/>
        <v>1.1978740801308301E-4</v>
      </c>
      <c r="N256" s="271" t="s">
        <v>232</v>
      </c>
      <c r="O256" s="425">
        <v>1E-3</v>
      </c>
      <c r="P256" s="1657">
        <v>0.5</v>
      </c>
      <c r="Q256" s="426">
        <f t="shared" si="119"/>
        <v>5.0000000000000001E-4</v>
      </c>
      <c r="R256" s="1665">
        <v>1</v>
      </c>
      <c r="S256" s="426">
        <f t="shared" si="120"/>
        <v>1E-3</v>
      </c>
      <c r="T256" s="425" t="s">
        <v>232</v>
      </c>
      <c r="U256" s="426" t="str">
        <f t="shared" si="121"/>
        <v>na</v>
      </c>
      <c r="V256" s="1272" t="s">
        <v>232</v>
      </c>
      <c r="W256" s="1272" t="str">
        <f t="shared" si="122"/>
        <v>na</v>
      </c>
      <c r="X256" s="412" t="str">
        <f t="shared" si="123"/>
        <v>na</v>
      </c>
      <c r="Y256" s="1272" t="s">
        <v>232</v>
      </c>
      <c r="Z256" s="412" t="str">
        <f t="shared" si="124"/>
        <v>na</v>
      </c>
      <c r="AA256" s="412" t="s">
        <v>221</v>
      </c>
      <c r="AB256" s="439">
        <v>1</v>
      </c>
      <c r="AC256" s="1248">
        <v>0.1</v>
      </c>
      <c r="AD256" s="1259">
        <v>1</v>
      </c>
      <c r="AE256" s="1259">
        <v>0.1</v>
      </c>
      <c r="AF256" s="1292" t="s">
        <v>221</v>
      </c>
      <c r="AG256" s="538" t="s">
        <v>221</v>
      </c>
      <c r="AH256" s="452" t="s">
        <v>144</v>
      </c>
      <c r="AI256" s="452" t="s">
        <v>221</v>
      </c>
      <c r="AJ256" s="452" t="s">
        <v>221</v>
      </c>
      <c r="AK256" s="449" t="str">
        <f t="shared" si="125"/>
        <v>no</v>
      </c>
      <c r="AL256" s="221" t="s">
        <v>232</v>
      </c>
      <c r="AM256" s="406" t="s">
        <v>232</v>
      </c>
      <c r="AN256" s="1330" t="str">
        <f t="shared" si="126"/>
        <v>na</v>
      </c>
      <c r="AP256" s="1062"/>
    </row>
    <row r="257" spans="1:42" ht="13.9" customHeight="1" x14ac:dyDescent="0.25">
      <c r="A257" s="846">
        <f>Chem!A257</f>
        <v>255</v>
      </c>
      <c r="B257" s="865" t="str">
        <f>Chem!B257</f>
        <v>4,4'-DDD</v>
      </c>
      <c r="C257" s="384">
        <v>45800</v>
      </c>
      <c r="D257" s="384" t="s">
        <v>232</v>
      </c>
      <c r="E257" s="384">
        <f t="shared" si="88"/>
        <v>45.800000000000004</v>
      </c>
      <c r="F257" s="384">
        <f t="shared" si="89"/>
        <v>45.800000000000004</v>
      </c>
      <c r="G257" s="384" t="s">
        <v>232</v>
      </c>
      <c r="H257" s="384" t="s">
        <v>232</v>
      </c>
      <c r="I257" s="384">
        <f t="shared" si="117"/>
        <v>870.19999999999993</v>
      </c>
      <c r="J257" s="384">
        <f t="shared" si="90"/>
        <v>870.19999999999993</v>
      </c>
      <c r="K257" s="400" t="s">
        <v>232</v>
      </c>
      <c r="L257" s="400">
        <v>2.6982829108749E-4</v>
      </c>
      <c r="M257" s="400">
        <f t="shared" si="118"/>
        <v>2.6982829108749E-4</v>
      </c>
      <c r="N257" s="271">
        <v>53600</v>
      </c>
      <c r="O257" s="425">
        <v>5.0000000000000001E-4</v>
      </c>
      <c r="P257" s="1657">
        <v>0.5</v>
      </c>
      <c r="Q257" s="426">
        <f t="shared" si="119"/>
        <v>2.5000000000000001E-4</v>
      </c>
      <c r="R257" s="1665">
        <v>1</v>
      </c>
      <c r="S257" s="426">
        <f t="shared" si="120"/>
        <v>5.0000000000000001E-4</v>
      </c>
      <c r="T257" s="425" t="s">
        <v>232</v>
      </c>
      <c r="U257" s="426" t="str">
        <f t="shared" si="121"/>
        <v>na</v>
      </c>
      <c r="V257" s="1272">
        <v>0.24</v>
      </c>
      <c r="W257" s="1272">
        <f t="shared" si="122"/>
        <v>0.48</v>
      </c>
      <c r="X257" s="412">
        <f t="shared" si="123"/>
        <v>0.24</v>
      </c>
      <c r="Y257" s="1272">
        <v>6.8999999999999997E-5</v>
      </c>
      <c r="Z257" s="412">
        <f t="shared" si="124"/>
        <v>0.24149999999999999</v>
      </c>
      <c r="AA257" s="412" t="s">
        <v>221</v>
      </c>
      <c r="AB257" s="439">
        <v>1</v>
      </c>
      <c r="AC257" s="1248">
        <v>0.1</v>
      </c>
      <c r="AD257" s="1259">
        <v>1</v>
      </c>
      <c r="AE257" s="1259">
        <v>0.1</v>
      </c>
      <c r="AF257" s="1292" t="s">
        <v>221</v>
      </c>
      <c r="AG257" s="538" t="s">
        <v>221</v>
      </c>
      <c r="AH257" s="452" t="s">
        <v>144</v>
      </c>
      <c r="AI257" s="452" t="s">
        <v>221</v>
      </c>
      <c r="AJ257" s="452" t="s">
        <v>221</v>
      </c>
      <c r="AK257" s="449" t="str">
        <f t="shared" si="125"/>
        <v>no</v>
      </c>
      <c r="AL257" s="221" t="s">
        <v>232</v>
      </c>
      <c r="AM257" s="406" t="s">
        <v>232</v>
      </c>
      <c r="AN257" s="1330" t="str">
        <f t="shared" si="126"/>
        <v>na</v>
      </c>
      <c r="AP257" s="1062"/>
    </row>
    <row r="258" spans="1:42" ht="13.9" customHeight="1" x14ac:dyDescent="0.25">
      <c r="A258" s="846">
        <f>Chem!A258</f>
        <v>256</v>
      </c>
      <c r="B258" s="865" t="str">
        <f>Chem!B258</f>
        <v>4,4'-DDE</v>
      </c>
      <c r="C258" s="384">
        <v>86400</v>
      </c>
      <c r="D258" s="384" t="s">
        <v>232</v>
      </c>
      <c r="E258" s="384">
        <f t="shared" si="88"/>
        <v>86.4</v>
      </c>
      <c r="F258" s="384">
        <f t="shared" si="89"/>
        <v>86.4</v>
      </c>
      <c r="G258" s="384" t="s">
        <v>232</v>
      </c>
      <c r="H258" s="384" t="s">
        <v>232</v>
      </c>
      <c r="I258" s="384">
        <f t="shared" si="117"/>
        <v>1641.6</v>
      </c>
      <c r="J258" s="384">
        <f t="shared" si="90"/>
        <v>1641.6</v>
      </c>
      <c r="K258" s="400">
        <v>4.3876594647787034E-4</v>
      </c>
      <c r="L258" s="400">
        <v>1.7007358953393299E-3</v>
      </c>
      <c r="M258" s="400">
        <f t="shared" si="118"/>
        <v>4.3876594647787034E-4</v>
      </c>
      <c r="N258" s="271">
        <v>53600</v>
      </c>
      <c r="O258" s="425">
        <v>5.0000000000000001E-4</v>
      </c>
      <c r="P258" s="1657">
        <v>0.8</v>
      </c>
      <c r="Q258" s="426">
        <f t="shared" si="119"/>
        <v>4.0000000000000002E-4</v>
      </c>
      <c r="R258" s="1665">
        <v>1</v>
      </c>
      <c r="S258" s="426">
        <f t="shared" si="120"/>
        <v>5.0000000000000001E-4</v>
      </c>
      <c r="T258" s="425" t="s">
        <v>232</v>
      </c>
      <c r="U258" s="426" t="str">
        <f t="shared" si="121"/>
        <v>na</v>
      </c>
      <c r="V258" s="1272">
        <v>0.34</v>
      </c>
      <c r="W258" s="1272">
        <f t="shared" si="122"/>
        <v>0.42499999999999999</v>
      </c>
      <c r="X258" s="412">
        <f t="shared" si="123"/>
        <v>0.34</v>
      </c>
      <c r="Y258" s="1272">
        <v>9.7000000000000013E-5</v>
      </c>
      <c r="Z258" s="412">
        <f t="shared" si="124"/>
        <v>0.33950000000000002</v>
      </c>
      <c r="AA258" s="412" t="s">
        <v>221</v>
      </c>
      <c r="AB258" s="439">
        <v>2</v>
      </c>
      <c r="AC258" s="1248">
        <v>0.03</v>
      </c>
      <c r="AD258" s="1259">
        <v>1</v>
      </c>
      <c r="AE258" s="1259">
        <v>0</v>
      </c>
      <c r="AF258" s="1292" t="s">
        <v>221</v>
      </c>
      <c r="AG258" s="538" t="s">
        <v>221</v>
      </c>
      <c r="AH258" s="452" t="s">
        <v>144</v>
      </c>
      <c r="AI258" s="452" t="s">
        <v>221</v>
      </c>
      <c r="AJ258" s="452" t="s">
        <v>221</v>
      </c>
      <c r="AK258" s="449" t="str">
        <f t="shared" si="125"/>
        <v>no</v>
      </c>
      <c r="AL258" s="221" t="s">
        <v>232</v>
      </c>
      <c r="AM258" s="406" t="s">
        <v>232</v>
      </c>
      <c r="AN258" s="1330" t="str">
        <f t="shared" si="126"/>
        <v>na</v>
      </c>
      <c r="AP258" s="1062"/>
    </row>
    <row r="259" spans="1:42" ht="13.9" customHeight="1" x14ac:dyDescent="0.25">
      <c r="A259" s="846">
        <f>Chem!A259</f>
        <v>257</v>
      </c>
      <c r="B259" s="865" t="str">
        <f>Chem!B259</f>
        <v>4,4'-DDT</v>
      </c>
      <c r="C259" s="384">
        <v>678000</v>
      </c>
      <c r="D259" s="384" t="s">
        <v>232</v>
      </c>
      <c r="E259" s="384">
        <f t="shared" si="88"/>
        <v>678</v>
      </c>
      <c r="F259" s="384">
        <f t="shared" si="89"/>
        <v>678</v>
      </c>
      <c r="G259" s="384" t="s">
        <v>232</v>
      </c>
      <c r="H259" s="384" t="s">
        <v>232</v>
      </c>
      <c r="I259" s="384">
        <f t="shared" si="117"/>
        <v>12882</v>
      </c>
      <c r="J259" s="384">
        <f t="shared" si="90"/>
        <v>12882</v>
      </c>
      <c r="K259" s="400">
        <v>1.2769125405958403E-4</v>
      </c>
      <c r="L259" s="400">
        <v>3.4014717906786601E-4</v>
      </c>
      <c r="M259" s="400">
        <f t="shared" si="118"/>
        <v>1.2769125405958403E-4</v>
      </c>
      <c r="N259" s="271">
        <v>53600</v>
      </c>
      <c r="O259" s="425">
        <v>5.0000000000000001E-4</v>
      </c>
      <c r="P259" s="1657">
        <v>0.5</v>
      </c>
      <c r="Q259" s="426">
        <f t="shared" si="119"/>
        <v>2.5000000000000001E-4</v>
      </c>
      <c r="R259" s="1665">
        <v>1</v>
      </c>
      <c r="S259" s="426">
        <f t="shared" si="120"/>
        <v>5.0000000000000001E-4</v>
      </c>
      <c r="T259" s="425" t="s">
        <v>232</v>
      </c>
      <c r="U259" s="426" t="str">
        <f t="shared" si="121"/>
        <v>na</v>
      </c>
      <c r="V259" s="1272">
        <v>0.34</v>
      </c>
      <c r="W259" s="1272">
        <f t="shared" si="122"/>
        <v>0.68</v>
      </c>
      <c r="X259" s="412">
        <f t="shared" si="123"/>
        <v>0.34</v>
      </c>
      <c r="Y259" s="1272">
        <v>9.7000000000000013E-5</v>
      </c>
      <c r="Z259" s="412">
        <f t="shared" si="124"/>
        <v>0.33950000000000002</v>
      </c>
      <c r="AA259" s="412" t="s">
        <v>221</v>
      </c>
      <c r="AB259" s="439">
        <v>1</v>
      </c>
      <c r="AC259" s="1248">
        <v>0.1</v>
      </c>
      <c r="AD259" s="1259">
        <v>1</v>
      </c>
      <c r="AE259" s="1259">
        <v>0.03</v>
      </c>
      <c r="AF259" s="1292" t="s">
        <v>221</v>
      </c>
      <c r="AG259" s="538" t="s">
        <v>144</v>
      </c>
      <c r="AH259" s="452" t="s">
        <v>144</v>
      </c>
      <c r="AI259" s="452" t="s">
        <v>144</v>
      </c>
      <c r="AJ259" s="452" t="s">
        <v>221</v>
      </c>
      <c r="AK259" s="449" t="str">
        <f t="shared" si="125"/>
        <v>YES</v>
      </c>
      <c r="AL259" s="221" t="s">
        <v>232</v>
      </c>
      <c r="AM259" s="406" t="s">
        <v>232</v>
      </c>
      <c r="AN259" s="1330" t="str">
        <f t="shared" si="126"/>
        <v>na</v>
      </c>
      <c r="AP259" s="1062"/>
    </row>
    <row r="260" spans="1:42" ht="13.9" customHeight="1" x14ac:dyDescent="0.25">
      <c r="A260" s="846">
        <f>Chem!A260</f>
        <v>258</v>
      </c>
      <c r="B260" s="865" t="str">
        <f>Chem!B260</f>
        <v xml:space="preserve">Total DDD </v>
      </c>
      <c r="C260" s="384">
        <v>45800</v>
      </c>
      <c r="D260" s="384" t="s">
        <v>232</v>
      </c>
      <c r="E260" s="384">
        <f t="shared" ref="E260:E291" si="127">IF(C260="na","na",C260*F$1)</f>
        <v>45.800000000000004</v>
      </c>
      <c r="F260" s="384">
        <f t="shared" ref="F260:F291" si="128">IF(D260="na",E260,D260)</f>
        <v>45.800000000000004</v>
      </c>
      <c r="G260" s="384" t="s">
        <v>232</v>
      </c>
      <c r="H260" s="384" t="s">
        <v>232</v>
      </c>
      <c r="I260" s="384">
        <f t="shared" si="117"/>
        <v>870.19999999999993</v>
      </c>
      <c r="J260" s="384">
        <f t="shared" si="90"/>
        <v>870.19999999999993</v>
      </c>
      <c r="K260" s="400" t="s">
        <v>232</v>
      </c>
      <c r="L260" s="400">
        <v>2.6982829108749E-4</v>
      </c>
      <c r="M260" s="400">
        <f t="shared" si="118"/>
        <v>2.6982829108749E-4</v>
      </c>
      <c r="N260" s="271">
        <v>53600</v>
      </c>
      <c r="O260" s="425">
        <v>5.0000000000000001E-4</v>
      </c>
      <c r="P260" s="1657">
        <v>0.5</v>
      </c>
      <c r="Q260" s="426">
        <f t="shared" si="119"/>
        <v>2.5000000000000001E-4</v>
      </c>
      <c r="R260" s="1665">
        <v>1</v>
      </c>
      <c r="S260" s="426">
        <f t="shared" si="120"/>
        <v>5.0000000000000001E-4</v>
      </c>
      <c r="T260" s="425" t="s">
        <v>232</v>
      </c>
      <c r="U260" s="426" t="str">
        <f t="shared" si="121"/>
        <v>na</v>
      </c>
      <c r="V260" s="1272">
        <v>0.24</v>
      </c>
      <c r="W260" s="1272">
        <f t="shared" si="122"/>
        <v>0.48</v>
      </c>
      <c r="X260" s="412">
        <v>0.24</v>
      </c>
      <c r="Y260" s="1272">
        <v>6.8999999999999997E-5</v>
      </c>
      <c r="Z260" s="412">
        <f t="shared" si="124"/>
        <v>0.24149999999999999</v>
      </c>
      <c r="AA260" s="412" t="s">
        <v>221</v>
      </c>
      <c r="AB260" s="439">
        <v>1</v>
      </c>
      <c r="AC260" s="1248">
        <v>0.1</v>
      </c>
      <c r="AD260" s="1259">
        <v>1</v>
      </c>
      <c r="AE260" s="1259">
        <v>0.1</v>
      </c>
      <c r="AF260" s="1292" t="s">
        <v>221</v>
      </c>
      <c r="AG260" s="538" t="s">
        <v>221</v>
      </c>
      <c r="AH260" s="452" t="s">
        <v>144</v>
      </c>
      <c r="AI260" s="452" t="s">
        <v>221</v>
      </c>
      <c r="AJ260" s="452" t="s">
        <v>221</v>
      </c>
      <c r="AK260" s="449" t="str">
        <f t="shared" si="125"/>
        <v>no</v>
      </c>
      <c r="AL260" s="221" t="s">
        <v>232</v>
      </c>
      <c r="AM260" s="406" t="s">
        <v>232</v>
      </c>
      <c r="AN260" s="1330" t="str">
        <f t="shared" si="126"/>
        <v>na</v>
      </c>
      <c r="AP260" s="1062"/>
    </row>
    <row r="261" spans="1:42" ht="13.9" customHeight="1" x14ac:dyDescent="0.25">
      <c r="A261" s="846">
        <f>Chem!A261</f>
        <v>259</v>
      </c>
      <c r="B261" s="865" t="str">
        <f>Chem!B261</f>
        <v>Total DDE</v>
      </c>
      <c r="C261" s="384">
        <v>86400</v>
      </c>
      <c r="D261" s="384" t="s">
        <v>232</v>
      </c>
      <c r="E261" s="384">
        <f t="shared" si="127"/>
        <v>86.4</v>
      </c>
      <c r="F261" s="384">
        <f t="shared" si="128"/>
        <v>86.4</v>
      </c>
      <c r="G261" s="384" t="s">
        <v>232</v>
      </c>
      <c r="H261" s="384" t="s">
        <v>232</v>
      </c>
      <c r="I261" s="384">
        <f t="shared" si="117"/>
        <v>1641.6</v>
      </c>
      <c r="J261" s="384">
        <f t="shared" ref="J261:J291" si="129">IF(ISNUMBER(G261),G261*J$1,IF(ISNUMBER(H261),H261,I261))</f>
        <v>1641.6</v>
      </c>
      <c r="K261" s="400">
        <v>4.3876594647787034E-4</v>
      </c>
      <c r="L261" s="400">
        <v>1.7007358953393299E-3</v>
      </c>
      <c r="M261" s="400">
        <f t="shared" si="118"/>
        <v>4.3876594647787034E-4</v>
      </c>
      <c r="N261" s="271">
        <v>53600</v>
      </c>
      <c r="O261" s="425">
        <v>5.0000000000000001E-4</v>
      </c>
      <c r="P261" s="1657">
        <v>0.8</v>
      </c>
      <c r="Q261" s="426">
        <f t="shared" si="119"/>
        <v>4.0000000000000002E-4</v>
      </c>
      <c r="R261" s="1665">
        <v>1</v>
      </c>
      <c r="S261" s="426">
        <f t="shared" si="120"/>
        <v>5.0000000000000001E-4</v>
      </c>
      <c r="T261" s="425" t="s">
        <v>232</v>
      </c>
      <c r="U261" s="426" t="str">
        <f t="shared" si="121"/>
        <v>na</v>
      </c>
      <c r="V261" s="1272">
        <v>0.34</v>
      </c>
      <c r="W261" s="1272">
        <f t="shared" si="122"/>
        <v>0.42499999999999999</v>
      </c>
      <c r="X261" s="412">
        <v>0.34</v>
      </c>
      <c r="Y261" s="1272">
        <v>9.7000000000000013E-5</v>
      </c>
      <c r="Z261" s="412">
        <f t="shared" si="124"/>
        <v>0.33950000000000002</v>
      </c>
      <c r="AA261" s="412" t="s">
        <v>221</v>
      </c>
      <c r="AB261" s="439">
        <v>2</v>
      </c>
      <c r="AC261" s="1248">
        <v>0.03</v>
      </c>
      <c r="AD261" s="1259">
        <v>1</v>
      </c>
      <c r="AE261" s="1259">
        <v>0</v>
      </c>
      <c r="AF261" s="1292" t="s">
        <v>221</v>
      </c>
      <c r="AG261" s="538" t="s">
        <v>221</v>
      </c>
      <c r="AH261" s="452" t="s">
        <v>144</v>
      </c>
      <c r="AI261" s="452" t="s">
        <v>221</v>
      </c>
      <c r="AJ261" s="452" t="s">
        <v>221</v>
      </c>
      <c r="AK261" s="449" t="str">
        <f t="shared" si="125"/>
        <v>no</v>
      </c>
      <c r="AL261" s="221" t="s">
        <v>232</v>
      </c>
      <c r="AM261" s="406" t="s">
        <v>232</v>
      </c>
      <c r="AN261" s="1330" t="str">
        <f t="shared" si="126"/>
        <v>na</v>
      </c>
      <c r="AP261" s="1062"/>
    </row>
    <row r="262" spans="1:42" ht="13.9" customHeight="1" x14ac:dyDescent="0.25">
      <c r="A262" s="846">
        <f>Chem!A262</f>
        <v>260</v>
      </c>
      <c r="B262" s="865" t="str">
        <f>Chem!B262</f>
        <v>Total DDT</v>
      </c>
      <c r="C262" s="384">
        <v>678000</v>
      </c>
      <c r="D262" s="384" t="s">
        <v>232</v>
      </c>
      <c r="E262" s="384">
        <f t="shared" si="127"/>
        <v>678</v>
      </c>
      <c r="F262" s="384">
        <f t="shared" si="128"/>
        <v>678</v>
      </c>
      <c r="G262" s="384" t="s">
        <v>232</v>
      </c>
      <c r="H262" s="384" t="s">
        <v>232</v>
      </c>
      <c r="I262" s="384">
        <f t="shared" si="117"/>
        <v>12882</v>
      </c>
      <c r="J262" s="384">
        <f t="shared" si="129"/>
        <v>12882</v>
      </c>
      <c r="K262" s="400">
        <v>1.2769125405958403E-4</v>
      </c>
      <c r="L262" s="400">
        <v>3.4014717906786601E-4</v>
      </c>
      <c r="M262" s="400">
        <f t="shared" si="118"/>
        <v>1.2769125405958403E-4</v>
      </c>
      <c r="N262" s="271">
        <v>53600</v>
      </c>
      <c r="O262" s="425">
        <v>5.0000000000000001E-4</v>
      </c>
      <c r="P262" s="1657">
        <v>0.5</v>
      </c>
      <c r="Q262" s="426">
        <f t="shared" si="119"/>
        <v>2.5000000000000001E-4</v>
      </c>
      <c r="R262" s="1665">
        <v>1</v>
      </c>
      <c r="S262" s="426">
        <f t="shared" si="120"/>
        <v>5.0000000000000001E-4</v>
      </c>
      <c r="T262" s="425" t="s">
        <v>232</v>
      </c>
      <c r="U262" s="426" t="str">
        <f t="shared" si="121"/>
        <v>na</v>
      </c>
      <c r="V262" s="1272">
        <v>0.34</v>
      </c>
      <c r="W262" s="1272">
        <f t="shared" si="122"/>
        <v>0.68</v>
      </c>
      <c r="X262" s="412">
        <v>0.34</v>
      </c>
      <c r="Y262" s="1272">
        <v>9.7000000000000013E-5</v>
      </c>
      <c r="Z262" s="412">
        <f t="shared" si="124"/>
        <v>0.33950000000000002</v>
      </c>
      <c r="AA262" s="412" t="s">
        <v>221</v>
      </c>
      <c r="AB262" s="439">
        <v>1</v>
      </c>
      <c r="AC262" s="1248">
        <v>0.1</v>
      </c>
      <c r="AD262" s="1259">
        <v>1</v>
      </c>
      <c r="AE262" s="1259">
        <v>0.03</v>
      </c>
      <c r="AF262" s="1292" t="s">
        <v>221</v>
      </c>
      <c r="AG262" s="538" t="s">
        <v>144</v>
      </c>
      <c r="AH262" s="452" t="s">
        <v>144</v>
      </c>
      <c r="AI262" s="452" t="s">
        <v>144</v>
      </c>
      <c r="AJ262" s="452" t="s">
        <v>221</v>
      </c>
      <c r="AK262" s="449" t="str">
        <f t="shared" si="125"/>
        <v>YES</v>
      </c>
      <c r="AL262" s="221" t="s">
        <v>232</v>
      </c>
      <c r="AM262" s="406" t="s">
        <v>232</v>
      </c>
      <c r="AN262" s="1330" t="str">
        <f t="shared" si="126"/>
        <v>na</v>
      </c>
      <c r="AP262" s="1062"/>
    </row>
    <row r="263" spans="1:42" ht="13.9" customHeight="1" x14ac:dyDescent="0.25">
      <c r="A263" s="846">
        <f>Chem!A263</f>
        <v>261</v>
      </c>
      <c r="B263" s="865" t="str">
        <f>Chem!B263</f>
        <v>Diazinon</v>
      </c>
      <c r="C263" s="384">
        <v>3030</v>
      </c>
      <c r="D263" s="384" t="s">
        <v>232</v>
      </c>
      <c r="E263" s="384">
        <f t="shared" si="127"/>
        <v>3.0300000000000002</v>
      </c>
      <c r="F263" s="384">
        <f t="shared" si="128"/>
        <v>3.0300000000000002</v>
      </c>
      <c r="G263" s="384" t="s">
        <v>232</v>
      </c>
      <c r="H263" s="384" t="s">
        <v>232</v>
      </c>
      <c r="I263" s="384">
        <f t="shared" si="117"/>
        <v>57.57</v>
      </c>
      <c r="J263" s="384">
        <f t="shared" si="129"/>
        <v>57.57</v>
      </c>
      <c r="K263" s="400" t="s">
        <v>232</v>
      </c>
      <c r="L263" s="400">
        <v>4.6197874080130802E-6</v>
      </c>
      <c r="M263" s="400">
        <f t="shared" si="118"/>
        <v>4.6197874080130802E-6</v>
      </c>
      <c r="N263" s="271" t="s">
        <v>232</v>
      </c>
      <c r="O263" s="425">
        <v>6.9999999999999999E-4</v>
      </c>
      <c r="P263" s="1657">
        <v>0.5</v>
      </c>
      <c r="Q263" s="426">
        <f t="shared" si="119"/>
        <v>3.5E-4</v>
      </c>
      <c r="R263" s="1665">
        <v>1</v>
      </c>
      <c r="S263" s="426">
        <f t="shared" si="120"/>
        <v>6.9999999999999999E-4</v>
      </c>
      <c r="T263" s="425" t="s">
        <v>232</v>
      </c>
      <c r="U263" s="426" t="str">
        <f t="shared" si="121"/>
        <v>na</v>
      </c>
      <c r="V263" s="1272" t="s">
        <v>232</v>
      </c>
      <c r="W263" s="1272" t="str">
        <f t="shared" si="122"/>
        <v>na</v>
      </c>
      <c r="X263" s="412" t="str">
        <f t="shared" ref="X263:X280" si="130">IF(V263="na","na",V263/R263)</f>
        <v>na</v>
      </c>
      <c r="Y263" s="1272" t="s">
        <v>232</v>
      </c>
      <c r="Z263" s="412" t="str">
        <f t="shared" si="124"/>
        <v>na</v>
      </c>
      <c r="AA263" s="412" t="s">
        <v>221</v>
      </c>
      <c r="AB263" s="439">
        <v>1</v>
      </c>
      <c r="AC263" s="1248">
        <v>0.1</v>
      </c>
      <c r="AD263" s="1259">
        <v>1</v>
      </c>
      <c r="AE263" s="1259">
        <v>0.1</v>
      </c>
      <c r="AF263" s="1292" t="s">
        <v>221</v>
      </c>
      <c r="AG263" s="538" t="s">
        <v>221</v>
      </c>
      <c r="AH263" s="452" t="s">
        <v>144</v>
      </c>
      <c r="AI263" s="452" t="s">
        <v>221</v>
      </c>
      <c r="AJ263" s="452" t="s">
        <v>221</v>
      </c>
      <c r="AK263" s="449" t="str">
        <f t="shared" si="125"/>
        <v>no</v>
      </c>
      <c r="AL263" s="221" t="s">
        <v>232</v>
      </c>
      <c r="AM263" s="406" t="s">
        <v>232</v>
      </c>
      <c r="AN263" s="1330" t="str">
        <f t="shared" si="126"/>
        <v>na</v>
      </c>
      <c r="AP263" s="1062"/>
    </row>
    <row r="264" spans="1:42" ht="13.9" customHeight="1" x14ac:dyDescent="0.25">
      <c r="A264" s="846">
        <f>Chem!A264</f>
        <v>262</v>
      </c>
      <c r="B264" s="865" t="str">
        <f>Chem!B264</f>
        <v>Dieldrin</v>
      </c>
      <c r="C264" s="384">
        <v>25500</v>
      </c>
      <c r="D264" s="384" t="s">
        <v>232</v>
      </c>
      <c r="E264" s="384">
        <f t="shared" si="127"/>
        <v>25.5</v>
      </c>
      <c r="F264" s="384">
        <f t="shared" si="128"/>
        <v>25.5</v>
      </c>
      <c r="G264" s="384" t="s">
        <v>232</v>
      </c>
      <c r="H264" s="384" t="s">
        <v>232</v>
      </c>
      <c r="I264" s="384">
        <f t="shared" si="117"/>
        <v>484.5</v>
      </c>
      <c r="J264" s="384">
        <f t="shared" si="129"/>
        <v>484.5</v>
      </c>
      <c r="K264" s="400">
        <v>8.7794244798464316E-5</v>
      </c>
      <c r="L264" s="400">
        <v>4.0883074407195401E-4</v>
      </c>
      <c r="M264" s="400">
        <f t="shared" si="118"/>
        <v>8.7794244798464316E-5</v>
      </c>
      <c r="N264" s="271">
        <v>4670</v>
      </c>
      <c r="O264" s="425">
        <v>5.0000000000000002E-5</v>
      </c>
      <c r="P264" s="1657">
        <v>0.5</v>
      </c>
      <c r="Q264" s="426">
        <f t="shared" si="119"/>
        <v>2.5000000000000001E-5</v>
      </c>
      <c r="R264" s="1665">
        <v>1</v>
      </c>
      <c r="S264" s="426">
        <f t="shared" si="120"/>
        <v>5.0000000000000002E-5</v>
      </c>
      <c r="T264" s="425" t="s">
        <v>232</v>
      </c>
      <c r="U264" s="426" t="str">
        <f t="shared" si="121"/>
        <v>na</v>
      </c>
      <c r="V264" s="1272">
        <v>16</v>
      </c>
      <c r="W264" s="1272">
        <f t="shared" si="122"/>
        <v>32</v>
      </c>
      <c r="X264" s="412">
        <f t="shared" si="130"/>
        <v>16</v>
      </c>
      <c r="Y264" s="1272">
        <v>4.6000000000000008E-3</v>
      </c>
      <c r="Z264" s="412">
        <f t="shared" si="124"/>
        <v>16.100000000000001</v>
      </c>
      <c r="AA264" s="412" t="s">
        <v>221</v>
      </c>
      <c r="AB264" s="439">
        <v>1</v>
      </c>
      <c r="AC264" s="1248">
        <v>0.1</v>
      </c>
      <c r="AD264" s="1259">
        <v>1</v>
      </c>
      <c r="AE264" s="1259">
        <v>0.1</v>
      </c>
      <c r="AF264" s="1292" t="s">
        <v>221</v>
      </c>
      <c r="AG264" s="538" t="s">
        <v>144</v>
      </c>
      <c r="AH264" s="452" t="s">
        <v>221</v>
      </c>
      <c r="AI264" s="452" t="s">
        <v>144</v>
      </c>
      <c r="AJ264" s="452" t="s">
        <v>221</v>
      </c>
      <c r="AK264" s="449" t="str">
        <f t="shared" si="125"/>
        <v>YES</v>
      </c>
      <c r="AL264" s="221" t="s">
        <v>232</v>
      </c>
      <c r="AM264" s="406" t="s">
        <v>232</v>
      </c>
      <c r="AN264" s="1330" t="str">
        <f t="shared" si="126"/>
        <v>na</v>
      </c>
      <c r="AP264" s="1062"/>
    </row>
    <row r="265" spans="1:42" ht="13.9" customHeight="1" x14ac:dyDescent="0.25">
      <c r="A265" s="846">
        <f>Chem!A265</f>
        <v>263</v>
      </c>
      <c r="B265" s="865" t="str">
        <f>Chem!B265</f>
        <v>alpha-Endosulfan</v>
      </c>
      <c r="C265" s="384" t="s">
        <v>232</v>
      </c>
      <c r="D265" s="384" t="s">
        <v>232</v>
      </c>
      <c r="E265" s="384" t="str">
        <f t="shared" si="127"/>
        <v>na</v>
      </c>
      <c r="F265" s="384" t="str">
        <f t="shared" si="128"/>
        <v>na</v>
      </c>
      <c r="G265" s="384" t="s">
        <v>232</v>
      </c>
      <c r="H265" s="384" t="s">
        <v>232</v>
      </c>
      <c r="I265" s="384" t="str">
        <f t="shared" ref="I265:I269" si="131">IF(C265="na","na",C265*J$1)</f>
        <v>na</v>
      </c>
      <c r="J265" s="384" t="str">
        <f t="shared" ref="J265:J269" si="132">IF(ISNUMBER(G265),G265*J$1,IF(ISNUMBER(H265),H265,I265))</f>
        <v>na</v>
      </c>
      <c r="K265" s="400" t="s">
        <v>232</v>
      </c>
      <c r="L265" s="400">
        <v>7.0899999999999999E-6</v>
      </c>
      <c r="M265" s="400">
        <f t="shared" si="118"/>
        <v>7.0899999999999999E-6</v>
      </c>
      <c r="N265" s="271" t="s">
        <v>232</v>
      </c>
      <c r="O265" s="425" t="s">
        <v>232</v>
      </c>
      <c r="P265" s="1657">
        <v>0.5</v>
      </c>
      <c r="Q265" s="426" t="str">
        <f t="shared" si="119"/>
        <v>na</v>
      </c>
      <c r="R265" s="1665">
        <v>1</v>
      </c>
      <c r="S265" s="426" t="str">
        <f t="shared" si="120"/>
        <v>na</v>
      </c>
      <c r="T265" s="425" t="s">
        <v>232</v>
      </c>
      <c r="U265" s="426" t="str">
        <f t="shared" si="121"/>
        <v>na</v>
      </c>
      <c r="V265" s="1272" t="s">
        <v>232</v>
      </c>
      <c r="W265" s="1272" t="str">
        <f t="shared" si="122"/>
        <v>na</v>
      </c>
      <c r="X265" s="412" t="str">
        <f t="shared" si="130"/>
        <v>na</v>
      </c>
      <c r="Y265" s="1272" t="s">
        <v>232</v>
      </c>
      <c r="Z265" s="412" t="str">
        <f t="shared" si="124"/>
        <v>na</v>
      </c>
      <c r="AA265" s="412" t="s">
        <v>221</v>
      </c>
      <c r="AB265" s="439">
        <v>1</v>
      </c>
      <c r="AC265" s="1248">
        <v>0.1</v>
      </c>
      <c r="AD265" s="1259">
        <v>1</v>
      </c>
      <c r="AE265" s="1259">
        <v>0</v>
      </c>
      <c r="AF265" s="1292" t="s">
        <v>221</v>
      </c>
      <c r="AG265" s="538" t="s">
        <v>221</v>
      </c>
      <c r="AH265" s="452" t="s">
        <v>144</v>
      </c>
      <c r="AI265" s="452" t="s">
        <v>221</v>
      </c>
      <c r="AJ265" s="452" t="s">
        <v>221</v>
      </c>
      <c r="AK265" s="449" t="str">
        <f t="shared" si="125"/>
        <v>no</v>
      </c>
      <c r="AL265" s="221" t="s">
        <v>232</v>
      </c>
      <c r="AM265" s="406" t="s">
        <v>232</v>
      </c>
      <c r="AN265" s="1330" t="str">
        <f t="shared" ref="AN265:AN269" si="133">AM265</f>
        <v>na</v>
      </c>
      <c r="AP265" s="1062"/>
    </row>
    <row r="266" spans="1:42" ht="13.9" customHeight="1" x14ac:dyDescent="0.25">
      <c r="A266" s="846">
        <f>Chem!A266</f>
        <v>264</v>
      </c>
      <c r="B266" s="865" t="str">
        <f>Chem!B266</f>
        <v>beta-Endosulfan</v>
      </c>
      <c r="C266" s="384" t="s">
        <v>232</v>
      </c>
      <c r="D266" s="384" t="s">
        <v>232</v>
      </c>
      <c r="E266" s="384" t="str">
        <f t="shared" si="127"/>
        <v>na</v>
      </c>
      <c r="F266" s="384" t="str">
        <f t="shared" si="128"/>
        <v>na</v>
      </c>
      <c r="G266" s="384" t="s">
        <v>232</v>
      </c>
      <c r="H266" s="384" t="s">
        <v>232</v>
      </c>
      <c r="I266" s="384" t="str">
        <f t="shared" si="131"/>
        <v>na</v>
      </c>
      <c r="J266" s="384" t="str">
        <f t="shared" si="132"/>
        <v>na</v>
      </c>
      <c r="K266" s="400" t="s">
        <v>232</v>
      </c>
      <c r="L266" s="400">
        <v>3.9099999999999999E-7</v>
      </c>
      <c r="M266" s="400">
        <f t="shared" si="118"/>
        <v>3.9099999999999999E-7</v>
      </c>
      <c r="N266" s="271" t="s">
        <v>232</v>
      </c>
      <c r="O266" s="425" t="s">
        <v>232</v>
      </c>
      <c r="P266" s="1657">
        <v>0.5</v>
      </c>
      <c r="Q266" s="426" t="str">
        <f t="shared" si="119"/>
        <v>na</v>
      </c>
      <c r="R266" s="1665">
        <v>1</v>
      </c>
      <c r="S266" s="426" t="str">
        <f t="shared" si="120"/>
        <v>na</v>
      </c>
      <c r="T266" s="425" t="s">
        <v>232</v>
      </c>
      <c r="U266" s="426" t="str">
        <f t="shared" si="121"/>
        <v>na</v>
      </c>
      <c r="V266" s="1272" t="s">
        <v>232</v>
      </c>
      <c r="W266" s="1272" t="str">
        <f t="shared" si="122"/>
        <v>na</v>
      </c>
      <c r="X266" s="412" t="str">
        <f t="shared" si="130"/>
        <v>na</v>
      </c>
      <c r="Y266" s="1272" t="s">
        <v>232</v>
      </c>
      <c r="Z266" s="412" t="str">
        <f t="shared" si="124"/>
        <v>na</v>
      </c>
      <c r="AA266" s="412" t="s">
        <v>221</v>
      </c>
      <c r="AB266" s="439">
        <v>1</v>
      </c>
      <c r="AC266" s="1248">
        <v>0.1</v>
      </c>
      <c r="AD266" s="1259">
        <v>1</v>
      </c>
      <c r="AE266" s="1259">
        <v>0</v>
      </c>
      <c r="AF266" s="1292" t="s">
        <v>221</v>
      </c>
      <c r="AG266" s="538" t="s">
        <v>221</v>
      </c>
      <c r="AH266" s="452" t="s">
        <v>144</v>
      </c>
      <c r="AI266" s="452" t="s">
        <v>221</v>
      </c>
      <c r="AJ266" s="452" t="s">
        <v>221</v>
      </c>
      <c r="AK266" s="449" t="str">
        <f t="shared" si="125"/>
        <v>no</v>
      </c>
      <c r="AL266" s="221" t="s">
        <v>232</v>
      </c>
      <c r="AM266" s="406" t="s">
        <v>232</v>
      </c>
      <c r="AN266" s="1330" t="str">
        <f t="shared" si="133"/>
        <v>na</v>
      </c>
      <c r="AP266" s="1062"/>
    </row>
    <row r="267" spans="1:42" ht="13.9" customHeight="1" x14ac:dyDescent="0.25">
      <c r="A267" s="846">
        <f>Chem!A267</f>
        <v>265</v>
      </c>
      <c r="B267" s="865" t="str">
        <f>Chem!B267</f>
        <v>Sum of alpha and beta endosuflan</v>
      </c>
      <c r="C267" s="384">
        <v>2040</v>
      </c>
      <c r="D267" s="384" t="s">
        <v>232</v>
      </c>
      <c r="E267" s="384">
        <f t="shared" si="127"/>
        <v>2.04</v>
      </c>
      <c r="F267" s="384">
        <f t="shared" si="128"/>
        <v>2.04</v>
      </c>
      <c r="G267" s="384" t="s">
        <v>232</v>
      </c>
      <c r="H267" s="384" t="s">
        <v>232</v>
      </c>
      <c r="I267" s="384">
        <f t="shared" si="131"/>
        <v>38.76</v>
      </c>
      <c r="J267" s="384">
        <f t="shared" si="132"/>
        <v>38.76</v>
      </c>
      <c r="K267" s="400" t="s">
        <v>232</v>
      </c>
      <c r="L267" s="400">
        <v>7.0899999999999999E-6</v>
      </c>
      <c r="M267" s="400">
        <f t="shared" si="118"/>
        <v>7.0899999999999999E-6</v>
      </c>
      <c r="N267" s="271">
        <v>270</v>
      </c>
      <c r="O267" s="425">
        <v>6.0000000000000001E-3</v>
      </c>
      <c r="P267" s="1657">
        <v>0.5</v>
      </c>
      <c r="Q267" s="426">
        <f t="shared" si="119"/>
        <v>3.0000000000000001E-3</v>
      </c>
      <c r="R267" s="1665">
        <v>1</v>
      </c>
      <c r="S267" s="426">
        <f t="shared" si="120"/>
        <v>6.0000000000000001E-3</v>
      </c>
      <c r="T267" s="425" t="s">
        <v>232</v>
      </c>
      <c r="U267" s="426" t="str">
        <f t="shared" si="121"/>
        <v>na</v>
      </c>
      <c r="V267" s="1272" t="s">
        <v>232</v>
      </c>
      <c r="W267" s="1272" t="str">
        <f t="shared" si="122"/>
        <v>na</v>
      </c>
      <c r="X267" s="412" t="str">
        <f t="shared" si="130"/>
        <v>na</v>
      </c>
      <c r="Y267" s="1272" t="s">
        <v>232</v>
      </c>
      <c r="Z267" s="412" t="str">
        <f t="shared" si="124"/>
        <v>na</v>
      </c>
      <c r="AA267" s="412" t="s">
        <v>221</v>
      </c>
      <c r="AB267" s="439">
        <v>2</v>
      </c>
      <c r="AC267" s="1248">
        <v>0.1</v>
      </c>
      <c r="AD267" s="1259">
        <v>1</v>
      </c>
      <c r="AE267" s="1259">
        <v>0</v>
      </c>
      <c r="AF267" s="1292" t="s">
        <v>221</v>
      </c>
      <c r="AG267" s="538" t="s">
        <v>221</v>
      </c>
      <c r="AH267" s="452" t="s">
        <v>144</v>
      </c>
      <c r="AI267" s="452" t="s">
        <v>221</v>
      </c>
      <c r="AJ267" s="452" t="s">
        <v>221</v>
      </c>
      <c r="AK267" s="449" t="str">
        <f t="shared" si="125"/>
        <v>no</v>
      </c>
      <c r="AL267" s="221" t="s">
        <v>232</v>
      </c>
      <c r="AM267" s="406" t="s">
        <v>232</v>
      </c>
      <c r="AN267" s="1330" t="str">
        <f t="shared" si="133"/>
        <v>na</v>
      </c>
      <c r="AP267" s="1062"/>
    </row>
    <row r="268" spans="1:42" ht="13.9" customHeight="1" x14ac:dyDescent="0.25">
      <c r="A268" s="846">
        <f>Chem!A268</f>
        <v>266</v>
      </c>
      <c r="B268" s="865" t="str">
        <f>Chem!B268</f>
        <v>Endosulfan sulfate</v>
      </c>
      <c r="C268" s="384">
        <v>9847</v>
      </c>
      <c r="D268" s="384" t="s">
        <v>232</v>
      </c>
      <c r="E268" s="384">
        <f t="shared" si="127"/>
        <v>9.8469999999999995</v>
      </c>
      <c r="F268" s="384">
        <f t="shared" si="128"/>
        <v>9.8469999999999995</v>
      </c>
      <c r="G268" s="384" t="s">
        <v>232</v>
      </c>
      <c r="H268" s="384" t="s">
        <v>232</v>
      </c>
      <c r="I268" s="384">
        <f t="shared" si="131"/>
        <v>187.09299999999999</v>
      </c>
      <c r="J268" s="384">
        <f t="shared" si="132"/>
        <v>187.09299999999999</v>
      </c>
      <c r="K268" s="400" t="s">
        <v>232</v>
      </c>
      <c r="L268" s="400" t="s">
        <v>232</v>
      </c>
      <c r="M268" s="400">
        <f t="shared" si="118"/>
        <v>0</v>
      </c>
      <c r="N268" s="271" t="s">
        <v>232</v>
      </c>
      <c r="O268" s="425">
        <v>6.0000000000000001E-3</v>
      </c>
      <c r="P268" s="1657">
        <v>0.8</v>
      </c>
      <c r="Q268" s="426">
        <f t="shared" si="119"/>
        <v>4.8000000000000004E-3</v>
      </c>
      <c r="R268" s="1665">
        <v>1</v>
      </c>
      <c r="S268" s="426">
        <f t="shared" si="120"/>
        <v>6.0000000000000001E-3</v>
      </c>
      <c r="T268" s="425" t="s">
        <v>232</v>
      </c>
      <c r="U268" s="426" t="str">
        <f t="shared" si="121"/>
        <v>na</v>
      </c>
      <c r="V268" s="1272" t="s">
        <v>232</v>
      </c>
      <c r="W268" s="1272" t="str">
        <f t="shared" si="122"/>
        <v>na</v>
      </c>
      <c r="X268" s="412" t="str">
        <f t="shared" si="130"/>
        <v>na</v>
      </c>
      <c r="Y268" s="1272" t="s">
        <v>232</v>
      </c>
      <c r="Z268" s="412" t="str">
        <f t="shared" si="124"/>
        <v>na</v>
      </c>
      <c r="AA268" s="412" t="s">
        <v>221</v>
      </c>
      <c r="AB268" s="439">
        <v>1</v>
      </c>
      <c r="AC268" s="1248">
        <v>0.1</v>
      </c>
      <c r="AD268" s="1259">
        <v>1</v>
      </c>
      <c r="AE268" s="1259">
        <v>0.1</v>
      </c>
      <c r="AF268" s="1292" t="s">
        <v>221</v>
      </c>
      <c r="AG268" s="538" t="s">
        <v>221</v>
      </c>
      <c r="AH268" s="452" t="s">
        <v>221</v>
      </c>
      <c r="AI268" s="452" t="s">
        <v>221</v>
      </c>
      <c r="AJ268" s="452" t="s">
        <v>221</v>
      </c>
      <c r="AK268" s="449" t="str">
        <f t="shared" si="125"/>
        <v>no</v>
      </c>
      <c r="AL268" s="221" t="s">
        <v>232</v>
      </c>
      <c r="AM268" s="406" t="s">
        <v>232</v>
      </c>
      <c r="AN268" s="1330" t="str">
        <f t="shared" si="133"/>
        <v>na</v>
      </c>
      <c r="AP268" s="1062"/>
    </row>
    <row r="269" spans="1:42" ht="13.9" customHeight="1" x14ac:dyDescent="0.25">
      <c r="A269" s="846">
        <f>Chem!A269</f>
        <v>267</v>
      </c>
      <c r="B269" s="865" t="str">
        <f>Chem!B269</f>
        <v>Sum of alpha, beta, and endosulfan sulfate</v>
      </c>
      <c r="C269" s="384" t="s">
        <v>232</v>
      </c>
      <c r="D269" s="384" t="s">
        <v>232</v>
      </c>
      <c r="E269" s="384" t="str">
        <f t="shared" si="127"/>
        <v>na</v>
      </c>
      <c r="F269" s="384" t="str">
        <f t="shared" si="128"/>
        <v>na</v>
      </c>
      <c r="G269" s="384" t="s">
        <v>232</v>
      </c>
      <c r="H269" s="384" t="s">
        <v>232</v>
      </c>
      <c r="I269" s="384" t="str">
        <f t="shared" si="131"/>
        <v>na</v>
      </c>
      <c r="J269" s="384" t="str">
        <f t="shared" si="132"/>
        <v>na</v>
      </c>
      <c r="K269" s="400" t="s">
        <v>232</v>
      </c>
      <c r="L269" s="400" t="s">
        <v>232</v>
      </c>
      <c r="M269" s="400">
        <f t="shared" si="118"/>
        <v>0</v>
      </c>
      <c r="N269" s="271">
        <v>270</v>
      </c>
      <c r="O269" s="425">
        <v>6.0000000000000001E-3</v>
      </c>
      <c r="P269" s="1657">
        <v>0.5</v>
      </c>
      <c r="Q269" s="426">
        <f t="shared" si="119"/>
        <v>3.0000000000000001E-3</v>
      </c>
      <c r="R269" s="1665">
        <v>1</v>
      </c>
      <c r="S269" s="426">
        <f t="shared" si="120"/>
        <v>6.0000000000000001E-3</v>
      </c>
      <c r="T269" s="425" t="s">
        <v>232</v>
      </c>
      <c r="U269" s="426" t="str">
        <f t="shared" si="121"/>
        <v>na</v>
      </c>
      <c r="V269" s="1272" t="s">
        <v>232</v>
      </c>
      <c r="W269" s="1272" t="str">
        <f t="shared" si="122"/>
        <v>na</v>
      </c>
      <c r="X269" s="412" t="str">
        <f t="shared" si="130"/>
        <v>na</v>
      </c>
      <c r="Y269" s="1272" t="s">
        <v>232</v>
      </c>
      <c r="Z269" s="412" t="str">
        <f t="shared" si="124"/>
        <v>na</v>
      </c>
      <c r="AA269" s="412" t="s">
        <v>221</v>
      </c>
      <c r="AB269" s="439">
        <v>1</v>
      </c>
      <c r="AC269" s="1248">
        <v>0.1</v>
      </c>
      <c r="AD269" s="1259">
        <v>1</v>
      </c>
      <c r="AE269" s="1259">
        <v>0.1</v>
      </c>
      <c r="AF269" s="1292" t="s">
        <v>221</v>
      </c>
      <c r="AG269" s="538" t="s">
        <v>221</v>
      </c>
      <c r="AH269" s="452" t="s">
        <v>144</v>
      </c>
      <c r="AI269" s="452" t="s">
        <v>221</v>
      </c>
      <c r="AJ269" s="452" t="s">
        <v>221</v>
      </c>
      <c r="AK269" s="449" t="str">
        <f t="shared" si="125"/>
        <v>no</v>
      </c>
      <c r="AL269" s="221" t="s">
        <v>232</v>
      </c>
      <c r="AM269" s="406" t="s">
        <v>232</v>
      </c>
      <c r="AN269" s="1330" t="str">
        <f t="shared" si="133"/>
        <v>na</v>
      </c>
      <c r="AP269" s="1062"/>
    </row>
    <row r="270" spans="1:42" ht="13.9" customHeight="1" x14ac:dyDescent="0.25">
      <c r="A270" s="846">
        <f>Chem!A270</f>
        <v>268</v>
      </c>
      <c r="B270" s="865" t="str">
        <f>Chem!B270</f>
        <v>Endrin</v>
      </c>
      <c r="C270" s="384">
        <v>10800</v>
      </c>
      <c r="D270" s="384" t="s">
        <v>232</v>
      </c>
      <c r="E270" s="384">
        <f t="shared" si="127"/>
        <v>10.8</v>
      </c>
      <c r="F270" s="384">
        <f t="shared" si="128"/>
        <v>10.8</v>
      </c>
      <c r="G270" s="384" t="s">
        <v>232</v>
      </c>
      <c r="H270" s="384" t="s">
        <v>232</v>
      </c>
      <c r="I270" s="384">
        <f t="shared" si="117"/>
        <v>205.2</v>
      </c>
      <c r="J270" s="384">
        <f t="shared" si="129"/>
        <v>205.2</v>
      </c>
      <c r="K270" s="400" t="s">
        <v>232</v>
      </c>
      <c r="L270" s="400">
        <v>2.60016353229763E-4</v>
      </c>
      <c r="M270" s="400">
        <f t="shared" si="118"/>
        <v>2.60016353229763E-4</v>
      </c>
      <c r="N270" s="271">
        <v>3970</v>
      </c>
      <c r="O270" s="425">
        <v>2.9999999999999997E-4</v>
      </c>
      <c r="P270" s="1657">
        <v>0.5</v>
      </c>
      <c r="Q270" s="426">
        <f t="shared" si="119"/>
        <v>1.4999999999999999E-4</v>
      </c>
      <c r="R270" s="1665">
        <v>1</v>
      </c>
      <c r="S270" s="426">
        <f t="shared" si="120"/>
        <v>2.9999999999999997E-4</v>
      </c>
      <c r="T270" s="425" t="s">
        <v>232</v>
      </c>
      <c r="U270" s="426" t="str">
        <f t="shared" si="121"/>
        <v>na</v>
      </c>
      <c r="V270" s="1272" t="s">
        <v>232</v>
      </c>
      <c r="W270" s="1272" t="str">
        <f t="shared" si="122"/>
        <v>na</v>
      </c>
      <c r="X270" s="412" t="str">
        <f t="shared" si="130"/>
        <v>na</v>
      </c>
      <c r="Y270" s="1272" t="s">
        <v>232</v>
      </c>
      <c r="Z270" s="412" t="str">
        <f t="shared" si="124"/>
        <v>na</v>
      </c>
      <c r="AA270" s="412" t="s">
        <v>221</v>
      </c>
      <c r="AB270" s="439">
        <v>1</v>
      </c>
      <c r="AC270" s="1248">
        <v>0.1</v>
      </c>
      <c r="AD270" s="1259">
        <v>1</v>
      </c>
      <c r="AE270" s="1259">
        <v>0.1</v>
      </c>
      <c r="AF270" s="1292" t="s">
        <v>221</v>
      </c>
      <c r="AG270" s="538" t="s">
        <v>144</v>
      </c>
      <c r="AH270" s="452" t="s">
        <v>221</v>
      </c>
      <c r="AI270" s="452" t="s">
        <v>221</v>
      </c>
      <c r="AJ270" s="452" t="s">
        <v>221</v>
      </c>
      <c r="AK270" s="449" t="str">
        <f t="shared" si="125"/>
        <v>no</v>
      </c>
      <c r="AL270" s="221" t="s">
        <v>232</v>
      </c>
      <c r="AM270" s="406" t="s">
        <v>232</v>
      </c>
      <c r="AN270" s="1330" t="str">
        <f t="shared" si="126"/>
        <v>na</v>
      </c>
      <c r="AP270" s="1062"/>
    </row>
    <row r="271" spans="1:42" ht="13.9" customHeight="1" x14ac:dyDescent="0.25">
      <c r="A271" s="846">
        <f>Chem!A271</f>
        <v>269</v>
      </c>
      <c r="B271" s="865" t="str">
        <f>Chem!B271</f>
        <v>Endrin aldehyde</v>
      </c>
      <c r="C271" s="384">
        <v>3270</v>
      </c>
      <c r="D271" s="384" t="s">
        <v>232</v>
      </c>
      <c r="E271" s="384">
        <f t="shared" si="127"/>
        <v>3.27</v>
      </c>
      <c r="F271" s="384">
        <f t="shared" si="128"/>
        <v>3.27</v>
      </c>
      <c r="G271" s="384" t="s">
        <v>232</v>
      </c>
      <c r="H271" s="384" t="s">
        <v>232</v>
      </c>
      <c r="I271" s="384">
        <f t="shared" si="117"/>
        <v>62.129999999999995</v>
      </c>
      <c r="J271" s="384">
        <f t="shared" si="129"/>
        <v>62.129999999999995</v>
      </c>
      <c r="K271" s="400" t="s">
        <v>232</v>
      </c>
      <c r="L271" s="400">
        <v>1.7089125102207701E-4</v>
      </c>
      <c r="M271" s="400">
        <f t="shared" si="118"/>
        <v>1.7089125102207701E-4</v>
      </c>
      <c r="N271" s="271" t="s">
        <v>232</v>
      </c>
      <c r="O271" s="425" t="s">
        <v>232</v>
      </c>
      <c r="P271" s="1657">
        <v>0.5</v>
      </c>
      <c r="Q271" s="426" t="str">
        <f t="shared" si="119"/>
        <v>na</v>
      </c>
      <c r="R271" s="1665">
        <v>1</v>
      </c>
      <c r="S271" s="426" t="str">
        <f t="shared" si="120"/>
        <v>na</v>
      </c>
      <c r="T271" s="425" t="s">
        <v>232</v>
      </c>
      <c r="U271" s="426" t="str">
        <f t="shared" si="121"/>
        <v>na</v>
      </c>
      <c r="V271" s="1272" t="s">
        <v>232</v>
      </c>
      <c r="W271" s="1272" t="str">
        <f t="shared" si="122"/>
        <v>na</v>
      </c>
      <c r="X271" s="412" t="str">
        <f t="shared" si="130"/>
        <v>na</v>
      </c>
      <c r="Y271" s="1272" t="s">
        <v>232</v>
      </c>
      <c r="Z271" s="412" t="str">
        <f t="shared" si="124"/>
        <v>na</v>
      </c>
      <c r="AA271" s="412" t="s">
        <v>221</v>
      </c>
      <c r="AB271" s="439">
        <v>1</v>
      </c>
      <c r="AC271" s="1248">
        <v>0.1</v>
      </c>
      <c r="AD271" s="1259">
        <v>1</v>
      </c>
      <c r="AE271" s="1259">
        <v>0.1</v>
      </c>
      <c r="AF271" s="1292" t="s">
        <v>221</v>
      </c>
      <c r="AG271" s="538" t="s">
        <v>221</v>
      </c>
      <c r="AH271" s="452" t="s">
        <v>221</v>
      </c>
      <c r="AI271" s="452" t="s">
        <v>221</v>
      </c>
      <c r="AJ271" s="452" t="s">
        <v>221</v>
      </c>
      <c r="AK271" s="449" t="str">
        <f t="shared" si="125"/>
        <v>no</v>
      </c>
      <c r="AL271" s="221" t="s">
        <v>232</v>
      </c>
      <c r="AM271" s="406" t="s">
        <v>232</v>
      </c>
      <c r="AN271" s="1330" t="str">
        <f t="shared" si="126"/>
        <v>na</v>
      </c>
      <c r="AP271" s="1062"/>
    </row>
    <row r="272" spans="1:42" ht="13.9" customHeight="1" x14ac:dyDescent="0.25">
      <c r="A272" s="846">
        <f>Chem!A272</f>
        <v>270</v>
      </c>
      <c r="B272" s="865" t="str">
        <f>Chem!B272</f>
        <v>Endrin ketone</v>
      </c>
      <c r="C272" s="384" t="s">
        <v>232</v>
      </c>
      <c r="D272" s="384" t="s">
        <v>232</v>
      </c>
      <c r="E272" s="384" t="str">
        <f t="shared" si="127"/>
        <v>na</v>
      </c>
      <c r="F272" s="384" t="str">
        <f t="shared" si="128"/>
        <v>na</v>
      </c>
      <c r="G272" s="384" t="s">
        <v>232</v>
      </c>
      <c r="H272" s="384" t="s">
        <v>232</v>
      </c>
      <c r="I272" s="384" t="str">
        <f t="shared" si="117"/>
        <v>na</v>
      </c>
      <c r="J272" s="384" t="str">
        <f t="shared" si="129"/>
        <v>na</v>
      </c>
      <c r="K272" s="400" t="s">
        <v>232</v>
      </c>
      <c r="L272" s="400" t="s">
        <v>232</v>
      </c>
      <c r="M272" s="400">
        <f t="shared" si="118"/>
        <v>0</v>
      </c>
      <c r="N272" s="271" t="s">
        <v>232</v>
      </c>
      <c r="O272" s="425" t="s">
        <v>232</v>
      </c>
      <c r="P272" s="1657">
        <v>0.5</v>
      </c>
      <c r="Q272" s="426" t="str">
        <f t="shared" si="119"/>
        <v>na</v>
      </c>
      <c r="R272" s="1665">
        <v>1</v>
      </c>
      <c r="S272" s="426" t="str">
        <f t="shared" si="120"/>
        <v>na</v>
      </c>
      <c r="T272" s="425" t="s">
        <v>232</v>
      </c>
      <c r="U272" s="426" t="str">
        <f t="shared" si="121"/>
        <v>na</v>
      </c>
      <c r="V272" s="1272" t="s">
        <v>232</v>
      </c>
      <c r="W272" s="1272" t="str">
        <f t="shared" si="122"/>
        <v>na</v>
      </c>
      <c r="X272" s="412" t="str">
        <f t="shared" si="130"/>
        <v>na</v>
      </c>
      <c r="Y272" s="1272" t="s">
        <v>232</v>
      </c>
      <c r="Z272" s="412" t="str">
        <f t="shared" si="124"/>
        <v>na</v>
      </c>
      <c r="AA272" s="412" t="s">
        <v>221</v>
      </c>
      <c r="AB272" s="439" t="s">
        <v>232</v>
      </c>
      <c r="AC272" s="1248" t="s">
        <v>232</v>
      </c>
      <c r="AD272" s="1259" t="s">
        <v>232</v>
      </c>
      <c r="AE272" s="1259">
        <v>0.1</v>
      </c>
      <c r="AF272" s="1292" t="s">
        <v>221</v>
      </c>
      <c r="AG272" s="538" t="s">
        <v>221</v>
      </c>
      <c r="AH272" s="452" t="s">
        <v>221</v>
      </c>
      <c r="AI272" s="452" t="s">
        <v>221</v>
      </c>
      <c r="AJ272" s="452" t="s">
        <v>221</v>
      </c>
      <c r="AK272" s="449" t="str">
        <f t="shared" si="125"/>
        <v>no</v>
      </c>
      <c r="AL272" s="221" t="s">
        <v>232</v>
      </c>
      <c r="AM272" s="406" t="s">
        <v>232</v>
      </c>
      <c r="AN272" s="1330" t="str">
        <f t="shared" si="126"/>
        <v>na</v>
      </c>
      <c r="AP272" s="1062"/>
    </row>
    <row r="273" spans="1:42" ht="13.9" customHeight="1" x14ac:dyDescent="0.25">
      <c r="A273" s="846">
        <f>Chem!A273</f>
        <v>271</v>
      </c>
      <c r="B273" s="865" t="str">
        <f>Chem!B273</f>
        <v>Heptachlor</v>
      </c>
      <c r="C273" s="384">
        <v>9530</v>
      </c>
      <c r="D273" s="384" t="s">
        <v>232</v>
      </c>
      <c r="E273" s="384">
        <f t="shared" si="127"/>
        <v>9.5299999999999994</v>
      </c>
      <c r="F273" s="384">
        <f t="shared" si="128"/>
        <v>9.5299999999999994</v>
      </c>
      <c r="G273" s="384" t="s">
        <v>232</v>
      </c>
      <c r="H273" s="384" t="s">
        <v>232</v>
      </c>
      <c r="I273" s="384">
        <f t="shared" si="117"/>
        <v>181.07</v>
      </c>
      <c r="J273" s="384">
        <f t="shared" si="129"/>
        <v>181.07</v>
      </c>
      <c r="K273" s="400">
        <v>3.7704342488785905E-3</v>
      </c>
      <c r="L273" s="400">
        <v>1.20196238757155E-2</v>
      </c>
      <c r="M273" s="400">
        <f t="shared" si="118"/>
        <v>3.7704342488785905E-3</v>
      </c>
      <c r="N273" s="271">
        <v>11200</v>
      </c>
      <c r="O273" s="425">
        <v>5.0000000000000001E-4</v>
      </c>
      <c r="P273" s="1657">
        <v>0.8</v>
      </c>
      <c r="Q273" s="426">
        <f t="shared" si="119"/>
        <v>4.0000000000000002E-4</v>
      </c>
      <c r="R273" s="1665">
        <v>1</v>
      </c>
      <c r="S273" s="426">
        <f t="shared" si="120"/>
        <v>5.0000000000000001E-4</v>
      </c>
      <c r="T273" s="425" t="s">
        <v>232</v>
      </c>
      <c r="U273" s="426" t="str">
        <f t="shared" si="121"/>
        <v>na</v>
      </c>
      <c r="V273" s="1272">
        <v>4.5</v>
      </c>
      <c r="W273" s="1272">
        <f t="shared" si="122"/>
        <v>5.625</v>
      </c>
      <c r="X273" s="412">
        <f t="shared" si="130"/>
        <v>4.5</v>
      </c>
      <c r="Y273" s="1272">
        <v>1.2999999999999999E-3</v>
      </c>
      <c r="Z273" s="412">
        <f t="shared" si="124"/>
        <v>4.55</v>
      </c>
      <c r="AA273" s="412" t="s">
        <v>221</v>
      </c>
      <c r="AB273" s="439">
        <v>2</v>
      </c>
      <c r="AC273" s="1248">
        <v>0.03</v>
      </c>
      <c r="AD273" s="1259">
        <v>1</v>
      </c>
      <c r="AE273" s="1259">
        <v>0</v>
      </c>
      <c r="AF273" s="1292" t="s">
        <v>144</v>
      </c>
      <c r="AG273" s="538" t="s">
        <v>144</v>
      </c>
      <c r="AH273" s="452" t="s">
        <v>221</v>
      </c>
      <c r="AI273" s="452" t="s">
        <v>144</v>
      </c>
      <c r="AJ273" s="452" t="s">
        <v>221</v>
      </c>
      <c r="AK273" s="449" t="str">
        <f t="shared" si="125"/>
        <v>YES</v>
      </c>
      <c r="AL273" s="221" t="s">
        <v>232</v>
      </c>
      <c r="AM273" s="406" t="s">
        <v>232</v>
      </c>
      <c r="AN273" s="1330" t="str">
        <f t="shared" si="126"/>
        <v>na</v>
      </c>
      <c r="AP273" s="1062"/>
    </row>
    <row r="274" spans="1:42" ht="13.9" customHeight="1" x14ac:dyDescent="0.25">
      <c r="A274" s="846">
        <f>Chem!A274</f>
        <v>272</v>
      </c>
      <c r="B274" s="865" t="str">
        <f>Chem!B274</f>
        <v>Heptachlor epoxide</v>
      </c>
      <c r="C274" s="384">
        <v>10100</v>
      </c>
      <c r="D274" s="384" t="s">
        <v>232</v>
      </c>
      <c r="E274" s="384">
        <f t="shared" si="127"/>
        <v>10.1</v>
      </c>
      <c r="F274" s="384">
        <f t="shared" si="128"/>
        <v>10.1</v>
      </c>
      <c r="G274" s="384" t="s">
        <v>232</v>
      </c>
      <c r="H274" s="384" t="s">
        <v>232</v>
      </c>
      <c r="I274" s="384">
        <f t="shared" si="117"/>
        <v>191.9</v>
      </c>
      <c r="J274" s="384">
        <f t="shared" si="129"/>
        <v>191.9</v>
      </c>
      <c r="K274" s="400">
        <v>2.0140183867130092E-4</v>
      </c>
      <c r="L274" s="400">
        <v>8.5854456255110405E-4</v>
      </c>
      <c r="M274" s="400">
        <f t="shared" si="118"/>
        <v>2.0140183867130092E-4</v>
      </c>
      <c r="N274" s="271">
        <v>11200</v>
      </c>
      <c r="O274" s="425">
        <v>1.2999999999999999E-5</v>
      </c>
      <c r="P274" s="1657">
        <v>0.8</v>
      </c>
      <c r="Q274" s="426">
        <f t="shared" si="119"/>
        <v>1.04E-5</v>
      </c>
      <c r="R274" s="1665">
        <v>1</v>
      </c>
      <c r="S274" s="426">
        <f t="shared" si="120"/>
        <v>1.2999999999999999E-5</v>
      </c>
      <c r="T274" s="425" t="s">
        <v>232</v>
      </c>
      <c r="U274" s="426" t="str">
        <f t="shared" si="121"/>
        <v>na</v>
      </c>
      <c r="V274" s="1272">
        <v>9.1</v>
      </c>
      <c r="W274" s="1272">
        <f t="shared" si="122"/>
        <v>11.374999999999998</v>
      </c>
      <c r="X274" s="412">
        <f t="shared" si="130"/>
        <v>9.1</v>
      </c>
      <c r="Y274" s="1272">
        <v>2.5999999999999999E-3</v>
      </c>
      <c r="Z274" s="412">
        <f t="shared" si="124"/>
        <v>9.1</v>
      </c>
      <c r="AA274" s="412" t="s">
        <v>221</v>
      </c>
      <c r="AB274" s="439">
        <v>2</v>
      </c>
      <c r="AC274" s="1248">
        <v>0.03</v>
      </c>
      <c r="AD274" s="1259">
        <v>1</v>
      </c>
      <c r="AE274" s="1259">
        <v>0</v>
      </c>
      <c r="AF274" s="1292" t="s">
        <v>221</v>
      </c>
      <c r="AG274" s="538" t="s">
        <v>144</v>
      </c>
      <c r="AH274" s="452" t="s">
        <v>221</v>
      </c>
      <c r="AI274" s="452" t="s">
        <v>144</v>
      </c>
      <c r="AJ274" s="452" t="s">
        <v>221</v>
      </c>
      <c r="AK274" s="449" t="str">
        <f t="shared" si="125"/>
        <v>YES</v>
      </c>
      <c r="AL274" s="221" t="s">
        <v>232</v>
      </c>
      <c r="AM274" s="406" t="s">
        <v>232</v>
      </c>
      <c r="AN274" s="1330" t="str">
        <f t="shared" si="126"/>
        <v>na</v>
      </c>
      <c r="AP274" s="1062"/>
    </row>
    <row r="275" spans="1:42" ht="13.9" customHeight="1" x14ac:dyDescent="0.25">
      <c r="A275" s="846">
        <f>Chem!A275</f>
        <v>273</v>
      </c>
      <c r="B275" s="865" t="str">
        <f>Chem!B275</f>
        <v>Lindane (gamma-BHC)</v>
      </c>
      <c r="C275" s="384">
        <v>1350</v>
      </c>
      <c r="D275" s="384" t="s">
        <v>232</v>
      </c>
      <c r="E275" s="384">
        <f t="shared" si="127"/>
        <v>1.35</v>
      </c>
      <c r="F275" s="384">
        <f t="shared" si="128"/>
        <v>1.35</v>
      </c>
      <c r="G275" s="384" t="s">
        <v>232</v>
      </c>
      <c r="H275" s="384" t="s">
        <v>232</v>
      </c>
      <c r="I275" s="384">
        <f t="shared" si="117"/>
        <v>25.65</v>
      </c>
      <c r="J275" s="384">
        <f t="shared" si="129"/>
        <v>25.65</v>
      </c>
      <c r="K275" s="400" t="s">
        <v>232</v>
      </c>
      <c r="L275" s="400">
        <v>2.10139002452984E-4</v>
      </c>
      <c r="M275" s="400">
        <f t="shared" si="118"/>
        <v>2.10139002452984E-4</v>
      </c>
      <c r="N275" s="271">
        <v>130</v>
      </c>
      <c r="O275" s="425">
        <v>2.9999999999999997E-4</v>
      </c>
      <c r="P275" s="1657">
        <v>0.5</v>
      </c>
      <c r="Q275" s="426">
        <f t="shared" si="119"/>
        <v>1.4999999999999999E-4</v>
      </c>
      <c r="R275" s="1665">
        <v>1</v>
      </c>
      <c r="S275" s="426">
        <f t="shared" si="120"/>
        <v>2.9999999999999997E-4</v>
      </c>
      <c r="T275" s="425" t="s">
        <v>232</v>
      </c>
      <c r="U275" s="426" t="str">
        <f t="shared" si="121"/>
        <v>na</v>
      </c>
      <c r="V275" s="1272">
        <v>1.1000000000000001</v>
      </c>
      <c r="W275" s="1272">
        <f t="shared" si="122"/>
        <v>2.2000000000000002</v>
      </c>
      <c r="X275" s="412">
        <f t="shared" si="130"/>
        <v>1.1000000000000001</v>
      </c>
      <c r="Y275" s="1272">
        <v>3.1E-4</v>
      </c>
      <c r="Z275" s="412">
        <f t="shared" si="124"/>
        <v>1.085</v>
      </c>
      <c r="AA275" s="412" t="s">
        <v>221</v>
      </c>
      <c r="AB275" s="439">
        <v>1</v>
      </c>
      <c r="AC275" s="1248">
        <v>0.04</v>
      </c>
      <c r="AD275" s="1259">
        <v>1</v>
      </c>
      <c r="AE275" s="1259">
        <v>0.04</v>
      </c>
      <c r="AF275" s="1292" t="s">
        <v>221</v>
      </c>
      <c r="AG275" s="538" t="s">
        <v>221</v>
      </c>
      <c r="AH275" s="452" t="s">
        <v>221</v>
      </c>
      <c r="AI275" s="452" t="s">
        <v>221</v>
      </c>
      <c r="AJ275" s="452" t="s">
        <v>221</v>
      </c>
      <c r="AK275" s="449" t="str">
        <f t="shared" si="125"/>
        <v>no</v>
      </c>
      <c r="AL275" s="221" t="s">
        <v>232</v>
      </c>
      <c r="AM275" s="406" t="s">
        <v>232</v>
      </c>
      <c r="AN275" s="1330" t="str">
        <f t="shared" si="126"/>
        <v>na</v>
      </c>
      <c r="AP275" s="1062"/>
    </row>
    <row r="276" spans="1:42" ht="13.9" customHeight="1" x14ac:dyDescent="0.25">
      <c r="A276" s="846">
        <f>Chem!A276</f>
        <v>274</v>
      </c>
      <c r="B276" s="865" t="str">
        <f>Chem!B276</f>
        <v>Malathion</v>
      </c>
      <c r="C276" s="384">
        <v>31.3</v>
      </c>
      <c r="D276" s="384" t="s">
        <v>232</v>
      </c>
      <c r="E276" s="384">
        <f t="shared" si="127"/>
        <v>3.1300000000000001E-2</v>
      </c>
      <c r="F276" s="384">
        <f t="shared" si="128"/>
        <v>3.1300000000000001E-2</v>
      </c>
      <c r="G276" s="384" t="s">
        <v>232</v>
      </c>
      <c r="H276" s="384" t="s">
        <v>232</v>
      </c>
      <c r="I276" s="384">
        <f t="shared" si="117"/>
        <v>0.59470000000000001</v>
      </c>
      <c r="J276" s="384">
        <f t="shared" si="129"/>
        <v>0.59470000000000001</v>
      </c>
      <c r="K276" s="400" t="s">
        <v>232</v>
      </c>
      <c r="L276" s="400">
        <v>1.99918233851186E-7</v>
      </c>
      <c r="M276" s="400">
        <f t="shared" si="118"/>
        <v>1.99918233851186E-7</v>
      </c>
      <c r="N276" s="271" t="s">
        <v>232</v>
      </c>
      <c r="O276" s="425">
        <v>0.02</v>
      </c>
      <c r="P276" s="1657">
        <v>0.5</v>
      </c>
      <c r="Q276" s="426">
        <f t="shared" si="119"/>
        <v>0.01</v>
      </c>
      <c r="R276" s="1665">
        <v>1</v>
      </c>
      <c r="S276" s="426">
        <f t="shared" si="120"/>
        <v>0.02</v>
      </c>
      <c r="T276" s="425" t="s">
        <v>232</v>
      </c>
      <c r="U276" s="426" t="str">
        <f t="shared" si="121"/>
        <v>na</v>
      </c>
      <c r="V276" s="1272" t="s">
        <v>232</v>
      </c>
      <c r="W276" s="1272" t="str">
        <f t="shared" si="122"/>
        <v>na</v>
      </c>
      <c r="X276" s="412" t="str">
        <f t="shared" si="130"/>
        <v>na</v>
      </c>
      <c r="Y276" s="1272" t="s">
        <v>232</v>
      </c>
      <c r="Z276" s="412" t="str">
        <f t="shared" si="124"/>
        <v>na</v>
      </c>
      <c r="AA276" s="412" t="s">
        <v>221</v>
      </c>
      <c r="AB276" s="439">
        <v>1</v>
      </c>
      <c r="AC276" s="1248">
        <v>0.1</v>
      </c>
      <c r="AD276" s="1259">
        <v>1</v>
      </c>
      <c r="AE276" s="1259">
        <v>0.1</v>
      </c>
      <c r="AF276" s="1292" t="s">
        <v>221</v>
      </c>
      <c r="AG276" s="538" t="s">
        <v>221</v>
      </c>
      <c r="AH276" s="452" t="s">
        <v>221</v>
      </c>
      <c r="AI276" s="452" t="s">
        <v>221</v>
      </c>
      <c r="AJ276" s="452" t="s">
        <v>221</v>
      </c>
      <c r="AK276" s="449" t="str">
        <f t="shared" si="125"/>
        <v>no</v>
      </c>
      <c r="AL276" s="221" t="s">
        <v>232</v>
      </c>
      <c r="AM276" s="406" t="s">
        <v>232</v>
      </c>
      <c r="AN276" s="1330" t="str">
        <f t="shared" si="126"/>
        <v>na</v>
      </c>
      <c r="AP276" s="1062"/>
    </row>
    <row r="277" spans="1:42" ht="13.9" customHeight="1" x14ac:dyDescent="0.25">
      <c r="A277" s="846">
        <f>Chem!A277</f>
        <v>275</v>
      </c>
      <c r="B277" s="865" t="str">
        <f>Chem!B277</f>
        <v>Methoxychlor</v>
      </c>
      <c r="C277" s="384">
        <v>80000</v>
      </c>
      <c r="D277" s="384" t="s">
        <v>232</v>
      </c>
      <c r="E277" s="384">
        <f t="shared" si="127"/>
        <v>80</v>
      </c>
      <c r="F277" s="384">
        <f t="shared" si="128"/>
        <v>80</v>
      </c>
      <c r="G277" s="384" t="s">
        <v>232</v>
      </c>
      <c r="H277" s="384" t="s">
        <v>232</v>
      </c>
      <c r="I277" s="384">
        <f t="shared" ref="I277:I291" si="134">IF(C277="na","na",C277*J$1)</f>
        <v>1520</v>
      </c>
      <c r="J277" s="384">
        <f t="shared" si="129"/>
        <v>1520</v>
      </c>
      <c r="K277" s="400" t="s">
        <v>232</v>
      </c>
      <c r="L277" s="400">
        <v>8.2992641046606701E-6</v>
      </c>
      <c r="M277" s="400">
        <f t="shared" si="118"/>
        <v>8.2992641046606701E-6</v>
      </c>
      <c r="N277" s="271">
        <v>1550</v>
      </c>
      <c r="O277" s="425">
        <v>5.0000000000000001E-3</v>
      </c>
      <c r="P277" s="1657">
        <v>0.5</v>
      </c>
      <c r="Q277" s="426">
        <f t="shared" si="119"/>
        <v>2.5000000000000001E-3</v>
      </c>
      <c r="R277" s="1665">
        <v>1</v>
      </c>
      <c r="S277" s="426">
        <f t="shared" si="120"/>
        <v>5.0000000000000001E-3</v>
      </c>
      <c r="T277" s="425" t="s">
        <v>232</v>
      </c>
      <c r="U277" s="426" t="str">
        <f t="shared" si="121"/>
        <v>na</v>
      </c>
      <c r="V277" s="1272" t="s">
        <v>232</v>
      </c>
      <c r="W277" s="1272" t="str">
        <f t="shared" si="122"/>
        <v>na</v>
      </c>
      <c r="X277" s="412" t="str">
        <f t="shared" si="130"/>
        <v>na</v>
      </c>
      <c r="Y277" s="1272" t="s">
        <v>232</v>
      </c>
      <c r="Z277" s="412" t="str">
        <f t="shared" si="124"/>
        <v>na</v>
      </c>
      <c r="AA277" s="412" t="s">
        <v>221</v>
      </c>
      <c r="AB277" s="439">
        <v>1</v>
      </c>
      <c r="AC277" s="1248">
        <v>0.1</v>
      </c>
      <c r="AD277" s="1259">
        <v>1</v>
      </c>
      <c r="AE277" s="1259">
        <v>0.1</v>
      </c>
      <c r="AF277" s="1292" t="s">
        <v>221</v>
      </c>
      <c r="AG277" s="538" t="s">
        <v>221</v>
      </c>
      <c r="AH277" s="452" t="s">
        <v>221</v>
      </c>
      <c r="AI277" s="452" t="s">
        <v>221</v>
      </c>
      <c r="AJ277" s="452" t="s">
        <v>221</v>
      </c>
      <c r="AK277" s="449" t="str">
        <f t="shared" si="125"/>
        <v>no</v>
      </c>
      <c r="AL277" s="221" t="s">
        <v>232</v>
      </c>
      <c r="AM277" s="406" t="s">
        <v>232</v>
      </c>
      <c r="AN277" s="1330" t="str">
        <f t="shared" si="126"/>
        <v>na</v>
      </c>
      <c r="AP277" s="1062"/>
    </row>
    <row r="278" spans="1:42" ht="13.9" customHeight="1" x14ac:dyDescent="0.25">
      <c r="A278" s="846">
        <f>Chem!A278</f>
        <v>276</v>
      </c>
      <c r="B278" s="865" t="str">
        <f>Chem!B278</f>
        <v>Mirex</v>
      </c>
      <c r="C278" s="384">
        <v>357000</v>
      </c>
      <c r="D278" s="384" t="s">
        <v>232</v>
      </c>
      <c r="E278" s="384">
        <f t="shared" si="127"/>
        <v>357</v>
      </c>
      <c r="F278" s="384">
        <f t="shared" si="128"/>
        <v>357</v>
      </c>
      <c r="G278" s="384" t="s">
        <v>232</v>
      </c>
      <c r="H278" s="384" t="s">
        <v>232</v>
      </c>
      <c r="I278" s="384">
        <f t="shared" si="134"/>
        <v>6783</v>
      </c>
      <c r="J278" s="384">
        <f t="shared" si="129"/>
        <v>6783</v>
      </c>
      <c r="K278" s="400" t="s">
        <v>232</v>
      </c>
      <c r="L278" s="400">
        <v>3.3156173344235498E-2</v>
      </c>
      <c r="M278" s="400">
        <f t="shared" si="118"/>
        <v>3.3156173344235498E-2</v>
      </c>
      <c r="N278" s="271" t="s">
        <v>232</v>
      </c>
      <c r="O278" s="425">
        <v>2.0000000000000001E-4</v>
      </c>
      <c r="P278" s="1657">
        <v>0.8</v>
      </c>
      <c r="Q278" s="426">
        <f t="shared" si="119"/>
        <v>1.6000000000000001E-4</v>
      </c>
      <c r="R278" s="1665">
        <v>1</v>
      </c>
      <c r="S278" s="426">
        <f t="shared" si="120"/>
        <v>2.0000000000000001E-4</v>
      </c>
      <c r="T278" s="425" t="s">
        <v>232</v>
      </c>
      <c r="U278" s="426" t="str">
        <f t="shared" si="121"/>
        <v>na</v>
      </c>
      <c r="V278" s="1272">
        <v>18</v>
      </c>
      <c r="W278" s="1272">
        <f t="shared" si="122"/>
        <v>22.5</v>
      </c>
      <c r="X278" s="412">
        <f t="shared" si="130"/>
        <v>18</v>
      </c>
      <c r="Y278" s="1272">
        <v>5.1000000000000004E-3</v>
      </c>
      <c r="Z278" s="412">
        <f t="shared" si="124"/>
        <v>17.850000000000001</v>
      </c>
      <c r="AA278" s="412" t="s">
        <v>221</v>
      </c>
      <c r="AB278" s="439">
        <v>2</v>
      </c>
      <c r="AC278" s="1248">
        <v>0.03</v>
      </c>
      <c r="AD278" s="1259">
        <v>1</v>
      </c>
      <c r="AE278" s="1259">
        <v>0</v>
      </c>
      <c r="AF278" s="1292" t="s">
        <v>144</v>
      </c>
      <c r="AG278" s="538" t="s">
        <v>144</v>
      </c>
      <c r="AH278" s="452" t="s">
        <v>144</v>
      </c>
      <c r="AI278" s="452" t="s">
        <v>221</v>
      </c>
      <c r="AJ278" s="452" t="s">
        <v>221</v>
      </c>
      <c r="AK278" s="449" t="str">
        <f t="shared" si="125"/>
        <v>no</v>
      </c>
      <c r="AL278" s="221" t="s">
        <v>232</v>
      </c>
      <c r="AM278" s="406" t="s">
        <v>232</v>
      </c>
      <c r="AN278" s="1330" t="str">
        <f t="shared" si="126"/>
        <v>na</v>
      </c>
      <c r="AP278" s="1062"/>
    </row>
    <row r="279" spans="1:42" ht="13.9" customHeight="1" x14ac:dyDescent="0.25">
      <c r="A279" s="846">
        <f>Chem!A279</f>
        <v>277</v>
      </c>
      <c r="B279" s="870" t="str">
        <f>Chem!B279</f>
        <v>Nonachlor</v>
      </c>
      <c r="C279" s="392" t="s">
        <v>232</v>
      </c>
      <c r="D279" s="392" t="s">
        <v>232</v>
      </c>
      <c r="E279" s="392" t="str">
        <f t="shared" si="127"/>
        <v>na</v>
      </c>
      <c r="F279" s="392" t="str">
        <f t="shared" si="128"/>
        <v>na</v>
      </c>
      <c r="G279" s="392" t="s">
        <v>232</v>
      </c>
      <c r="H279" s="392" t="s">
        <v>232</v>
      </c>
      <c r="I279" s="392" t="str">
        <f t="shared" si="134"/>
        <v>na</v>
      </c>
      <c r="J279" s="392" t="str">
        <f t="shared" si="129"/>
        <v>na</v>
      </c>
      <c r="K279" s="404" t="s">
        <v>232</v>
      </c>
      <c r="L279" s="404" t="s">
        <v>232</v>
      </c>
      <c r="M279" s="404">
        <f t="shared" si="118"/>
        <v>0</v>
      </c>
      <c r="N279" s="272" t="s">
        <v>232</v>
      </c>
      <c r="O279" s="427" t="s">
        <v>232</v>
      </c>
      <c r="P279" s="1657">
        <v>0.5</v>
      </c>
      <c r="Q279" s="428" t="str">
        <f t="shared" si="119"/>
        <v>na</v>
      </c>
      <c r="R279" s="1677">
        <v>1</v>
      </c>
      <c r="S279" s="428" t="str">
        <f t="shared" si="120"/>
        <v>na</v>
      </c>
      <c r="T279" s="427" t="s">
        <v>232</v>
      </c>
      <c r="U279" s="428" t="str">
        <f t="shared" si="121"/>
        <v>na</v>
      </c>
      <c r="V279" s="1275" t="s">
        <v>232</v>
      </c>
      <c r="W279" s="1275" t="str">
        <f t="shared" si="122"/>
        <v>na</v>
      </c>
      <c r="X279" s="417" t="str">
        <f t="shared" si="130"/>
        <v>na</v>
      </c>
      <c r="Y279" s="1275" t="s">
        <v>232</v>
      </c>
      <c r="Z279" s="417" t="str">
        <f t="shared" si="124"/>
        <v>na</v>
      </c>
      <c r="AA279" s="417" t="s">
        <v>221</v>
      </c>
      <c r="AB279" s="444" t="s">
        <v>232</v>
      </c>
      <c r="AC279" s="1248" t="s">
        <v>232</v>
      </c>
      <c r="AD279" s="1265" t="s">
        <v>232</v>
      </c>
      <c r="AE279" s="1265">
        <v>0.1</v>
      </c>
      <c r="AF279" s="1293" t="s">
        <v>221</v>
      </c>
      <c r="AG279" s="1290" t="s">
        <v>221</v>
      </c>
      <c r="AH279" s="453" t="s">
        <v>221</v>
      </c>
      <c r="AI279" s="453" t="s">
        <v>221</v>
      </c>
      <c r="AJ279" s="453" t="s">
        <v>221</v>
      </c>
      <c r="AK279" s="449" t="str">
        <f t="shared" si="125"/>
        <v>no</v>
      </c>
      <c r="AL279" s="221" t="s">
        <v>232</v>
      </c>
      <c r="AM279" s="406" t="s">
        <v>232</v>
      </c>
      <c r="AN279" s="1330" t="str">
        <f t="shared" si="126"/>
        <v>na</v>
      </c>
      <c r="AP279" s="1062"/>
    </row>
    <row r="280" spans="1:42" ht="13.9" customHeight="1" x14ac:dyDescent="0.25">
      <c r="A280" s="846">
        <f>Chem!A280</f>
        <v>278</v>
      </c>
      <c r="B280" s="870" t="str">
        <f>Chem!B280</f>
        <v>Toxaphene</v>
      </c>
      <c r="C280" s="392">
        <v>95800</v>
      </c>
      <c r="D280" s="392" t="s">
        <v>232</v>
      </c>
      <c r="E280" s="392">
        <f t="shared" si="127"/>
        <v>95.8</v>
      </c>
      <c r="F280" s="392">
        <f t="shared" si="128"/>
        <v>95.8</v>
      </c>
      <c r="G280" s="392" t="s">
        <v>232</v>
      </c>
      <c r="H280" s="392" t="s">
        <v>232</v>
      </c>
      <c r="I280" s="392">
        <f t="shared" si="134"/>
        <v>1820.2</v>
      </c>
      <c r="J280" s="392">
        <f t="shared" si="129"/>
        <v>1820.2</v>
      </c>
      <c r="K280" s="404" t="s">
        <v>232</v>
      </c>
      <c r="L280" s="404">
        <v>2.4529844644317298E-4</v>
      </c>
      <c r="M280" s="404">
        <f t="shared" si="118"/>
        <v>2.4529844644317298E-4</v>
      </c>
      <c r="N280" s="272">
        <v>13100</v>
      </c>
      <c r="O280" s="427">
        <v>9.0000000000000006E-5</v>
      </c>
      <c r="P280" s="1654">
        <v>0.5</v>
      </c>
      <c r="Q280" s="428">
        <f t="shared" si="119"/>
        <v>4.5000000000000003E-5</v>
      </c>
      <c r="R280" s="1667">
        <v>1</v>
      </c>
      <c r="S280" s="428">
        <f t="shared" si="120"/>
        <v>9.0000000000000006E-5</v>
      </c>
      <c r="T280" s="427" t="s">
        <v>232</v>
      </c>
      <c r="U280" s="551" t="str">
        <f t="shared" si="121"/>
        <v>na</v>
      </c>
      <c r="V280" s="1275">
        <v>1.1000000000000001</v>
      </c>
      <c r="W280" s="1275">
        <f t="shared" si="122"/>
        <v>2.2000000000000002</v>
      </c>
      <c r="X280" s="417">
        <f t="shared" si="130"/>
        <v>1.1000000000000001</v>
      </c>
      <c r="Y280" s="1275">
        <v>3.2000000000000008E-4</v>
      </c>
      <c r="Z280" s="417">
        <f t="shared" si="124"/>
        <v>1.1200000000000003</v>
      </c>
      <c r="AA280" s="417" t="s">
        <v>221</v>
      </c>
      <c r="AB280" s="444">
        <v>1</v>
      </c>
      <c r="AC280" s="1250">
        <v>0.1</v>
      </c>
      <c r="AD280" s="1261">
        <v>1</v>
      </c>
      <c r="AE280" s="1261">
        <v>0.1</v>
      </c>
      <c r="AF280" s="1296" t="s">
        <v>221</v>
      </c>
      <c r="AG280" s="530" t="s">
        <v>144</v>
      </c>
      <c r="AH280" s="451" t="s">
        <v>221</v>
      </c>
      <c r="AI280" s="451" t="s">
        <v>221</v>
      </c>
      <c r="AJ280" s="451" t="s">
        <v>221</v>
      </c>
      <c r="AK280" s="451" t="str">
        <f t="shared" si="125"/>
        <v>no</v>
      </c>
      <c r="AL280" s="257" t="s">
        <v>232</v>
      </c>
      <c r="AM280" s="543" t="s">
        <v>232</v>
      </c>
      <c r="AN280" s="545" t="str">
        <f t="shared" si="126"/>
        <v>na</v>
      </c>
      <c r="AP280" s="1062"/>
    </row>
    <row r="281" spans="1:42" ht="13.9" customHeight="1" x14ac:dyDescent="0.25">
      <c r="A281" s="1198">
        <f>Chem!A281</f>
        <v>279</v>
      </c>
      <c r="B281" s="1134" t="str">
        <f>Chem!B281</f>
        <v>Herbicides</v>
      </c>
      <c r="C281" s="2348"/>
      <c r="D281" s="2348"/>
      <c r="E281" s="2348">
        <f t="shared" si="127"/>
        <v>0</v>
      </c>
      <c r="F281" s="2348">
        <f t="shared" si="128"/>
        <v>0</v>
      </c>
      <c r="G281" s="2348" t="s">
        <v>232</v>
      </c>
      <c r="H281" s="2348"/>
      <c r="I281" s="2348">
        <f t="shared" si="134"/>
        <v>0</v>
      </c>
      <c r="J281" s="2348">
        <f t="shared" si="129"/>
        <v>0</v>
      </c>
      <c r="K281" s="2348"/>
      <c r="L281" s="2348"/>
      <c r="M281" s="2348"/>
      <c r="N281" s="2348"/>
      <c r="O281" s="2348"/>
      <c r="P281" s="2357"/>
      <c r="Q281" s="2348"/>
      <c r="R281" s="2358"/>
      <c r="S281" s="2348"/>
      <c r="T281" s="2348"/>
      <c r="U281" s="2348"/>
      <c r="V281" s="2348"/>
      <c r="W281" s="2521"/>
      <c r="X281" s="2348"/>
      <c r="Y281" s="2348"/>
      <c r="Z281" s="2348"/>
      <c r="AA281" s="2348"/>
      <c r="AB281" s="2358"/>
      <c r="AC281" s="2359"/>
      <c r="AD281" s="2359"/>
      <c r="AE281" s="2359"/>
      <c r="AF281" s="2345"/>
      <c r="AG281" s="2348"/>
      <c r="AH281" s="2348"/>
      <c r="AI281" s="2348"/>
      <c r="AJ281" s="2348"/>
      <c r="AK281" s="2348"/>
      <c r="AL281" s="2360"/>
      <c r="AM281" s="2360"/>
      <c r="AN281" s="2361"/>
      <c r="AP281" s="1063"/>
    </row>
    <row r="282" spans="1:42" ht="13.9" customHeight="1" x14ac:dyDescent="0.25">
      <c r="A282" s="846">
        <f>Chem!A282</f>
        <v>280</v>
      </c>
      <c r="B282" s="1691" t="str">
        <f>Chem!B282</f>
        <v>2,4-Dichlorophenoxyacetic acid (2,4-D)</v>
      </c>
      <c r="C282" s="590">
        <v>29.6</v>
      </c>
      <c r="D282" s="393" t="s">
        <v>232</v>
      </c>
      <c r="E282" s="392">
        <f t="shared" si="127"/>
        <v>2.9600000000000001E-2</v>
      </c>
      <c r="F282" s="393">
        <f t="shared" si="128"/>
        <v>2.9600000000000001E-2</v>
      </c>
      <c r="G282" s="393" t="s">
        <v>232</v>
      </c>
      <c r="H282" s="393" t="s">
        <v>232</v>
      </c>
      <c r="I282" s="590">
        <f t="shared" si="134"/>
        <v>0.56240000000000001</v>
      </c>
      <c r="J282" s="590">
        <f t="shared" si="129"/>
        <v>0.56240000000000001</v>
      </c>
      <c r="K282" s="405" t="s">
        <v>232</v>
      </c>
      <c r="L282" s="405">
        <v>1.4472608340147201E-6</v>
      </c>
      <c r="M282" s="405">
        <f t="shared" ref="M282:M291" si="135">IF(ISNUMBER(K282),K282,IF(ISNUMBER(L282),L282,0))</f>
        <v>1.4472608340147201E-6</v>
      </c>
      <c r="N282" s="253" t="s">
        <v>232</v>
      </c>
      <c r="O282" s="434">
        <v>0.01</v>
      </c>
      <c r="P282" s="1653">
        <v>0.9</v>
      </c>
      <c r="Q282" s="434">
        <f t="shared" ref="Q282:Q291" si="136">IF(O282="na","na",O282*P282)</f>
        <v>9.0000000000000011E-3</v>
      </c>
      <c r="R282" s="1678">
        <v>1</v>
      </c>
      <c r="S282" s="434">
        <f t="shared" ref="S282:S291" si="137">IF(O282="na","na",O282*R282)</f>
        <v>0.01</v>
      </c>
      <c r="T282" s="1270" t="s">
        <v>232</v>
      </c>
      <c r="U282" s="1270" t="str">
        <f t="shared" ref="U282:U291" si="138">IF(ISNUMBER(T282),T282*20/70,"na")</f>
        <v>na</v>
      </c>
      <c r="V282" s="1276" t="s">
        <v>232</v>
      </c>
      <c r="W282" s="1276" t="str">
        <f t="shared" ref="W282:W291" si="139">IF(V282="na","na",V282/P282)</f>
        <v>na</v>
      </c>
      <c r="X282" s="416" t="str">
        <f t="shared" ref="X282:X291" si="140">IF(V282="na","na",V282/R282)</f>
        <v>na</v>
      </c>
      <c r="Y282" s="1276" t="s">
        <v>232</v>
      </c>
      <c r="Z282" s="416" t="str">
        <f t="shared" ref="Z282:Z291" si="141">IF(ISNUMBER(Y282),Y282*70*1000/20,"na")</f>
        <v>na</v>
      </c>
      <c r="AA282" s="416" t="s">
        <v>221</v>
      </c>
      <c r="AB282" s="442">
        <v>1</v>
      </c>
      <c r="AC282" s="1249">
        <v>0.05</v>
      </c>
      <c r="AD282" s="1249">
        <v>1</v>
      </c>
      <c r="AE282" s="1249">
        <v>0.05</v>
      </c>
      <c r="AF282" s="1291" t="s">
        <v>221</v>
      </c>
      <c r="AG282" s="590" t="s">
        <v>221</v>
      </c>
      <c r="AH282" s="393" t="s">
        <v>221</v>
      </c>
      <c r="AI282" s="393" t="s">
        <v>221</v>
      </c>
      <c r="AJ282" s="393" t="s">
        <v>221</v>
      </c>
      <c r="AK282" s="454" t="str">
        <f t="shared" si="125"/>
        <v>no</v>
      </c>
      <c r="AL282" s="253" t="s">
        <v>232</v>
      </c>
      <c r="AM282" s="405" t="s">
        <v>232</v>
      </c>
      <c r="AN282" s="1152" t="str">
        <f t="shared" ref="AN282:AN291" si="142">AM282</f>
        <v>na</v>
      </c>
      <c r="AP282" s="1636"/>
    </row>
    <row r="283" spans="1:42" ht="13.9" customHeight="1" x14ac:dyDescent="0.25">
      <c r="A283" s="847">
        <f>Chem!A283</f>
        <v>281</v>
      </c>
      <c r="B283" s="1576" t="str">
        <f>Chem!B283</f>
        <v>4-(2,4-Dichlorophenoxy)butanoic acid 2,4-DB</v>
      </c>
      <c r="C283" s="384" t="s">
        <v>232</v>
      </c>
      <c r="D283" s="343" t="s">
        <v>232</v>
      </c>
      <c r="E283" s="392" t="str">
        <f t="shared" si="127"/>
        <v>na</v>
      </c>
      <c r="F283" s="343" t="str">
        <f t="shared" si="128"/>
        <v>na</v>
      </c>
      <c r="G283" s="343" t="s">
        <v>232</v>
      </c>
      <c r="H283" s="343" t="s">
        <v>232</v>
      </c>
      <c r="I283" s="384" t="str">
        <f t="shared" si="134"/>
        <v>na</v>
      </c>
      <c r="J283" s="384" t="str">
        <f t="shared" si="129"/>
        <v>na</v>
      </c>
      <c r="K283" s="406" t="s">
        <v>232</v>
      </c>
      <c r="L283" s="406" t="s">
        <v>232</v>
      </c>
      <c r="M283" s="406">
        <f t="shared" si="135"/>
        <v>0</v>
      </c>
      <c r="N283" s="221" t="s">
        <v>232</v>
      </c>
      <c r="O283" s="426" t="s">
        <v>232</v>
      </c>
      <c r="P283" s="1650">
        <v>0.5</v>
      </c>
      <c r="Q283" s="426" t="str">
        <f t="shared" si="136"/>
        <v>na</v>
      </c>
      <c r="R283" s="1666">
        <v>1</v>
      </c>
      <c r="S283" s="426" t="str">
        <f t="shared" si="137"/>
        <v>na</v>
      </c>
      <c r="T283" s="425" t="s">
        <v>232</v>
      </c>
      <c r="U283" s="425" t="str">
        <f t="shared" si="138"/>
        <v>na</v>
      </c>
      <c r="V283" s="1272" t="s">
        <v>232</v>
      </c>
      <c r="W283" s="1272" t="str">
        <f t="shared" si="139"/>
        <v>na</v>
      </c>
      <c r="X283" s="412" t="str">
        <f t="shared" si="140"/>
        <v>na</v>
      </c>
      <c r="Y283" s="1272" t="s">
        <v>232</v>
      </c>
      <c r="Z283" s="412" t="str">
        <f t="shared" si="141"/>
        <v>na</v>
      </c>
      <c r="AA283" s="412" t="s">
        <v>221</v>
      </c>
      <c r="AB283" s="439" t="s">
        <v>232</v>
      </c>
      <c r="AC283" s="1242" t="s">
        <v>232</v>
      </c>
      <c r="AD283" s="1242" t="s">
        <v>232</v>
      </c>
      <c r="AE283" s="1242">
        <v>0.05</v>
      </c>
      <c r="AF283" s="1292" t="s">
        <v>221</v>
      </c>
      <c r="AG283" s="384" t="s">
        <v>221</v>
      </c>
      <c r="AH283" s="343" t="s">
        <v>221</v>
      </c>
      <c r="AI283" s="343" t="s">
        <v>221</v>
      </c>
      <c r="AJ283" s="343" t="s">
        <v>221</v>
      </c>
      <c r="AK283" s="449" t="str">
        <f t="shared" si="125"/>
        <v>no</v>
      </c>
      <c r="AL283" s="221" t="s">
        <v>232</v>
      </c>
      <c r="AM283" s="406" t="s">
        <v>232</v>
      </c>
      <c r="AN283" s="1330" t="str">
        <f t="shared" si="142"/>
        <v>na</v>
      </c>
      <c r="AP283" s="1062"/>
    </row>
    <row r="284" spans="1:42" ht="13.9" customHeight="1" x14ac:dyDescent="0.25">
      <c r="A284" s="847">
        <f>Chem!A284</f>
        <v>282</v>
      </c>
      <c r="B284" s="1576" t="str">
        <f>Chem!B284</f>
        <v>2-(2,4,5-Trichlorophenoxy)propionic acid (2,4,5-TP)</v>
      </c>
      <c r="C284" s="384">
        <v>175</v>
      </c>
      <c r="D284" s="343" t="s">
        <v>232</v>
      </c>
      <c r="E284" s="392">
        <f t="shared" si="127"/>
        <v>0.17500000000000002</v>
      </c>
      <c r="F284" s="343">
        <f t="shared" si="128"/>
        <v>0.17500000000000002</v>
      </c>
      <c r="G284" s="343" t="s">
        <v>232</v>
      </c>
      <c r="H284" s="343" t="s">
        <v>232</v>
      </c>
      <c r="I284" s="384">
        <f t="shared" si="134"/>
        <v>3.3249999999999997</v>
      </c>
      <c r="J284" s="384">
        <f t="shared" si="129"/>
        <v>3.3249999999999997</v>
      </c>
      <c r="K284" s="406" t="s">
        <v>232</v>
      </c>
      <c r="L284" s="406">
        <v>3.7040065412919002E-7</v>
      </c>
      <c r="M284" s="406">
        <f t="shared" si="135"/>
        <v>3.7040065412919002E-7</v>
      </c>
      <c r="N284" s="221" t="s">
        <v>232</v>
      </c>
      <c r="O284" s="426">
        <v>8.0000000000000002E-3</v>
      </c>
      <c r="P284" s="1650">
        <v>0.5</v>
      </c>
      <c r="Q284" s="426">
        <f t="shared" si="136"/>
        <v>4.0000000000000001E-3</v>
      </c>
      <c r="R284" s="1666">
        <v>1</v>
      </c>
      <c r="S284" s="426">
        <f t="shared" si="137"/>
        <v>8.0000000000000002E-3</v>
      </c>
      <c r="T284" s="425" t="s">
        <v>232</v>
      </c>
      <c r="U284" s="425" t="str">
        <f t="shared" si="138"/>
        <v>na</v>
      </c>
      <c r="V284" s="1272" t="s">
        <v>232</v>
      </c>
      <c r="W284" s="1272" t="str">
        <f t="shared" si="139"/>
        <v>na</v>
      </c>
      <c r="X284" s="412" t="str">
        <f t="shared" si="140"/>
        <v>na</v>
      </c>
      <c r="Y284" s="1272" t="s">
        <v>232</v>
      </c>
      <c r="Z284" s="412" t="str">
        <f t="shared" si="141"/>
        <v>na</v>
      </c>
      <c r="AA284" s="412" t="s">
        <v>221</v>
      </c>
      <c r="AB284" s="439">
        <v>1</v>
      </c>
      <c r="AC284" s="1242">
        <v>0.1</v>
      </c>
      <c r="AD284" s="1242">
        <v>1</v>
      </c>
      <c r="AE284" s="1242">
        <v>0.1</v>
      </c>
      <c r="AF284" s="1292" t="s">
        <v>221</v>
      </c>
      <c r="AG284" s="384" t="s">
        <v>221</v>
      </c>
      <c r="AH284" s="343" t="s">
        <v>221</v>
      </c>
      <c r="AI284" s="343" t="s">
        <v>221</v>
      </c>
      <c r="AJ284" s="343" t="s">
        <v>221</v>
      </c>
      <c r="AK284" s="449" t="str">
        <f t="shared" si="125"/>
        <v>no</v>
      </c>
      <c r="AL284" s="221" t="s">
        <v>232</v>
      </c>
      <c r="AM284" s="406" t="s">
        <v>232</v>
      </c>
      <c r="AN284" s="1330" t="str">
        <f t="shared" si="142"/>
        <v>na</v>
      </c>
      <c r="AP284" s="1062"/>
    </row>
    <row r="285" spans="1:42" ht="13.9" customHeight="1" x14ac:dyDescent="0.25">
      <c r="A285" s="847">
        <f>Chem!A285</f>
        <v>283</v>
      </c>
      <c r="B285" s="1576" t="str">
        <f>Chem!B285</f>
        <v>2,4,5-Trichlorophenoxyacetic acid (2,4,5-T)</v>
      </c>
      <c r="C285" s="384">
        <v>107</v>
      </c>
      <c r="D285" s="343" t="s">
        <v>232</v>
      </c>
      <c r="E285" s="392">
        <f t="shared" si="127"/>
        <v>0.107</v>
      </c>
      <c r="F285" s="343">
        <f t="shared" si="128"/>
        <v>0.107</v>
      </c>
      <c r="G285" s="343" t="s">
        <v>232</v>
      </c>
      <c r="H285" s="343" t="s">
        <v>232</v>
      </c>
      <c r="I285" s="384">
        <f t="shared" si="134"/>
        <v>2.0329999999999999</v>
      </c>
      <c r="J285" s="384">
        <f t="shared" si="129"/>
        <v>2.0329999999999999</v>
      </c>
      <c r="K285" s="406" t="s">
        <v>232</v>
      </c>
      <c r="L285" s="406">
        <v>3.5486508585445599E-7</v>
      </c>
      <c r="M285" s="406">
        <f t="shared" si="135"/>
        <v>3.5486508585445599E-7</v>
      </c>
      <c r="N285" s="221" t="s">
        <v>232</v>
      </c>
      <c r="O285" s="426">
        <v>0.01</v>
      </c>
      <c r="P285" s="1650">
        <v>0.5</v>
      </c>
      <c r="Q285" s="426">
        <f t="shared" si="136"/>
        <v>5.0000000000000001E-3</v>
      </c>
      <c r="R285" s="1666">
        <v>1</v>
      </c>
      <c r="S285" s="426">
        <f t="shared" si="137"/>
        <v>0.01</v>
      </c>
      <c r="T285" s="425" t="s">
        <v>232</v>
      </c>
      <c r="U285" s="425" t="str">
        <f t="shared" si="138"/>
        <v>na</v>
      </c>
      <c r="V285" s="1272" t="s">
        <v>232</v>
      </c>
      <c r="W285" s="1272" t="str">
        <f t="shared" si="139"/>
        <v>na</v>
      </c>
      <c r="X285" s="412" t="str">
        <f t="shared" si="140"/>
        <v>na</v>
      </c>
      <c r="Y285" s="1272" t="s">
        <v>232</v>
      </c>
      <c r="Z285" s="412" t="str">
        <f t="shared" si="141"/>
        <v>na</v>
      </c>
      <c r="AA285" s="412" t="s">
        <v>221</v>
      </c>
      <c r="AB285" s="439">
        <v>1</v>
      </c>
      <c r="AC285" s="1242">
        <v>0.1</v>
      </c>
      <c r="AD285" s="1242">
        <v>1</v>
      </c>
      <c r="AE285" s="1242">
        <v>0.1</v>
      </c>
      <c r="AF285" s="1292" t="s">
        <v>221</v>
      </c>
      <c r="AG285" s="384" t="s">
        <v>221</v>
      </c>
      <c r="AH285" s="343" t="s">
        <v>221</v>
      </c>
      <c r="AI285" s="343" t="s">
        <v>221</v>
      </c>
      <c r="AJ285" s="343" t="s">
        <v>221</v>
      </c>
      <c r="AK285" s="449" t="str">
        <f t="shared" si="125"/>
        <v>no</v>
      </c>
      <c r="AL285" s="221" t="s">
        <v>232</v>
      </c>
      <c r="AM285" s="406" t="s">
        <v>232</v>
      </c>
      <c r="AN285" s="1330" t="str">
        <f t="shared" si="142"/>
        <v>na</v>
      </c>
      <c r="AP285" s="1062"/>
    </row>
    <row r="286" spans="1:42" ht="13.9" customHeight="1" x14ac:dyDescent="0.25">
      <c r="A286" s="847">
        <f>Chem!A286</f>
        <v>284</v>
      </c>
      <c r="B286" s="1576" t="str">
        <f>Chem!B286</f>
        <v>Dalapon</v>
      </c>
      <c r="C286" s="384">
        <v>3.23</v>
      </c>
      <c r="D286" s="343" t="s">
        <v>232</v>
      </c>
      <c r="E286" s="392">
        <f t="shared" si="127"/>
        <v>3.2300000000000002E-3</v>
      </c>
      <c r="F286" s="343">
        <f t="shared" si="128"/>
        <v>3.2300000000000002E-3</v>
      </c>
      <c r="G286" s="343" t="s">
        <v>232</v>
      </c>
      <c r="H286" s="343" t="s">
        <v>232</v>
      </c>
      <c r="I286" s="384">
        <f t="shared" si="134"/>
        <v>6.1370000000000001E-2</v>
      </c>
      <c r="J286" s="384">
        <f t="shared" si="129"/>
        <v>6.1370000000000001E-2</v>
      </c>
      <c r="K286" s="406">
        <v>1.0405908831630235E-6</v>
      </c>
      <c r="L286" s="406">
        <v>2.3139820114472599E-6</v>
      </c>
      <c r="M286" s="406">
        <f t="shared" si="135"/>
        <v>1.0405908831630235E-6</v>
      </c>
      <c r="N286" s="221" t="s">
        <v>232</v>
      </c>
      <c r="O286" s="426">
        <v>0.03</v>
      </c>
      <c r="P286" s="1650">
        <v>0.5</v>
      </c>
      <c r="Q286" s="426">
        <f t="shared" si="136"/>
        <v>1.4999999999999999E-2</v>
      </c>
      <c r="R286" s="1666">
        <v>1</v>
      </c>
      <c r="S286" s="426">
        <f t="shared" si="137"/>
        <v>0.03</v>
      </c>
      <c r="T286" s="425" t="s">
        <v>232</v>
      </c>
      <c r="U286" s="425" t="str">
        <f t="shared" si="138"/>
        <v>na</v>
      </c>
      <c r="V286" s="1272" t="s">
        <v>232</v>
      </c>
      <c r="W286" s="1272" t="str">
        <f t="shared" si="139"/>
        <v>na</v>
      </c>
      <c r="X286" s="412" t="str">
        <f t="shared" si="140"/>
        <v>na</v>
      </c>
      <c r="Y286" s="1272" t="s">
        <v>232</v>
      </c>
      <c r="Z286" s="412" t="str">
        <f t="shared" si="141"/>
        <v>na</v>
      </c>
      <c r="AA286" s="412" t="s">
        <v>221</v>
      </c>
      <c r="AB286" s="439">
        <v>1</v>
      </c>
      <c r="AC286" s="1242">
        <v>0.1</v>
      </c>
      <c r="AD286" s="1242">
        <v>1</v>
      </c>
      <c r="AE286" s="1242">
        <v>0.1</v>
      </c>
      <c r="AF286" s="1292" t="s">
        <v>221</v>
      </c>
      <c r="AG286" s="384" t="s">
        <v>221</v>
      </c>
      <c r="AH286" s="343" t="s">
        <v>221</v>
      </c>
      <c r="AI286" s="343" t="s">
        <v>221</v>
      </c>
      <c r="AJ286" s="343" t="s">
        <v>221</v>
      </c>
      <c r="AK286" s="449" t="str">
        <f t="shared" si="125"/>
        <v>no</v>
      </c>
      <c r="AL286" s="221" t="s">
        <v>232</v>
      </c>
      <c r="AM286" s="406" t="s">
        <v>232</v>
      </c>
      <c r="AN286" s="1330" t="str">
        <f t="shared" si="142"/>
        <v>na</v>
      </c>
      <c r="AP286" s="1062"/>
    </row>
    <row r="287" spans="1:42" ht="13.9" customHeight="1" x14ac:dyDescent="0.25">
      <c r="A287" s="847">
        <f>Chem!A287</f>
        <v>285</v>
      </c>
      <c r="B287" s="1692" t="str">
        <f>Chem!B287</f>
        <v>Dicamba</v>
      </c>
      <c r="C287" s="384">
        <v>29</v>
      </c>
      <c r="D287" s="343" t="s">
        <v>232</v>
      </c>
      <c r="E287" s="392">
        <f t="shared" si="127"/>
        <v>2.9000000000000001E-2</v>
      </c>
      <c r="F287" s="343">
        <f t="shared" si="128"/>
        <v>2.9000000000000001E-2</v>
      </c>
      <c r="G287" s="343" t="s">
        <v>232</v>
      </c>
      <c r="H287" s="343" t="s">
        <v>232</v>
      </c>
      <c r="I287" s="384">
        <f t="shared" si="134"/>
        <v>0.55099999999999993</v>
      </c>
      <c r="J287" s="384">
        <f t="shared" si="129"/>
        <v>0.55099999999999993</v>
      </c>
      <c r="K287" s="406" t="s">
        <v>232</v>
      </c>
      <c r="L287" s="406">
        <v>8.9125102207686005E-8</v>
      </c>
      <c r="M287" s="406">
        <f t="shared" si="135"/>
        <v>8.9125102207686005E-8</v>
      </c>
      <c r="N287" s="221" t="s">
        <v>232</v>
      </c>
      <c r="O287" s="426">
        <v>0.03</v>
      </c>
      <c r="P287" s="1650">
        <v>0.5</v>
      </c>
      <c r="Q287" s="426">
        <f t="shared" si="136"/>
        <v>1.4999999999999999E-2</v>
      </c>
      <c r="R287" s="1666">
        <v>1</v>
      </c>
      <c r="S287" s="426">
        <f t="shared" si="137"/>
        <v>0.03</v>
      </c>
      <c r="T287" s="425" t="s">
        <v>232</v>
      </c>
      <c r="U287" s="425" t="str">
        <f t="shared" si="138"/>
        <v>na</v>
      </c>
      <c r="V287" s="1272" t="s">
        <v>232</v>
      </c>
      <c r="W287" s="1272" t="str">
        <f t="shared" si="139"/>
        <v>na</v>
      </c>
      <c r="X287" s="412" t="str">
        <f t="shared" si="140"/>
        <v>na</v>
      </c>
      <c r="Y287" s="1272" t="s">
        <v>232</v>
      </c>
      <c r="Z287" s="412" t="str">
        <f t="shared" si="141"/>
        <v>na</v>
      </c>
      <c r="AA287" s="412" t="s">
        <v>221</v>
      </c>
      <c r="AB287" s="439">
        <v>1</v>
      </c>
      <c r="AC287" s="1242">
        <v>0.1</v>
      </c>
      <c r="AD287" s="1242">
        <v>1</v>
      </c>
      <c r="AE287" s="1242">
        <v>0.1</v>
      </c>
      <c r="AF287" s="1292" t="s">
        <v>221</v>
      </c>
      <c r="AG287" s="384" t="s">
        <v>221</v>
      </c>
      <c r="AH287" s="343" t="s">
        <v>221</v>
      </c>
      <c r="AI287" s="343" t="s">
        <v>221</v>
      </c>
      <c r="AJ287" s="343" t="s">
        <v>221</v>
      </c>
      <c r="AK287" s="449" t="str">
        <f t="shared" si="125"/>
        <v>no</v>
      </c>
      <c r="AL287" s="221" t="s">
        <v>232</v>
      </c>
      <c r="AM287" s="406" t="s">
        <v>232</v>
      </c>
      <c r="AN287" s="1330" t="str">
        <f t="shared" si="142"/>
        <v>na</v>
      </c>
      <c r="AP287" s="1062"/>
    </row>
    <row r="288" spans="1:42" ht="13.9" customHeight="1" x14ac:dyDescent="0.25">
      <c r="A288" s="847">
        <f>Chem!A288</f>
        <v>286</v>
      </c>
      <c r="B288" s="1576" t="str">
        <f>Chem!B288</f>
        <v>Dichloroprop</v>
      </c>
      <c r="C288" s="384" t="s">
        <v>232</v>
      </c>
      <c r="D288" s="343" t="s">
        <v>232</v>
      </c>
      <c r="E288" s="392" t="str">
        <f t="shared" si="127"/>
        <v>na</v>
      </c>
      <c r="F288" s="343" t="str">
        <f t="shared" si="128"/>
        <v>na</v>
      </c>
      <c r="G288" s="343" t="s">
        <v>232</v>
      </c>
      <c r="H288" s="343" t="s">
        <v>232</v>
      </c>
      <c r="I288" s="384" t="str">
        <f t="shared" si="134"/>
        <v>na</v>
      </c>
      <c r="J288" s="384" t="str">
        <f t="shared" si="129"/>
        <v>na</v>
      </c>
      <c r="K288" s="406" t="s">
        <v>232</v>
      </c>
      <c r="L288" s="406" t="s">
        <v>232</v>
      </c>
      <c r="M288" s="406">
        <f t="shared" si="135"/>
        <v>0</v>
      </c>
      <c r="N288" s="221" t="s">
        <v>232</v>
      </c>
      <c r="O288" s="426" t="s">
        <v>232</v>
      </c>
      <c r="P288" s="1650">
        <v>0.5</v>
      </c>
      <c r="Q288" s="426" t="str">
        <f t="shared" si="136"/>
        <v>na</v>
      </c>
      <c r="R288" s="1666">
        <v>1</v>
      </c>
      <c r="S288" s="426" t="str">
        <f t="shared" si="137"/>
        <v>na</v>
      </c>
      <c r="T288" s="425" t="s">
        <v>232</v>
      </c>
      <c r="U288" s="425" t="str">
        <f t="shared" si="138"/>
        <v>na</v>
      </c>
      <c r="V288" s="1272" t="s">
        <v>232</v>
      </c>
      <c r="W288" s="1272" t="str">
        <f t="shared" si="139"/>
        <v>na</v>
      </c>
      <c r="X288" s="412" t="str">
        <f t="shared" si="140"/>
        <v>na</v>
      </c>
      <c r="Y288" s="1272" t="s">
        <v>232</v>
      </c>
      <c r="Z288" s="412" t="str">
        <f t="shared" si="141"/>
        <v>na</v>
      </c>
      <c r="AA288" s="412" t="s">
        <v>221</v>
      </c>
      <c r="AB288" s="439" t="s">
        <v>232</v>
      </c>
      <c r="AC288" s="1242" t="s">
        <v>232</v>
      </c>
      <c r="AD288" s="1242" t="s">
        <v>232</v>
      </c>
      <c r="AE288" s="1242">
        <v>0.1</v>
      </c>
      <c r="AF288" s="1292" t="s">
        <v>221</v>
      </c>
      <c r="AG288" s="384" t="s">
        <v>221</v>
      </c>
      <c r="AH288" s="343" t="s">
        <v>221</v>
      </c>
      <c r="AI288" s="343" t="s">
        <v>221</v>
      </c>
      <c r="AJ288" s="343" t="s">
        <v>221</v>
      </c>
      <c r="AK288" s="449" t="str">
        <f t="shared" si="125"/>
        <v>no</v>
      </c>
      <c r="AL288" s="221" t="s">
        <v>232</v>
      </c>
      <c r="AM288" s="406" t="s">
        <v>232</v>
      </c>
      <c r="AN288" s="1330" t="str">
        <f t="shared" si="142"/>
        <v>na</v>
      </c>
      <c r="AP288" s="1062"/>
    </row>
    <row r="289" spans="1:42" ht="13.9" customHeight="1" x14ac:dyDescent="0.25">
      <c r="A289" s="847">
        <f>Chem!A289</f>
        <v>287</v>
      </c>
      <c r="B289" s="1691" t="str">
        <f>Chem!B289</f>
        <v>Dinoseb</v>
      </c>
      <c r="C289" s="384">
        <v>4290</v>
      </c>
      <c r="D289" s="343" t="s">
        <v>232</v>
      </c>
      <c r="E289" s="392">
        <f t="shared" si="127"/>
        <v>4.29</v>
      </c>
      <c r="F289" s="343">
        <f t="shared" si="128"/>
        <v>4.29</v>
      </c>
      <c r="G289" s="343" t="s">
        <v>232</v>
      </c>
      <c r="H289" s="343" t="s">
        <v>232</v>
      </c>
      <c r="I289" s="384">
        <f t="shared" si="134"/>
        <v>81.509999999999991</v>
      </c>
      <c r="J289" s="384">
        <f t="shared" si="129"/>
        <v>81.509999999999991</v>
      </c>
      <c r="K289" s="406" t="s">
        <v>232</v>
      </c>
      <c r="L289" s="406">
        <v>1.8642681929681101E-5</v>
      </c>
      <c r="M289" s="406">
        <f t="shared" si="135"/>
        <v>1.8642681929681101E-5</v>
      </c>
      <c r="N289" s="221" t="s">
        <v>232</v>
      </c>
      <c r="O289" s="426">
        <v>1E-3</v>
      </c>
      <c r="P289" s="1650">
        <v>0.5</v>
      </c>
      <c r="Q289" s="426">
        <f t="shared" si="136"/>
        <v>5.0000000000000001E-4</v>
      </c>
      <c r="R289" s="1666">
        <v>1</v>
      </c>
      <c r="S289" s="426">
        <f t="shared" si="137"/>
        <v>1E-3</v>
      </c>
      <c r="T289" s="425" t="s">
        <v>232</v>
      </c>
      <c r="U289" s="425" t="str">
        <f t="shared" si="138"/>
        <v>na</v>
      </c>
      <c r="V289" s="1272" t="s">
        <v>232</v>
      </c>
      <c r="W289" s="1272" t="str">
        <f t="shared" si="139"/>
        <v>na</v>
      </c>
      <c r="X289" s="412" t="str">
        <f t="shared" si="140"/>
        <v>na</v>
      </c>
      <c r="Y289" s="1272" t="s">
        <v>232</v>
      </c>
      <c r="Z289" s="412" t="str">
        <f t="shared" si="141"/>
        <v>na</v>
      </c>
      <c r="AA289" s="412" t="s">
        <v>221</v>
      </c>
      <c r="AB289" s="439">
        <v>1</v>
      </c>
      <c r="AC289" s="1242">
        <v>0.1</v>
      </c>
      <c r="AD289" s="1242">
        <v>1</v>
      </c>
      <c r="AE289" s="1242">
        <v>0.1</v>
      </c>
      <c r="AF289" s="1292" t="s">
        <v>221</v>
      </c>
      <c r="AG289" s="384" t="s">
        <v>221</v>
      </c>
      <c r="AH289" s="343" t="s">
        <v>221</v>
      </c>
      <c r="AI289" s="343" t="s">
        <v>221</v>
      </c>
      <c r="AJ289" s="343" t="s">
        <v>221</v>
      </c>
      <c r="AK289" s="449" t="str">
        <f t="shared" si="125"/>
        <v>no</v>
      </c>
      <c r="AL289" s="221" t="s">
        <v>232</v>
      </c>
      <c r="AM289" s="406" t="s">
        <v>232</v>
      </c>
      <c r="AN289" s="1330" t="str">
        <f t="shared" si="142"/>
        <v>na</v>
      </c>
      <c r="AP289" s="1062"/>
    </row>
    <row r="290" spans="1:42" ht="13.9" customHeight="1" x14ac:dyDescent="0.25">
      <c r="A290" s="847">
        <f>Chem!A290</f>
        <v>288</v>
      </c>
      <c r="B290" s="1576" t="str">
        <f>Chem!B290</f>
        <v>2-Methyl-4-chlorophenoxy acetic acid (MCPA)</v>
      </c>
      <c r="C290" s="384">
        <v>29.6</v>
      </c>
      <c r="D290" s="343" t="s">
        <v>232</v>
      </c>
      <c r="E290" s="392">
        <f t="shared" si="127"/>
        <v>2.9600000000000001E-2</v>
      </c>
      <c r="F290" s="343">
        <f t="shared" si="128"/>
        <v>2.9600000000000001E-2</v>
      </c>
      <c r="G290" s="343" t="s">
        <v>232</v>
      </c>
      <c r="H290" s="343" t="s">
        <v>232</v>
      </c>
      <c r="I290" s="384">
        <f t="shared" si="134"/>
        <v>0.56240000000000001</v>
      </c>
      <c r="J290" s="384">
        <f t="shared" si="129"/>
        <v>0.56240000000000001</v>
      </c>
      <c r="K290" s="406" t="s">
        <v>232</v>
      </c>
      <c r="L290" s="406">
        <v>5.4374488961569898E-8</v>
      </c>
      <c r="M290" s="406">
        <f t="shared" si="135"/>
        <v>5.4374488961569898E-8</v>
      </c>
      <c r="N290" s="221" t="s">
        <v>232</v>
      </c>
      <c r="O290" s="426">
        <v>5.0000000000000001E-4</v>
      </c>
      <c r="P290" s="1650">
        <v>0.5</v>
      </c>
      <c r="Q290" s="426">
        <f t="shared" si="136"/>
        <v>2.5000000000000001E-4</v>
      </c>
      <c r="R290" s="1666">
        <v>1</v>
      </c>
      <c r="S290" s="426">
        <f t="shared" si="137"/>
        <v>5.0000000000000001E-4</v>
      </c>
      <c r="T290" s="425" t="s">
        <v>232</v>
      </c>
      <c r="U290" s="425" t="str">
        <f t="shared" si="138"/>
        <v>na</v>
      </c>
      <c r="V290" s="1272" t="s">
        <v>232</v>
      </c>
      <c r="W290" s="1272" t="str">
        <f t="shared" si="139"/>
        <v>na</v>
      </c>
      <c r="X290" s="412" t="str">
        <f t="shared" si="140"/>
        <v>na</v>
      </c>
      <c r="Y290" s="1272" t="s">
        <v>232</v>
      </c>
      <c r="Z290" s="412" t="str">
        <f t="shared" si="141"/>
        <v>na</v>
      </c>
      <c r="AA290" s="412" t="s">
        <v>221</v>
      </c>
      <c r="AB290" s="439">
        <v>1</v>
      </c>
      <c r="AC290" s="1242">
        <v>0.1</v>
      </c>
      <c r="AD290" s="1242">
        <v>1</v>
      </c>
      <c r="AE290" s="1242">
        <v>0.1</v>
      </c>
      <c r="AF290" s="1292" t="s">
        <v>221</v>
      </c>
      <c r="AG290" s="384" t="s">
        <v>221</v>
      </c>
      <c r="AH290" s="343" t="s">
        <v>221</v>
      </c>
      <c r="AI290" s="343" t="s">
        <v>221</v>
      </c>
      <c r="AJ290" s="343" t="s">
        <v>221</v>
      </c>
      <c r="AK290" s="449" t="str">
        <f t="shared" si="125"/>
        <v>no</v>
      </c>
      <c r="AL290" s="221" t="s">
        <v>232</v>
      </c>
      <c r="AM290" s="406" t="s">
        <v>232</v>
      </c>
      <c r="AN290" s="1330" t="str">
        <f t="shared" si="142"/>
        <v>na</v>
      </c>
      <c r="AP290" s="1062"/>
    </row>
    <row r="291" spans="1:42" ht="13.9" customHeight="1" thickBot="1" x14ac:dyDescent="0.3">
      <c r="A291" s="1199">
        <f>Chem!A291</f>
        <v>289</v>
      </c>
      <c r="B291" s="1577" t="str">
        <f>Chem!B291</f>
        <v>(2-Methyl-4-chlorophenol)2-propionic acid (MCPP)</v>
      </c>
      <c r="C291" s="399">
        <v>48.5</v>
      </c>
      <c r="D291" s="540" t="s">
        <v>232</v>
      </c>
      <c r="E291" s="399">
        <f t="shared" si="127"/>
        <v>4.8500000000000001E-2</v>
      </c>
      <c r="F291" s="540">
        <f t="shared" si="128"/>
        <v>4.8500000000000001E-2</v>
      </c>
      <c r="G291" s="540" t="s">
        <v>232</v>
      </c>
      <c r="H291" s="540" t="s">
        <v>232</v>
      </c>
      <c r="I291" s="399">
        <f t="shared" si="134"/>
        <v>0.92149999999999999</v>
      </c>
      <c r="J291" s="399">
        <f t="shared" si="129"/>
        <v>0.92149999999999999</v>
      </c>
      <c r="K291" s="1136" t="s">
        <v>232</v>
      </c>
      <c r="L291" s="1136">
        <v>7.4407195421095696E-7</v>
      </c>
      <c r="M291" s="1136">
        <f t="shared" si="135"/>
        <v>7.4407195421095696E-7</v>
      </c>
      <c r="N291" s="265" t="s">
        <v>232</v>
      </c>
      <c r="O291" s="429">
        <v>1E-3</v>
      </c>
      <c r="P291" s="1658">
        <v>0.5</v>
      </c>
      <c r="Q291" s="429">
        <f t="shared" si="136"/>
        <v>5.0000000000000001E-4</v>
      </c>
      <c r="R291" s="1684">
        <v>1</v>
      </c>
      <c r="S291" s="429">
        <f t="shared" si="137"/>
        <v>1E-3</v>
      </c>
      <c r="T291" s="1271" t="s">
        <v>232</v>
      </c>
      <c r="U291" s="1271" t="str">
        <f t="shared" si="138"/>
        <v>na</v>
      </c>
      <c r="V291" s="1539" t="s">
        <v>232</v>
      </c>
      <c r="W291" s="1539" t="str">
        <f t="shared" si="139"/>
        <v>na</v>
      </c>
      <c r="X291" s="1212" t="str">
        <f t="shared" si="140"/>
        <v>na</v>
      </c>
      <c r="Y291" s="1539" t="s">
        <v>232</v>
      </c>
      <c r="Z291" s="1212" t="str">
        <f t="shared" si="141"/>
        <v>na</v>
      </c>
      <c r="AA291" s="1212" t="s">
        <v>221</v>
      </c>
      <c r="AB291" s="1213">
        <v>1</v>
      </c>
      <c r="AC291" s="1253">
        <v>0.1</v>
      </c>
      <c r="AD291" s="1253">
        <v>1</v>
      </c>
      <c r="AE291" s="1253">
        <v>0.1</v>
      </c>
      <c r="AF291" s="1297" t="s">
        <v>221</v>
      </c>
      <c r="AG291" s="399" t="s">
        <v>221</v>
      </c>
      <c r="AH291" s="540" t="s">
        <v>221</v>
      </c>
      <c r="AI291" s="540" t="s">
        <v>221</v>
      </c>
      <c r="AJ291" s="1308" t="str">
        <f t="shared" si="125"/>
        <v>no</v>
      </c>
      <c r="AK291" s="1778" t="str">
        <f t="shared" si="125"/>
        <v>no</v>
      </c>
      <c r="AL291" s="1837" t="s">
        <v>232</v>
      </c>
      <c r="AM291" s="462" t="s">
        <v>232</v>
      </c>
      <c r="AN291" s="1787" t="str">
        <f t="shared" si="142"/>
        <v>na</v>
      </c>
      <c r="AO291" s="1782"/>
      <c r="AP291" s="1637"/>
    </row>
    <row r="292" spans="1:42" ht="12.75" thickTop="1" x14ac:dyDescent="0.2">
      <c r="A292" s="838"/>
      <c r="B292" s="1132"/>
      <c r="C292" s="10"/>
      <c r="D292" s="10"/>
      <c r="E292" s="10"/>
      <c r="F292" s="10"/>
      <c r="G292" s="10"/>
      <c r="H292" s="10"/>
      <c r="I292" s="10"/>
      <c r="J292" s="10"/>
      <c r="K292" s="10"/>
      <c r="L292" s="10"/>
      <c r="M292" s="10"/>
      <c r="N292" s="10"/>
      <c r="O292" s="10"/>
      <c r="P292" s="1659"/>
      <c r="Q292" s="10"/>
      <c r="R292" s="10"/>
      <c r="S292" s="10"/>
      <c r="T292" s="10"/>
      <c r="U292" s="10"/>
      <c r="V292" s="10"/>
      <c r="W292" s="10"/>
      <c r="X292" s="10"/>
      <c r="Y292" s="10"/>
      <c r="Z292" s="10"/>
      <c r="AA292" s="10"/>
      <c r="AB292" s="354"/>
      <c r="AC292" s="1254"/>
      <c r="AD292" s="1254"/>
      <c r="AE292" s="1254"/>
      <c r="AF292" s="10"/>
      <c r="AG292" s="10"/>
      <c r="AH292" s="10"/>
      <c r="AI292" s="10"/>
      <c r="AJ292" s="10"/>
      <c r="AO292" s="968"/>
      <c r="AP292" s="839">
        <f>COUNTA(AP3:AP291)</f>
        <v>0</v>
      </c>
    </row>
    <row r="293" spans="1:42" x14ac:dyDescent="0.2">
      <c r="B293" s="1132"/>
      <c r="C293" s="10"/>
      <c r="D293" s="10"/>
      <c r="E293" s="10"/>
      <c r="F293" s="10"/>
      <c r="G293" s="10"/>
      <c r="H293" s="10"/>
      <c r="I293" s="10"/>
      <c r="J293" s="10"/>
      <c r="K293" s="10"/>
      <c r="L293" s="10"/>
      <c r="M293" s="10"/>
      <c r="N293" s="10"/>
      <c r="O293" s="10"/>
      <c r="P293" s="1659"/>
      <c r="Q293" s="10"/>
      <c r="R293" s="10"/>
      <c r="S293" s="10"/>
      <c r="T293" s="10"/>
      <c r="U293" s="10"/>
      <c r="V293" s="10"/>
      <c r="W293" s="10"/>
      <c r="X293" s="10"/>
      <c r="Y293" s="10"/>
      <c r="Z293" s="10"/>
      <c r="AA293" s="10"/>
      <c r="AB293" s="354"/>
      <c r="AC293" s="1254"/>
      <c r="AD293" s="1254"/>
      <c r="AE293" s="1254"/>
      <c r="AF293" s="354"/>
      <c r="AG293" s="354"/>
      <c r="AH293" s="354"/>
      <c r="AI293" s="354"/>
      <c r="AJ293" s="354"/>
    </row>
    <row r="294" spans="1:42" x14ac:dyDescent="0.2">
      <c r="B294" s="1132"/>
      <c r="C294" s="10"/>
      <c r="D294" s="10"/>
      <c r="E294" s="10"/>
      <c r="F294" s="10"/>
      <c r="G294" s="10"/>
      <c r="H294" s="10"/>
      <c r="I294" s="10"/>
      <c r="J294" s="10"/>
      <c r="K294" s="10"/>
      <c r="L294" s="10"/>
      <c r="M294" s="10"/>
      <c r="N294" s="10"/>
      <c r="O294" s="10"/>
      <c r="P294" s="1659"/>
      <c r="Q294" s="10"/>
      <c r="R294" s="10"/>
      <c r="S294" s="10"/>
      <c r="T294" s="10"/>
      <c r="U294" s="10"/>
      <c r="V294" s="10"/>
      <c r="W294" s="10"/>
      <c r="X294" s="10"/>
      <c r="Y294" s="10"/>
      <c r="Z294" s="10"/>
      <c r="AA294" s="10"/>
      <c r="AB294" s="354"/>
      <c r="AC294" s="1254"/>
      <c r="AD294" s="1254"/>
      <c r="AE294" s="1254"/>
      <c r="AF294" s="10"/>
      <c r="AG294" s="10"/>
      <c r="AH294" s="10"/>
      <c r="AI294" s="10"/>
      <c r="AJ294" s="10"/>
    </row>
    <row r="295" spans="1:42" x14ac:dyDescent="0.2">
      <c r="C295" s="10"/>
      <c r="D295" s="10"/>
      <c r="E295" s="10"/>
      <c r="F295" s="10"/>
      <c r="G295" s="10"/>
      <c r="H295" s="10"/>
      <c r="I295" s="10"/>
      <c r="J295" s="10"/>
      <c r="K295" s="10"/>
      <c r="L295" s="10"/>
      <c r="M295" s="10"/>
      <c r="N295" s="10"/>
      <c r="O295" s="10"/>
      <c r="P295" s="1659"/>
      <c r="Q295" s="10"/>
      <c r="R295" s="10"/>
      <c r="S295" s="10"/>
      <c r="T295" s="10"/>
      <c r="U295" s="10"/>
      <c r="V295" s="10"/>
      <c r="W295" s="10"/>
      <c r="X295" s="10"/>
      <c r="Y295" s="10"/>
      <c r="Z295" s="10"/>
      <c r="AA295" s="10"/>
      <c r="AB295" s="354"/>
      <c r="AC295" s="1254"/>
      <c r="AD295" s="1254"/>
      <c r="AE295" s="1254"/>
      <c r="AF295" s="10"/>
      <c r="AG295" s="10"/>
      <c r="AH295" s="10"/>
      <c r="AI295" s="10"/>
      <c r="AJ295" s="10"/>
    </row>
    <row r="296" spans="1:42" x14ac:dyDescent="0.2">
      <c r="C296" s="10"/>
      <c r="D296" s="10"/>
      <c r="E296" s="10"/>
      <c r="F296" s="10"/>
      <c r="G296" s="10"/>
      <c r="H296" s="10"/>
      <c r="I296" s="10"/>
      <c r="J296" s="10"/>
      <c r="K296" s="10"/>
      <c r="L296" s="10"/>
      <c r="M296" s="10"/>
      <c r="N296" s="10"/>
      <c r="O296" s="10"/>
      <c r="P296" s="1659"/>
      <c r="Q296" s="10"/>
      <c r="R296" s="10"/>
      <c r="S296" s="10"/>
      <c r="T296" s="10"/>
      <c r="U296" s="10"/>
      <c r="V296" s="10"/>
      <c r="W296" s="10"/>
      <c r="X296" s="10"/>
      <c r="Y296" s="10"/>
      <c r="Z296" s="10"/>
      <c r="AA296" s="10"/>
      <c r="AB296" s="354"/>
      <c r="AC296" s="1254"/>
      <c r="AD296" s="1254"/>
      <c r="AE296" s="1254"/>
      <c r="AF296" s="10"/>
      <c r="AG296" s="10"/>
      <c r="AH296" s="10"/>
      <c r="AI296" s="10"/>
      <c r="AJ296" s="10"/>
    </row>
    <row r="297" spans="1:42" x14ac:dyDescent="0.2">
      <c r="C297" s="10"/>
      <c r="D297" s="10"/>
      <c r="E297" s="10"/>
      <c r="F297" s="10"/>
      <c r="G297" s="10"/>
      <c r="H297" s="10"/>
      <c r="I297" s="10"/>
      <c r="J297" s="10"/>
      <c r="K297" s="10"/>
      <c r="L297" s="10"/>
      <c r="M297" s="10"/>
      <c r="N297" s="10"/>
      <c r="O297" s="10"/>
      <c r="P297" s="1659"/>
      <c r="Q297" s="10"/>
      <c r="R297" s="10"/>
      <c r="S297" s="10"/>
      <c r="T297" s="10"/>
      <c r="U297" s="10"/>
      <c r="V297" s="10"/>
      <c r="W297" s="10"/>
      <c r="X297" s="10"/>
      <c r="Y297" s="10"/>
      <c r="Z297" s="10"/>
      <c r="AA297" s="10"/>
      <c r="AB297" s="354"/>
      <c r="AC297" s="1254"/>
      <c r="AD297" s="1254"/>
      <c r="AE297" s="1254"/>
      <c r="AF297" s="10"/>
      <c r="AG297" s="10"/>
      <c r="AH297" s="10"/>
      <c r="AI297" s="10"/>
      <c r="AJ297" s="10"/>
    </row>
    <row r="298" spans="1:42" x14ac:dyDescent="0.2">
      <c r="C298" s="10"/>
      <c r="D298" s="10"/>
      <c r="E298" s="10"/>
      <c r="F298" s="10"/>
      <c r="G298" s="10"/>
      <c r="H298" s="10"/>
      <c r="I298" s="10"/>
      <c r="J298" s="10"/>
      <c r="K298" s="10"/>
      <c r="L298" s="10"/>
      <c r="M298" s="10"/>
      <c r="N298" s="10"/>
      <c r="O298" s="10"/>
      <c r="P298" s="1659"/>
      <c r="Q298" s="10"/>
      <c r="R298" s="10"/>
      <c r="S298" s="10"/>
      <c r="T298" s="10"/>
      <c r="U298" s="10"/>
      <c r="V298" s="10"/>
      <c r="W298" s="10"/>
      <c r="X298" s="10"/>
      <c r="Y298" s="10"/>
      <c r="Z298" s="10"/>
      <c r="AA298" s="10"/>
      <c r="AB298" s="354"/>
      <c r="AC298" s="1254"/>
      <c r="AD298" s="1254"/>
      <c r="AE298" s="1254"/>
      <c r="AF298" s="10"/>
      <c r="AG298" s="10"/>
      <c r="AH298" s="10"/>
      <c r="AI298" s="10"/>
      <c r="AJ298" s="10"/>
    </row>
    <row r="299" spans="1:42" x14ac:dyDescent="0.2">
      <c r="C299" s="10"/>
      <c r="D299" s="10"/>
      <c r="E299" s="10"/>
      <c r="F299" s="10"/>
      <c r="G299" s="10"/>
      <c r="H299" s="10"/>
      <c r="I299" s="10"/>
      <c r="J299" s="10"/>
      <c r="K299" s="10"/>
      <c r="L299" s="10"/>
      <c r="M299" s="10"/>
      <c r="N299" s="10"/>
      <c r="O299" s="10"/>
      <c r="P299" s="1659"/>
      <c r="Q299" s="10"/>
      <c r="R299" s="10"/>
      <c r="S299" s="10"/>
      <c r="T299" s="10"/>
      <c r="U299" s="10"/>
      <c r="V299" s="10"/>
      <c r="W299" s="10"/>
      <c r="X299" s="10"/>
      <c r="Y299" s="10"/>
      <c r="Z299" s="10"/>
      <c r="AA299" s="10"/>
      <c r="AB299" s="354"/>
      <c r="AC299" s="1254"/>
      <c r="AD299" s="1254"/>
      <c r="AE299" s="1254"/>
      <c r="AF299" s="10"/>
      <c r="AG299" s="10"/>
      <c r="AH299" s="10"/>
      <c r="AI299" s="10"/>
      <c r="AJ299" s="10"/>
    </row>
    <row r="300" spans="1:42" x14ac:dyDescent="0.2">
      <c r="B300" s="748"/>
      <c r="C300" s="10"/>
      <c r="D300" s="10"/>
      <c r="E300" s="10"/>
      <c r="F300" s="10"/>
      <c r="G300" s="10"/>
      <c r="H300" s="10"/>
      <c r="I300" s="10"/>
      <c r="J300" s="10"/>
      <c r="K300" s="10"/>
      <c r="L300" s="10"/>
      <c r="M300" s="10"/>
      <c r="N300" s="10"/>
      <c r="O300" s="10"/>
      <c r="P300" s="1659"/>
      <c r="Q300" s="10"/>
      <c r="R300" s="10"/>
      <c r="S300" s="10"/>
      <c r="T300" s="10"/>
      <c r="U300" s="10"/>
      <c r="V300" s="10"/>
      <c r="W300" s="10"/>
      <c r="X300" s="10"/>
      <c r="Y300" s="10"/>
      <c r="Z300" s="10"/>
      <c r="AA300" s="10"/>
      <c r="AB300" s="354"/>
      <c r="AC300" s="1254"/>
      <c r="AD300" s="1254"/>
      <c r="AE300" s="1254"/>
      <c r="AF300" s="10"/>
      <c r="AG300" s="10"/>
      <c r="AH300" s="10"/>
      <c r="AI300" s="10"/>
      <c r="AJ300" s="10"/>
    </row>
    <row r="301" spans="1:42" x14ac:dyDescent="0.2">
      <c r="B301" s="748"/>
      <c r="C301" s="10"/>
      <c r="D301" s="10"/>
      <c r="E301" s="10"/>
      <c r="F301" s="10"/>
      <c r="G301" s="10"/>
      <c r="H301" s="10"/>
      <c r="I301" s="10"/>
      <c r="J301" s="10"/>
      <c r="K301" s="10"/>
      <c r="L301" s="10"/>
      <c r="M301" s="10"/>
      <c r="N301" s="10"/>
      <c r="O301" s="10"/>
      <c r="P301" s="1659"/>
      <c r="Q301" s="10"/>
      <c r="R301" s="10"/>
      <c r="S301" s="10"/>
      <c r="T301" s="10"/>
      <c r="U301" s="10"/>
      <c r="V301" s="10"/>
      <c r="W301" s="10"/>
      <c r="X301" s="10"/>
      <c r="Y301" s="10"/>
      <c r="Z301" s="10"/>
      <c r="AA301" s="10"/>
      <c r="AB301" s="354"/>
      <c r="AC301" s="1254"/>
      <c r="AD301" s="1254"/>
      <c r="AE301" s="1254"/>
      <c r="AF301" s="10"/>
      <c r="AG301" s="10"/>
      <c r="AH301" s="10"/>
      <c r="AI301" s="10"/>
      <c r="AJ301" s="10"/>
    </row>
    <row r="302" spans="1:42" x14ac:dyDescent="0.2">
      <c r="B302" s="748"/>
      <c r="C302" s="10"/>
      <c r="D302" s="10"/>
      <c r="E302" s="10"/>
      <c r="F302" s="10"/>
      <c r="G302" s="10"/>
      <c r="H302" s="10"/>
      <c r="I302" s="10"/>
      <c r="J302" s="10"/>
      <c r="K302" s="10"/>
      <c r="L302" s="10"/>
      <c r="M302" s="10"/>
      <c r="N302" s="10"/>
      <c r="O302" s="10"/>
      <c r="P302" s="1659"/>
      <c r="Q302" s="10"/>
      <c r="R302" s="10"/>
      <c r="S302" s="10"/>
      <c r="T302" s="10"/>
      <c r="U302" s="10"/>
      <c r="V302" s="10"/>
      <c r="W302" s="10"/>
      <c r="X302" s="10"/>
      <c r="Y302" s="10"/>
      <c r="Z302" s="10"/>
      <c r="AA302" s="10"/>
      <c r="AB302" s="354"/>
      <c r="AC302" s="1254"/>
      <c r="AD302" s="1254"/>
      <c r="AE302" s="1254"/>
      <c r="AF302" s="10"/>
      <c r="AG302" s="10"/>
      <c r="AH302" s="10"/>
      <c r="AI302" s="10"/>
      <c r="AJ302" s="10"/>
    </row>
  </sheetData>
  <autoFilter ref="A2:AO292" xr:uid="{00000000-0009-0000-0000-000007000000}"/>
  <printOptions horizontalCentered="1"/>
  <pageMargins left="0.7" right="0.7" top="0.75" bottom="0.75" header="0.3" footer="0.3"/>
  <pageSetup orientation="portrait" r:id="rId1"/>
  <headerFooter scaleWithDoc="0">
    <oddFooter>&amp;L&amp;"Arial,Regular"&amp;9 9/13/16&amp;R&amp;"Arial,Regular"&amp;9Page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71"/>
  <sheetViews>
    <sheetView zoomScaleNormal="100" workbookViewId="0"/>
  </sheetViews>
  <sheetFormatPr defaultColWidth="9.140625" defaultRowHeight="12" x14ac:dyDescent="0.2"/>
  <cols>
    <col min="1" max="1" width="19.5703125" style="9" customWidth="1"/>
    <col min="2" max="2" width="39.7109375" style="13" customWidth="1"/>
    <col min="3" max="3" width="14.42578125" style="9" customWidth="1"/>
    <col min="4" max="4" width="29.7109375" style="14" customWidth="1"/>
    <col min="5" max="5" width="26.28515625" style="751" customWidth="1"/>
    <col min="6" max="6" width="26.28515625" style="9" customWidth="1"/>
    <col min="7" max="9" width="23.140625" style="9" customWidth="1"/>
    <col min="10" max="10" width="16.28515625" style="9" customWidth="1"/>
    <col min="11" max="16384" width="9.140625" style="9"/>
  </cols>
  <sheetData>
    <row r="1" spans="1:5" ht="15" x14ac:dyDescent="0.25">
      <c r="A1" s="52" t="s">
        <v>1691</v>
      </c>
      <c r="B1" s="50"/>
      <c r="C1" s="51"/>
      <c r="D1" s="50"/>
      <c r="E1" s="749"/>
    </row>
    <row r="2" spans="1:5" x14ac:dyDescent="0.2">
      <c r="E2" s="750"/>
    </row>
    <row r="3" spans="1:5" x14ac:dyDescent="0.2">
      <c r="A3" s="1032" t="s">
        <v>595</v>
      </c>
      <c r="E3" s="750"/>
    </row>
    <row r="4" spans="1:5" x14ac:dyDescent="0.2">
      <c r="A4" s="2394"/>
      <c r="B4" s="199" t="s">
        <v>691</v>
      </c>
      <c r="E4" s="750"/>
    </row>
    <row r="5" spans="1:5" x14ac:dyDescent="0.2">
      <c r="A5" s="1435"/>
      <c r="B5" s="199" t="s">
        <v>505</v>
      </c>
      <c r="E5" s="750"/>
    </row>
    <row r="6" spans="1:5" x14ac:dyDescent="0.2">
      <c r="A6" s="199"/>
      <c r="B6" s="199"/>
      <c r="E6" s="750"/>
    </row>
    <row r="7" spans="1:5" x14ac:dyDescent="0.2">
      <c r="A7" s="1488" t="s">
        <v>487</v>
      </c>
      <c r="B7" s="1489"/>
      <c r="C7" s="1490"/>
      <c r="D7" s="1491"/>
      <c r="E7" s="750"/>
    </row>
    <row r="8" spans="1:5" x14ac:dyDescent="0.2">
      <c r="A8" s="8"/>
    </row>
    <row r="9" spans="1:5" x14ac:dyDescent="0.2">
      <c r="A9" s="8"/>
    </row>
    <row r="10" spans="1:5" x14ac:dyDescent="0.2">
      <c r="A10" s="8"/>
    </row>
    <row r="11" spans="1:5" x14ac:dyDescent="0.2">
      <c r="A11" s="12"/>
      <c r="B11" s="9"/>
    </row>
    <row r="12" spans="1:5" x14ac:dyDescent="0.2">
      <c r="A12" s="97"/>
      <c r="B12" s="146" t="s">
        <v>313</v>
      </c>
    </row>
    <row r="13" spans="1:5" x14ac:dyDescent="0.2">
      <c r="A13" s="18"/>
      <c r="B13" s="206" t="s">
        <v>372</v>
      </c>
    </row>
    <row r="14" spans="1:5" x14ac:dyDescent="0.2">
      <c r="A14" s="12"/>
      <c r="B14" s="16"/>
      <c r="E14" s="752"/>
    </row>
    <row r="15" spans="1:5" x14ac:dyDescent="0.2">
      <c r="A15" s="772" t="s">
        <v>339</v>
      </c>
      <c r="B15" s="771" t="s">
        <v>489</v>
      </c>
      <c r="C15" s="86" t="s">
        <v>36</v>
      </c>
      <c r="D15" s="87" t="s">
        <v>193</v>
      </c>
    </row>
    <row r="16" spans="1:5" ht="11.45" customHeight="1" x14ac:dyDescent="0.2">
      <c r="A16" s="67" t="s">
        <v>45</v>
      </c>
      <c r="B16" s="145" t="s">
        <v>37</v>
      </c>
      <c r="C16" s="67" t="s">
        <v>14</v>
      </c>
      <c r="D16" s="195" t="s">
        <v>189</v>
      </c>
    </row>
    <row r="17" spans="1:4" ht="24" x14ac:dyDescent="0.2">
      <c r="A17" s="67" t="s">
        <v>18</v>
      </c>
      <c r="B17" s="88" t="s">
        <v>66</v>
      </c>
      <c r="C17" s="64" t="s">
        <v>19</v>
      </c>
      <c r="D17" s="76">
        <v>16</v>
      </c>
    </row>
    <row r="18" spans="1:4" x14ac:dyDescent="0.2">
      <c r="A18" s="67" t="s">
        <v>46</v>
      </c>
      <c r="B18" s="89" t="s">
        <v>71</v>
      </c>
      <c r="C18" s="67" t="s">
        <v>23</v>
      </c>
      <c r="D18" s="1033">
        <v>1000</v>
      </c>
    </row>
    <row r="19" spans="1:4" x14ac:dyDescent="0.2">
      <c r="A19" s="67" t="s">
        <v>32</v>
      </c>
      <c r="B19" s="90" t="s">
        <v>76</v>
      </c>
      <c r="C19" s="67" t="s">
        <v>17</v>
      </c>
      <c r="D19" s="77">
        <v>1</v>
      </c>
    </row>
    <row r="20" spans="1:4" ht="11.45" customHeight="1" x14ac:dyDescent="0.2">
      <c r="A20" s="67" t="s">
        <v>20</v>
      </c>
      <c r="B20" s="90" t="s">
        <v>73</v>
      </c>
      <c r="C20" s="67" t="s">
        <v>21</v>
      </c>
      <c r="D20" s="77">
        <f>D24</f>
        <v>6</v>
      </c>
    </row>
    <row r="21" spans="1:4" x14ac:dyDescent="0.2">
      <c r="A21" s="67" t="s">
        <v>51</v>
      </c>
      <c r="B21" s="88" t="s">
        <v>79</v>
      </c>
      <c r="C21" s="67" t="s">
        <v>52</v>
      </c>
      <c r="D21" s="77">
        <v>1</v>
      </c>
    </row>
    <row r="22" spans="1:4" x14ac:dyDescent="0.2">
      <c r="A22" s="99" t="s">
        <v>69</v>
      </c>
      <c r="B22" s="90" t="s">
        <v>145</v>
      </c>
      <c r="C22" s="57" t="s">
        <v>17</v>
      </c>
      <c r="D22" s="195" t="s">
        <v>189</v>
      </c>
    </row>
    <row r="23" spans="1:4" x14ac:dyDescent="0.2">
      <c r="A23" s="67" t="s">
        <v>53</v>
      </c>
      <c r="B23" s="88" t="s">
        <v>67</v>
      </c>
      <c r="C23" s="67" t="s">
        <v>17</v>
      </c>
      <c r="D23" s="77">
        <v>1</v>
      </c>
    </row>
    <row r="24" spans="1:4" x14ac:dyDescent="0.2">
      <c r="A24" s="92" t="s">
        <v>30</v>
      </c>
      <c r="B24" s="93" t="s">
        <v>68</v>
      </c>
      <c r="C24" s="92" t="s">
        <v>21</v>
      </c>
      <c r="D24" s="94">
        <v>6</v>
      </c>
    </row>
    <row r="25" spans="1:4" ht="24" x14ac:dyDescent="0.2">
      <c r="A25" s="773" t="s">
        <v>314</v>
      </c>
      <c r="B25" s="774" t="s">
        <v>315</v>
      </c>
      <c r="C25" s="773" t="s">
        <v>310</v>
      </c>
      <c r="D25" s="775">
        <f>(D17*D18*D19*D20)/(D21*D23*D24)</f>
        <v>16000</v>
      </c>
    </row>
    <row r="26" spans="1:4" x14ac:dyDescent="0.2">
      <c r="A26" s="240"/>
      <c r="B26" s="1309"/>
      <c r="C26" s="240"/>
      <c r="D26" s="1310"/>
    </row>
    <row r="27" spans="1:4" x14ac:dyDescent="0.2">
      <c r="A27" s="1488" t="s">
        <v>488</v>
      </c>
      <c r="B27" s="1489"/>
      <c r="C27" s="1490"/>
      <c r="D27" s="1491"/>
    </row>
    <row r="28" spans="1:4" x14ac:dyDescent="0.2">
      <c r="A28" s="8"/>
    </row>
    <row r="29" spans="1:4" x14ac:dyDescent="0.2">
      <c r="A29" s="8"/>
    </row>
    <row r="30" spans="1:4" x14ac:dyDescent="0.2">
      <c r="A30" s="8"/>
    </row>
    <row r="31" spans="1:4" x14ac:dyDescent="0.2">
      <c r="A31" s="8"/>
    </row>
    <row r="32" spans="1:4" x14ac:dyDescent="0.2">
      <c r="A32" s="8"/>
    </row>
    <row r="33" spans="1:5" x14ac:dyDescent="0.2">
      <c r="A33" s="97"/>
      <c r="B33" s="205" t="s">
        <v>311</v>
      </c>
    </row>
    <row r="34" spans="1:5" x14ac:dyDescent="0.2">
      <c r="A34" s="18"/>
      <c r="B34" s="206" t="s">
        <v>373</v>
      </c>
      <c r="E34" s="753"/>
    </row>
    <row r="35" spans="1:5" x14ac:dyDescent="0.2">
      <c r="A35" s="12"/>
      <c r="B35" s="16"/>
    </row>
    <row r="36" spans="1:5" x14ac:dyDescent="0.2">
      <c r="A36" s="78" t="s">
        <v>126</v>
      </c>
      <c r="B36" s="771" t="s">
        <v>490</v>
      </c>
      <c r="C36" s="86" t="s">
        <v>36</v>
      </c>
      <c r="D36" s="87" t="s">
        <v>192</v>
      </c>
    </row>
    <row r="37" spans="1:5" x14ac:dyDescent="0.2">
      <c r="A37" s="67" t="s">
        <v>16</v>
      </c>
      <c r="B37" s="89" t="s">
        <v>70</v>
      </c>
      <c r="C37" s="64" t="s">
        <v>17</v>
      </c>
      <c r="D37" s="1034">
        <v>9.9999999999999995E-7</v>
      </c>
    </row>
    <row r="38" spans="1:5" ht="24" x14ac:dyDescent="0.2">
      <c r="A38" s="67" t="s">
        <v>18</v>
      </c>
      <c r="B38" s="88" t="s">
        <v>66</v>
      </c>
      <c r="C38" s="64" t="s">
        <v>19</v>
      </c>
      <c r="D38" s="76">
        <v>70</v>
      </c>
    </row>
    <row r="39" spans="1:5" x14ac:dyDescent="0.2">
      <c r="A39" s="67" t="s">
        <v>46</v>
      </c>
      <c r="B39" s="89" t="s">
        <v>71</v>
      </c>
      <c r="C39" s="67" t="s">
        <v>23</v>
      </c>
      <c r="D39" s="1033">
        <v>1000</v>
      </c>
    </row>
    <row r="40" spans="1:5" x14ac:dyDescent="0.2">
      <c r="A40" s="67" t="s">
        <v>20</v>
      </c>
      <c r="B40" s="90" t="s">
        <v>73</v>
      </c>
      <c r="C40" s="67" t="s">
        <v>21</v>
      </c>
      <c r="D40" s="77">
        <v>75</v>
      </c>
    </row>
    <row r="41" spans="1:5" ht="11.45" customHeight="1" x14ac:dyDescent="0.2">
      <c r="A41" s="197" t="s">
        <v>49</v>
      </c>
      <c r="B41" s="191" t="s">
        <v>50</v>
      </c>
      <c r="C41" s="64" t="s">
        <v>31</v>
      </c>
      <c r="D41" s="70" t="s">
        <v>189</v>
      </c>
    </row>
    <row r="42" spans="1:5" x14ac:dyDescent="0.2">
      <c r="A42" s="67" t="s">
        <v>51</v>
      </c>
      <c r="B42" s="88" t="s">
        <v>79</v>
      </c>
      <c r="C42" s="67" t="s">
        <v>52</v>
      </c>
      <c r="D42" s="77">
        <v>2</v>
      </c>
    </row>
    <row r="43" spans="1:5" x14ac:dyDescent="0.2">
      <c r="A43" s="99" t="s">
        <v>69</v>
      </c>
      <c r="B43" s="145" t="s">
        <v>145</v>
      </c>
      <c r="C43" s="65" t="s">
        <v>17</v>
      </c>
      <c r="D43" s="70" t="s">
        <v>189</v>
      </c>
    </row>
    <row r="44" spans="1:5" x14ac:dyDescent="0.2">
      <c r="A44" s="67" t="s">
        <v>53</v>
      </c>
      <c r="B44" s="88" t="s">
        <v>67</v>
      </c>
      <c r="C44" s="67" t="s">
        <v>17</v>
      </c>
      <c r="D44" s="77">
        <v>1</v>
      </c>
    </row>
    <row r="45" spans="1:5" x14ac:dyDescent="0.2">
      <c r="A45" s="92" t="s">
        <v>30</v>
      </c>
      <c r="B45" s="93" t="s">
        <v>68</v>
      </c>
      <c r="C45" s="92" t="s">
        <v>21</v>
      </c>
      <c r="D45" s="94">
        <v>30</v>
      </c>
    </row>
    <row r="46" spans="1:5" x14ac:dyDescent="0.2">
      <c r="A46" s="776" t="s">
        <v>312</v>
      </c>
      <c r="B46" s="777" t="s">
        <v>316</v>
      </c>
      <c r="C46" s="776" t="s">
        <v>310</v>
      </c>
      <c r="D46" s="775">
        <f>(D37*D38*D39*D40)/(D42*D44*D45)</f>
        <v>8.7499999999999981E-2</v>
      </c>
    </row>
    <row r="47" spans="1:5" x14ac:dyDescent="0.2">
      <c r="A47" s="199"/>
      <c r="B47" s="768"/>
      <c r="C47" s="199"/>
      <c r="D47" s="1310"/>
    </row>
    <row r="48" spans="1:5" x14ac:dyDescent="0.2">
      <c r="A48" s="1488" t="s">
        <v>195</v>
      </c>
      <c r="B48" s="1489"/>
      <c r="C48" s="1490"/>
      <c r="D48" s="1491"/>
    </row>
    <row r="49" spans="1:7" x14ac:dyDescent="0.2">
      <c r="A49" s="8"/>
    </row>
    <row r="50" spans="1:7" x14ac:dyDescent="0.2">
      <c r="A50" s="8"/>
    </row>
    <row r="51" spans="1:7" x14ac:dyDescent="0.2">
      <c r="A51" s="8"/>
    </row>
    <row r="52" spans="1:7" x14ac:dyDescent="0.2">
      <c r="A52" s="8"/>
    </row>
    <row r="53" spans="1:7" x14ac:dyDescent="0.2">
      <c r="A53" s="8"/>
    </row>
    <row r="54" spans="1:7" x14ac:dyDescent="0.2">
      <c r="A54" s="58"/>
      <c r="B54" s="199" t="s">
        <v>446</v>
      </c>
      <c r="F54" s="39"/>
    </row>
    <row r="55" spans="1:7" x14ac:dyDescent="0.2">
      <c r="A55" s="12"/>
      <c r="B55" s="768" t="s">
        <v>374</v>
      </c>
    </row>
    <row r="56" spans="1:7" x14ac:dyDescent="0.2">
      <c r="D56" s="2391"/>
    </row>
    <row r="57" spans="1:7" s="15" customFormat="1" x14ac:dyDescent="0.25">
      <c r="A57" s="772" t="s">
        <v>340</v>
      </c>
      <c r="B57" s="100" t="s">
        <v>82</v>
      </c>
      <c r="C57" s="101" t="s">
        <v>36</v>
      </c>
      <c r="D57" s="196" t="s">
        <v>194</v>
      </c>
      <c r="E57" s="754"/>
    </row>
    <row r="58" spans="1:7" s="15" customFormat="1" ht="11.45" customHeight="1" x14ac:dyDescent="0.25">
      <c r="A58" s="64" t="s">
        <v>15</v>
      </c>
      <c r="B58" s="96" t="s">
        <v>37</v>
      </c>
      <c r="C58" s="64" t="s">
        <v>14</v>
      </c>
      <c r="D58" s="70" t="s">
        <v>189</v>
      </c>
      <c r="E58" s="754"/>
    </row>
    <row r="59" spans="1:7" s="15" customFormat="1" x14ac:dyDescent="0.25">
      <c r="A59" s="64" t="s">
        <v>18</v>
      </c>
      <c r="B59" s="96" t="s">
        <v>72</v>
      </c>
      <c r="C59" s="64" t="s">
        <v>19</v>
      </c>
      <c r="D59" s="76">
        <v>70</v>
      </c>
      <c r="E59" s="754"/>
    </row>
    <row r="60" spans="1:7" s="15" customFormat="1" x14ac:dyDescent="0.25">
      <c r="A60" s="64" t="s">
        <v>22</v>
      </c>
      <c r="B60" s="89" t="s">
        <v>74</v>
      </c>
      <c r="C60" s="64" t="s">
        <v>23</v>
      </c>
      <c r="D60" s="1034">
        <v>1000</v>
      </c>
      <c r="E60" s="754"/>
    </row>
    <row r="61" spans="1:7" s="15" customFormat="1" x14ac:dyDescent="0.25">
      <c r="A61" s="64" t="s">
        <v>24</v>
      </c>
      <c r="B61" s="89" t="s">
        <v>75</v>
      </c>
      <c r="C61" s="64" t="s">
        <v>38</v>
      </c>
      <c r="D61" s="1034">
        <v>1000</v>
      </c>
      <c r="E61" s="754"/>
    </row>
    <row r="62" spans="1:7" s="15" customFormat="1" x14ac:dyDescent="0.25">
      <c r="A62" s="64" t="s">
        <v>32</v>
      </c>
      <c r="B62" s="89" t="s">
        <v>76</v>
      </c>
      <c r="C62" s="64" t="s">
        <v>17</v>
      </c>
      <c r="D62" s="76">
        <v>1</v>
      </c>
      <c r="E62" s="754"/>
    </row>
    <row r="63" spans="1:7" s="15" customFormat="1" x14ac:dyDescent="0.2">
      <c r="A63" s="64" t="s">
        <v>20</v>
      </c>
      <c r="B63" s="96" t="s">
        <v>73</v>
      </c>
      <c r="C63" s="64" t="s">
        <v>21</v>
      </c>
      <c r="D63" s="76">
        <f>D67</f>
        <v>30</v>
      </c>
      <c r="E63" s="2391"/>
      <c r="F63" s="2391"/>
      <c r="G63" s="968"/>
    </row>
    <row r="64" spans="1:7" s="15" customFormat="1" x14ac:dyDescent="0.25">
      <c r="A64" s="64" t="s">
        <v>26</v>
      </c>
      <c r="B64" s="96" t="s">
        <v>25</v>
      </c>
      <c r="C64" s="64" t="s">
        <v>13</v>
      </c>
      <c r="D64" s="76" t="s">
        <v>189</v>
      </c>
      <c r="E64" s="2392"/>
      <c r="F64" s="2392"/>
      <c r="G64" s="2393"/>
    </row>
    <row r="65" spans="1:8" s="15" customFormat="1" x14ac:dyDescent="0.25">
      <c r="A65" s="64" t="s">
        <v>27</v>
      </c>
      <c r="B65" s="90" t="s">
        <v>138</v>
      </c>
      <c r="C65" s="64" t="s">
        <v>28</v>
      </c>
      <c r="D65" s="2395">
        <v>97.5</v>
      </c>
      <c r="E65" s="2393" t="s">
        <v>738</v>
      </c>
      <c r="F65" s="2393"/>
      <c r="G65" s="2393"/>
      <c r="H65" s="240"/>
    </row>
    <row r="66" spans="1:8" s="15" customFormat="1" x14ac:dyDescent="0.25">
      <c r="A66" s="64" t="s">
        <v>29</v>
      </c>
      <c r="B66" s="90" t="s">
        <v>139</v>
      </c>
      <c r="C66" s="64" t="s">
        <v>17</v>
      </c>
      <c r="D66" s="2395">
        <v>1</v>
      </c>
      <c r="E66" s="2393" t="s">
        <v>738</v>
      </c>
      <c r="F66" s="2393"/>
      <c r="G66" s="2393"/>
      <c r="H66" s="240"/>
    </row>
    <row r="67" spans="1:8" s="15" customFormat="1" x14ac:dyDescent="0.25">
      <c r="A67" s="102" t="s">
        <v>30</v>
      </c>
      <c r="B67" s="103" t="s">
        <v>68</v>
      </c>
      <c r="C67" s="102" t="s">
        <v>21</v>
      </c>
      <c r="D67" s="104">
        <v>30</v>
      </c>
      <c r="E67" s="754"/>
    </row>
    <row r="68" spans="1:8" ht="24" x14ac:dyDescent="0.2">
      <c r="A68" s="776" t="s">
        <v>317</v>
      </c>
      <c r="B68" s="777" t="s">
        <v>318</v>
      </c>
      <c r="C68" s="776" t="s">
        <v>319</v>
      </c>
      <c r="D68" s="778">
        <f>($D59*$D60*$D61*$D62*$D63)/(D65*$D66*$D67)</f>
        <v>717948.717948718</v>
      </c>
      <c r="E68" s="752"/>
      <c r="F68" s="752"/>
      <c r="G68" s="752"/>
    </row>
    <row r="69" spans="1:8" x14ac:dyDescent="0.2">
      <c r="A69" s="199"/>
      <c r="B69" s="768"/>
      <c r="C69" s="199"/>
      <c r="D69" s="752"/>
    </row>
    <row r="70" spans="1:8" x14ac:dyDescent="0.2">
      <c r="A70" s="1488" t="s">
        <v>196</v>
      </c>
      <c r="B70" s="1489"/>
      <c r="C70" s="1490"/>
      <c r="D70" s="1491"/>
    </row>
    <row r="71" spans="1:8" x14ac:dyDescent="0.2">
      <c r="A71" s="8"/>
    </row>
    <row r="72" spans="1:8" x14ac:dyDescent="0.2">
      <c r="A72" s="8"/>
    </row>
    <row r="73" spans="1:8" x14ac:dyDescent="0.2">
      <c r="A73" s="8"/>
    </row>
    <row r="74" spans="1:8" x14ac:dyDescent="0.2">
      <c r="A74" s="8"/>
    </row>
    <row r="75" spans="1:8" x14ac:dyDescent="0.2">
      <c r="A75" s="8"/>
    </row>
    <row r="76" spans="1:8" x14ac:dyDescent="0.2">
      <c r="A76" s="58"/>
      <c r="B76" s="205" t="s">
        <v>320</v>
      </c>
    </row>
    <row r="77" spans="1:8" x14ac:dyDescent="0.2">
      <c r="A77" s="12"/>
      <c r="B77" s="206" t="s">
        <v>375</v>
      </c>
    </row>
    <row r="78" spans="1:8" x14ac:dyDescent="0.2">
      <c r="D78" s="2391"/>
      <c r="E78" s="2391"/>
      <c r="F78" s="2391"/>
      <c r="G78" s="968"/>
    </row>
    <row r="79" spans="1:8" x14ac:dyDescent="0.2">
      <c r="A79" s="78" t="s">
        <v>127</v>
      </c>
      <c r="B79" s="100" t="s">
        <v>83</v>
      </c>
      <c r="C79" s="101" t="s">
        <v>36</v>
      </c>
      <c r="D79" s="196" t="s">
        <v>213</v>
      </c>
      <c r="E79" s="754"/>
    </row>
    <row r="80" spans="1:8" x14ac:dyDescent="0.2">
      <c r="A80" s="64" t="s">
        <v>16</v>
      </c>
      <c r="B80" s="89" t="s">
        <v>70</v>
      </c>
      <c r="C80" s="64" t="s">
        <v>17</v>
      </c>
      <c r="D80" s="98">
        <v>9.9999999999999995E-7</v>
      </c>
      <c r="E80" s="754"/>
    </row>
    <row r="81" spans="1:7" x14ac:dyDescent="0.2">
      <c r="A81" s="64" t="s">
        <v>18</v>
      </c>
      <c r="B81" s="96" t="s">
        <v>72</v>
      </c>
      <c r="C81" s="64" t="s">
        <v>19</v>
      </c>
      <c r="D81" s="76">
        <f>D59</f>
        <v>70</v>
      </c>
      <c r="E81" s="754"/>
    </row>
    <row r="82" spans="1:7" x14ac:dyDescent="0.2">
      <c r="A82" s="64" t="s">
        <v>22</v>
      </c>
      <c r="B82" s="89" t="s">
        <v>74</v>
      </c>
      <c r="C82" s="64" t="s">
        <v>23</v>
      </c>
      <c r="D82" s="1034">
        <v>1000</v>
      </c>
      <c r="E82" s="754"/>
    </row>
    <row r="83" spans="1:7" x14ac:dyDescent="0.2">
      <c r="A83" s="64" t="s">
        <v>24</v>
      </c>
      <c r="B83" s="89" t="s">
        <v>75</v>
      </c>
      <c r="C83" s="64" t="s">
        <v>38</v>
      </c>
      <c r="D83" s="1034">
        <v>1000</v>
      </c>
      <c r="E83" s="754"/>
    </row>
    <row r="84" spans="1:7" x14ac:dyDescent="0.2">
      <c r="A84" s="64" t="s">
        <v>20</v>
      </c>
      <c r="B84" s="96" t="s">
        <v>73</v>
      </c>
      <c r="C84" s="64" t="s">
        <v>21</v>
      </c>
      <c r="D84" s="76">
        <v>75</v>
      </c>
      <c r="E84" s="754"/>
    </row>
    <row r="85" spans="1:7" ht="11.45" customHeight="1" x14ac:dyDescent="0.2">
      <c r="A85" s="64" t="s">
        <v>39</v>
      </c>
      <c r="B85" s="96" t="s">
        <v>40</v>
      </c>
      <c r="C85" s="64" t="s">
        <v>31</v>
      </c>
      <c r="D85" s="70" t="s">
        <v>189</v>
      </c>
      <c r="E85" s="754"/>
    </row>
    <row r="86" spans="1:7" x14ac:dyDescent="0.2">
      <c r="A86" s="64" t="s">
        <v>26</v>
      </c>
      <c r="B86" s="96" t="s">
        <v>25</v>
      </c>
      <c r="C86" s="64" t="s">
        <v>13</v>
      </c>
      <c r="D86" s="76" t="s">
        <v>189</v>
      </c>
      <c r="E86" s="754"/>
    </row>
    <row r="87" spans="1:7" x14ac:dyDescent="0.2">
      <c r="A87" s="64" t="s">
        <v>27</v>
      </c>
      <c r="B87" s="90" t="s">
        <v>140</v>
      </c>
      <c r="C87" s="64" t="s">
        <v>28</v>
      </c>
      <c r="D87" s="76">
        <f>D65</f>
        <v>97.5</v>
      </c>
      <c r="E87" s="754"/>
      <c r="F87" s="754"/>
      <c r="G87" s="754"/>
    </row>
    <row r="88" spans="1:7" x14ac:dyDescent="0.2">
      <c r="A88" s="64" t="s">
        <v>29</v>
      </c>
      <c r="B88" s="90" t="s">
        <v>139</v>
      </c>
      <c r="C88" s="64" t="s">
        <v>17</v>
      </c>
      <c r="D88" s="76">
        <f>D66</f>
        <v>1</v>
      </c>
      <c r="E88" s="754"/>
      <c r="F88" s="754"/>
      <c r="G88" s="754"/>
    </row>
    <row r="89" spans="1:7" x14ac:dyDescent="0.2">
      <c r="A89" s="102" t="s">
        <v>30</v>
      </c>
      <c r="B89" s="103" t="s">
        <v>68</v>
      </c>
      <c r="C89" s="102" t="s">
        <v>21</v>
      </c>
      <c r="D89" s="104">
        <f>D67</f>
        <v>30</v>
      </c>
      <c r="E89" s="754"/>
    </row>
    <row r="90" spans="1:7" x14ac:dyDescent="0.2">
      <c r="A90" s="776" t="s">
        <v>321</v>
      </c>
      <c r="B90" s="777" t="s">
        <v>322</v>
      </c>
      <c r="C90" s="776" t="s">
        <v>319</v>
      </c>
      <c r="D90" s="778">
        <f>($D80*$D81*$D82*$D83*$D84)/(D87*$D88*$D89)</f>
        <v>1.7948717948717945</v>
      </c>
      <c r="E90" s="752"/>
      <c r="F90" s="752"/>
      <c r="G90" s="752"/>
    </row>
    <row r="91" spans="1:7" x14ac:dyDescent="0.2">
      <c r="A91" s="199"/>
      <c r="B91" s="768"/>
      <c r="C91" s="199"/>
      <c r="D91" s="752"/>
    </row>
    <row r="92" spans="1:7" x14ac:dyDescent="0.2">
      <c r="A92" s="1488" t="s">
        <v>336</v>
      </c>
      <c r="B92" s="1489"/>
      <c r="C92" s="1490"/>
      <c r="D92" s="1491"/>
    </row>
    <row r="93" spans="1:7" x14ac:dyDescent="0.2">
      <c r="A93" s="8"/>
    </row>
    <row r="94" spans="1:7" x14ac:dyDescent="0.2">
      <c r="A94" s="8"/>
    </row>
    <row r="95" spans="1:7" x14ac:dyDescent="0.2">
      <c r="A95" s="8"/>
    </row>
    <row r="96" spans="1:7" x14ac:dyDescent="0.2">
      <c r="A96" s="8"/>
    </row>
    <row r="97" spans="1:4" x14ac:dyDescent="0.2">
      <c r="A97" s="12"/>
    </row>
    <row r="98" spans="1:4" x14ac:dyDescent="0.2">
      <c r="A98" s="203"/>
      <c r="B98" s="205" t="s">
        <v>323</v>
      </c>
    </row>
    <row r="99" spans="1:4" x14ac:dyDescent="0.2">
      <c r="A99" s="18"/>
      <c r="B99" s="206" t="s">
        <v>376</v>
      </c>
    </row>
    <row r="100" spans="1:4" x14ac:dyDescent="0.2">
      <c r="A100" s="12"/>
      <c r="B100" s="16"/>
    </row>
    <row r="101" spans="1:4" x14ac:dyDescent="0.2">
      <c r="A101" s="772" t="s">
        <v>341</v>
      </c>
      <c r="B101" s="85" t="s">
        <v>81</v>
      </c>
      <c r="C101" s="86" t="s">
        <v>41</v>
      </c>
      <c r="D101" s="87" t="s">
        <v>214</v>
      </c>
    </row>
    <row r="102" spans="1:4" ht="11.45" customHeight="1" x14ac:dyDescent="0.2">
      <c r="A102" s="67" t="s">
        <v>45</v>
      </c>
      <c r="B102" s="145" t="s">
        <v>37</v>
      </c>
      <c r="C102" s="67" t="s">
        <v>14</v>
      </c>
      <c r="D102" s="70" t="s">
        <v>189</v>
      </c>
    </row>
    <row r="103" spans="1:4" ht="24" x14ac:dyDescent="0.2">
      <c r="A103" s="67" t="s">
        <v>18</v>
      </c>
      <c r="B103" s="88" t="s">
        <v>66</v>
      </c>
      <c r="C103" s="64" t="s">
        <v>19</v>
      </c>
      <c r="D103" s="76">
        <v>16</v>
      </c>
    </row>
    <row r="104" spans="1:4" x14ac:dyDescent="0.2">
      <c r="A104" s="67" t="s">
        <v>46</v>
      </c>
      <c r="B104" s="89" t="s">
        <v>71</v>
      </c>
      <c r="C104" s="67" t="s">
        <v>41</v>
      </c>
      <c r="D104" s="1033">
        <v>1000000</v>
      </c>
    </row>
    <row r="105" spans="1:4" x14ac:dyDescent="0.2">
      <c r="A105" s="67" t="s">
        <v>32</v>
      </c>
      <c r="B105" s="88" t="s">
        <v>47</v>
      </c>
      <c r="C105" s="67" t="s">
        <v>17</v>
      </c>
      <c r="D105" s="77">
        <v>1</v>
      </c>
    </row>
    <row r="106" spans="1:4" x14ac:dyDescent="0.2">
      <c r="A106" s="67" t="s">
        <v>20</v>
      </c>
      <c r="B106" s="153" t="s">
        <v>73</v>
      </c>
      <c r="C106" s="67" t="s">
        <v>21</v>
      </c>
      <c r="D106" s="77">
        <f>D110</f>
        <v>6</v>
      </c>
    </row>
    <row r="107" spans="1:4" x14ac:dyDescent="0.2">
      <c r="A107" s="67" t="s">
        <v>42</v>
      </c>
      <c r="B107" s="88" t="s">
        <v>80</v>
      </c>
      <c r="C107" s="67" t="s">
        <v>48</v>
      </c>
      <c r="D107" s="77">
        <v>200</v>
      </c>
    </row>
    <row r="108" spans="1:4" x14ac:dyDescent="0.2">
      <c r="A108" s="99" t="s">
        <v>43</v>
      </c>
      <c r="B108" s="88" t="s">
        <v>77</v>
      </c>
      <c r="C108" s="198" t="s">
        <v>17</v>
      </c>
      <c r="D108" s="204" t="s">
        <v>383</v>
      </c>
    </row>
    <row r="109" spans="1:4" x14ac:dyDescent="0.2">
      <c r="A109" s="67" t="s">
        <v>44</v>
      </c>
      <c r="B109" s="88" t="s">
        <v>78</v>
      </c>
      <c r="C109" s="67" t="s">
        <v>17</v>
      </c>
      <c r="D109" s="77">
        <v>1</v>
      </c>
    </row>
    <row r="110" spans="1:4" x14ac:dyDescent="0.2">
      <c r="A110" s="92" t="s">
        <v>30</v>
      </c>
      <c r="B110" s="93" t="s">
        <v>68</v>
      </c>
      <c r="C110" s="92" t="s">
        <v>21</v>
      </c>
      <c r="D110" s="94">
        <v>6</v>
      </c>
    </row>
    <row r="111" spans="1:4" x14ac:dyDescent="0.2">
      <c r="A111" s="779" t="s">
        <v>324</v>
      </c>
      <c r="B111" s="780" t="s">
        <v>325</v>
      </c>
      <c r="C111" s="776" t="s">
        <v>326</v>
      </c>
      <c r="D111" s="778">
        <f>(D103*D104*D105*D106)/(D107*D109*D110)</f>
        <v>80000</v>
      </c>
    </row>
    <row r="112" spans="1:4" x14ac:dyDescent="0.2">
      <c r="A112" s="984"/>
      <c r="B112" s="205"/>
      <c r="C112" s="199"/>
      <c r="D112" s="752"/>
    </row>
    <row r="113" spans="1:4" x14ac:dyDescent="0.2">
      <c r="A113" s="1488" t="s">
        <v>337</v>
      </c>
      <c r="B113" s="1489"/>
      <c r="C113" s="1490"/>
      <c r="D113" s="1491"/>
    </row>
    <row r="118" spans="1:4" x14ac:dyDescent="0.2">
      <c r="A118" s="12"/>
      <c r="B118" s="20"/>
    </row>
    <row r="119" spans="1:4" x14ac:dyDescent="0.2">
      <c r="A119" s="203"/>
      <c r="B119" s="199" t="s">
        <v>327</v>
      </c>
    </row>
    <row r="120" spans="1:4" x14ac:dyDescent="0.2">
      <c r="A120" s="18"/>
      <c r="B120" s="199" t="s">
        <v>377</v>
      </c>
    </row>
    <row r="121" spans="1:4" x14ac:dyDescent="0.2">
      <c r="A121" s="18"/>
      <c r="B121" s="20"/>
    </row>
    <row r="122" spans="1:4" x14ac:dyDescent="0.2">
      <c r="A122" s="78" t="s">
        <v>128</v>
      </c>
      <c r="B122" s="95" t="s">
        <v>84</v>
      </c>
      <c r="C122" s="86" t="s">
        <v>41</v>
      </c>
      <c r="D122" s="87" t="s">
        <v>215</v>
      </c>
    </row>
    <row r="123" spans="1:4" x14ac:dyDescent="0.2">
      <c r="A123" s="67" t="s">
        <v>16</v>
      </c>
      <c r="B123" s="89" t="s">
        <v>70</v>
      </c>
      <c r="C123" s="64" t="s">
        <v>17</v>
      </c>
      <c r="D123" s="1034">
        <v>9.9999999999999995E-7</v>
      </c>
    </row>
    <row r="124" spans="1:4" ht="24" x14ac:dyDescent="0.2">
      <c r="A124" s="67" t="s">
        <v>18</v>
      </c>
      <c r="B124" s="88" t="s">
        <v>66</v>
      </c>
      <c r="C124" s="64" t="s">
        <v>19</v>
      </c>
      <c r="D124" s="76">
        <f>D103</f>
        <v>16</v>
      </c>
    </row>
    <row r="125" spans="1:4" x14ac:dyDescent="0.2">
      <c r="A125" s="67" t="s">
        <v>20</v>
      </c>
      <c r="B125" s="153" t="s">
        <v>73</v>
      </c>
      <c r="C125" s="67" t="s">
        <v>21</v>
      </c>
      <c r="D125" s="77">
        <v>75</v>
      </c>
    </row>
    <row r="126" spans="1:4" x14ac:dyDescent="0.2">
      <c r="A126" s="67" t="s">
        <v>46</v>
      </c>
      <c r="B126" s="89" t="s">
        <v>71</v>
      </c>
      <c r="C126" s="67" t="s">
        <v>41</v>
      </c>
      <c r="D126" s="1033">
        <v>1000000</v>
      </c>
    </row>
    <row r="127" spans="1:4" ht="11.45" customHeight="1" x14ac:dyDescent="0.2">
      <c r="A127" s="67" t="s">
        <v>49</v>
      </c>
      <c r="B127" s="88" t="s">
        <v>50</v>
      </c>
      <c r="C127" s="64" t="s">
        <v>31</v>
      </c>
      <c r="D127" s="70" t="s">
        <v>189</v>
      </c>
    </row>
    <row r="128" spans="1:4" x14ac:dyDescent="0.2">
      <c r="A128" s="67" t="s">
        <v>42</v>
      </c>
      <c r="B128" s="88" t="s">
        <v>80</v>
      </c>
      <c r="C128" s="67" t="s">
        <v>48</v>
      </c>
      <c r="D128" s="77">
        <f>D107</f>
        <v>200</v>
      </c>
    </row>
    <row r="129" spans="1:5" x14ac:dyDescent="0.2">
      <c r="A129" s="99" t="s">
        <v>43</v>
      </c>
      <c r="B129" s="88" t="s">
        <v>77</v>
      </c>
      <c r="C129" s="198" t="s">
        <v>17</v>
      </c>
      <c r="D129" s="204" t="s">
        <v>383</v>
      </c>
    </row>
    <row r="130" spans="1:5" x14ac:dyDescent="0.2">
      <c r="A130" s="67" t="s">
        <v>44</v>
      </c>
      <c r="B130" s="88" t="s">
        <v>78</v>
      </c>
      <c r="C130" s="67" t="s">
        <v>17</v>
      </c>
      <c r="D130" s="77">
        <v>1</v>
      </c>
    </row>
    <row r="131" spans="1:5" x14ac:dyDescent="0.2">
      <c r="A131" s="92" t="s">
        <v>30</v>
      </c>
      <c r="B131" s="93" t="s">
        <v>68</v>
      </c>
      <c r="C131" s="92" t="s">
        <v>21</v>
      </c>
      <c r="D131" s="94">
        <f>D110</f>
        <v>6</v>
      </c>
    </row>
    <row r="132" spans="1:5" ht="24" x14ac:dyDescent="0.2">
      <c r="A132" s="776" t="s">
        <v>328</v>
      </c>
      <c r="B132" s="777" t="s">
        <v>329</v>
      </c>
      <c r="C132" s="776" t="s">
        <v>326</v>
      </c>
      <c r="D132" s="778">
        <f>(D123*D124*D125*D126)/(D128*D130*D131)</f>
        <v>1</v>
      </c>
    </row>
    <row r="133" spans="1:5" x14ac:dyDescent="0.2">
      <c r="A133" s="199"/>
      <c r="B133" s="768"/>
      <c r="C133" s="199"/>
      <c r="D133" s="752"/>
    </row>
    <row r="134" spans="1:5" x14ac:dyDescent="0.2">
      <c r="A134" s="1488" t="s">
        <v>338</v>
      </c>
      <c r="B134" s="1489"/>
      <c r="C134" s="1490"/>
      <c r="D134" s="1491"/>
    </row>
    <row r="135" spans="1:5" x14ac:dyDescent="0.2">
      <c r="A135" s="8"/>
    </row>
    <row r="136" spans="1:5" x14ac:dyDescent="0.2">
      <c r="A136" s="8"/>
    </row>
    <row r="137" spans="1:5" x14ac:dyDescent="0.2">
      <c r="A137" s="8"/>
    </row>
    <row r="138" spans="1:5" x14ac:dyDescent="0.2">
      <c r="A138" s="8"/>
    </row>
    <row r="139" spans="1:5" x14ac:dyDescent="0.2">
      <c r="A139" s="8"/>
    </row>
    <row r="140" spans="1:5" x14ac:dyDescent="0.2">
      <c r="A140" s="203"/>
      <c r="B140" s="205" t="s">
        <v>330</v>
      </c>
      <c r="E140" s="9"/>
    </row>
    <row r="141" spans="1:5" x14ac:dyDescent="0.2">
      <c r="A141" s="18"/>
      <c r="B141" s="206" t="s">
        <v>378</v>
      </c>
    </row>
    <row r="142" spans="1:5" x14ac:dyDescent="0.2">
      <c r="A142" s="12"/>
      <c r="B142" s="16"/>
    </row>
    <row r="143" spans="1:5" x14ac:dyDescent="0.2">
      <c r="A143" s="772" t="s">
        <v>341</v>
      </c>
      <c r="B143" s="85" t="s">
        <v>81</v>
      </c>
      <c r="C143" s="86" t="s">
        <v>41</v>
      </c>
      <c r="D143" s="87" t="s">
        <v>197</v>
      </c>
    </row>
    <row r="144" spans="1:5" ht="11.45" customHeight="1" x14ac:dyDescent="0.2">
      <c r="A144" s="67" t="s">
        <v>45</v>
      </c>
      <c r="B144" s="145" t="s">
        <v>37</v>
      </c>
      <c r="C144" s="67" t="s">
        <v>14</v>
      </c>
      <c r="D144" s="70" t="s">
        <v>189</v>
      </c>
    </row>
    <row r="145" spans="1:4" ht="24" x14ac:dyDescent="0.2">
      <c r="A145" s="67" t="s">
        <v>18</v>
      </c>
      <c r="B145" s="88" t="s">
        <v>66</v>
      </c>
      <c r="C145" s="64" t="s">
        <v>19</v>
      </c>
      <c r="D145" s="76">
        <v>70</v>
      </c>
    </row>
    <row r="146" spans="1:4" x14ac:dyDescent="0.2">
      <c r="A146" s="67" t="s">
        <v>46</v>
      </c>
      <c r="B146" s="89" t="s">
        <v>71</v>
      </c>
      <c r="C146" s="67" t="s">
        <v>41</v>
      </c>
      <c r="D146" s="1033">
        <v>1000000</v>
      </c>
    </row>
    <row r="147" spans="1:4" x14ac:dyDescent="0.2">
      <c r="A147" s="67" t="s">
        <v>32</v>
      </c>
      <c r="B147" s="88" t="s">
        <v>47</v>
      </c>
      <c r="C147" s="67" t="s">
        <v>17</v>
      </c>
      <c r="D147" s="77">
        <v>1</v>
      </c>
    </row>
    <row r="148" spans="1:4" x14ac:dyDescent="0.2">
      <c r="A148" s="67" t="s">
        <v>20</v>
      </c>
      <c r="B148" s="153" t="s">
        <v>73</v>
      </c>
      <c r="C148" s="67" t="s">
        <v>21</v>
      </c>
      <c r="D148" s="77">
        <f>D152</f>
        <v>20</v>
      </c>
    </row>
    <row r="149" spans="1:4" x14ac:dyDescent="0.2">
      <c r="A149" s="67" t="s">
        <v>42</v>
      </c>
      <c r="B149" s="88" t="s">
        <v>80</v>
      </c>
      <c r="C149" s="67" t="s">
        <v>48</v>
      </c>
      <c r="D149" s="77">
        <v>50</v>
      </c>
    </row>
    <row r="150" spans="1:4" x14ac:dyDescent="0.2">
      <c r="A150" s="148" t="s">
        <v>43</v>
      </c>
      <c r="B150" s="88" t="s">
        <v>77</v>
      </c>
      <c r="C150" s="198" t="s">
        <v>17</v>
      </c>
      <c r="D150" s="204" t="s">
        <v>383</v>
      </c>
    </row>
    <row r="151" spans="1:4" x14ac:dyDescent="0.2">
      <c r="A151" s="67" t="s">
        <v>44</v>
      </c>
      <c r="B151" s="88" t="s">
        <v>78</v>
      </c>
      <c r="C151" s="67" t="s">
        <v>17</v>
      </c>
      <c r="D151" s="77">
        <v>0.4</v>
      </c>
    </row>
    <row r="152" spans="1:4" x14ac:dyDescent="0.2">
      <c r="A152" s="92" t="s">
        <v>30</v>
      </c>
      <c r="B152" s="93" t="s">
        <v>68</v>
      </c>
      <c r="C152" s="92" t="s">
        <v>21</v>
      </c>
      <c r="D152" s="94">
        <v>20</v>
      </c>
    </row>
    <row r="153" spans="1:4" x14ac:dyDescent="0.2">
      <c r="A153" s="779" t="s">
        <v>331</v>
      </c>
      <c r="B153" s="780" t="s">
        <v>332</v>
      </c>
      <c r="C153" s="776" t="s">
        <v>326</v>
      </c>
      <c r="D153" s="778">
        <f>(D145*D146*D147*D148)/(D149*D151*D152)</f>
        <v>3500000</v>
      </c>
    </row>
    <row r="154" spans="1:4" x14ac:dyDescent="0.2">
      <c r="A154" s="984"/>
      <c r="B154" s="205"/>
      <c r="C154" s="199"/>
      <c r="D154" s="752"/>
    </row>
    <row r="155" spans="1:4" x14ac:dyDescent="0.2">
      <c r="A155" s="1488" t="s">
        <v>198</v>
      </c>
      <c r="B155" s="1489"/>
      <c r="C155" s="1490"/>
      <c r="D155" s="1491"/>
    </row>
    <row r="160" spans="1:4" x14ac:dyDescent="0.2">
      <c r="A160" s="12"/>
      <c r="B160" s="20"/>
    </row>
    <row r="161" spans="1:5" x14ac:dyDescent="0.2">
      <c r="A161" s="203"/>
      <c r="B161" s="199" t="s">
        <v>333</v>
      </c>
      <c r="E161" s="9"/>
    </row>
    <row r="162" spans="1:5" x14ac:dyDescent="0.2">
      <c r="A162" s="18"/>
      <c r="B162" s="199" t="s">
        <v>379</v>
      </c>
    </row>
    <row r="163" spans="1:5" x14ac:dyDescent="0.2">
      <c r="A163" s="18"/>
      <c r="B163" s="20"/>
    </row>
    <row r="164" spans="1:5" x14ac:dyDescent="0.2">
      <c r="A164" s="78" t="s">
        <v>128</v>
      </c>
      <c r="B164" s="95" t="s">
        <v>84</v>
      </c>
      <c r="C164" s="86" t="s">
        <v>41</v>
      </c>
      <c r="D164" s="87" t="s">
        <v>199</v>
      </c>
    </row>
    <row r="165" spans="1:5" x14ac:dyDescent="0.2">
      <c r="A165" s="67" t="s">
        <v>16</v>
      </c>
      <c r="B165" s="89" t="s">
        <v>70</v>
      </c>
      <c r="C165" s="64" t="s">
        <v>17</v>
      </c>
      <c r="D165" s="98">
        <v>1.0000000000000001E-5</v>
      </c>
    </row>
    <row r="166" spans="1:5" ht="24" x14ac:dyDescent="0.2">
      <c r="A166" s="67" t="s">
        <v>18</v>
      </c>
      <c r="B166" s="88" t="s">
        <v>66</v>
      </c>
      <c r="C166" s="64" t="s">
        <v>19</v>
      </c>
      <c r="D166" s="76">
        <f>D145</f>
        <v>70</v>
      </c>
    </row>
    <row r="167" spans="1:5" x14ac:dyDescent="0.2">
      <c r="A167" s="67" t="s">
        <v>20</v>
      </c>
      <c r="B167" s="153" t="s">
        <v>73</v>
      </c>
      <c r="C167" s="67" t="s">
        <v>21</v>
      </c>
      <c r="D167" s="77">
        <v>75</v>
      </c>
    </row>
    <row r="168" spans="1:5" x14ac:dyDescent="0.2">
      <c r="A168" s="67" t="s">
        <v>46</v>
      </c>
      <c r="B168" s="89" t="s">
        <v>71</v>
      </c>
      <c r="C168" s="67" t="s">
        <v>41</v>
      </c>
      <c r="D168" s="1033">
        <v>1000000</v>
      </c>
    </row>
    <row r="169" spans="1:5" ht="11.45" customHeight="1" x14ac:dyDescent="0.2">
      <c r="A169" s="67" t="s">
        <v>49</v>
      </c>
      <c r="B169" s="88" t="s">
        <v>50</v>
      </c>
      <c r="C169" s="64" t="s">
        <v>31</v>
      </c>
      <c r="D169" s="70" t="s">
        <v>189</v>
      </c>
    </row>
    <row r="170" spans="1:5" x14ac:dyDescent="0.2">
      <c r="A170" s="67" t="s">
        <v>42</v>
      </c>
      <c r="B170" s="88" t="s">
        <v>80</v>
      </c>
      <c r="C170" s="67" t="s">
        <v>48</v>
      </c>
      <c r="D170" s="77">
        <f>D149</f>
        <v>50</v>
      </c>
    </row>
    <row r="171" spans="1:5" x14ac:dyDescent="0.2">
      <c r="A171" s="99" t="s">
        <v>43</v>
      </c>
      <c r="B171" s="88" t="s">
        <v>77</v>
      </c>
      <c r="C171" s="198" t="s">
        <v>17</v>
      </c>
      <c r="D171" s="204" t="s">
        <v>383</v>
      </c>
    </row>
    <row r="172" spans="1:5" x14ac:dyDescent="0.2">
      <c r="A172" s="67" t="s">
        <v>44</v>
      </c>
      <c r="B172" s="88" t="s">
        <v>78</v>
      </c>
      <c r="C172" s="67" t="s">
        <v>17</v>
      </c>
      <c r="D172" s="77">
        <f>D151</f>
        <v>0.4</v>
      </c>
    </row>
    <row r="173" spans="1:5" x14ac:dyDescent="0.2">
      <c r="A173" s="92" t="s">
        <v>30</v>
      </c>
      <c r="B173" s="93" t="s">
        <v>68</v>
      </c>
      <c r="C173" s="92" t="s">
        <v>21</v>
      </c>
      <c r="D173" s="94">
        <f>D152</f>
        <v>20</v>
      </c>
    </row>
    <row r="174" spans="1:5" x14ac:dyDescent="0.2">
      <c r="A174" s="776" t="s">
        <v>334</v>
      </c>
      <c r="B174" s="777" t="s">
        <v>335</v>
      </c>
      <c r="C174" s="776" t="s">
        <v>326</v>
      </c>
      <c r="D174" s="778">
        <f>(D165*D166*D167*D168)/(D170*D172*D173)</f>
        <v>131.25000000000003</v>
      </c>
    </row>
    <row r="175" spans="1:5" x14ac:dyDescent="0.2">
      <c r="A175" s="199"/>
      <c r="B175" s="768"/>
      <c r="C175" s="199"/>
      <c r="D175" s="752"/>
    </row>
    <row r="176" spans="1:5" x14ac:dyDescent="0.2">
      <c r="A176" s="1488" t="s">
        <v>491</v>
      </c>
      <c r="B176" s="1489"/>
      <c r="C176" s="1490"/>
      <c r="D176" s="1491"/>
    </row>
    <row r="177" spans="1:6" x14ac:dyDescent="0.2">
      <c r="A177" s="8"/>
    </row>
    <row r="178" spans="1:6" x14ac:dyDescent="0.2">
      <c r="A178" s="8"/>
    </row>
    <row r="179" spans="1:6" x14ac:dyDescent="0.2">
      <c r="A179" s="8"/>
    </row>
    <row r="180" spans="1:6" x14ac:dyDescent="0.2">
      <c r="A180" s="8"/>
    </row>
    <row r="181" spans="1:6" x14ac:dyDescent="0.2">
      <c r="A181" s="8"/>
    </row>
    <row r="182" spans="1:6" x14ac:dyDescent="0.2">
      <c r="A182" s="97"/>
      <c r="B182" s="205" t="s">
        <v>343</v>
      </c>
      <c r="F182" s="205"/>
    </row>
    <row r="183" spans="1:6" ht="12.75" x14ac:dyDescent="0.2">
      <c r="A183" s="149"/>
      <c r="B183" s="205" t="s">
        <v>344</v>
      </c>
      <c r="F183" s="205"/>
    </row>
    <row r="184" spans="1:6" ht="12.75" x14ac:dyDescent="0.2">
      <c r="A184" s="18"/>
      <c r="B184" s="205" t="s">
        <v>345</v>
      </c>
      <c r="F184" s="205"/>
    </row>
    <row r="185" spans="1:6" x14ac:dyDescent="0.2">
      <c r="A185" s="33"/>
      <c r="B185" s="205" t="s">
        <v>346</v>
      </c>
      <c r="F185" s="205"/>
    </row>
    <row r="186" spans="1:6" x14ac:dyDescent="0.2">
      <c r="A186" s="12"/>
      <c r="B186" s="16"/>
      <c r="F186" s="205"/>
    </row>
    <row r="187" spans="1:6" x14ac:dyDescent="0.2">
      <c r="A187" s="78" t="s">
        <v>129</v>
      </c>
      <c r="B187" s="771" t="s">
        <v>492</v>
      </c>
      <c r="C187" s="105" t="s">
        <v>41</v>
      </c>
      <c r="D187" s="87" t="s">
        <v>200</v>
      </c>
    </row>
    <row r="188" spans="1:6" x14ac:dyDescent="0.2">
      <c r="A188" s="174" t="s">
        <v>181</v>
      </c>
      <c r="B188" s="174" t="s">
        <v>182</v>
      </c>
      <c r="C188" s="106" t="s">
        <v>36</v>
      </c>
      <c r="D188" s="195" t="s">
        <v>201</v>
      </c>
      <c r="E188" s="758"/>
    </row>
    <row r="189" spans="1:6" x14ac:dyDescent="0.2">
      <c r="A189" s="67" t="s">
        <v>46</v>
      </c>
      <c r="B189" s="107" t="s">
        <v>71</v>
      </c>
      <c r="C189" s="106" t="s">
        <v>54</v>
      </c>
      <c r="D189" s="1033">
        <v>1E-3</v>
      </c>
    </row>
    <row r="190" spans="1:6" x14ac:dyDescent="0.2">
      <c r="A190" s="114" t="s">
        <v>55</v>
      </c>
      <c r="B190" s="107" t="s">
        <v>59</v>
      </c>
      <c r="C190" s="67"/>
      <c r="D190" s="108"/>
    </row>
    <row r="191" spans="1:6" x14ac:dyDescent="0.2">
      <c r="A191" s="115"/>
      <c r="B191" s="809" t="s">
        <v>413</v>
      </c>
      <c r="C191" s="65" t="s">
        <v>17</v>
      </c>
      <c r="D191" s="108">
        <v>20</v>
      </c>
    </row>
    <row r="192" spans="1:6" x14ac:dyDescent="0.2">
      <c r="A192" s="116"/>
      <c r="B192" s="68" t="s">
        <v>130</v>
      </c>
      <c r="C192" s="65" t="s">
        <v>17</v>
      </c>
      <c r="D192" s="108">
        <v>1</v>
      </c>
    </row>
    <row r="193" spans="1:5" ht="13.5" x14ac:dyDescent="0.2">
      <c r="A193" s="65" t="s">
        <v>135</v>
      </c>
      <c r="B193" s="107" t="s">
        <v>56</v>
      </c>
      <c r="C193" s="106" t="s">
        <v>13</v>
      </c>
      <c r="D193" s="70" t="s">
        <v>189</v>
      </c>
      <c r="E193" s="758"/>
    </row>
    <row r="194" spans="1:5" ht="13.5" x14ac:dyDescent="0.2">
      <c r="A194" s="117" t="s">
        <v>134</v>
      </c>
      <c r="B194" s="107" t="s">
        <v>57</v>
      </c>
      <c r="C194" s="89"/>
      <c r="D194" s="109"/>
    </row>
    <row r="195" spans="1:5" x14ac:dyDescent="0.2">
      <c r="A195" s="118"/>
      <c r="B195" s="809" t="s">
        <v>413</v>
      </c>
      <c r="C195" s="174" t="s">
        <v>183</v>
      </c>
      <c r="D195" s="1437">
        <v>0.3</v>
      </c>
    </row>
    <row r="196" spans="1:5" x14ac:dyDescent="0.2">
      <c r="A196" s="119"/>
      <c r="B196" s="68" t="s">
        <v>130</v>
      </c>
      <c r="C196" s="174" t="s">
        <v>183</v>
      </c>
      <c r="D196" s="1437">
        <v>0.43</v>
      </c>
    </row>
    <row r="197" spans="1:5" ht="13.5" x14ac:dyDescent="0.2">
      <c r="A197" s="117" t="s">
        <v>133</v>
      </c>
      <c r="B197" s="107" t="s">
        <v>58</v>
      </c>
      <c r="C197" s="106"/>
      <c r="D197" s="110"/>
    </row>
    <row r="198" spans="1:5" x14ac:dyDescent="0.2">
      <c r="A198" s="118"/>
      <c r="B198" s="809" t="s">
        <v>413</v>
      </c>
      <c r="C198" s="106" t="s">
        <v>60</v>
      </c>
      <c r="D198" s="1438">
        <v>0.13</v>
      </c>
    </row>
    <row r="199" spans="1:5" x14ac:dyDescent="0.2">
      <c r="A199" s="119"/>
      <c r="B199" s="68" t="s">
        <v>130</v>
      </c>
      <c r="C199" s="106" t="s">
        <v>60</v>
      </c>
      <c r="D199" s="110">
        <v>0</v>
      </c>
    </row>
    <row r="200" spans="1:5" ht="13.5" x14ac:dyDescent="0.2">
      <c r="A200" s="65" t="s">
        <v>132</v>
      </c>
      <c r="B200" s="191" t="s">
        <v>187</v>
      </c>
      <c r="C200" s="106" t="s">
        <v>17</v>
      </c>
      <c r="D200" s="70" t="s">
        <v>189</v>
      </c>
      <c r="E200" s="758"/>
    </row>
    <row r="201" spans="1:5" ht="13.5" x14ac:dyDescent="0.2">
      <c r="A201" s="111" t="s">
        <v>131</v>
      </c>
      <c r="B201" s="112" t="s">
        <v>61</v>
      </c>
      <c r="C201" s="113" t="s">
        <v>62</v>
      </c>
      <c r="D201" s="1439">
        <v>1.5</v>
      </c>
    </row>
    <row r="202" spans="1:5" x14ac:dyDescent="0.2">
      <c r="A202" s="781" t="s">
        <v>405</v>
      </c>
      <c r="B202" s="782" t="s">
        <v>408</v>
      </c>
      <c r="C202" s="781" t="s">
        <v>54</v>
      </c>
      <c r="D202" s="783">
        <f>D189*D191</f>
        <v>0.02</v>
      </c>
    </row>
    <row r="203" spans="1:5" x14ac:dyDescent="0.2">
      <c r="A203" s="784" t="s">
        <v>406</v>
      </c>
      <c r="B203" s="785" t="s">
        <v>409</v>
      </c>
      <c r="C203" s="784" t="s">
        <v>13</v>
      </c>
      <c r="D203" s="786">
        <f>D195/D201</f>
        <v>0.19999999999999998</v>
      </c>
    </row>
    <row r="204" spans="1:5" x14ac:dyDescent="0.2">
      <c r="A204" s="784" t="s">
        <v>407</v>
      </c>
      <c r="B204" s="785" t="s">
        <v>410</v>
      </c>
      <c r="C204" s="784" t="s">
        <v>13</v>
      </c>
      <c r="D204" s="786">
        <f>D198/D201</f>
        <v>8.666666666666667E-2</v>
      </c>
    </row>
    <row r="205" spans="1:5" x14ac:dyDescent="0.2">
      <c r="A205" s="784" t="s">
        <v>347</v>
      </c>
      <c r="B205" s="785" t="s">
        <v>411</v>
      </c>
      <c r="C205" s="784" t="s">
        <v>54</v>
      </c>
      <c r="D205" s="786">
        <f>D189*D192</f>
        <v>1E-3</v>
      </c>
    </row>
    <row r="206" spans="1:5" x14ac:dyDescent="0.2">
      <c r="A206" s="784" t="s">
        <v>348</v>
      </c>
      <c r="B206" s="785" t="s">
        <v>412</v>
      </c>
      <c r="C206" s="784" t="s">
        <v>13</v>
      </c>
      <c r="D206" s="786">
        <f>D196/D201</f>
        <v>0.28666666666666668</v>
      </c>
    </row>
    <row r="207" spans="1:5" x14ac:dyDescent="0.2">
      <c r="A207" s="787"/>
      <c r="B207" s="788" t="s">
        <v>404</v>
      </c>
      <c r="C207" s="787"/>
      <c r="D207" s="789"/>
    </row>
    <row r="208" spans="1:5" x14ac:dyDescent="0.2">
      <c r="A208" s="199"/>
      <c r="B208" s="768"/>
      <c r="C208" s="199"/>
      <c r="D208" s="752"/>
    </row>
    <row r="209" spans="1:7" x14ac:dyDescent="0.2">
      <c r="A209" s="1488" t="s">
        <v>202</v>
      </c>
      <c r="B209" s="1489"/>
      <c r="C209" s="1490"/>
      <c r="D209" s="1491"/>
    </row>
    <row r="214" spans="1:7" ht="13.5" x14ac:dyDescent="0.2">
      <c r="A214" s="78" t="s">
        <v>135</v>
      </c>
      <c r="B214" s="175" t="s">
        <v>56</v>
      </c>
      <c r="C214" s="176" t="s">
        <v>13</v>
      </c>
      <c r="D214" s="177" t="s">
        <v>189</v>
      </c>
      <c r="E214" s="758"/>
    </row>
    <row r="215" spans="1:7" ht="13.5" x14ac:dyDescent="0.2">
      <c r="A215" s="65" t="s">
        <v>136</v>
      </c>
      <c r="B215" s="107" t="s">
        <v>63</v>
      </c>
      <c r="C215" s="106" t="s">
        <v>64</v>
      </c>
      <c r="D215" s="70" t="s">
        <v>189</v>
      </c>
    </row>
    <row r="216" spans="1:7" ht="13.5" x14ac:dyDescent="0.2">
      <c r="A216" s="117" t="s">
        <v>137</v>
      </c>
      <c r="B216" s="1036" t="s">
        <v>479</v>
      </c>
      <c r="C216" s="106"/>
      <c r="D216" s="182"/>
      <c r="F216" s="1474"/>
    </row>
    <row r="217" spans="1:7" x14ac:dyDescent="0.2">
      <c r="A217" s="180"/>
      <c r="B217" s="178" t="s">
        <v>146</v>
      </c>
      <c r="C217" s="106" t="s">
        <v>65</v>
      </c>
      <c r="D217" s="1436">
        <v>1E-3</v>
      </c>
      <c r="E217" s="984"/>
      <c r="F217" s="1474"/>
    </row>
    <row r="218" spans="1:7" x14ac:dyDescent="0.2">
      <c r="A218" s="181"/>
      <c r="B218" s="179" t="s">
        <v>147</v>
      </c>
      <c r="C218" s="113" t="s">
        <v>65</v>
      </c>
      <c r="D218" s="2396">
        <v>1.9E-2</v>
      </c>
      <c r="E218" s="984" t="s">
        <v>738</v>
      </c>
      <c r="F218" s="1474"/>
      <c r="G218" s="1475"/>
    </row>
    <row r="219" spans="1:7" x14ac:dyDescent="0.2">
      <c r="A219" s="1315"/>
      <c r="B219" s="1316"/>
      <c r="C219" s="1317"/>
      <c r="D219" s="1318"/>
    </row>
    <row r="220" spans="1:7" x14ac:dyDescent="0.2">
      <c r="A220" s="1488" t="s">
        <v>493</v>
      </c>
      <c r="B220" s="1489"/>
      <c r="C220" s="1490"/>
      <c r="D220" s="1491"/>
    </row>
    <row r="221" spans="1:7" x14ac:dyDescent="0.2">
      <c r="A221" s="8"/>
    </row>
    <row r="222" spans="1:7" x14ac:dyDescent="0.2">
      <c r="A222" s="8"/>
    </row>
    <row r="223" spans="1:7" x14ac:dyDescent="0.2">
      <c r="A223" s="8"/>
    </row>
    <row r="224" spans="1:7" x14ac:dyDescent="0.2">
      <c r="A224" s="8"/>
    </row>
    <row r="225" spans="1:6" x14ac:dyDescent="0.2">
      <c r="A225" s="8"/>
    </row>
    <row r="226" spans="1:6" x14ac:dyDescent="0.2">
      <c r="A226" s="183"/>
      <c r="B226" s="205" t="s">
        <v>349</v>
      </c>
      <c r="F226" s="205"/>
    </row>
    <row r="227" spans="1:6" ht="12.75" x14ac:dyDescent="0.2">
      <c r="A227" s="18"/>
      <c r="B227" s="205" t="s">
        <v>350</v>
      </c>
      <c r="F227" s="205"/>
    </row>
    <row r="228" spans="1:6" x14ac:dyDescent="0.2">
      <c r="A228" s="18"/>
      <c r="B228" s="205" t="s">
        <v>355</v>
      </c>
      <c r="F228" s="205"/>
    </row>
    <row r="229" spans="1:6" x14ac:dyDescent="0.2">
      <c r="A229" s="12"/>
      <c r="B229" s="16"/>
    </row>
    <row r="230" spans="1:6" x14ac:dyDescent="0.2">
      <c r="A230" s="184" t="s">
        <v>184</v>
      </c>
      <c r="B230" s="185" t="s">
        <v>185</v>
      </c>
      <c r="C230" s="78" t="s">
        <v>36</v>
      </c>
      <c r="D230" s="87" t="s">
        <v>203</v>
      </c>
    </row>
    <row r="231" spans="1:6" ht="24" x14ac:dyDescent="0.2">
      <c r="A231" s="90" t="s">
        <v>149</v>
      </c>
      <c r="B231" s="90" t="s">
        <v>150</v>
      </c>
      <c r="C231" s="65" t="s">
        <v>41</v>
      </c>
      <c r="D231" s="195" t="s">
        <v>204</v>
      </c>
      <c r="E231" s="758"/>
    </row>
    <row r="232" spans="1:6" x14ac:dyDescent="0.2">
      <c r="A232" s="67" t="s">
        <v>46</v>
      </c>
      <c r="B232" s="107" t="s">
        <v>71</v>
      </c>
      <c r="C232" s="106" t="s">
        <v>54</v>
      </c>
      <c r="D232" s="1033">
        <v>1E-3</v>
      </c>
    </row>
    <row r="233" spans="1:6" x14ac:dyDescent="0.2">
      <c r="A233" s="114" t="s">
        <v>55</v>
      </c>
      <c r="B233" s="90" t="s">
        <v>141</v>
      </c>
      <c r="C233" s="65" t="s">
        <v>17</v>
      </c>
      <c r="D233" s="108">
        <v>1</v>
      </c>
    </row>
    <row r="234" spans="1:6" ht="13.5" x14ac:dyDescent="0.2">
      <c r="A234" s="65" t="s">
        <v>135</v>
      </c>
      <c r="B234" s="90" t="s">
        <v>143</v>
      </c>
      <c r="C234" s="106" t="s">
        <v>13</v>
      </c>
      <c r="D234" s="121" t="s">
        <v>189</v>
      </c>
      <c r="F234" s="1474"/>
    </row>
    <row r="235" spans="1:6" ht="13.5" x14ac:dyDescent="0.2">
      <c r="A235" s="117" t="s">
        <v>134</v>
      </c>
      <c r="B235" s="90" t="s">
        <v>142</v>
      </c>
      <c r="C235" s="1039" t="s">
        <v>183</v>
      </c>
      <c r="D235" s="2397">
        <v>0.61499999999999999</v>
      </c>
      <c r="E235" s="984" t="s">
        <v>738</v>
      </c>
      <c r="F235" s="1474"/>
    </row>
    <row r="236" spans="1:6" ht="13.5" x14ac:dyDescent="0.2">
      <c r="A236" s="111" t="s">
        <v>131</v>
      </c>
      <c r="B236" s="1049" t="s">
        <v>470</v>
      </c>
      <c r="C236" s="113" t="s">
        <v>62</v>
      </c>
      <c r="D236" s="2398">
        <v>1.02</v>
      </c>
      <c r="E236" s="984" t="s">
        <v>738</v>
      </c>
      <c r="F236" s="1474"/>
    </row>
    <row r="237" spans="1:6" x14ac:dyDescent="0.2">
      <c r="A237" s="781" t="s">
        <v>351</v>
      </c>
      <c r="B237" s="782" t="s">
        <v>352</v>
      </c>
      <c r="C237" s="781" t="s">
        <v>54</v>
      </c>
      <c r="D237" s="783">
        <f>D232*D233</f>
        <v>1E-3</v>
      </c>
    </row>
    <row r="238" spans="1:6" x14ac:dyDescent="0.2">
      <c r="A238" s="787" t="s">
        <v>353</v>
      </c>
      <c r="B238" s="788" t="s">
        <v>354</v>
      </c>
      <c r="C238" s="787" t="s">
        <v>13</v>
      </c>
      <c r="D238" s="789">
        <f>D235/D236</f>
        <v>0.6029411764705882</v>
      </c>
    </row>
    <row r="239" spans="1:6" x14ac:dyDescent="0.2">
      <c r="A239" s="199"/>
      <c r="B239" s="768"/>
      <c r="C239" s="199"/>
      <c r="D239" s="752"/>
    </row>
    <row r="240" spans="1:6" x14ac:dyDescent="0.2">
      <c r="A240" s="1488" t="s">
        <v>206</v>
      </c>
      <c r="B240" s="1489"/>
      <c r="C240" s="1490"/>
      <c r="D240" s="1491"/>
    </row>
    <row r="241" spans="1:5" x14ac:dyDescent="0.2">
      <c r="A241" s="8"/>
    </row>
    <row r="242" spans="1:5" x14ac:dyDescent="0.2">
      <c r="A242" s="8"/>
    </row>
    <row r="243" spans="1:5" x14ac:dyDescent="0.2">
      <c r="A243" s="8"/>
    </row>
    <row r="244" spans="1:5" x14ac:dyDescent="0.2">
      <c r="A244" s="8"/>
    </row>
    <row r="245" spans="1:5" x14ac:dyDescent="0.2">
      <c r="A245" s="8"/>
    </row>
    <row r="246" spans="1:5" x14ac:dyDescent="0.2">
      <c r="A246" s="156"/>
      <c r="B246" s="205" t="s">
        <v>359</v>
      </c>
      <c r="E246" s="9"/>
    </row>
    <row r="247" spans="1:5" x14ac:dyDescent="0.2">
      <c r="A247" s="18"/>
      <c r="B247" s="206" t="s">
        <v>362</v>
      </c>
    </row>
    <row r="248" spans="1:5" x14ac:dyDescent="0.2">
      <c r="A248" s="12"/>
      <c r="B248" s="16"/>
    </row>
    <row r="249" spans="1:5" x14ac:dyDescent="0.2">
      <c r="A249" s="772" t="s">
        <v>360</v>
      </c>
      <c r="B249" s="151" t="s">
        <v>152</v>
      </c>
      <c r="C249" s="150" t="s">
        <v>153</v>
      </c>
      <c r="D249" s="87" t="s">
        <v>205</v>
      </c>
    </row>
    <row r="250" spans="1:5" ht="11.45" customHeight="1" x14ac:dyDescent="0.2">
      <c r="A250" s="152" t="s">
        <v>154</v>
      </c>
      <c r="B250" s="153" t="s">
        <v>155</v>
      </c>
      <c r="C250" s="67" t="s">
        <v>14</v>
      </c>
      <c r="D250" s="70" t="s">
        <v>189</v>
      </c>
    </row>
    <row r="251" spans="1:5" ht="24" x14ac:dyDescent="0.2">
      <c r="A251" s="67" t="s">
        <v>18</v>
      </c>
      <c r="B251" s="88" t="s">
        <v>66</v>
      </c>
      <c r="C251" s="64" t="s">
        <v>19</v>
      </c>
      <c r="D251" s="76">
        <v>16</v>
      </c>
    </row>
    <row r="252" spans="1:5" x14ac:dyDescent="0.2">
      <c r="A252" s="67" t="s">
        <v>46</v>
      </c>
      <c r="B252" s="89" t="s">
        <v>71</v>
      </c>
      <c r="C252" s="152" t="s">
        <v>23</v>
      </c>
      <c r="D252" s="1033">
        <v>1000</v>
      </c>
    </row>
    <row r="253" spans="1:5" x14ac:dyDescent="0.2">
      <c r="A253" s="67" t="s">
        <v>32</v>
      </c>
      <c r="B253" s="88" t="s">
        <v>47</v>
      </c>
      <c r="C253" s="67" t="s">
        <v>17</v>
      </c>
      <c r="D253" s="77">
        <v>1</v>
      </c>
    </row>
    <row r="254" spans="1:5" x14ac:dyDescent="0.2">
      <c r="A254" s="67" t="s">
        <v>20</v>
      </c>
      <c r="B254" s="153" t="s">
        <v>73</v>
      </c>
      <c r="C254" s="67" t="s">
        <v>21</v>
      </c>
      <c r="D254" s="77">
        <f>D258</f>
        <v>6</v>
      </c>
    </row>
    <row r="255" spans="1:5" x14ac:dyDescent="0.2">
      <c r="A255" s="152" t="s">
        <v>158</v>
      </c>
      <c r="B255" s="153" t="s">
        <v>156</v>
      </c>
      <c r="C255" s="152" t="s">
        <v>157</v>
      </c>
      <c r="D255" s="77">
        <v>10</v>
      </c>
    </row>
    <row r="256" spans="1:5" x14ac:dyDescent="0.2">
      <c r="A256" s="154" t="s">
        <v>100</v>
      </c>
      <c r="B256" s="153" t="s">
        <v>159</v>
      </c>
      <c r="C256" s="152" t="s">
        <v>17</v>
      </c>
      <c r="D256" s="91">
        <v>1</v>
      </c>
    </row>
    <row r="257" spans="1:4" x14ac:dyDescent="0.2">
      <c r="A257" s="67" t="s">
        <v>44</v>
      </c>
      <c r="B257" s="88" t="s">
        <v>78</v>
      </c>
      <c r="C257" s="67" t="s">
        <v>17</v>
      </c>
      <c r="D257" s="77">
        <v>1</v>
      </c>
    </row>
    <row r="258" spans="1:4" x14ac:dyDescent="0.2">
      <c r="A258" s="92" t="s">
        <v>30</v>
      </c>
      <c r="B258" s="155" t="s">
        <v>91</v>
      </c>
      <c r="C258" s="92" t="s">
        <v>21</v>
      </c>
      <c r="D258" s="94">
        <v>6</v>
      </c>
    </row>
    <row r="259" spans="1:4" x14ac:dyDescent="0.2">
      <c r="A259" s="779" t="s">
        <v>361</v>
      </c>
      <c r="B259" s="780" t="s">
        <v>356</v>
      </c>
      <c r="C259" s="776" t="s">
        <v>357</v>
      </c>
      <c r="D259" s="778">
        <f>D251*D252*D253*D254/(D255*D256*D257*D258)</f>
        <v>1600</v>
      </c>
    </row>
    <row r="260" spans="1:4" x14ac:dyDescent="0.2">
      <c r="A260" s="984"/>
      <c r="B260" s="205"/>
      <c r="C260" s="199"/>
      <c r="D260" s="752"/>
    </row>
    <row r="261" spans="1:4" x14ac:dyDescent="0.2">
      <c r="A261" s="1488" t="s">
        <v>207</v>
      </c>
      <c r="B261" s="1489"/>
      <c r="C261" s="1490"/>
      <c r="D261" s="1491"/>
    </row>
    <row r="267" spans="1:4" x14ac:dyDescent="0.2">
      <c r="A267" s="156"/>
      <c r="B267" s="199" t="s">
        <v>363</v>
      </c>
    </row>
    <row r="268" spans="1:4" x14ac:dyDescent="0.2">
      <c r="A268" s="18"/>
      <c r="B268" s="199" t="s">
        <v>364</v>
      </c>
    </row>
    <row r="269" spans="1:4" x14ac:dyDescent="0.2">
      <c r="A269" s="18"/>
      <c r="B269" s="20"/>
    </row>
    <row r="270" spans="1:4" x14ac:dyDescent="0.2">
      <c r="A270" s="772" t="s">
        <v>365</v>
      </c>
      <c r="B270" s="157" t="s">
        <v>160</v>
      </c>
      <c r="C270" s="158" t="s">
        <v>153</v>
      </c>
      <c r="D270" s="87" t="s">
        <v>216</v>
      </c>
    </row>
    <row r="271" spans="1:4" x14ac:dyDescent="0.2">
      <c r="A271" s="67" t="s">
        <v>16</v>
      </c>
      <c r="B271" s="89" t="s">
        <v>70</v>
      </c>
      <c r="C271" s="64" t="s">
        <v>17</v>
      </c>
      <c r="D271" s="1034">
        <v>9.9999999999999995E-7</v>
      </c>
    </row>
    <row r="272" spans="1:4" ht="24" x14ac:dyDescent="0.2">
      <c r="A272" s="67" t="s">
        <v>18</v>
      </c>
      <c r="B272" s="88" t="s">
        <v>66</v>
      </c>
      <c r="C272" s="64" t="s">
        <v>19</v>
      </c>
      <c r="D272" s="76">
        <v>70</v>
      </c>
    </row>
    <row r="273" spans="1:4" x14ac:dyDescent="0.2">
      <c r="A273" s="67" t="s">
        <v>20</v>
      </c>
      <c r="B273" s="153" t="s">
        <v>73</v>
      </c>
      <c r="C273" s="67" t="s">
        <v>21</v>
      </c>
      <c r="D273" s="77">
        <v>75</v>
      </c>
    </row>
    <row r="274" spans="1:4" x14ac:dyDescent="0.2">
      <c r="A274" s="67" t="s">
        <v>46</v>
      </c>
      <c r="B274" s="89" t="s">
        <v>71</v>
      </c>
      <c r="C274" s="152" t="s">
        <v>23</v>
      </c>
      <c r="D274" s="1033">
        <v>1000</v>
      </c>
    </row>
    <row r="275" spans="1:4" ht="11.45" customHeight="1" x14ac:dyDescent="0.2">
      <c r="A275" s="152" t="s">
        <v>162</v>
      </c>
      <c r="B275" s="153" t="s">
        <v>161</v>
      </c>
      <c r="C275" s="64" t="s">
        <v>31</v>
      </c>
      <c r="D275" s="70" t="s">
        <v>189</v>
      </c>
    </row>
    <row r="276" spans="1:4" x14ac:dyDescent="0.2">
      <c r="A276" s="152" t="s">
        <v>158</v>
      </c>
      <c r="B276" s="153" t="s">
        <v>156</v>
      </c>
      <c r="C276" s="152" t="s">
        <v>157</v>
      </c>
      <c r="D276" s="77">
        <v>20</v>
      </c>
    </row>
    <row r="277" spans="1:4" x14ac:dyDescent="0.2">
      <c r="A277" s="154" t="s">
        <v>100</v>
      </c>
      <c r="B277" s="153" t="s">
        <v>159</v>
      </c>
      <c r="C277" s="152" t="s">
        <v>17</v>
      </c>
      <c r="D277" s="91">
        <v>1</v>
      </c>
    </row>
    <row r="278" spans="1:4" x14ac:dyDescent="0.2">
      <c r="A278" s="67" t="s">
        <v>44</v>
      </c>
      <c r="B278" s="88" t="s">
        <v>78</v>
      </c>
      <c r="C278" s="67" t="s">
        <v>17</v>
      </c>
      <c r="D278" s="77">
        <v>1</v>
      </c>
    </row>
    <row r="279" spans="1:4" x14ac:dyDescent="0.2">
      <c r="A279" s="92" t="s">
        <v>30</v>
      </c>
      <c r="B279" s="93" t="s">
        <v>68</v>
      </c>
      <c r="C279" s="92" t="s">
        <v>21</v>
      </c>
      <c r="D279" s="94">
        <v>30</v>
      </c>
    </row>
    <row r="280" spans="1:4" x14ac:dyDescent="0.2">
      <c r="A280" s="776" t="s">
        <v>366</v>
      </c>
      <c r="B280" s="777" t="s">
        <v>358</v>
      </c>
      <c r="C280" s="776" t="s">
        <v>357</v>
      </c>
      <c r="D280" s="778">
        <f>D271*D272*D273*D274/(D276*D277*D278*D279)</f>
        <v>8.7499999999999991E-3</v>
      </c>
    </row>
    <row r="281" spans="1:4" x14ac:dyDescent="0.2">
      <c r="A281" s="199"/>
      <c r="B281" s="768"/>
      <c r="C281" s="199"/>
      <c r="D281" s="752"/>
    </row>
    <row r="282" spans="1:4" x14ac:dyDescent="0.2">
      <c r="A282" s="1488" t="s">
        <v>208</v>
      </c>
      <c r="B282" s="1489"/>
      <c r="C282" s="1490"/>
      <c r="D282" s="1491"/>
    </row>
    <row r="283" spans="1:4" x14ac:dyDescent="0.2">
      <c r="A283" s="8"/>
    </row>
    <row r="284" spans="1:4" x14ac:dyDescent="0.2">
      <c r="A284" s="8"/>
    </row>
    <row r="285" spans="1:4" x14ac:dyDescent="0.2">
      <c r="A285" s="8"/>
    </row>
    <row r="286" spans="1:4" x14ac:dyDescent="0.2">
      <c r="A286" s="8"/>
    </row>
    <row r="287" spans="1:4" x14ac:dyDescent="0.2">
      <c r="A287" s="8"/>
    </row>
    <row r="288" spans="1:4" x14ac:dyDescent="0.2">
      <c r="A288" s="156"/>
      <c r="B288" s="205" t="s">
        <v>367</v>
      </c>
    </row>
    <row r="289" spans="1:4" x14ac:dyDescent="0.2">
      <c r="A289" s="18"/>
      <c r="B289" s="206" t="s">
        <v>380</v>
      </c>
    </row>
    <row r="290" spans="1:4" x14ac:dyDescent="0.2">
      <c r="A290" s="12"/>
      <c r="B290" s="16"/>
    </row>
    <row r="291" spans="1:4" x14ac:dyDescent="0.2">
      <c r="A291" s="772" t="s">
        <v>342</v>
      </c>
      <c r="B291" s="151" t="s">
        <v>152</v>
      </c>
      <c r="C291" s="150" t="s">
        <v>153</v>
      </c>
      <c r="D291" s="87" t="s">
        <v>205</v>
      </c>
    </row>
    <row r="292" spans="1:4" ht="11.45" customHeight="1" x14ac:dyDescent="0.2">
      <c r="A292" s="152" t="s">
        <v>154</v>
      </c>
      <c r="B292" s="153" t="s">
        <v>155</v>
      </c>
      <c r="C292" s="67" t="s">
        <v>14</v>
      </c>
      <c r="D292" s="70" t="s">
        <v>189</v>
      </c>
    </row>
    <row r="293" spans="1:4" ht="24" x14ac:dyDescent="0.2">
      <c r="A293" s="67" t="s">
        <v>18</v>
      </c>
      <c r="B293" s="88" t="s">
        <v>66</v>
      </c>
      <c r="C293" s="64" t="s">
        <v>19</v>
      </c>
      <c r="D293" s="76">
        <v>70</v>
      </c>
    </row>
    <row r="294" spans="1:4" x14ac:dyDescent="0.2">
      <c r="A294" s="67" t="s">
        <v>46</v>
      </c>
      <c r="B294" s="89" t="s">
        <v>71</v>
      </c>
      <c r="C294" s="152" t="s">
        <v>23</v>
      </c>
      <c r="D294" s="1033">
        <v>1000</v>
      </c>
    </row>
    <row r="295" spans="1:4" x14ac:dyDescent="0.2">
      <c r="A295" s="67" t="s">
        <v>32</v>
      </c>
      <c r="B295" s="88" t="s">
        <v>47</v>
      </c>
      <c r="C295" s="67" t="s">
        <v>17</v>
      </c>
      <c r="D295" s="77">
        <v>1</v>
      </c>
    </row>
    <row r="296" spans="1:4" x14ac:dyDescent="0.2">
      <c r="A296" s="67" t="s">
        <v>20</v>
      </c>
      <c r="B296" s="153" t="s">
        <v>73</v>
      </c>
      <c r="C296" s="67" t="s">
        <v>21</v>
      </c>
      <c r="D296" s="77">
        <f>D300</f>
        <v>6</v>
      </c>
    </row>
    <row r="297" spans="1:4" x14ac:dyDescent="0.2">
      <c r="A297" s="152" t="s">
        <v>158</v>
      </c>
      <c r="B297" s="153" t="s">
        <v>156</v>
      </c>
      <c r="C297" s="152" t="s">
        <v>157</v>
      </c>
      <c r="D297" s="77">
        <v>20</v>
      </c>
    </row>
    <row r="298" spans="1:4" x14ac:dyDescent="0.2">
      <c r="A298" s="154" t="s">
        <v>100</v>
      </c>
      <c r="B298" s="153" t="s">
        <v>159</v>
      </c>
      <c r="C298" s="152" t="s">
        <v>17</v>
      </c>
      <c r="D298" s="91">
        <v>1</v>
      </c>
    </row>
    <row r="299" spans="1:4" x14ac:dyDescent="0.2">
      <c r="A299" s="67" t="s">
        <v>44</v>
      </c>
      <c r="B299" s="88" t="s">
        <v>78</v>
      </c>
      <c r="C299" s="67" t="s">
        <v>17</v>
      </c>
      <c r="D299" s="77">
        <v>1</v>
      </c>
    </row>
    <row r="300" spans="1:4" x14ac:dyDescent="0.2">
      <c r="A300" s="92" t="s">
        <v>30</v>
      </c>
      <c r="B300" s="155" t="s">
        <v>91</v>
      </c>
      <c r="C300" s="92" t="s">
        <v>21</v>
      </c>
      <c r="D300" s="94">
        <v>6</v>
      </c>
    </row>
    <row r="301" spans="1:4" x14ac:dyDescent="0.2">
      <c r="A301" s="779" t="s">
        <v>368</v>
      </c>
      <c r="B301" s="780" t="s">
        <v>369</v>
      </c>
      <c r="C301" s="776" t="s">
        <v>357</v>
      </c>
      <c r="D301" s="778">
        <f>D293*D294*D295*D296/(D297*D298*D299*D300)</f>
        <v>3500</v>
      </c>
    </row>
    <row r="302" spans="1:4" x14ac:dyDescent="0.2">
      <c r="A302" s="984"/>
      <c r="B302" s="205"/>
      <c r="C302" s="199"/>
      <c r="D302" s="752"/>
    </row>
    <row r="303" spans="1:4" x14ac:dyDescent="0.2">
      <c r="A303" s="1488" t="s">
        <v>209</v>
      </c>
      <c r="B303" s="1489"/>
      <c r="C303" s="1490"/>
      <c r="D303" s="1491"/>
    </row>
    <row r="309" spans="1:4" x14ac:dyDescent="0.2">
      <c r="A309" s="156"/>
      <c r="B309" s="199" t="s">
        <v>370</v>
      </c>
    </row>
    <row r="310" spans="1:4" x14ac:dyDescent="0.2">
      <c r="A310" s="18"/>
      <c r="B310" s="199" t="s">
        <v>371</v>
      </c>
    </row>
    <row r="311" spans="1:4" x14ac:dyDescent="0.2">
      <c r="A311" s="18"/>
      <c r="B311" s="20"/>
    </row>
    <row r="312" spans="1:4" x14ac:dyDescent="0.2">
      <c r="A312" s="78" t="s">
        <v>128</v>
      </c>
      <c r="B312" s="157" t="s">
        <v>160</v>
      </c>
      <c r="C312" s="158" t="s">
        <v>153</v>
      </c>
      <c r="D312" s="87" t="s">
        <v>216</v>
      </c>
    </row>
    <row r="313" spans="1:4" x14ac:dyDescent="0.2">
      <c r="A313" s="67" t="s">
        <v>16</v>
      </c>
      <c r="B313" s="89" t="s">
        <v>70</v>
      </c>
      <c r="C313" s="64" t="s">
        <v>17</v>
      </c>
      <c r="D313" s="1034">
        <v>1.0000000000000001E-5</v>
      </c>
    </row>
    <row r="314" spans="1:4" ht="24" x14ac:dyDescent="0.2">
      <c r="A314" s="67" t="s">
        <v>18</v>
      </c>
      <c r="B314" s="88" t="s">
        <v>66</v>
      </c>
      <c r="C314" s="64" t="s">
        <v>19</v>
      </c>
      <c r="D314" s="76">
        <f>D293</f>
        <v>70</v>
      </c>
    </row>
    <row r="315" spans="1:4" x14ac:dyDescent="0.2">
      <c r="A315" s="67" t="s">
        <v>20</v>
      </c>
      <c r="B315" s="153" t="s">
        <v>73</v>
      </c>
      <c r="C315" s="67" t="s">
        <v>21</v>
      </c>
      <c r="D315" s="77">
        <v>75</v>
      </c>
    </row>
    <row r="316" spans="1:4" x14ac:dyDescent="0.2">
      <c r="A316" s="67" t="s">
        <v>46</v>
      </c>
      <c r="B316" s="89" t="s">
        <v>71</v>
      </c>
      <c r="C316" s="152" t="s">
        <v>23</v>
      </c>
      <c r="D316" s="1033">
        <v>1000</v>
      </c>
    </row>
    <row r="317" spans="1:4" ht="11.45" customHeight="1" x14ac:dyDescent="0.2">
      <c r="A317" s="152" t="s">
        <v>162</v>
      </c>
      <c r="B317" s="153" t="s">
        <v>161</v>
      </c>
      <c r="C317" s="64" t="s">
        <v>31</v>
      </c>
      <c r="D317" s="70" t="s">
        <v>189</v>
      </c>
    </row>
    <row r="318" spans="1:4" x14ac:dyDescent="0.2">
      <c r="A318" s="152" t="s">
        <v>158</v>
      </c>
      <c r="B318" s="153" t="s">
        <v>156</v>
      </c>
      <c r="C318" s="152" t="s">
        <v>157</v>
      </c>
      <c r="D318" s="77">
        <f>D297</f>
        <v>20</v>
      </c>
    </row>
    <row r="319" spans="1:4" x14ac:dyDescent="0.2">
      <c r="A319" s="154" t="s">
        <v>100</v>
      </c>
      <c r="B319" s="153" t="s">
        <v>159</v>
      </c>
      <c r="C319" s="152" t="s">
        <v>17</v>
      </c>
      <c r="D319" s="91">
        <v>1</v>
      </c>
    </row>
    <row r="320" spans="1:4" x14ac:dyDescent="0.2">
      <c r="A320" s="67" t="s">
        <v>44</v>
      </c>
      <c r="B320" s="88" t="s">
        <v>78</v>
      </c>
      <c r="C320" s="67" t="s">
        <v>17</v>
      </c>
      <c r="D320" s="77">
        <v>1</v>
      </c>
    </row>
    <row r="321" spans="1:4" x14ac:dyDescent="0.2">
      <c r="A321" s="92" t="s">
        <v>30</v>
      </c>
      <c r="B321" s="93" t="s">
        <v>68</v>
      </c>
      <c r="C321" s="92" t="s">
        <v>21</v>
      </c>
      <c r="D321" s="94">
        <v>30</v>
      </c>
    </row>
    <row r="322" spans="1:4" x14ac:dyDescent="0.2">
      <c r="A322" s="776" t="s">
        <v>381</v>
      </c>
      <c r="B322" s="777" t="s">
        <v>382</v>
      </c>
      <c r="C322" s="776" t="s">
        <v>357</v>
      </c>
      <c r="D322" s="778">
        <f>D313*D314*D315*D316/(D318*D319*D320*D321)</f>
        <v>8.7500000000000008E-2</v>
      </c>
    </row>
    <row r="323" spans="1:4" x14ac:dyDescent="0.2">
      <c r="A323" s="199"/>
      <c r="B323" s="768"/>
      <c r="C323" s="199"/>
      <c r="D323" s="752"/>
    </row>
    <row r="324" spans="1:4" x14ac:dyDescent="0.2">
      <c r="A324" s="1488" t="s">
        <v>603</v>
      </c>
      <c r="B324" s="1489"/>
      <c r="C324" s="1490"/>
      <c r="D324" s="1491"/>
    </row>
    <row r="325" spans="1:4" x14ac:dyDescent="0.2">
      <c r="A325" s="8"/>
    </row>
    <row r="326" spans="1:4" x14ac:dyDescent="0.2">
      <c r="A326" s="8"/>
    </row>
    <row r="327" spans="1:4" x14ac:dyDescent="0.2">
      <c r="A327" s="8"/>
    </row>
    <row r="328" spans="1:4" x14ac:dyDescent="0.2">
      <c r="A328" s="8"/>
    </row>
    <row r="329" spans="1:4" x14ac:dyDescent="0.2">
      <c r="A329" s="8"/>
    </row>
    <row r="330" spans="1:4" x14ac:dyDescent="0.2">
      <c r="A330" s="156"/>
      <c r="B330" s="205" t="s">
        <v>367</v>
      </c>
    </row>
    <row r="331" spans="1:4" x14ac:dyDescent="0.2">
      <c r="A331" s="18"/>
      <c r="B331" s="206" t="s">
        <v>380</v>
      </c>
    </row>
    <row r="332" spans="1:4" x14ac:dyDescent="0.2">
      <c r="A332" s="12"/>
      <c r="B332" s="16"/>
    </row>
    <row r="333" spans="1:4" x14ac:dyDescent="0.2">
      <c r="A333" s="772" t="s">
        <v>342</v>
      </c>
      <c r="B333" s="151" t="s">
        <v>152</v>
      </c>
      <c r="C333" s="150" t="s">
        <v>153</v>
      </c>
      <c r="D333" s="87" t="s">
        <v>205</v>
      </c>
    </row>
    <row r="334" spans="1:4" x14ac:dyDescent="0.2">
      <c r="A334" s="152" t="s">
        <v>154</v>
      </c>
      <c r="B334" s="153" t="s">
        <v>155</v>
      </c>
      <c r="C334" s="67" t="s">
        <v>14</v>
      </c>
      <c r="D334" s="70" t="s">
        <v>189</v>
      </c>
    </row>
    <row r="335" spans="1:4" ht="24" x14ac:dyDescent="0.2">
      <c r="A335" s="67" t="s">
        <v>18</v>
      </c>
      <c r="B335" s="88" t="s">
        <v>66</v>
      </c>
      <c r="C335" s="64" t="s">
        <v>19</v>
      </c>
      <c r="D335" s="76">
        <v>70</v>
      </c>
    </row>
    <row r="336" spans="1:4" x14ac:dyDescent="0.2">
      <c r="A336" s="67" t="s">
        <v>46</v>
      </c>
      <c r="B336" s="89" t="s">
        <v>71</v>
      </c>
      <c r="C336" s="152" t="s">
        <v>23</v>
      </c>
      <c r="D336" s="1033">
        <v>1000</v>
      </c>
    </row>
    <row r="337" spans="1:4" x14ac:dyDescent="0.2">
      <c r="A337" s="67" t="s">
        <v>32</v>
      </c>
      <c r="B337" s="88" t="s">
        <v>47</v>
      </c>
      <c r="C337" s="67" t="s">
        <v>17</v>
      </c>
      <c r="D337" s="77">
        <v>1</v>
      </c>
    </row>
    <row r="338" spans="1:4" x14ac:dyDescent="0.2">
      <c r="A338" s="67" t="s">
        <v>20</v>
      </c>
      <c r="B338" s="153" t="s">
        <v>73</v>
      </c>
      <c r="C338" s="67" t="s">
        <v>21</v>
      </c>
      <c r="D338" s="77">
        <f>D342</f>
        <v>25</v>
      </c>
    </row>
    <row r="339" spans="1:4" x14ac:dyDescent="0.2">
      <c r="A339" s="152" t="s">
        <v>158</v>
      </c>
      <c r="B339" s="153" t="s">
        <v>156</v>
      </c>
      <c r="C339" s="152" t="s">
        <v>157</v>
      </c>
      <c r="D339" s="77">
        <v>20</v>
      </c>
    </row>
    <row r="340" spans="1:4" x14ac:dyDescent="0.2">
      <c r="A340" s="154" t="s">
        <v>100</v>
      </c>
      <c r="B340" s="153" t="s">
        <v>159</v>
      </c>
      <c r="C340" s="152" t="s">
        <v>17</v>
      </c>
      <c r="D340" s="91">
        <v>1</v>
      </c>
    </row>
    <row r="341" spans="1:4" x14ac:dyDescent="0.2">
      <c r="A341" s="67" t="s">
        <v>44</v>
      </c>
      <c r="B341" s="1039" t="s">
        <v>605</v>
      </c>
      <c r="C341" s="67" t="s">
        <v>17</v>
      </c>
      <c r="D341" s="77">
        <f>9*250/(24*365)</f>
        <v>0.25684931506849318</v>
      </c>
    </row>
    <row r="342" spans="1:4" x14ac:dyDescent="0.2">
      <c r="A342" s="92" t="s">
        <v>30</v>
      </c>
      <c r="B342" s="155" t="s">
        <v>91</v>
      </c>
      <c r="C342" s="92" t="s">
        <v>21</v>
      </c>
      <c r="D342" s="94">
        <v>25</v>
      </c>
    </row>
    <row r="343" spans="1:4" x14ac:dyDescent="0.2">
      <c r="A343" s="779" t="s">
        <v>368</v>
      </c>
      <c r="B343" s="780" t="s">
        <v>369</v>
      </c>
      <c r="C343" s="776" t="s">
        <v>357</v>
      </c>
      <c r="D343" s="778">
        <f>D335*D336*D337*D338/(D339*D340*D341*D342)</f>
        <v>13626.666666666664</v>
      </c>
    </row>
    <row r="344" spans="1:4" x14ac:dyDescent="0.2">
      <c r="A344" s="984"/>
      <c r="B344" s="205"/>
      <c r="C344" s="199"/>
      <c r="D344" s="752"/>
    </row>
    <row r="345" spans="1:4" x14ac:dyDescent="0.2">
      <c r="A345" s="1488" t="s">
        <v>604</v>
      </c>
      <c r="B345" s="1489"/>
      <c r="C345" s="1490"/>
      <c r="D345" s="1491"/>
    </row>
    <row r="351" spans="1:4" x14ac:dyDescent="0.2">
      <c r="A351" s="156"/>
      <c r="B351" s="199" t="s">
        <v>370</v>
      </c>
    </row>
    <row r="352" spans="1:4" x14ac:dyDescent="0.2">
      <c r="A352" s="18"/>
      <c r="B352" s="199" t="s">
        <v>371</v>
      </c>
    </row>
    <row r="353" spans="1:4" x14ac:dyDescent="0.2">
      <c r="A353" s="18"/>
      <c r="B353" s="20"/>
    </row>
    <row r="354" spans="1:4" x14ac:dyDescent="0.2">
      <c r="A354" s="78" t="s">
        <v>128</v>
      </c>
      <c r="B354" s="157" t="s">
        <v>160</v>
      </c>
      <c r="C354" s="158" t="s">
        <v>153</v>
      </c>
      <c r="D354" s="87" t="s">
        <v>216</v>
      </c>
    </row>
    <row r="355" spans="1:4" x14ac:dyDescent="0.2">
      <c r="A355" s="67" t="s">
        <v>16</v>
      </c>
      <c r="B355" s="89" t="s">
        <v>70</v>
      </c>
      <c r="C355" s="64" t="s">
        <v>17</v>
      </c>
      <c r="D355" s="1034">
        <v>9.9999999999999995E-7</v>
      </c>
    </row>
    <row r="356" spans="1:4" ht="24" x14ac:dyDescent="0.2">
      <c r="A356" s="67" t="s">
        <v>18</v>
      </c>
      <c r="B356" s="88" t="s">
        <v>66</v>
      </c>
      <c r="C356" s="64" t="s">
        <v>19</v>
      </c>
      <c r="D356" s="76">
        <f>D335</f>
        <v>70</v>
      </c>
    </row>
    <row r="357" spans="1:4" x14ac:dyDescent="0.2">
      <c r="A357" s="67" t="s">
        <v>20</v>
      </c>
      <c r="B357" s="153" t="s">
        <v>73</v>
      </c>
      <c r="C357" s="67" t="s">
        <v>21</v>
      </c>
      <c r="D357" s="77">
        <v>75</v>
      </c>
    </row>
    <row r="358" spans="1:4" x14ac:dyDescent="0.2">
      <c r="A358" s="67" t="s">
        <v>46</v>
      </c>
      <c r="B358" s="89" t="s">
        <v>71</v>
      </c>
      <c r="C358" s="152" t="s">
        <v>23</v>
      </c>
      <c r="D358" s="1033">
        <v>1000</v>
      </c>
    </row>
    <row r="359" spans="1:4" x14ac:dyDescent="0.2">
      <c r="A359" s="152" t="s">
        <v>162</v>
      </c>
      <c r="B359" s="153" t="s">
        <v>161</v>
      </c>
      <c r="C359" s="64" t="s">
        <v>31</v>
      </c>
      <c r="D359" s="70" t="s">
        <v>189</v>
      </c>
    </row>
    <row r="360" spans="1:4" x14ac:dyDescent="0.2">
      <c r="A360" s="152" t="s">
        <v>158</v>
      </c>
      <c r="B360" s="153" t="s">
        <v>156</v>
      </c>
      <c r="C360" s="152" t="s">
        <v>157</v>
      </c>
      <c r="D360" s="77">
        <f>D339</f>
        <v>20</v>
      </c>
    </row>
    <row r="361" spans="1:4" x14ac:dyDescent="0.2">
      <c r="A361" s="154" t="s">
        <v>100</v>
      </c>
      <c r="B361" s="153" t="s">
        <v>159</v>
      </c>
      <c r="C361" s="152" t="s">
        <v>17</v>
      </c>
      <c r="D361" s="91">
        <v>1</v>
      </c>
    </row>
    <row r="362" spans="1:4" x14ac:dyDescent="0.2">
      <c r="A362" s="67" t="s">
        <v>44</v>
      </c>
      <c r="B362" s="1039" t="s">
        <v>605</v>
      </c>
      <c r="C362" s="67" t="s">
        <v>17</v>
      </c>
      <c r="D362" s="77">
        <f>D341</f>
        <v>0.25684931506849318</v>
      </c>
    </row>
    <row r="363" spans="1:4" x14ac:dyDescent="0.2">
      <c r="A363" s="92" t="s">
        <v>30</v>
      </c>
      <c r="B363" s="93" t="s">
        <v>68</v>
      </c>
      <c r="C363" s="92" t="s">
        <v>21</v>
      </c>
      <c r="D363" s="94">
        <v>25</v>
      </c>
    </row>
    <row r="364" spans="1:4" x14ac:dyDescent="0.2">
      <c r="A364" s="776" t="s">
        <v>381</v>
      </c>
      <c r="B364" s="777" t="s">
        <v>382</v>
      </c>
      <c r="C364" s="776" t="s">
        <v>357</v>
      </c>
      <c r="D364" s="778">
        <f>D355*D356*D357*D358/(D360*D361*D362*D363)</f>
        <v>4.0879999999999986E-2</v>
      </c>
    </row>
    <row r="365" spans="1:4" x14ac:dyDescent="0.2">
      <c r="A365" s="199"/>
      <c r="B365" s="768"/>
      <c r="C365" s="199"/>
      <c r="D365" s="752"/>
    </row>
    <row r="366" spans="1:4" x14ac:dyDescent="0.2">
      <c r="A366" s="1488" t="s">
        <v>164</v>
      </c>
      <c r="B366" s="1489"/>
      <c r="C366" s="1490"/>
      <c r="D366" s="1491"/>
    </row>
    <row r="371" spans="1:4" x14ac:dyDescent="0.2">
      <c r="A371" s="18"/>
      <c r="B371" s="20"/>
    </row>
    <row r="372" spans="1:4" ht="24" x14ac:dyDescent="0.2">
      <c r="A372" s="158" t="s">
        <v>165</v>
      </c>
      <c r="B372" s="157" t="s">
        <v>166</v>
      </c>
      <c r="C372" s="158" t="s">
        <v>36</v>
      </c>
      <c r="D372" s="87" t="s">
        <v>210</v>
      </c>
    </row>
    <row r="373" spans="1:4" ht="24" x14ac:dyDescent="0.2">
      <c r="A373" s="152" t="s">
        <v>172</v>
      </c>
      <c r="B373" s="153" t="s">
        <v>167</v>
      </c>
      <c r="C373" s="152" t="s">
        <v>153</v>
      </c>
      <c r="D373" s="792" t="s">
        <v>385</v>
      </c>
    </row>
    <row r="374" spans="1:4" x14ac:dyDescent="0.2">
      <c r="A374" s="152" t="s">
        <v>168</v>
      </c>
      <c r="B374" s="170" t="s">
        <v>177</v>
      </c>
      <c r="C374" s="152" t="s">
        <v>17</v>
      </c>
      <c r="D374" s="1034">
        <v>1E-3</v>
      </c>
    </row>
    <row r="375" spans="1:4" x14ac:dyDescent="0.2">
      <c r="A375" s="152" t="s">
        <v>169</v>
      </c>
      <c r="B375" s="153" t="s">
        <v>170</v>
      </c>
      <c r="C375" s="152" t="s">
        <v>17</v>
      </c>
      <c r="D375" s="162" t="s">
        <v>189</v>
      </c>
    </row>
    <row r="376" spans="1:4" x14ac:dyDescent="0.2">
      <c r="A376" s="92" t="s">
        <v>46</v>
      </c>
      <c r="B376" s="155" t="s">
        <v>95</v>
      </c>
      <c r="C376" s="163" t="s">
        <v>171</v>
      </c>
      <c r="D376" s="1035">
        <v>1000</v>
      </c>
    </row>
    <row r="377" spans="1:4" x14ac:dyDescent="0.2">
      <c r="A377" s="776" t="s">
        <v>401</v>
      </c>
      <c r="B377" s="777" t="s">
        <v>402</v>
      </c>
      <c r="C377" s="776" t="s">
        <v>403</v>
      </c>
      <c r="D377" s="808">
        <f>1/(D374*D376)</f>
        <v>1</v>
      </c>
    </row>
    <row r="378" spans="1:4" x14ac:dyDescent="0.2">
      <c r="A378" s="199"/>
      <c r="B378" s="768"/>
      <c r="C378" s="199"/>
    </row>
    <row r="379" spans="1:4" x14ac:dyDescent="0.2">
      <c r="A379" s="1488" t="s">
        <v>173</v>
      </c>
      <c r="B379" s="1489"/>
      <c r="C379" s="1490"/>
      <c r="D379" s="1491"/>
    </row>
    <row r="384" spans="1:4" x14ac:dyDescent="0.2">
      <c r="A384" s="18"/>
      <c r="B384" s="20"/>
    </row>
    <row r="385" spans="1:8" ht="24" x14ac:dyDescent="0.2">
      <c r="A385" s="168" t="s">
        <v>174</v>
      </c>
      <c r="B385" s="169" t="s">
        <v>175</v>
      </c>
      <c r="C385" s="168" t="s">
        <v>153</v>
      </c>
      <c r="D385" s="87" t="s">
        <v>176</v>
      </c>
    </row>
    <row r="386" spans="1:8" x14ac:dyDescent="0.2">
      <c r="A386" s="152" t="s">
        <v>168</v>
      </c>
      <c r="B386" s="170" t="s">
        <v>178</v>
      </c>
      <c r="C386" s="152"/>
      <c r="D386" s="76"/>
    </row>
    <row r="387" spans="1:8" x14ac:dyDescent="0.2">
      <c r="A387" s="152"/>
      <c r="B387" s="172" t="s">
        <v>179</v>
      </c>
      <c r="C387" s="152" t="s">
        <v>17</v>
      </c>
      <c r="D387" s="790">
        <v>0.03</v>
      </c>
      <c r="E387" s="9"/>
    </row>
    <row r="388" spans="1:8" x14ac:dyDescent="0.2">
      <c r="A388" s="92"/>
      <c r="B388" s="173" t="s">
        <v>180</v>
      </c>
      <c r="C388" s="171" t="s">
        <v>17</v>
      </c>
      <c r="D388" s="791">
        <v>0.01</v>
      </c>
      <c r="E388" s="9"/>
    </row>
    <row r="389" spans="1:8" x14ac:dyDescent="0.2">
      <c r="A389" s="19"/>
      <c r="B389" s="1311"/>
      <c r="C389" s="1312"/>
      <c r="D389" s="1313"/>
      <c r="E389" s="9"/>
    </row>
    <row r="390" spans="1:8" x14ac:dyDescent="0.2">
      <c r="A390" s="1488" t="s">
        <v>217</v>
      </c>
      <c r="B390" s="1489"/>
      <c r="C390" s="1490"/>
      <c r="D390" s="1491"/>
    </row>
    <row r="391" spans="1:8" x14ac:dyDescent="0.2">
      <c r="H391" s="39"/>
    </row>
    <row r="392" spans="1:8" x14ac:dyDescent="0.2">
      <c r="H392" s="39"/>
    </row>
    <row r="393" spans="1:8" x14ac:dyDescent="0.2">
      <c r="H393" s="39"/>
    </row>
    <row r="394" spans="1:8" x14ac:dyDescent="0.2">
      <c r="H394" s="39"/>
    </row>
    <row r="395" spans="1:8" x14ac:dyDescent="0.2">
      <c r="H395" s="39"/>
    </row>
    <row r="396" spans="1:8" x14ac:dyDescent="0.2">
      <c r="H396" s="39"/>
    </row>
    <row r="397" spans="1:8" x14ac:dyDescent="0.2">
      <c r="A397" s="41"/>
      <c r="B397" s="768" t="s">
        <v>477</v>
      </c>
      <c r="E397" s="759"/>
      <c r="F397" s="56"/>
    </row>
    <row r="398" spans="1:8" x14ac:dyDescent="0.2">
      <c r="A398" s="37"/>
      <c r="B398" s="768" t="s">
        <v>387</v>
      </c>
    </row>
    <row r="399" spans="1:8" x14ac:dyDescent="0.2">
      <c r="A399" s="40"/>
      <c r="B399" s="144" t="s">
        <v>474</v>
      </c>
    </row>
    <row r="400" spans="1:8" x14ac:dyDescent="0.2">
      <c r="A400" s="58"/>
      <c r="B400" s="143"/>
    </row>
    <row r="401" spans="1:9" x14ac:dyDescent="0.2">
      <c r="A401" s="763" t="s">
        <v>104</v>
      </c>
      <c r="B401" s="764"/>
      <c r="C401" s="765"/>
      <c r="D401" s="766"/>
    </row>
    <row r="402" spans="1:9" x14ac:dyDescent="0.2">
      <c r="A402" s="59" t="s">
        <v>123</v>
      </c>
      <c r="B402" s="60" t="s">
        <v>105</v>
      </c>
      <c r="C402" s="61" t="s">
        <v>41</v>
      </c>
      <c r="D402" s="762" t="s">
        <v>307</v>
      </c>
      <c r="E402" s="757"/>
      <c r="F402" s="755"/>
      <c r="G402" s="755"/>
    </row>
    <row r="403" spans="1:9" ht="24" x14ac:dyDescent="0.2">
      <c r="A403" s="62" t="s">
        <v>116</v>
      </c>
      <c r="B403" s="63" t="s">
        <v>89</v>
      </c>
      <c r="C403" s="64" t="s">
        <v>17</v>
      </c>
      <c r="D403" s="792" t="s">
        <v>392</v>
      </c>
      <c r="E403" s="756"/>
      <c r="F403" s="757"/>
      <c r="G403" s="757"/>
    </row>
    <row r="404" spans="1:9" x14ac:dyDescent="0.2">
      <c r="A404" s="186" t="s">
        <v>186</v>
      </c>
      <c r="B404" s="66" t="s">
        <v>110</v>
      </c>
      <c r="C404" s="67" t="s">
        <v>17</v>
      </c>
      <c r="D404" s="70" t="s">
        <v>189</v>
      </c>
      <c r="E404" s="757"/>
      <c r="F404" s="755"/>
      <c r="G404" s="757"/>
    </row>
    <row r="405" spans="1:9" ht="13.5" x14ac:dyDescent="0.2">
      <c r="A405" s="69" t="s">
        <v>49</v>
      </c>
      <c r="B405" s="145" t="s">
        <v>50</v>
      </c>
      <c r="C405" s="69" t="s">
        <v>94</v>
      </c>
      <c r="D405" s="70" t="s">
        <v>189</v>
      </c>
      <c r="E405" s="757"/>
      <c r="F405" s="755"/>
      <c r="G405" s="757"/>
    </row>
    <row r="406" spans="1:9" x14ac:dyDescent="0.2">
      <c r="A406" s="71" t="s">
        <v>46</v>
      </c>
      <c r="B406" s="72" t="s">
        <v>95</v>
      </c>
      <c r="C406" s="71" t="s">
        <v>41</v>
      </c>
      <c r="D406" s="797">
        <v>1000000</v>
      </c>
    </row>
    <row r="407" spans="1:9" ht="24" x14ac:dyDescent="0.2">
      <c r="A407" s="71" t="s">
        <v>100</v>
      </c>
      <c r="B407" s="72" t="s">
        <v>101</v>
      </c>
      <c r="C407" s="71" t="s">
        <v>17</v>
      </c>
      <c r="D407" s="794" t="s">
        <v>384</v>
      </c>
      <c r="E407" s="755"/>
      <c r="F407" s="755"/>
      <c r="G407" s="755"/>
    </row>
    <row r="408" spans="1:9" ht="13.5" x14ac:dyDescent="0.2">
      <c r="A408" s="73" t="s">
        <v>99</v>
      </c>
      <c r="B408" s="147" t="s">
        <v>151</v>
      </c>
      <c r="C408" s="74" t="s">
        <v>94</v>
      </c>
      <c r="D408" s="1484" t="s">
        <v>106</v>
      </c>
      <c r="E408" s="756"/>
      <c r="F408" s="757"/>
    </row>
    <row r="409" spans="1:9" x14ac:dyDescent="0.2">
      <c r="A409" s="1481"/>
      <c r="B409" s="1482"/>
      <c r="C409" s="1483"/>
      <c r="D409" s="2653" t="s">
        <v>596</v>
      </c>
      <c r="E409" s="2654"/>
      <c r="F409" s="2654"/>
      <c r="G409" s="2652"/>
      <c r="H409" s="2652"/>
      <c r="I409" s="2652"/>
    </row>
    <row r="410" spans="1:9" ht="24" x14ac:dyDescent="0.2">
      <c r="A410" s="767" t="s">
        <v>597</v>
      </c>
      <c r="B410" s="764"/>
      <c r="C410" s="765"/>
      <c r="D410" s="1477" t="s">
        <v>308</v>
      </c>
      <c r="E410" s="1478" t="s">
        <v>397</v>
      </c>
      <c r="F410" s="2506" t="s">
        <v>398</v>
      </c>
      <c r="G410" s="2509"/>
      <c r="H410" s="2510"/>
      <c r="I410" s="2511"/>
    </row>
    <row r="411" spans="1:9" x14ac:dyDescent="0.2">
      <c r="A411" s="82" t="s">
        <v>87</v>
      </c>
      <c r="B411" s="1037" t="s">
        <v>102</v>
      </c>
      <c r="C411" s="101" t="s">
        <v>19</v>
      </c>
      <c r="D411" s="2399">
        <v>16</v>
      </c>
      <c r="E411" s="2399">
        <v>81.8</v>
      </c>
      <c r="F411" s="2399">
        <v>81.8</v>
      </c>
      <c r="G411" s="2512"/>
      <c r="H411" s="2512"/>
      <c r="I411" s="2512"/>
    </row>
    <row r="412" spans="1:9" x14ac:dyDescent="0.2">
      <c r="A412" s="65" t="s">
        <v>125</v>
      </c>
      <c r="B412" s="1048" t="s">
        <v>124</v>
      </c>
      <c r="C412" s="69" t="s">
        <v>88</v>
      </c>
      <c r="D412" s="2400">
        <v>27375</v>
      </c>
      <c r="E412" s="2400">
        <v>27375</v>
      </c>
      <c r="F412" s="2400">
        <v>27375</v>
      </c>
      <c r="G412" s="2513"/>
      <c r="H412" s="2513"/>
      <c r="I412" s="2513"/>
    </row>
    <row r="413" spans="1:9" x14ac:dyDescent="0.2">
      <c r="A413" s="69" t="s">
        <v>44</v>
      </c>
      <c r="B413" s="1039" t="s">
        <v>449</v>
      </c>
      <c r="C413" s="69" t="s">
        <v>90</v>
      </c>
      <c r="D413" s="2400">
        <v>120</v>
      </c>
      <c r="E413" s="2400">
        <v>120</v>
      </c>
      <c r="F413" s="2400">
        <v>119</v>
      </c>
      <c r="G413" s="2512"/>
      <c r="H413" s="2512"/>
      <c r="I413" s="2512"/>
    </row>
    <row r="414" spans="1:9" x14ac:dyDescent="0.2">
      <c r="A414" s="69" t="s">
        <v>30</v>
      </c>
      <c r="B414" s="63" t="s">
        <v>91</v>
      </c>
      <c r="C414" s="69" t="s">
        <v>21</v>
      </c>
      <c r="D414" s="2395">
        <v>6</v>
      </c>
      <c r="E414" s="2395">
        <v>64</v>
      </c>
      <c r="F414" s="2395">
        <v>44</v>
      </c>
      <c r="G414" s="2512"/>
      <c r="H414" s="2512"/>
      <c r="I414" s="2512"/>
    </row>
    <row r="415" spans="1:9" x14ac:dyDescent="0.2">
      <c r="A415" s="69" t="s">
        <v>92</v>
      </c>
      <c r="B415" s="63" t="s">
        <v>93</v>
      </c>
      <c r="C415" s="69" t="s">
        <v>48</v>
      </c>
      <c r="D415" s="2401">
        <v>200</v>
      </c>
      <c r="E415" s="2401">
        <v>100</v>
      </c>
      <c r="F415" s="2401">
        <v>50</v>
      </c>
      <c r="G415" s="2512"/>
      <c r="H415" s="2512"/>
      <c r="I415" s="2512"/>
    </row>
    <row r="416" spans="1:9" ht="13.5" x14ac:dyDescent="0.2">
      <c r="A416" s="71" t="s">
        <v>96</v>
      </c>
      <c r="B416" s="1040" t="s">
        <v>450</v>
      </c>
      <c r="C416" s="1041" t="s">
        <v>390</v>
      </c>
      <c r="D416" s="2402">
        <v>2200</v>
      </c>
      <c r="E416" s="2402">
        <v>6040</v>
      </c>
      <c r="F416" s="2402">
        <v>3600</v>
      </c>
      <c r="G416" s="2513"/>
      <c r="H416" s="2513"/>
      <c r="I416" s="2513"/>
    </row>
    <row r="417" spans="1:9" ht="13.5" x14ac:dyDescent="0.2">
      <c r="A417" s="73" t="s">
        <v>97</v>
      </c>
      <c r="B417" s="1043" t="s">
        <v>451</v>
      </c>
      <c r="C417" s="73" t="s">
        <v>98</v>
      </c>
      <c r="D417" s="2403">
        <v>0.2</v>
      </c>
      <c r="E417" s="2403">
        <v>0.2</v>
      </c>
      <c r="F417" s="2403">
        <v>0.2</v>
      </c>
      <c r="G417" s="2512"/>
      <c r="H417" s="2512"/>
      <c r="I417" s="2512"/>
    </row>
    <row r="418" spans="1:9" ht="24" x14ac:dyDescent="0.2">
      <c r="A418" s="767" t="s">
        <v>309</v>
      </c>
      <c r="B418" s="769"/>
      <c r="C418" s="770"/>
      <c r="D418" s="1477" t="s">
        <v>308</v>
      </c>
      <c r="E418" s="1478" t="s">
        <v>397</v>
      </c>
      <c r="F418" s="1478" t="s">
        <v>398</v>
      </c>
      <c r="G418" s="2507"/>
      <c r="H418" s="2508"/>
      <c r="I418" s="2508"/>
    </row>
    <row r="419" spans="1:9" ht="12.4" customHeight="1" x14ac:dyDescent="0.2">
      <c r="A419" s="781" t="s">
        <v>389</v>
      </c>
      <c r="B419" s="782" t="s">
        <v>388</v>
      </c>
      <c r="C419" s="781" t="s">
        <v>391</v>
      </c>
      <c r="D419" s="795">
        <f>D411*D412*$D406/(D413*D414)</f>
        <v>608333333.33333337</v>
      </c>
      <c r="E419" s="795">
        <f t="shared" ref="E419:F419" si="0">E411*E412*$D406/(E413*E414)</f>
        <v>291572265.625</v>
      </c>
      <c r="F419" s="1479">
        <f t="shared" si="0"/>
        <v>427669022.15431625</v>
      </c>
      <c r="G419" s="1663"/>
      <c r="H419" s="1314"/>
      <c r="I419" s="1314"/>
    </row>
    <row r="420" spans="1:9" ht="12.4" customHeight="1" x14ac:dyDescent="0.2">
      <c r="A420" s="787" t="s">
        <v>386</v>
      </c>
      <c r="B420" s="788" t="s">
        <v>395</v>
      </c>
      <c r="C420" s="787" t="s">
        <v>48</v>
      </c>
      <c r="D420" s="796">
        <f>D416*D417</f>
        <v>440</v>
      </c>
      <c r="E420" s="796">
        <f t="shared" ref="E420:F420" si="1">E416*E417</f>
        <v>1208</v>
      </c>
      <c r="F420" s="1480">
        <f t="shared" si="1"/>
        <v>720</v>
      </c>
      <c r="G420" s="1663"/>
      <c r="H420" s="1314"/>
      <c r="I420" s="1314"/>
    </row>
    <row r="421" spans="1:9" ht="12.4" customHeight="1" x14ac:dyDescent="0.2">
      <c r="A421" s="199"/>
      <c r="B421" s="768"/>
      <c r="C421" s="199"/>
      <c r="D421" s="1314"/>
      <c r="E421" s="1314"/>
      <c r="F421" s="1314"/>
    </row>
    <row r="422" spans="1:9" ht="12.4" customHeight="1" x14ac:dyDescent="0.2">
      <c r="A422" s="1488" t="s">
        <v>218</v>
      </c>
      <c r="B422" s="1489"/>
      <c r="C422" s="1490"/>
      <c r="D422" s="1491"/>
      <c r="E422" s="14"/>
      <c r="F422" s="14"/>
    </row>
    <row r="423" spans="1:9" x14ac:dyDescent="0.2">
      <c r="H423" s="39"/>
    </row>
    <row r="424" spans="1:9" x14ac:dyDescent="0.2">
      <c r="H424" s="39"/>
    </row>
    <row r="425" spans="1:9" x14ac:dyDescent="0.2">
      <c r="H425" s="39"/>
    </row>
    <row r="426" spans="1:9" x14ac:dyDescent="0.2">
      <c r="H426" s="39"/>
    </row>
    <row r="427" spans="1:9" x14ac:dyDescent="0.2">
      <c r="H427" s="39"/>
    </row>
    <row r="428" spans="1:9" x14ac:dyDescent="0.2">
      <c r="H428" s="39"/>
    </row>
    <row r="429" spans="1:9" x14ac:dyDescent="0.2">
      <c r="B429" s="768" t="s">
        <v>476</v>
      </c>
      <c r="H429" s="39"/>
    </row>
    <row r="430" spans="1:9" x14ac:dyDescent="0.2">
      <c r="B430" s="768" t="s">
        <v>387</v>
      </c>
      <c r="H430" s="39"/>
    </row>
    <row r="431" spans="1:9" x14ac:dyDescent="0.2">
      <c r="B431" s="144" t="s">
        <v>478</v>
      </c>
      <c r="E431" s="757"/>
    </row>
    <row r="432" spans="1:9" x14ac:dyDescent="0.2">
      <c r="B432" s="144"/>
      <c r="E432" s="757"/>
    </row>
    <row r="433" spans="1:9" x14ac:dyDescent="0.2">
      <c r="A433" s="763" t="s">
        <v>104</v>
      </c>
      <c r="B433" s="764"/>
      <c r="C433" s="765"/>
      <c r="D433" s="766"/>
      <c r="E433" s="757"/>
    </row>
    <row r="434" spans="1:9" x14ac:dyDescent="0.2">
      <c r="A434" s="772" t="s">
        <v>393</v>
      </c>
      <c r="B434" s="60" t="s">
        <v>117</v>
      </c>
      <c r="C434" s="61" t="s">
        <v>41</v>
      </c>
      <c r="D434" s="762" t="s">
        <v>307</v>
      </c>
      <c r="E434" s="757"/>
    </row>
    <row r="435" spans="1:9" x14ac:dyDescent="0.2">
      <c r="A435" s="62" t="s">
        <v>32</v>
      </c>
      <c r="B435" s="66" t="s">
        <v>118</v>
      </c>
      <c r="C435" s="64" t="s">
        <v>17</v>
      </c>
      <c r="D435" s="798">
        <v>1</v>
      </c>
      <c r="E435" s="757"/>
    </row>
    <row r="436" spans="1:9" x14ac:dyDescent="0.2">
      <c r="A436" s="186" t="s">
        <v>186</v>
      </c>
      <c r="B436" s="66" t="s">
        <v>110</v>
      </c>
      <c r="C436" s="67" t="s">
        <v>17</v>
      </c>
      <c r="D436" s="204" t="s">
        <v>383</v>
      </c>
      <c r="E436" s="757"/>
    </row>
    <row r="437" spans="1:9" x14ac:dyDescent="0.2">
      <c r="A437" s="62" t="s">
        <v>45</v>
      </c>
      <c r="B437" s="66" t="s">
        <v>37</v>
      </c>
      <c r="C437" s="62" t="s">
        <v>14</v>
      </c>
      <c r="D437" s="70" t="s">
        <v>189</v>
      </c>
      <c r="E437" s="757"/>
    </row>
    <row r="438" spans="1:9" x14ac:dyDescent="0.2">
      <c r="A438" s="71" t="s">
        <v>46</v>
      </c>
      <c r="B438" s="72" t="s">
        <v>95</v>
      </c>
      <c r="C438" s="71" t="s">
        <v>41</v>
      </c>
      <c r="D438" s="797">
        <v>1000000</v>
      </c>
      <c r="E438" s="757"/>
    </row>
    <row r="439" spans="1:9" ht="24" x14ac:dyDescent="0.2">
      <c r="A439" s="71" t="s">
        <v>100</v>
      </c>
      <c r="B439" s="72" t="s">
        <v>101</v>
      </c>
      <c r="C439" s="71" t="s">
        <v>17</v>
      </c>
      <c r="D439" s="794" t="s">
        <v>384</v>
      </c>
      <c r="E439" s="757"/>
    </row>
    <row r="440" spans="1:9" x14ac:dyDescent="0.2">
      <c r="A440" s="79" t="s">
        <v>112</v>
      </c>
      <c r="B440" s="80" t="s">
        <v>119</v>
      </c>
      <c r="C440" s="79" t="s">
        <v>14</v>
      </c>
      <c r="D440" s="81" t="s">
        <v>120</v>
      </c>
      <c r="E440" s="757"/>
    </row>
    <row r="441" spans="1:9" x14ac:dyDescent="0.2">
      <c r="A441" s="1485"/>
      <c r="B441" s="1486"/>
      <c r="C441" s="1487"/>
      <c r="D441" s="2653" t="s">
        <v>596</v>
      </c>
      <c r="E441" s="2654"/>
      <c r="F441" s="2654"/>
      <c r="G441" s="2652"/>
      <c r="H441" s="2652"/>
      <c r="I441" s="2652"/>
    </row>
    <row r="442" spans="1:9" ht="24" x14ac:dyDescent="0.2">
      <c r="A442" s="767" t="s">
        <v>597</v>
      </c>
      <c r="B442" s="764"/>
      <c r="C442" s="765"/>
      <c r="D442" s="1477" t="s">
        <v>308</v>
      </c>
      <c r="E442" s="1478" t="s">
        <v>397</v>
      </c>
      <c r="F442" s="2506" t="s">
        <v>398</v>
      </c>
      <c r="G442" s="2509"/>
      <c r="H442" s="2510"/>
      <c r="I442" s="2511"/>
    </row>
    <row r="443" spans="1:9" x14ac:dyDescent="0.2">
      <c r="A443" s="82" t="s">
        <v>87</v>
      </c>
      <c r="B443" s="1037" t="s">
        <v>102</v>
      </c>
      <c r="C443" s="101" t="s">
        <v>19</v>
      </c>
      <c r="D443" s="1038">
        <f t="shared" ref="D443:F443" si="2">D411</f>
        <v>16</v>
      </c>
      <c r="E443" s="1038">
        <f t="shared" si="2"/>
        <v>81.8</v>
      </c>
      <c r="F443" s="1038">
        <f t="shared" si="2"/>
        <v>81.8</v>
      </c>
      <c r="G443" s="2512"/>
      <c r="H443" s="2512"/>
      <c r="I443" s="2512"/>
    </row>
    <row r="444" spans="1:9" x14ac:dyDescent="0.2">
      <c r="A444" s="198" t="s">
        <v>394</v>
      </c>
      <c r="B444" s="1039" t="s">
        <v>480</v>
      </c>
      <c r="C444" s="69" t="s">
        <v>88</v>
      </c>
      <c r="D444" s="75">
        <f>D446*365</f>
        <v>2190</v>
      </c>
      <c r="E444" s="75">
        <f>E446*365</f>
        <v>23360</v>
      </c>
      <c r="F444" s="75">
        <f>F446*365</f>
        <v>16060</v>
      </c>
      <c r="G444" s="2513"/>
      <c r="H444" s="2513"/>
      <c r="I444" s="2513"/>
    </row>
    <row r="445" spans="1:9" x14ac:dyDescent="0.2">
      <c r="A445" s="69" t="s">
        <v>44</v>
      </c>
      <c r="B445" s="1039" t="s">
        <v>449</v>
      </c>
      <c r="C445" s="69" t="s">
        <v>90</v>
      </c>
      <c r="D445" s="75">
        <f t="shared" ref="D445:F449" si="3">D413</f>
        <v>120</v>
      </c>
      <c r="E445" s="75">
        <f t="shared" si="3"/>
        <v>120</v>
      </c>
      <c r="F445" s="75">
        <f t="shared" si="3"/>
        <v>119</v>
      </c>
      <c r="G445" s="2512"/>
      <c r="H445" s="2512"/>
      <c r="I445" s="2512"/>
    </row>
    <row r="446" spans="1:9" x14ac:dyDescent="0.2">
      <c r="A446" s="69" t="s">
        <v>30</v>
      </c>
      <c r="B446" s="63" t="s">
        <v>91</v>
      </c>
      <c r="C446" s="69" t="s">
        <v>21</v>
      </c>
      <c r="D446" s="75">
        <f t="shared" si="3"/>
        <v>6</v>
      </c>
      <c r="E446" s="76">
        <f t="shared" si="3"/>
        <v>64</v>
      </c>
      <c r="F446" s="76">
        <f t="shared" si="3"/>
        <v>44</v>
      </c>
      <c r="G446" s="2512"/>
      <c r="H446" s="2512"/>
      <c r="I446" s="2512"/>
    </row>
    <row r="447" spans="1:9" x14ac:dyDescent="0.2">
      <c r="A447" s="69" t="s">
        <v>92</v>
      </c>
      <c r="B447" s="63" t="s">
        <v>93</v>
      </c>
      <c r="C447" s="69" t="s">
        <v>48</v>
      </c>
      <c r="D447" s="75">
        <f t="shared" si="3"/>
        <v>200</v>
      </c>
      <c r="E447" s="77">
        <f t="shared" si="3"/>
        <v>100</v>
      </c>
      <c r="F447" s="77">
        <f t="shared" si="3"/>
        <v>50</v>
      </c>
      <c r="G447" s="2512"/>
      <c r="H447" s="2512"/>
      <c r="I447" s="2512"/>
    </row>
    <row r="448" spans="1:9" ht="13.5" x14ac:dyDescent="0.2">
      <c r="A448" s="71" t="s">
        <v>96</v>
      </c>
      <c r="B448" s="1040" t="s">
        <v>450</v>
      </c>
      <c r="C448" s="1041" t="s">
        <v>390</v>
      </c>
      <c r="D448" s="75">
        <f t="shared" si="3"/>
        <v>2200</v>
      </c>
      <c r="E448" s="1042">
        <f t="shared" si="3"/>
        <v>6040</v>
      </c>
      <c r="F448" s="1042">
        <f t="shared" si="3"/>
        <v>3600</v>
      </c>
      <c r="G448" s="2513"/>
      <c r="H448" s="2513"/>
      <c r="I448" s="2513"/>
    </row>
    <row r="449" spans="1:9" ht="13.5" x14ac:dyDescent="0.2">
      <c r="A449" s="73" t="s">
        <v>97</v>
      </c>
      <c r="B449" s="1043" t="s">
        <v>451</v>
      </c>
      <c r="C449" s="73" t="s">
        <v>98</v>
      </c>
      <c r="D449" s="2514">
        <f t="shared" si="3"/>
        <v>0.2</v>
      </c>
      <c r="E449" s="1044">
        <f t="shared" si="3"/>
        <v>0.2</v>
      </c>
      <c r="F449" s="1044">
        <f t="shared" si="3"/>
        <v>0.2</v>
      </c>
      <c r="G449" s="2512"/>
      <c r="H449" s="2512"/>
      <c r="I449" s="2512"/>
    </row>
    <row r="450" spans="1:9" ht="24" x14ac:dyDescent="0.2">
      <c r="A450" s="767" t="s">
        <v>309</v>
      </c>
      <c r="B450" s="769"/>
      <c r="C450" s="770"/>
      <c r="D450" s="1477" t="s">
        <v>308</v>
      </c>
      <c r="E450" s="1478" t="s">
        <v>397</v>
      </c>
      <c r="F450" s="2506" t="s">
        <v>398</v>
      </c>
      <c r="G450" s="2507"/>
      <c r="H450" s="2508"/>
      <c r="I450" s="2508"/>
    </row>
    <row r="451" spans="1:9" ht="24" x14ac:dyDescent="0.2">
      <c r="A451" s="781" t="s">
        <v>475</v>
      </c>
      <c r="B451" s="782" t="s">
        <v>396</v>
      </c>
      <c r="C451" s="781" t="s">
        <v>391</v>
      </c>
      <c r="D451" s="795">
        <f>$D435*D443*D444*$D438/(D445*D446)</f>
        <v>48666666.666666664</v>
      </c>
      <c r="E451" s="795">
        <f>$D435*E443*E444*$D438/(E445*E446)</f>
        <v>248808333.33333334</v>
      </c>
      <c r="F451" s="795">
        <f>$D435*F443*F444*$D438/(F445*F446)</f>
        <v>250899159.66386554</v>
      </c>
      <c r="G451" s="1663"/>
      <c r="H451" s="1314"/>
      <c r="I451" s="1314"/>
    </row>
    <row r="452" spans="1:9" x14ac:dyDescent="0.2">
      <c r="A452" s="787" t="s">
        <v>386</v>
      </c>
      <c r="B452" s="788" t="s">
        <v>395</v>
      </c>
      <c r="C452" s="787" t="s">
        <v>48</v>
      </c>
      <c r="D452" s="796">
        <f>D448*D449</f>
        <v>440</v>
      </c>
      <c r="E452" s="796">
        <f t="shared" ref="E452:F452" si="4">E448*E449</f>
        <v>1208</v>
      </c>
      <c r="F452" s="796">
        <f t="shared" si="4"/>
        <v>720</v>
      </c>
      <c r="G452" s="1663"/>
      <c r="H452" s="1314"/>
      <c r="I452" s="1314"/>
    </row>
    <row r="453" spans="1:9" x14ac:dyDescent="0.2">
      <c r="A453" s="799"/>
      <c r="B453" s="800"/>
      <c r="C453" s="801"/>
      <c r="D453" s="802"/>
      <c r="E453" s="757"/>
    </row>
    <row r="454" spans="1:9" x14ac:dyDescent="0.2">
      <c r="A454" s="1488" t="s">
        <v>211</v>
      </c>
      <c r="B454" s="1489"/>
      <c r="C454" s="1490"/>
      <c r="D454" s="1491"/>
    </row>
    <row r="455" spans="1:9" x14ac:dyDescent="0.2">
      <c r="H455" s="39"/>
    </row>
    <row r="456" spans="1:9" x14ac:dyDescent="0.2">
      <c r="H456" s="39"/>
    </row>
    <row r="457" spans="1:9" x14ac:dyDescent="0.2">
      <c r="H457" s="39"/>
    </row>
    <row r="458" spans="1:9" x14ac:dyDescent="0.2">
      <c r="H458" s="39"/>
    </row>
    <row r="460" spans="1:9" ht="13.5" x14ac:dyDescent="0.2">
      <c r="A460" s="61" t="s">
        <v>99</v>
      </c>
      <c r="B460" s="60" t="s">
        <v>107</v>
      </c>
      <c r="C460" s="82" t="s">
        <v>94</v>
      </c>
      <c r="D460" s="83" t="s">
        <v>190</v>
      </c>
    </row>
    <row r="461" spans="1:9" ht="13.5" x14ac:dyDescent="0.2">
      <c r="A461" s="62" t="s">
        <v>49</v>
      </c>
      <c r="B461" s="66" t="s">
        <v>108</v>
      </c>
      <c r="C461" s="69" t="s">
        <v>94</v>
      </c>
      <c r="D461" s="76" t="s">
        <v>191</v>
      </c>
    </row>
    <row r="462" spans="1:9" x14ac:dyDescent="0.2">
      <c r="A462" s="111" t="s">
        <v>109</v>
      </c>
      <c r="B462" s="80" t="s">
        <v>111</v>
      </c>
      <c r="C462" s="79" t="s">
        <v>17</v>
      </c>
      <c r="D462" s="793" t="s">
        <v>383</v>
      </c>
    </row>
    <row r="464" spans="1:9" x14ac:dyDescent="0.2">
      <c r="A464" s="1488" t="s">
        <v>212</v>
      </c>
      <c r="B464" s="1489"/>
      <c r="C464" s="1490"/>
      <c r="D464" s="1491"/>
    </row>
    <row r="465" spans="1:8" x14ac:dyDescent="0.2">
      <c r="H465" s="39"/>
    </row>
    <row r="466" spans="1:8" x14ac:dyDescent="0.2">
      <c r="H466" s="39"/>
    </row>
    <row r="467" spans="1:8" x14ac:dyDescent="0.2">
      <c r="H467" s="39"/>
    </row>
    <row r="468" spans="1:8" x14ac:dyDescent="0.2">
      <c r="H468" s="39"/>
    </row>
    <row r="469" spans="1:8" x14ac:dyDescent="0.2">
      <c r="A469" s="61" t="s">
        <v>112</v>
      </c>
      <c r="B469" s="60" t="s">
        <v>113</v>
      </c>
      <c r="C469" s="61" t="s">
        <v>115</v>
      </c>
      <c r="D469" s="83" t="s">
        <v>190</v>
      </c>
    </row>
    <row r="470" spans="1:8" x14ac:dyDescent="0.2">
      <c r="A470" s="62" t="s">
        <v>45</v>
      </c>
      <c r="B470" s="66" t="s">
        <v>114</v>
      </c>
      <c r="C470" s="62" t="s">
        <v>115</v>
      </c>
      <c r="D470" s="76" t="s">
        <v>191</v>
      </c>
    </row>
    <row r="471" spans="1:8" x14ac:dyDescent="0.2">
      <c r="A471" s="111" t="s">
        <v>109</v>
      </c>
      <c r="B471" s="80" t="s">
        <v>111</v>
      </c>
      <c r="C471" s="79" t="s">
        <v>17</v>
      </c>
      <c r="D471" s="793" t="s">
        <v>383</v>
      </c>
    </row>
  </sheetData>
  <sheetProtection algorithmName="SHA-512" hashValue="Wrhv2/usL1+BfxnP+YXilGE5kjC3yZW1VGwHq9mlqxsjsRy0ygn7qkeY5KCDVlDi7Gj5/dTAjQDpHzZkDiaa6w==" saltValue="6/uJdNlrXx1v4ZZCV2Umag==" spinCount="100000" sheet="1" selectLockedCells="1" selectUnlockedCells="1"/>
  <mergeCells count="4">
    <mergeCell ref="G409:I409"/>
    <mergeCell ref="D409:F409"/>
    <mergeCell ref="D441:F441"/>
    <mergeCell ref="G441:I441"/>
  </mergeCells>
  <printOptions horizontalCentered="1"/>
  <pageMargins left="0.7" right="0.7" top="0.75" bottom="0.75" header="0.3" footer="0.3"/>
  <pageSetup scale="79" fitToHeight="0" orientation="landscape" horizontalDpi="1200" verticalDpi="1200" r:id="rId1"/>
  <headerFooter scaleWithDoc="0">
    <oddFooter>&amp;R&amp;"Arial,Regular"&amp;9Page &amp;P of &amp;N</oddFooter>
  </headerFooter>
  <rowBreaks count="9" manualBreakCount="9">
    <brk id="47" max="16383" man="1"/>
    <brk id="91" max="16383" man="1"/>
    <brk id="133" max="16383" man="1"/>
    <brk id="175" max="16383" man="1"/>
    <brk id="219" max="16383" man="1"/>
    <brk id="260" max="16383" man="1"/>
    <brk id="302" max="16383" man="1"/>
    <brk id="389" max="16383" man="1"/>
    <brk id="421"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F"/>
    <pageSetUpPr fitToPage="1"/>
  </sheetPr>
  <dimension ref="A1:S292"/>
  <sheetViews>
    <sheetView zoomScaleNormal="100" workbookViewId="0">
      <pane xSplit="2" ySplit="2" topLeftCell="I256" activePane="bottomRight" state="frozen"/>
      <selection activeCell="B1" sqref="B1"/>
      <selection pane="topRight" activeCell="C1" sqref="C1"/>
      <selection pane="bottomLeft" activeCell="B3" sqref="B3"/>
      <selection pane="bottomRight" activeCell="M267" sqref="M267"/>
    </sheetView>
  </sheetViews>
  <sheetFormatPr defaultColWidth="8.85546875" defaultRowHeight="13.9" customHeight="1" x14ac:dyDescent="0.25"/>
  <cols>
    <col min="1" max="1" width="5.7109375" style="372" customWidth="1"/>
    <col min="2" max="2" width="34.85546875" style="255" customWidth="1"/>
    <col min="3" max="3" width="13.28515625" style="255" customWidth="1"/>
    <col min="4" max="4" width="13.28515625" style="136" customWidth="1"/>
    <col min="5" max="5" width="13.140625" style="255" customWidth="1"/>
    <col min="6" max="6" width="17.28515625" style="255" customWidth="1"/>
    <col min="7" max="7" width="17.7109375" style="255" customWidth="1"/>
    <col min="8" max="8" width="17.28515625" style="255" customWidth="1"/>
    <col min="9" max="9" width="18.7109375" style="255" customWidth="1"/>
    <col min="10" max="10" width="20.140625" style="255" customWidth="1"/>
    <col min="11" max="11" width="18.28515625" style="255" customWidth="1"/>
    <col min="12" max="12" width="19.28515625" style="255" customWidth="1"/>
    <col min="13" max="13" width="13.140625" style="255" customWidth="1"/>
    <col min="14" max="14" width="13.28515625" style="255" customWidth="1"/>
    <col min="15" max="15" width="13.42578125" style="255" customWidth="1"/>
    <col min="16" max="17" width="13.28515625" style="136" customWidth="1"/>
    <col min="18" max="18" width="4.28515625" style="255" customWidth="1"/>
    <col min="19" max="19" width="13.7109375" style="136" customWidth="1"/>
    <col min="20" max="16384" width="8.85546875" style="255"/>
  </cols>
  <sheetData>
    <row r="1" spans="1:19" s="247" customFormat="1" ht="13.9" customHeight="1" thickBot="1" x14ac:dyDescent="0.3">
      <c r="A1" s="372"/>
      <c r="B1" s="248" t="s">
        <v>1692</v>
      </c>
      <c r="C1" s="246"/>
      <c r="D1" s="246"/>
      <c r="L1" s="249"/>
      <c r="M1" s="249"/>
      <c r="N1" s="249"/>
      <c r="O1" s="249"/>
      <c r="P1" s="239"/>
      <c r="Q1" s="239"/>
      <c r="S1" s="267"/>
    </row>
    <row r="2" spans="1:19" s="361" customFormat="1" ht="74.25" thickTop="1" thickBot="1" x14ac:dyDescent="0.25">
      <c r="A2" s="1709" t="s">
        <v>445</v>
      </c>
      <c r="B2" s="1744" t="s">
        <v>639</v>
      </c>
      <c r="C2" s="1745" t="s">
        <v>266</v>
      </c>
      <c r="D2" s="1744" t="s">
        <v>265</v>
      </c>
      <c r="E2" s="1745" t="s">
        <v>269</v>
      </c>
      <c r="F2" s="1745" t="s">
        <v>1714</v>
      </c>
      <c r="G2" s="1745" t="s">
        <v>1715</v>
      </c>
      <c r="H2" s="1745" t="s">
        <v>1716</v>
      </c>
      <c r="I2" s="1745" t="s">
        <v>1717</v>
      </c>
      <c r="J2" s="1745" t="s">
        <v>1718</v>
      </c>
      <c r="K2" s="1745" t="s">
        <v>467</v>
      </c>
      <c r="L2" s="1745" t="s">
        <v>468</v>
      </c>
      <c r="M2" s="1745" t="s">
        <v>267</v>
      </c>
      <c r="N2" s="1745" t="s">
        <v>268</v>
      </c>
      <c r="O2" s="1745" t="s">
        <v>270</v>
      </c>
      <c r="P2" s="1744" t="s">
        <v>653</v>
      </c>
      <c r="Q2" s="1746" t="s">
        <v>654</v>
      </c>
      <c r="S2" s="1724" t="s">
        <v>465</v>
      </c>
    </row>
    <row r="3" spans="1:19" s="252" customFormat="1" ht="13.9" customHeight="1" thickTop="1" x14ac:dyDescent="0.25">
      <c r="A3" s="907">
        <f>Chem!A3</f>
        <v>1</v>
      </c>
      <c r="B3" s="876" t="str">
        <f>Chem!B3</f>
        <v>PCBs</v>
      </c>
      <c r="C3" s="210"/>
      <c r="D3" s="210"/>
      <c r="E3" s="251"/>
      <c r="F3" s="251"/>
      <c r="G3" s="251"/>
      <c r="H3" s="251"/>
      <c r="I3" s="251"/>
      <c r="J3" s="251"/>
      <c r="K3" s="251"/>
      <c r="L3" s="210"/>
      <c r="M3" s="210"/>
      <c r="N3" s="210"/>
      <c r="O3" s="210"/>
      <c r="P3" s="210"/>
      <c r="Q3" s="1860"/>
      <c r="S3" s="1061"/>
    </row>
    <row r="4" spans="1:19" ht="13.9" customHeight="1" x14ac:dyDescent="0.25">
      <c r="A4" s="842">
        <f>Chem!A4</f>
        <v>2</v>
      </c>
      <c r="B4" s="857" t="str">
        <f>Chem!B4</f>
        <v>Total PCB Aroclors</v>
      </c>
      <c r="C4" s="393" t="str">
        <f>'SL-Eq'!F4</f>
        <v>na</v>
      </c>
      <c r="D4" s="530">
        <f>'SL-Eq'!G4</f>
        <v>0.5</v>
      </c>
      <c r="E4" s="531">
        <f>P4</f>
        <v>1</v>
      </c>
      <c r="F4" s="270">
        <v>40</v>
      </c>
      <c r="G4" s="270" t="s">
        <v>232</v>
      </c>
      <c r="H4" s="270">
        <v>0.65</v>
      </c>
      <c r="I4" s="270">
        <f>IF(MIN(F4:H4)&gt;0,MIN(F4:H4),"na")</f>
        <v>0.65</v>
      </c>
      <c r="J4" s="46">
        <f>H4</f>
        <v>0.65</v>
      </c>
      <c r="K4" s="46">
        <v>2</v>
      </c>
      <c r="L4" s="45">
        <v>2</v>
      </c>
      <c r="M4" s="45" t="str">
        <f>'SL-Eq'!H4</f>
        <v>na</v>
      </c>
      <c r="N4" s="45">
        <f>'SL-Eq'!I4</f>
        <v>65.625000000000014</v>
      </c>
      <c r="O4" s="45">
        <f>Q4</f>
        <v>10</v>
      </c>
      <c r="P4" s="1854">
        <v>1</v>
      </c>
      <c r="Q4" s="1152">
        <v>10</v>
      </c>
      <c r="S4" s="1062"/>
    </row>
    <row r="5" spans="1:19" ht="13.9" customHeight="1" x14ac:dyDescent="0.25">
      <c r="A5" s="842">
        <f>Chem!A5</f>
        <v>3</v>
      </c>
      <c r="B5" s="858" t="str">
        <f>Chem!B5</f>
        <v>Total PCB congeners</v>
      </c>
      <c r="C5" s="532" t="str">
        <f>'SL-Eq'!F5</f>
        <v>na</v>
      </c>
      <c r="D5" s="530">
        <f>'SL-Eq'!G5</f>
        <v>0.5</v>
      </c>
      <c r="E5" s="531">
        <f>P5</f>
        <v>1</v>
      </c>
      <c r="F5" s="270">
        <v>40</v>
      </c>
      <c r="G5" s="270" t="s">
        <v>232</v>
      </c>
      <c r="H5" s="270">
        <v>0.65</v>
      </c>
      <c r="I5" s="270">
        <f t="shared" ref="I5:I6" si="0">IF(MIN(F5:H5)&gt;0,MIN(F5:H5),"na")</f>
        <v>0.65</v>
      </c>
      <c r="J5" s="46">
        <f t="shared" ref="J5:J6" si="1">H5</f>
        <v>0.65</v>
      </c>
      <c r="K5" s="46">
        <v>2</v>
      </c>
      <c r="L5" s="45">
        <v>2</v>
      </c>
      <c r="M5" s="45" t="str">
        <f>'SL-Eq'!H5</f>
        <v>na</v>
      </c>
      <c r="N5" s="45">
        <f>'SL-Eq'!I5</f>
        <v>65.625000000000014</v>
      </c>
      <c r="O5" s="45">
        <f>Q5</f>
        <v>10</v>
      </c>
      <c r="P5" s="1854">
        <v>1</v>
      </c>
      <c r="Q5" s="1330">
        <v>10</v>
      </c>
      <c r="S5" s="1062"/>
    </row>
    <row r="6" spans="1:19" ht="13.9" customHeight="1" x14ac:dyDescent="0.25">
      <c r="A6" s="842">
        <f>Chem!A6</f>
        <v>4</v>
      </c>
      <c r="B6" s="858" t="str">
        <f>Chem!B6</f>
        <v>Total PCB TEQ</v>
      </c>
      <c r="C6" s="533">
        <f>'SL-Eq'!F6</f>
        <v>9.333333333333333E-5</v>
      </c>
      <c r="D6" s="530">
        <f>'SL-Eq'!G6</f>
        <v>1.282051282051282E-5</v>
      </c>
      <c r="E6" s="534">
        <f>IF(D6="na",IF(C6="na","na",C6),MIN(C6:D6))</f>
        <v>1.282051282051282E-5</v>
      </c>
      <c r="F6" s="967" t="s">
        <v>232</v>
      </c>
      <c r="G6" s="967" t="s">
        <v>232</v>
      </c>
      <c r="H6" s="967" t="s">
        <v>232</v>
      </c>
      <c r="I6" s="967" t="str">
        <f t="shared" si="0"/>
        <v>na</v>
      </c>
      <c r="J6" s="84" t="str">
        <f t="shared" si="1"/>
        <v>na</v>
      </c>
      <c r="K6" s="84" t="s">
        <v>232</v>
      </c>
      <c r="L6" s="47" t="s">
        <v>232</v>
      </c>
      <c r="M6" s="84">
        <f>'SL-Eq'!H6</f>
        <v>4.0833333333333338E-3</v>
      </c>
      <c r="N6" s="84">
        <f>'SL-Eq'!I6</f>
        <v>1.682692307692308E-3</v>
      </c>
      <c r="O6" s="84">
        <f>IF(N6="na",IF(M6="na","na",M6),MIN(M6:N6))</f>
        <v>1.682692307692308E-3</v>
      </c>
      <c r="P6" s="1853" t="s">
        <v>232</v>
      </c>
      <c r="Q6" s="1859" t="s">
        <v>232</v>
      </c>
      <c r="S6" s="1062"/>
    </row>
    <row r="7" spans="1:19" s="252" customFormat="1" ht="13.9" customHeight="1" x14ac:dyDescent="0.25">
      <c r="A7" s="906">
        <f>Chem!A7</f>
        <v>5</v>
      </c>
      <c r="B7" s="850" t="str">
        <f>Chem!B7</f>
        <v xml:space="preserve">Dioxins/Furans </v>
      </c>
      <c r="C7" s="31"/>
      <c r="D7" s="31"/>
      <c r="E7" s="259"/>
      <c r="F7" s="259"/>
      <c r="G7" s="259"/>
      <c r="H7" s="259"/>
      <c r="I7" s="259"/>
      <c r="J7" s="259"/>
      <c r="K7" s="259"/>
      <c r="L7" s="31"/>
      <c r="M7" s="31"/>
      <c r="N7" s="31"/>
      <c r="O7" s="31"/>
      <c r="P7" s="31"/>
      <c r="Q7" s="648"/>
      <c r="S7" s="1063"/>
    </row>
    <row r="8" spans="1:19" ht="13.9" customHeight="1" x14ac:dyDescent="0.25">
      <c r="A8" s="844">
        <f>Chem!A8</f>
        <v>6</v>
      </c>
      <c r="B8" s="857" t="str">
        <f>Chem!B8</f>
        <v>Total dioxin/furan TEQ</v>
      </c>
      <c r="C8" s="343">
        <f>'SL-Eq'!F8</f>
        <v>9.333333333333333E-5</v>
      </c>
      <c r="D8" s="535">
        <f>'SL-Eq'!G8</f>
        <v>1.282051282051282E-5</v>
      </c>
      <c r="E8" s="531">
        <f>IF(D8="na",IF(C8="na","na",C8),MIN(C8:D8))</f>
        <v>1.282051282051282E-5</v>
      </c>
      <c r="F8" s="270" t="s">
        <v>232</v>
      </c>
      <c r="G8" s="270" t="s">
        <v>232</v>
      </c>
      <c r="H8" s="270" t="s">
        <v>232</v>
      </c>
      <c r="I8" s="270" t="str">
        <f t="shared" ref="I8:I11" si="2">IF(MIN(F8:H8)&gt;0,MIN(F8:H8),"na")</f>
        <v>na</v>
      </c>
      <c r="J8" s="46" t="str">
        <f t="shared" ref="J8:J11" si="3">H8</f>
        <v>na</v>
      </c>
      <c r="K8" s="46" t="s">
        <v>232</v>
      </c>
      <c r="L8" s="46" t="s">
        <v>232</v>
      </c>
      <c r="M8" s="46">
        <f>'SL-Eq'!H8</f>
        <v>4.0833333333333338E-3</v>
      </c>
      <c r="N8" s="46">
        <f>'SL-Eq'!I8</f>
        <v>1.682692307692308E-3</v>
      </c>
      <c r="O8" s="46">
        <f>IF(N8="na",IF(M8="na","na",M8),MIN(M8:N8))</f>
        <v>1.682692307692308E-3</v>
      </c>
      <c r="P8" s="1855" t="s">
        <v>232</v>
      </c>
      <c r="Q8" s="544" t="s">
        <v>232</v>
      </c>
      <c r="S8" s="1062"/>
    </row>
    <row r="9" spans="1:19" ht="13.9" customHeight="1" x14ac:dyDescent="0.25">
      <c r="A9" s="845">
        <f>Chem!A9</f>
        <v>7</v>
      </c>
      <c r="B9" s="877" t="str">
        <f>Chem!B9</f>
        <v>2,3,7,8-TCDD</v>
      </c>
      <c r="C9" s="343">
        <f>'SL-Eq'!F9</f>
        <v>9.333333333333333E-5</v>
      </c>
      <c r="D9" s="538">
        <f>'SL-Eq'!G9</f>
        <v>1.282051282051282E-5</v>
      </c>
      <c r="E9" s="531">
        <f>IF(D9="na",IF(C9="na","na",C9),MIN(C9:D9))</f>
        <v>1.282051282051282E-5</v>
      </c>
      <c r="F9" s="270" t="s">
        <v>232</v>
      </c>
      <c r="G9" s="270" t="s">
        <v>232</v>
      </c>
      <c r="H9" s="270" t="s">
        <v>232</v>
      </c>
      <c r="I9" s="270" t="str">
        <f t="shared" ref="I9" si="4">IF(MIN(F9:H9)&gt;0,MIN(F9:H9),"na")</f>
        <v>na</v>
      </c>
      <c r="J9" s="46" t="str">
        <f t="shared" ref="J9" si="5">H9</f>
        <v>na</v>
      </c>
      <c r="K9" s="46" t="s">
        <v>232</v>
      </c>
      <c r="L9" s="46" t="s">
        <v>232</v>
      </c>
      <c r="M9" s="46">
        <f>'SL-Eq'!H9</f>
        <v>4.0833333333333338E-3</v>
      </c>
      <c r="N9" s="46">
        <f>'SL-Eq'!I9</f>
        <v>1.682692307692308E-3</v>
      </c>
      <c r="O9" s="46">
        <f>IF(N9="na",IF(M9="na","na",M9),MIN(M9:N9))</f>
        <v>1.682692307692308E-3</v>
      </c>
      <c r="P9" s="1855" t="s">
        <v>232</v>
      </c>
      <c r="Q9" s="1330" t="s">
        <v>232</v>
      </c>
      <c r="S9" s="1062"/>
    </row>
    <row r="10" spans="1:19" ht="13.9" customHeight="1" x14ac:dyDescent="0.2">
      <c r="A10" s="845">
        <f>Chem!A10</f>
        <v>8</v>
      </c>
      <c r="B10" s="877" t="str">
        <f>Chem!B10</f>
        <v>Total chlorinated dioxins</v>
      </c>
      <c r="C10" s="343" t="s">
        <v>232</v>
      </c>
      <c r="D10" s="531" t="str">
        <f>'SL-Eq'!G10</f>
        <v>na</v>
      </c>
      <c r="E10" s="531" t="str">
        <f t="shared" ref="E10:E11" si="6">IF(D10="na",IF(C10="na","na",C10),MIN(C10:D10))</f>
        <v>na</v>
      </c>
      <c r="F10" s="254" t="s">
        <v>232</v>
      </c>
      <c r="G10" s="254" t="s">
        <v>232</v>
      </c>
      <c r="H10" s="254">
        <v>1.9999999999999999E-6</v>
      </c>
      <c r="I10" s="254">
        <f t="shared" si="2"/>
        <v>1.9999999999999999E-6</v>
      </c>
      <c r="J10" s="38">
        <f t="shared" si="3"/>
        <v>1.9999999999999999E-6</v>
      </c>
      <c r="K10" s="38">
        <v>5.0000000000000004E-6</v>
      </c>
      <c r="L10" s="38">
        <v>5.0000000000000004E-6</v>
      </c>
      <c r="M10" s="38" t="str">
        <f>'SL-Eq'!H10</f>
        <v>na</v>
      </c>
      <c r="N10" s="38" t="str">
        <f>'SL-Eq'!I10</f>
        <v>na</v>
      </c>
      <c r="O10" s="38" t="str">
        <f t="shared" ref="O10:O11" si="7">IF(N10="na",IF(M10="na","na",M10),MIN(M10:N10))</f>
        <v>na</v>
      </c>
      <c r="P10" s="1856" t="s">
        <v>232</v>
      </c>
      <c r="Q10" s="1330" t="s">
        <v>232</v>
      </c>
      <c r="S10" s="1064"/>
    </row>
    <row r="11" spans="1:19" ht="13.9" customHeight="1" x14ac:dyDescent="0.2">
      <c r="A11" s="845">
        <f>Chem!A11</f>
        <v>9</v>
      </c>
      <c r="B11" s="877" t="str">
        <f>Chem!B11</f>
        <v>Total chlorinated furans</v>
      </c>
      <c r="C11" s="533" t="s">
        <v>232</v>
      </c>
      <c r="D11" s="533" t="str">
        <f>'SL-Eq'!G11</f>
        <v>na</v>
      </c>
      <c r="E11" s="533" t="str">
        <f t="shared" si="6"/>
        <v>na</v>
      </c>
      <c r="F11" s="257" t="s">
        <v>232</v>
      </c>
      <c r="G11" s="257" t="s">
        <v>232</v>
      </c>
      <c r="H11" s="257">
        <v>1.9999999999999999E-6</v>
      </c>
      <c r="I11" s="257">
        <f t="shared" si="2"/>
        <v>1.9999999999999999E-6</v>
      </c>
      <c r="J11" s="123">
        <f t="shared" si="3"/>
        <v>1.9999999999999999E-6</v>
      </c>
      <c r="K11" s="123">
        <v>3.0000000000000001E-6</v>
      </c>
      <c r="L11" s="123">
        <v>3.0000000000000001E-6</v>
      </c>
      <c r="M11" s="123" t="str">
        <f>'SL-Eq'!H11</f>
        <v>na</v>
      </c>
      <c r="N11" s="123" t="str">
        <f>'SL-Eq'!I11</f>
        <v>na</v>
      </c>
      <c r="O11" s="123" t="str">
        <f t="shared" si="7"/>
        <v>na</v>
      </c>
      <c r="P11" s="1781" t="s">
        <v>232</v>
      </c>
      <c r="Q11" s="1859" t="s">
        <v>232</v>
      </c>
      <c r="S11" s="1064"/>
    </row>
    <row r="12" spans="1:19" ht="13.9" customHeight="1" x14ac:dyDescent="0.25">
      <c r="A12" s="906">
        <f>Chem!A12</f>
        <v>10</v>
      </c>
      <c r="B12" s="850" t="str">
        <f>Chem!B12</f>
        <v>Inorganics</v>
      </c>
      <c r="C12" s="31"/>
      <c r="D12" s="31"/>
      <c r="E12" s="259"/>
      <c r="F12" s="259"/>
      <c r="G12" s="259"/>
      <c r="H12" s="259"/>
      <c r="I12" s="259"/>
      <c r="J12" s="259"/>
      <c r="K12" s="259"/>
      <c r="L12" s="31"/>
      <c r="M12" s="31"/>
      <c r="N12" s="31"/>
      <c r="O12" s="31"/>
      <c r="P12" s="31"/>
      <c r="Q12" s="648"/>
      <c r="R12" s="252"/>
      <c r="S12" s="1063"/>
    </row>
    <row r="13" spans="1:19" s="260" customFormat="1" ht="13.9" customHeight="1" x14ac:dyDescent="0.25">
      <c r="A13" s="1986">
        <f>Chem!A13</f>
        <v>11</v>
      </c>
      <c r="B13" s="883" t="str">
        <f>Chem!B13</f>
        <v>Ammonia</v>
      </c>
      <c r="C13" s="343" t="str">
        <f>'SL-Eq'!F13</f>
        <v>na</v>
      </c>
      <c r="D13" s="535" t="str">
        <f>'SL-Eq'!G13</f>
        <v>na</v>
      </c>
      <c r="E13" s="343" t="str">
        <f t="shared" ref="E13:E14" si="8">IF(D13="na",IF(C13="na","na",C13),MIN(C13:D13))</f>
        <v>na</v>
      </c>
      <c r="F13" s="271" t="s">
        <v>232</v>
      </c>
      <c r="G13" s="271" t="s">
        <v>232</v>
      </c>
      <c r="H13" s="271" t="s">
        <v>232</v>
      </c>
      <c r="I13" s="271" t="str">
        <f t="shared" ref="I13:I14" si="9">IF(MIN(F13:H13)&gt;0,MIN(F13:H13),"na")</f>
        <v>na</v>
      </c>
      <c r="J13" s="45" t="str">
        <f t="shared" ref="J13:J14" si="10">H13</f>
        <v>na</v>
      </c>
      <c r="K13" s="45" t="s">
        <v>232</v>
      </c>
      <c r="L13" s="45" t="s">
        <v>232</v>
      </c>
      <c r="M13" s="45" t="str">
        <f>'SL-Eq'!H13</f>
        <v>na</v>
      </c>
      <c r="N13" s="45" t="str">
        <f>'SL-Eq'!I13</f>
        <v>na</v>
      </c>
      <c r="O13" s="45" t="str">
        <f t="shared" ref="O13:O14" si="11">IF(N13="na",IF(M13="na","na",M13),MIN(M13:N13))</f>
        <v>na</v>
      </c>
      <c r="P13" s="1854" t="s">
        <v>232</v>
      </c>
      <c r="Q13" s="1330" t="s">
        <v>232</v>
      </c>
      <c r="S13" s="1987"/>
    </row>
    <row r="14" spans="1:19" s="260" customFormat="1" ht="13.9" customHeight="1" x14ac:dyDescent="0.25">
      <c r="A14" s="1321">
        <f>Chem!A14</f>
        <v>12</v>
      </c>
      <c r="B14" s="851" t="str">
        <f>Chem!B14</f>
        <v>Chloride</v>
      </c>
      <c r="C14" s="343" t="str">
        <f>'SL-Eq'!F14</f>
        <v>na</v>
      </c>
      <c r="D14" s="535" t="str">
        <f>'SL-Eq'!G14</f>
        <v>na</v>
      </c>
      <c r="E14" s="343" t="str">
        <f t="shared" si="8"/>
        <v>na</v>
      </c>
      <c r="F14" s="271" t="s">
        <v>232</v>
      </c>
      <c r="G14" s="271" t="s">
        <v>232</v>
      </c>
      <c r="H14" s="271" t="s">
        <v>232</v>
      </c>
      <c r="I14" s="271" t="str">
        <f t="shared" si="9"/>
        <v>na</v>
      </c>
      <c r="J14" s="45" t="str">
        <f t="shared" si="10"/>
        <v>na</v>
      </c>
      <c r="K14" s="45" t="s">
        <v>232</v>
      </c>
      <c r="L14" s="45" t="s">
        <v>232</v>
      </c>
      <c r="M14" s="45" t="str">
        <f>'SL-Eq'!H14</f>
        <v>na</v>
      </c>
      <c r="N14" s="45" t="str">
        <f>'SL-Eq'!I14</f>
        <v>na</v>
      </c>
      <c r="O14" s="45" t="str">
        <f t="shared" si="11"/>
        <v>na</v>
      </c>
      <c r="P14" s="1854" t="s">
        <v>232</v>
      </c>
      <c r="Q14" s="1330" t="s">
        <v>232</v>
      </c>
      <c r="S14" s="1987"/>
    </row>
    <row r="15" spans="1:19" s="247" customFormat="1" ht="13.9" customHeight="1" x14ac:dyDescent="0.2">
      <c r="A15" s="1069">
        <f>Chem!A15</f>
        <v>13</v>
      </c>
      <c r="B15" s="857" t="str">
        <f>Chem!B15</f>
        <v>Cyanide (multiple forms, see notes)</v>
      </c>
      <c r="C15" s="343">
        <f>'SL-Eq'!F15</f>
        <v>50.4</v>
      </c>
      <c r="D15" s="535" t="str">
        <f>'SL-Eq'!G15</f>
        <v>na</v>
      </c>
      <c r="E15" s="343">
        <f t="shared" ref="E15:E19" si="12">IF(D15="na",IF(C15="na","na",C15),MIN(C15:D15))</f>
        <v>50.4</v>
      </c>
      <c r="F15" s="271" t="s">
        <v>232</v>
      </c>
      <c r="G15" s="271" t="s">
        <v>232</v>
      </c>
      <c r="H15" s="271" t="s">
        <v>232</v>
      </c>
      <c r="I15" s="271" t="str">
        <f t="shared" ref="I15:I19" si="13">IF(MIN(F15:H15)&gt;0,MIN(F15:H15),"na")</f>
        <v>na</v>
      </c>
      <c r="J15" s="45" t="str">
        <f t="shared" ref="J15:J19" si="14">H15</f>
        <v>na</v>
      </c>
      <c r="K15" s="45" t="s">
        <v>232</v>
      </c>
      <c r="L15" s="45" t="s">
        <v>232</v>
      </c>
      <c r="M15" s="45">
        <f>'SL-Eq'!H15</f>
        <v>2205</v>
      </c>
      <c r="N15" s="45" t="str">
        <f>'SL-Eq'!I15</f>
        <v>na</v>
      </c>
      <c r="O15" s="45">
        <f t="shared" ref="O15:O19" si="15">IF(N15="na",IF(M15="na","na",M15),MIN(M15:N15))</f>
        <v>2205</v>
      </c>
      <c r="P15" s="1854" t="s">
        <v>232</v>
      </c>
      <c r="Q15" s="1330" t="s">
        <v>232</v>
      </c>
      <c r="S15" s="1064"/>
    </row>
    <row r="16" spans="1:19" ht="13.9" customHeight="1" x14ac:dyDescent="0.2">
      <c r="A16" s="843">
        <f>Chem!A16</f>
        <v>14</v>
      </c>
      <c r="B16" s="857" t="str">
        <f>Chem!B16</f>
        <v>Fluoride</v>
      </c>
      <c r="C16" s="343">
        <f>'SL-Eq'!F16</f>
        <v>4800</v>
      </c>
      <c r="D16" s="535" t="str">
        <f>'SL-Eq'!G16</f>
        <v>na</v>
      </c>
      <c r="E16" s="343">
        <f t="shared" ref="E16" si="16">IF(D16="na",IF(C16="na","na",C16),MIN(C16:D16))</f>
        <v>4800</v>
      </c>
      <c r="F16" s="271" t="s">
        <v>232</v>
      </c>
      <c r="G16" s="271" t="s">
        <v>232</v>
      </c>
      <c r="H16" s="271" t="s">
        <v>232</v>
      </c>
      <c r="I16" s="271" t="str">
        <f t="shared" ref="I16" si="17">IF(MIN(F16:H16)&gt;0,MIN(F16:H16),"na")</f>
        <v>na</v>
      </c>
      <c r="J16" s="45" t="str">
        <f t="shared" ref="J16" si="18">H16</f>
        <v>na</v>
      </c>
      <c r="K16" s="45" t="s">
        <v>232</v>
      </c>
      <c r="L16" s="45" t="s">
        <v>232</v>
      </c>
      <c r="M16" s="45">
        <f>'SL-Eq'!H16</f>
        <v>210000</v>
      </c>
      <c r="N16" s="45" t="str">
        <f>'SL-Eq'!I16</f>
        <v>na</v>
      </c>
      <c r="O16" s="45">
        <f t="shared" ref="O16" si="19">IF(N16="na",IF(M16="na","na",M16),MIN(M16:N16))</f>
        <v>210000</v>
      </c>
      <c r="P16" s="1854" t="s">
        <v>232</v>
      </c>
      <c r="Q16" s="1330" t="s">
        <v>232</v>
      </c>
      <c r="S16" s="1064"/>
    </row>
    <row r="17" spans="1:19" ht="13.9" customHeight="1" x14ac:dyDescent="0.2">
      <c r="A17" s="1069">
        <f>Chem!A17</f>
        <v>15</v>
      </c>
      <c r="B17" s="857" t="str">
        <f>Chem!B17</f>
        <v>Nitrate</v>
      </c>
      <c r="C17" s="343">
        <f>'SL-Eq'!F17</f>
        <v>128000</v>
      </c>
      <c r="D17" s="535" t="str">
        <f>'SL-Eq'!G17</f>
        <v>na</v>
      </c>
      <c r="E17" s="531">
        <f t="shared" si="12"/>
        <v>128000</v>
      </c>
      <c r="F17" s="270" t="s">
        <v>232</v>
      </c>
      <c r="G17" s="270" t="s">
        <v>232</v>
      </c>
      <c r="H17" s="270" t="s">
        <v>232</v>
      </c>
      <c r="I17" s="270" t="str">
        <f t="shared" si="13"/>
        <v>na</v>
      </c>
      <c r="J17" s="46" t="str">
        <f t="shared" si="14"/>
        <v>na</v>
      </c>
      <c r="K17" s="46" t="s">
        <v>232</v>
      </c>
      <c r="L17" s="46" t="s">
        <v>232</v>
      </c>
      <c r="M17" s="46">
        <f>'SL-Eq'!H17</f>
        <v>5600000</v>
      </c>
      <c r="N17" s="46" t="str">
        <f>'SL-Eq'!I17</f>
        <v>na</v>
      </c>
      <c r="O17" s="46">
        <f t="shared" si="15"/>
        <v>5600000</v>
      </c>
      <c r="P17" s="1855" t="s">
        <v>232</v>
      </c>
      <c r="Q17" s="1330" t="s">
        <v>232</v>
      </c>
      <c r="S17" s="1064"/>
    </row>
    <row r="18" spans="1:19" ht="13.9" customHeight="1" x14ac:dyDescent="0.2">
      <c r="A18" s="844">
        <f>Chem!A18</f>
        <v>16</v>
      </c>
      <c r="B18" s="857" t="str">
        <f>Chem!B18</f>
        <v>Nitrite</v>
      </c>
      <c r="C18" s="343">
        <f>'SL-Eq'!F18</f>
        <v>8000</v>
      </c>
      <c r="D18" s="535" t="str">
        <f>'SL-Eq'!G18</f>
        <v>na</v>
      </c>
      <c r="E18" s="531">
        <f t="shared" si="12"/>
        <v>8000</v>
      </c>
      <c r="F18" s="270" t="s">
        <v>232</v>
      </c>
      <c r="G18" s="270" t="s">
        <v>232</v>
      </c>
      <c r="H18" s="270" t="s">
        <v>232</v>
      </c>
      <c r="I18" s="270" t="str">
        <f t="shared" si="13"/>
        <v>na</v>
      </c>
      <c r="J18" s="46" t="str">
        <f t="shared" si="14"/>
        <v>na</v>
      </c>
      <c r="K18" s="46" t="s">
        <v>232</v>
      </c>
      <c r="L18" s="46" t="s">
        <v>232</v>
      </c>
      <c r="M18" s="46">
        <f>'SL-Eq'!H18</f>
        <v>350000</v>
      </c>
      <c r="N18" s="46" t="str">
        <f>'SL-Eq'!I18</f>
        <v>na</v>
      </c>
      <c r="O18" s="46">
        <f t="shared" si="15"/>
        <v>350000</v>
      </c>
      <c r="P18" s="1855" t="s">
        <v>232</v>
      </c>
      <c r="Q18" s="1330" t="s">
        <v>232</v>
      </c>
      <c r="S18" s="1064"/>
    </row>
    <row r="19" spans="1:19" ht="13.9" customHeight="1" x14ac:dyDescent="0.2">
      <c r="A19" s="1321">
        <f>Chem!A19</f>
        <v>17</v>
      </c>
      <c r="B19" s="857" t="str">
        <f>Chem!B19</f>
        <v>Sulfate</v>
      </c>
      <c r="C19" s="343" t="str">
        <f>'SL-Eq'!F19</f>
        <v>na</v>
      </c>
      <c r="D19" s="343" t="str">
        <f>'SL-Eq'!G19</f>
        <v>na</v>
      </c>
      <c r="E19" s="343" t="str">
        <f t="shared" si="12"/>
        <v>na</v>
      </c>
      <c r="F19" s="221" t="s">
        <v>232</v>
      </c>
      <c r="G19" s="221" t="s">
        <v>232</v>
      </c>
      <c r="H19" s="221" t="s">
        <v>232</v>
      </c>
      <c r="I19" s="221" t="str">
        <f t="shared" si="13"/>
        <v>na</v>
      </c>
      <c r="J19" s="1329" t="str">
        <f t="shared" si="14"/>
        <v>na</v>
      </c>
      <c r="K19" s="1329" t="s">
        <v>232</v>
      </c>
      <c r="L19" s="1329" t="s">
        <v>232</v>
      </c>
      <c r="M19" s="1329" t="str">
        <f>'SL-Eq'!H19</f>
        <v>na</v>
      </c>
      <c r="N19" s="1329" t="str">
        <f>'SL-Eq'!I19</f>
        <v>na</v>
      </c>
      <c r="O19" s="1329" t="str">
        <f t="shared" si="15"/>
        <v>na</v>
      </c>
      <c r="P19" s="1780" t="s">
        <v>232</v>
      </c>
      <c r="Q19" s="1330" t="s">
        <v>232</v>
      </c>
      <c r="S19" s="1064"/>
    </row>
    <row r="20" spans="1:19" ht="13.9" customHeight="1" x14ac:dyDescent="0.2">
      <c r="A20" s="1322">
        <f>Chem!A20</f>
        <v>18</v>
      </c>
      <c r="B20" s="879" t="str">
        <f>Chem!B20</f>
        <v>Sulfide</v>
      </c>
      <c r="C20" s="533" t="str">
        <f>'SL-Eq'!F20</f>
        <v>na</v>
      </c>
      <c r="D20" s="533" t="str">
        <f>'SL-Eq'!G20</f>
        <v>na</v>
      </c>
      <c r="E20" s="533" t="str">
        <f t="shared" ref="E20" si="20">IF(D20="na",IF(C20="na","na",C20),MIN(C20:D20))</f>
        <v>na</v>
      </c>
      <c r="F20" s="257" t="s">
        <v>232</v>
      </c>
      <c r="G20" s="257" t="s">
        <v>232</v>
      </c>
      <c r="H20" s="257" t="s">
        <v>232</v>
      </c>
      <c r="I20" s="257" t="str">
        <f t="shared" ref="I20" si="21">IF(MIN(F20:H20)&gt;0,MIN(F20:H20),"na")</f>
        <v>na</v>
      </c>
      <c r="J20" s="123" t="str">
        <f t="shared" ref="J20" si="22">H20</f>
        <v>na</v>
      </c>
      <c r="K20" s="123" t="s">
        <v>232</v>
      </c>
      <c r="L20" s="123" t="s">
        <v>232</v>
      </c>
      <c r="M20" s="123" t="str">
        <f>'SL-Eq'!H20</f>
        <v>na</v>
      </c>
      <c r="N20" s="123" t="str">
        <f>'SL-Eq'!I20</f>
        <v>na</v>
      </c>
      <c r="O20" s="123" t="str">
        <f t="shared" ref="O20" si="23">IF(N20="na",IF(M20="na","na",M20),MIN(M20:N20))</f>
        <v>na</v>
      </c>
      <c r="P20" s="1781" t="s">
        <v>232</v>
      </c>
      <c r="Q20" s="1859" t="s">
        <v>232</v>
      </c>
      <c r="S20" s="1064"/>
    </row>
    <row r="21" spans="1:19" s="252" customFormat="1" ht="13.9" customHeight="1" x14ac:dyDescent="0.25">
      <c r="A21" s="906">
        <f>Chem!A21</f>
        <v>19</v>
      </c>
      <c r="B21" s="850" t="str">
        <f>Chem!B21</f>
        <v>Metals</v>
      </c>
      <c r="C21" s="31"/>
      <c r="D21" s="31"/>
      <c r="E21" s="259"/>
      <c r="F21" s="259"/>
      <c r="G21" s="259"/>
      <c r="H21" s="259"/>
      <c r="I21" s="259"/>
      <c r="J21" s="259"/>
      <c r="K21" s="259"/>
      <c r="L21" s="31"/>
      <c r="M21" s="31"/>
      <c r="N21" s="31"/>
      <c r="O21" s="31"/>
      <c r="P21" s="31"/>
      <c r="Q21" s="648"/>
      <c r="S21" s="1063"/>
    </row>
    <row r="22" spans="1:19" ht="13.9" customHeight="1" x14ac:dyDescent="0.25">
      <c r="A22" s="846">
        <f>Chem!A22</f>
        <v>20</v>
      </c>
      <c r="B22" s="857" t="str">
        <f>Chem!B22</f>
        <v>Aluminum</v>
      </c>
      <c r="C22" s="393">
        <f>'SL-Eq'!F22</f>
        <v>80000</v>
      </c>
      <c r="D22" s="535" t="str">
        <f>'SL-Eq'!G22</f>
        <v>na</v>
      </c>
      <c r="E22" s="531">
        <f t="shared" ref="E22:E45" si="24">IF(D22="na",IF(C22="na","na",C22),MIN(C22:D22))</f>
        <v>80000</v>
      </c>
      <c r="F22" s="270">
        <v>50</v>
      </c>
      <c r="G22" s="270" t="s">
        <v>232</v>
      </c>
      <c r="H22" s="270" t="s">
        <v>232</v>
      </c>
      <c r="I22" s="270">
        <f t="shared" ref="I22:I45" si="25">IF(MIN(F22:H22)&gt;0,MIN(F22:H22),"na")</f>
        <v>50</v>
      </c>
      <c r="J22" s="46" t="str">
        <f t="shared" ref="J22:J45" si="26">H22</f>
        <v>na</v>
      </c>
      <c r="K22" s="46" t="s">
        <v>232</v>
      </c>
      <c r="L22" s="46" t="s">
        <v>232</v>
      </c>
      <c r="M22" s="46">
        <f>'SL-Eq'!H22</f>
        <v>3500000</v>
      </c>
      <c r="N22" s="46" t="str">
        <f>'SL-Eq'!I22</f>
        <v>na</v>
      </c>
      <c r="O22" s="46">
        <f t="shared" ref="O22:O45" si="27">IF(N22="na",IF(M22="na","na",M22),MIN(M22:N22))</f>
        <v>3500000</v>
      </c>
      <c r="P22" s="1855" t="s">
        <v>232</v>
      </c>
      <c r="Q22" s="544" t="s">
        <v>232</v>
      </c>
      <c r="S22" s="1062"/>
    </row>
    <row r="23" spans="1:19" ht="13.9" customHeight="1" x14ac:dyDescent="0.25">
      <c r="A23" s="847">
        <f>Chem!A23</f>
        <v>21</v>
      </c>
      <c r="B23" s="857" t="str">
        <f>Chem!B23</f>
        <v>Antimony</v>
      </c>
      <c r="C23" s="343">
        <f>'SL-Eq'!F23</f>
        <v>32</v>
      </c>
      <c r="D23" s="535" t="str">
        <f>'SL-Eq'!G23</f>
        <v>na</v>
      </c>
      <c r="E23" s="531">
        <f t="shared" si="24"/>
        <v>32</v>
      </c>
      <c r="F23" s="270">
        <v>5</v>
      </c>
      <c r="G23" s="270" t="s">
        <v>232</v>
      </c>
      <c r="H23" s="270" t="s">
        <v>232</v>
      </c>
      <c r="I23" s="270">
        <f t="shared" si="25"/>
        <v>5</v>
      </c>
      <c r="J23" s="46" t="str">
        <f t="shared" si="26"/>
        <v>na</v>
      </c>
      <c r="K23" s="46" t="s">
        <v>232</v>
      </c>
      <c r="L23" s="46" t="s">
        <v>232</v>
      </c>
      <c r="M23" s="46">
        <f>'SL-Eq'!H23</f>
        <v>1400</v>
      </c>
      <c r="N23" s="46" t="str">
        <f>'SL-Eq'!I23</f>
        <v>na</v>
      </c>
      <c r="O23" s="46">
        <f t="shared" si="27"/>
        <v>1400</v>
      </c>
      <c r="P23" s="1855" t="s">
        <v>232</v>
      </c>
      <c r="Q23" s="1330" t="s">
        <v>232</v>
      </c>
      <c r="S23" s="1062"/>
    </row>
    <row r="24" spans="1:19" ht="13.9" customHeight="1" x14ac:dyDescent="0.25">
      <c r="A24" s="847">
        <f>Chem!A24</f>
        <v>22</v>
      </c>
      <c r="B24" s="857" t="str">
        <f>Chem!B24</f>
        <v>Arsenic</v>
      </c>
      <c r="C24" s="343">
        <f>'SL-Eq'!F24</f>
        <v>4.8</v>
      </c>
      <c r="D24" s="535">
        <f>'SL-Eq'!G24</f>
        <v>3.125E-2</v>
      </c>
      <c r="E24" s="531">
        <f t="shared" si="24"/>
        <v>3.125E-2</v>
      </c>
      <c r="F24" s="270">
        <v>10</v>
      </c>
      <c r="G24" s="270">
        <v>60</v>
      </c>
      <c r="H24" s="270">
        <v>132</v>
      </c>
      <c r="I24" s="270">
        <f t="shared" si="25"/>
        <v>10</v>
      </c>
      <c r="J24" s="46">
        <f t="shared" si="26"/>
        <v>132</v>
      </c>
      <c r="K24" s="46">
        <v>20</v>
      </c>
      <c r="L24" s="45">
        <v>20</v>
      </c>
      <c r="M24" s="46">
        <f>'SL-Eq'!H24</f>
        <v>210</v>
      </c>
      <c r="N24" s="46">
        <f>'SL-Eq'!I24</f>
        <v>4.1015625000000009</v>
      </c>
      <c r="O24" s="46">
        <f t="shared" si="27"/>
        <v>4.1015625000000009</v>
      </c>
      <c r="P24" s="1855" t="s">
        <v>232</v>
      </c>
      <c r="Q24" s="1330" t="s">
        <v>232</v>
      </c>
      <c r="S24" s="1062"/>
    </row>
    <row r="25" spans="1:19" ht="13.9" customHeight="1" x14ac:dyDescent="0.25">
      <c r="A25" s="847">
        <f>Chem!A25</f>
        <v>23</v>
      </c>
      <c r="B25" s="857" t="str">
        <f>Chem!B25</f>
        <v>Barium</v>
      </c>
      <c r="C25" s="343">
        <f>'SL-Eq'!F25</f>
        <v>16000</v>
      </c>
      <c r="D25" s="535" t="str">
        <f>'SL-Eq'!G25</f>
        <v>na</v>
      </c>
      <c r="E25" s="531">
        <f t="shared" si="24"/>
        <v>16000</v>
      </c>
      <c r="F25" s="270">
        <v>500</v>
      </c>
      <c r="G25" s="270" t="s">
        <v>232</v>
      </c>
      <c r="H25" s="270">
        <v>102</v>
      </c>
      <c r="I25" s="270">
        <f t="shared" si="25"/>
        <v>102</v>
      </c>
      <c r="J25" s="46">
        <f t="shared" si="26"/>
        <v>102</v>
      </c>
      <c r="K25" s="46">
        <v>1250</v>
      </c>
      <c r="L25" s="45">
        <v>1320</v>
      </c>
      <c r="M25" s="46">
        <f>'SL-Eq'!H25</f>
        <v>700000</v>
      </c>
      <c r="N25" s="46" t="str">
        <f>'SL-Eq'!I25</f>
        <v>na</v>
      </c>
      <c r="O25" s="46">
        <f t="shared" si="27"/>
        <v>700000</v>
      </c>
      <c r="P25" s="1855" t="s">
        <v>232</v>
      </c>
      <c r="Q25" s="1330" t="s">
        <v>232</v>
      </c>
      <c r="S25" s="1062"/>
    </row>
    <row r="26" spans="1:19" ht="13.9" customHeight="1" x14ac:dyDescent="0.25">
      <c r="A26" s="847">
        <f>Chem!A26</f>
        <v>24</v>
      </c>
      <c r="B26" s="857" t="str">
        <f>Chem!B26</f>
        <v>Beryllium</v>
      </c>
      <c r="C26" s="343">
        <f>'SL-Eq'!F26</f>
        <v>160</v>
      </c>
      <c r="D26" s="535" t="str">
        <f>'SL-Eq'!G26</f>
        <v>na</v>
      </c>
      <c r="E26" s="531">
        <f t="shared" si="24"/>
        <v>160</v>
      </c>
      <c r="F26" s="270">
        <v>10</v>
      </c>
      <c r="G26" s="270" t="s">
        <v>232</v>
      </c>
      <c r="H26" s="270" t="s">
        <v>232</v>
      </c>
      <c r="I26" s="270">
        <f t="shared" si="25"/>
        <v>10</v>
      </c>
      <c r="J26" s="46" t="str">
        <f t="shared" si="26"/>
        <v>na</v>
      </c>
      <c r="K26" s="46">
        <v>25</v>
      </c>
      <c r="L26" s="45" t="s">
        <v>232</v>
      </c>
      <c r="M26" s="46">
        <f>'SL-Eq'!H26</f>
        <v>7000</v>
      </c>
      <c r="N26" s="46" t="str">
        <f>'SL-Eq'!I26</f>
        <v>na</v>
      </c>
      <c r="O26" s="46">
        <f t="shared" si="27"/>
        <v>7000</v>
      </c>
      <c r="P26" s="1855" t="s">
        <v>232</v>
      </c>
      <c r="Q26" s="1330" t="s">
        <v>232</v>
      </c>
      <c r="S26" s="1062"/>
    </row>
    <row r="27" spans="1:19" ht="13.9" customHeight="1" x14ac:dyDescent="0.25">
      <c r="A27" s="847">
        <f>Chem!A27</f>
        <v>25</v>
      </c>
      <c r="B27" s="857" t="str">
        <f>Chem!B27</f>
        <v>Cadmium</v>
      </c>
      <c r="C27" s="343">
        <f>'SL-Eq'!F27</f>
        <v>80</v>
      </c>
      <c r="D27" s="535" t="str">
        <f>'SL-Eq'!G27</f>
        <v>na</v>
      </c>
      <c r="E27" s="531">
        <f t="shared" si="24"/>
        <v>80</v>
      </c>
      <c r="F27" s="270">
        <v>4</v>
      </c>
      <c r="G27" s="270">
        <v>20</v>
      </c>
      <c r="H27" s="270">
        <v>14</v>
      </c>
      <c r="I27" s="270">
        <f t="shared" si="25"/>
        <v>4</v>
      </c>
      <c r="J27" s="46">
        <f t="shared" si="26"/>
        <v>14</v>
      </c>
      <c r="K27" s="46">
        <v>25</v>
      </c>
      <c r="L27" s="45">
        <v>36</v>
      </c>
      <c r="M27" s="46">
        <f>'SL-Eq'!H27</f>
        <v>3500</v>
      </c>
      <c r="N27" s="46" t="str">
        <f>'SL-Eq'!I27</f>
        <v>na</v>
      </c>
      <c r="O27" s="46">
        <f t="shared" si="27"/>
        <v>3500</v>
      </c>
      <c r="P27" s="1855" t="s">
        <v>232</v>
      </c>
      <c r="Q27" s="1330" t="s">
        <v>232</v>
      </c>
      <c r="S27" s="1062"/>
    </row>
    <row r="28" spans="1:19" ht="13.9" customHeight="1" x14ac:dyDescent="0.25">
      <c r="A28" s="847">
        <f>Chem!A28</f>
        <v>26</v>
      </c>
      <c r="B28" s="857" t="str">
        <f>Chem!B28</f>
        <v>Chromium, total</v>
      </c>
      <c r="C28" s="343" t="str">
        <f>'SL-Eq'!F28</f>
        <v>na</v>
      </c>
      <c r="D28" s="535" t="str">
        <f>'SL-Eq'!G28</f>
        <v>na</v>
      </c>
      <c r="E28" s="531" t="str">
        <f t="shared" ref="E28" si="28">IF(D28="na",IF(C28="na","na",C28),MIN(C28:D28))</f>
        <v>na</v>
      </c>
      <c r="F28" s="270">
        <v>42</v>
      </c>
      <c r="G28" s="270">
        <v>42</v>
      </c>
      <c r="H28" s="270">
        <v>67</v>
      </c>
      <c r="I28" s="270">
        <f t="shared" ref="I28" si="29">IF(MIN(F28:H28)&gt;0,MIN(F28:H28),"na")</f>
        <v>42</v>
      </c>
      <c r="J28" s="46">
        <f t="shared" si="26"/>
        <v>67</v>
      </c>
      <c r="K28" s="46">
        <v>42</v>
      </c>
      <c r="L28" s="45">
        <v>135</v>
      </c>
      <c r="M28" s="46" t="str">
        <f>'SL-Eq'!H28</f>
        <v>na</v>
      </c>
      <c r="N28" s="46" t="str">
        <f>'SL-Eq'!I28</f>
        <v>na</v>
      </c>
      <c r="O28" s="46" t="str">
        <f t="shared" ref="O28" si="30">IF(N28="na",IF(M28="na","na",M28),MIN(M28:N28))</f>
        <v>na</v>
      </c>
      <c r="P28" s="1855" t="s">
        <v>232</v>
      </c>
      <c r="Q28" s="1330" t="s">
        <v>232</v>
      </c>
      <c r="S28" s="1062"/>
    </row>
    <row r="29" spans="1:19" ht="13.9" customHeight="1" x14ac:dyDescent="0.25">
      <c r="A29" s="847">
        <f>Chem!A29</f>
        <v>27</v>
      </c>
      <c r="B29" s="857" t="str">
        <f>Chem!B29</f>
        <v>Chromium, trivalent</v>
      </c>
      <c r="C29" s="343">
        <f>'SL-Eq'!F29</f>
        <v>120000</v>
      </c>
      <c r="D29" s="535" t="str">
        <f>'SL-Eq'!G29</f>
        <v>na</v>
      </c>
      <c r="E29" s="531">
        <f t="shared" si="24"/>
        <v>120000</v>
      </c>
      <c r="F29" s="270" t="s">
        <v>232</v>
      </c>
      <c r="G29" s="270" t="s">
        <v>232</v>
      </c>
      <c r="H29" s="270" t="s">
        <v>232</v>
      </c>
      <c r="I29" s="270" t="s">
        <v>232</v>
      </c>
      <c r="J29" s="46" t="str">
        <f t="shared" si="26"/>
        <v>na</v>
      </c>
      <c r="K29" s="46" t="s">
        <v>232</v>
      </c>
      <c r="L29" s="45" t="s">
        <v>232</v>
      </c>
      <c r="M29" s="46">
        <f>'SL-Eq'!H29</f>
        <v>5250000</v>
      </c>
      <c r="N29" s="46" t="str">
        <f>'SL-Eq'!I29</f>
        <v>na</v>
      </c>
      <c r="O29" s="46">
        <f t="shared" si="27"/>
        <v>5250000</v>
      </c>
      <c r="P29" s="1855" t="s">
        <v>232</v>
      </c>
      <c r="Q29" s="1330" t="s">
        <v>232</v>
      </c>
      <c r="S29" s="1062"/>
    </row>
    <row r="30" spans="1:19" ht="13.9" customHeight="1" x14ac:dyDescent="0.25">
      <c r="A30" s="847">
        <f>Chem!A30</f>
        <v>28</v>
      </c>
      <c r="B30" s="857" t="str">
        <f>Chem!B30</f>
        <v>Chromium, hexavalent</v>
      </c>
      <c r="C30" s="343">
        <f>'SL-Eq'!F30</f>
        <v>72</v>
      </c>
      <c r="D30" s="535">
        <f>'SL-Eq'!G30</f>
        <v>1.2</v>
      </c>
      <c r="E30" s="531">
        <f t="shared" si="24"/>
        <v>1.2</v>
      </c>
      <c r="F30" s="270" t="s">
        <v>232</v>
      </c>
      <c r="G30" s="270" t="s">
        <v>232</v>
      </c>
      <c r="H30" s="270" t="s">
        <v>232</v>
      </c>
      <c r="I30" s="270" t="str">
        <f t="shared" si="25"/>
        <v>na</v>
      </c>
      <c r="J30" s="46" t="str">
        <f t="shared" si="26"/>
        <v>na</v>
      </c>
      <c r="K30" s="46" t="s">
        <v>232</v>
      </c>
      <c r="L30" s="46" t="s">
        <v>232</v>
      </c>
      <c r="M30" s="46">
        <f>'SL-Eq'!H30</f>
        <v>3150</v>
      </c>
      <c r="N30" s="46">
        <f>'SL-Eq'!I30</f>
        <v>820.31250000000011</v>
      </c>
      <c r="O30" s="46">
        <f t="shared" si="27"/>
        <v>820.31250000000011</v>
      </c>
      <c r="P30" s="1855" t="s">
        <v>232</v>
      </c>
      <c r="Q30" s="1330" t="s">
        <v>232</v>
      </c>
      <c r="S30" s="1062"/>
    </row>
    <row r="31" spans="1:19" ht="13.9" customHeight="1" x14ac:dyDescent="0.25">
      <c r="A31" s="847">
        <f>Chem!A31</f>
        <v>29</v>
      </c>
      <c r="B31" s="857" t="str">
        <f>Chem!B31</f>
        <v>Cobalt</v>
      </c>
      <c r="C31" s="343">
        <f>'SL-Eq'!F31</f>
        <v>23.999999999999996</v>
      </c>
      <c r="D31" s="535" t="str">
        <f>'SL-Eq'!G31</f>
        <v>na</v>
      </c>
      <c r="E31" s="531">
        <f t="shared" si="24"/>
        <v>23.999999999999996</v>
      </c>
      <c r="F31" s="270">
        <v>20</v>
      </c>
      <c r="G31" s="270" t="s">
        <v>232</v>
      </c>
      <c r="H31" s="270" t="s">
        <v>232</v>
      </c>
      <c r="I31" s="270">
        <f t="shared" si="25"/>
        <v>20</v>
      </c>
      <c r="J31" s="46" t="str">
        <f t="shared" si="26"/>
        <v>na</v>
      </c>
      <c r="K31" s="46" t="s">
        <v>232</v>
      </c>
      <c r="L31" s="46" t="s">
        <v>232</v>
      </c>
      <c r="M31" s="46">
        <f>'SL-Eq'!H31</f>
        <v>1050</v>
      </c>
      <c r="N31" s="46" t="str">
        <f>'SL-Eq'!I31</f>
        <v>na</v>
      </c>
      <c r="O31" s="46">
        <f t="shared" si="27"/>
        <v>1050</v>
      </c>
      <c r="P31" s="1855" t="s">
        <v>232</v>
      </c>
      <c r="Q31" s="1330" t="s">
        <v>232</v>
      </c>
      <c r="S31" s="1062"/>
    </row>
    <row r="32" spans="1:19" ht="13.9" customHeight="1" x14ac:dyDescent="0.25">
      <c r="A32" s="847">
        <f>Chem!A32</f>
        <v>30</v>
      </c>
      <c r="B32" s="857" t="str">
        <f>Chem!B32</f>
        <v>Copper</v>
      </c>
      <c r="C32" s="343">
        <f>'SL-Eq'!F32</f>
        <v>3200</v>
      </c>
      <c r="D32" s="535" t="str">
        <f>'SL-Eq'!G32</f>
        <v>na</v>
      </c>
      <c r="E32" s="531">
        <f t="shared" si="24"/>
        <v>3200</v>
      </c>
      <c r="F32" s="270">
        <v>100</v>
      </c>
      <c r="G32" s="270">
        <v>50</v>
      </c>
      <c r="H32" s="270">
        <v>217</v>
      </c>
      <c r="I32" s="270">
        <f t="shared" si="25"/>
        <v>50</v>
      </c>
      <c r="J32" s="46">
        <f t="shared" si="26"/>
        <v>217</v>
      </c>
      <c r="K32" s="46">
        <v>100</v>
      </c>
      <c r="L32" s="45">
        <v>550</v>
      </c>
      <c r="M32" s="46">
        <f>'SL-Eq'!H32</f>
        <v>140000</v>
      </c>
      <c r="N32" s="46" t="str">
        <f>'SL-Eq'!I32</f>
        <v>na</v>
      </c>
      <c r="O32" s="46">
        <f t="shared" si="27"/>
        <v>140000</v>
      </c>
      <c r="P32" s="1855" t="s">
        <v>232</v>
      </c>
      <c r="Q32" s="1330" t="s">
        <v>232</v>
      </c>
      <c r="S32" s="1062"/>
    </row>
    <row r="33" spans="1:19" ht="13.9" customHeight="1" x14ac:dyDescent="0.25">
      <c r="A33" s="847">
        <f>Chem!A33</f>
        <v>31</v>
      </c>
      <c r="B33" s="857" t="str">
        <f>Chem!B33</f>
        <v>Iron</v>
      </c>
      <c r="C33" s="343">
        <f>'SL-Eq'!F33</f>
        <v>56000</v>
      </c>
      <c r="D33" s="535" t="str">
        <f>'SL-Eq'!G33</f>
        <v>na</v>
      </c>
      <c r="E33" s="531">
        <f t="shared" si="24"/>
        <v>56000</v>
      </c>
      <c r="F33" s="270" t="s">
        <v>232</v>
      </c>
      <c r="G33" s="270" t="s">
        <v>232</v>
      </c>
      <c r="H33" s="270" t="s">
        <v>232</v>
      </c>
      <c r="I33" s="270" t="str">
        <f t="shared" si="25"/>
        <v>na</v>
      </c>
      <c r="J33" s="46" t="str">
        <f t="shared" si="26"/>
        <v>na</v>
      </c>
      <c r="K33" s="46" t="s">
        <v>232</v>
      </c>
      <c r="L33" s="46" t="s">
        <v>232</v>
      </c>
      <c r="M33" s="46">
        <f>'SL-Eq'!H33</f>
        <v>2450000</v>
      </c>
      <c r="N33" s="46" t="str">
        <f>'SL-Eq'!I33</f>
        <v>na</v>
      </c>
      <c r="O33" s="46">
        <f t="shared" si="27"/>
        <v>2450000</v>
      </c>
      <c r="P33" s="1855" t="s">
        <v>232</v>
      </c>
      <c r="Q33" s="1330" t="s">
        <v>232</v>
      </c>
      <c r="S33" s="1062"/>
    </row>
    <row r="34" spans="1:19" ht="13.9" customHeight="1" x14ac:dyDescent="0.25">
      <c r="A34" s="847">
        <f>Chem!A34</f>
        <v>32</v>
      </c>
      <c r="B34" s="857" t="str">
        <f>Chem!B34</f>
        <v>Lead</v>
      </c>
      <c r="C34" s="343" t="str">
        <f>'SL-Eq'!F34</f>
        <v>na</v>
      </c>
      <c r="D34" s="535" t="str">
        <f>'SL-Eq'!G34</f>
        <v>na</v>
      </c>
      <c r="E34" s="531">
        <v>250</v>
      </c>
      <c r="F34" s="270">
        <v>50</v>
      </c>
      <c r="G34" s="270">
        <v>500</v>
      </c>
      <c r="H34" s="270">
        <v>118</v>
      </c>
      <c r="I34" s="270">
        <f t="shared" si="25"/>
        <v>50</v>
      </c>
      <c r="J34" s="46">
        <f t="shared" si="26"/>
        <v>118</v>
      </c>
      <c r="K34" s="46">
        <v>220</v>
      </c>
      <c r="L34" s="45">
        <v>220</v>
      </c>
      <c r="M34" s="46" t="str">
        <f>'SL-Eq'!H34</f>
        <v>na</v>
      </c>
      <c r="N34" s="46" t="str">
        <f>'SL-Eq'!I34</f>
        <v>na</v>
      </c>
      <c r="O34" s="46">
        <v>1000</v>
      </c>
      <c r="P34" s="1855" t="s">
        <v>232</v>
      </c>
      <c r="Q34" s="1330" t="s">
        <v>232</v>
      </c>
      <c r="S34" s="1062"/>
    </row>
    <row r="35" spans="1:19" ht="13.9" customHeight="1" x14ac:dyDescent="0.25">
      <c r="A35" s="847">
        <f>Chem!A35</f>
        <v>33</v>
      </c>
      <c r="B35" s="857" t="str">
        <f>Chem!B35</f>
        <v>Manganese</v>
      </c>
      <c r="C35" s="343">
        <f>'SL-Eq'!F35</f>
        <v>3736</v>
      </c>
      <c r="D35" s="535" t="str">
        <f>'SL-Eq'!G35</f>
        <v>na</v>
      </c>
      <c r="E35" s="531">
        <f t="shared" si="24"/>
        <v>3736</v>
      </c>
      <c r="F35" s="270">
        <v>1100</v>
      </c>
      <c r="G35" s="270" t="s">
        <v>232</v>
      </c>
      <c r="H35" s="270">
        <v>1500</v>
      </c>
      <c r="I35" s="270">
        <f t="shared" si="25"/>
        <v>1100</v>
      </c>
      <c r="J35" s="46">
        <f t="shared" si="26"/>
        <v>1500</v>
      </c>
      <c r="K35" s="46" t="s">
        <v>232</v>
      </c>
      <c r="L35" s="45">
        <v>23500</v>
      </c>
      <c r="M35" s="46">
        <f>'SL-Eq'!H35</f>
        <v>163450</v>
      </c>
      <c r="N35" s="46" t="str">
        <f>'SL-Eq'!I35</f>
        <v>na</v>
      </c>
      <c r="O35" s="46">
        <f t="shared" si="27"/>
        <v>163450</v>
      </c>
      <c r="P35" s="1855" t="s">
        <v>232</v>
      </c>
      <c r="Q35" s="1330" t="s">
        <v>232</v>
      </c>
      <c r="S35" s="1062"/>
    </row>
    <row r="36" spans="1:19" ht="13.9" customHeight="1" x14ac:dyDescent="0.25">
      <c r="A36" s="847">
        <f>Chem!A36</f>
        <v>34</v>
      </c>
      <c r="B36" s="857" t="str">
        <f>Chem!B36</f>
        <v>Mercury, inorganic</v>
      </c>
      <c r="C36" s="343" t="str">
        <f>'SL-Eq'!F36</f>
        <v>na</v>
      </c>
      <c r="D36" s="535" t="str">
        <f>'SL-Eq'!G36</f>
        <v>na</v>
      </c>
      <c r="E36" s="531" t="str">
        <f t="shared" si="24"/>
        <v>na</v>
      </c>
      <c r="F36" s="270">
        <v>0.3</v>
      </c>
      <c r="G36" s="270">
        <v>0.1</v>
      </c>
      <c r="H36" s="270">
        <v>5.5</v>
      </c>
      <c r="I36" s="270">
        <f t="shared" si="25"/>
        <v>0.1</v>
      </c>
      <c r="J36" s="46">
        <f t="shared" si="26"/>
        <v>5.5</v>
      </c>
      <c r="K36" s="46">
        <v>9</v>
      </c>
      <c r="L36" s="45">
        <v>9</v>
      </c>
      <c r="M36" s="46" t="str">
        <f>'SL-Eq'!H36</f>
        <v>na</v>
      </c>
      <c r="N36" s="46" t="str">
        <f>'SL-Eq'!I36</f>
        <v>na</v>
      </c>
      <c r="O36" s="46" t="str">
        <f t="shared" si="27"/>
        <v>na</v>
      </c>
      <c r="P36" s="1855" t="s">
        <v>232</v>
      </c>
      <c r="Q36" s="1330" t="s">
        <v>232</v>
      </c>
      <c r="S36" s="1062"/>
    </row>
    <row r="37" spans="1:19" ht="13.9" customHeight="1" x14ac:dyDescent="0.25">
      <c r="A37" s="847">
        <f>Chem!A37</f>
        <v>35</v>
      </c>
      <c r="B37" s="857" t="str">
        <f>Chem!B37</f>
        <v>Methylmercury</v>
      </c>
      <c r="C37" s="343">
        <f>'SL-Eq'!F37</f>
        <v>8</v>
      </c>
      <c r="D37" s="535" t="str">
        <f>'SL-Eq'!G37</f>
        <v>na</v>
      </c>
      <c r="E37" s="531">
        <f t="shared" si="24"/>
        <v>8</v>
      </c>
      <c r="F37" s="270" t="s">
        <v>232</v>
      </c>
      <c r="G37" s="270" t="s">
        <v>232</v>
      </c>
      <c r="H37" s="270">
        <v>0.4</v>
      </c>
      <c r="I37" s="270">
        <f t="shared" si="25"/>
        <v>0.4</v>
      </c>
      <c r="J37" s="46">
        <f t="shared" si="26"/>
        <v>0.4</v>
      </c>
      <c r="K37" s="46">
        <v>0.7</v>
      </c>
      <c r="L37" s="45">
        <v>0.7</v>
      </c>
      <c r="M37" s="46">
        <f>'SL-Eq'!H37</f>
        <v>350</v>
      </c>
      <c r="N37" s="46" t="str">
        <f>'SL-Eq'!I37</f>
        <v>na</v>
      </c>
      <c r="O37" s="46">
        <f t="shared" si="27"/>
        <v>350</v>
      </c>
      <c r="P37" s="1855" t="s">
        <v>232</v>
      </c>
      <c r="Q37" s="1330" t="s">
        <v>232</v>
      </c>
      <c r="S37" s="1062"/>
    </row>
    <row r="38" spans="1:19" ht="13.9" customHeight="1" x14ac:dyDescent="0.25">
      <c r="A38" s="847">
        <f>Chem!A38</f>
        <v>36</v>
      </c>
      <c r="B38" s="857" t="str">
        <f>Chem!B38</f>
        <v>Molybdenum</v>
      </c>
      <c r="C38" s="343">
        <f>'SL-Eq'!F38</f>
        <v>400</v>
      </c>
      <c r="D38" s="535" t="str">
        <f>'SL-Eq'!G38</f>
        <v>na</v>
      </c>
      <c r="E38" s="531">
        <f t="shared" si="24"/>
        <v>400</v>
      </c>
      <c r="F38" s="270">
        <v>2</v>
      </c>
      <c r="G38" s="270" t="s">
        <v>232</v>
      </c>
      <c r="H38" s="270">
        <v>7</v>
      </c>
      <c r="I38" s="270">
        <f t="shared" si="25"/>
        <v>2</v>
      </c>
      <c r="J38" s="46">
        <f t="shared" si="26"/>
        <v>7</v>
      </c>
      <c r="K38" s="46" t="s">
        <v>232</v>
      </c>
      <c r="L38" s="45">
        <v>71</v>
      </c>
      <c r="M38" s="46">
        <f>'SL-Eq'!H38</f>
        <v>17500</v>
      </c>
      <c r="N38" s="46" t="str">
        <f>'SL-Eq'!I38</f>
        <v>na</v>
      </c>
      <c r="O38" s="46">
        <f t="shared" si="27"/>
        <v>17500</v>
      </c>
      <c r="P38" s="1855" t="s">
        <v>232</v>
      </c>
      <c r="Q38" s="1330" t="s">
        <v>232</v>
      </c>
      <c r="S38" s="1062"/>
    </row>
    <row r="39" spans="1:19" ht="13.9" customHeight="1" x14ac:dyDescent="0.25">
      <c r="A39" s="847">
        <f>Chem!A39</f>
        <v>37</v>
      </c>
      <c r="B39" s="857" t="str">
        <f>Chem!B39</f>
        <v>Nickel</v>
      </c>
      <c r="C39" s="343">
        <f>'SL-Eq'!F39</f>
        <v>1600</v>
      </c>
      <c r="D39" s="535" t="str">
        <f>'SL-Eq'!G39</f>
        <v>na</v>
      </c>
      <c r="E39" s="531">
        <f t="shared" si="24"/>
        <v>1600</v>
      </c>
      <c r="F39" s="270">
        <v>30</v>
      </c>
      <c r="G39" s="270">
        <v>200</v>
      </c>
      <c r="H39" s="270">
        <v>980</v>
      </c>
      <c r="I39" s="270">
        <f t="shared" si="25"/>
        <v>30</v>
      </c>
      <c r="J39" s="46">
        <f t="shared" si="26"/>
        <v>980</v>
      </c>
      <c r="K39" s="46">
        <v>100</v>
      </c>
      <c r="L39" s="45">
        <v>1850</v>
      </c>
      <c r="M39" s="46">
        <f>'SL-Eq'!H39</f>
        <v>70000</v>
      </c>
      <c r="N39" s="46" t="str">
        <f>'SL-Eq'!I39</f>
        <v>na</v>
      </c>
      <c r="O39" s="46">
        <f t="shared" si="27"/>
        <v>70000</v>
      </c>
      <c r="P39" s="1855" t="s">
        <v>232</v>
      </c>
      <c r="Q39" s="1330" t="s">
        <v>232</v>
      </c>
      <c r="S39" s="1062"/>
    </row>
    <row r="40" spans="1:19" ht="13.9" customHeight="1" x14ac:dyDescent="0.25">
      <c r="A40" s="847">
        <f>Chem!A40</f>
        <v>38</v>
      </c>
      <c r="B40" s="857" t="str">
        <f>Chem!B40</f>
        <v>Selenium</v>
      </c>
      <c r="C40" s="343">
        <f>'SL-Eq'!F40</f>
        <v>400</v>
      </c>
      <c r="D40" s="535" t="str">
        <f>'SL-Eq'!G40</f>
        <v>na</v>
      </c>
      <c r="E40" s="531">
        <f t="shared" si="24"/>
        <v>400</v>
      </c>
      <c r="F40" s="270">
        <v>1</v>
      </c>
      <c r="G40" s="270">
        <v>70</v>
      </c>
      <c r="H40" s="270">
        <v>0.3</v>
      </c>
      <c r="I40" s="270">
        <f t="shared" si="25"/>
        <v>0.3</v>
      </c>
      <c r="J40" s="46">
        <f t="shared" si="26"/>
        <v>0.3</v>
      </c>
      <c r="K40" s="46">
        <v>0.8</v>
      </c>
      <c r="L40" s="45">
        <v>0.8</v>
      </c>
      <c r="M40" s="46">
        <f>'SL-Eq'!H40</f>
        <v>17500</v>
      </c>
      <c r="N40" s="46" t="str">
        <f>'SL-Eq'!I40</f>
        <v>na</v>
      </c>
      <c r="O40" s="46">
        <f t="shared" si="27"/>
        <v>17500</v>
      </c>
      <c r="P40" s="1855" t="s">
        <v>232</v>
      </c>
      <c r="Q40" s="1330" t="s">
        <v>232</v>
      </c>
      <c r="S40" s="1062"/>
    </row>
    <row r="41" spans="1:19" ht="13.9" customHeight="1" x14ac:dyDescent="0.25">
      <c r="A41" s="847">
        <f>Chem!A41</f>
        <v>39</v>
      </c>
      <c r="B41" s="857" t="str">
        <f>Chem!B41</f>
        <v>Silver</v>
      </c>
      <c r="C41" s="343">
        <f>'SL-Eq'!F41</f>
        <v>400</v>
      </c>
      <c r="D41" s="535" t="str">
        <f>'SL-Eq'!G41</f>
        <v>na</v>
      </c>
      <c r="E41" s="531">
        <f t="shared" si="24"/>
        <v>400</v>
      </c>
      <c r="F41" s="270">
        <v>2</v>
      </c>
      <c r="G41" s="270" t="s">
        <v>232</v>
      </c>
      <c r="H41" s="270" t="s">
        <v>232</v>
      </c>
      <c r="I41" s="270">
        <f t="shared" si="25"/>
        <v>2</v>
      </c>
      <c r="J41" s="46" t="str">
        <f t="shared" si="26"/>
        <v>na</v>
      </c>
      <c r="K41" s="46" t="s">
        <v>232</v>
      </c>
      <c r="L41" s="46" t="s">
        <v>232</v>
      </c>
      <c r="M41" s="46">
        <f>'SL-Eq'!H41</f>
        <v>17500</v>
      </c>
      <c r="N41" s="46" t="str">
        <f>'SL-Eq'!I41</f>
        <v>na</v>
      </c>
      <c r="O41" s="46">
        <f t="shared" si="27"/>
        <v>17500</v>
      </c>
      <c r="P41" s="1855" t="s">
        <v>232</v>
      </c>
      <c r="Q41" s="1330" t="s">
        <v>232</v>
      </c>
      <c r="S41" s="1062"/>
    </row>
    <row r="42" spans="1:19" ht="13.9" customHeight="1" x14ac:dyDescent="0.25">
      <c r="A42" s="847">
        <f>Chem!A42</f>
        <v>40</v>
      </c>
      <c r="B42" s="857" t="str">
        <f>Chem!B42</f>
        <v>Thallium</v>
      </c>
      <c r="C42" s="343">
        <f>'SL-Eq'!F42</f>
        <v>0.8</v>
      </c>
      <c r="D42" s="535" t="str">
        <f>'SL-Eq'!G42</f>
        <v>na</v>
      </c>
      <c r="E42" s="531">
        <f t="shared" si="24"/>
        <v>0.8</v>
      </c>
      <c r="F42" s="270">
        <v>1</v>
      </c>
      <c r="G42" s="270" t="s">
        <v>232</v>
      </c>
      <c r="H42" s="270" t="s">
        <v>232</v>
      </c>
      <c r="I42" s="270">
        <f t="shared" si="25"/>
        <v>1</v>
      </c>
      <c r="J42" s="46" t="str">
        <f t="shared" si="26"/>
        <v>na</v>
      </c>
      <c r="K42" s="46" t="s">
        <v>232</v>
      </c>
      <c r="L42" s="46" t="s">
        <v>232</v>
      </c>
      <c r="M42" s="46">
        <f>'SL-Eq'!H42</f>
        <v>35</v>
      </c>
      <c r="N42" s="46" t="str">
        <f>'SL-Eq'!I42</f>
        <v>na</v>
      </c>
      <c r="O42" s="46">
        <f t="shared" si="27"/>
        <v>35</v>
      </c>
      <c r="P42" s="1855" t="s">
        <v>232</v>
      </c>
      <c r="Q42" s="1330" t="s">
        <v>232</v>
      </c>
      <c r="S42" s="1062"/>
    </row>
    <row r="43" spans="1:19" ht="13.9" customHeight="1" x14ac:dyDescent="0.25">
      <c r="A43" s="847">
        <f>Chem!A43</f>
        <v>41</v>
      </c>
      <c r="B43" s="857" t="str">
        <f>Chem!B43</f>
        <v>Tin</v>
      </c>
      <c r="C43" s="343">
        <f>'SL-Eq'!F43</f>
        <v>48000</v>
      </c>
      <c r="D43" s="535" t="str">
        <f>'SL-Eq'!G43</f>
        <v>na</v>
      </c>
      <c r="E43" s="531">
        <f t="shared" si="24"/>
        <v>48000</v>
      </c>
      <c r="F43" s="270">
        <v>50</v>
      </c>
      <c r="G43" s="270" t="s">
        <v>232</v>
      </c>
      <c r="H43" s="270" t="s">
        <v>232</v>
      </c>
      <c r="I43" s="270">
        <f t="shared" si="25"/>
        <v>50</v>
      </c>
      <c r="J43" s="46" t="str">
        <f t="shared" si="26"/>
        <v>na</v>
      </c>
      <c r="K43" s="46">
        <v>275</v>
      </c>
      <c r="L43" s="46" t="s">
        <v>232</v>
      </c>
      <c r="M43" s="46">
        <f>'SL-Eq'!H43</f>
        <v>2100000</v>
      </c>
      <c r="N43" s="46" t="str">
        <f>'SL-Eq'!I43</f>
        <v>na</v>
      </c>
      <c r="O43" s="46">
        <f t="shared" si="27"/>
        <v>2100000</v>
      </c>
      <c r="P43" s="1855" t="s">
        <v>232</v>
      </c>
      <c r="Q43" s="1330" t="s">
        <v>232</v>
      </c>
      <c r="S43" s="1062"/>
    </row>
    <row r="44" spans="1:19" ht="13.9" customHeight="1" x14ac:dyDescent="0.25">
      <c r="A44" s="847">
        <f>Chem!A44</f>
        <v>42</v>
      </c>
      <c r="B44" s="858" t="str">
        <f>Chem!B44</f>
        <v>Vanadium</v>
      </c>
      <c r="C44" s="532">
        <f>'SL-Eq'!F44</f>
        <v>400</v>
      </c>
      <c r="D44" s="530" t="str">
        <f>'SL-Eq'!G44</f>
        <v>na</v>
      </c>
      <c r="E44" s="531">
        <f t="shared" si="24"/>
        <v>400</v>
      </c>
      <c r="F44" s="270">
        <v>2</v>
      </c>
      <c r="G44" s="270" t="s">
        <v>232</v>
      </c>
      <c r="H44" s="270" t="s">
        <v>232</v>
      </c>
      <c r="I44" s="270">
        <f t="shared" si="25"/>
        <v>2</v>
      </c>
      <c r="J44" s="46" t="str">
        <f t="shared" si="26"/>
        <v>na</v>
      </c>
      <c r="K44" s="46">
        <v>26</v>
      </c>
      <c r="L44" s="46" t="s">
        <v>232</v>
      </c>
      <c r="M44" s="46">
        <f>'SL-Eq'!H44</f>
        <v>17500</v>
      </c>
      <c r="N44" s="46" t="str">
        <f>'SL-Eq'!I44</f>
        <v>na</v>
      </c>
      <c r="O44" s="46">
        <f t="shared" si="27"/>
        <v>17500</v>
      </c>
      <c r="P44" s="1855" t="s">
        <v>232</v>
      </c>
      <c r="Q44" s="1330" t="s">
        <v>232</v>
      </c>
      <c r="S44" s="1062"/>
    </row>
    <row r="45" spans="1:19" ht="13.9" customHeight="1" x14ac:dyDescent="0.25">
      <c r="A45" s="844">
        <f>Chem!A45</f>
        <v>43</v>
      </c>
      <c r="B45" s="858" t="str">
        <f>Chem!B45</f>
        <v>Zinc</v>
      </c>
      <c r="C45" s="533">
        <f>'SL-Eq'!F45</f>
        <v>24000</v>
      </c>
      <c r="D45" s="530" t="str">
        <f>'SL-Eq'!G45</f>
        <v>na</v>
      </c>
      <c r="E45" s="531">
        <f t="shared" si="24"/>
        <v>24000</v>
      </c>
      <c r="F45" s="967">
        <v>86</v>
      </c>
      <c r="G45" s="967">
        <v>200</v>
      </c>
      <c r="H45" s="967">
        <v>360</v>
      </c>
      <c r="I45" s="967">
        <f t="shared" si="25"/>
        <v>86</v>
      </c>
      <c r="J45" s="84">
        <f t="shared" si="26"/>
        <v>360</v>
      </c>
      <c r="K45" s="84">
        <v>270</v>
      </c>
      <c r="L45" s="47">
        <v>570</v>
      </c>
      <c r="M45" s="84">
        <f>'SL-Eq'!H45</f>
        <v>1050000</v>
      </c>
      <c r="N45" s="84" t="str">
        <f>'SL-Eq'!I45</f>
        <v>na</v>
      </c>
      <c r="O45" s="84">
        <f t="shared" si="27"/>
        <v>1050000</v>
      </c>
      <c r="P45" s="1855" t="s">
        <v>232</v>
      </c>
      <c r="Q45" s="1859" t="s">
        <v>232</v>
      </c>
      <c r="S45" s="1062"/>
    </row>
    <row r="46" spans="1:19" s="252" customFormat="1" ht="13.9" customHeight="1" x14ac:dyDescent="0.25">
      <c r="A46" s="906">
        <f>Chem!A46</f>
        <v>44</v>
      </c>
      <c r="B46" s="850" t="str">
        <f>Chem!B46</f>
        <v>Metals - Butyltins</v>
      </c>
      <c r="C46" s="31"/>
      <c r="D46" s="31"/>
      <c r="E46" s="259"/>
      <c r="F46" s="259"/>
      <c r="G46" s="259"/>
      <c r="H46" s="259"/>
      <c r="I46" s="259"/>
      <c r="J46" s="259"/>
      <c r="K46" s="259"/>
      <c r="L46" s="31"/>
      <c r="M46" s="31"/>
      <c r="N46" s="31"/>
      <c r="O46" s="31"/>
      <c r="P46" s="31"/>
      <c r="Q46" s="648"/>
      <c r="S46" s="1063"/>
    </row>
    <row r="47" spans="1:19" ht="13.9" customHeight="1" x14ac:dyDescent="0.25">
      <c r="A47" s="847">
        <f>Chem!A47</f>
        <v>45</v>
      </c>
      <c r="B47" s="855" t="str">
        <f>Chem!B47</f>
        <v>Monobutyltin</v>
      </c>
      <c r="C47" s="393" t="str">
        <f>'SL-Eq'!F47</f>
        <v>na</v>
      </c>
      <c r="D47" s="535" t="str">
        <f>'SL-Eq'!G47</f>
        <v>na</v>
      </c>
      <c r="E47" s="531" t="str">
        <f>IF(D47="na",IF(C47="na","na",C47),MIN(C47:D47))</f>
        <v>na</v>
      </c>
      <c r="F47" s="270" t="s">
        <v>232</v>
      </c>
      <c r="G47" s="270" t="s">
        <v>232</v>
      </c>
      <c r="H47" s="270" t="s">
        <v>232</v>
      </c>
      <c r="I47" s="270" t="str">
        <f t="shared" ref="I47:I51" si="31">IF(MIN(F47:H47)&gt;0,MIN(F47:H47),"na")</f>
        <v>na</v>
      </c>
      <c r="J47" s="46" t="str">
        <f t="shared" ref="J47:J51" si="32">H47</f>
        <v>na</v>
      </c>
      <c r="K47" s="46" t="s">
        <v>232</v>
      </c>
      <c r="L47" s="46" t="s">
        <v>232</v>
      </c>
      <c r="M47" s="46" t="str">
        <f>'SL-Eq'!H47</f>
        <v>na</v>
      </c>
      <c r="N47" s="46" t="str">
        <f>'SL-Eq'!I47</f>
        <v>na</v>
      </c>
      <c r="O47" s="46" t="str">
        <f>IF(N47="na",IF(M47="na","na",M47),MIN(M47:N47))</f>
        <v>na</v>
      </c>
      <c r="P47" s="1855" t="s">
        <v>232</v>
      </c>
      <c r="Q47" s="544" t="s">
        <v>232</v>
      </c>
      <c r="S47" s="1062"/>
    </row>
    <row r="48" spans="1:19" ht="13.9" customHeight="1" x14ac:dyDescent="0.25">
      <c r="A48" s="847">
        <f>Chem!A48</f>
        <v>46</v>
      </c>
      <c r="B48" s="855" t="str">
        <f>Chem!B48</f>
        <v>Dibutyltin</v>
      </c>
      <c r="C48" s="343" t="str">
        <f>'SL-Eq'!F48</f>
        <v>na</v>
      </c>
      <c r="D48" s="535" t="str">
        <f>'SL-Eq'!G48</f>
        <v>na</v>
      </c>
      <c r="E48" s="531" t="str">
        <f>IF(D48="na",IF(C48="na","na",C48),MIN(C48:D48))</f>
        <v>na</v>
      </c>
      <c r="F48" s="270" t="s">
        <v>232</v>
      </c>
      <c r="G48" s="270" t="s">
        <v>232</v>
      </c>
      <c r="H48" s="270" t="s">
        <v>232</v>
      </c>
      <c r="I48" s="270" t="str">
        <f t="shared" si="31"/>
        <v>na</v>
      </c>
      <c r="J48" s="46" t="str">
        <f t="shared" si="32"/>
        <v>na</v>
      </c>
      <c r="K48" s="46" t="s">
        <v>232</v>
      </c>
      <c r="L48" s="46" t="s">
        <v>232</v>
      </c>
      <c r="M48" s="46" t="str">
        <f>'SL-Eq'!H48</f>
        <v>na</v>
      </c>
      <c r="N48" s="46" t="str">
        <f>'SL-Eq'!I48</f>
        <v>na</v>
      </c>
      <c r="O48" s="46" t="str">
        <f>IF(N48="na",IF(M48="na","na",M48),MIN(M48:N48))</f>
        <v>na</v>
      </c>
      <c r="P48" s="1855" t="s">
        <v>232</v>
      </c>
      <c r="Q48" s="1330" t="s">
        <v>232</v>
      </c>
      <c r="S48" s="1062"/>
    </row>
    <row r="49" spans="1:19" ht="13.9" customHeight="1" x14ac:dyDescent="0.25">
      <c r="A49" s="847">
        <f>Chem!A49</f>
        <v>47</v>
      </c>
      <c r="B49" s="855" t="str">
        <f>Chem!B49</f>
        <v>Tributyl tin</v>
      </c>
      <c r="C49" s="343" t="str">
        <f>'SL-Eq'!F49</f>
        <v>na</v>
      </c>
      <c r="D49" s="535" t="str">
        <f>'SL-Eq'!G49</f>
        <v>na</v>
      </c>
      <c r="E49" s="531" t="str">
        <f>IF(D49="na",IF(C49="na","na",C49),MIN(C49:D49))</f>
        <v>na</v>
      </c>
      <c r="F49" s="270" t="s">
        <v>232</v>
      </c>
      <c r="G49" s="270" t="s">
        <v>232</v>
      </c>
      <c r="H49" s="270" t="s">
        <v>232</v>
      </c>
      <c r="I49" s="270" t="str">
        <f t="shared" ref="I49" si="33">IF(MIN(F49:H49)&gt;0,MIN(F49:H49),"na")</f>
        <v>na</v>
      </c>
      <c r="J49" s="46" t="str">
        <f t="shared" ref="J49" si="34">H49</f>
        <v>na</v>
      </c>
      <c r="K49" s="46" t="s">
        <v>232</v>
      </c>
      <c r="L49" s="46" t="s">
        <v>232</v>
      </c>
      <c r="M49" s="46" t="str">
        <f>'SL-Eq'!H49</f>
        <v>na</v>
      </c>
      <c r="N49" s="46" t="str">
        <f>'SL-Eq'!I49</f>
        <v>na</v>
      </c>
      <c r="O49" s="46" t="str">
        <f>IF(N49="na",IF(M49="na","na",M49),MIN(M49:N49))</f>
        <v>na</v>
      </c>
      <c r="P49" s="1855" t="s">
        <v>232</v>
      </c>
      <c r="Q49" s="1330" t="s">
        <v>232</v>
      </c>
      <c r="S49" s="1062"/>
    </row>
    <row r="50" spans="1:19" ht="13.9" customHeight="1" x14ac:dyDescent="0.25">
      <c r="A50" s="847">
        <f>Chem!A50</f>
        <v>48</v>
      </c>
      <c r="B50" s="857" t="str">
        <f>Chem!B50</f>
        <v>Tributyltin oxide</v>
      </c>
      <c r="C50" s="343">
        <f>'SL-Eq'!F50</f>
        <v>23.999999999999996</v>
      </c>
      <c r="D50" s="535" t="str">
        <f>'SL-Eq'!G50</f>
        <v>na</v>
      </c>
      <c r="E50" s="531">
        <f>IF(D50="na",IF(C50="na","na",C50),MIN(C50:D50))</f>
        <v>23.999999999999996</v>
      </c>
      <c r="F50" s="270" t="s">
        <v>232</v>
      </c>
      <c r="G50" s="270" t="s">
        <v>232</v>
      </c>
      <c r="H50" s="270" t="s">
        <v>232</v>
      </c>
      <c r="I50" s="270" t="str">
        <f t="shared" si="31"/>
        <v>na</v>
      </c>
      <c r="J50" s="46" t="str">
        <f t="shared" si="32"/>
        <v>na</v>
      </c>
      <c r="K50" s="46" t="s">
        <v>232</v>
      </c>
      <c r="L50" s="46" t="s">
        <v>232</v>
      </c>
      <c r="M50" s="46">
        <f>'SL-Eq'!H50</f>
        <v>1050</v>
      </c>
      <c r="N50" s="46" t="str">
        <f>'SL-Eq'!I50</f>
        <v>na</v>
      </c>
      <c r="O50" s="46">
        <f>IF(N50="na",IF(M50="na","na",M50),MIN(M50:N50))</f>
        <v>1050</v>
      </c>
      <c r="P50" s="1855" t="s">
        <v>232</v>
      </c>
      <c r="Q50" s="1330" t="s">
        <v>232</v>
      </c>
      <c r="S50" s="1062"/>
    </row>
    <row r="51" spans="1:19" ht="13.9" customHeight="1" x14ac:dyDescent="0.25">
      <c r="A51" s="847">
        <f>Chem!A51</f>
        <v>49</v>
      </c>
      <c r="B51" s="859" t="str">
        <f>Chem!B51</f>
        <v>Tetrabutyltin</v>
      </c>
      <c r="C51" s="533" t="str">
        <f>'SL-Eq'!F51</f>
        <v>na</v>
      </c>
      <c r="D51" s="530" t="str">
        <f>'SL-Eq'!G51</f>
        <v>na</v>
      </c>
      <c r="E51" s="531" t="str">
        <f>IF(D51="na",IF(C51="na","na",C51),MIN(C51:D51))</f>
        <v>na</v>
      </c>
      <c r="F51" s="270" t="s">
        <v>232</v>
      </c>
      <c r="G51" s="270" t="s">
        <v>232</v>
      </c>
      <c r="H51" s="270" t="s">
        <v>232</v>
      </c>
      <c r="I51" s="270" t="str">
        <f t="shared" si="31"/>
        <v>na</v>
      </c>
      <c r="J51" s="46" t="str">
        <f t="shared" si="32"/>
        <v>na</v>
      </c>
      <c r="K51" s="46" t="s">
        <v>232</v>
      </c>
      <c r="L51" s="46" t="s">
        <v>232</v>
      </c>
      <c r="M51" s="46" t="str">
        <f>'SL-Eq'!H51</f>
        <v>na</v>
      </c>
      <c r="N51" s="46" t="str">
        <f>'SL-Eq'!I51</f>
        <v>na</v>
      </c>
      <c r="O51" s="46" t="str">
        <f>IF(N51="na",IF(M51="na","na",M51),MIN(M51:N51))</f>
        <v>na</v>
      </c>
      <c r="P51" s="1855" t="s">
        <v>232</v>
      </c>
      <c r="Q51" s="1859" t="s">
        <v>232</v>
      </c>
      <c r="S51" s="1062"/>
    </row>
    <row r="52" spans="1:19" s="252" customFormat="1" ht="13.9" customHeight="1" x14ac:dyDescent="0.25">
      <c r="A52" s="906">
        <f>Chem!A52</f>
        <v>50</v>
      </c>
      <c r="B52" s="850" t="str">
        <f>Chem!B52</f>
        <v>SVOCs - PAHs</v>
      </c>
      <c r="C52" s="31"/>
      <c r="D52" s="31"/>
      <c r="E52" s="259"/>
      <c r="F52" s="259"/>
      <c r="G52" s="259"/>
      <c r="H52" s="259"/>
      <c r="I52" s="259"/>
      <c r="J52" s="259"/>
      <c r="K52" s="259"/>
      <c r="L52" s="31"/>
      <c r="M52" s="31"/>
      <c r="N52" s="31"/>
      <c r="O52" s="31"/>
      <c r="P52" s="31"/>
      <c r="Q52" s="648"/>
      <c r="S52" s="1063"/>
    </row>
    <row r="53" spans="1:19" ht="13.9" customHeight="1" x14ac:dyDescent="0.25">
      <c r="A53" s="846">
        <f>Chem!A53</f>
        <v>51</v>
      </c>
      <c r="B53" s="857" t="str">
        <f>Chem!B53</f>
        <v>Acenaphthene</v>
      </c>
      <c r="C53" s="393">
        <f>'SL-Eq'!F53</f>
        <v>4800</v>
      </c>
      <c r="D53" s="535" t="str">
        <f>'SL-Eq'!G53</f>
        <v>na</v>
      </c>
      <c r="E53" s="531">
        <f t="shared" ref="E53:E77" si="35">IF(D53="na",IF(C53="na","na",C53),MIN(C53:D53))</f>
        <v>4800</v>
      </c>
      <c r="F53" s="270">
        <v>20</v>
      </c>
      <c r="G53" s="270" t="s">
        <v>232</v>
      </c>
      <c r="H53" s="270" t="s">
        <v>232</v>
      </c>
      <c r="I53" s="270">
        <f t="shared" ref="I53:I77" si="36">IF(MIN(F53:H53)&gt;0,MIN(F53:H53),"na")</f>
        <v>20</v>
      </c>
      <c r="J53" s="46" t="str">
        <f t="shared" ref="J53:J77" si="37">H53</f>
        <v>na</v>
      </c>
      <c r="K53" s="46" t="s">
        <v>232</v>
      </c>
      <c r="L53" s="46" t="s">
        <v>232</v>
      </c>
      <c r="M53" s="46">
        <f>'SL-Eq'!H53</f>
        <v>210000</v>
      </c>
      <c r="N53" s="46" t="str">
        <f>'SL-Eq'!I53</f>
        <v>na</v>
      </c>
      <c r="O53" s="46">
        <f t="shared" ref="O53:O77" si="38">IF(N53="na",IF(M53="na","na",M53),MIN(M53:N53))</f>
        <v>210000</v>
      </c>
      <c r="P53" s="1855" t="s">
        <v>232</v>
      </c>
      <c r="Q53" s="544" t="s">
        <v>232</v>
      </c>
      <c r="S53" s="1062"/>
    </row>
    <row r="54" spans="1:19" ht="13.9" customHeight="1" x14ac:dyDescent="0.25">
      <c r="A54" s="847">
        <f>Chem!A54</f>
        <v>52</v>
      </c>
      <c r="B54" s="857" t="str">
        <f>Chem!B54</f>
        <v>Acenaphthylene</v>
      </c>
      <c r="C54" s="343" t="str">
        <f>'SL-Eq'!F54</f>
        <v>na</v>
      </c>
      <c r="D54" s="535" t="str">
        <f>'SL-Eq'!G54</f>
        <v>na</v>
      </c>
      <c r="E54" s="531" t="str">
        <f t="shared" si="35"/>
        <v>na</v>
      </c>
      <c r="F54" s="270" t="s">
        <v>232</v>
      </c>
      <c r="G54" s="270" t="s">
        <v>232</v>
      </c>
      <c r="H54" s="270" t="s">
        <v>232</v>
      </c>
      <c r="I54" s="270" t="str">
        <f t="shared" si="36"/>
        <v>na</v>
      </c>
      <c r="J54" s="46" t="str">
        <f t="shared" si="37"/>
        <v>na</v>
      </c>
      <c r="K54" s="46" t="s">
        <v>232</v>
      </c>
      <c r="L54" s="46" t="s">
        <v>232</v>
      </c>
      <c r="M54" s="46" t="str">
        <f>'SL-Eq'!H54</f>
        <v>na</v>
      </c>
      <c r="N54" s="46" t="str">
        <f>'SL-Eq'!I54</f>
        <v>na</v>
      </c>
      <c r="O54" s="46" t="str">
        <f t="shared" si="38"/>
        <v>na</v>
      </c>
      <c r="P54" s="1855" t="s">
        <v>232</v>
      </c>
      <c r="Q54" s="1330" t="s">
        <v>232</v>
      </c>
      <c r="S54" s="1062"/>
    </row>
    <row r="55" spans="1:19" ht="13.9" customHeight="1" x14ac:dyDescent="0.25">
      <c r="A55" s="847">
        <f>Chem!A55</f>
        <v>53</v>
      </c>
      <c r="B55" s="857" t="str">
        <f>Chem!B55</f>
        <v>Anthracene</v>
      </c>
      <c r="C55" s="343">
        <f>'SL-Eq'!F55</f>
        <v>24000</v>
      </c>
      <c r="D55" s="535" t="str">
        <f>'SL-Eq'!G55</f>
        <v>na</v>
      </c>
      <c r="E55" s="531">
        <f t="shared" si="35"/>
        <v>24000</v>
      </c>
      <c r="F55" s="270" t="s">
        <v>232</v>
      </c>
      <c r="G55" s="270" t="s">
        <v>232</v>
      </c>
      <c r="H55" s="270" t="s">
        <v>232</v>
      </c>
      <c r="I55" s="270" t="str">
        <f t="shared" si="36"/>
        <v>na</v>
      </c>
      <c r="J55" s="46" t="str">
        <f t="shared" si="37"/>
        <v>na</v>
      </c>
      <c r="K55" s="46" t="s">
        <v>232</v>
      </c>
      <c r="L55" s="46" t="s">
        <v>232</v>
      </c>
      <c r="M55" s="46">
        <f>'SL-Eq'!H55</f>
        <v>1050000</v>
      </c>
      <c r="N55" s="46" t="str">
        <f>'SL-Eq'!I55</f>
        <v>na</v>
      </c>
      <c r="O55" s="46">
        <f t="shared" si="38"/>
        <v>1050000</v>
      </c>
      <c r="P55" s="1855" t="s">
        <v>232</v>
      </c>
      <c r="Q55" s="1330" t="s">
        <v>232</v>
      </c>
      <c r="S55" s="1062"/>
    </row>
    <row r="56" spans="1:19" ht="13.9" customHeight="1" x14ac:dyDescent="0.25">
      <c r="A56" s="847">
        <f>Chem!A56</f>
        <v>54</v>
      </c>
      <c r="B56" s="857" t="str">
        <f>Chem!B56</f>
        <v>Benzo(a)anthracene</v>
      </c>
      <c r="C56" s="343" t="str">
        <f>'SL-Eq'!F56</f>
        <v>na</v>
      </c>
      <c r="D56" s="535" t="str">
        <f>'SL-Eq'!G56</f>
        <v>na</v>
      </c>
      <c r="E56" s="531" t="str">
        <f t="shared" si="35"/>
        <v>na</v>
      </c>
      <c r="F56" s="270" t="s">
        <v>232</v>
      </c>
      <c r="G56" s="270" t="s">
        <v>232</v>
      </c>
      <c r="H56" s="270" t="s">
        <v>232</v>
      </c>
      <c r="I56" s="270" t="str">
        <f t="shared" si="36"/>
        <v>na</v>
      </c>
      <c r="J56" s="46" t="str">
        <f t="shared" si="37"/>
        <v>na</v>
      </c>
      <c r="K56" s="46" t="s">
        <v>232</v>
      </c>
      <c r="L56" s="46" t="s">
        <v>232</v>
      </c>
      <c r="M56" s="46" t="str">
        <f>'SL-Eq'!H56</f>
        <v>na</v>
      </c>
      <c r="N56" s="46" t="str">
        <f>'SL-Eq'!I56</f>
        <v>na</v>
      </c>
      <c r="O56" s="46" t="str">
        <f t="shared" si="38"/>
        <v>na</v>
      </c>
      <c r="P56" s="1855" t="s">
        <v>232</v>
      </c>
      <c r="Q56" s="1330" t="s">
        <v>232</v>
      </c>
      <c r="S56" s="1062"/>
    </row>
    <row r="57" spans="1:19" ht="13.9" customHeight="1" x14ac:dyDescent="0.25">
      <c r="A57" s="847">
        <f>Chem!A57</f>
        <v>55</v>
      </c>
      <c r="B57" s="857" t="str">
        <f>Chem!B57</f>
        <v>Benzo(b)fluoranthene</v>
      </c>
      <c r="C57" s="343" t="str">
        <f>'SL-Eq'!F57</f>
        <v>na</v>
      </c>
      <c r="D57" s="535" t="str">
        <f>'SL-Eq'!G57</f>
        <v>na</v>
      </c>
      <c r="E57" s="531" t="str">
        <f t="shared" si="35"/>
        <v>na</v>
      </c>
      <c r="F57" s="270" t="s">
        <v>232</v>
      </c>
      <c r="G57" s="270" t="s">
        <v>232</v>
      </c>
      <c r="H57" s="270" t="s">
        <v>232</v>
      </c>
      <c r="I57" s="270" t="str">
        <f t="shared" si="36"/>
        <v>na</v>
      </c>
      <c r="J57" s="46" t="str">
        <f t="shared" si="37"/>
        <v>na</v>
      </c>
      <c r="K57" s="46" t="s">
        <v>232</v>
      </c>
      <c r="L57" s="46" t="s">
        <v>232</v>
      </c>
      <c r="M57" s="46" t="str">
        <f>'SL-Eq'!H57</f>
        <v>na</v>
      </c>
      <c r="N57" s="46" t="str">
        <f>'SL-Eq'!I57</f>
        <v>na</v>
      </c>
      <c r="O57" s="46" t="str">
        <f t="shared" si="38"/>
        <v>na</v>
      </c>
      <c r="P57" s="1855" t="s">
        <v>232</v>
      </c>
      <c r="Q57" s="1330" t="s">
        <v>232</v>
      </c>
      <c r="S57" s="1062"/>
    </row>
    <row r="58" spans="1:19" ht="13.9" customHeight="1" x14ac:dyDescent="0.25">
      <c r="A58" s="847">
        <f>Chem!A58</f>
        <v>56</v>
      </c>
      <c r="B58" s="857" t="str">
        <f>Chem!B58</f>
        <v>Benzo(k)fluoranthene</v>
      </c>
      <c r="C58" s="343" t="str">
        <f>'SL-Eq'!F58</f>
        <v>na</v>
      </c>
      <c r="D58" s="535" t="str">
        <f>'SL-Eq'!G58</f>
        <v>na</v>
      </c>
      <c r="E58" s="531" t="str">
        <f t="shared" si="35"/>
        <v>na</v>
      </c>
      <c r="F58" s="270" t="s">
        <v>232</v>
      </c>
      <c r="G58" s="270" t="s">
        <v>232</v>
      </c>
      <c r="H58" s="270" t="s">
        <v>232</v>
      </c>
      <c r="I58" s="270" t="str">
        <f t="shared" si="36"/>
        <v>na</v>
      </c>
      <c r="J58" s="46" t="str">
        <f t="shared" si="37"/>
        <v>na</v>
      </c>
      <c r="K58" s="46" t="s">
        <v>232</v>
      </c>
      <c r="L58" s="46" t="s">
        <v>232</v>
      </c>
      <c r="M58" s="46" t="str">
        <f>'SL-Eq'!H58</f>
        <v>na</v>
      </c>
      <c r="N58" s="46" t="str">
        <f>'SL-Eq'!I58</f>
        <v>na</v>
      </c>
      <c r="O58" s="46" t="str">
        <f t="shared" si="38"/>
        <v>na</v>
      </c>
      <c r="P58" s="1855" t="s">
        <v>232</v>
      </c>
      <c r="Q58" s="1330" t="s">
        <v>232</v>
      </c>
      <c r="S58" s="1062"/>
    </row>
    <row r="59" spans="1:19" ht="13.9" customHeight="1" x14ac:dyDescent="0.25">
      <c r="A59" s="847">
        <f>Chem!A59</f>
        <v>57</v>
      </c>
      <c r="B59" s="857" t="str">
        <f>Chem!B59</f>
        <v>Total benzofluoranthenes</v>
      </c>
      <c r="C59" s="343" t="str">
        <f>'SL-Eq'!F59</f>
        <v>na</v>
      </c>
      <c r="D59" s="535" t="str">
        <f>'SL-Eq'!G59</f>
        <v>na</v>
      </c>
      <c r="E59" s="531" t="str">
        <f t="shared" si="35"/>
        <v>na</v>
      </c>
      <c r="F59" s="270" t="s">
        <v>232</v>
      </c>
      <c r="G59" s="270" t="s">
        <v>232</v>
      </c>
      <c r="H59" s="270" t="s">
        <v>232</v>
      </c>
      <c r="I59" s="270" t="str">
        <f t="shared" si="36"/>
        <v>na</v>
      </c>
      <c r="J59" s="46" t="str">
        <f t="shared" si="37"/>
        <v>na</v>
      </c>
      <c r="K59" s="46" t="s">
        <v>232</v>
      </c>
      <c r="L59" s="46" t="s">
        <v>232</v>
      </c>
      <c r="M59" s="46" t="str">
        <f>'SL-Eq'!H59</f>
        <v>na</v>
      </c>
      <c r="N59" s="46" t="str">
        <f>'SL-Eq'!I59</f>
        <v>na</v>
      </c>
      <c r="O59" s="46" t="str">
        <f t="shared" si="38"/>
        <v>na</v>
      </c>
      <c r="P59" s="1855" t="s">
        <v>232</v>
      </c>
      <c r="Q59" s="1330" t="s">
        <v>232</v>
      </c>
      <c r="S59" s="1062"/>
    </row>
    <row r="60" spans="1:19" ht="13.9" customHeight="1" x14ac:dyDescent="0.25">
      <c r="A60" s="847">
        <f>Chem!A60</f>
        <v>58</v>
      </c>
      <c r="B60" s="857" t="str">
        <f>Chem!B60</f>
        <v>Benzo(g,h,i)perylene</v>
      </c>
      <c r="C60" s="343" t="str">
        <f>'SL-Eq'!F60</f>
        <v>na</v>
      </c>
      <c r="D60" s="535" t="str">
        <f>'SL-Eq'!G60</f>
        <v>na</v>
      </c>
      <c r="E60" s="531" t="str">
        <f t="shared" si="35"/>
        <v>na</v>
      </c>
      <c r="F60" s="270" t="s">
        <v>232</v>
      </c>
      <c r="G60" s="270" t="s">
        <v>232</v>
      </c>
      <c r="H60" s="270" t="s">
        <v>232</v>
      </c>
      <c r="I60" s="270" t="str">
        <f t="shared" si="36"/>
        <v>na</v>
      </c>
      <c r="J60" s="46" t="str">
        <f t="shared" si="37"/>
        <v>na</v>
      </c>
      <c r="K60" s="46" t="s">
        <v>232</v>
      </c>
      <c r="L60" s="46" t="s">
        <v>232</v>
      </c>
      <c r="M60" s="46" t="str">
        <f>'SL-Eq'!H60</f>
        <v>na</v>
      </c>
      <c r="N60" s="46" t="str">
        <f>'SL-Eq'!I60</f>
        <v>na</v>
      </c>
      <c r="O60" s="46" t="str">
        <f t="shared" si="38"/>
        <v>na</v>
      </c>
      <c r="P60" s="1855" t="s">
        <v>232</v>
      </c>
      <c r="Q60" s="1330" t="s">
        <v>232</v>
      </c>
      <c r="S60" s="1062"/>
    </row>
    <row r="61" spans="1:19" ht="13.9" customHeight="1" x14ac:dyDescent="0.25">
      <c r="A61" s="847">
        <f>Chem!A61</f>
        <v>59</v>
      </c>
      <c r="B61" s="857" t="str">
        <f>Chem!B61</f>
        <v>Benzo(a)pyrene</v>
      </c>
      <c r="C61" s="343" t="str">
        <f>'SL-Eq'!F61</f>
        <v>na</v>
      </c>
      <c r="D61" s="535" t="str">
        <f>'SL-Eq'!G61</f>
        <v>na</v>
      </c>
      <c r="E61" s="531" t="str">
        <f t="shared" si="35"/>
        <v>na</v>
      </c>
      <c r="F61" s="270" t="s">
        <v>232</v>
      </c>
      <c r="G61" s="270" t="s">
        <v>232</v>
      </c>
      <c r="H61" s="270">
        <v>12</v>
      </c>
      <c r="I61" s="270">
        <f t="shared" si="36"/>
        <v>12</v>
      </c>
      <c r="J61" s="46">
        <f t="shared" si="37"/>
        <v>12</v>
      </c>
      <c r="K61" s="46">
        <v>30</v>
      </c>
      <c r="L61" s="45">
        <v>300</v>
      </c>
      <c r="M61" s="46" t="str">
        <f>'SL-Eq'!H61</f>
        <v>na</v>
      </c>
      <c r="N61" s="46" t="str">
        <f>'SL-Eq'!I61</f>
        <v>na</v>
      </c>
      <c r="O61" s="46" t="str">
        <f t="shared" si="38"/>
        <v>na</v>
      </c>
      <c r="P61" s="1855" t="s">
        <v>232</v>
      </c>
      <c r="Q61" s="1330" t="s">
        <v>232</v>
      </c>
      <c r="S61" s="1062"/>
    </row>
    <row r="62" spans="1:19" ht="13.9" customHeight="1" x14ac:dyDescent="0.25">
      <c r="A62" s="847">
        <f>Chem!A62</f>
        <v>60</v>
      </c>
      <c r="B62" s="857" t="str">
        <f>Chem!B62</f>
        <v>Chrysene</v>
      </c>
      <c r="C62" s="343" t="str">
        <f>'SL-Eq'!F62</f>
        <v>na</v>
      </c>
      <c r="D62" s="535" t="str">
        <f>'SL-Eq'!G62</f>
        <v>na</v>
      </c>
      <c r="E62" s="531" t="str">
        <f t="shared" si="35"/>
        <v>na</v>
      </c>
      <c r="F62" s="270" t="s">
        <v>232</v>
      </c>
      <c r="G62" s="270" t="s">
        <v>232</v>
      </c>
      <c r="H62" s="270" t="s">
        <v>232</v>
      </c>
      <c r="I62" s="270" t="str">
        <f t="shared" si="36"/>
        <v>na</v>
      </c>
      <c r="J62" s="46" t="str">
        <f t="shared" si="37"/>
        <v>na</v>
      </c>
      <c r="K62" s="46" t="s">
        <v>232</v>
      </c>
      <c r="L62" s="46" t="s">
        <v>232</v>
      </c>
      <c r="M62" s="46" t="str">
        <f>'SL-Eq'!H62</f>
        <v>na</v>
      </c>
      <c r="N62" s="46" t="str">
        <f>'SL-Eq'!I62</f>
        <v>na</v>
      </c>
      <c r="O62" s="46" t="str">
        <f t="shared" si="38"/>
        <v>na</v>
      </c>
      <c r="P62" s="1855" t="s">
        <v>232</v>
      </c>
      <c r="Q62" s="1330" t="s">
        <v>232</v>
      </c>
      <c r="S62" s="1062"/>
    </row>
    <row r="63" spans="1:19" ht="13.9" customHeight="1" x14ac:dyDescent="0.25">
      <c r="A63" s="847">
        <f>Chem!A63</f>
        <v>61</v>
      </c>
      <c r="B63" s="857" t="str">
        <f>Chem!B63</f>
        <v>Dibenz(a,h)anthracene</v>
      </c>
      <c r="C63" s="343" t="str">
        <f>'SL-Eq'!F63</f>
        <v>na</v>
      </c>
      <c r="D63" s="535" t="str">
        <f>'SL-Eq'!G63</f>
        <v>na</v>
      </c>
      <c r="E63" s="531" t="str">
        <f t="shared" si="35"/>
        <v>na</v>
      </c>
      <c r="F63" s="270" t="s">
        <v>232</v>
      </c>
      <c r="G63" s="270" t="s">
        <v>232</v>
      </c>
      <c r="H63" s="270" t="s">
        <v>232</v>
      </c>
      <c r="I63" s="270" t="str">
        <f t="shared" si="36"/>
        <v>na</v>
      </c>
      <c r="J63" s="46" t="str">
        <f t="shared" si="37"/>
        <v>na</v>
      </c>
      <c r="K63" s="46" t="s">
        <v>232</v>
      </c>
      <c r="L63" s="46" t="s">
        <v>232</v>
      </c>
      <c r="M63" s="46" t="str">
        <f>'SL-Eq'!H63</f>
        <v>na</v>
      </c>
      <c r="N63" s="46" t="str">
        <f>'SL-Eq'!I63</f>
        <v>na</v>
      </c>
      <c r="O63" s="46" t="str">
        <f t="shared" si="38"/>
        <v>na</v>
      </c>
      <c r="P63" s="1855" t="s">
        <v>232</v>
      </c>
      <c r="Q63" s="1330" t="s">
        <v>232</v>
      </c>
      <c r="S63" s="1062"/>
    </row>
    <row r="64" spans="1:19" ht="13.9" customHeight="1" x14ac:dyDescent="0.25">
      <c r="A64" s="847">
        <f>Chem!A64</f>
        <v>62</v>
      </c>
      <c r="B64" s="857" t="str">
        <f>Chem!B64</f>
        <v>Dibenzofuran</v>
      </c>
      <c r="C64" s="343">
        <f>'SL-Eq'!F64</f>
        <v>80</v>
      </c>
      <c r="D64" s="535" t="str">
        <f>'SL-Eq'!G64</f>
        <v>na</v>
      </c>
      <c r="E64" s="531">
        <f t="shared" si="35"/>
        <v>80</v>
      </c>
      <c r="F64" s="270" t="s">
        <v>232</v>
      </c>
      <c r="G64" s="270" t="s">
        <v>232</v>
      </c>
      <c r="H64" s="270" t="s">
        <v>232</v>
      </c>
      <c r="I64" s="270" t="str">
        <f t="shared" si="36"/>
        <v>na</v>
      </c>
      <c r="J64" s="46" t="str">
        <f t="shared" si="37"/>
        <v>na</v>
      </c>
      <c r="K64" s="46" t="s">
        <v>232</v>
      </c>
      <c r="L64" s="46" t="s">
        <v>232</v>
      </c>
      <c r="M64" s="46">
        <f>'SL-Eq'!H64</f>
        <v>3500</v>
      </c>
      <c r="N64" s="46" t="str">
        <f>'SL-Eq'!I64</f>
        <v>na</v>
      </c>
      <c r="O64" s="46">
        <f t="shared" si="38"/>
        <v>3500</v>
      </c>
      <c r="P64" s="1855" t="s">
        <v>232</v>
      </c>
      <c r="Q64" s="1330" t="s">
        <v>232</v>
      </c>
      <c r="S64" s="1062"/>
    </row>
    <row r="65" spans="1:19" ht="13.9" customHeight="1" x14ac:dyDescent="0.25">
      <c r="A65" s="847">
        <f>Chem!A65</f>
        <v>63</v>
      </c>
      <c r="B65" s="857" t="str">
        <f>Chem!B65</f>
        <v>Fluoranthene</v>
      </c>
      <c r="C65" s="343">
        <f>'SL-Eq'!F65</f>
        <v>3200</v>
      </c>
      <c r="D65" s="535" t="str">
        <f>'SL-Eq'!G65</f>
        <v>na</v>
      </c>
      <c r="E65" s="531">
        <f t="shared" si="35"/>
        <v>3200</v>
      </c>
      <c r="F65" s="270" t="s">
        <v>232</v>
      </c>
      <c r="G65" s="270" t="s">
        <v>232</v>
      </c>
      <c r="H65" s="270" t="s">
        <v>232</v>
      </c>
      <c r="I65" s="270" t="str">
        <f t="shared" si="36"/>
        <v>na</v>
      </c>
      <c r="J65" s="46" t="str">
        <f t="shared" si="37"/>
        <v>na</v>
      </c>
      <c r="K65" s="46" t="s">
        <v>232</v>
      </c>
      <c r="L65" s="46" t="s">
        <v>232</v>
      </c>
      <c r="M65" s="46">
        <f>'SL-Eq'!H65</f>
        <v>140000</v>
      </c>
      <c r="N65" s="46" t="str">
        <f>'SL-Eq'!I65</f>
        <v>na</v>
      </c>
      <c r="O65" s="46">
        <f t="shared" si="38"/>
        <v>140000</v>
      </c>
      <c r="P65" s="1855" t="s">
        <v>232</v>
      </c>
      <c r="Q65" s="1330" t="s">
        <v>232</v>
      </c>
      <c r="S65" s="1062"/>
    </row>
    <row r="66" spans="1:19" ht="13.9" customHeight="1" x14ac:dyDescent="0.25">
      <c r="A66" s="847">
        <f>Chem!A66</f>
        <v>64</v>
      </c>
      <c r="B66" s="857" t="str">
        <f>Chem!B66</f>
        <v>Fluorene</v>
      </c>
      <c r="C66" s="343">
        <f>'SL-Eq'!F66</f>
        <v>3200</v>
      </c>
      <c r="D66" s="535" t="str">
        <f>'SL-Eq'!G66</f>
        <v>na</v>
      </c>
      <c r="E66" s="531">
        <f t="shared" si="35"/>
        <v>3200</v>
      </c>
      <c r="F66" s="270" t="s">
        <v>232</v>
      </c>
      <c r="G66" s="270">
        <v>30</v>
      </c>
      <c r="H66" s="270" t="s">
        <v>232</v>
      </c>
      <c r="I66" s="270">
        <f t="shared" si="36"/>
        <v>30</v>
      </c>
      <c r="J66" s="46" t="str">
        <f t="shared" si="37"/>
        <v>na</v>
      </c>
      <c r="K66" s="46" t="s">
        <v>232</v>
      </c>
      <c r="L66" s="46" t="s">
        <v>232</v>
      </c>
      <c r="M66" s="46">
        <f>'SL-Eq'!H66</f>
        <v>140000</v>
      </c>
      <c r="N66" s="46" t="str">
        <f>'SL-Eq'!I66</f>
        <v>na</v>
      </c>
      <c r="O66" s="46">
        <f t="shared" si="38"/>
        <v>140000</v>
      </c>
      <c r="P66" s="1855" t="s">
        <v>232</v>
      </c>
      <c r="Q66" s="1330" t="s">
        <v>232</v>
      </c>
      <c r="S66" s="1062"/>
    </row>
    <row r="67" spans="1:19" ht="13.9" customHeight="1" x14ac:dyDescent="0.25">
      <c r="A67" s="847">
        <f>Chem!A67</f>
        <v>65</v>
      </c>
      <c r="B67" s="857" t="str">
        <f>Chem!B67</f>
        <v>Indeno(1,2,3-cd)pyrene</v>
      </c>
      <c r="C67" s="343" t="str">
        <f>'SL-Eq'!F67</f>
        <v>na</v>
      </c>
      <c r="D67" s="535" t="str">
        <f>'SL-Eq'!G67</f>
        <v>na</v>
      </c>
      <c r="E67" s="531" t="str">
        <f t="shared" si="35"/>
        <v>na</v>
      </c>
      <c r="F67" s="270" t="s">
        <v>232</v>
      </c>
      <c r="G67" s="270" t="s">
        <v>232</v>
      </c>
      <c r="H67" s="270" t="s">
        <v>232</v>
      </c>
      <c r="I67" s="270" t="str">
        <f t="shared" si="36"/>
        <v>na</v>
      </c>
      <c r="J67" s="46" t="str">
        <f t="shared" si="37"/>
        <v>na</v>
      </c>
      <c r="K67" s="46" t="s">
        <v>232</v>
      </c>
      <c r="L67" s="46" t="s">
        <v>232</v>
      </c>
      <c r="M67" s="46" t="str">
        <f>'SL-Eq'!H67</f>
        <v>na</v>
      </c>
      <c r="N67" s="46" t="str">
        <f>'SL-Eq'!I67</f>
        <v>na</v>
      </c>
      <c r="O67" s="46" t="str">
        <f t="shared" si="38"/>
        <v>na</v>
      </c>
      <c r="P67" s="1855" t="s">
        <v>232</v>
      </c>
      <c r="Q67" s="1330" t="s">
        <v>232</v>
      </c>
      <c r="S67" s="1062"/>
    </row>
    <row r="68" spans="1:19" ht="13.9" customHeight="1" x14ac:dyDescent="0.25">
      <c r="A68" s="847">
        <f>Chem!A68</f>
        <v>66</v>
      </c>
      <c r="B68" s="857" t="str">
        <f>Chem!B68</f>
        <v>Methyl isopropyl phenanthrene (retene)</v>
      </c>
      <c r="C68" s="343" t="str">
        <f>'SL-Eq'!F68</f>
        <v>na</v>
      </c>
      <c r="D68" s="535" t="str">
        <f>'SL-Eq'!G68</f>
        <v>na</v>
      </c>
      <c r="E68" s="531" t="str">
        <f t="shared" si="35"/>
        <v>na</v>
      </c>
      <c r="F68" s="270" t="s">
        <v>232</v>
      </c>
      <c r="G68" s="270" t="s">
        <v>232</v>
      </c>
      <c r="H68" s="270" t="s">
        <v>232</v>
      </c>
      <c r="I68" s="270" t="str">
        <f t="shared" si="36"/>
        <v>na</v>
      </c>
      <c r="J68" s="46" t="str">
        <f t="shared" si="37"/>
        <v>na</v>
      </c>
      <c r="K68" s="46" t="s">
        <v>232</v>
      </c>
      <c r="L68" s="46" t="s">
        <v>232</v>
      </c>
      <c r="M68" s="46" t="str">
        <f>'SL-Eq'!H68</f>
        <v>na</v>
      </c>
      <c r="N68" s="46" t="str">
        <f>'SL-Eq'!I68</f>
        <v>na</v>
      </c>
      <c r="O68" s="46" t="str">
        <f t="shared" si="38"/>
        <v>na</v>
      </c>
      <c r="P68" s="1855" t="s">
        <v>232</v>
      </c>
      <c r="Q68" s="1330" t="s">
        <v>232</v>
      </c>
      <c r="S68" s="1062"/>
    </row>
    <row r="69" spans="1:19" ht="13.9" customHeight="1" x14ac:dyDescent="0.25">
      <c r="A69" s="847">
        <f>Chem!A69</f>
        <v>67</v>
      </c>
      <c r="B69" s="857" t="str">
        <f>Chem!B69</f>
        <v>1-Methylnaphthalene</v>
      </c>
      <c r="C69" s="343">
        <f>'SL-Eq'!F69</f>
        <v>5600.0000000000009</v>
      </c>
      <c r="D69" s="535">
        <f>'SL-Eq'!G69</f>
        <v>19.607843137254903</v>
      </c>
      <c r="E69" s="531">
        <f t="shared" si="35"/>
        <v>19.607843137254903</v>
      </c>
      <c r="F69" s="270" t="s">
        <v>232</v>
      </c>
      <c r="G69" s="270" t="s">
        <v>232</v>
      </c>
      <c r="H69" s="270" t="s">
        <v>232</v>
      </c>
      <c r="I69" s="270" t="str">
        <f t="shared" si="36"/>
        <v>na</v>
      </c>
      <c r="J69" s="46" t="str">
        <f t="shared" si="37"/>
        <v>na</v>
      </c>
      <c r="K69" s="46" t="s">
        <v>232</v>
      </c>
      <c r="L69" s="46" t="s">
        <v>232</v>
      </c>
      <c r="M69" s="46">
        <f>'SL-Eq'!H69</f>
        <v>245000.00000000003</v>
      </c>
      <c r="N69" s="46">
        <f>'SL-Eq'!I69</f>
        <v>2573.5294117647068</v>
      </c>
      <c r="O69" s="46">
        <f t="shared" si="38"/>
        <v>2573.5294117647068</v>
      </c>
      <c r="P69" s="1855" t="s">
        <v>232</v>
      </c>
      <c r="Q69" s="1330" t="s">
        <v>232</v>
      </c>
      <c r="S69" s="1062"/>
    </row>
    <row r="70" spans="1:19" ht="13.9" customHeight="1" x14ac:dyDescent="0.25">
      <c r="A70" s="847">
        <f>Chem!A70</f>
        <v>68</v>
      </c>
      <c r="B70" s="857" t="str">
        <f>Chem!B70</f>
        <v>2-Methylnaphthalene</v>
      </c>
      <c r="C70" s="343">
        <f>'SL-Eq'!F70</f>
        <v>320</v>
      </c>
      <c r="D70" s="535" t="str">
        <f>'SL-Eq'!G70</f>
        <v>na</v>
      </c>
      <c r="E70" s="531">
        <f t="shared" si="35"/>
        <v>320</v>
      </c>
      <c r="F70" s="270" t="s">
        <v>232</v>
      </c>
      <c r="G70" s="270" t="s">
        <v>232</v>
      </c>
      <c r="H70" s="270" t="s">
        <v>232</v>
      </c>
      <c r="I70" s="270" t="str">
        <f t="shared" si="36"/>
        <v>na</v>
      </c>
      <c r="J70" s="46" t="str">
        <f t="shared" si="37"/>
        <v>na</v>
      </c>
      <c r="K70" s="46" t="s">
        <v>232</v>
      </c>
      <c r="L70" s="46" t="s">
        <v>232</v>
      </c>
      <c r="M70" s="46">
        <f>'SL-Eq'!H70</f>
        <v>14000</v>
      </c>
      <c r="N70" s="46" t="str">
        <f>'SL-Eq'!I70</f>
        <v>na</v>
      </c>
      <c r="O70" s="46">
        <f t="shared" si="38"/>
        <v>14000</v>
      </c>
      <c r="P70" s="1855" t="s">
        <v>232</v>
      </c>
      <c r="Q70" s="1330" t="s">
        <v>232</v>
      </c>
      <c r="S70" s="1062"/>
    </row>
    <row r="71" spans="1:19" ht="13.9" customHeight="1" x14ac:dyDescent="0.25">
      <c r="A71" s="847">
        <f>Chem!A71</f>
        <v>69</v>
      </c>
      <c r="B71" s="857" t="str">
        <f>Chem!B71</f>
        <v>Naphthalene</v>
      </c>
      <c r="C71" s="343">
        <f>'SL-Eq'!F71</f>
        <v>1600</v>
      </c>
      <c r="D71" s="535" t="str">
        <f>'SL-Eq'!G71</f>
        <v>na</v>
      </c>
      <c r="E71" s="531">
        <f t="shared" si="35"/>
        <v>1600</v>
      </c>
      <c r="F71" s="270" t="s">
        <v>232</v>
      </c>
      <c r="G71" s="270" t="s">
        <v>232</v>
      </c>
      <c r="H71" s="270" t="s">
        <v>232</v>
      </c>
      <c r="I71" s="270" t="str">
        <f t="shared" si="36"/>
        <v>na</v>
      </c>
      <c r="J71" s="46" t="str">
        <f t="shared" si="37"/>
        <v>na</v>
      </c>
      <c r="K71" s="46" t="s">
        <v>232</v>
      </c>
      <c r="L71" s="46" t="s">
        <v>232</v>
      </c>
      <c r="M71" s="46">
        <f>'SL-Eq'!H71</f>
        <v>70000</v>
      </c>
      <c r="N71" s="46" t="str">
        <f>'SL-Eq'!I71</f>
        <v>na</v>
      </c>
      <c r="O71" s="46">
        <f t="shared" si="38"/>
        <v>70000</v>
      </c>
      <c r="P71" s="1855" t="s">
        <v>232</v>
      </c>
      <c r="Q71" s="1330" t="s">
        <v>232</v>
      </c>
      <c r="S71" s="1062"/>
    </row>
    <row r="72" spans="1:19" ht="13.9" customHeight="1" x14ac:dyDescent="0.25">
      <c r="A72" s="847">
        <f>Chem!A72</f>
        <v>70</v>
      </c>
      <c r="B72" s="857" t="str">
        <f>Chem!B72</f>
        <v>Phenanthrene</v>
      </c>
      <c r="C72" s="343" t="str">
        <f>'SL-Eq'!F72</f>
        <v>na</v>
      </c>
      <c r="D72" s="535" t="str">
        <f>'SL-Eq'!G72</f>
        <v>na</v>
      </c>
      <c r="E72" s="531" t="str">
        <f t="shared" si="35"/>
        <v>na</v>
      </c>
      <c r="F72" s="270" t="s">
        <v>232</v>
      </c>
      <c r="G72" s="270" t="s">
        <v>232</v>
      </c>
      <c r="H72" s="270" t="s">
        <v>232</v>
      </c>
      <c r="I72" s="270" t="str">
        <f t="shared" si="36"/>
        <v>na</v>
      </c>
      <c r="J72" s="46" t="str">
        <f t="shared" si="37"/>
        <v>na</v>
      </c>
      <c r="K72" s="46" t="s">
        <v>232</v>
      </c>
      <c r="L72" s="46" t="s">
        <v>232</v>
      </c>
      <c r="M72" s="46" t="str">
        <f>'SL-Eq'!H72</f>
        <v>na</v>
      </c>
      <c r="N72" s="46" t="str">
        <f>'SL-Eq'!I72</f>
        <v>na</v>
      </c>
      <c r="O72" s="46" t="str">
        <f t="shared" si="38"/>
        <v>na</v>
      </c>
      <c r="P72" s="1855" t="s">
        <v>232</v>
      </c>
      <c r="Q72" s="1330" t="s">
        <v>232</v>
      </c>
      <c r="S72" s="1062"/>
    </row>
    <row r="73" spans="1:19" ht="13.9" customHeight="1" x14ac:dyDescent="0.25">
      <c r="A73" s="847">
        <f>Chem!A73</f>
        <v>71</v>
      </c>
      <c r="B73" s="857" t="str">
        <f>Chem!B73</f>
        <v>Pyrene</v>
      </c>
      <c r="C73" s="343">
        <f>'SL-Eq'!F73</f>
        <v>2400</v>
      </c>
      <c r="D73" s="535" t="str">
        <f>'SL-Eq'!G73</f>
        <v>na</v>
      </c>
      <c r="E73" s="531">
        <f t="shared" si="35"/>
        <v>2400</v>
      </c>
      <c r="F73" s="270" t="s">
        <v>232</v>
      </c>
      <c r="G73" s="270" t="s">
        <v>232</v>
      </c>
      <c r="H73" s="270" t="s">
        <v>232</v>
      </c>
      <c r="I73" s="270" t="str">
        <f t="shared" si="36"/>
        <v>na</v>
      </c>
      <c r="J73" s="46" t="str">
        <f t="shared" si="37"/>
        <v>na</v>
      </c>
      <c r="K73" s="46" t="s">
        <v>232</v>
      </c>
      <c r="L73" s="46" t="s">
        <v>232</v>
      </c>
      <c r="M73" s="46">
        <f>'SL-Eq'!H73</f>
        <v>105000</v>
      </c>
      <c r="N73" s="46" t="str">
        <f>'SL-Eq'!I73</f>
        <v>na</v>
      </c>
      <c r="O73" s="46">
        <f t="shared" si="38"/>
        <v>105000</v>
      </c>
      <c r="P73" s="1855" t="s">
        <v>232</v>
      </c>
      <c r="Q73" s="1330" t="s">
        <v>232</v>
      </c>
      <c r="S73" s="1062"/>
    </row>
    <row r="74" spans="1:19" ht="13.9" customHeight="1" x14ac:dyDescent="0.25">
      <c r="A74" s="847">
        <f>Chem!A74</f>
        <v>72</v>
      </c>
      <c r="B74" s="857" t="str">
        <f>Chem!B74</f>
        <v>Total LPAHs</v>
      </c>
      <c r="C74" s="343" t="str">
        <f>'SL-Eq'!F74</f>
        <v>na</v>
      </c>
      <c r="D74" s="535" t="str">
        <f>'SL-Eq'!G74</f>
        <v>na</v>
      </c>
      <c r="E74" s="531" t="str">
        <f t="shared" si="35"/>
        <v>na</v>
      </c>
      <c r="F74" s="270" t="s">
        <v>232</v>
      </c>
      <c r="G74" s="270">
        <v>29</v>
      </c>
      <c r="H74" s="270">
        <v>100</v>
      </c>
      <c r="I74" s="270">
        <f t="shared" si="36"/>
        <v>29</v>
      </c>
      <c r="J74" s="46">
        <f t="shared" si="37"/>
        <v>100</v>
      </c>
      <c r="K74" s="46" t="s">
        <v>232</v>
      </c>
      <c r="L74" s="46" t="s">
        <v>232</v>
      </c>
      <c r="M74" s="46" t="str">
        <f>'SL-Eq'!H74</f>
        <v>na</v>
      </c>
      <c r="N74" s="46" t="str">
        <f>'SL-Eq'!I74</f>
        <v>na</v>
      </c>
      <c r="O74" s="46" t="str">
        <f t="shared" si="38"/>
        <v>na</v>
      </c>
      <c r="P74" s="1855" t="s">
        <v>232</v>
      </c>
      <c r="Q74" s="1330" t="s">
        <v>232</v>
      </c>
      <c r="S74" s="1062"/>
    </row>
    <row r="75" spans="1:19" ht="13.9" customHeight="1" x14ac:dyDescent="0.25">
      <c r="A75" s="847">
        <f>Chem!A75</f>
        <v>73</v>
      </c>
      <c r="B75" s="857" t="str">
        <f>Chem!B75</f>
        <v>Total HPAHs</v>
      </c>
      <c r="C75" s="343" t="str">
        <f>'SL-Eq'!F75</f>
        <v>na</v>
      </c>
      <c r="D75" s="535" t="str">
        <f>'SL-Eq'!G75</f>
        <v>na</v>
      </c>
      <c r="E75" s="531" t="str">
        <f t="shared" si="35"/>
        <v>na</v>
      </c>
      <c r="F75" s="270" t="s">
        <v>232</v>
      </c>
      <c r="G75" s="270">
        <v>18</v>
      </c>
      <c r="H75" s="270">
        <v>1.1000000000000001</v>
      </c>
      <c r="I75" s="270">
        <f t="shared" si="36"/>
        <v>1.1000000000000001</v>
      </c>
      <c r="J75" s="46">
        <f t="shared" si="37"/>
        <v>1.1000000000000001</v>
      </c>
      <c r="K75" s="46" t="s">
        <v>232</v>
      </c>
      <c r="L75" s="46" t="s">
        <v>232</v>
      </c>
      <c r="M75" s="46" t="str">
        <f>'SL-Eq'!H75</f>
        <v>na</v>
      </c>
      <c r="N75" s="46" t="str">
        <f>'SL-Eq'!I75</f>
        <v>na</v>
      </c>
      <c r="O75" s="46" t="str">
        <f t="shared" si="38"/>
        <v>na</v>
      </c>
      <c r="P75" s="1855" t="s">
        <v>232</v>
      </c>
      <c r="Q75" s="1330" t="s">
        <v>232</v>
      </c>
      <c r="S75" s="1062"/>
    </row>
    <row r="76" spans="1:19" ht="13.9" customHeight="1" x14ac:dyDescent="0.25">
      <c r="A76" s="842">
        <f>Chem!A76</f>
        <v>74</v>
      </c>
      <c r="B76" s="857" t="str">
        <f>Chem!B76</f>
        <v>Total PAHs</v>
      </c>
      <c r="C76" s="343" t="str">
        <f>'SL-Eq'!F76</f>
        <v>na</v>
      </c>
      <c r="D76" s="535" t="str">
        <f>'SL-Eq'!G76</f>
        <v>na</v>
      </c>
      <c r="E76" s="531" t="str">
        <f t="shared" si="35"/>
        <v>na</v>
      </c>
      <c r="F76" s="270" t="s">
        <v>232</v>
      </c>
      <c r="G76" s="270" t="s">
        <v>232</v>
      </c>
      <c r="H76" s="270" t="s">
        <v>232</v>
      </c>
      <c r="I76" s="270" t="str">
        <f t="shared" si="36"/>
        <v>na</v>
      </c>
      <c r="J76" s="46" t="str">
        <f t="shared" si="37"/>
        <v>na</v>
      </c>
      <c r="K76" s="46" t="s">
        <v>232</v>
      </c>
      <c r="L76" s="46" t="s">
        <v>232</v>
      </c>
      <c r="M76" s="46" t="str">
        <f>'SL-Eq'!H76</f>
        <v>na</v>
      </c>
      <c r="N76" s="46" t="str">
        <f>'SL-Eq'!I76</f>
        <v>na</v>
      </c>
      <c r="O76" s="46" t="str">
        <f t="shared" si="38"/>
        <v>na</v>
      </c>
      <c r="P76" s="1855" t="s">
        <v>232</v>
      </c>
      <c r="Q76" s="1330" t="s">
        <v>232</v>
      </c>
      <c r="S76" s="1062"/>
    </row>
    <row r="77" spans="1:19" ht="13.9" customHeight="1" x14ac:dyDescent="0.25">
      <c r="A77" s="844">
        <f>Chem!A77</f>
        <v>75</v>
      </c>
      <c r="B77" s="857" t="str">
        <f>Chem!B77</f>
        <v>Total cPAH TEQ</v>
      </c>
      <c r="C77" s="533" t="str">
        <f>'SL-Eq'!F77</f>
        <v>na</v>
      </c>
      <c r="D77" s="535">
        <f>'SL-Eq'!G77</f>
        <v>0.1875</v>
      </c>
      <c r="E77" s="531">
        <f t="shared" si="35"/>
        <v>0.1875</v>
      </c>
      <c r="F77" s="270" t="s">
        <v>232</v>
      </c>
      <c r="G77" s="270" t="s">
        <v>232</v>
      </c>
      <c r="H77" s="270" t="s">
        <v>232</v>
      </c>
      <c r="I77" s="270" t="str">
        <f t="shared" si="36"/>
        <v>na</v>
      </c>
      <c r="J77" s="46" t="str">
        <f t="shared" si="37"/>
        <v>na</v>
      </c>
      <c r="K77" s="46" t="s">
        <v>232</v>
      </c>
      <c r="L77" s="46" t="s">
        <v>232</v>
      </c>
      <c r="M77" s="46" t="str">
        <f>'SL-Eq'!H77</f>
        <v>na</v>
      </c>
      <c r="N77" s="46" t="str">
        <f>'SL-Eq'!I77</f>
        <v>na</v>
      </c>
      <c r="O77" s="46" t="str">
        <f t="shared" si="38"/>
        <v>na</v>
      </c>
      <c r="P77" s="1855" t="s">
        <v>232</v>
      </c>
      <c r="Q77" s="1859" t="s">
        <v>232</v>
      </c>
      <c r="S77" s="1062"/>
    </row>
    <row r="78" spans="1:19" s="252" customFormat="1" ht="13.9" customHeight="1" x14ac:dyDescent="0.25">
      <c r="A78" s="906">
        <f>Chem!A78</f>
        <v>76</v>
      </c>
      <c r="B78" s="850" t="str">
        <f>Chem!B78</f>
        <v>Other SVOCs</v>
      </c>
      <c r="C78" s="31"/>
      <c r="D78" s="31"/>
      <c r="E78" s="259"/>
      <c r="F78" s="259"/>
      <c r="G78" s="259"/>
      <c r="H78" s="259"/>
      <c r="I78" s="259"/>
      <c r="J78" s="259"/>
      <c r="K78" s="259"/>
      <c r="L78" s="31"/>
      <c r="M78" s="31"/>
      <c r="N78" s="31"/>
      <c r="O78" s="31"/>
      <c r="P78" s="31"/>
      <c r="Q78" s="648"/>
      <c r="S78" s="1063"/>
    </row>
    <row r="79" spans="1:19" ht="13.9" customHeight="1" x14ac:dyDescent="0.25">
      <c r="A79" s="846">
        <f>Chem!A79</f>
        <v>77</v>
      </c>
      <c r="B79" s="857" t="str">
        <f>Chem!B79</f>
        <v>Aniline</v>
      </c>
      <c r="C79" s="393">
        <f>'SL-Eq'!F79</f>
        <v>560</v>
      </c>
      <c r="D79" s="535">
        <f>'SL-Eq'!G79</f>
        <v>175.43859649122805</v>
      </c>
      <c r="E79" s="531">
        <f t="shared" ref="E79:E115" si="39">IF(D79="na",IF(C79="na","na",C79),MIN(C79:D79))</f>
        <v>175.43859649122805</v>
      </c>
      <c r="F79" s="270" t="s">
        <v>232</v>
      </c>
      <c r="G79" s="270" t="s">
        <v>232</v>
      </c>
      <c r="H79" s="270" t="s">
        <v>232</v>
      </c>
      <c r="I79" s="270" t="str">
        <f t="shared" ref="I79:I145" si="40">IF(MIN(F79:H79)&gt;0,MIN(F79:H79),"na")</f>
        <v>na</v>
      </c>
      <c r="J79" s="46" t="str">
        <f t="shared" ref="J79:J145" si="41">H79</f>
        <v>na</v>
      </c>
      <c r="K79" s="46" t="s">
        <v>232</v>
      </c>
      <c r="L79" s="46" t="s">
        <v>232</v>
      </c>
      <c r="M79" s="46">
        <f>'SL-Eq'!H79</f>
        <v>24500</v>
      </c>
      <c r="N79" s="46">
        <f>'SL-Eq'!I79</f>
        <v>23026.315789473687</v>
      </c>
      <c r="O79" s="46">
        <f t="shared" ref="O79:O115" si="42">IF(N79="na",IF(M79="na","na",M79),MIN(M79:N79))</f>
        <v>23026.315789473687</v>
      </c>
      <c r="P79" s="1855" t="s">
        <v>232</v>
      </c>
      <c r="Q79" s="544" t="s">
        <v>232</v>
      </c>
      <c r="S79" s="1062"/>
    </row>
    <row r="80" spans="1:19" ht="13.9" customHeight="1" x14ac:dyDescent="0.25">
      <c r="A80" s="847">
        <f>Chem!A80</f>
        <v>78</v>
      </c>
      <c r="B80" s="857" t="str">
        <f>Chem!B80</f>
        <v>Azobenzene</v>
      </c>
      <c r="C80" s="343" t="str">
        <f>'SL-Eq'!F80</f>
        <v>na</v>
      </c>
      <c r="D80" s="535">
        <f>'SL-Eq'!G80</f>
        <v>9.0909090909090917</v>
      </c>
      <c r="E80" s="531">
        <f t="shared" si="39"/>
        <v>9.0909090909090917</v>
      </c>
      <c r="F80" s="270" t="s">
        <v>232</v>
      </c>
      <c r="G80" s="270" t="s">
        <v>232</v>
      </c>
      <c r="H80" s="270" t="s">
        <v>232</v>
      </c>
      <c r="I80" s="270" t="str">
        <f t="shared" si="40"/>
        <v>na</v>
      </c>
      <c r="J80" s="46" t="str">
        <f t="shared" si="41"/>
        <v>na</v>
      </c>
      <c r="K80" s="46" t="s">
        <v>232</v>
      </c>
      <c r="L80" s="46" t="s">
        <v>232</v>
      </c>
      <c r="M80" s="46" t="str">
        <f>'SL-Eq'!H80</f>
        <v>na</v>
      </c>
      <c r="N80" s="46">
        <f>'SL-Eq'!I80</f>
        <v>1193.1818181818185</v>
      </c>
      <c r="O80" s="46">
        <f t="shared" si="42"/>
        <v>1193.1818181818185</v>
      </c>
      <c r="P80" s="1855" t="s">
        <v>232</v>
      </c>
      <c r="Q80" s="1330" t="s">
        <v>232</v>
      </c>
      <c r="S80" s="1062"/>
    </row>
    <row r="81" spans="1:19" ht="13.9" customHeight="1" x14ac:dyDescent="0.25">
      <c r="A81" s="847">
        <f>Chem!A81</f>
        <v>79</v>
      </c>
      <c r="B81" s="857" t="str">
        <f>Chem!B81</f>
        <v>Benzidine</v>
      </c>
      <c r="C81" s="343">
        <f>'SL-Eq'!F81</f>
        <v>240</v>
      </c>
      <c r="D81" s="535">
        <f>'SL-Eq'!G81</f>
        <v>8.1999999999999998E-4</v>
      </c>
      <c r="E81" s="531">
        <f t="shared" si="39"/>
        <v>8.1999999999999998E-4</v>
      </c>
      <c r="F81" s="270" t="s">
        <v>232</v>
      </c>
      <c r="G81" s="270" t="s">
        <v>232</v>
      </c>
      <c r="H81" s="270" t="s">
        <v>232</v>
      </c>
      <c r="I81" s="270" t="str">
        <f t="shared" si="40"/>
        <v>na</v>
      </c>
      <c r="J81" s="46" t="str">
        <f t="shared" si="41"/>
        <v>na</v>
      </c>
      <c r="K81" s="46" t="s">
        <v>232</v>
      </c>
      <c r="L81" s="46" t="s">
        <v>232</v>
      </c>
      <c r="M81" s="46">
        <f>'SL-Eq'!H81</f>
        <v>10500</v>
      </c>
      <c r="N81" s="46">
        <f>'SL-Eq'!I81</f>
        <v>0.57065217391304357</v>
      </c>
      <c r="O81" s="46">
        <f t="shared" si="42"/>
        <v>0.57065217391304357</v>
      </c>
      <c r="P81" s="1855" t="s">
        <v>232</v>
      </c>
      <c r="Q81" s="1330" t="s">
        <v>232</v>
      </c>
      <c r="S81" s="1062"/>
    </row>
    <row r="82" spans="1:19" ht="13.9" customHeight="1" x14ac:dyDescent="0.25">
      <c r="A82" s="847">
        <f>Chem!A82</f>
        <v>80</v>
      </c>
      <c r="B82" s="857" t="str">
        <f>Chem!B82</f>
        <v>Benzoic acid</v>
      </c>
      <c r="C82" s="343">
        <f>'SL-Eq'!F82</f>
        <v>320000</v>
      </c>
      <c r="D82" s="535" t="str">
        <f>'SL-Eq'!G82</f>
        <v>na</v>
      </c>
      <c r="E82" s="531">
        <f t="shared" si="39"/>
        <v>320000</v>
      </c>
      <c r="F82" s="270" t="s">
        <v>232</v>
      </c>
      <c r="G82" s="270" t="s">
        <v>232</v>
      </c>
      <c r="H82" s="270" t="s">
        <v>232</v>
      </c>
      <c r="I82" s="270" t="str">
        <f t="shared" si="40"/>
        <v>na</v>
      </c>
      <c r="J82" s="46" t="str">
        <f t="shared" si="41"/>
        <v>na</v>
      </c>
      <c r="K82" s="46" t="s">
        <v>232</v>
      </c>
      <c r="L82" s="46" t="s">
        <v>232</v>
      </c>
      <c r="M82" s="46">
        <f>'SL-Eq'!H82</f>
        <v>14000000</v>
      </c>
      <c r="N82" s="46" t="str">
        <f>'SL-Eq'!I82</f>
        <v>na</v>
      </c>
      <c r="O82" s="46">
        <f t="shared" si="42"/>
        <v>14000000</v>
      </c>
      <c r="P82" s="1855" t="s">
        <v>232</v>
      </c>
      <c r="Q82" s="1330" t="s">
        <v>232</v>
      </c>
      <c r="S82" s="1062"/>
    </row>
    <row r="83" spans="1:19" ht="13.9" customHeight="1" x14ac:dyDescent="0.25">
      <c r="A83" s="847">
        <f>Chem!A83</f>
        <v>81</v>
      </c>
      <c r="B83" s="857" t="str">
        <f>Chem!B83</f>
        <v>Benzyl alcohol</v>
      </c>
      <c r="C83" s="343">
        <f>'SL-Eq'!F83</f>
        <v>8000</v>
      </c>
      <c r="D83" s="535" t="str">
        <f>'SL-Eq'!G83</f>
        <v>na</v>
      </c>
      <c r="E83" s="531">
        <f t="shared" si="39"/>
        <v>8000</v>
      </c>
      <c r="F83" s="270" t="s">
        <v>232</v>
      </c>
      <c r="G83" s="270" t="s">
        <v>232</v>
      </c>
      <c r="H83" s="270" t="s">
        <v>232</v>
      </c>
      <c r="I83" s="270" t="str">
        <f t="shared" si="40"/>
        <v>na</v>
      </c>
      <c r="J83" s="46" t="str">
        <f t="shared" si="41"/>
        <v>na</v>
      </c>
      <c r="K83" s="46" t="s">
        <v>232</v>
      </c>
      <c r="L83" s="46" t="s">
        <v>232</v>
      </c>
      <c r="M83" s="46">
        <f>'SL-Eq'!H83</f>
        <v>350000</v>
      </c>
      <c r="N83" s="46" t="str">
        <f>'SL-Eq'!I83</f>
        <v>na</v>
      </c>
      <c r="O83" s="46">
        <f t="shared" si="42"/>
        <v>350000</v>
      </c>
      <c r="P83" s="1855" t="s">
        <v>232</v>
      </c>
      <c r="Q83" s="1330" t="s">
        <v>232</v>
      </c>
      <c r="S83" s="1062"/>
    </row>
    <row r="84" spans="1:19" ht="13.9" customHeight="1" x14ac:dyDescent="0.25">
      <c r="A84" s="847">
        <f>Chem!A84</f>
        <v>82</v>
      </c>
      <c r="B84" s="857" t="str">
        <f>Chem!B84</f>
        <v>Bis(2-chloroethoxy)methane</v>
      </c>
      <c r="C84" s="343">
        <f>'SL-Eq'!F84</f>
        <v>240</v>
      </c>
      <c r="D84" s="535" t="str">
        <f>'SL-Eq'!G84</f>
        <v>na</v>
      </c>
      <c r="E84" s="531">
        <f t="shared" si="39"/>
        <v>240</v>
      </c>
      <c r="F84" s="270" t="s">
        <v>232</v>
      </c>
      <c r="G84" s="270" t="s">
        <v>232</v>
      </c>
      <c r="H84" s="270" t="s">
        <v>232</v>
      </c>
      <c r="I84" s="270" t="str">
        <f t="shared" si="40"/>
        <v>na</v>
      </c>
      <c r="J84" s="46" t="str">
        <f t="shared" si="41"/>
        <v>na</v>
      </c>
      <c r="K84" s="46" t="s">
        <v>232</v>
      </c>
      <c r="L84" s="46" t="s">
        <v>232</v>
      </c>
      <c r="M84" s="46">
        <f>'SL-Eq'!H84</f>
        <v>10500</v>
      </c>
      <c r="N84" s="46" t="str">
        <f>'SL-Eq'!I84</f>
        <v>na</v>
      </c>
      <c r="O84" s="46">
        <f t="shared" si="42"/>
        <v>10500</v>
      </c>
      <c r="P84" s="1855" t="s">
        <v>232</v>
      </c>
      <c r="Q84" s="1330" t="s">
        <v>232</v>
      </c>
      <c r="S84" s="1062"/>
    </row>
    <row r="85" spans="1:19" ht="13.9" customHeight="1" x14ac:dyDescent="0.25">
      <c r="A85" s="847">
        <f>Chem!A85</f>
        <v>83</v>
      </c>
      <c r="B85" s="857" t="str">
        <f>Chem!B85</f>
        <v>Bis(2-chloroethyl)ether</v>
      </c>
      <c r="C85" s="343" t="str">
        <f>'SL-Eq'!F85</f>
        <v>na</v>
      </c>
      <c r="D85" s="535">
        <f>'SL-Eq'!G85</f>
        <v>0.90909090909090906</v>
      </c>
      <c r="E85" s="531">
        <f t="shared" si="39"/>
        <v>0.90909090909090906</v>
      </c>
      <c r="F85" s="270" t="s">
        <v>232</v>
      </c>
      <c r="G85" s="270" t="s">
        <v>232</v>
      </c>
      <c r="H85" s="270" t="s">
        <v>232</v>
      </c>
      <c r="I85" s="270" t="str">
        <f t="shared" si="40"/>
        <v>na</v>
      </c>
      <c r="J85" s="46" t="str">
        <f t="shared" si="41"/>
        <v>na</v>
      </c>
      <c r="K85" s="46" t="s">
        <v>232</v>
      </c>
      <c r="L85" s="46" t="s">
        <v>232</v>
      </c>
      <c r="M85" s="46" t="str">
        <f>'SL-Eq'!H85</f>
        <v>na</v>
      </c>
      <c r="N85" s="46">
        <f>'SL-Eq'!I85</f>
        <v>119.31818181818184</v>
      </c>
      <c r="O85" s="46">
        <f t="shared" si="42"/>
        <v>119.31818181818184</v>
      </c>
      <c r="P85" s="1855" t="s">
        <v>232</v>
      </c>
      <c r="Q85" s="1330" t="s">
        <v>232</v>
      </c>
      <c r="S85" s="1062"/>
    </row>
    <row r="86" spans="1:19" ht="13.9" customHeight="1" x14ac:dyDescent="0.25">
      <c r="A86" s="847">
        <f>Chem!A86</f>
        <v>84</v>
      </c>
      <c r="B86" s="857" t="str">
        <f>Chem!B86</f>
        <v>Bis(chloromethyl)ether</v>
      </c>
      <c r="C86" s="343" t="str">
        <f>'SL-Eq'!F86</f>
        <v>na</v>
      </c>
      <c r="D86" s="535">
        <f>'SL-Eq'!G86</f>
        <v>4.5454545454545452E-3</v>
      </c>
      <c r="E86" s="531">
        <f t="shared" ref="E86" si="43">IF(D86="na",IF(C86="na","na",C86),MIN(C86:D86))</f>
        <v>4.5454545454545452E-3</v>
      </c>
      <c r="F86" s="270" t="s">
        <v>232</v>
      </c>
      <c r="G86" s="270" t="s">
        <v>232</v>
      </c>
      <c r="H86" s="270" t="s">
        <v>232</v>
      </c>
      <c r="I86" s="270" t="str">
        <f t="shared" ref="I86" si="44">IF(MIN(F86:H86)&gt;0,MIN(F86:H86),"na")</f>
        <v>na</v>
      </c>
      <c r="J86" s="46" t="str">
        <f t="shared" ref="J86" si="45">H86</f>
        <v>na</v>
      </c>
      <c r="K86" s="46" t="s">
        <v>232</v>
      </c>
      <c r="L86" s="46" t="s">
        <v>232</v>
      </c>
      <c r="M86" s="46" t="str">
        <f>'SL-Eq'!H86</f>
        <v>na</v>
      </c>
      <c r="N86" s="46">
        <f>'SL-Eq'!I86</f>
        <v>0.59659090909090917</v>
      </c>
      <c r="O86" s="46">
        <f t="shared" ref="O86" si="46">IF(N86="na",IF(M86="na","na",M86),MIN(M86:N86))</f>
        <v>0.59659090909090917</v>
      </c>
      <c r="P86" s="1855" t="s">
        <v>232</v>
      </c>
      <c r="Q86" s="1330" t="s">
        <v>232</v>
      </c>
      <c r="S86" s="1062"/>
    </row>
    <row r="87" spans="1:19" ht="13.9" customHeight="1" x14ac:dyDescent="0.25">
      <c r="A87" s="847">
        <f>Chem!A87</f>
        <v>85</v>
      </c>
      <c r="B87" s="857" t="str">
        <f>Chem!B87</f>
        <v xml:space="preserve">Bis(2-chloro-1-methylethyl)ether </v>
      </c>
      <c r="C87" s="343">
        <f>'SL-Eq'!F87</f>
        <v>3200</v>
      </c>
      <c r="D87" s="535">
        <f>'SL-Eq'!G87</f>
        <v>14.285714285714285</v>
      </c>
      <c r="E87" s="531">
        <f t="shared" si="39"/>
        <v>14.285714285714285</v>
      </c>
      <c r="F87" s="270" t="s">
        <v>232</v>
      </c>
      <c r="G87" s="270" t="s">
        <v>232</v>
      </c>
      <c r="H87" s="270" t="s">
        <v>232</v>
      </c>
      <c r="I87" s="270" t="str">
        <f t="shared" si="40"/>
        <v>na</v>
      </c>
      <c r="J87" s="46" t="str">
        <f t="shared" si="41"/>
        <v>na</v>
      </c>
      <c r="K87" s="46" t="s">
        <v>232</v>
      </c>
      <c r="L87" s="46" t="s">
        <v>232</v>
      </c>
      <c r="M87" s="46">
        <f>'SL-Eq'!H87</f>
        <v>140000</v>
      </c>
      <c r="N87" s="46">
        <f>'SL-Eq'!I87</f>
        <v>1875.0000000000002</v>
      </c>
      <c r="O87" s="46">
        <f t="shared" si="42"/>
        <v>1875.0000000000002</v>
      </c>
      <c r="P87" s="1855" t="s">
        <v>232</v>
      </c>
      <c r="Q87" s="1330" t="s">
        <v>232</v>
      </c>
      <c r="S87" s="1062"/>
    </row>
    <row r="88" spans="1:19" ht="13.9" customHeight="1" x14ac:dyDescent="0.25">
      <c r="A88" s="847">
        <f>Chem!A88</f>
        <v>86</v>
      </c>
      <c r="B88" s="857" t="str">
        <f>Chem!B88</f>
        <v>2,6-Bis(1,1-dimethylethyl) phenol</v>
      </c>
      <c r="C88" s="343" t="str">
        <f>'SL-Eq'!F88</f>
        <v>na</v>
      </c>
      <c r="D88" s="535" t="str">
        <f>'SL-Eq'!G88</f>
        <v>na</v>
      </c>
      <c r="E88" s="531" t="str">
        <f t="shared" si="39"/>
        <v>na</v>
      </c>
      <c r="F88" s="270" t="s">
        <v>232</v>
      </c>
      <c r="G88" s="270" t="s">
        <v>232</v>
      </c>
      <c r="H88" s="270" t="s">
        <v>232</v>
      </c>
      <c r="I88" s="270" t="str">
        <f t="shared" si="40"/>
        <v>na</v>
      </c>
      <c r="J88" s="46" t="str">
        <f t="shared" si="41"/>
        <v>na</v>
      </c>
      <c r="K88" s="46" t="s">
        <v>232</v>
      </c>
      <c r="L88" s="46" t="s">
        <v>232</v>
      </c>
      <c r="M88" s="46" t="str">
        <f>'SL-Eq'!H88</f>
        <v>na</v>
      </c>
      <c r="N88" s="46" t="str">
        <f>'SL-Eq'!I88</f>
        <v>na</v>
      </c>
      <c r="O88" s="46" t="str">
        <f t="shared" si="42"/>
        <v>na</v>
      </c>
      <c r="P88" s="1855" t="s">
        <v>232</v>
      </c>
      <c r="Q88" s="1330" t="s">
        <v>232</v>
      </c>
      <c r="S88" s="1062"/>
    </row>
    <row r="89" spans="1:19" ht="13.9" customHeight="1" x14ac:dyDescent="0.25">
      <c r="A89" s="847">
        <f>Chem!A89</f>
        <v>87</v>
      </c>
      <c r="B89" s="857" t="str">
        <f>Chem!B89</f>
        <v>Bis(2-ethylhexyl) phthalate</v>
      </c>
      <c r="C89" s="343">
        <f>'SL-Eq'!F89</f>
        <v>1600</v>
      </c>
      <c r="D89" s="535">
        <f>'SL-Eq'!G89</f>
        <v>71.428571428571431</v>
      </c>
      <c r="E89" s="531">
        <f t="shared" si="39"/>
        <v>71.428571428571431</v>
      </c>
      <c r="F89" s="270" t="s">
        <v>232</v>
      </c>
      <c r="G89" s="270" t="s">
        <v>232</v>
      </c>
      <c r="H89" s="270" t="s">
        <v>232</v>
      </c>
      <c r="I89" s="270" t="str">
        <f t="shared" si="40"/>
        <v>na</v>
      </c>
      <c r="J89" s="46" t="str">
        <f t="shared" si="41"/>
        <v>na</v>
      </c>
      <c r="K89" s="46" t="s">
        <v>232</v>
      </c>
      <c r="L89" s="46" t="s">
        <v>232</v>
      </c>
      <c r="M89" s="46">
        <f>'SL-Eq'!H89</f>
        <v>70000</v>
      </c>
      <c r="N89" s="46">
        <f>'SL-Eq'!I89</f>
        <v>9375.0000000000018</v>
      </c>
      <c r="O89" s="46">
        <f t="shared" si="42"/>
        <v>9375.0000000000018</v>
      </c>
      <c r="P89" s="1855" t="s">
        <v>232</v>
      </c>
      <c r="Q89" s="1330" t="s">
        <v>232</v>
      </c>
      <c r="S89" s="1062"/>
    </row>
    <row r="90" spans="1:19" ht="13.9" customHeight="1" x14ac:dyDescent="0.25">
      <c r="A90" s="847">
        <f>Chem!A90</f>
        <v>88</v>
      </c>
      <c r="B90" s="857" t="str">
        <f>Chem!B90</f>
        <v>4-Bromophenyl phenyl ether</v>
      </c>
      <c r="C90" s="343" t="str">
        <f>'SL-Eq'!F90</f>
        <v>na</v>
      </c>
      <c r="D90" s="535" t="str">
        <f>'SL-Eq'!G90</f>
        <v>na</v>
      </c>
      <c r="E90" s="531" t="str">
        <f t="shared" si="39"/>
        <v>na</v>
      </c>
      <c r="F90" s="270" t="s">
        <v>232</v>
      </c>
      <c r="G90" s="270" t="s">
        <v>232</v>
      </c>
      <c r="H90" s="270" t="s">
        <v>232</v>
      </c>
      <c r="I90" s="270" t="str">
        <f t="shared" si="40"/>
        <v>na</v>
      </c>
      <c r="J90" s="46" t="str">
        <f t="shared" si="41"/>
        <v>na</v>
      </c>
      <c r="K90" s="46" t="s">
        <v>232</v>
      </c>
      <c r="L90" s="46" t="s">
        <v>232</v>
      </c>
      <c r="M90" s="46" t="str">
        <f>'SL-Eq'!H90</f>
        <v>na</v>
      </c>
      <c r="N90" s="46" t="str">
        <f>'SL-Eq'!I90</f>
        <v>na</v>
      </c>
      <c r="O90" s="46" t="str">
        <f t="shared" si="42"/>
        <v>na</v>
      </c>
      <c r="P90" s="1855" t="s">
        <v>232</v>
      </c>
      <c r="Q90" s="1330" t="s">
        <v>232</v>
      </c>
      <c r="S90" s="1062"/>
    </row>
    <row r="91" spans="1:19" ht="13.9" customHeight="1" x14ac:dyDescent="0.25">
      <c r="A91" s="847">
        <f>Chem!A91</f>
        <v>89</v>
      </c>
      <c r="B91" s="857" t="str">
        <f>Chem!B91</f>
        <v>Butyl benzyl phthalate</v>
      </c>
      <c r="C91" s="343">
        <f>'SL-Eq'!F91</f>
        <v>16000</v>
      </c>
      <c r="D91" s="535">
        <f>'SL-Eq'!G91</f>
        <v>526.31578947368416</v>
      </c>
      <c r="E91" s="531">
        <f t="shared" si="39"/>
        <v>526.31578947368416</v>
      </c>
      <c r="F91" s="270" t="s">
        <v>232</v>
      </c>
      <c r="G91" s="270" t="s">
        <v>232</v>
      </c>
      <c r="H91" s="270" t="s">
        <v>232</v>
      </c>
      <c r="I91" s="270" t="str">
        <f t="shared" si="40"/>
        <v>na</v>
      </c>
      <c r="J91" s="46" t="str">
        <f t="shared" si="41"/>
        <v>na</v>
      </c>
      <c r="K91" s="46" t="s">
        <v>232</v>
      </c>
      <c r="L91" s="46" t="s">
        <v>232</v>
      </c>
      <c r="M91" s="46">
        <f>'SL-Eq'!H91</f>
        <v>700000</v>
      </c>
      <c r="N91" s="46">
        <f>'SL-Eq'!I91</f>
        <v>69078.947368421068</v>
      </c>
      <c r="O91" s="46">
        <f t="shared" si="42"/>
        <v>69078.947368421068</v>
      </c>
      <c r="P91" s="1855" t="s">
        <v>232</v>
      </c>
      <c r="Q91" s="1330" t="s">
        <v>232</v>
      </c>
      <c r="S91" s="1062"/>
    </row>
    <row r="92" spans="1:19" ht="13.9" customHeight="1" x14ac:dyDescent="0.25">
      <c r="A92" s="847">
        <f>Chem!A92</f>
        <v>90</v>
      </c>
      <c r="B92" s="857" t="str">
        <f>Chem!B92</f>
        <v>Butyl diphenyl phosphate</v>
      </c>
      <c r="C92" s="343" t="str">
        <f>'SL-Eq'!F92</f>
        <v>na</v>
      </c>
      <c r="D92" s="535" t="str">
        <f>'SL-Eq'!G92</f>
        <v>na</v>
      </c>
      <c r="E92" s="531" t="str">
        <f t="shared" si="39"/>
        <v>na</v>
      </c>
      <c r="F92" s="270" t="s">
        <v>232</v>
      </c>
      <c r="G92" s="270" t="s">
        <v>232</v>
      </c>
      <c r="H92" s="270" t="s">
        <v>232</v>
      </c>
      <c r="I92" s="270" t="str">
        <f t="shared" si="40"/>
        <v>na</v>
      </c>
      <c r="J92" s="46" t="str">
        <f t="shared" si="41"/>
        <v>na</v>
      </c>
      <c r="K92" s="46" t="s">
        <v>232</v>
      </c>
      <c r="L92" s="46" t="s">
        <v>232</v>
      </c>
      <c r="M92" s="46" t="str">
        <f>'SL-Eq'!H92</f>
        <v>na</v>
      </c>
      <c r="N92" s="46" t="str">
        <f>'SL-Eq'!I92</f>
        <v>na</v>
      </c>
      <c r="O92" s="46" t="str">
        <f t="shared" si="42"/>
        <v>na</v>
      </c>
      <c r="P92" s="1855" t="s">
        <v>232</v>
      </c>
      <c r="Q92" s="1330" t="s">
        <v>232</v>
      </c>
      <c r="S92" s="1062"/>
    </row>
    <row r="93" spans="1:19" ht="13.9" customHeight="1" x14ac:dyDescent="0.25">
      <c r="A93" s="847">
        <f>Chem!A93</f>
        <v>91</v>
      </c>
      <c r="B93" s="857" t="str">
        <f>Chem!B93</f>
        <v>Carbazole</v>
      </c>
      <c r="C93" s="343" t="str">
        <f>'SL-Eq'!F93</f>
        <v>na</v>
      </c>
      <c r="D93" s="535" t="str">
        <f>'SL-Eq'!G93</f>
        <v>na</v>
      </c>
      <c r="E93" s="531" t="str">
        <f t="shared" si="39"/>
        <v>na</v>
      </c>
      <c r="F93" s="270" t="s">
        <v>232</v>
      </c>
      <c r="G93" s="270" t="s">
        <v>232</v>
      </c>
      <c r="H93" s="270" t="s">
        <v>232</v>
      </c>
      <c r="I93" s="270" t="str">
        <f t="shared" si="40"/>
        <v>na</v>
      </c>
      <c r="J93" s="46" t="str">
        <f t="shared" si="41"/>
        <v>na</v>
      </c>
      <c r="K93" s="46" t="s">
        <v>232</v>
      </c>
      <c r="L93" s="46" t="s">
        <v>232</v>
      </c>
      <c r="M93" s="46" t="str">
        <f>'SL-Eq'!H93</f>
        <v>na</v>
      </c>
      <c r="N93" s="46" t="str">
        <f>'SL-Eq'!I93</f>
        <v>na</v>
      </c>
      <c r="O93" s="46" t="str">
        <f t="shared" si="42"/>
        <v>na</v>
      </c>
      <c r="P93" s="1855" t="s">
        <v>232</v>
      </c>
      <c r="Q93" s="1330" t="s">
        <v>232</v>
      </c>
      <c r="S93" s="1062"/>
    </row>
    <row r="94" spans="1:19" ht="13.9" customHeight="1" x14ac:dyDescent="0.25">
      <c r="A94" s="847">
        <f>Chem!A94</f>
        <v>92</v>
      </c>
      <c r="B94" s="857" t="str">
        <f>Chem!B94</f>
        <v>4-Chloroaniline</v>
      </c>
      <c r="C94" s="343">
        <f>'SL-Eq'!F94</f>
        <v>320</v>
      </c>
      <c r="D94" s="535">
        <f>'SL-Eq'!G94</f>
        <v>5</v>
      </c>
      <c r="E94" s="531">
        <f t="shared" si="39"/>
        <v>5</v>
      </c>
      <c r="F94" s="270" t="s">
        <v>232</v>
      </c>
      <c r="G94" s="270" t="s">
        <v>232</v>
      </c>
      <c r="H94" s="270" t="s">
        <v>232</v>
      </c>
      <c r="I94" s="270" t="str">
        <f t="shared" si="40"/>
        <v>na</v>
      </c>
      <c r="J94" s="46" t="str">
        <f t="shared" si="41"/>
        <v>na</v>
      </c>
      <c r="K94" s="46" t="s">
        <v>232</v>
      </c>
      <c r="L94" s="46" t="s">
        <v>232</v>
      </c>
      <c r="M94" s="46">
        <f>'SL-Eq'!H94</f>
        <v>14000</v>
      </c>
      <c r="N94" s="46">
        <f>'SL-Eq'!I94</f>
        <v>656.25000000000011</v>
      </c>
      <c r="O94" s="46">
        <f t="shared" si="42"/>
        <v>656.25000000000011</v>
      </c>
      <c r="P94" s="1855" t="s">
        <v>232</v>
      </c>
      <c r="Q94" s="1330" t="s">
        <v>232</v>
      </c>
      <c r="S94" s="1062"/>
    </row>
    <row r="95" spans="1:19" ht="13.9" customHeight="1" x14ac:dyDescent="0.25">
      <c r="A95" s="847">
        <f>Chem!A95</f>
        <v>93</v>
      </c>
      <c r="B95" s="857" t="str">
        <f>Chem!B95</f>
        <v>4-Chloro-3-methylphenol (chlorocresol)</v>
      </c>
      <c r="C95" s="343">
        <f>'SL-Eq'!F95</f>
        <v>8000</v>
      </c>
      <c r="D95" s="535" t="str">
        <f>'SL-Eq'!G95</f>
        <v>na</v>
      </c>
      <c r="E95" s="531">
        <f t="shared" si="39"/>
        <v>8000</v>
      </c>
      <c r="F95" s="270" t="s">
        <v>232</v>
      </c>
      <c r="G95" s="270" t="s">
        <v>232</v>
      </c>
      <c r="H95" s="270" t="s">
        <v>232</v>
      </c>
      <c r="I95" s="270" t="str">
        <f t="shared" si="40"/>
        <v>na</v>
      </c>
      <c r="J95" s="46" t="str">
        <f t="shared" si="41"/>
        <v>na</v>
      </c>
      <c r="K95" s="46" t="s">
        <v>232</v>
      </c>
      <c r="L95" s="46" t="s">
        <v>232</v>
      </c>
      <c r="M95" s="46">
        <f>'SL-Eq'!H95</f>
        <v>350000</v>
      </c>
      <c r="N95" s="46" t="str">
        <f>'SL-Eq'!I95</f>
        <v>na</v>
      </c>
      <c r="O95" s="46">
        <f t="shared" si="42"/>
        <v>350000</v>
      </c>
      <c r="P95" s="1855" t="s">
        <v>232</v>
      </c>
      <c r="Q95" s="1330" t="s">
        <v>232</v>
      </c>
      <c r="S95" s="1062"/>
    </row>
    <row r="96" spans="1:19" ht="13.9" customHeight="1" x14ac:dyDescent="0.25">
      <c r="A96" s="847">
        <f>Chem!A96</f>
        <v>94</v>
      </c>
      <c r="B96" s="857" t="str">
        <f>Chem!B96</f>
        <v>2-Chloronaphthalene (beta-)</v>
      </c>
      <c r="C96" s="343">
        <f>'SL-Eq'!F96</f>
        <v>6400</v>
      </c>
      <c r="D96" s="535" t="str">
        <f>'SL-Eq'!G96</f>
        <v>na</v>
      </c>
      <c r="E96" s="531">
        <f t="shared" si="39"/>
        <v>6400</v>
      </c>
      <c r="F96" s="270" t="s">
        <v>232</v>
      </c>
      <c r="G96" s="270" t="s">
        <v>232</v>
      </c>
      <c r="H96" s="270" t="s">
        <v>232</v>
      </c>
      <c r="I96" s="270" t="str">
        <f t="shared" si="40"/>
        <v>na</v>
      </c>
      <c r="J96" s="46" t="str">
        <f t="shared" si="41"/>
        <v>na</v>
      </c>
      <c r="K96" s="46" t="s">
        <v>232</v>
      </c>
      <c r="L96" s="46" t="s">
        <v>232</v>
      </c>
      <c r="M96" s="46">
        <f>'SL-Eq'!H96</f>
        <v>280000</v>
      </c>
      <c r="N96" s="46" t="str">
        <f>'SL-Eq'!I96</f>
        <v>na</v>
      </c>
      <c r="O96" s="46">
        <f t="shared" si="42"/>
        <v>280000</v>
      </c>
      <c r="P96" s="1855" t="s">
        <v>232</v>
      </c>
      <c r="Q96" s="1330" t="s">
        <v>232</v>
      </c>
      <c r="S96" s="1062"/>
    </row>
    <row r="97" spans="1:19" ht="13.9" customHeight="1" x14ac:dyDescent="0.25">
      <c r="A97" s="847">
        <f>Chem!A97</f>
        <v>95</v>
      </c>
      <c r="B97" s="857" t="str">
        <f>Chem!B97</f>
        <v>2-Chlorophenol</v>
      </c>
      <c r="C97" s="343">
        <f>'SL-Eq'!F97</f>
        <v>400</v>
      </c>
      <c r="D97" s="535" t="str">
        <f>'SL-Eq'!G97</f>
        <v>na</v>
      </c>
      <c r="E97" s="531">
        <f t="shared" si="39"/>
        <v>400</v>
      </c>
      <c r="F97" s="270" t="s">
        <v>232</v>
      </c>
      <c r="G97" s="270" t="s">
        <v>232</v>
      </c>
      <c r="H97" s="270" t="s">
        <v>232</v>
      </c>
      <c r="I97" s="270" t="str">
        <f t="shared" si="40"/>
        <v>na</v>
      </c>
      <c r="J97" s="46" t="str">
        <f t="shared" si="41"/>
        <v>na</v>
      </c>
      <c r="K97" s="46" t="s">
        <v>232</v>
      </c>
      <c r="L97" s="46" t="s">
        <v>232</v>
      </c>
      <c r="M97" s="46">
        <f>'SL-Eq'!H97</f>
        <v>17500</v>
      </c>
      <c r="N97" s="46" t="str">
        <f>'SL-Eq'!I97</f>
        <v>na</v>
      </c>
      <c r="O97" s="46">
        <f t="shared" si="42"/>
        <v>17500</v>
      </c>
      <c r="P97" s="1855" t="s">
        <v>232</v>
      </c>
      <c r="Q97" s="1330" t="s">
        <v>232</v>
      </c>
      <c r="S97" s="1062"/>
    </row>
    <row r="98" spans="1:19" ht="13.9" customHeight="1" x14ac:dyDescent="0.25">
      <c r="A98" s="847">
        <f>Chem!A98</f>
        <v>96</v>
      </c>
      <c r="B98" s="857" t="str">
        <f>Chem!B98</f>
        <v>4-Chlorophenyl phenyl ether</v>
      </c>
      <c r="C98" s="343" t="str">
        <f>'SL-Eq'!F98</f>
        <v>na</v>
      </c>
      <c r="D98" s="535" t="str">
        <f>'SL-Eq'!G98</f>
        <v>na</v>
      </c>
      <c r="E98" s="531" t="str">
        <f t="shared" si="39"/>
        <v>na</v>
      </c>
      <c r="F98" s="270" t="s">
        <v>232</v>
      </c>
      <c r="G98" s="270" t="s">
        <v>232</v>
      </c>
      <c r="H98" s="270" t="s">
        <v>232</v>
      </c>
      <c r="I98" s="270" t="str">
        <f t="shared" si="40"/>
        <v>na</v>
      </c>
      <c r="J98" s="46" t="str">
        <f t="shared" si="41"/>
        <v>na</v>
      </c>
      <c r="K98" s="46" t="s">
        <v>232</v>
      </c>
      <c r="L98" s="46" t="s">
        <v>232</v>
      </c>
      <c r="M98" s="46" t="str">
        <f>'SL-Eq'!H98</f>
        <v>na</v>
      </c>
      <c r="N98" s="46" t="str">
        <f>'SL-Eq'!I98</f>
        <v>na</v>
      </c>
      <c r="O98" s="46" t="str">
        <f t="shared" si="42"/>
        <v>na</v>
      </c>
      <c r="P98" s="1855" t="s">
        <v>232</v>
      </c>
      <c r="Q98" s="1330" t="s">
        <v>232</v>
      </c>
      <c r="S98" s="1062"/>
    </row>
    <row r="99" spans="1:19" ht="13.9" customHeight="1" x14ac:dyDescent="0.25">
      <c r="A99" s="847">
        <f>Chem!A99</f>
        <v>97</v>
      </c>
      <c r="B99" s="857" t="str">
        <f>Chem!B99</f>
        <v>Dibutyl phthalate</v>
      </c>
      <c r="C99" s="343">
        <f>'SL-Eq'!F99</f>
        <v>8000</v>
      </c>
      <c r="D99" s="535" t="str">
        <f>'SL-Eq'!G99</f>
        <v>na</v>
      </c>
      <c r="E99" s="531">
        <f t="shared" si="39"/>
        <v>8000</v>
      </c>
      <c r="F99" s="270">
        <v>200</v>
      </c>
      <c r="G99" s="270" t="s">
        <v>232</v>
      </c>
      <c r="H99" s="270" t="s">
        <v>232</v>
      </c>
      <c r="I99" s="270">
        <f t="shared" si="40"/>
        <v>200</v>
      </c>
      <c r="J99" s="46" t="str">
        <f t="shared" si="41"/>
        <v>na</v>
      </c>
      <c r="K99" s="46">
        <v>200</v>
      </c>
      <c r="L99" s="46" t="s">
        <v>232</v>
      </c>
      <c r="M99" s="46">
        <f>'SL-Eq'!H99</f>
        <v>350000</v>
      </c>
      <c r="N99" s="46" t="str">
        <f>'SL-Eq'!I99</f>
        <v>na</v>
      </c>
      <c r="O99" s="46">
        <f t="shared" si="42"/>
        <v>350000</v>
      </c>
      <c r="P99" s="1855" t="s">
        <v>232</v>
      </c>
      <c r="Q99" s="1330" t="s">
        <v>232</v>
      </c>
      <c r="S99" s="1062"/>
    </row>
    <row r="100" spans="1:19" ht="13.9" customHeight="1" x14ac:dyDescent="0.25">
      <c r="A100" s="847">
        <f>Chem!A100</f>
        <v>98</v>
      </c>
      <c r="B100" s="857" t="str">
        <f>Chem!B100</f>
        <v>Dibutyl phenyl phosphate</v>
      </c>
      <c r="C100" s="343" t="str">
        <f>'SL-Eq'!F100</f>
        <v>na</v>
      </c>
      <c r="D100" s="535" t="str">
        <f>'SL-Eq'!G100</f>
        <v>na</v>
      </c>
      <c r="E100" s="531" t="str">
        <f t="shared" si="39"/>
        <v>na</v>
      </c>
      <c r="F100" s="270" t="s">
        <v>232</v>
      </c>
      <c r="G100" s="270" t="s">
        <v>232</v>
      </c>
      <c r="H100" s="270" t="s">
        <v>232</v>
      </c>
      <c r="I100" s="270" t="str">
        <f t="shared" si="40"/>
        <v>na</v>
      </c>
      <c r="J100" s="46" t="str">
        <f t="shared" si="41"/>
        <v>na</v>
      </c>
      <c r="K100" s="46" t="s">
        <v>232</v>
      </c>
      <c r="L100" s="46" t="s">
        <v>232</v>
      </c>
      <c r="M100" s="46" t="str">
        <f>'SL-Eq'!H100</f>
        <v>na</v>
      </c>
      <c r="N100" s="46" t="str">
        <f>'SL-Eq'!I100</f>
        <v>na</v>
      </c>
      <c r="O100" s="46" t="str">
        <f t="shared" si="42"/>
        <v>na</v>
      </c>
      <c r="P100" s="1855" t="s">
        <v>232</v>
      </c>
      <c r="Q100" s="1330" t="s">
        <v>232</v>
      </c>
      <c r="S100" s="1062"/>
    </row>
    <row r="101" spans="1:19" ht="13.9" customHeight="1" x14ac:dyDescent="0.25">
      <c r="A101" s="847">
        <f>Chem!A101</f>
        <v>99</v>
      </c>
      <c r="B101" s="857" t="str">
        <f>Chem!B101</f>
        <v>1,2-Dichlorobenzene</v>
      </c>
      <c r="C101" s="343">
        <f>'SL-Eq'!F101</f>
        <v>7200</v>
      </c>
      <c r="D101" s="535" t="str">
        <f>'SL-Eq'!G101</f>
        <v>na</v>
      </c>
      <c r="E101" s="531">
        <f t="shared" si="39"/>
        <v>7200</v>
      </c>
      <c r="F101" s="270" t="s">
        <v>232</v>
      </c>
      <c r="G101" s="270" t="s">
        <v>232</v>
      </c>
      <c r="H101" s="270" t="s">
        <v>232</v>
      </c>
      <c r="I101" s="270" t="str">
        <f t="shared" si="40"/>
        <v>na</v>
      </c>
      <c r="J101" s="46" t="str">
        <f t="shared" si="41"/>
        <v>na</v>
      </c>
      <c r="K101" s="46" t="s">
        <v>232</v>
      </c>
      <c r="L101" s="46" t="s">
        <v>232</v>
      </c>
      <c r="M101" s="46">
        <f>'SL-Eq'!H101</f>
        <v>315000</v>
      </c>
      <c r="N101" s="46" t="str">
        <f>'SL-Eq'!I101</f>
        <v>na</v>
      </c>
      <c r="O101" s="46">
        <f t="shared" si="42"/>
        <v>315000</v>
      </c>
      <c r="P101" s="1855" t="s">
        <v>232</v>
      </c>
      <c r="Q101" s="1330" t="s">
        <v>232</v>
      </c>
      <c r="S101" s="1062"/>
    </row>
    <row r="102" spans="1:19" ht="13.9" customHeight="1" x14ac:dyDescent="0.25">
      <c r="A102" s="847">
        <f>Chem!A102</f>
        <v>100</v>
      </c>
      <c r="B102" s="857" t="str">
        <f>Chem!B102</f>
        <v>1,3-Dichlorobenzene</v>
      </c>
      <c r="C102" s="343" t="str">
        <f>'SL-Eq'!F102</f>
        <v>na</v>
      </c>
      <c r="D102" s="535" t="str">
        <f>'SL-Eq'!G102</f>
        <v>na</v>
      </c>
      <c r="E102" s="531" t="str">
        <f t="shared" si="39"/>
        <v>na</v>
      </c>
      <c r="F102" s="270" t="s">
        <v>232</v>
      </c>
      <c r="G102" s="270" t="s">
        <v>232</v>
      </c>
      <c r="H102" s="270" t="s">
        <v>232</v>
      </c>
      <c r="I102" s="270" t="str">
        <f t="shared" si="40"/>
        <v>na</v>
      </c>
      <c r="J102" s="46" t="str">
        <f t="shared" si="41"/>
        <v>na</v>
      </c>
      <c r="K102" s="46" t="s">
        <v>232</v>
      </c>
      <c r="L102" s="46" t="s">
        <v>232</v>
      </c>
      <c r="M102" s="46" t="str">
        <f>'SL-Eq'!H102</f>
        <v>na</v>
      </c>
      <c r="N102" s="46" t="str">
        <f>'SL-Eq'!I102</f>
        <v>na</v>
      </c>
      <c r="O102" s="46" t="str">
        <f t="shared" si="42"/>
        <v>na</v>
      </c>
      <c r="P102" s="1855" t="s">
        <v>232</v>
      </c>
      <c r="Q102" s="1330" t="s">
        <v>232</v>
      </c>
      <c r="S102" s="1062"/>
    </row>
    <row r="103" spans="1:19" ht="13.9" customHeight="1" x14ac:dyDescent="0.25">
      <c r="A103" s="847">
        <f>Chem!A103</f>
        <v>101</v>
      </c>
      <c r="B103" s="857" t="str">
        <f>Chem!B103</f>
        <v>1,4-Dichlorobenzene</v>
      </c>
      <c r="C103" s="343">
        <f>'SL-Eq'!F103</f>
        <v>5600.0000000000009</v>
      </c>
      <c r="D103" s="535">
        <f>'SL-Eq'!G103</f>
        <v>185.18518518518516</v>
      </c>
      <c r="E103" s="531">
        <f t="shared" si="39"/>
        <v>185.18518518518516</v>
      </c>
      <c r="F103" s="270" t="s">
        <v>232</v>
      </c>
      <c r="G103" s="270">
        <v>20</v>
      </c>
      <c r="H103" s="270" t="s">
        <v>232</v>
      </c>
      <c r="I103" s="270">
        <f t="shared" si="40"/>
        <v>20</v>
      </c>
      <c r="J103" s="46" t="str">
        <f t="shared" si="41"/>
        <v>na</v>
      </c>
      <c r="K103" s="46" t="s">
        <v>232</v>
      </c>
      <c r="L103" s="46" t="s">
        <v>232</v>
      </c>
      <c r="M103" s="46">
        <f>'SL-Eq'!H103</f>
        <v>245000.00000000003</v>
      </c>
      <c r="N103" s="46">
        <f>'SL-Eq'!I103</f>
        <v>24305.555555555558</v>
      </c>
      <c r="O103" s="46">
        <f t="shared" si="42"/>
        <v>24305.555555555558</v>
      </c>
      <c r="P103" s="1855" t="s">
        <v>232</v>
      </c>
      <c r="Q103" s="1330" t="s">
        <v>232</v>
      </c>
      <c r="S103" s="1062"/>
    </row>
    <row r="104" spans="1:19" ht="13.9" customHeight="1" x14ac:dyDescent="0.25">
      <c r="A104" s="847">
        <f>Chem!A104</f>
        <v>102</v>
      </c>
      <c r="B104" s="857" t="str">
        <f>Chem!B104</f>
        <v>3,3'-Dichlorobenzidine</v>
      </c>
      <c r="C104" s="343" t="str">
        <f>'SL-Eq'!F104</f>
        <v>na</v>
      </c>
      <c r="D104" s="535">
        <f>'SL-Eq'!G104</f>
        <v>2.2222222222222223</v>
      </c>
      <c r="E104" s="531">
        <f t="shared" si="39"/>
        <v>2.2222222222222223</v>
      </c>
      <c r="F104" s="270" t="s">
        <v>232</v>
      </c>
      <c r="G104" s="270" t="s">
        <v>232</v>
      </c>
      <c r="H104" s="270" t="s">
        <v>232</v>
      </c>
      <c r="I104" s="270" t="str">
        <f t="shared" si="40"/>
        <v>na</v>
      </c>
      <c r="J104" s="46" t="str">
        <f t="shared" si="41"/>
        <v>na</v>
      </c>
      <c r="K104" s="46" t="s">
        <v>232</v>
      </c>
      <c r="L104" s="46" t="s">
        <v>232</v>
      </c>
      <c r="M104" s="46" t="str">
        <f>'SL-Eq'!H104</f>
        <v>na</v>
      </c>
      <c r="N104" s="46">
        <f>'SL-Eq'!I104</f>
        <v>291.66666666666674</v>
      </c>
      <c r="O104" s="46">
        <f t="shared" si="42"/>
        <v>291.66666666666674</v>
      </c>
      <c r="P104" s="1855" t="s">
        <v>232</v>
      </c>
      <c r="Q104" s="1330" t="s">
        <v>232</v>
      </c>
      <c r="S104" s="1062"/>
    </row>
    <row r="105" spans="1:19" ht="13.9" customHeight="1" x14ac:dyDescent="0.25">
      <c r="A105" s="847">
        <f>Chem!A105</f>
        <v>103</v>
      </c>
      <c r="B105" s="857" t="str">
        <f>Chem!B105</f>
        <v>2,4-Dichlorophenol</v>
      </c>
      <c r="C105" s="343">
        <f>'SL-Eq'!F105</f>
        <v>240</v>
      </c>
      <c r="D105" s="535" t="str">
        <f>'SL-Eq'!G105</f>
        <v>na</v>
      </c>
      <c r="E105" s="531">
        <f t="shared" si="39"/>
        <v>240</v>
      </c>
      <c r="F105" s="270" t="s">
        <v>232</v>
      </c>
      <c r="G105" s="270" t="s">
        <v>232</v>
      </c>
      <c r="H105" s="270" t="s">
        <v>232</v>
      </c>
      <c r="I105" s="270" t="str">
        <f t="shared" si="40"/>
        <v>na</v>
      </c>
      <c r="J105" s="46" t="str">
        <f t="shared" si="41"/>
        <v>na</v>
      </c>
      <c r="K105" s="46" t="s">
        <v>232</v>
      </c>
      <c r="L105" s="46" t="s">
        <v>232</v>
      </c>
      <c r="M105" s="46">
        <f>'SL-Eq'!H105</f>
        <v>10500</v>
      </c>
      <c r="N105" s="46" t="str">
        <f>'SL-Eq'!I105</f>
        <v>na</v>
      </c>
      <c r="O105" s="46">
        <f t="shared" si="42"/>
        <v>10500</v>
      </c>
      <c r="P105" s="1855" t="s">
        <v>232</v>
      </c>
      <c r="Q105" s="1330" t="s">
        <v>232</v>
      </c>
      <c r="S105" s="1062"/>
    </row>
    <row r="106" spans="1:19" ht="13.9" customHeight="1" x14ac:dyDescent="0.25">
      <c r="A106" s="846">
        <f>Chem!A106</f>
        <v>104</v>
      </c>
      <c r="B106" s="857" t="str">
        <f>Chem!B106</f>
        <v>Di(2-ethylhexyl)adipate</v>
      </c>
      <c r="C106" s="343">
        <f>'SL-Eq'!F106</f>
        <v>48000</v>
      </c>
      <c r="D106" s="535">
        <f>'SL-Eq'!G106</f>
        <v>833.33333333333337</v>
      </c>
      <c r="E106" s="531">
        <f t="shared" ref="E106" si="47">IF(D106="na",IF(C106="na","na",C106),MIN(C106:D106))</f>
        <v>833.33333333333337</v>
      </c>
      <c r="F106" s="270" t="s">
        <v>232</v>
      </c>
      <c r="G106" s="270" t="s">
        <v>232</v>
      </c>
      <c r="H106" s="270" t="s">
        <v>232</v>
      </c>
      <c r="I106" s="270" t="str">
        <f t="shared" ref="I106" si="48">IF(MIN(F106:H106)&gt;0,MIN(F106:H106),"na")</f>
        <v>na</v>
      </c>
      <c r="J106" s="46" t="str">
        <f t="shared" ref="J106" si="49">H106</f>
        <v>na</v>
      </c>
      <c r="K106" s="46" t="s">
        <v>232</v>
      </c>
      <c r="L106" s="46" t="s">
        <v>232</v>
      </c>
      <c r="M106" s="46">
        <f>'SL-Eq'!H106</f>
        <v>2100000</v>
      </c>
      <c r="N106" s="46">
        <f>'SL-Eq'!I106</f>
        <v>109375.00000000003</v>
      </c>
      <c r="O106" s="46">
        <f t="shared" ref="O106" si="50">IF(N106="na",IF(M106="na","na",M106),MIN(M106:N106))</f>
        <v>109375.00000000003</v>
      </c>
      <c r="P106" s="1855" t="s">
        <v>232</v>
      </c>
      <c r="Q106" s="1330" t="s">
        <v>232</v>
      </c>
      <c r="S106" s="1062"/>
    </row>
    <row r="107" spans="1:19" ht="13.9" customHeight="1" x14ac:dyDescent="0.25">
      <c r="A107" s="846">
        <f>Chem!A107</f>
        <v>105</v>
      </c>
      <c r="B107" s="857" t="str">
        <f>Chem!B107</f>
        <v>Diethyl phthalate</v>
      </c>
      <c r="C107" s="343">
        <f>'SL-Eq'!F107</f>
        <v>64000</v>
      </c>
      <c r="D107" s="535" t="str">
        <f>'SL-Eq'!G107</f>
        <v>na</v>
      </c>
      <c r="E107" s="531">
        <f t="shared" si="39"/>
        <v>64000</v>
      </c>
      <c r="F107" s="270">
        <v>100</v>
      </c>
      <c r="G107" s="270" t="s">
        <v>232</v>
      </c>
      <c r="H107" s="270" t="s">
        <v>232</v>
      </c>
      <c r="I107" s="270">
        <f t="shared" si="40"/>
        <v>100</v>
      </c>
      <c r="J107" s="46" t="str">
        <f t="shared" si="41"/>
        <v>na</v>
      </c>
      <c r="K107" s="46" t="s">
        <v>232</v>
      </c>
      <c r="L107" s="46" t="s">
        <v>232</v>
      </c>
      <c r="M107" s="46">
        <f>'SL-Eq'!H107</f>
        <v>2800000</v>
      </c>
      <c r="N107" s="46" t="str">
        <f>'SL-Eq'!I107</f>
        <v>na</v>
      </c>
      <c r="O107" s="46">
        <f t="shared" si="42"/>
        <v>2800000</v>
      </c>
      <c r="P107" s="1855" t="s">
        <v>232</v>
      </c>
      <c r="Q107" s="1330" t="s">
        <v>232</v>
      </c>
      <c r="S107" s="1062"/>
    </row>
    <row r="108" spans="1:19" ht="13.9" customHeight="1" x14ac:dyDescent="0.25">
      <c r="A108" s="847">
        <f>Chem!A108</f>
        <v>106</v>
      </c>
      <c r="B108" s="857" t="str">
        <f>Chem!B108</f>
        <v>Dimethyl phthalate</v>
      </c>
      <c r="C108" s="343" t="str">
        <f>'SL-Eq'!F108</f>
        <v>na</v>
      </c>
      <c r="D108" s="535" t="str">
        <f>'SL-Eq'!G108</f>
        <v>na</v>
      </c>
      <c r="E108" s="531" t="str">
        <f t="shared" si="39"/>
        <v>na</v>
      </c>
      <c r="F108" s="270" t="s">
        <v>232</v>
      </c>
      <c r="G108" s="270">
        <v>200</v>
      </c>
      <c r="H108" s="270" t="s">
        <v>232</v>
      </c>
      <c r="I108" s="270">
        <f t="shared" si="40"/>
        <v>200</v>
      </c>
      <c r="J108" s="46" t="str">
        <f t="shared" si="41"/>
        <v>na</v>
      </c>
      <c r="K108" s="46" t="s">
        <v>232</v>
      </c>
      <c r="L108" s="46" t="s">
        <v>232</v>
      </c>
      <c r="M108" s="46" t="str">
        <f>'SL-Eq'!H108</f>
        <v>na</v>
      </c>
      <c r="N108" s="46" t="str">
        <f>'SL-Eq'!I108</f>
        <v>na</v>
      </c>
      <c r="O108" s="46" t="str">
        <f t="shared" si="42"/>
        <v>na</v>
      </c>
      <c r="P108" s="1855" t="s">
        <v>232</v>
      </c>
      <c r="Q108" s="1330" t="s">
        <v>232</v>
      </c>
      <c r="S108" s="1062"/>
    </row>
    <row r="109" spans="1:19" ht="13.9" customHeight="1" x14ac:dyDescent="0.25">
      <c r="A109" s="847">
        <f>Chem!A109</f>
        <v>107</v>
      </c>
      <c r="B109" s="857" t="str">
        <f>Chem!B109</f>
        <v>2,4-Dimethylphenol</v>
      </c>
      <c r="C109" s="343">
        <f>'SL-Eq'!F109</f>
        <v>1600</v>
      </c>
      <c r="D109" s="535" t="str">
        <f>'SL-Eq'!G109</f>
        <v>na</v>
      </c>
      <c r="E109" s="531">
        <f t="shared" si="39"/>
        <v>1600</v>
      </c>
      <c r="F109" s="270" t="s">
        <v>232</v>
      </c>
      <c r="G109" s="270" t="s">
        <v>232</v>
      </c>
      <c r="H109" s="270" t="s">
        <v>232</v>
      </c>
      <c r="I109" s="270" t="str">
        <f t="shared" si="40"/>
        <v>na</v>
      </c>
      <c r="J109" s="46" t="str">
        <f t="shared" si="41"/>
        <v>na</v>
      </c>
      <c r="K109" s="46" t="s">
        <v>232</v>
      </c>
      <c r="L109" s="46" t="s">
        <v>232</v>
      </c>
      <c r="M109" s="46">
        <f>'SL-Eq'!H109</f>
        <v>70000</v>
      </c>
      <c r="N109" s="46" t="str">
        <f>'SL-Eq'!I109</f>
        <v>na</v>
      </c>
      <c r="O109" s="46">
        <f t="shared" si="42"/>
        <v>70000</v>
      </c>
      <c r="P109" s="1855" t="s">
        <v>232</v>
      </c>
      <c r="Q109" s="1330" t="s">
        <v>232</v>
      </c>
      <c r="S109" s="1062"/>
    </row>
    <row r="110" spans="1:19" ht="13.9" customHeight="1" x14ac:dyDescent="0.25">
      <c r="A110" s="847">
        <f>Chem!A110</f>
        <v>108</v>
      </c>
      <c r="B110" s="857" t="str">
        <f>Chem!B110</f>
        <v>1,2-Dinitrobenzene</v>
      </c>
      <c r="C110" s="343">
        <f>'SL-Eq'!F110</f>
        <v>8</v>
      </c>
      <c r="D110" s="535" t="str">
        <f>'SL-Eq'!G110</f>
        <v>na</v>
      </c>
      <c r="E110" s="531">
        <f t="shared" ref="E110:E112" si="51">IF(D110="na",IF(C110="na","na",C110),MIN(C110:D110))</f>
        <v>8</v>
      </c>
      <c r="F110" s="270" t="s">
        <v>232</v>
      </c>
      <c r="G110" s="270" t="s">
        <v>232</v>
      </c>
      <c r="H110" s="270" t="s">
        <v>232</v>
      </c>
      <c r="I110" s="270" t="str">
        <f t="shared" ref="I110:I112" si="52">IF(MIN(F110:H110)&gt;0,MIN(F110:H110),"na")</f>
        <v>na</v>
      </c>
      <c r="J110" s="46" t="str">
        <f t="shared" ref="J110:J112" si="53">H110</f>
        <v>na</v>
      </c>
      <c r="K110" s="46" t="s">
        <v>232</v>
      </c>
      <c r="L110" s="46" t="s">
        <v>232</v>
      </c>
      <c r="M110" s="46">
        <f>'SL-Eq'!H110</f>
        <v>350</v>
      </c>
      <c r="N110" s="46" t="str">
        <f>'SL-Eq'!I110</f>
        <v>na</v>
      </c>
      <c r="O110" s="46">
        <f t="shared" ref="O110:O112" si="54">IF(N110="na",IF(M110="na","na",M110),MIN(M110:N110))</f>
        <v>350</v>
      </c>
      <c r="P110" s="1855" t="s">
        <v>232</v>
      </c>
      <c r="Q110" s="1330" t="s">
        <v>232</v>
      </c>
      <c r="S110" s="1062"/>
    </row>
    <row r="111" spans="1:19" ht="13.9" customHeight="1" x14ac:dyDescent="0.25">
      <c r="A111" s="847">
        <f>Chem!A111</f>
        <v>109</v>
      </c>
      <c r="B111" s="857" t="str">
        <f>Chem!B111</f>
        <v>1,3-Dinitrobenzene</v>
      </c>
      <c r="C111" s="343">
        <f>'SL-Eq'!F111</f>
        <v>8</v>
      </c>
      <c r="D111" s="535" t="str">
        <f>'SL-Eq'!G111</f>
        <v>na</v>
      </c>
      <c r="E111" s="531">
        <f t="shared" si="51"/>
        <v>8</v>
      </c>
      <c r="F111" s="270" t="s">
        <v>232</v>
      </c>
      <c r="G111" s="270" t="s">
        <v>232</v>
      </c>
      <c r="H111" s="270" t="s">
        <v>232</v>
      </c>
      <c r="I111" s="270" t="str">
        <f t="shared" si="52"/>
        <v>na</v>
      </c>
      <c r="J111" s="46" t="str">
        <f t="shared" si="53"/>
        <v>na</v>
      </c>
      <c r="K111" s="46" t="s">
        <v>232</v>
      </c>
      <c r="L111" s="46" t="s">
        <v>232</v>
      </c>
      <c r="M111" s="46">
        <f>'SL-Eq'!H111</f>
        <v>350</v>
      </c>
      <c r="N111" s="46" t="str">
        <f>'SL-Eq'!I111</f>
        <v>na</v>
      </c>
      <c r="O111" s="46">
        <f t="shared" si="54"/>
        <v>350</v>
      </c>
      <c r="P111" s="1855" t="s">
        <v>232</v>
      </c>
      <c r="Q111" s="1330" t="s">
        <v>232</v>
      </c>
      <c r="S111" s="1062"/>
    </row>
    <row r="112" spans="1:19" ht="13.9" customHeight="1" x14ac:dyDescent="0.25">
      <c r="A112" s="847">
        <f>Chem!A112</f>
        <v>110</v>
      </c>
      <c r="B112" s="857" t="str">
        <f>Chem!B112</f>
        <v>1,4-Dinitrobenzene</v>
      </c>
      <c r="C112" s="343">
        <f>'SL-Eq'!F112</f>
        <v>8</v>
      </c>
      <c r="D112" s="535" t="str">
        <f>'SL-Eq'!G112</f>
        <v>na</v>
      </c>
      <c r="E112" s="531">
        <f t="shared" si="51"/>
        <v>8</v>
      </c>
      <c r="F112" s="270" t="s">
        <v>232</v>
      </c>
      <c r="G112" s="270" t="s">
        <v>232</v>
      </c>
      <c r="H112" s="270" t="s">
        <v>232</v>
      </c>
      <c r="I112" s="270" t="str">
        <f t="shared" si="52"/>
        <v>na</v>
      </c>
      <c r="J112" s="46" t="str">
        <f t="shared" si="53"/>
        <v>na</v>
      </c>
      <c r="K112" s="46" t="s">
        <v>232</v>
      </c>
      <c r="L112" s="46" t="s">
        <v>232</v>
      </c>
      <c r="M112" s="46">
        <f>'SL-Eq'!H112</f>
        <v>350</v>
      </c>
      <c r="N112" s="46" t="str">
        <f>'SL-Eq'!I112</f>
        <v>na</v>
      </c>
      <c r="O112" s="46">
        <f t="shared" si="54"/>
        <v>350</v>
      </c>
      <c r="P112" s="1855" t="s">
        <v>232</v>
      </c>
      <c r="Q112" s="1330" t="s">
        <v>232</v>
      </c>
      <c r="S112" s="1062"/>
    </row>
    <row r="113" spans="1:19" ht="13.9" customHeight="1" x14ac:dyDescent="0.25">
      <c r="A113" s="847">
        <f>Chem!A113</f>
        <v>111</v>
      </c>
      <c r="B113" s="857" t="str">
        <f>Chem!B113</f>
        <v>4,6-Dinitro-o-cresol (DNOC)</v>
      </c>
      <c r="C113" s="343">
        <f>'SL-Eq'!F113</f>
        <v>6.4</v>
      </c>
      <c r="D113" s="535" t="str">
        <f>'SL-Eq'!G113</f>
        <v>na</v>
      </c>
      <c r="E113" s="531">
        <f t="shared" si="39"/>
        <v>6.4</v>
      </c>
      <c r="F113" s="270" t="s">
        <v>232</v>
      </c>
      <c r="G113" s="270" t="s">
        <v>232</v>
      </c>
      <c r="H113" s="270" t="s">
        <v>232</v>
      </c>
      <c r="I113" s="270" t="str">
        <f t="shared" si="40"/>
        <v>na</v>
      </c>
      <c r="J113" s="46" t="str">
        <f t="shared" si="41"/>
        <v>na</v>
      </c>
      <c r="K113" s="46" t="s">
        <v>232</v>
      </c>
      <c r="L113" s="46" t="s">
        <v>232</v>
      </c>
      <c r="M113" s="46">
        <f>'SL-Eq'!H113</f>
        <v>280</v>
      </c>
      <c r="N113" s="46" t="str">
        <f>'SL-Eq'!I113</f>
        <v>na</v>
      </c>
      <c r="O113" s="46">
        <f t="shared" si="42"/>
        <v>280</v>
      </c>
      <c r="P113" s="1855" t="s">
        <v>232</v>
      </c>
      <c r="Q113" s="1330" t="s">
        <v>232</v>
      </c>
      <c r="S113" s="1062"/>
    </row>
    <row r="114" spans="1:19" ht="13.9" customHeight="1" x14ac:dyDescent="0.25">
      <c r="A114" s="847">
        <f>Chem!A114</f>
        <v>112</v>
      </c>
      <c r="B114" s="857" t="str">
        <f>Chem!B114</f>
        <v>2,4-Dinitrophenol</v>
      </c>
      <c r="C114" s="343">
        <f>'SL-Eq'!F114</f>
        <v>160</v>
      </c>
      <c r="D114" s="535" t="str">
        <f>'SL-Eq'!G114</f>
        <v>na</v>
      </c>
      <c r="E114" s="531">
        <f t="shared" si="39"/>
        <v>160</v>
      </c>
      <c r="F114" s="270">
        <v>20</v>
      </c>
      <c r="G114" s="270" t="s">
        <v>232</v>
      </c>
      <c r="H114" s="270" t="s">
        <v>232</v>
      </c>
      <c r="I114" s="270">
        <f t="shared" si="40"/>
        <v>20</v>
      </c>
      <c r="J114" s="46" t="str">
        <f t="shared" si="41"/>
        <v>na</v>
      </c>
      <c r="K114" s="46" t="s">
        <v>232</v>
      </c>
      <c r="L114" s="46" t="s">
        <v>232</v>
      </c>
      <c r="M114" s="46">
        <f>'SL-Eq'!H114</f>
        <v>7000</v>
      </c>
      <c r="N114" s="46" t="str">
        <f>'SL-Eq'!I114</f>
        <v>na</v>
      </c>
      <c r="O114" s="46">
        <f t="shared" si="42"/>
        <v>7000</v>
      </c>
      <c r="P114" s="1855" t="s">
        <v>232</v>
      </c>
      <c r="Q114" s="1330" t="s">
        <v>232</v>
      </c>
      <c r="S114" s="1062"/>
    </row>
    <row r="115" spans="1:19" ht="13.9" customHeight="1" x14ac:dyDescent="0.25">
      <c r="A115" s="847">
        <f>Chem!A115</f>
        <v>113</v>
      </c>
      <c r="B115" s="857" t="str">
        <f>Chem!B115</f>
        <v>2,4-Dinitrotoluene</v>
      </c>
      <c r="C115" s="343">
        <f>'SL-Eq'!F115</f>
        <v>160</v>
      </c>
      <c r="D115" s="535">
        <f>'SL-Eq'!G115</f>
        <v>3.2258064516129035</v>
      </c>
      <c r="E115" s="531">
        <f t="shared" si="39"/>
        <v>3.2258064516129035</v>
      </c>
      <c r="F115" s="270" t="s">
        <v>232</v>
      </c>
      <c r="G115" s="270" t="s">
        <v>232</v>
      </c>
      <c r="H115" s="270" t="s">
        <v>232</v>
      </c>
      <c r="I115" s="270" t="str">
        <f t="shared" si="40"/>
        <v>na</v>
      </c>
      <c r="J115" s="46" t="str">
        <f t="shared" si="41"/>
        <v>na</v>
      </c>
      <c r="K115" s="46" t="s">
        <v>232</v>
      </c>
      <c r="L115" s="46" t="s">
        <v>232</v>
      </c>
      <c r="M115" s="46">
        <f>'SL-Eq'!H115</f>
        <v>7000</v>
      </c>
      <c r="N115" s="46">
        <f>'SL-Eq'!I115</f>
        <v>423.38709677419365</v>
      </c>
      <c r="O115" s="46">
        <f t="shared" si="42"/>
        <v>423.38709677419365</v>
      </c>
      <c r="P115" s="1855" t="s">
        <v>232</v>
      </c>
      <c r="Q115" s="1330" t="s">
        <v>232</v>
      </c>
      <c r="S115" s="1062"/>
    </row>
    <row r="116" spans="1:19" ht="13.9" customHeight="1" x14ac:dyDescent="0.25">
      <c r="A116" s="842">
        <f>Chem!A116</f>
        <v>114</v>
      </c>
      <c r="B116" s="857" t="str">
        <f>Chem!B116</f>
        <v>2,6-Dinitrotoluene</v>
      </c>
      <c r="C116" s="343">
        <f>'SL-Eq'!F116</f>
        <v>23.999999999999996</v>
      </c>
      <c r="D116" s="535">
        <f>'SL-Eq'!G116</f>
        <v>0.66666666666666663</v>
      </c>
      <c r="E116" s="531">
        <f t="shared" ref="E116:E145" si="55">IF(D116="na",IF(C116="na","na",C116),MIN(C116:D116))</f>
        <v>0.66666666666666663</v>
      </c>
      <c r="F116" s="270" t="s">
        <v>232</v>
      </c>
      <c r="G116" s="270" t="s">
        <v>232</v>
      </c>
      <c r="H116" s="270" t="s">
        <v>232</v>
      </c>
      <c r="I116" s="270" t="str">
        <f t="shared" si="40"/>
        <v>na</v>
      </c>
      <c r="J116" s="46" t="str">
        <f t="shared" si="41"/>
        <v>na</v>
      </c>
      <c r="K116" s="46" t="s">
        <v>232</v>
      </c>
      <c r="L116" s="46" t="s">
        <v>232</v>
      </c>
      <c r="M116" s="46">
        <f>'SL-Eq'!H116</f>
        <v>1050</v>
      </c>
      <c r="N116" s="46">
        <f>'SL-Eq'!I116</f>
        <v>87.500000000000014</v>
      </c>
      <c r="O116" s="46">
        <f t="shared" ref="O116:O145" si="56">IF(N116="na",IF(M116="na","na",M116),MIN(M116:N116))</f>
        <v>87.500000000000014</v>
      </c>
      <c r="P116" s="1855" t="s">
        <v>232</v>
      </c>
      <c r="Q116" s="1330" t="s">
        <v>232</v>
      </c>
      <c r="S116" s="1062"/>
    </row>
    <row r="117" spans="1:19" ht="13.9" customHeight="1" x14ac:dyDescent="0.25">
      <c r="A117" s="847">
        <f>Chem!A117</f>
        <v>115</v>
      </c>
      <c r="B117" s="857" t="str">
        <f>Chem!B117</f>
        <v>Di-n-octyl phthalate</v>
      </c>
      <c r="C117" s="343">
        <f>'SL-Eq'!F117</f>
        <v>800</v>
      </c>
      <c r="D117" s="535" t="str">
        <f>'SL-Eq'!G117</f>
        <v>na</v>
      </c>
      <c r="E117" s="531">
        <f t="shared" si="55"/>
        <v>800</v>
      </c>
      <c r="F117" s="270" t="s">
        <v>232</v>
      </c>
      <c r="G117" s="270" t="s">
        <v>232</v>
      </c>
      <c r="H117" s="270" t="s">
        <v>232</v>
      </c>
      <c r="I117" s="270" t="str">
        <f t="shared" si="40"/>
        <v>na</v>
      </c>
      <c r="J117" s="46" t="str">
        <f t="shared" si="41"/>
        <v>na</v>
      </c>
      <c r="K117" s="46" t="s">
        <v>232</v>
      </c>
      <c r="L117" s="46" t="s">
        <v>232</v>
      </c>
      <c r="M117" s="46">
        <f>'SL-Eq'!H117</f>
        <v>35000</v>
      </c>
      <c r="N117" s="46" t="str">
        <f>'SL-Eq'!I117</f>
        <v>na</v>
      </c>
      <c r="O117" s="46">
        <f t="shared" si="56"/>
        <v>35000</v>
      </c>
      <c r="P117" s="1855" t="s">
        <v>232</v>
      </c>
      <c r="Q117" s="1330" t="s">
        <v>232</v>
      </c>
      <c r="S117" s="1062"/>
    </row>
    <row r="118" spans="1:19" ht="13.9" customHeight="1" x14ac:dyDescent="0.25">
      <c r="A118" s="848">
        <f>Chem!A118</f>
        <v>116</v>
      </c>
      <c r="B118" s="878" t="str">
        <f>Chem!B118</f>
        <v>1,4-Dioxane</v>
      </c>
      <c r="C118" s="343">
        <f>'SL-Eq'!F118</f>
        <v>2400</v>
      </c>
      <c r="D118" s="535">
        <f>'SL-Eq'!G118</f>
        <v>10</v>
      </c>
      <c r="E118" s="531">
        <f t="shared" si="55"/>
        <v>10</v>
      </c>
      <c r="F118" s="270" t="s">
        <v>232</v>
      </c>
      <c r="G118" s="270" t="s">
        <v>232</v>
      </c>
      <c r="H118" s="270" t="s">
        <v>232</v>
      </c>
      <c r="I118" s="270" t="str">
        <f t="shared" si="40"/>
        <v>na</v>
      </c>
      <c r="J118" s="46" t="str">
        <f t="shared" si="41"/>
        <v>na</v>
      </c>
      <c r="K118" s="46" t="s">
        <v>232</v>
      </c>
      <c r="L118" s="46" t="s">
        <v>232</v>
      </c>
      <c r="M118" s="46">
        <f>'SL-Eq'!H118</f>
        <v>105000</v>
      </c>
      <c r="N118" s="46">
        <f>'SL-Eq'!I118</f>
        <v>1312.5000000000002</v>
      </c>
      <c r="O118" s="46">
        <f t="shared" si="56"/>
        <v>1312.5000000000002</v>
      </c>
      <c r="P118" s="1855" t="s">
        <v>232</v>
      </c>
      <c r="Q118" s="1330" t="s">
        <v>232</v>
      </c>
      <c r="S118" s="1062"/>
    </row>
    <row r="119" spans="1:19" ht="13.9" customHeight="1" x14ac:dyDescent="0.25">
      <c r="A119" s="848">
        <f>Chem!A119</f>
        <v>117</v>
      </c>
      <c r="B119" s="856" t="str">
        <f>Chem!B119</f>
        <v>1,2-Diphenylhydrazine</v>
      </c>
      <c r="C119" s="343" t="str">
        <f>'SL-Eq'!F119</f>
        <v>na</v>
      </c>
      <c r="D119" s="535">
        <f>'SL-Eq'!G119</f>
        <v>1.25</v>
      </c>
      <c r="E119" s="531">
        <f t="shared" si="55"/>
        <v>1.25</v>
      </c>
      <c r="F119" s="270" t="s">
        <v>232</v>
      </c>
      <c r="G119" s="270" t="s">
        <v>232</v>
      </c>
      <c r="H119" s="270" t="s">
        <v>232</v>
      </c>
      <c r="I119" s="270" t="str">
        <f t="shared" si="40"/>
        <v>na</v>
      </c>
      <c r="J119" s="46" t="str">
        <f t="shared" si="41"/>
        <v>na</v>
      </c>
      <c r="K119" s="46" t="s">
        <v>232</v>
      </c>
      <c r="L119" s="46" t="s">
        <v>232</v>
      </c>
      <c r="M119" s="46" t="str">
        <f>'SL-Eq'!H119</f>
        <v>na</v>
      </c>
      <c r="N119" s="46">
        <f>'SL-Eq'!I119</f>
        <v>164.06250000000003</v>
      </c>
      <c r="O119" s="46">
        <f t="shared" si="56"/>
        <v>164.06250000000003</v>
      </c>
      <c r="P119" s="1855" t="s">
        <v>232</v>
      </c>
      <c r="Q119" s="1330" t="s">
        <v>232</v>
      </c>
      <c r="S119" s="1062"/>
    </row>
    <row r="120" spans="1:19" ht="13.9" customHeight="1" x14ac:dyDescent="0.25">
      <c r="A120" s="847">
        <f>Chem!A120</f>
        <v>118</v>
      </c>
      <c r="B120" s="857" t="str">
        <f>Chem!B120</f>
        <v>Hexachlorobenzene</v>
      </c>
      <c r="C120" s="343">
        <f>'SL-Eq'!F120</f>
        <v>64</v>
      </c>
      <c r="D120" s="535">
        <f>'SL-Eq'!G120</f>
        <v>0.625</v>
      </c>
      <c r="E120" s="531">
        <f t="shared" si="55"/>
        <v>0.625</v>
      </c>
      <c r="F120" s="270" t="s">
        <v>232</v>
      </c>
      <c r="G120" s="270" t="s">
        <v>232</v>
      </c>
      <c r="H120" s="270">
        <v>17</v>
      </c>
      <c r="I120" s="270">
        <f t="shared" si="40"/>
        <v>17</v>
      </c>
      <c r="J120" s="46">
        <f t="shared" si="41"/>
        <v>17</v>
      </c>
      <c r="K120" s="46">
        <v>31</v>
      </c>
      <c r="L120" s="46">
        <v>31</v>
      </c>
      <c r="M120" s="46">
        <f>'SL-Eq'!H120</f>
        <v>2800</v>
      </c>
      <c r="N120" s="46">
        <f>'SL-Eq'!I120</f>
        <v>82.031250000000014</v>
      </c>
      <c r="O120" s="46">
        <f t="shared" si="56"/>
        <v>82.031250000000014</v>
      </c>
      <c r="P120" s="1855" t="s">
        <v>232</v>
      </c>
      <c r="Q120" s="1330" t="s">
        <v>232</v>
      </c>
      <c r="S120" s="1062"/>
    </row>
    <row r="121" spans="1:19" ht="13.9" customHeight="1" x14ac:dyDescent="0.25">
      <c r="A121" s="847">
        <f>Chem!A121</f>
        <v>119</v>
      </c>
      <c r="B121" s="857" t="str">
        <f>Chem!B121</f>
        <v>Hexachlorobutadiene</v>
      </c>
      <c r="C121" s="343">
        <f>'SL-Eq'!F121</f>
        <v>80</v>
      </c>
      <c r="D121" s="535">
        <f>'SL-Eq'!G121</f>
        <v>12.820512820512821</v>
      </c>
      <c r="E121" s="531">
        <f t="shared" si="55"/>
        <v>12.820512820512821</v>
      </c>
      <c r="F121" s="270" t="s">
        <v>232</v>
      </c>
      <c r="G121" s="270" t="s">
        <v>232</v>
      </c>
      <c r="H121" s="270" t="s">
        <v>232</v>
      </c>
      <c r="I121" s="270" t="str">
        <f t="shared" si="40"/>
        <v>na</v>
      </c>
      <c r="J121" s="46" t="str">
        <f t="shared" si="41"/>
        <v>na</v>
      </c>
      <c r="K121" s="46" t="s">
        <v>232</v>
      </c>
      <c r="L121" s="46" t="s">
        <v>232</v>
      </c>
      <c r="M121" s="46">
        <f>'SL-Eq'!H121</f>
        <v>3500</v>
      </c>
      <c r="N121" s="46">
        <f>'SL-Eq'!I121</f>
        <v>1682.6923076923081</v>
      </c>
      <c r="O121" s="46">
        <f t="shared" si="56"/>
        <v>1682.6923076923081</v>
      </c>
      <c r="P121" s="1855" t="s">
        <v>232</v>
      </c>
      <c r="Q121" s="1330" t="s">
        <v>232</v>
      </c>
      <c r="S121" s="1062"/>
    </row>
    <row r="122" spans="1:19" ht="13.9" customHeight="1" x14ac:dyDescent="0.25">
      <c r="A122" s="847">
        <f>Chem!A122</f>
        <v>120</v>
      </c>
      <c r="B122" s="857" t="str">
        <f>Chem!B122</f>
        <v>Hexachlorocyclopentadiene</v>
      </c>
      <c r="C122" s="343">
        <f>'SL-Eq'!F122</f>
        <v>480</v>
      </c>
      <c r="D122" s="535" t="str">
        <f>'SL-Eq'!G122</f>
        <v>na</v>
      </c>
      <c r="E122" s="531">
        <f t="shared" si="55"/>
        <v>480</v>
      </c>
      <c r="F122" s="270">
        <v>10</v>
      </c>
      <c r="G122" s="270" t="s">
        <v>232</v>
      </c>
      <c r="H122" s="270" t="s">
        <v>232</v>
      </c>
      <c r="I122" s="270">
        <f t="shared" si="40"/>
        <v>10</v>
      </c>
      <c r="J122" s="46" t="str">
        <f t="shared" si="41"/>
        <v>na</v>
      </c>
      <c r="K122" s="46" t="s">
        <v>232</v>
      </c>
      <c r="L122" s="46" t="s">
        <v>232</v>
      </c>
      <c r="M122" s="46">
        <f>'SL-Eq'!H122</f>
        <v>21000</v>
      </c>
      <c r="N122" s="46" t="str">
        <f>'SL-Eq'!I122</f>
        <v>na</v>
      </c>
      <c r="O122" s="46">
        <f t="shared" si="56"/>
        <v>21000</v>
      </c>
      <c r="P122" s="1855" t="s">
        <v>232</v>
      </c>
      <c r="Q122" s="1330" t="s">
        <v>232</v>
      </c>
      <c r="S122" s="1062"/>
    </row>
    <row r="123" spans="1:19" ht="13.9" customHeight="1" x14ac:dyDescent="0.25">
      <c r="A123" s="847">
        <f>Chem!A123</f>
        <v>121</v>
      </c>
      <c r="B123" s="857" t="str">
        <f>Chem!B123</f>
        <v>Hexachloroethane</v>
      </c>
      <c r="C123" s="343">
        <f>'SL-Eq'!F123</f>
        <v>56</v>
      </c>
      <c r="D123" s="535">
        <f>'SL-Eq'!G123</f>
        <v>25</v>
      </c>
      <c r="E123" s="531">
        <f t="shared" si="55"/>
        <v>25</v>
      </c>
      <c r="F123" s="270" t="s">
        <v>232</v>
      </c>
      <c r="G123" s="270" t="s">
        <v>232</v>
      </c>
      <c r="H123" s="270" t="s">
        <v>232</v>
      </c>
      <c r="I123" s="270" t="str">
        <f t="shared" si="40"/>
        <v>na</v>
      </c>
      <c r="J123" s="46" t="str">
        <f t="shared" si="41"/>
        <v>na</v>
      </c>
      <c r="K123" s="46" t="s">
        <v>232</v>
      </c>
      <c r="L123" s="46" t="s">
        <v>232</v>
      </c>
      <c r="M123" s="46">
        <f>'SL-Eq'!H123</f>
        <v>2450</v>
      </c>
      <c r="N123" s="46">
        <f>'SL-Eq'!I123</f>
        <v>3281.2500000000005</v>
      </c>
      <c r="O123" s="46">
        <f t="shared" si="56"/>
        <v>2450</v>
      </c>
      <c r="P123" s="1855" t="s">
        <v>232</v>
      </c>
      <c r="Q123" s="1330" t="s">
        <v>232</v>
      </c>
      <c r="S123" s="1062"/>
    </row>
    <row r="124" spans="1:19" ht="13.9" customHeight="1" x14ac:dyDescent="0.25">
      <c r="A124" s="847">
        <f>Chem!A124</f>
        <v>122</v>
      </c>
      <c r="B124" s="857" t="str">
        <f>Chem!B124</f>
        <v>Isophorone</v>
      </c>
      <c r="C124" s="343">
        <f>'SL-Eq'!F124</f>
        <v>16000</v>
      </c>
      <c r="D124" s="535">
        <f>'SL-Eq'!G124</f>
        <v>1052.6315789473683</v>
      </c>
      <c r="E124" s="531">
        <f t="shared" si="55"/>
        <v>1052.6315789473683</v>
      </c>
      <c r="F124" s="270" t="s">
        <v>232</v>
      </c>
      <c r="G124" s="270" t="s">
        <v>232</v>
      </c>
      <c r="H124" s="270" t="s">
        <v>232</v>
      </c>
      <c r="I124" s="270" t="str">
        <f t="shared" si="40"/>
        <v>na</v>
      </c>
      <c r="J124" s="46" t="str">
        <f t="shared" si="41"/>
        <v>na</v>
      </c>
      <c r="K124" s="46" t="s">
        <v>232</v>
      </c>
      <c r="L124" s="46" t="s">
        <v>232</v>
      </c>
      <c r="M124" s="46">
        <f>'SL-Eq'!H124</f>
        <v>700000</v>
      </c>
      <c r="N124" s="46">
        <f>'SL-Eq'!I124</f>
        <v>138157.89473684214</v>
      </c>
      <c r="O124" s="46">
        <f t="shared" si="56"/>
        <v>138157.89473684214</v>
      </c>
      <c r="P124" s="1855" t="s">
        <v>232</v>
      </c>
      <c r="Q124" s="1330" t="s">
        <v>232</v>
      </c>
      <c r="S124" s="1062"/>
    </row>
    <row r="125" spans="1:19" ht="13.9" customHeight="1" x14ac:dyDescent="0.25">
      <c r="A125" s="847">
        <f>Chem!A125</f>
        <v>123</v>
      </c>
      <c r="B125" s="857" t="str">
        <f>Chem!B125</f>
        <v>2-Methoxynaphthalene</v>
      </c>
      <c r="C125" s="343" t="str">
        <f>'SL-Eq'!F125</f>
        <v>na</v>
      </c>
      <c r="D125" s="535" t="str">
        <f>'SL-Eq'!G125</f>
        <v>na</v>
      </c>
      <c r="E125" s="531" t="str">
        <f t="shared" si="55"/>
        <v>na</v>
      </c>
      <c r="F125" s="270" t="s">
        <v>232</v>
      </c>
      <c r="G125" s="270" t="s">
        <v>232</v>
      </c>
      <c r="H125" s="270" t="s">
        <v>232</v>
      </c>
      <c r="I125" s="270" t="str">
        <f t="shared" si="40"/>
        <v>na</v>
      </c>
      <c r="J125" s="46" t="str">
        <f t="shared" si="41"/>
        <v>na</v>
      </c>
      <c r="K125" s="46" t="s">
        <v>232</v>
      </c>
      <c r="L125" s="46" t="s">
        <v>232</v>
      </c>
      <c r="M125" s="46" t="str">
        <f>'SL-Eq'!H125</f>
        <v>na</v>
      </c>
      <c r="N125" s="46" t="str">
        <f>'SL-Eq'!I125</f>
        <v>na</v>
      </c>
      <c r="O125" s="46" t="str">
        <f t="shared" si="56"/>
        <v>na</v>
      </c>
      <c r="P125" s="1855" t="s">
        <v>232</v>
      </c>
      <c r="Q125" s="1330" t="s">
        <v>232</v>
      </c>
      <c r="S125" s="1062"/>
    </row>
    <row r="126" spans="1:19" ht="13.9" customHeight="1" x14ac:dyDescent="0.25">
      <c r="A126" s="847">
        <f>Chem!A126</f>
        <v>124</v>
      </c>
      <c r="B126" s="857" t="str">
        <f>Chem!B126</f>
        <v>2-Methylphenol (o-cresol)</v>
      </c>
      <c r="C126" s="343">
        <f>'SL-Eq'!F126</f>
        <v>4000</v>
      </c>
      <c r="D126" s="535" t="str">
        <f>'SL-Eq'!G126</f>
        <v>na</v>
      </c>
      <c r="E126" s="531">
        <f t="shared" si="55"/>
        <v>4000</v>
      </c>
      <c r="F126" s="270" t="s">
        <v>232</v>
      </c>
      <c r="G126" s="270" t="s">
        <v>232</v>
      </c>
      <c r="H126" s="270" t="s">
        <v>232</v>
      </c>
      <c r="I126" s="270" t="str">
        <f t="shared" si="40"/>
        <v>na</v>
      </c>
      <c r="J126" s="46" t="str">
        <f t="shared" si="41"/>
        <v>na</v>
      </c>
      <c r="K126" s="46" t="s">
        <v>232</v>
      </c>
      <c r="L126" s="46" t="s">
        <v>232</v>
      </c>
      <c r="M126" s="46">
        <f>'SL-Eq'!H126</f>
        <v>175000</v>
      </c>
      <c r="N126" s="46" t="str">
        <f>'SL-Eq'!I126</f>
        <v>na</v>
      </c>
      <c r="O126" s="46">
        <f t="shared" si="56"/>
        <v>175000</v>
      </c>
      <c r="P126" s="1855" t="s">
        <v>232</v>
      </c>
      <c r="Q126" s="1330" t="s">
        <v>232</v>
      </c>
      <c r="S126" s="1062"/>
    </row>
    <row r="127" spans="1:19" ht="13.9" customHeight="1" x14ac:dyDescent="0.25">
      <c r="A127" s="847">
        <f>Chem!A127</f>
        <v>125</v>
      </c>
      <c r="B127" s="857" t="str">
        <f>Chem!B127</f>
        <v>3-Methylphenol (m-cresol)</v>
      </c>
      <c r="C127" s="343">
        <f>'SL-Eq'!F127</f>
        <v>4000</v>
      </c>
      <c r="D127" s="535" t="str">
        <f>'SL-Eq'!G127</f>
        <v>na</v>
      </c>
      <c r="E127" s="531">
        <f t="shared" ref="E127" si="57">IF(D127="na",IF(C127="na","na",C127),MIN(C127:D127))</f>
        <v>4000</v>
      </c>
      <c r="F127" s="270" t="s">
        <v>232</v>
      </c>
      <c r="G127" s="270" t="s">
        <v>232</v>
      </c>
      <c r="H127" s="270" t="s">
        <v>232</v>
      </c>
      <c r="I127" s="270" t="str">
        <f t="shared" ref="I127" si="58">IF(MIN(F127:H127)&gt;0,MIN(F127:H127),"na")</f>
        <v>na</v>
      </c>
      <c r="J127" s="46" t="str">
        <f t="shared" ref="J127" si="59">H127</f>
        <v>na</v>
      </c>
      <c r="K127" s="46" t="s">
        <v>232</v>
      </c>
      <c r="L127" s="46" t="s">
        <v>232</v>
      </c>
      <c r="M127" s="46">
        <f>'SL-Eq'!H127</f>
        <v>175000</v>
      </c>
      <c r="N127" s="46" t="str">
        <f>'SL-Eq'!I127</f>
        <v>na</v>
      </c>
      <c r="O127" s="46">
        <f t="shared" ref="O127" si="60">IF(N127="na",IF(M127="na","na",M127),MIN(M127:N127))</f>
        <v>175000</v>
      </c>
      <c r="P127" s="1855" t="s">
        <v>232</v>
      </c>
      <c r="Q127" s="1330" t="s">
        <v>232</v>
      </c>
      <c r="S127" s="1062"/>
    </row>
    <row r="128" spans="1:19" ht="13.9" customHeight="1" x14ac:dyDescent="0.25">
      <c r="A128" s="847">
        <f>Chem!A128</f>
        <v>126</v>
      </c>
      <c r="B128" s="857" t="str">
        <f>Chem!B128</f>
        <v>4-Methylphenol (p-cresol)</v>
      </c>
      <c r="C128" s="343">
        <f>'SL-Eq'!F128</f>
        <v>8000</v>
      </c>
      <c r="D128" s="535" t="str">
        <f>'SL-Eq'!G128</f>
        <v>na</v>
      </c>
      <c r="E128" s="531">
        <f t="shared" si="55"/>
        <v>8000</v>
      </c>
      <c r="F128" s="270" t="s">
        <v>232</v>
      </c>
      <c r="G128" s="270" t="s">
        <v>232</v>
      </c>
      <c r="H128" s="270" t="s">
        <v>232</v>
      </c>
      <c r="I128" s="270" t="str">
        <f t="shared" si="40"/>
        <v>na</v>
      </c>
      <c r="J128" s="46" t="str">
        <f t="shared" si="41"/>
        <v>na</v>
      </c>
      <c r="K128" s="46" t="s">
        <v>232</v>
      </c>
      <c r="L128" s="46" t="s">
        <v>232</v>
      </c>
      <c r="M128" s="46">
        <f>'SL-Eq'!H128</f>
        <v>350000</v>
      </c>
      <c r="N128" s="46" t="str">
        <f>'SL-Eq'!I128</f>
        <v>na</v>
      </c>
      <c r="O128" s="46">
        <f t="shared" si="56"/>
        <v>350000</v>
      </c>
      <c r="P128" s="1855" t="s">
        <v>232</v>
      </c>
      <c r="Q128" s="1330" t="s">
        <v>232</v>
      </c>
      <c r="S128" s="1062"/>
    </row>
    <row r="129" spans="1:19" ht="13.9" customHeight="1" x14ac:dyDescent="0.25">
      <c r="A129" s="847">
        <f>Chem!A129</f>
        <v>127</v>
      </c>
      <c r="B129" s="857" t="str">
        <f>Chem!B129</f>
        <v>2-Nitroaniline</v>
      </c>
      <c r="C129" s="343">
        <f>'SL-Eq'!F129</f>
        <v>800</v>
      </c>
      <c r="D129" s="535" t="str">
        <f>'SL-Eq'!G129</f>
        <v>na</v>
      </c>
      <c r="E129" s="531">
        <f t="shared" si="55"/>
        <v>800</v>
      </c>
      <c r="F129" s="270" t="s">
        <v>232</v>
      </c>
      <c r="G129" s="270" t="s">
        <v>232</v>
      </c>
      <c r="H129" s="270" t="s">
        <v>232</v>
      </c>
      <c r="I129" s="270" t="str">
        <f t="shared" si="40"/>
        <v>na</v>
      </c>
      <c r="J129" s="46" t="str">
        <f t="shared" si="41"/>
        <v>na</v>
      </c>
      <c r="K129" s="46" t="s">
        <v>232</v>
      </c>
      <c r="L129" s="46" t="s">
        <v>232</v>
      </c>
      <c r="M129" s="46">
        <f>'SL-Eq'!H129</f>
        <v>35000</v>
      </c>
      <c r="N129" s="46" t="str">
        <f>'SL-Eq'!I129</f>
        <v>na</v>
      </c>
      <c r="O129" s="46">
        <f t="shared" si="56"/>
        <v>35000</v>
      </c>
      <c r="P129" s="1855" t="s">
        <v>232</v>
      </c>
      <c r="Q129" s="1330" t="s">
        <v>232</v>
      </c>
      <c r="S129" s="1062"/>
    </row>
    <row r="130" spans="1:19" ht="13.9" customHeight="1" x14ac:dyDescent="0.25">
      <c r="A130" s="847">
        <f>Chem!A130</f>
        <v>128</v>
      </c>
      <c r="B130" s="857" t="str">
        <f>Chem!B130</f>
        <v>3-Nitroaniline</v>
      </c>
      <c r="C130" s="343" t="str">
        <f>'SL-Eq'!F130</f>
        <v>na</v>
      </c>
      <c r="D130" s="535" t="str">
        <f>'SL-Eq'!G130</f>
        <v>na</v>
      </c>
      <c r="E130" s="531" t="str">
        <f t="shared" si="55"/>
        <v>na</v>
      </c>
      <c r="F130" s="270" t="s">
        <v>232</v>
      </c>
      <c r="G130" s="270" t="s">
        <v>232</v>
      </c>
      <c r="H130" s="270" t="s">
        <v>232</v>
      </c>
      <c r="I130" s="270" t="str">
        <f t="shared" si="40"/>
        <v>na</v>
      </c>
      <c r="J130" s="46" t="str">
        <f t="shared" si="41"/>
        <v>na</v>
      </c>
      <c r="K130" s="46" t="s">
        <v>232</v>
      </c>
      <c r="L130" s="46" t="s">
        <v>232</v>
      </c>
      <c r="M130" s="46" t="str">
        <f>'SL-Eq'!H130</f>
        <v>na</v>
      </c>
      <c r="N130" s="46" t="str">
        <f>'SL-Eq'!I130</f>
        <v>na</v>
      </c>
      <c r="O130" s="46" t="str">
        <f t="shared" si="56"/>
        <v>na</v>
      </c>
      <c r="P130" s="1855" t="s">
        <v>232</v>
      </c>
      <c r="Q130" s="1330" t="s">
        <v>232</v>
      </c>
      <c r="S130" s="1062"/>
    </row>
    <row r="131" spans="1:19" ht="13.9" customHeight="1" x14ac:dyDescent="0.25">
      <c r="A131" s="847">
        <f>Chem!A131</f>
        <v>129</v>
      </c>
      <c r="B131" s="857" t="str">
        <f>Chem!B131</f>
        <v>4-Nitroaniline</v>
      </c>
      <c r="C131" s="343">
        <f>'SL-Eq'!F131</f>
        <v>320</v>
      </c>
      <c r="D131" s="535">
        <f>'SL-Eq'!G131</f>
        <v>50</v>
      </c>
      <c r="E131" s="531">
        <f t="shared" si="55"/>
        <v>50</v>
      </c>
      <c r="F131" s="270" t="s">
        <v>232</v>
      </c>
      <c r="G131" s="270" t="s">
        <v>232</v>
      </c>
      <c r="H131" s="270" t="s">
        <v>232</v>
      </c>
      <c r="I131" s="270" t="str">
        <f t="shared" si="40"/>
        <v>na</v>
      </c>
      <c r="J131" s="46" t="str">
        <f t="shared" si="41"/>
        <v>na</v>
      </c>
      <c r="K131" s="46" t="s">
        <v>232</v>
      </c>
      <c r="L131" s="46" t="s">
        <v>232</v>
      </c>
      <c r="M131" s="46">
        <f>'SL-Eq'!H131</f>
        <v>14000</v>
      </c>
      <c r="N131" s="46">
        <f>'SL-Eq'!I131</f>
        <v>6562.5000000000009</v>
      </c>
      <c r="O131" s="46">
        <f t="shared" si="56"/>
        <v>6562.5000000000009</v>
      </c>
      <c r="P131" s="1855" t="s">
        <v>232</v>
      </c>
      <c r="Q131" s="1330" t="s">
        <v>232</v>
      </c>
      <c r="S131" s="1062"/>
    </row>
    <row r="132" spans="1:19" ht="13.9" customHeight="1" x14ac:dyDescent="0.25">
      <c r="A132" s="847">
        <f>Chem!A132</f>
        <v>130</v>
      </c>
      <c r="B132" s="857" t="str">
        <f>Chem!B132</f>
        <v>Nitrobenzene</v>
      </c>
      <c r="C132" s="343">
        <f>'SL-Eq'!F132</f>
        <v>160</v>
      </c>
      <c r="D132" s="535" t="str">
        <f>'SL-Eq'!G132</f>
        <v>na</v>
      </c>
      <c r="E132" s="531">
        <f t="shared" si="55"/>
        <v>160</v>
      </c>
      <c r="F132" s="270" t="s">
        <v>232</v>
      </c>
      <c r="G132" s="270">
        <v>40</v>
      </c>
      <c r="H132" s="270" t="s">
        <v>232</v>
      </c>
      <c r="I132" s="270">
        <f t="shared" si="40"/>
        <v>40</v>
      </c>
      <c r="J132" s="46" t="str">
        <f t="shared" si="41"/>
        <v>na</v>
      </c>
      <c r="K132" s="46" t="s">
        <v>232</v>
      </c>
      <c r="L132" s="46" t="s">
        <v>232</v>
      </c>
      <c r="M132" s="46">
        <f>'SL-Eq'!H132</f>
        <v>7000</v>
      </c>
      <c r="N132" s="46" t="str">
        <f>'SL-Eq'!I132</f>
        <v>na</v>
      </c>
      <c r="O132" s="46">
        <f t="shared" si="56"/>
        <v>7000</v>
      </c>
      <c r="P132" s="1855" t="s">
        <v>232</v>
      </c>
      <c r="Q132" s="1330" t="s">
        <v>232</v>
      </c>
      <c r="S132" s="1062"/>
    </row>
    <row r="133" spans="1:19" ht="13.9" customHeight="1" x14ac:dyDescent="0.25">
      <c r="A133" s="847">
        <f>Chem!A133</f>
        <v>131</v>
      </c>
      <c r="B133" s="857" t="str">
        <f>Chem!B133</f>
        <v>2-Nitrophenol</v>
      </c>
      <c r="C133" s="343" t="str">
        <f>'SL-Eq'!F133</f>
        <v>na</v>
      </c>
      <c r="D133" s="535" t="str">
        <f>'SL-Eq'!G133</f>
        <v>na</v>
      </c>
      <c r="E133" s="531" t="str">
        <f t="shared" si="55"/>
        <v>na</v>
      </c>
      <c r="F133" s="270" t="s">
        <v>232</v>
      </c>
      <c r="G133" s="270" t="s">
        <v>232</v>
      </c>
      <c r="H133" s="270" t="s">
        <v>232</v>
      </c>
      <c r="I133" s="270" t="str">
        <f t="shared" si="40"/>
        <v>na</v>
      </c>
      <c r="J133" s="46" t="str">
        <f t="shared" si="41"/>
        <v>na</v>
      </c>
      <c r="K133" s="46" t="s">
        <v>232</v>
      </c>
      <c r="L133" s="46" t="s">
        <v>232</v>
      </c>
      <c r="M133" s="46" t="str">
        <f>'SL-Eq'!H133</f>
        <v>na</v>
      </c>
      <c r="N133" s="46" t="str">
        <f>'SL-Eq'!I133</f>
        <v>na</v>
      </c>
      <c r="O133" s="46" t="str">
        <f t="shared" si="56"/>
        <v>na</v>
      </c>
      <c r="P133" s="1855" t="s">
        <v>232</v>
      </c>
      <c r="Q133" s="1330" t="s">
        <v>232</v>
      </c>
      <c r="S133" s="1062"/>
    </row>
    <row r="134" spans="1:19" ht="13.9" customHeight="1" x14ac:dyDescent="0.25">
      <c r="A134" s="847">
        <f>Chem!A134</f>
        <v>132</v>
      </c>
      <c r="B134" s="857" t="str">
        <f>Chem!B134</f>
        <v>4-Nitrophenol</v>
      </c>
      <c r="C134" s="343" t="str">
        <f>'SL-Eq'!F134</f>
        <v>na</v>
      </c>
      <c r="D134" s="535" t="str">
        <f>'SL-Eq'!G134</f>
        <v>na</v>
      </c>
      <c r="E134" s="531" t="str">
        <f t="shared" si="55"/>
        <v>na</v>
      </c>
      <c r="F134" s="270" t="s">
        <v>232</v>
      </c>
      <c r="G134" s="270">
        <v>7</v>
      </c>
      <c r="H134" s="270" t="s">
        <v>232</v>
      </c>
      <c r="I134" s="270">
        <f t="shared" si="40"/>
        <v>7</v>
      </c>
      <c r="J134" s="46" t="str">
        <f t="shared" si="41"/>
        <v>na</v>
      </c>
      <c r="K134" s="46" t="s">
        <v>232</v>
      </c>
      <c r="L134" s="46" t="s">
        <v>232</v>
      </c>
      <c r="M134" s="46" t="str">
        <f>'SL-Eq'!H134</f>
        <v>na</v>
      </c>
      <c r="N134" s="46" t="str">
        <f>'SL-Eq'!I134</f>
        <v>na</v>
      </c>
      <c r="O134" s="46" t="str">
        <f t="shared" si="56"/>
        <v>na</v>
      </c>
      <c r="P134" s="1855" t="s">
        <v>232</v>
      </c>
      <c r="Q134" s="1330" t="s">
        <v>232</v>
      </c>
      <c r="S134" s="1062"/>
    </row>
    <row r="135" spans="1:19" ht="13.9" customHeight="1" x14ac:dyDescent="0.25">
      <c r="A135" s="847">
        <f>Chem!A135</f>
        <v>133</v>
      </c>
      <c r="B135" s="857" t="str">
        <f>Chem!B135</f>
        <v>n-Nitrosodimethylamine</v>
      </c>
      <c r="C135" s="343">
        <f>'SL-Eq'!F135</f>
        <v>0.64</v>
      </c>
      <c r="D135" s="535">
        <f>'SL-Eq'!G135</f>
        <v>3.7000000000000002E-3</v>
      </c>
      <c r="E135" s="531">
        <f t="shared" si="55"/>
        <v>3.7000000000000002E-3</v>
      </c>
      <c r="F135" s="270" t="s">
        <v>232</v>
      </c>
      <c r="G135" s="270" t="s">
        <v>232</v>
      </c>
      <c r="H135" s="270" t="s">
        <v>232</v>
      </c>
      <c r="I135" s="270" t="str">
        <f t="shared" si="40"/>
        <v>na</v>
      </c>
      <c r="J135" s="46" t="str">
        <f t="shared" si="41"/>
        <v>na</v>
      </c>
      <c r="K135" s="46" t="s">
        <v>232</v>
      </c>
      <c r="L135" s="46" t="s">
        <v>232</v>
      </c>
      <c r="M135" s="46">
        <f>'SL-Eq'!H135</f>
        <v>28</v>
      </c>
      <c r="N135" s="46">
        <f>'SL-Eq'!I135</f>
        <v>2.5735294117647065</v>
      </c>
      <c r="O135" s="46">
        <f t="shared" si="56"/>
        <v>2.5735294117647065</v>
      </c>
      <c r="P135" s="1855" t="s">
        <v>232</v>
      </c>
      <c r="Q135" s="1330" t="s">
        <v>232</v>
      </c>
      <c r="S135" s="1062"/>
    </row>
    <row r="136" spans="1:19" ht="13.9" customHeight="1" x14ac:dyDescent="0.25">
      <c r="A136" s="847">
        <f>Chem!A136</f>
        <v>134</v>
      </c>
      <c r="B136" s="857" t="str">
        <f>Chem!B136</f>
        <v>n-Nitrosodiphenylamine</v>
      </c>
      <c r="C136" s="343" t="str">
        <f>'SL-Eq'!F136</f>
        <v>na</v>
      </c>
      <c r="D136" s="535">
        <f>'SL-Eq'!G136</f>
        <v>204.08163265306123</v>
      </c>
      <c r="E136" s="531">
        <f t="shared" si="55"/>
        <v>204.08163265306123</v>
      </c>
      <c r="F136" s="270" t="s">
        <v>232</v>
      </c>
      <c r="G136" s="270">
        <v>20</v>
      </c>
      <c r="H136" s="270" t="s">
        <v>232</v>
      </c>
      <c r="I136" s="270">
        <f t="shared" si="40"/>
        <v>20</v>
      </c>
      <c r="J136" s="46" t="str">
        <f t="shared" si="41"/>
        <v>na</v>
      </c>
      <c r="K136" s="46" t="s">
        <v>232</v>
      </c>
      <c r="L136" s="46" t="s">
        <v>232</v>
      </c>
      <c r="M136" s="46" t="str">
        <f>'SL-Eq'!H136</f>
        <v>na</v>
      </c>
      <c r="N136" s="46">
        <f>'SL-Eq'!I136</f>
        <v>26785.714285714294</v>
      </c>
      <c r="O136" s="46">
        <f t="shared" si="56"/>
        <v>26785.714285714294</v>
      </c>
      <c r="P136" s="1855" t="s">
        <v>232</v>
      </c>
      <c r="Q136" s="1330" t="s">
        <v>232</v>
      </c>
      <c r="S136" s="1062"/>
    </row>
    <row r="137" spans="1:19" s="260" customFormat="1" ht="13.9" customHeight="1" x14ac:dyDescent="0.25">
      <c r="A137" s="847">
        <f>Chem!A137</f>
        <v>135</v>
      </c>
      <c r="B137" s="857" t="str">
        <f>Chem!B137</f>
        <v>n-Nitrosodi-n-propylamine</v>
      </c>
      <c r="C137" s="343" t="str">
        <f>'SL-Eq'!F137</f>
        <v>na</v>
      </c>
      <c r="D137" s="535">
        <f>'SL-Eq'!G137</f>
        <v>0.14285714285714285</v>
      </c>
      <c r="E137" s="531">
        <f t="shared" si="55"/>
        <v>0.14285714285714285</v>
      </c>
      <c r="F137" s="270" t="s">
        <v>232</v>
      </c>
      <c r="G137" s="270" t="s">
        <v>232</v>
      </c>
      <c r="H137" s="270" t="s">
        <v>232</v>
      </c>
      <c r="I137" s="270" t="str">
        <f t="shared" si="40"/>
        <v>na</v>
      </c>
      <c r="J137" s="46" t="str">
        <f t="shared" si="41"/>
        <v>na</v>
      </c>
      <c r="K137" s="46" t="s">
        <v>232</v>
      </c>
      <c r="L137" s="46" t="s">
        <v>232</v>
      </c>
      <c r="M137" s="46" t="str">
        <f>'SL-Eq'!H137</f>
        <v>na</v>
      </c>
      <c r="N137" s="46">
        <f>'SL-Eq'!I137</f>
        <v>18.750000000000004</v>
      </c>
      <c r="O137" s="46">
        <f t="shared" si="56"/>
        <v>18.750000000000004</v>
      </c>
      <c r="P137" s="1855" t="s">
        <v>232</v>
      </c>
      <c r="Q137" s="1330" t="s">
        <v>232</v>
      </c>
      <c r="S137" s="1062"/>
    </row>
    <row r="138" spans="1:19" s="260" customFormat="1" ht="13.9" customHeight="1" x14ac:dyDescent="0.25">
      <c r="A138" s="847">
        <f>Chem!A138</f>
        <v>136</v>
      </c>
      <c r="B138" s="857" t="str">
        <f>Chem!B138</f>
        <v>Pentachlorophenol</v>
      </c>
      <c r="C138" s="343">
        <f>'SL-Eq'!F138</f>
        <v>400</v>
      </c>
      <c r="D138" s="535">
        <f>'SL-Eq'!G138</f>
        <v>2.5</v>
      </c>
      <c r="E138" s="531">
        <f t="shared" si="55"/>
        <v>2.5</v>
      </c>
      <c r="F138" s="270">
        <v>3</v>
      </c>
      <c r="G138" s="270">
        <v>6</v>
      </c>
      <c r="H138" s="270">
        <v>4.5</v>
      </c>
      <c r="I138" s="270">
        <v>3</v>
      </c>
      <c r="J138" s="46">
        <v>4.5</v>
      </c>
      <c r="K138" s="46">
        <v>11</v>
      </c>
      <c r="L138" s="46">
        <v>11</v>
      </c>
      <c r="M138" s="46">
        <f>'SL-Eq'!H138</f>
        <v>17500</v>
      </c>
      <c r="N138" s="46">
        <f>'SL-Eq'!I138</f>
        <v>328.12500000000006</v>
      </c>
      <c r="O138" s="46">
        <f t="shared" si="56"/>
        <v>328.12500000000006</v>
      </c>
      <c r="P138" s="1855" t="s">
        <v>232</v>
      </c>
      <c r="Q138" s="1330" t="s">
        <v>232</v>
      </c>
      <c r="S138" s="1062"/>
    </row>
    <row r="139" spans="1:19" ht="13.9" customHeight="1" x14ac:dyDescent="0.25">
      <c r="A139" s="847">
        <f>Chem!A139</f>
        <v>137</v>
      </c>
      <c r="B139" s="857" t="str">
        <f>Chem!B139</f>
        <v>Phenol</v>
      </c>
      <c r="C139" s="343">
        <f>'SL-Eq'!F139</f>
        <v>24000</v>
      </c>
      <c r="D139" s="535" t="str">
        <f>'SL-Eq'!G139</f>
        <v>na</v>
      </c>
      <c r="E139" s="531">
        <f t="shared" si="55"/>
        <v>24000</v>
      </c>
      <c r="F139" s="270">
        <v>70</v>
      </c>
      <c r="G139" s="270">
        <v>30</v>
      </c>
      <c r="H139" s="270" t="s">
        <v>232</v>
      </c>
      <c r="I139" s="270">
        <f t="shared" si="40"/>
        <v>30</v>
      </c>
      <c r="J139" s="46" t="str">
        <f t="shared" si="41"/>
        <v>na</v>
      </c>
      <c r="K139" s="46" t="s">
        <v>232</v>
      </c>
      <c r="L139" s="46" t="s">
        <v>232</v>
      </c>
      <c r="M139" s="46">
        <f>'SL-Eq'!H139</f>
        <v>1050000</v>
      </c>
      <c r="N139" s="46" t="str">
        <f>'SL-Eq'!I139</f>
        <v>na</v>
      </c>
      <c r="O139" s="46">
        <f t="shared" si="56"/>
        <v>1050000</v>
      </c>
      <c r="P139" s="1855" t="s">
        <v>232</v>
      </c>
      <c r="Q139" s="1330" t="s">
        <v>232</v>
      </c>
      <c r="S139" s="1062"/>
    </row>
    <row r="140" spans="1:19" ht="13.9" customHeight="1" x14ac:dyDescent="0.25">
      <c r="A140" s="847">
        <f>Chem!A140</f>
        <v>138</v>
      </c>
      <c r="B140" s="857" t="str">
        <f>Chem!B140</f>
        <v>Pyridine</v>
      </c>
      <c r="C140" s="343">
        <f>'SL-Eq'!F140</f>
        <v>80</v>
      </c>
      <c r="D140" s="535" t="str">
        <f>'SL-Eq'!G140</f>
        <v>na</v>
      </c>
      <c r="E140" s="531">
        <f t="shared" si="55"/>
        <v>80</v>
      </c>
      <c r="F140" s="270" t="s">
        <v>232</v>
      </c>
      <c r="G140" s="270" t="s">
        <v>232</v>
      </c>
      <c r="H140" s="270" t="s">
        <v>232</v>
      </c>
      <c r="I140" s="270" t="str">
        <f t="shared" si="40"/>
        <v>na</v>
      </c>
      <c r="J140" s="46" t="str">
        <f t="shared" si="41"/>
        <v>na</v>
      </c>
      <c r="K140" s="46" t="s">
        <v>232</v>
      </c>
      <c r="L140" s="46" t="s">
        <v>232</v>
      </c>
      <c r="M140" s="46">
        <f>'SL-Eq'!H140</f>
        <v>3500</v>
      </c>
      <c r="N140" s="46" t="str">
        <f>'SL-Eq'!I140</f>
        <v>na</v>
      </c>
      <c r="O140" s="46">
        <f t="shared" si="56"/>
        <v>3500</v>
      </c>
      <c r="P140" s="1855" t="s">
        <v>232</v>
      </c>
      <c r="Q140" s="1330" t="s">
        <v>232</v>
      </c>
      <c r="S140" s="1062"/>
    </row>
    <row r="141" spans="1:19" ht="13.9" customHeight="1" x14ac:dyDescent="0.25">
      <c r="A141" s="847">
        <f>Chem!A141</f>
        <v>139</v>
      </c>
      <c r="B141" s="857" t="str">
        <f>Chem!B141</f>
        <v>2,3,4,5-Tetrachlorophenol</v>
      </c>
      <c r="C141" s="343" t="str">
        <f>'SL-Eq'!F141</f>
        <v>na</v>
      </c>
      <c r="D141" s="535" t="str">
        <f>'SL-Eq'!G141</f>
        <v>na</v>
      </c>
      <c r="E141" s="531" t="str">
        <f t="shared" ref="E141" si="61">IF(D141="na",IF(C141="na","na",C141),MIN(C141:D141))</f>
        <v>na</v>
      </c>
      <c r="F141" s="270" t="s">
        <v>232</v>
      </c>
      <c r="G141" s="270">
        <v>20</v>
      </c>
      <c r="H141" s="270" t="s">
        <v>232</v>
      </c>
      <c r="I141" s="270">
        <f t="shared" ref="I141" si="62">IF(MIN(F141:H141)&gt;0,MIN(F141:H141),"na")</f>
        <v>20</v>
      </c>
      <c r="J141" s="46" t="str">
        <f t="shared" ref="J141" si="63">H141</f>
        <v>na</v>
      </c>
      <c r="K141" s="46" t="s">
        <v>232</v>
      </c>
      <c r="L141" s="46" t="s">
        <v>232</v>
      </c>
      <c r="M141" s="46" t="str">
        <f>'SL-Eq'!H141</f>
        <v>na</v>
      </c>
      <c r="N141" s="46" t="str">
        <f>'SL-Eq'!I141</f>
        <v>na</v>
      </c>
      <c r="O141" s="46" t="str">
        <f t="shared" ref="O141" si="64">IF(N141="na",IF(M141="na","na",M141),MIN(M141:N141))</f>
        <v>na</v>
      </c>
      <c r="P141" s="1855" t="s">
        <v>232</v>
      </c>
      <c r="Q141" s="1330" t="s">
        <v>232</v>
      </c>
      <c r="S141" s="1062"/>
    </row>
    <row r="142" spans="1:19" ht="13.9" customHeight="1" x14ac:dyDescent="0.25">
      <c r="A142" s="847">
        <f>Chem!A142</f>
        <v>140</v>
      </c>
      <c r="B142" s="857" t="str">
        <f>Chem!B142</f>
        <v>2,3,4,6-Tetrachlorophenol</v>
      </c>
      <c r="C142" s="343">
        <f>'SL-Eq'!F142</f>
        <v>2400</v>
      </c>
      <c r="D142" s="535" t="str">
        <f>'SL-Eq'!G142</f>
        <v>na</v>
      </c>
      <c r="E142" s="531">
        <f t="shared" ref="E142" si="65">IF(D142="na",IF(C142="na","na",C142),MIN(C142:D142))</f>
        <v>2400</v>
      </c>
      <c r="F142" s="270" t="s">
        <v>232</v>
      </c>
      <c r="G142" s="270" t="s">
        <v>232</v>
      </c>
      <c r="H142" s="270" t="s">
        <v>232</v>
      </c>
      <c r="I142" s="270" t="str">
        <f t="shared" ref="I142" si="66">IF(MIN(F142:H142)&gt;0,MIN(F142:H142),"na")</f>
        <v>na</v>
      </c>
      <c r="J142" s="46" t="str">
        <f t="shared" ref="J142" si="67">H142</f>
        <v>na</v>
      </c>
      <c r="K142" s="46" t="s">
        <v>232</v>
      </c>
      <c r="L142" s="46" t="s">
        <v>232</v>
      </c>
      <c r="M142" s="46">
        <f>'SL-Eq'!H142</f>
        <v>105000</v>
      </c>
      <c r="N142" s="46" t="str">
        <f>'SL-Eq'!I142</f>
        <v>na</v>
      </c>
      <c r="O142" s="46">
        <f t="shared" ref="O142" si="68">IF(N142="na",IF(M142="na","na",M142),MIN(M142:N142))</f>
        <v>105000</v>
      </c>
      <c r="P142" s="1855" t="s">
        <v>232</v>
      </c>
      <c r="Q142" s="1330" t="s">
        <v>232</v>
      </c>
      <c r="S142" s="1062"/>
    </row>
    <row r="143" spans="1:19" ht="13.9" customHeight="1" x14ac:dyDescent="0.25">
      <c r="A143" s="847">
        <f>Chem!A143</f>
        <v>141</v>
      </c>
      <c r="B143" s="857" t="str">
        <f>Chem!B143</f>
        <v>1,2,4-Trichlorobenzene</v>
      </c>
      <c r="C143" s="343">
        <f>'SL-Eq'!F143</f>
        <v>800</v>
      </c>
      <c r="D143" s="535">
        <f>'SL-Eq'!G143</f>
        <v>34.482758620689651</v>
      </c>
      <c r="E143" s="531">
        <f t="shared" si="55"/>
        <v>34.482758620689651</v>
      </c>
      <c r="F143" s="270" t="s">
        <v>232</v>
      </c>
      <c r="G143" s="270">
        <v>20</v>
      </c>
      <c r="H143" s="270" t="s">
        <v>232</v>
      </c>
      <c r="I143" s="270">
        <f t="shared" si="40"/>
        <v>20</v>
      </c>
      <c r="J143" s="46" t="str">
        <f t="shared" si="41"/>
        <v>na</v>
      </c>
      <c r="K143" s="46" t="s">
        <v>232</v>
      </c>
      <c r="L143" s="46" t="s">
        <v>232</v>
      </c>
      <c r="M143" s="46">
        <f>'SL-Eq'!H143</f>
        <v>35000</v>
      </c>
      <c r="N143" s="46">
        <f>'SL-Eq'!I143</f>
        <v>4525.8620689655181</v>
      </c>
      <c r="O143" s="46">
        <f t="shared" si="56"/>
        <v>4525.8620689655181</v>
      </c>
      <c r="P143" s="1855" t="s">
        <v>232</v>
      </c>
      <c r="Q143" s="1330" t="s">
        <v>232</v>
      </c>
      <c r="S143" s="1062"/>
    </row>
    <row r="144" spans="1:19" ht="13.9" customHeight="1" x14ac:dyDescent="0.25">
      <c r="A144" s="847">
        <f>Chem!A144</f>
        <v>142</v>
      </c>
      <c r="B144" s="858" t="str">
        <f>Chem!B144</f>
        <v>2,4,5-Trichlorophenol</v>
      </c>
      <c r="C144" s="532">
        <f>'SL-Eq'!F144</f>
        <v>8000</v>
      </c>
      <c r="D144" s="530" t="str">
        <f>'SL-Eq'!G144</f>
        <v>na</v>
      </c>
      <c r="E144" s="531">
        <f t="shared" si="55"/>
        <v>8000</v>
      </c>
      <c r="F144" s="270">
        <v>4</v>
      </c>
      <c r="G144" s="270">
        <v>9</v>
      </c>
      <c r="H144" s="270" t="s">
        <v>232</v>
      </c>
      <c r="I144" s="270">
        <f t="shared" si="40"/>
        <v>4</v>
      </c>
      <c r="J144" s="46" t="str">
        <f t="shared" si="41"/>
        <v>na</v>
      </c>
      <c r="K144" s="46" t="s">
        <v>232</v>
      </c>
      <c r="L144" s="46" t="s">
        <v>232</v>
      </c>
      <c r="M144" s="46">
        <f>'SL-Eq'!H144</f>
        <v>350000</v>
      </c>
      <c r="N144" s="46" t="str">
        <f>'SL-Eq'!I144</f>
        <v>na</v>
      </c>
      <c r="O144" s="46">
        <f t="shared" si="56"/>
        <v>350000</v>
      </c>
      <c r="P144" s="1855" t="s">
        <v>232</v>
      </c>
      <c r="Q144" s="1330" t="s">
        <v>232</v>
      </c>
      <c r="S144" s="1062"/>
    </row>
    <row r="145" spans="1:19" ht="13.9" customHeight="1" x14ac:dyDescent="0.25">
      <c r="A145" s="842">
        <f>Chem!A145</f>
        <v>143</v>
      </c>
      <c r="B145" s="879" t="str">
        <f>Chem!B145</f>
        <v>2,4,6-Trichlorophenol</v>
      </c>
      <c r="C145" s="533">
        <f>'SL-Eq'!F145</f>
        <v>80</v>
      </c>
      <c r="D145" s="536">
        <f>'SL-Eq'!G145</f>
        <v>90.909090909090921</v>
      </c>
      <c r="E145" s="531">
        <f t="shared" si="55"/>
        <v>80</v>
      </c>
      <c r="F145" s="270" t="s">
        <v>232</v>
      </c>
      <c r="G145" s="270">
        <v>10</v>
      </c>
      <c r="H145" s="270" t="s">
        <v>232</v>
      </c>
      <c r="I145" s="270">
        <f t="shared" si="40"/>
        <v>10</v>
      </c>
      <c r="J145" s="46" t="str">
        <f t="shared" si="41"/>
        <v>na</v>
      </c>
      <c r="K145" s="46" t="s">
        <v>232</v>
      </c>
      <c r="L145" s="46" t="s">
        <v>232</v>
      </c>
      <c r="M145" s="46">
        <f>'SL-Eq'!H145</f>
        <v>3500</v>
      </c>
      <c r="N145" s="46">
        <f>'SL-Eq'!I145</f>
        <v>11931.818181818186</v>
      </c>
      <c r="O145" s="46">
        <f t="shared" si="56"/>
        <v>3500</v>
      </c>
      <c r="P145" s="1855" t="s">
        <v>232</v>
      </c>
      <c r="Q145" s="1859" t="s">
        <v>232</v>
      </c>
      <c r="S145" s="1062"/>
    </row>
    <row r="146" spans="1:19" s="252" customFormat="1" ht="13.9" customHeight="1" x14ac:dyDescent="0.25">
      <c r="A146" s="1197">
        <f>Chem!A146</f>
        <v>144</v>
      </c>
      <c r="B146" s="850" t="str">
        <f>Chem!B146</f>
        <v>Volatile Organic Compounds</v>
      </c>
      <c r="C146" s="31"/>
      <c r="D146" s="31"/>
      <c r="E146" s="259"/>
      <c r="F146" s="259"/>
      <c r="G146" s="259"/>
      <c r="H146" s="259"/>
      <c r="I146" s="259"/>
      <c r="J146" s="259"/>
      <c r="K146" s="259"/>
      <c r="L146" s="31"/>
      <c r="M146" s="31"/>
      <c r="N146" s="31"/>
      <c r="O146" s="31"/>
      <c r="P146" s="31"/>
      <c r="Q146" s="648"/>
      <c r="S146" s="1063"/>
    </row>
    <row r="147" spans="1:19" ht="13.9" customHeight="1" x14ac:dyDescent="0.25">
      <c r="A147" s="846">
        <f>Chem!A147</f>
        <v>145</v>
      </c>
      <c r="B147" s="880" t="str">
        <f>Chem!B147</f>
        <v>Acetone</v>
      </c>
      <c r="C147" s="396">
        <f>'SL-Eq'!F147</f>
        <v>72000</v>
      </c>
      <c r="D147" s="537" t="str">
        <f>'SL-Eq'!G147</f>
        <v>na</v>
      </c>
      <c r="E147" s="531">
        <f t="shared" ref="E147:E179" si="69">IF(D147="na",IF(C147="na","na",C147),MIN(C147:D147))</f>
        <v>72000</v>
      </c>
      <c r="F147" s="270" t="s">
        <v>232</v>
      </c>
      <c r="G147" s="270" t="s">
        <v>232</v>
      </c>
      <c r="H147" s="270" t="s">
        <v>232</v>
      </c>
      <c r="I147" s="270" t="str">
        <f t="shared" ref="I147:I214" si="70">IF(MIN(F147:H147)&gt;0,MIN(F147:H147),"na")</f>
        <v>na</v>
      </c>
      <c r="J147" s="46" t="str">
        <f t="shared" ref="J147:J214" si="71">H147</f>
        <v>na</v>
      </c>
      <c r="K147" s="46" t="s">
        <v>232</v>
      </c>
      <c r="L147" s="46" t="s">
        <v>232</v>
      </c>
      <c r="M147" s="46">
        <f>'SL-Eq'!H147</f>
        <v>3150000</v>
      </c>
      <c r="N147" s="46" t="str">
        <f>'SL-Eq'!I147</f>
        <v>na</v>
      </c>
      <c r="O147" s="46">
        <f t="shared" ref="O147:O179" si="72">IF(N147="na",IF(M147="na","na",M147),MIN(M147:N147))</f>
        <v>3150000</v>
      </c>
      <c r="P147" s="1855" t="s">
        <v>232</v>
      </c>
      <c r="Q147" s="544" t="s">
        <v>232</v>
      </c>
      <c r="S147" s="1062"/>
    </row>
    <row r="148" spans="1:19" ht="13.9" customHeight="1" x14ac:dyDescent="0.25">
      <c r="A148" s="846">
        <f>Chem!A148</f>
        <v>146</v>
      </c>
      <c r="B148" s="880" t="str">
        <f>Chem!B148</f>
        <v>Acetaldehyde</v>
      </c>
      <c r="C148" s="343" t="str">
        <f>'SL-Eq'!F148</f>
        <v>na</v>
      </c>
      <c r="D148" s="537" t="str">
        <f>'SL-Eq'!G148</f>
        <v>na</v>
      </c>
      <c r="E148" s="531" t="str">
        <f t="shared" ref="E148" si="73">IF(D148="na",IF(C148="na","na",C148),MIN(C148:D148))</f>
        <v>na</v>
      </c>
      <c r="F148" s="270" t="s">
        <v>232</v>
      </c>
      <c r="G148" s="270" t="s">
        <v>232</v>
      </c>
      <c r="H148" s="270" t="s">
        <v>232</v>
      </c>
      <c r="I148" s="270" t="str">
        <f t="shared" si="70"/>
        <v>na</v>
      </c>
      <c r="J148" s="46" t="str">
        <f t="shared" si="71"/>
        <v>na</v>
      </c>
      <c r="K148" s="46" t="s">
        <v>232</v>
      </c>
      <c r="L148" s="46" t="s">
        <v>232</v>
      </c>
      <c r="M148" s="46" t="str">
        <f>'SL-Eq'!H148</f>
        <v>na</v>
      </c>
      <c r="N148" s="46" t="str">
        <f>'SL-Eq'!I148</f>
        <v>na</v>
      </c>
      <c r="O148" s="46" t="str">
        <f t="shared" si="72"/>
        <v>na</v>
      </c>
      <c r="P148" s="1855" t="s">
        <v>232</v>
      </c>
      <c r="Q148" s="1330" t="s">
        <v>232</v>
      </c>
      <c r="S148" s="1062"/>
    </row>
    <row r="149" spans="1:19" s="260" customFormat="1" ht="13.9" customHeight="1" x14ac:dyDescent="0.25">
      <c r="A149" s="846">
        <f>Chem!A149</f>
        <v>147</v>
      </c>
      <c r="B149" s="857" t="str">
        <f>Chem!B149</f>
        <v>Acrolein</v>
      </c>
      <c r="C149" s="343">
        <f>'SL-Eq'!F149</f>
        <v>40</v>
      </c>
      <c r="D149" s="535" t="str">
        <f>'SL-Eq'!G149</f>
        <v>na</v>
      </c>
      <c r="E149" s="531">
        <f t="shared" si="69"/>
        <v>40</v>
      </c>
      <c r="F149" s="270" t="s">
        <v>232</v>
      </c>
      <c r="G149" s="270" t="s">
        <v>232</v>
      </c>
      <c r="H149" s="270" t="s">
        <v>232</v>
      </c>
      <c r="I149" s="270" t="str">
        <f t="shared" si="70"/>
        <v>na</v>
      </c>
      <c r="J149" s="46" t="str">
        <f t="shared" si="71"/>
        <v>na</v>
      </c>
      <c r="K149" s="46" t="s">
        <v>232</v>
      </c>
      <c r="L149" s="46" t="s">
        <v>232</v>
      </c>
      <c r="M149" s="46">
        <f>'SL-Eq'!H149</f>
        <v>1750</v>
      </c>
      <c r="N149" s="46" t="str">
        <f>'SL-Eq'!I149</f>
        <v>na</v>
      </c>
      <c r="O149" s="46">
        <f t="shared" si="72"/>
        <v>1750</v>
      </c>
      <c r="P149" s="1855" t="s">
        <v>232</v>
      </c>
      <c r="Q149" s="1330" t="s">
        <v>232</v>
      </c>
      <c r="S149" s="1062"/>
    </row>
    <row r="150" spans="1:19" s="260" customFormat="1" ht="13.9" customHeight="1" x14ac:dyDescent="0.25">
      <c r="A150" s="846">
        <f>Chem!A150</f>
        <v>148</v>
      </c>
      <c r="B150" s="857" t="str">
        <f>Chem!B150</f>
        <v>Acrylonitrile</v>
      </c>
      <c r="C150" s="343">
        <f>'SL-Eq'!F150</f>
        <v>80</v>
      </c>
      <c r="D150" s="535">
        <f>'SL-Eq'!G150</f>
        <v>1.8518518518518516</v>
      </c>
      <c r="E150" s="531">
        <f t="shared" si="69"/>
        <v>1.8518518518518516</v>
      </c>
      <c r="F150" s="270" t="s">
        <v>232</v>
      </c>
      <c r="G150" s="270" t="s">
        <v>232</v>
      </c>
      <c r="H150" s="270" t="s">
        <v>232</v>
      </c>
      <c r="I150" s="270" t="str">
        <f t="shared" si="70"/>
        <v>na</v>
      </c>
      <c r="J150" s="46" t="str">
        <f t="shared" si="71"/>
        <v>na</v>
      </c>
      <c r="K150" s="46" t="s">
        <v>232</v>
      </c>
      <c r="L150" s="46" t="s">
        <v>232</v>
      </c>
      <c r="M150" s="46">
        <f>'SL-Eq'!H150</f>
        <v>3500</v>
      </c>
      <c r="N150" s="46">
        <f>'SL-Eq'!I150</f>
        <v>243.0555555555556</v>
      </c>
      <c r="O150" s="46">
        <f t="shared" si="72"/>
        <v>243.0555555555556</v>
      </c>
      <c r="P150" s="1855" t="s">
        <v>232</v>
      </c>
      <c r="Q150" s="1330" t="s">
        <v>232</v>
      </c>
      <c r="S150" s="1062"/>
    </row>
    <row r="151" spans="1:19" ht="13.9" customHeight="1" x14ac:dyDescent="0.25">
      <c r="A151" s="846">
        <f>Chem!A151</f>
        <v>149</v>
      </c>
      <c r="B151" s="856" t="str">
        <f>Chem!B151</f>
        <v>Benzaldehyde</v>
      </c>
      <c r="C151" s="343">
        <f>'SL-Eq'!F151</f>
        <v>8000</v>
      </c>
      <c r="D151" s="535">
        <f>'SL-Eq'!G151</f>
        <v>250</v>
      </c>
      <c r="E151" s="531">
        <f t="shared" si="69"/>
        <v>250</v>
      </c>
      <c r="F151" s="270" t="s">
        <v>232</v>
      </c>
      <c r="G151" s="270" t="s">
        <v>232</v>
      </c>
      <c r="H151" s="270" t="s">
        <v>232</v>
      </c>
      <c r="I151" s="270" t="str">
        <f t="shared" si="70"/>
        <v>na</v>
      </c>
      <c r="J151" s="46" t="str">
        <f t="shared" si="71"/>
        <v>na</v>
      </c>
      <c r="K151" s="46" t="s">
        <v>232</v>
      </c>
      <c r="L151" s="46" t="s">
        <v>232</v>
      </c>
      <c r="M151" s="46">
        <f>'SL-Eq'!H151</f>
        <v>350000</v>
      </c>
      <c r="N151" s="46">
        <f>'SL-Eq'!I151</f>
        <v>32812.500000000007</v>
      </c>
      <c r="O151" s="46">
        <f t="shared" si="72"/>
        <v>32812.500000000007</v>
      </c>
      <c r="P151" s="1855" t="s">
        <v>232</v>
      </c>
      <c r="Q151" s="1330" t="s">
        <v>232</v>
      </c>
      <c r="S151" s="1062"/>
    </row>
    <row r="152" spans="1:19" ht="13.9" customHeight="1" x14ac:dyDescent="0.25">
      <c r="A152" s="846">
        <f>Chem!A152</f>
        <v>150</v>
      </c>
      <c r="B152" s="857" t="str">
        <f>Chem!B152</f>
        <v>Benzene</v>
      </c>
      <c r="C152" s="343">
        <f>'SL-Eq'!F152</f>
        <v>320</v>
      </c>
      <c r="D152" s="535">
        <f>'SL-Eq'!G152</f>
        <v>18.181818181818183</v>
      </c>
      <c r="E152" s="531">
        <f t="shared" si="69"/>
        <v>18.181818181818183</v>
      </c>
      <c r="F152" s="270" t="s">
        <v>232</v>
      </c>
      <c r="G152" s="270" t="s">
        <v>232</v>
      </c>
      <c r="H152" s="270" t="s">
        <v>232</v>
      </c>
      <c r="I152" s="270" t="str">
        <f t="shared" si="70"/>
        <v>na</v>
      </c>
      <c r="J152" s="46" t="str">
        <f t="shared" si="71"/>
        <v>na</v>
      </c>
      <c r="K152" s="46" t="s">
        <v>232</v>
      </c>
      <c r="L152" s="46" t="s">
        <v>232</v>
      </c>
      <c r="M152" s="46">
        <f>'SL-Eq'!H152</f>
        <v>14000</v>
      </c>
      <c r="N152" s="46">
        <f>'SL-Eq'!I152</f>
        <v>2386.3636363636369</v>
      </c>
      <c r="O152" s="46">
        <f t="shared" si="72"/>
        <v>2386.3636363636369</v>
      </c>
      <c r="P152" s="1855" t="s">
        <v>232</v>
      </c>
      <c r="Q152" s="1330" t="s">
        <v>232</v>
      </c>
      <c r="S152" s="1062"/>
    </row>
    <row r="153" spans="1:19" ht="13.9" customHeight="1" x14ac:dyDescent="0.25">
      <c r="A153" s="846">
        <f>Chem!A153</f>
        <v>151</v>
      </c>
      <c r="B153" s="858" t="str">
        <f>Chem!B153</f>
        <v>Bromobenzene</v>
      </c>
      <c r="C153" s="532">
        <f>'SL-Eq'!F153</f>
        <v>640</v>
      </c>
      <c r="D153" s="530" t="str">
        <f>'SL-Eq'!G153</f>
        <v>na</v>
      </c>
      <c r="E153" s="531">
        <f t="shared" si="69"/>
        <v>640</v>
      </c>
      <c r="F153" s="270" t="s">
        <v>232</v>
      </c>
      <c r="G153" s="270" t="s">
        <v>232</v>
      </c>
      <c r="H153" s="270" t="s">
        <v>232</v>
      </c>
      <c r="I153" s="270" t="str">
        <f t="shared" si="70"/>
        <v>na</v>
      </c>
      <c r="J153" s="46" t="str">
        <f t="shared" si="71"/>
        <v>na</v>
      </c>
      <c r="K153" s="46" t="s">
        <v>232</v>
      </c>
      <c r="L153" s="46" t="s">
        <v>232</v>
      </c>
      <c r="M153" s="46">
        <f>'SL-Eq'!H153</f>
        <v>28000</v>
      </c>
      <c r="N153" s="46" t="str">
        <f>'SL-Eq'!I153</f>
        <v>na</v>
      </c>
      <c r="O153" s="46">
        <f t="shared" si="72"/>
        <v>28000</v>
      </c>
      <c r="P153" s="1855" t="s">
        <v>232</v>
      </c>
      <c r="Q153" s="1330" t="s">
        <v>232</v>
      </c>
      <c r="S153" s="1062"/>
    </row>
    <row r="154" spans="1:19" s="260" customFormat="1" ht="13.9" customHeight="1" x14ac:dyDescent="0.25">
      <c r="A154" s="846">
        <f>Chem!A154</f>
        <v>152</v>
      </c>
      <c r="B154" s="857" t="str">
        <f>Chem!B154</f>
        <v>Bromochloromethane</v>
      </c>
      <c r="C154" s="343" t="str">
        <f>'SL-Eq'!F154</f>
        <v>na</v>
      </c>
      <c r="D154" s="535" t="str">
        <f>'SL-Eq'!G154</f>
        <v>na</v>
      </c>
      <c r="E154" s="531" t="str">
        <f t="shared" si="69"/>
        <v>na</v>
      </c>
      <c r="F154" s="270" t="s">
        <v>232</v>
      </c>
      <c r="G154" s="270" t="s">
        <v>232</v>
      </c>
      <c r="H154" s="270" t="s">
        <v>232</v>
      </c>
      <c r="I154" s="270" t="str">
        <f t="shared" si="70"/>
        <v>na</v>
      </c>
      <c r="J154" s="46" t="str">
        <f t="shared" si="71"/>
        <v>na</v>
      </c>
      <c r="K154" s="46" t="s">
        <v>232</v>
      </c>
      <c r="L154" s="46" t="s">
        <v>232</v>
      </c>
      <c r="M154" s="46" t="str">
        <f>'SL-Eq'!H154</f>
        <v>na</v>
      </c>
      <c r="N154" s="46" t="str">
        <f>'SL-Eq'!I154</f>
        <v>na</v>
      </c>
      <c r="O154" s="46" t="str">
        <f t="shared" si="72"/>
        <v>na</v>
      </c>
      <c r="P154" s="1855" t="s">
        <v>232</v>
      </c>
      <c r="Q154" s="1330" t="s">
        <v>232</v>
      </c>
      <c r="S154" s="1062"/>
    </row>
    <row r="155" spans="1:19" ht="13.9" customHeight="1" x14ac:dyDescent="0.25">
      <c r="A155" s="846">
        <f>Chem!A155</f>
        <v>153</v>
      </c>
      <c r="B155" s="878" t="str">
        <f>Chem!B155</f>
        <v>Bromoethane</v>
      </c>
      <c r="C155" s="531" t="str">
        <f>'SL-Eq'!F155</f>
        <v>na</v>
      </c>
      <c r="D155" s="538" t="str">
        <f>'SL-Eq'!G155</f>
        <v>na</v>
      </c>
      <c r="E155" s="531" t="str">
        <f t="shared" si="69"/>
        <v>na</v>
      </c>
      <c r="F155" s="270" t="s">
        <v>232</v>
      </c>
      <c r="G155" s="270" t="s">
        <v>232</v>
      </c>
      <c r="H155" s="270" t="s">
        <v>232</v>
      </c>
      <c r="I155" s="270" t="str">
        <f t="shared" si="70"/>
        <v>na</v>
      </c>
      <c r="J155" s="46" t="str">
        <f t="shared" si="71"/>
        <v>na</v>
      </c>
      <c r="K155" s="46" t="s">
        <v>232</v>
      </c>
      <c r="L155" s="46" t="s">
        <v>232</v>
      </c>
      <c r="M155" s="46" t="str">
        <f>'SL-Eq'!H155</f>
        <v>na</v>
      </c>
      <c r="N155" s="46" t="str">
        <f>'SL-Eq'!I155</f>
        <v>na</v>
      </c>
      <c r="O155" s="46" t="str">
        <f t="shared" si="72"/>
        <v>na</v>
      </c>
      <c r="P155" s="1855" t="s">
        <v>232</v>
      </c>
      <c r="Q155" s="1330" t="s">
        <v>232</v>
      </c>
      <c r="S155" s="1062"/>
    </row>
    <row r="156" spans="1:19" ht="13.9" customHeight="1" x14ac:dyDescent="0.25">
      <c r="A156" s="846">
        <f>Chem!A156</f>
        <v>154</v>
      </c>
      <c r="B156" s="857" t="str">
        <f>Chem!B156</f>
        <v>Bromoform</v>
      </c>
      <c r="C156" s="343">
        <f>'SL-Eq'!F156</f>
        <v>1600</v>
      </c>
      <c r="D156" s="535">
        <f>'SL-Eq'!G156</f>
        <v>126.58227848101265</v>
      </c>
      <c r="E156" s="531">
        <f t="shared" si="69"/>
        <v>126.58227848101265</v>
      </c>
      <c r="F156" s="270" t="s">
        <v>232</v>
      </c>
      <c r="G156" s="270" t="s">
        <v>232</v>
      </c>
      <c r="H156" s="270" t="s">
        <v>232</v>
      </c>
      <c r="I156" s="270" t="str">
        <f t="shared" si="70"/>
        <v>na</v>
      </c>
      <c r="J156" s="46" t="str">
        <f t="shared" si="71"/>
        <v>na</v>
      </c>
      <c r="K156" s="46" t="s">
        <v>232</v>
      </c>
      <c r="L156" s="46" t="s">
        <v>232</v>
      </c>
      <c r="M156" s="46">
        <f>'SL-Eq'!H156</f>
        <v>70000</v>
      </c>
      <c r="N156" s="46">
        <f>'SL-Eq'!I156</f>
        <v>16613.924050632915</v>
      </c>
      <c r="O156" s="46">
        <f t="shared" si="72"/>
        <v>16613.924050632915</v>
      </c>
      <c r="P156" s="1855" t="s">
        <v>232</v>
      </c>
      <c r="Q156" s="1330" t="s">
        <v>232</v>
      </c>
      <c r="S156" s="1062"/>
    </row>
    <row r="157" spans="1:19" ht="13.9" customHeight="1" x14ac:dyDescent="0.25">
      <c r="A157" s="846">
        <f>Chem!A157</f>
        <v>155</v>
      </c>
      <c r="B157" s="857" t="str">
        <f>Chem!B157</f>
        <v>Bromomethane</v>
      </c>
      <c r="C157" s="343">
        <f>'SL-Eq'!F157</f>
        <v>112</v>
      </c>
      <c r="D157" s="535" t="str">
        <f>'SL-Eq'!G157</f>
        <v>na</v>
      </c>
      <c r="E157" s="531">
        <f t="shared" si="69"/>
        <v>112</v>
      </c>
      <c r="F157" s="270" t="s">
        <v>232</v>
      </c>
      <c r="G157" s="270" t="s">
        <v>232</v>
      </c>
      <c r="H157" s="270" t="s">
        <v>232</v>
      </c>
      <c r="I157" s="270" t="str">
        <f t="shared" si="70"/>
        <v>na</v>
      </c>
      <c r="J157" s="46" t="str">
        <f t="shared" si="71"/>
        <v>na</v>
      </c>
      <c r="K157" s="46" t="s">
        <v>232</v>
      </c>
      <c r="L157" s="46" t="s">
        <v>232</v>
      </c>
      <c r="M157" s="46">
        <f>'SL-Eq'!H157</f>
        <v>4900</v>
      </c>
      <c r="N157" s="46" t="str">
        <f>'SL-Eq'!I157</f>
        <v>na</v>
      </c>
      <c r="O157" s="46">
        <f t="shared" si="72"/>
        <v>4900</v>
      </c>
      <c r="P157" s="1855" t="s">
        <v>232</v>
      </c>
      <c r="Q157" s="1330" t="s">
        <v>232</v>
      </c>
      <c r="S157" s="1062"/>
    </row>
    <row r="158" spans="1:19" ht="13.9" customHeight="1" x14ac:dyDescent="0.25">
      <c r="A158" s="846">
        <f>Chem!A158</f>
        <v>156</v>
      </c>
      <c r="B158" s="857" t="str">
        <f>Chem!B158</f>
        <v>2-Butoxyethanol (EGBE)</v>
      </c>
      <c r="C158" s="343">
        <f>'SL-Eq'!F158</f>
        <v>8000</v>
      </c>
      <c r="D158" s="535" t="str">
        <f>'SL-Eq'!G158</f>
        <v>na</v>
      </c>
      <c r="E158" s="531">
        <f t="shared" si="69"/>
        <v>8000</v>
      </c>
      <c r="F158" s="270" t="s">
        <v>232</v>
      </c>
      <c r="G158" s="270" t="s">
        <v>232</v>
      </c>
      <c r="H158" s="270" t="s">
        <v>232</v>
      </c>
      <c r="I158" s="270" t="str">
        <f t="shared" si="70"/>
        <v>na</v>
      </c>
      <c r="J158" s="46" t="str">
        <f t="shared" si="71"/>
        <v>na</v>
      </c>
      <c r="K158" s="46" t="s">
        <v>232</v>
      </c>
      <c r="L158" s="46" t="s">
        <v>232</v>
      </c>
      <c r="M158" s="46">
        <f>'SL-Eq'!H158</f>
        <v>350000</v>
      </c>
      <c r="N158" s="46" t="str">
        <f>'SL-Eq'!I158</f>
        <v>na</v>
      </c>
      <c r="O158" s="46">
        <f t="shared" si="72"/>
        <v>350000</v>
      </c>
      <c r="P158" s="1855" t="s">
        <v>232</v>
      </c>
      <c r="Q158" s="1330" t="s">
        <v>232</v>
      </c>
      <c r="S158" s="1062"/>
    </row>
    <row r="159" spans="1:19" ht="13.9" customHeight="1" x14ac:dyDescent="0.25">
      <c r="A159" s="846">
        <f>Chem!A159</f>
        <v>157</v>
      </c>
      <c r="B159" s="857" t="str">
        <f>Chem!B159</f>
        <v>n-Butylbenzene</v>
      </c>
      <c r="C159" s="343">
        <f>'SL-Eq'!F159</f>
        <v>4000</v>
      </c>
      <c r="D159" s="535" t="str">
        <f>'SL-Eq'!G159</f>
        <v>na</v>
      </c>
      <c r="E159" s="531">
        <f t="shared" si="69"/>
        <v>4000</v>
      </c>
      <c r="F159" s="270" t="s">
        <v>232</v>
      </c>
      <c r="G159" s="270" t="s">
        <v>232</v>
      </c>
      <c r="H159" s="270" t="s">
        <v>232</v>
      </c>
      <c r="I159" s="270" t="str">
        <f t="shared" si="70"/>
        <v>na</v>
      </c>
      <c r="J159" s="46" t="str">
        <f t="shared" si="71"/>
        <v>na</v>
      </c>
      <c r="K159" s="46" t="s">
        <v>232</v>
      </c>
      <c r="L159" s="46" t="s">
        <v>232</v>
      </c>
      <c r="M159" s="46">
        <f>'SL-Eq'!H159</f>
        <v>175000</v>
      </c>
      <c r="N159" s="46" t="str">
        <f>'SL-Eq'!I159</f>
        <v>na</v>
      </c>
      <c r="O159" s="46">
        <f t="shared" si="72"/>
        <v>175000</v>
      </c>
      <c r="P159" s="1855" t="s">
        <v>232</v>
      </c>
      <c r="Q159" s="1330" t="s">
        <v>232</v>
      </c>
      <c r="S159" s="1062"/>
    </row>
    <row r="160" spans="1:19" ht="13.9" customHeight="1" x14ac:dyDescent="0.25">
      <c r="A160" s="846">
        <f>Chem!A160</f>
        <v>158</v>
      </c>
      <c r="B160" s="857" t="str">
        <f>Chem!B160</f>
        <v>sec-Butylbenzene</v>
      </c>
      <c r="C160" s="343">
        <f>'SL-Eq'!F160</f>
        <v>8000</v>
      </c>
      <c r="D160" s="535" t="str">
        <f>'SL-Eq'!G160</f>
        <v>na</v>
      </c>
      <c r="E160" s="531">
        <f t="shared" si="69"/>
        <v>8000</v>
      </c>
      <c r="F160" s="270" t="s">
        <v>232</v>
      </c>
      <c r="G160" s="270" t="s">
        <v>232</v>
      </c>
      <c r="H160" s="270" t="s">
        <v>232</v>
      </c>
      <c r="I160" s="270" t="str">
        <f t="shared" si="70"/>
        <v>na</v>
      </c>
      <c r="J160" s="46" t="str">
        <f t="shared" si="71"/>
        <v>na</v>
      </c>
      <c r="K160" s="46" t="s">
        <v>232</v>
      </c>
      <c r="L160" s="46" t="s">
        <v>232</v>
      </c>
      <c r="M160" s="46">
        <f>'SL-Eq'!H160</f>
        <v>350000</v>
      </c>
      <c r="N160" s="46" t="str">
        <f>'SL-Eq'!I160</f>
        <v>na</v>
      </c>
      <c r="O160" s="46">
        <f t="shared" si="72"/>
        <v>350000</v>
      </c>
      <c r="P160" s="1855" t="s">
        <v>232</v>
      </c>
      <c r="Q160" s="1330" t="s">
        <v>232</v>
      </c>
      <c r="S160" s="1062"/>
    </row>
    <row r="161" spans="1:19" ht="13.9" customHeight="1" x14ac:dyDescent="0.25">
      <c r="A161" s="846">
        <f>Chem!A161</f>
        <v>159</v>
      </c>
      <c r="B161" s="857" t="str">
        <f>Chem!B161</f>
        <v>tert-Butylbenzene</v>
      </c>
      <c r="C161" s="343">
        <f>'SL-Eq'!F161</f>
        <v>8000</v>
      </c>
      <c r="D161" s="535" t="str">
        <f>'SL-Eq'!G161</f>
        <v>na</v>
      </c>
      <c r="E161" s="531">
        <f t="shared" si="69"/>
        <v>8000</v>
      </c>
      <c r="F161" s="270" t="s">
        <v>232</v>
      </c>
      <c r="G161" s="270" t="s">
        <v>232</v>
      </c>
      <c r="H161" s="270" t="s">
        <v>232</v>
      </c>
      <c r="I161" s="270" t="str">
        <f t="shared" si="70"/>
        <v>na</v>
      </c>
      <c r="J161" s="46" t="str">
        <f t="shared" si="71"/>
        <v>na</v>
      </c>
      <c r="K161" s="46" t="s">
        <v>232</v>
      </c>
      <c r="L161" s="46" t="s">
        <v>232</v>
      </c>
      <c r="M161" s="46">
        <f>'SL-Eq'!H161</f>
        <v>350000</v>
      </c>
      <c r="N161" s="46" t="str">
        <f>'SL-Eq'!I161</f>
        <v>na</v>
      </c>
      <c r="O161" s="46">
        <f t="shared" si="72"/>
        <v>350000</v>
      </c>
      <c r="P161" s="1855" t="s">
        <v>232</v>
      </c>
      <c r="Q161" s="1330" t="s">
        <v>232</v>
      </c>
      <c r="S161" s="1062"/>
    </row>
    <row r="162" spans="1:19" ht="13.9" customHeight="1" x14ac:dyDescent="0.25">
      <c r="A162" s="846">
        <f>Chem!A162</f>
        <v>160</v>
      </c>
      <c r="B162" s="857" t="str">
        <f>Chem!B162</f>
        <v>Carbon disulfide</v>
      </c>
      <c r="C162" s="343">
        <f>'SL-Eq'!F162</f>
        <v>8000</v>
      </c>
      <c r="D162" s="535" t="str">
        <f>'SL-Eq'!G162</f>
        <v>na</v>
      </c>
      <c r="E162" s="531">
        <f t="shared" si="69"/>
        <v>8000</v>
      </c>
      <c r="F162" s="270" t="s">
        <v>232</v>
      </c>
      <c r="G162" s="270" t="s">
        <v>232</v>
      </c>
      <c r="H162" s="270" t="s">
        <v>232</v>
      </c>
      <c r="I162" s="270" t="str">
        <f t="shared" si="70"/>
        <v>na</v>
      </c>
      <c r="J162" s="46" t="str">
        <f t="shared" si="71"/>
        <v>na</v>
      </c>
      <c r="K162" s="46" t="s">
        <v>232</v>
      </c>
      <c r="L162" s="46" t="s">
        <v>232</v>
      </c>
      <c r="M162" s="46">
        <f>'SL-Eq'!H162</f>
        <v>350000</v>
      </c>
      <c r="N162" s="46" t="str">
        <f>'SL-Eq'!I162</f>
        <v>na</v>
      </c>
      <c r="O162" s="46">
        <f t="shared" si="72"/>
        <v>350000</v>
      </c>
      <c r="P162" s="1855" t="s">
        <v>232</v>
      </c>
      <c r="Q162" s="1330" t="s">
        <v>232</v>
      </c>
      <c r="S162" s="1062"/>
    </row>
    <row r="163" spans="1:19" ht="13.9" customHeight="1" x14ac:dyDescent="0.25">
      <c r="A163" s="846">
        <f>Chem!A163</f>
        <v>161</v>
      </c>
      <c r="B163" s="857" t="str">
        <f>Chem!B163</f>
        <v>Carbon tetrachloride</v>
      </c>
      <c r="C163" s="343">
        <f>'SL-Eq'!F163</f>
        <v>320</v>
      </c>
      <c r="D163" s="535">
        <f>'SL-Eq'!G163</f>
        <v>14.285714285714285</v>
      </c>
      <c r="E163" s="531">
        <f t="shared" si="69"/>
        <v>14.285714285714285</v>
      </c>
      <c r="F163" s="270" t="s">
        <v>232</v>
      </c>
      <c r="G163" s="270" t="s">
        <v>232</v>
      </c>
      <c r="H163" s="270" t="s">
        <v>232</v>
      </c>
      <c r="I163" s="270" t="str">
        <f t="shared" si="70"/>
        <v>na</v>
      </c>
      <c r="J163" s="46" t="str">
        <f t="shared" si="71"/>
        <v>na</v>
      </c>
      <c r="K163" s="46" t="s">
        <v>232</v>
      </c>
      <c r="L163" s="46" t="s">
        <v>232</v>
      </c>
      <c r="M163" s="46">
        <f>'SL-Eq'!H163</f>
        <v>14000</v>
      </c>
      <c r="N163" s="46">
        <f>'SL-Eq'!I163</f>
        <v>1875.0000000000002</v>
      </c>
      <c r="O163" s="46">
        <f t="shared" si="72"/>
        <v>1875.0000000000002</v>
      </c>
      <c r="P163" s="1855" t="s">
        <v>232</v>
      </c>
      <c r="Q163" s="1330" t="s">
        <v>232</v>
      </c>
      <c r="S163" s="1062"/>
    </row>
    <row r="164" spans="1:19" ht="13.9" customHeight="1" x14ac:dyDescent="0.25">
      <c r="A164" s="846">
        <f>Chem!A164</f>
        <v>162</v>
      </c>
      <c r="B164" s="857" t="str">
        <f>Chem!B164</f>
        <v>Chlorobenzene</v>
      </c>
      <c r="C164" s="343">
        <f>'SL-Eq'!F164</f>
        <v>1600</v>
      </c>
      <c r="D164" s="535" t="str">
        <f>'SL-Eq'!G164</f>
        <v>na</v>
      </c>
      <c r="E164" s="531">
        <f t="shared" si="69"/>
        <v>1600</v>
      </c>
      <c r="F164" s="270" t="s">
        <v>232</v>
      </c>
      <c r="G164" s="270">
        <v>40</v>
      </c>
      <c r="H164" s="270" t="s">
        <v>232</v>
      </c>
      <c r="I164" s="270">
        <f t="shared" si="70"/>
        <v>40</v>
      </c>
      <c r="J164" s="46" t="str">
        <f t="shared" si="71"/>
        <v>na</v>
      </c>
      <c r="K164" s="46" t="s">
        <v>232</v>
      </c>
      <c r="L164" s="46" t="s">
        <v>232</v>
      </c>
      <c r="M164" s="46">
        <f>'SL-Eq'!H164</f>
        <v>70000</v>
      </c>
      <c r="N164" s="46" t="str">
        <f>'SL-Eq'!I164</f>
        <v>na</v>
      </c>
      <c r="O164" s="46">
        <f t="shared" si="72"/>
        <v>70000</v>
      </c>
      <c r="P164" s="1855" t="s">
        <v>232</v>
      </c>
      <c r="Q164" s="1330" t="s">
        <v>232</v>
      </c>
      <c r="S164" s="1062"/>
    </row>
    <row r="165" spans="1:19" ht="13.9" customHeight="1" x14ac:dyDescent="0.25">
      <c r="A165" s="846">
        <f>Chem!A165</f>
        <v>163</v>
      </c>
      <c r="B165" s="857" t="str">
        <f>Chem!B165</f>
        <v>Chloroethane</v>
      </c>
      <c r="C165" s="343" t="str">
        <f>'SL-Eq'!F165</f>
        <v>na</v>
      </c>
      <c r="D165" s="535" t="str">
        <f>'SL-Eq'!G165</f>
        <v>na</v>
      </c>
      <c r="E165" s="531" t="str">
        <f t="shared" si="69"/>
        <v>na</v>
      </c>
      <c r="F165" s="270" t="s">
        <v>232</v>
      </c>
      <c r="G165" s="270" t="s">
        <v>232</v>
      </c>
      <c r="H165" s="270" t="s">
        <v>232</v>
      </c>
      <c r="I165" s="270" t="str">
        <f t="shared" si="70"/>
        <v>na</v>
      </c>
      <c r="J165" s="46" t="str">
        <f t="shared" si="71"/>
        <v>na</v>
      </c>
      <c r="K165" s="46" t="s">
        <v>232</v>
      </c>
      <c r="L165" s="46" t="s">
        <v>232</v>
      </c>
      <c r="M165" s="46" t="str">
        <f>'SL-Eq'!H165</f>
        <v>na</v>
      </c>
      <c r="N165" s="46" t="str">
        <f>'SL-Eq'!I165</f>
        <v>na</v>
      </c>
      <c r="O165" s="46" t="str">
        <f t="shared" si="72"/>
        <v>na</v>
      </c>
      <c r="P165" s="1855" t="s">
        <v>232</v>
      </c>
      <c r="Q165" s="1330" t="s">
        <v>232</v>
      </c>
      <c r="S165" s="1062"/>
    </row>
    <row r="166" spans="1:19" ht="13.9" customHeight="1" x14ac:dyDescent="0.25">
      <c r="A166" s="846">
        <f>Chem!A166</f>
        <v>164</v>
      </c>
      <c r="B166" s="857" t="str">
        <f>Chem!B166</f>
        <v>2-Chloroethyl vinyl ether</v>
      </c>
      <c r="C166" s="343" t="str">
        <f>'SL-Eq'!F166</f>
        <v>na</v>
      </c>
      <c r="D166" s="535" t="str">
        <f>'SL-Eq'!G166</f>
        <v>na</v>
      </c>
      <c r="E166" s="531" t="str">
        <f t="shared" si="69"/>
        <v>na</v>
      </c>
      <c r="F166" s="270" t="s">
        <v>232</v>
      </c>
      <c r="G166" s="270" t="s">
        <v>232</v>
      </c>
      <c r="H166" s="270" t="s">
        <v>232</v>
      </c>
      <c r="I166" s="270" t="str">
        <f t="shared" si="70"/>
        <v>na</v>
      </c>
      <c r="J166" s="46" t="str">
        <f t="shared" si="71"/>
        <v>na</v>
      </c>
      <c r="K166" s="46" t="s">
        <v>232</v>
      </c>
      <c r="L166" s="46" t="s">
        <v>232</v>
      </c>
      <c r="M166" s="46" t="str">
        <f>'SL-Eq'!H166</f>
        <v>na</v>
      </c>
      <c r="N166" s="46" t="str">
        <f>'SL-Eq'!I166</f>
        <v>na</v>
      </c>
      <c r="O166" s="46" t="str">
        <f t="shared" si="72"/>
        <v>na</v>
      </c>
      <c r="P166" s="1855" t="s">
        <v>232</v>
      </c>
      <c r="Q166" s="1330" t="s">
        <v>232</v>
      </c>
      <c r="S166" s="1062"/>
    </row>
    <row r="167" spans="1:19" ht="13.9" customHeight="1" x14ac:dyDescent="0.25">
      <c r="A167" s="846">
        <f>Chem!A167</f>
        <v>165</v>
      </c>
      <c r="B167" s="857" t="str">
        <f>Chem!B167</f>
        <v>Chloroform</v>
      </c>
      <c r="C167" s="343">
        <f>'SL-Eq'!F167</f>
        <v>800</v>
      </c>
      <c r="D167" s="535">
        <f>'SL-Eq'!G167</f>
        <v>32.258064516129032</v>
      </c>
      <c r="E167" s="531">
        <f t="shared" si="69"/>
        <v>32.258064516129032</v>
      </c>
      <c r="F167" s="270" t="s">
        <v>232</v>
      </c>
      <c r="G167" s="270" t="s">
        <v>232</v>
      </c>
      <c r="H167" s="270" t="s">
        <v>232</v>
      </c>
      <c r="I167" s="270" t="str">
        <f t="shared" si="70"/>
        <v>na</v>
      </c>
      <c r="J167" s="46" t="str">
        <f t="shared" si="71"/>
        <v>na</v>
      </c>
      <c r="K167" s="46" t="s">
        <v>232</v>
      </c>
      <c r="L167" s="46" t="s">
        <v>232</v>
      </c>
      <c r="M167" s="46">
        <f>'SL-Eq'!H167</f>
        <v>35000</v>
      </c>
      <c r="N167" s="46">
        <f>'SL-Eq'!I167</f>
        <v>4233.8709677419365</v>
      </c>
      <c r="O167" s="46">
        <f t="shared" si="72"/>
        <v>4233.8709677419365</v>
      </c>
      <c r="P167" s="1855" t="s">
        <v>232</v>
      </c>
      <c r="Q167" s="1330" t="s">
        <v>232</v>
      </c>
      <c r="S167" s="1062"/>
    </row>
    <row r="168" spans="1:19" ht="13.9" customHeight="1" x14ac:dyDescent="0.25">
      <c r="A168" s="846">
        <f>Chem!A168</f>
        <v>166</v>
      </c>
      <c r="B168" s="857" t="str">
        <f>Chem!B168</f>
        <v>Chloromethane</v>
      </c>
      <c r="C168" s="343" t="str">
        <f>'SL-Eq'!F168</f>
        <v>na</v>
      </c>
      <c r="D168" s="535" t="str">
        <f>'SL-Eq'!G168</f>
        <v>na</v>
      </c>
      <c r="E168" s="531" t="str">
        <f t="shared" si="69"/>
        <v>na</v>
      </c>
      <c r="F168" s="270" t="s">
        <v>232</v>
      </c>
      <c r="G168" s="270" t="s">
        <v>232</v>
      </c>
      <c r="H168" s="270" t="s">
        <v>232</v>
      </c>
      <c r="I168" s="270" t="str">
        <f t="shared" si="70"/>
        <v>na</v>
      </c>
      <c r="J168" s="46" t="str">
        <f t="shared" si="71"/>
        <v>na</v>
      </c>
      <c r="K168" s="46" t="s">
        <v>232</v>
      </c>
      <c r="L168" s="46" t="s">
        <v>232</v>
      </c>
      <c r="M168" s="46" t="str">
        <f>'SL-Eq'!H168</f>
        <v>na</v>
      </c>
      <c r="N168" s="46" t="str">
        <f>'SL-Eq'!I168</f>
        <v>na</v>
      </c>
      <c r="O168" s="46" t="str">
        <f t="shared" si="72"/>
        <v>na</v>
      </c>
      <c r="P168" s="1855" t="s">
        <v>232</v>
      </c>
      <c r="Q168" s="1330" t="s">
        <v>232</v>
      </c>
      <c r="S168" s="1062"/>
    </row>
    <row r="169" spans="1:19" ht="13.9" customHeight="1" x14ac:dyDescent="0.25">
      <c r="A169" s="846">
        <f>Chem!A169</f>
        <v>167</v>
      </c>
      <c r="B169" s="857" t="str">
        <f>Chem!B169</f>
        <v>3-Chloro-1-propene (allyl chloride)</v>
      </c>
      <c r="C169" s="343" t="str">
        <f>'SL-Eq'!F169</f>
        <v>na</v>
      </c>
      <c r="D169" s="535">
        <f>'SL-Eq'!G169</f>
        <v>47.619047619047613</v>
      </c>
      <c r="E169" s="531">
        <f t="shared" si="69"/>
        <v>47.619047619047613</v>
      </c>
      <c r="F169" s="270" t="s">
        <v>232</v>
      </c>
      <c r="G169" s="270" t="s">
        <v>232</v>
      </c>
      <c r="H169" s="270" t="s">
        <v>232</v>
      </c>
      <c r="I169" s="270" t="str">
        <f t="shared" si="70"/>
        <v>na</v>
      </c>
      <c r="J169" s="46" t="str">
        <f t="shared" si="71"/>
        <v>na</v>
      </c>
      <c r="K169" s="46" t="s">
        <v>232</v>
      </c>
      <c r="L169" s="46" t="s">
        <v>232</v>
      </c>
      <c r="M169" s="46" t="str">
        <f>'SL-Eq'!H169</f>
        <v>na</v>
      </c>
      <c r="N169" s="46">
        <f>'SL-Eq'!I169</f>
        <v>6250.0000000000009</v>
      </c>
      <c r="O169" s="46">
        <f t="shared" si="72"/>
        <v>6250.0000000000009</v>
      </c>
      <c r="P169" s="1855" t="s">
        <v>232</v>
      </c>
      <c r="Q169" s="1330" t="s">
        <v>232</v>
      </c>
      <c r="S169" s="1062"/>
    </row>
    <row r="170" spans="1:19" ht="13.9" customHeight="1" x14ac:dyDescent="0.25">
      <c r="A170" s="846">
        <f>Chem!A170</f>
        <v>168</v>
      </c>
      <c r="B170" s="857" t="str">
        <f>Chem!B170</f>
        <v>2-Chlorotoluene</v>
      </c>
      <c r="C170" s="343">
        <f>'SL-Eq'!F170</f>
        <v>1600</v>
      </c>
      <c r="D170" s="535" t="str">
        <f>'SL-Eq'!G170</f>
        <v>na</v>
      </c>
      <c r="E170" s="531">
        <f t="shared" si="69"/>
        <v>1600</v>
      </c>
      <c r="F170" s="270" t="s">
        <v>232</v>
      </c>
      <c r="G170" s="270" t="s">
        <v>232</v>
      </c>
      <c r="H170" s="270" t="s">
        <v>232</v>
      </c>
      <c r="I170" s="270" t="str">
        <f t="shared" si="70"/>
        <v>na</v>
      </c>
      <c r="J170" s="46" t="str">
        <f t="shared" si="71"/>
        <v>na</v>
      </c>
      <c r="K170" s="46" t="s">
        <v>232</v>
      </c>
      <c r="L170" s="46" t="s">
        <v>232</v>
      </c>
      <c r="M170" s="46">
        <f>'SL-Eq'!H170</f>
        <v>70000</v>
      </c>
      <c r="N170" s="46" t="str">
        <f>'SL-Eq'!I170</f>
        <v>na</v>
      </c>
      <c r="O170" s="46">
        <f t="shared" si="72"/>
        <v>70000</v>
      </c>
      <c r="P170" s="1855" t="s">
        <v>232</v>
      </c>
      <c r="Q170" s="1330" t="s">
        <v>232</v>
      </c>
      <c r="S170" s="1062"/>
    </row>
    <row r="171" spans="1:19" ht="13.9" customHeight="1" x14ac:dyDescent="0.25">
      <c r="A171" s="846">
        <f>Chem!A171</f>
        <v>169</v>
      </c>
      <c r="B171" s="857" t="str">
        <f>Chem!B171</f>
        <v>4-Chlorotoluene</v>
      </c>
      <c r="C171" s="343">
        <f>'SL-Eq'!F171</f>
        <v>1600</v>
      </c>
      <c r="D171" s="535" t="str">
        <f>'SL-Eq'!G171</f>
        <v>na</v>
      </c>
      <c r="E171" s="531">
        <f t="shared" si="69"/>
        <v>1600</v>
      </c>
      <c r="F171" s="270" t="s">
        <v>232</v>
      </c>
      <c r="G171" s="270" t="s">
        <v>232</v>
      </c>
      <c r="H171" s="270" t="s">
        <v>232</v>
      </c>
      <c r="I171" s="270" t="str">
        <f t="shared" si="70"/>
        <v>na</v>
      </c>
      <c r="J171" s="46" t="str">
        <f t="shared" si="71"/>
        <v>na</v>
      </c>
      <c r="K171" s="46" t="s">
        <v>232</v>
      </c>
      <c r="L171" s="46" t="s">
        <v>232</v>
      </c>
      <c r="M171" s="46">
        <f>'SL-Eq'!H171</f>
        <v>70000</v>
      </c>
      <c r="N171" s="46" t="str">
        <f>'SL-Eq'!I171</f>
        <v>na</v>
      </c>
      <c r="O171" s="46">
        <f t="shared" si="72"/>
        <v>70000</v>
      </c>
      <c r="P171" s="1855" t="s">
        <v>232</v>
      </c>
      <c r="Q171" s="1330" t="s">
        <v>232</v>
      </c>
      <c r="S171" s="1062"/>
    </row>
    <row r="172" spans="1:19" ht="13.9" customHeight="1" x14ac:dyDescent="0.25">
      <c r="A172" s="846">
        <f>Chem!A172</f>
        <v>170</v>
      </c>
      <c r="B172" s="857" t="str">
        <f>Chem!B172</f>
        <v>Dibromochloromethane</v>
      </c>
      <c r="C172" s="343">
        <f>'SL-Eq'!F172</f>
        <v>1600</v>
      </c>
      <c r="D172" s="535">
        <f>'SL-Eq'!G172</f>
        <v>11.904761904761903</v>
      </c>
      <c r="E172" s="531">
        <f t="shared" si="69"/>
        <v>11.904761904761903</v>
      </c>
      <c r="F172" s="270" t="s">
        <v>232</v>
      </c>
      <c r="G172" s="270" t="s">
        <v>232</v>
      </c>
      <c r="H172" s="270" t="s">
        <v>232</v>
      </c>
      <c r="I172" s="270" t="str">
        <f t="shared" si="70"/>
        <v>na</v>
      </c>
      <c r="J172" s="46" t="str">
        <f t="shared" si="71"/>
        <v>na</v>
      </c>
      <c r="K172" s="46" t="s">
        <v>232</v>
      </c>
      <c r="L172" s="46" t="s">
        <v>232</v>
      </c>
      <c r="M172" s="46">
        <f>'SL-Eq'!H172</f>
        <v>70000</v>
      </c>
      <c r="N172" s="46">
        <f>'SL-Eq'!I172</f>
        <v>1562.5000000000002</v>
      </c>
      <c r="O172" s="46">
        <f t="shared" si="72"/>
        <v>1562.5000000000002</v>
      </c>
      <c r="P172" s="1855" t="s">
        <v>232</v>
      </c>
      <c r="Q172" s="1330" t="s">
        <v>232</v>
      </c>
      <c r="S172" s="1062"/>
    </row>
    <row r="173" spans="1:19" ht="13.9" customHeight="1" x14ac:dyDescent="0.25">
      <c r="A173" s="846">
        <f>Chem!A173</f>
        <v>171</v>
      </c>
      <c r="B173" s="857" t="str">
        <f>Chem!B173</f>
        <v>1,2-Dibromo-3-chloropropane</v>
      </c>
      <c r="C173" s="343">
        <f>'SL-Eq'!F173</f>
        <v>16</v>
      </c>
      <c r="D173" s="535">
        <f>'SL-Eq'!G173</f>
        <v>0.23</v>
      </c>
      <c r="E173" s="531">
        <f t="shared" si="69"/>
        <v>0.23</v>
      </c>
      <c r="F173" s="270" t="s">
        <v>232</v>
      </c>
      <c r="G173" s="270" t="s">
        <v>232</v>
      </c>
      <c r="H173" s="270" t="s">
        <v>232</v>
      </c>
      <c r="I173" s="270" t="str">
        <f t="shared" si="70"/>
        <v>na</v>
      </c>
      <c r="J173" s="46" t="str">
        <f t="shared" si="71"/>
        <v>na</v>
      </c>
      <c r="K173" s="46" t="s">
        <v>232</v>
      </c>
      <c r="L173" s="46" t="s">
        <v>232</v>
      </c>
      <c r="M173" s="46">
        <f>'SL-Eq'!H173</f>
        <v>700</v>
      </c>
      <c r="N173" s="46">
        <f>'SL-Eq'!I173</f>
        <v>164.06250000000003</v>
      </c>
      <c r="O173" s="46">
        <f t="shared" si="72"/>
        <v>164.06250000000003</v>
      </c>
      <c r="P173" s="1855" t="s">
        <v>232</v>
      </c>
      <c r="Q173" s="1330" t="s">
        <v>232</v>
      </c>
      <c r="S173" s="1062"/>
    </row>
    <row r="174" spans="1:19" ht="13.9" customHeight="1" x14ac:dyDescent="0.25">
      <c r="A174" s="846">
        <f>Chem!A174</f>
        <v>172</v>
      </c>
      <c r="B174" s="857" t="str">
        <f>Chem!B174</f>
        <v>Dibromomethane</v>
      </c>
      <c r="C174" s="343">
        <f>'SL-Eq'!F174</f>
        <v>800</v>
      </c>
      <c r="D174" s="535" t="str">
        <f>'SL-Eq'!G174</f>
        <v>na</v>
      </c>
      <c r="E174" s="531">
        <f t="shared" si="69"/>
        <v>800</v>
      </c>
      <c r="F174" s="270" t="s">
        <v>232</v>
      </c>
      <c r="G174" s="270" t="s">
        <v>232</v>
      </c>
      <c r="H174" s="270" t="s">
        <v>232</v>
      </c>
      <c r="I174" s="270" t="str">
        <f t="shared" si="70"/>
        <v>na</v>
      </c>
      <c r="J174" s="46" t="str">
        <f t="shared" si="71"/>
        <v>na</v>
      </c>
      <c r="K174" s="46" t="s">
        <v>232</v>
      </c>
      <c r="L174" s="46" t="s">
        <v>232</v>
      </c>
      <c r="M174" s="46">
        <f>'SL-Eq'!H174</f>
        <v>35000</v>
      </c>
      <c r="N174" s="46" t="str">
        <f>'SL-Eq'!I174</f>
        <v>na</v>
      </c>
      <c r="O174" s="46">
        <f t="shared" si="72"/>
        <v>35000</v>
      </c>
      <c r="P174" s="1855" t="s">
        <v>232</v>
      </c>
      <c r="Q174" s="1330" t="s">
        <v>232</v>
      </c>
      <c r="S174" s="1062"/>
    </row>
    <row r="175" spans="1:19" ht="13.9" customHeight="1" x14ac:dyDescent="0.25">
      <c r="A175" s="846">
        <f>Chem!A175</f>
        <v>173</v>
      </c>
      <c r="B175" s="857" t="str">
        <f>Chem!B175</f>
        <v>Dichlorobromomethane</v>
      </c>
      <c r="C175" s="343">
        <f>'SL-Eq'!F175</f>
        <v>1600</v>
      </c>
      <c r="D175" s="535">
        <f>'SL-Eq'!G175</f>
        <v>16.129032258064516</v>
      </c>
      <c r="E175" s="531">
        <f t="shared" si="69"/>
        <v>16.129032258064516</v>
      </c>
      <c r="F175" s="270" t="s">
        <v>232</v>
      </c>
      <c r="G175" s="270" t="s">
        <v>232</v>
      </c>
      <c r="H175" s="270" t="s">
        <v>232</v>
      </c>
      <c r="I175" s="270" t="str">
        <f t="shared" si="70"/>
        <v>na</v>
      </c>
      <c r="J175" s="46" t="str">
        <f t="shared" si="71"/>
        <v>na</v>
      </c>
      <c r="K175" s="46" t="s">
        <v>232</v>
      </c>
      <c r="L175" s="46" t="s">
        <v>232</v>
      </c>
      <c r="M175" s="46">
        <f>'SL-Eq'!H175</f>
        <v>70000</v>
      </c>
      <c r="N175" s="46">
        <f>'SL-Eq'!I175</f>
        <v>2116.9354838709683</v>
      </c>
      <c r="O175" s="46">
        <f t="shared" si="72"/>
        <v>2116.9354838709683</v>
      </c>
      <c r="P175" s="1855" t="s">
        <v>232</v>
      </c>
      <c r="Q175" s="1330" t="s">
        <v>232</v>
      </c>
      <c r="S175" s="1062"/>
    </row>
    <row r="176" spans="1:19" ht="13.9" customHeight="1" x14ac:dyDescent="0.25">
      <c r="A176" s="846">
        <f>Chem!A176</f>
        <v>174</v>
      </c>
      <c r="B176" s="857" t="str">
        <f>Chem!B176</f>
        <v>trans-1,4-Dichloro-2-butene</v>
      </c>
      <c r="C176" s="343" t="str">
        <f>'SL-Eq'!F176</f>
        <v>na</v>
      </c>
      <c r="D176" s="535" t="str">
        <f>'SL-Eq'!G176</f>
        <v>na</v>
      </c>
      <c r="E176" s="531" t="str">
        <f t="shared" si="69"/>
        <v>na</v>
      </c>
      <c r="F176" s="270" t="s">
        <v>232</v>
      </c>
      <c r="G176" s="270" t="s">
        <v>232</v>
      </c>
      <c r="H176" s="270" t="s">
        <v>232</v>
      </c>
      <c r="I176" s="270" t="str">
        <f t="shared" si="70"/>
        <v>na</v>
      </c>
      <c r="J176" s="46" t="str">
        <f t="shared" si="71"/>
        <v>na</v>
      </c>
      <c r="K176" s="46" t="s">
        <v>232</v>
      </c>
      <c r="L176" s="46" t="s">
        <v>232</v>
      </c>
      <c r="M176" s="46" t="str">
        <f>'SL-Eq'!H176</f>
        <v>na</v>
      </c>
      <c r="N176" s="46" t="str">
        <f>'SL-Eq'!I176</f>
        <v>na</v>
      </c>
      <c r="O176" s="46" t="str">
        <f t="shared" si="72"/>
        <v>na</v>
      </c>
      <c r="P176" s="1855" t="s">
        <v>232</v>
      </c>
      <c r="Q176" s="1330" t="s">
        <v>232</v>
      </c>
      <c r="S176" s="1062"/>
    </row>
    <row r="177" spans="1:19" ht="13.9" customHeight="1" x14ac:dyDescent="0.25">
      <c r="A177" s="846">
        <f>Chem!A177</f>
        <v>175</v>
      </c>
      <c r="B177" s="881" t="str">
        <f>Chem!B177</f>
        <v>Dichlorodifluoromethane</v>
      </c>
      <c r="C177" s="338">
        <f>'SL-Eq'!F177</f>
        <v>16000</v>
      </c>
      <c r="D177" s="539" t="str">
        <f>'SL-Eq'!G177</f>
        <v>na</v>
      </c>
      <c r="E177" s="531">
        <f t="shared" si="69"/>
        <v>16000</v>
      </c>
      <c r="F177" s="270" t="s">
        <v>232</v>
      </c>
      <c r="G177" s="270" t="s">
        <v>232</v>
      </c>
      <c r="H177" s="270" t="s">
        <v>232</v>
      </c>
      <c r="I177" s="270" t="str">
        <f t="shared" si="70"/>
        <v>na</v>
      </c>
      <c r="J177" s="46" t="str">
        <f t="shared" si="71"/>
        <v>na</v>
      </c>
      <c r="K177" s="46" t="s">
        <v>232</v>
      </c>
      <c r="L177" s="46" t="s">
        <v>232</v>
      </c>
      <c r="M177" s="46">
        <f>'SL-Eq'!H177</f>
        <v>700000</v>
      </c>
      <c r="N177" s="46" t="str">
        <f>'SL-Eq'!I177</f>
        <v>na</v>
      </c>
      <c r="O177" s="46">
        <f t="shared" si="72"/>
        <v>700000</v>
      </c>
      <c r="P177" s="1855" t="s">
        <v>232</v>
      </c>
      <c r="Q177" s="1330" t="s">
        <v>232</v>
      </c>
      <c r="S177" s="1062"/>
    </row>
    <row r="178" spans="1:19" ht="13.9" customHeight="1" x14ac:dyDescent="0.25">
      <c r="A178" s="846">
        <f>Chem!A178</f>
        <v>176</v>
      </c>
      <c r="B178" s="857" t="str">
        <f>Chem!B178</f>
        <v>1,1-Dichloroethane</v>
      </c>
      <c r="C178" s="343">
        <f>'SL-Eq'!F178</f>
        <v>16000</v>
      </c>
      <c r="D178" s="535">
        <f>'SL-Eq'!G178</f>
        <v>175.43859649122805</v>
      </c>
      <c r="E178" s="531">
        <f t="shared" si="69"/>
        <v>175.43859649122805</v>
      </c>
      <c r="F178" s="270" t="s">
        <v>232</v>
      </c>
      <c r="G178" s="270" t="s">
        <v>232</v>
      </c>
      <c r="H178" s="270" t="s">
        <v>232</v>
      </c>
      <c r="I178" s="270" t="str">
        <f t="shared" si="70"/>
        <v>na</v>
      </c>
      <c r="J178" s="46" t="str">
        <f t="shared" si="71"/>
        <v>na</v>
      </c>
      <c r="K178" s="46" t="s">
        <v>232</v>
      </c>
      <c r="L178" s="46" t="s">
        <v>232</v>
      </c>
      <c r="M178" s="46">
        <f>'SL-Eq'!H178</f>
        <v>700000</v>
      </c>
      <c r="N178" s="46">
        <f>'SL-Eq'!I178</f>
        <v>23026.315789473687</v>
      </c>
      <c r="O178" s="46">
        <f t="shared" si="72"/>
        <v>23026.315789473687</v>
      </c>
      <c r="P178" s="1855" t="s">
        <v>232</v>
      </c>
      <c r="Q178" s="1330" t="s">
        <v>232</v>
      </c>
      <c r="S178" s="1062"/>
    </row>
    <row r="179" spans="1:19" ht="13.9" customHeight="1" x14ac:dyDescent="0.25">
      <c r="A179" s="846">
        <f>Chem!A179</f>
        <v>177</v>
      </c>
      <c r="B179" s="857" t="str">
        <f>Chem!B179</f>
        <v>1,2-Dichloroethane (EDC)</v>
      </c>
      <c r="C179" s="343">
        <f>'SL-Eq'!F179</f>
        <v>480</v>
      </c>
      <c r="D179" s="535">
        <f>'SL-Eq'!G179</f>
        <v>10.989010989010989</v>
      </c>
      <c r="E179" s="531">
        <f t="shared" si="69"/>
        <v>10.989010989010989</v>
      </c>
      <c r="F179" s="270" t="s">
        <v>232</v>
      </c>
      <c r="G179" s="270" t="s">
        <v>232</v>
      </c>
      <c r="H179" s="270" t="s">
        <v>232</v>
      </c>
      <c r="I179" s="270" t="str">
        <f t="shared" si="70"/>
        <v>na</v>
      </c>
      <c r="J179" s="46" t="str">
        <f t="shared" si="71"/>
        <v>na</v>
      </c>
      <c r="K179" s="46" t="s">
        <v>232</v>
      </c>
      <c r="L179" s="46" t="s">
        <v>232</v>
      </c>
      <c r="M179" s="46">
        <f>'SL-Eq'!H179</f>
        <v>21000</v>
      </c>
      <c r="N179" s="46">
        <f>'SL-Eq'!I179</f>
        <v>1442.3076923076926</v>
      </c>
      <c r="O179" s="46">
        <f t="shared" si="72"/>
        <v>1442.3076923076926</v>
      </c>
      <c r="P179" s="1855" t="s">
        <v>232</v>
      </c>
      <c r="Q179" s="1330" t="s">
        <v>232</v>
      </c>
      <c r="S179" s="1062"/>
    </row>
    <row r="180" spans="1:19" ht="13.9" customHeight="1" x14ac:dyDescent="0.25">
      <c r="A180" s="846">
        <f>Chem!A180</f>
        <v>178</v>
      </c>
      <c r="B180" s="857" t="str">
        <f>Chem!B180</f>
        <v>1,1-Dichloroethylene</v>
      </c>
      <c r="C180" s="343">
        <f>'SL-Eq'!F180</f>
        <v>4000</v>
      </c>
      <c r="D180" s="535" t="str">
        <f>'SL-Eq'!G180</f>
        <v>na</v>
      </c>
      <c r="E180" s="531">
        <f t="shared" ref="E180:E215" si="74">IF(D180="na",IF(C180="na","na",C180),MIN(C180:D180))</f>
        <v>4000</v>
      </c>
      <c r="F180" s="270" t="s">
        <v>232</v>
      </c>
      <c r="G180" s="270" t="s">
        <v>232</v>
      </c>
      <c r="H180" s="270" t="s">
        <v>232</v>
      </c>
      <c r="I180" s="270" t="str">
        <f t="shared" si="70"/>
        <v>na</v>
      </c>
      <c r="J180" s="46" t="str">
        <f t="shared" si="71"/>
        <v>na</v>
      </c>
      <c r="K180" s="46" t="s">
        <v>232</v>
      </c>
      <c r="L180" s="46" t="s">
        <v>232</v>
      </c>
      <c r="M180" s="46">
        <f>'SL-Eq'!H180</f>
        <v>175000</v>
      </c>
      <c r="N180" s="46" t="str">
        <f>'SL-Eq'!I180</f>
        <v>na</v>
      </c>
      <c r="O180" s="46">
        <f t="shared" ref="O180:O215" si="75">IF(N180="na",IF(M180="na","na",M180),MIN(M180:N180))</f>
        <v>175000</v>
      </c>
      <c r="P180" s="1855" t="s">
        <v>232</v>
      </c>
      <c r="Q180" s="1330" t="s">
        <v>232</v>
      </c>
      <c r="S180" s="1062"/>
    </row>
    <row r="181" spans="1:19" ht="13.9" customHeight="1" x14ac:dyDescent="0.25">
      <c r="A181" s="846">
        <f>Chem!A181</f>
        <v>179</v>
      </c>
      <c r="B181" s="857" t="str">
        <f>Chem!B181</f>
        <v>cis-1,2-Dichloroethylene</v>
      </c>
      <c r="C181" s="343">
        <f>'SL-Eq'!F181</f>
        <v>160</v>
      </c>
      <c r="D181" s="535" t="str">
        <f>'SL-Eq'!G181</f>
        <v>na</v>
      </c>
      <c r="E181" s="531">
        <f t="shared" si="74"/>
        <v>160</v>
      </c>
      <c r="F181" s="270" t="s">
        <v>232</v>
      </c>
      <c r="G181" s="270" t="s">
        <v>232</v>
      </c>
      <c r="H181" s="270" t="s">
        <v>232</v>
      </c>
      <c r="I181" s="270" t="str">
        <f t="shared" si="70"/>
        <v>na</v>
      </c>
      <c r="J181" s="46" t="str">
        <f t="shared" si="71"/>
        <v>na</v>
      </c>
      <c r="K181" s="46" t="s">
        <v>232</v>
      </c>
      <c r="L181" s="46" t="s">
        <v>232</v>
      </c>
      <c r="M181" s="46">
        <f>'SL-Eq'!H181</f>
        <v>7000</v>
      </c>
      <c r="N181" s="46" t="str">
        <f>'SL-Eq'!I181</f>
        <v>na</v>
      </c>
      <c r="O181" s="46">
        <f t="shared" si="75"/>
        <v>7000</v>
      </c>
      <c r="P181" s="1855" t="s">
        <v>232</v>
      </c>
      <c r="Q181" s="1330" t="s">
        <v>232</v>
      </c>
      <c r="S181" s="1062"/>
    </row>
    <row r="182" spans="1:19" ht="13.9" customHeight="1" x14ac:dyDescent="0.25">
      <c r="A182" s="846">
        <f>Chem!A182</f>
        <v>180</v>
      </c>
      <c r="B182" s="857" t="str">
        <f>Chem!B182</f>
        <v>trans-1,2-Dichloroethylene</v>
      </c>
      <c r="C182" s="343">
        <f>'SL-Eq'!F182</f>
        <v>1600</v>
      </c>
      <c r="D182" s="535" t="str">
        <f>'SL-Eq'!G182</f>
        <v>na</v>
      </c>
      <c r="E182" s="531">
        <f t="shared" si="74"/>
        <v>1600</v>
      </c>
      <c r="F182" s="270" t="s">
        <v>232</v>
      </c>
      <c r="G182" s="270" t="s">
        <v>232</v>
      </c>
      <c r="H182" s="270" t="s">
        <v>232</v>
      </c>
      <c r="I182" s="270" t="str">
        <f t="shared" si="70"/>
        <v>na</v>
      </c>
      <c r="J182" s="46" t="str">
        <f t="shared" si="71"/>
        <v>na</v>
      </c>
      <c r="K182" s="46" t="s">
        <v>232</v>
      </c>
      <c r="L182" s="46" t="s">
        <v>232</v>
      </c>
      <c r="M182" s="46">
        <f>'SL-Eq'!H182</f>
        <v>70000</v>
      </c>
      <c r="N182" s="46" t="str">
        <f>'SL-Eq'!I182</f>
        <v>na</v>
      </c>
      <c r="O182" s="46">
        <f t="shared" si="75"/>
        <v>70000</v>
      </c>
      <c r="P182" s="1855" t="s">
        <v>232</v>
      </c>
      <c r="Q182" s="1330" t="s">
        <v>232</v>
      </c>
      <c r="S182" s="1062"/>
    </row>
    <row r="183" spans="1:19" ht="13.9" customHeight="1" x14ac:dyDescent="0.25">
      <c r="A183" s="846">
        <f>Chem!A183</f>
        <v>181</v>
      </c>
      <c r="B183" s="857" t="str">
        <f>Chem!B183</f>
        <v>1,2-Dichloroethylene (mixed isomers)</v>
      </c>
      <c r="C183" s="343" t="str">
        <f>'SL-Eq'!F183</f>
        <v>na</v>
      </c>
      <c r="D183" s="535" t="str">
        <f>'SL-Eq'!G183</f>
        <v>na</v>
      </c>
      <c r="E183" s="531" t="str">
        <f t="shared" si="74"/>
        <v>na</v>
      </c>
      <c r="F183" s="270" t="s">
        <v>232</v>
      </c>
      <c r="G183" s="270" t="s">
        <v>232</v>
      </c>
      <c r="H183" s="270" t="s">
        <v>232</v>
      </c>
      <c r="I183" s="270" t="str">
        <f t="shared" si="70"/>
        <v>na</v>
      </c>
      <c r="J183" s="46" t="str">
        <f t="shared" si="71"/>
        <v>na</v>
      </c>
      <c r="K183" s="46" t="s">
        <v>232</v>
      </c>
      <c r="L183" s="46" t="s">
        <v>232</v>
      </c>
      <c r="M183" s="46" t="str">
        <f>'SL-Eq'!H183</f>
        <v>na</v>
      </c>
      <c r="N183" s="46" t="str">
        <f>'SL-Eq'!I183</f>
        <v>na</v>
      </c>
      <c r="O183" s="46" t="str">
        <f t="shared" si="75"/>
        <v>na</v>
      </c>
      <c r="P183" s="1855" t="s">
        <v>232</v>
      </c>
      <c r="Q183" s="1330" t="s">
        <v>232</v>
      </c>
      <c r="S183" s="1062"/>
    </row>
    <row r="184" spans="1:19" ht="13.9" customHeight="1" x14ac:dyDescent="0.25">
      <c r="A184" s="846">
        <f>Chem!A184</f>
        <v>182</v>
      </c>
      <c r="B184" s="857" t="str">
        <f>Chem!B184</f>
        <v>1,2-Dichloropropane</v>
      </c>
      <c r="C184" s="343">
        <f>'SL-Eq'!F184</f>
        <v>3200</v>
      </c>
      <c r="D184" s="535">
        <f>'SL-Eq'!G184</f>
        <v>27.027027027027028</v>
      </c>
      <c r="E184" s="531">
        <f t="shared" si="74"/>
        <v>27.027027027027028</v>
      </c>
      <c r="F184" s="270" t="s">
        <v>232</v>
      </c>
      <c r="G184" s="270">
        <v>700</v>
      </c>
      <c r="H184" s="270" t="s">
        <v>232</v>
      </c>
      <c r="I184" s="270">
        <f t="shared" si="70"/>
        <v>700</v>
      </c>
      <c r="J184" s="46" t="str">
        <f t="shared" si="71"/>
        <v>na</v>
      </c>
      <c r="K184" s="46" t="s">
        <v>232</v>
      </c>
      <c r="L184" s="46" t="s">
        <v>232</v>
      </c>
      <c r="M184" s="46">
        <f>'SL-Eq'!H184</f>
        <v>140000</v>
      </c>
      <c r="N184" s="46">
        <f>'SL-Eq'!I184</f>
        <v>3547.2972972972984</v>
      </c>
      <c r="O184" s="46">
        <f t="shared" si="75"/>
        <v>3547.2972972972984</v>
      </c>
      <c r="P184" s="1855" t="s">
        <v>232</v>
      </c>
      <c r="Q184" s="1330" t="s">
        <v>232</v>
      </c>
      <c r="S184" s="1062"/>
    </row>
    <row r="185" spans="1:19" ht="13.9" customHeight="1" x14ac:dyDescent="0.25">
      <c r="A185" s="846">
        <f>Chem!A185</f>
        <v>183</v>
      </c>
      <c r="B185" s="857" t="str">
        <f>Chem!B185</f>
        <v>1,3-Dichloropropane</v>
      </c>
      <c r="C185" s="343">
        <f>'SL-Eq'!F185</f>
        <v>1600</v>
      </c>
      <c r="D185" s="535" t="str">
        <f>'SL-Eq'!G185</f>
        <v>na</v>
      </c>
      <c r="E185" s="531">
        <f t="shared" si="74"/>
        <v>1600</v>
      </c>
      <c r="F185" s="270" t="s">
        <v>232</v>
      </c>
      <c r="G185" s="270" t="s">
        <v>232</v>
      </c>
      <c r="H185" s="270" t="s">
        <v>232</v>
      </c>
      <c r="I185" s="270" t="str">
        <f t="shared" si="70"/>
        <v>na</v>
      </c>
      <c r="J185" s="46" t="str">
        <f t="shared" si="71"/>
        <v>na</v>
      </c>
      <c r="K185" s="46" t="s">
        <v>232</v>
      </c>
      <c r="L185" s="46" t="s">
        <v>232</v>
      </c>
      <c r="M185" s="46">
        <f>'SL-Eq'!H185</f>
        <v>70000</v>
      </c>
      <c r="N185" s="46" t="str">
        <f>'SL-Eq'!I185</f>
        <v>na</v>
      </c>
      <c r="O185" s="46">
        <f t="shared" si="75"/>
        <v>70000</v>
      </c>
      <c r="P185" s="1855" t="s">
        <v>232</v>
      </c>
      <c r="Q185" s="1330" t="s">
        <v>232</v>
      </c>
      <c r="S185" s="1062"/>
    </row>
    <row r="186" spans="1:19" ht="13.9" customHeight="1" x14ac:dyDescent="0.25">
      <c r="A186" s="846">
        <f>Chem!A186</f>
        <v>184</v>
      </c>
      <c r="B186" s="857" t="str">
        <f>Chem!B186</f>
        <v>2,2-Dichloropropane</v>
      </c>
      <c r="C186" s="343" t="str">
        <f>'SL-Eq'!F186</f>
        <v>na</v>
      </c>
      <c r="D186" s="535" t="str">
        <f>'SL-Eq'!G186</f>
        <v>na</v>
      </c>
      <c r="E186" s="531" t="str">
        <f t="shared" si="74"/>
        <v>na</v>
      </c>
      <c r="F186" s="270" t="s">
        <v>232</v>
      </c>
      <c r="G186" s="270" t="s">
        <v>232</v>
      </c>
      <c r="H186" s="270" t="s">
        <v>232</v>
      </c>
      <c r="I186" s="270" t="str">
        <f t="shared" si="70"/>
        <v>na</v>
      </c>
      <c r="J186" s="46" t="str">
        <f t="shared" si="71"/>
        <v>na</v>
      </c>
      <c r="K186" s="46" t="s">
        <v>232</v>
      </c>
      <c r="L186" s="46" t="s">
        <v>232</v>
      </c>
      <c r="M186" s="46" t="str">
        <f>'SL-Eq'!H186</f>
        <v>na</v>
      </c>
      <c r="N186" s="46" t="str">
        <f>'SL-Eq'!I186</f>
        <v>na</v>
      </c>
      <c r="O186" s="46" t="str">
        <f t="shared" si="75"/>
        <v>na</v>
      </c>
      <c r="P186" s="1855" t="s">
        <v>232</v>
      </c>
      <c r="Q186" s="1330" t="s">
        <v>232</v>
      </c>
      <c r="S186" s="1062"/>
    </row>
    <row r="187" spans="1:19" ht="13.9" customHeight="1" x14ac:dyDescent="0.25">
      <c r="A187" s="846">
        <f>Chem!A187</f>
        <v>185</v>
      </c>
      <c r="B187" s="857" t="str">
        <f>Chem!B187</f>
        <v>1,1-Dichloropropene</v>
      </c>
      <c r="C187" s="343" t="str">
        <f>'SL-Eq'!F187</f>
        <v>na</v>
      </c>
      <c r="D187" s="535" t="str">
        <f>'SL-Eq'!G187</f>
        <v>na</v>
      </c>
      <c r="E187" s="531" t="str">
        <f t="shared" si="74"/>
        <v>na</v>
      </c>
      <c r="F187" s="270" t="s">
        <v>232</v>
      </c>
      <c r="G187" s="270" t="s">
        <v>232</v>
      </c>
      <c r="H187" s="270" t="s">
        <v>232</v>
      </c>
      <c r="I187" s="270" t="str">
        <f t="shared" si="70"/>
        <v>na</v>
      </c>
      <c r="J187" s="46" t="str">
        <f t="shared" si="71"/>
        <v>na</v>
      </c>
      <c r="K187" s="46" t="s">
        <v>232</v>
      </c>
      <c r="L187" s="46" t="s">
        <v>232</v>
      </c>
      <c r="M187" s="46" t="str">
        <f>'SL-Eq'!H187</f>
        <v>na</v>
      </c>
      <c r="N187" s="46" t="str">
        <f>'SL-Eq'!I187</f>
        <v>na</v>
      </c>
      <c r="O187" s="46" t="str">
        <f t="shared" si="75"/>
        <v>na</v>
      </c>
      <c r="P187" s="1855" t="s">
        <v>232</v>
      </c>
      <c r="Q187" s="1330" t="s">
        <v>232</v>
      </c>
      <c r="S187" s="1062"/>
    </row>
    <row r="188" spans="1:19" ht="13.9" customHeight="1" x14ac:dyDescent="0.25">
      <c r="A188" s="846">
        <f>Chem!A188</f>
        <v>186</v>
      </c>
      <c r="B188" s="857" t="str">
        <f>Chem!B188</f>
        <v>cis-1,3-Dichloropropene</v>
      </c>
      <c r="C188" s="343">
        <f>'SL-Eq'!F188</f>
        <v>2400</v>
      </c>
      <c r="D188" s="535">
        <f>'SL-Eq'!G188</f>
        <v>10</v>
      </c>
      <c r="E188" s="531">
        <f t="shared" si="74"/>
        <v>10</v>
      </c>
      <c r="F188" s="270" t="s">
        <v>232</v>
      </c>
      <c r="G188" s="270" t="s">
        <v>232</v>
      </c>
      <c r="H188" s="270" t="s">
        <v>232</v>
      </c>
      <c r="I188" s="270" t="str">
        <f t="shared" si="70"/>
        <v>na</v>
      </c>
      <c r="J188" s="46" t="str">
        <f t="shared" si="71"/>
        <v>na</v>
      </c>
      <c r="K188" s="46" t="s">
        <v>232</v>
      </c>
      <c r="L188" s="46" t="s">
        <v>232</v>
      </c>
      <c r="M188" s="46">
        <f>'SL-Eq'!H188</f>
        <v>105000</v>
      </c>
      <c r="N188" s="46">
        <f>'SL-Eq'!I188</f>
        <v>1312.5000000000002</v>
      </c>
      <c r="O188" s="46">
        <f t="shared" si="75"/>
        <v>1312.5000000000002</v>
      </c>
      <c r="P188" s="1855" t="s">
        <v>232</v>
      </c>
      <c r="Q188" s="1330" t="s">
        <v>232</v>
      </c>
      <c r="S188" s="1062"/>
    </row>
    <row r="189" spans="1:19" ht="13.9" customHeight="1" x14ac:dyDescent="0.25">
      <c r="A189" s="846">
        <f>Chem!A189</f>
        <v>187</v>
      </c>
      <c r="B189" s="857" t="str">
        <f>Chem!B189</f>
        <v>trans-1,3-Dichloropropene</v>
      </c>
      <c r="C189" s="343">
        <f>'SL-Eq'!F189</f>
        <v>2400</v>
      </c>
      <c r="D189" s="535">
        <f>'SL-Eq'!G189</f>
        <v>10</v>
      </c>
      <c r="E189" s="531">
        <f t="shared" si="74"/>
        <v>10</v>
      </c>
      <c r="F189" s="270" t="s">
        <v>232</v>
      </c>
      <c r="G189" s="270" t="s">
        <v>232</v>
      </c>
      <c r="H189" s="270" t="s">
        <v>232</v>
      </c>
      <c r="I189" s="270" t="str">
        <f t="shared" si="70"/>
        <v>na</v>
      </c>
      <c r="J189" s="46" t="str">
        <f t="shared" si="71"/>
        <v>na</v>
      </c>
      <c r="K189" s="46" t="s">
        <v>232</v>
      </c>
      <c r="L189" s="46" t="s">
        <v>232</v>
      </c>
      <c r="M189" s="46">
        <f>'SL-Eq'!H189</f>
        <v>105000</v>
      </c>
      <c r="N189" s="46">
        <f>'SL-Eq'!I189</f>
        <v>1312.5000000000002</v>
      </c>
      <c r="O189" s="46">
        <f t="shared" si="75"/>
        <v>1312.5000000000002</v>
      </c>
      <c r="P189" s="1855" t="s">
        <v>232</v>
      </c>
      <c r="Q189" s="1330" t="s">
        <v>232</v>
      </c>
      <c r="S189" s="1062"/>
    </row>
    <row r="190" spans="1:19" ht="13.9" customHeight="1" x14ac:dyDescent="0.25">
      <c r="A190" s="846">
        <f>Chem!A190</f>
        <v>188</v>
      </c>
      <c r="B190" s="857" t="str">
        <f>Chem!B190</f>
        <v>Diisopropyl ether</v>
      </c>
      <c r="C190" s="343" t="str">
        <f>'SL-Eq'!F190</f>
        <v>na</v>
      </c>
      <c r="D190" s="535" t="str">
        <f>'SL-Eq'!G190</f>
        <v>na</v>
      </c>
      <c r="E190" s="531" t="str">
        <f t="shared" ref="E190" si="76">IF(D190="na",IF(C190="na","na",C190),MIN(C190:D190))</f>
        <v>na</v>
      </c>
      <c r="F190" s="270" t="s">
        <v>232</v>
      </c>
      <c r="G190" s="270" t="s">
        <v>232</v>
      </c>
      <c r="H190" s="270" t="s">
        <v>232</v>
      </c>
      <c r="I190" s="270" t="str">
        <f t="shared" ref="I190" si="77">IF(MIN(F190:H190)&gt;0,MIN(F190:H190),"na")</f>
        <v>na</v>
      </c>
      <c r="J190" s="46" t="str">
        <f t="shared" ref="J190" si="78">H190</f>
        <v>na</v>
      </c>
      <c r="K190" s="46" t="s">
        <v>232</v>
      </c>
      <c r="L190" s="46" t="s">
        <v>232</v>
      </c>
      <c r="M190" s="46" t="str">
        <f>'SL-Eq'!H190</f>
        <v>na</v>
      </c>
      <c r="N190" s="46" t="str">
        <f>'SL-Eq'!I190</f>
        <v>na</v>
      </c>
      <c r="O190" s="46" t="str">
        <f t="shared" ref="O190" si="79">IF(N190="na",IF(M190="na","na",M190),MIN(M190:N190))</f>
        <v>na</v>
      </c>
      <c r="P190" s="1855" t="s">
        <v>232</v>
      </c>
      <c r="Q190" s="1330" t="s">
        <v>232</v>
      </c>
      <c r="S190" s="1062"/>
    </row>
    <row r="191" spans="1:19" ht="13.9" customHeight="1" x14ac:dyDescent="0.25">
      <c r="A191" s="846">
        <f>Chem!A191</f>
        <v>189</v>
      </c>
      <c r="B191" s="857" t="str">
        <f>Chem!B191</f>
        <v>Ethane</v>
      </c>
      <c r="C191" s="343" t="str">
        <f>'SL-Eq'!F191</f>
        <v>na</v>
      </c>
      <c r="D191" s="535" t="str">
        <f>'SL-Eq'!G191</f>
        <v>na</v>
      </c>
      <c r="E191" s="531" t="str">
        <f t="shared" si="74"/>
        <v>na</v>
      </c>
      <c r="F191" s="270" t="s">
        <v>232</v>
      </c>
      <c r="G191" s="270" t="s">
        <v>232</v>
      </c>
      <c r="H191" s="270" t="s">
        <v>232</v>
      </c>
      <c r="I191" s="270" t="str">
        <f t="shared" si="70"/>
        <v>na</v>
      </c>
      <c r="J191" s="46" t="str">
        <f t="shared" si="71"/>
        <v>na</v>
      </c>
      <c r="K191" s="46" t="s">
        <v>232</v>
      </c>
      <c r="L191" s="46" t="s">
        <v>232</v>
      </c>
      <c r="M191" s="46" t="str">
        <f>'SL-Eq'!H191</f>
        <v>na</v>
      </c>
      <c r="N191" s="46" t="str">
        <f>'SL-Eq'!I191</f>
        <v>na</v>
      </c>
      <c r="O191" s="46" t="str">
        <f t="shared" si="75"/>
        <v>na</v>
      </c>
      <c r="P191" s="1855" t="s">
        <v>232</v>
      </c>
      <c r="Q191" s="1330" t="s">
        <v>232</v>
      </c>
      <c r="S191" s="1062"/>
    </row>
    <row r="192" spans="1:19" ht="13.9" customHeight="1" x14ac:dyDescent="0.25">
      <c r="A192" s="846">
        <f>Chem!A192</f>
        <v>190</v>
      </c>
      <c r="B192" s="857" t="str">
        <f>Chem!B192</f>
        <v>Ethylbenzene</v>
      </c>
      <c r="C192" s="343">
        <f>'SL-Eq'!F192</f>
        <v>8000</v>
      </c>
      <c r="D192" s="535" t="str">
        <f>'SL-Eq'!G192</f>
        <v>na</v>
      </c>
      <c r="E192" s="531">
        <f t="shared" si="74"/>
        <v>8000</v>
      </c>
      <c r="F192" s="270" t="s">
        <v>232</v>
      </c>
      <c r="G192" s="270" t="s">
        <v>232</v>
      </c>
      <c r="H192" s="270" t="s">
        <v>232</v>
      </c>
      <c r="I192" s="270" t="str">
        <f t="shared" si="70"/>
        <v>na</v>
      </c>
      <c r="J192" s="46" t="str">
        <f t="shared" si="71"/>
        <v>na</v>
      </c>
      <c r="K192" s="46" t="s">
        <v>232</v>
      </c>
      <c r="L192" s="46" t="s">
        <v>232</v>
      </c>
      <c r="M192" s="46">
        <f>'SL-Eq'!H192</f>
        <v>350000</v>
      </c>
      <c r="N192" s="46" t="str">
        <f>'SL-Eq'!I192</f>
        <v>na</v>
      </c>
      <c r="O192" s="46">
        <f t="shared" si="75"/>
        <v>350000</v>
      </c>
      <c r="P192" s="1855" t="s">
        <v>232</v>
      </c>
      <c r="Q192" s="1330" t="s">
        <v>232</v>
      </c>
      <c r="S192" s="1062"/>
    </row>
    <row r="193" spans="1:19" ht="13.9" customHeight="1" x14ac:dyDescent="0.25">
      <c r="A193" s="846">
        <f>Chem!A193</f>
        <v>191</v>
      </c>
      <c r="B193" s="857" t="str">
        <f>Chem!B193</f>
        <v>Ethylene oxide</v>
      </c>
      <c r="C193" s="343" t="str">
        <f>'SL-Eq'!F193</f>
        <v>na</v>
      </c>
      <c r="D193" s="535">
        <f>'SL-Eq'!G193</f>
        <v>0.6</v>
      </c>
      <c r="E193" s="531">
        <f t="shared" si="74"/>
        <v>0.6</v>
      </c>
      <c r="F193" s="270" t="s">
        <v>232</v>
      </c>
      <c r="G193" s="270" t="s">
        <v>232</v>
      </c>
      <c r="H193" s="270" t="s">
        <v>232</v>
      </c>
      <c r="I193" s="270" t="str">
        <f t="shared" si="70"/>
        <v>na</v>
      </c>
      <c r="J193" s="46" t="str">
        <f t="shared" si="71"/>
        <v>na</v>
      </c>
      <c r="K193" s="46" t="s">
        <v>232</v>
      </c>
      <c r="L193" s="46" t="s">
        <v>232</v>
      </c>
      <c r="M193" s="46" t="str">
        <f>'SL-Eq'!H193</f>
        <v>na</v>
      </c>
      <c r="N193" s="46">
        <f>'SL-Eq'!I193</f>
        <v>423.38709677419365</v>
      </c>
      <c r="O193" s="46">
        <f t="shared" si="75"/>
        <v>423.38709677419365</v>
      </c>
      <c r="P193" s="1855" t="s">
        <v>232</v>
      </c>
      <c r="Q193" s="1330" t="s">
        <v>232</v>
      </c>
      <c r="S193" s="1062"/>
    </row>
    <row r="194" spans="1:19" ht="13.9" customHeight="1" x14ac:dyDescent="0.25">
      <c r="A194" s="846">
        <f>Chem!A194</f>
        <v>192</v>
      </c>
      <c r="B194" s="857" t="str">
        <f>Chem!B194</f>
        <v>Ethyl ether</v>
      </c>
      <c r="C194" s="343">
        <f>'SL-Eq'!F194</f>
        <v>16000</v>
      </c>
      <c r="D194" s="535" t="str">
        <f>'SL-Eq'!G194</f>
        <v>na</v>
      </c>
      <c r="E194" s="531">
        <f t="shared" si="74"/>
        <v>16000</v>
      </c>
      <c r="F194" s="270" t="s">
        <v>232</v>
      </c>
      <c r="G194" s="270" t="s">
        <v>232</v>
      </c>
      <c r="H194" s="270" t="s">
        <v>232</v>
      </c>
      <c r="I194" s="270" t="str">
        <f t="shared" si="70"/>
        <v>na</v>
      </c>
      <c r="J194" s="46" t="str">
        <f t="shared" si="71"/>
        <v>na</v>
      </c>
      <c r="K194" s="46" t="s">
        <v>232</v>
      </c>
      <c r="L194" s="46" t="s">
        <v>232</v>
      </c>
      <c r="M194" s="46">
        <f>'SL-Eq'!H194</f>
        <v>700000</v>
      </c>
      <c r="N194" s="46" t="str">
        <f>'SL-Eq'!I194</f>
        <v>na</v>
      </c>
      <c r="O194" s="46">
        <f t="shared" si="75"/>
        <v>700000</v>
      </c>
      <c r="P194" s="1855" t="s">
        <v>232</v>
      </c>
      <c r="Q194" s="1330" t="s">
        <v>232</v>
      </c>
      <c r="S194" s="1062"/>
    </row>
    <row r="195" spans="1:19" ht="13.9" customHeight="1" x14ac:dyDescent="0.25">
      <c r="A195" s="846">
        <f>Chem!A195</f>
        <v>193</v>
      </c>
      <c r="B195" s="857" t="str">
        <f>Chem!B195</f>
        <v>Ethylene dibromide (EDB)</v>
      </c>
      <c r="C195" s="343">
        <f>'SL-Eq'!F195</f>
        <v>720</v>
      </c>
      <c r="D195" s="535">
        <f>'SL-Eq'!G195</f>
        <v>0.5</v>
      </c>
      <c r="E195" s="531">
        <f t="shared" si="74"/>
        <v>0.5</v>
      </c>
      <c r="F195" s="270" t="s">
        <v>232</v>
      </c>
      <c r="G195" s="270" t="s">
        <v>232</v>
      </c>
      <c r="H195" s="270" t="s">
        <v>232</v>
      </c>
      <c r="I195" s="270" t="str">
        <f t="shared" si="70"/>
        <v>na</v>
      </c>
      <c r="J195" s="46" t="str">
        <f t="shared" si="71"/>
        <v>na</v>
      </c>
      <c r="K195" s="46" t="s">
        <v>232</v>
      </c>
      <c r="L195" s="46" t="s">
        <v>232</v>
      </c>
      <c r="M195" s="46">
        <f>'SL-Eq'!H195</f>
        <v>31499.999999999996</v>
      </c>
      <c r="N195" s="46">
        <f>'SL-Eq'!I195</f>
        <v>65.625000000000014</v>
      </c>
      <c r="O195" s="46">
        <f t="shared" si="75"/>
        <v>65.625000000000014</v>
      </c>
      <c r="P195" s="1855" t="s">
        <v>232</v>
      </c>
      <c r="Q195" s="1330" t="s">
        <v>232</v>
      </c>
      <c r="S195" s="1062"/>
    </row>
    <row r="196" spans="1:19" ht="13.9" customHeight="1" x14ac:dyDescent="0.25">
      <c r="A196" s="846">
        <f>Chem!A196</f>
        <v>194</v>
      </c>
      <c r="B196" s="857" t="str">
        <f>Chem!B196</f>
        <v>Formaldehyde</v>
      </c>
      <c r="C196" s="343">
        <f>'SL-Eq'!F196</f>
        <v>16000</v>
      </c>
      <c r="D196" s="535">
        <f>'SL-Eq'!G196</f>
        <v>8.9</v>
      </c>
      <c r="E196" s="531">
        <f t="shared" ref="E196" si="80">IF(D196="na",IF(C196="na","na",C196),MIN(C196:D196))</f>
        <v>8.9</v>
      </c>
      <c r="F196" s="270" t="s">
        <v>232</v>
      </c>
      <c r="G196" s="270" t="s">
        <v>232</v>
      </c>
      <c r="H196" s="270" t="s">
        <v>232</v>
      </c>
      <c r="I196" s="270" t="str">
        <f t="shared" si="70"/>
        <v>na</v>
      </c>
      <c r="J196" s="46" t="str">
        <f t="shared" si="71"/>
        <v>na</v>
      </c>
      <c r="K196" s="46" t="s">
        <v>232</v>
      </c>
      <c r="L196" s="46" t="s">
        <v>232</v>
      </c>
      <c r="M196" s="46">
        <f>'SL-Eq'!H196</f>
        <v>700000</v>
      </c>
      <c r="N196" s="46">
        <f>'SL-Eq'!I196</f>
        <v>6250.0000000000009</v>
      </c>
      <c r="O196" s="46">
        <f t="shared" ref="O196" si="81">IF(N196="na",IF(M196="na","na",M196),MIN(M196:N196))</f>
        <v>6250.0000000000009</v>
      </c>
      <c r="P196" s="1855" t="s">
        <v>232</v>
      </c>
      <c r="Q196" s="1330" t="s">
        <v>232</v>
      </c>
      <c r="S196" s="1062"/>
    </row>
    <row r="197" spans="1:19" ht="13.9" customHeight="1" x14ac:dyDescent="0.25">
      <c r="A197" s="846">
        <f>Chem!A197</f>
        <v>195</v>
      </c>
      <c r="B197" s="857" t="str">
        <f>Chem!B197</f>
        <v>n-Hexane</v>
      </c>
      <c r="C197" s="343">
        <f>'SL-Eq'!F197</f>
        <v>4800</v>
      </c>
      <c r="D197" s="535" t="str">
        <f>'SL-Eq'!G197</f>
        <v>na</v>
      </c>
      <c r="E197" s="531">
        <f t="shared" ref="E197" si="82">IF(D197="na",IF(C197="na","na",C197),MIN(C197:D197))</f>
        <v>4800</v>
      </c>
      <c r="F197" s="270" t="s">
        <v>232</v>
      </c>
      <c r="G197" s="270" t="s">
        <v>232</v>
      </c>
      <c r="H197" s="270" t="s">
        <v>232</v>
      </c>
      <c r="I197" s="270" t="str">
        <f t="shared" ref="I197" si="83">IF(MIN(F197:H197)&gt;0,MIN(F197:H197),"na")</f>
        <v>na</v>
      </c>
      <c r="J197" s="46" t="str">
        <f t="shared" ref="J197" si="84">H197</f>
        <v>na</v>
      </c>
      <c r="K197" s="46" t="s">
        <v>232</v>
      </c>
      <c r="L197" s="46" t="s">
        <v>232</v>
      </c>
      <c r="M197" s="46">
        <f>'SL-Eq'!H197</f>
        <v>210000</v>
      </c>
      <c r="N197" s="46" t="str">
        <f>'SL-Eq'!I197</f>
        <v>na</v>
      </c>
      <c r="O197" s="46">
        <f t="shared" ref="O197" si="85">IF(N197="na",IF(M197="na","na",M197),MIN(M197:N197))</f>
        <v>210000</v>
      </c>
      <c r="P197" s="1855" t="s">
        <v>232</v>
      </c>
      <c r="Q197" s="1330" t="s">
        <v>232</v>
      </c>
      <c r="S197" s="1062"/>
    </row>
    <row r="198" spans="1:19" ht="13.9" customHeight="1" x14ac:dyDescent="0.25">
      <c r="A198" s="846">
        <f>Chem!A198</f>
        <v>196</v>
      </c>
      <c r="B198" s="857" t="str">
        <f>Chem!B198</f>
        <v>2-Hexanone</v>
      </c>
      <c r="C198" s="343">
        <f>'SL-Eq'!F198</f>
        <v>400</v>
      </c>
      <c r="D198" s="535" t="str">
        <f>'SL-Eq'!G198</f>
        <v>na</v>
      </c>
      <c r="E198" s="531">
        <f t="shared" si="74"/>
        <v>400</v>
      </c>
      <c r="F198" s="270" t="s">
        <v>232</v>
      </c>
      <c r="G198" s="270" t="s">
        <v>232</v>
      </c>
      <c r="H198" s="270" t="s">
        <v>232</v>
      </c>
      <c r="I198" s="270" t="str">
        <f t="shared" si="70"/>
        <v>na</v>
      </c>
      <c r="J198" s="46" t="str">
        <f t="shared" si="71"/>
        <v>na</v>
      </c>
      <c r="K198" s="46" t="s">
        <v>232</v>
      </c>
      <c r="L198" s="46" t="s">
        <v>232</v>
      </c>
      <c r="M198" s="46">
        <f>'SL-Eq'!H198</f>
        <v>17500</v>
      </c>
      <c r="N198" s="46" t="str">
        <f>'SL-Eq'!I198</f>
        <v>na</v>
      </c>
      <c r="O198" s="46">
        <f t="shared" si="75"/>
        <v>17500</v>
      </c>
      <c r="P198" s="1855" t="s">
        <v>232</v>
      </c>
      <c r="Q198" s="1330" t="s">
        <v>232</v>
      </c>
      <c r="S198" s="1062"/>
    </row>
    <row r="199" spans="1:19" ht="13.9" customHeight="1" x14ac:dyDescent="0.25">
      <c r="A199" s="846">
        <f>Chem!A199</f>
        <v>197</v>
      </c>
      <c r="B199" s="857" t="str">
        <f>Chem!B199</f>
        <v>Isopropylbenzene (cumene)</v>
      </c>
      <c r="C199" s="343">
        <f>'SL-Eq'!F199</f>
        <v>8000</v>
      </c>
      <c r="D199" s="535" t="str">
        <f>'SL-Eq'!G199</f>
        <v>na</v>
      </c>
      <c r="E199" s="531">
        <f t="shared" si="74"/>
        <v>8000</v>
      </c>
      <c r="F199" s="270" t="s">
        <v>232</v>
      </c>
      <c r="G199" s="270" t="s">
        <v>232</v>
      </c>
      <c r="H199" s="270" t="s">
        <v>232</v>
      </c>
      <c r="I199" s="270" t="str">
        <f t="shared" si="70"/>
        <v>na</v>
      </c>
      <c r="J199" s="46" t="str">
        <f t="shared" si="71"/>
        <v>na</v>
      </c>
      <c r="K199" s="46" t="s">
        <v>232</v>
      </c>
      <c r="L199" s="46" t="s">
        <v>232</v>
      </c>
      <c r="M199" s="46">
        <f>'SL-Eq'!H199</f>
        <v>350000</v>
      </c>
      <c r="N199" s="46" t="str">
        <f>'SL-Eq'!I199</f>
        <v>na</v>
      </c>
      <c r="O199" s="46">
        <f t="shared" si="75"/>
        <v>350000</v>
      </c>
      <c r="P199" s="1855" t="s">
        <v>232</v>
      </c>
      <c r="Q199" s="1330" t="s">
        <v>232</v>
      </c>
      <c r="S199" s="1062"/>
    </row>
    <row r="200" spans="1:19" ht="13.9" customHeight="1" x14ac:dyDescent="0.25">
      <c r="A200" s="846">
        <f>Chem!A200</f>
        <v>198</v>
      </c>
      <c r="B200" s="857" t="str">
        <f>Chem!B200</f>
        <v>4-Isopropyltoluene (p-isopropyltoluene)</v>
      </c>
      <c r="C200" s="343">
        <f>'SL-Eq'!F200</f>
        <v>320</v>
      </c>
      <c r="D200" s="535" t="str">
        <f>'SL-Eq'!G200</f>
        <v>na</v>
      </c>
      <c r="E200" s="531">
        <f t="shared" si="74"/>
        <v>320</v>
      </c>
      <c r="F200" s="270" t="s">
        <v>232</v>
      </c>
      <c r="G200" s="270" t="s">
        <v>232</v>
      </c>
      <c r="H200" s="270" t="s">
        <v>232</v>
      </c>
      <c r="I200" s="270" t="str">
        <f t="shared" si="70"/>
        <v>na</v>
      </c>
      <c r="J200" s="46" t="str">
        <f t="shared" si="71"/>
        <v>na</v>
      </c>
      <c r="K200" s="46" t="s">
        <v>232</v>
      </c>
      <c r="L200" s="46" t="s">
        <v>232</v>
      </c>
      <c r="M200" s="46">
        <f>'SL-Eq'!H200</f>
        <v>14000</v>
      </c>
      <c r="N200" s="46" t="str">
        <f>'SL-Eq'!I200</f>
        <v>na</v>
      </c>
      <c r="O200" s="46">
        <f t="shared" si="75"/>
        <v>14000</v>
      </c>
      <c r="P200" s="1855" t="s">
        <v>232</v>
      </c>
      <c r="Q200" s="1330" t="s">
        <v>232</v>
      </c>
      <c r="S200" s="1062"/>
    </row>
    <row r="201" spans="1:19" ht="13.9" customHeight="1" x14ac:dyDescent="0.25">
      <c r="A201" s="846">
        <f>Chem!A201</f>
        <v>199</v>
      </c>
      <c r="B201" s="857" t="str">
        <f>Chem!B201</f>
        <v>Methane</v>
      </c>
      <c r="C201" s="343" t="str">
        <f>'SL-Eq'!F201</f>
        <v>na</v>
      </c>
      <c r="D201" s="535" t="str">
        <f>'SL-Eq'!G201</f>
        <v>na</v>
      </c>
      <c r="E201" s="531" t="str">
        <f t="shared" si="74"/>
        <v>na</v>
      </c>
      <c r="F201" s="270" t="s">
        <v>232</v>
      </c>
      <c r="G201" s="270" t="s">
        <v>232</v>
      </c>
      <c r="H201" s="270" t="s">
        <v>232</v>
      </c>
      <c r="I201" s="270" t="str">
        <f t="shared" si="70"/>
        <v>na</v>
      </c>
      <c r="J201" s="46" t="str">
        <f t="shared" si="71"/>
        <v>na</v>
      </c>
      <c r="K201" s="46" t="s">
        <v>232</v>
      </c>
      <c r="L201" s="46" t="s">
        <v>232</v>
      </c>
      <c r="M201" s="46" t="str">
        <f>'SL-Eq'!H201</f>
        <v>na</v>
      </c>
      <c r="N201" s="46" t="str">
        <f>'SL-Eq'!I201</f>
        <v>na</v>
      </c>
      <c r="O201" s="46" t="str">
        <f t="shared" si="75"/>
        <v>na</v>
      </c>
      <c r="P201" s="1855" t="s">
        <v>232</v>
      </c>
      <c r="Q201" s="1330" t="s">
        <v>232</v>
      </c>
      <c r="S201" s="1062"/>
    </row>
    <row r="202" spans="1:19" ht="13.9" customHeight="1" x14ac:dyDescent="0.25">
      <c r="A202" s="846">
        <f>Chem!A202</f>
        <v>200</v>
      </c>
      <c r="B202" s="857" t="str">
        <f>Chem!B202</f>
        <v>Methyl ethyl ketone (2-butanone)</v>
      </c>
      <c r="C202" s="343">
        <f>'SL-Eq'!F202</f>
        <v>48000</v>
      </c>
      <c r="D202" s="535" t="str">
        <f>'SL-Eq'!G202</f>
        <v>na</v>
      </c>
      <c r="E202" s="531">
        <f t="shared" si="74"/>
        <v>48000</v>
      </c>
      <c r="F202" s="270" t="s">
        <v>232</v>
      </c>
      <c r="G202" s="270" t="s">
        <v>232</v>
      </c>
      <c r="H202" s="270" t="s">
        <v>232</v>
      </c>
      <c r="I202" s="270" t="str">
        <f t="shared" si="70"/>
        <v>na</v>
      </c>
      <c r="J202" s="46" t="str">
        <f t="shared" si="71"/>
        <v>na</v>
      </c>
      <c r="K202" s="46" t="s">
        <v>232</v>
      </c>
      <c r="L202" s="46" t="s">
        <v>232</v>
      </c>
      <c r="M202" s="46">
        <f>'SL-Eq'!H202</f>
        <v>2100000</v>
      </c>
      <c r="N202" s="46" t="str">
        <f>'SL-Eq'!I202</f>
        <v>na</v>
      </c>
      <c r="O202" s="46">
        <f t="shared" si="75"/>
        <v>2100000</v>
      </c>
      <c r="P202" s="1855" t="s">
        <v>232</v>
      </c>
      <c r="Q202" s="1330" t="s">
        <v>232</v>
      </c>
      <c r="S202" s="1062"/>
    </row>
    <row r="203" spans="1:19" ht="13.9" customHeight="1" x14ac:dyDescent="0.25">
      <c r="A203" s="846">
        <f>Chem!A203</f>
        <v>201</v>
      </c>
      <c r="B203" s="857" t="str">
        <f>Chem!B203</f>
        <v>Methyl iodide</v>
      </c>
      <c r="C203" s="343" t="str">
        <f>'SL-Eq'!F203</f>
        <v>na</v>
      </c>
      <c r="D203" s="535" t="str">
        <f>'SL-Eq'!G203</f>
        <v>na</v>
      </c>
      <c r="E203" s="531" t="str">
        <f t="shared" si="74"/>
        <v>na</v>
      </c>
      <c r="F203" s="270" t="s">
        <v>232</v>
      </c>
      <c r="G203" s="270" t="s">
        <v>232</v>
      </c>
      <c r="H203" s="270" t="s">
        <v>232</v>
      </c>
      <c r="I203" s="270" t="str">
        <f t="shared" si="70"/>
        <v>na</v>
      </c>
      <c r="J203" s="46" t="str">
        <f t="shared" si="71"/>
        <v>na</v>
      </c>
      <c r="K203" s="46" t="s">
        <v>232</v>
      </c>
      <c r="L203" s="46" t="s">
        <v>232</v>
      </c>
      <c r="M203" s="46" t="str">
        <f>'SL-Eq'!H203</f>
        <v>na</v>
      </c>
      <c r="N203" s="46" t="str">
        <f>'SL-Eq'!I203</f>
        <v>na</v>
      </c>
      <c r="O203" s="46" t="str">
        <f t="shared" si="75"/>
        <v>na</v>
      </c>
      <c r="P203" s="1855" t="s">
        <v>232</v>
      </c>
      <c r="Q203" s="1330" t="s">
        <v>232</v>
      </c>
      <c r="S203" s="1062"/>
    </row>
    <row r="204" spans="1:19" ht="13.9" customHeight="1" x14ac:dyDescent="0.25">
      <c r="A204" s="846">
        <f>Chem!A204</f>
        <v>202</v>
      </c>
      <c r="B204" s="857" t="str">
        <f>Chem!B204</f>
        <v>Methyl isobutyl ketone</v>
      </c>
      <c r="C204" s="343">
        <f>'SL-Eq'!F204</f>
        <v>6400</v>
      </c>
      <c r="D204" s="535" t="str">
        <f>'SL-Eq'!G204</f>
        <v>na</v>
      </c>
      <c r="E204" s="531">
        <f t="shared" si="74"/>
        <v>6400</v>
      </c>
      <c r="F204" s="270" t="s">
        <v>232</v>
      </c>
      <c r="G204" s="270" t="s">
        <v>232</v>
      </c>
      <c r="H204" s="270" t="s">
        <v>232</v>
      </c>
      <c r="I204" s="270" t="str">
        <f t="shared" si="70"/>
        <v>na</v>
      </c>
      <c r="J204" s="46" t="str">
        <f t="shared" si="71"/>
        <v>na</v>
      </c>
      <c r="K204" s="46" t="s">
        <v>232</v>
      </c>
      <c r="L204" s="46" t="s">
        <v>232</v>
      </c>
      <c r="M204" s="46">
        <f>'SL-Eq'!H204</f>
        <v>280000</v>
      </c>
      <c r="N204" s="46" t="str">
        <f>'SL-Eq'!I204</f>
        <v>na</v>
      </c>
      <c r="O204" s="46">
        <f t="shared" si="75"/>
        <v>280000</v>
      </c>
      <c r="P204" s="1855" t="s">
        <v>232</v>
      </c>
      <c r="Q204" s="1330" t="s">
        <v>232</v>
      </c>
      <c r="S204" s="1062"/>
    </row>
    <row r="205" spans="1:19" ht="13.9" customHeight="1" x14ac:dyDescent="0.25">
      <c r="A205" s="846">
        <f>Chem!A205</f>
        <v>203</v>
      </c>
      <c r="B205" s="857" t="str">
        <f>Chem!B205</f>
        <v>Methyl tert-butyl ether (MTBE)</v>
      </c>
      <c r="C205" s="343" t="str">
        <f>'SL-Eq'!F205</f>
        <v>na</v>
      </c>
      <c r="D205" s="535">
        <f>'SL-Eq'!G205</f>
        <v>555.55555555555554</v>
      </c>
      <c r="E205" s="531">
        <f t="shared" si="74"/>
        <v>555.55555555555554</v>
      </c>
      <c r="F205" s="270" t="s">
        <v>232</v>
      </c>
      <c r="G205" s="270" t="s">
        <v>232</v>
      </c>
      <c r="H205" s="270" t="s">
        <v>232</v>
      </c>
      <c r="I205" s="270" t="str">
        <f t="shared" si="70"/>
        <v>na</v>
      </c>
      <c r="J205" s="46" t="str">
        <f t="shared" si="71"/>
        <v>na</v>
      </c>
      <c r="K205" s="46" t="s">
        <v>232</v>
      </c>
      <c r="L205" s="46" t="s">
        <v>232</v>
      </c>
      <c r="M205" s="46" t="str">
        <f>'SL-Eq'!H205</f>
        <v>na</v>
      </c>
      <c r="N205" s="46">
        <f>'SL-Eq'!I205</f>
        <v>72916.666666666686</v>
      </c>
      <c r="O205" s="46">
        <f t="shared" si="75"/>
        <v>72916.666666666686</v>
      </c>
      <c r="P205" s="1855" t="s">
        <v>232</v>
      </c>
      <c r="Q205" s="1330" t="s">
        <v>232</v>
      </c>
      <c r="S205" s="1062"/>
    </row>
    <row r="206" spans="1:19" ht="13.9" customHeight="1" x14ac:dyDescent="0.25">
      <c r="A206" s="846">
        <f>Chem!A206</f>
        <v>204</v>
      </c>
      <c r="B206" s="857" t="str">
        <f>Chem!B206</f>
        <v>Methylene chloride</v>
      </c>
      <c r="C206" s="343">
        <f>'SL-Eq'!F206</f>
        <v>480</v>
      </c>
      <c r="D206" s="535">
        <f>'SL-Eq'!G206</f>
        <v>94</v>
      </c>
      <c r="E206" s="531">
        <f t="shared" si="74"/>
        <v>94</v>
      </c>
      <c r="F206" s="270" t="s">
        <v>232</v>
      </c>
      <c r="G206" s="270" t="s">
        <v>232</v>
      </c>
      <c r="H206" s="270" t="s">
        <v>232</v>
      </c>
      <c r="I206" s="270" t="str">
        <f t="shared" si="70"/>
        <v>na</v>
      </c>
      <c r="J206" s="46" t="str">
        <f t="shared" si="71"/>
        <v>na</v>
      </c>
      <c r="K206" s="46" t="s">
        <v>232</v>
      </c>
      <c r="L206" s="46" t="s">
        <v>232</v>
      </c>
      <c r="M206" s="46">
        <f>'SL-Eq'!H206</f>
        <v>21000</v>
      </c>
      <c r="N206" s="46">
        <f>'SL-Eq'!I206</f>
        <v>65625.000000000015</v>
      </c>
      <c r="O206" s="46">
        <f t="shared" si="75"/>
        <v>21000</v>
      </c>
      <c r="P206" s="1855" t="s">
        <v>232</v>
      </c>
      <c r="Q206" s="1330" t="s">
        <v>232</v>
      </c>
      <c r="S206" s="1062"/>
    </row>
    <row r="207" spans="1:19" ht="13.9" customHeight="1" x14ac:dyDescent="0.25">
      <c r="A207" s="846">
        <f>Chem!A207</f>
        <v>205</v>
      </c>
      <c r="B207" s="857" t="str">
        <f>Chem!B207</f>
        <v>2-Pentanone</v>
      </c>
      <c r="C207" s="343" t="str">
        <f>'SL-Eq'!F207</f>
        <v>na</v>
      </c>
      <c r="D207" s="535" t="str">
        <f>'SL-Eq'!G207</f>
        <v>na</v>
      </c>
      <c r="E207" s="531" t="str">
        <f t="shared" si="74"/>
        <v>na</v>
      </c>
      <c r="F207" s="270" t="s">
        <v>232</v>
      </c>
      <c r="G207" s="270" t="s">
        <v>232</v>
      </c>
      <c r="H207" s="270" t="s">
        <v>232</v>
      </c>
      <c r="I207" s="270" t="str">
        <f t="shared" si="70"/>
        <v>na</v>
      </c>
      <c r="J207" s="46" t="str">
        <f t="shared" si="71"/>
        <v>na</v>
      </c>
      <c r="K207" s="46" t="s">
        <v>232</v>
      </c>
      <c r="L207" s="46" t="s">
        <v>232</v>
      </c>
      <c r="M207" s="46" t="str">
        <f>'SL-Eq'!H207</f>
        <v>na</v>
      </c>
      <c r="N207" s="46" t="str">
        <f>'SL-Eq'!I207</f>
        <v>na</v>
      </c>
      <c r="O207" s="46" t="str">
        <f t="shared" si="75"/>
        <v>na</v>
      </c>
      <c r="P207" s="1855" t="s">
        <v>232</v>
      </c>
      <c r="Q207" s="1330" t="s">
        <v>232</v>
      </c>
      <c r="S207" s="1062"/>
    </row>
    <row r="208" spans="1:19" ht="13.9" customHeight="1" x14ac:dyDescent="0.25">
      <c r="A208" s="846">
        <f>Chem!A208</f>
        <v>206</v>
      </c>
      <c r="B208" s="857" t="str">
        <f>Chem!B208</f>
        <v>n-Propylbenzene</v>
      </c>
      <c r="C208" s="343">
        <f>'SL-Eq'!F208</f>
        <v>8000</v>
      </c>
      <c r="D208" s="535" t="str">
        <f>'SL-Eq'!G208</f>
        <v>na</v>
      </c>
      <c r="E208" s="531">
        <f t="shared" si="74"/>
        <v>8000</v>
      </c>
      <c r="F208" s="270" t="s">
        <v>232</v>
      </c>
      <c r="G208" s="270" t="s">
        <v>232</v>
      </c>
      <c r="H208" s="270" t="s">
        <v>232</v>
      </c>
      <c r="I208" s="270" t="str">
        <f t="shared" si="70"/>
        <v>na</v>
      </c>
      <c r="J208" s="46" t="str">
        <f t="shared" si="71"/>
        <v>na</v>
      </c>
      <c r="K208" s="46" t="s">
        <v>232</v>
      </c>
      <c r="L208" s="46" t="s">
        <v>232</v>
      </c>
      <c r="M208" s="46">
        <f>'SL-Eq'!H208</f>
        <v>350000</v>
      </c>
      <c r="N208" s="46" t="str">
        <f>'SL-Eq'!I208</f>
        <v>na</v>
      </c>
      <c r="O208" s="46">
        <f t="shared" si="75"/>
        <v>350000</v>
      </c>
      <c r="P208" s="1855" t="s">
        <v>232</v>
      </c>
      <c r="Q208" s="1330" t="s">
        <v>232</v>
      </c>
      <c r="S208" s="1062"/>
    </row>
    <row r="209" spans="1:19" ht="13.9" customHeight="1" x14ac:dyDescent="0.25">
      <c r="A209" s="846">
        <f>Chem!A209</f>
        <v>207</v>
      </c>
      <c r="B209" s="857" t="str">
        <f>Chem!B209</f>
        <v>Styrene</v>
      </c>
      <c r="C209" s="343">
        <f>'SL-Eq'!F209</f>
        <v>16000</v>
      </c>
      <c r="D209" s="535" t="str">
        <f>'SL-Eq'!G209</f>
        <v>na</v>
      </c>
      <c r="E209" s="531">
        <f t="shared" si="74"/>
        <v>16000</v>
      </c>
      <c r="F209" s="270">
        <v>300</v>
      </c>
      <c r="G209" s="270" t="s">
        <v>232</v>
      </c>
      <c r="H209" s="270" t="s">
        <v>232</v>
      </c>
      <c r="I209" s="270">
        <f t="shared" si="70"/>
        <v>300</v>
      </c>
      <c r="J209" s="46" t="str">
        <f t="shared" si="71"/>
        <v>na</v>
      </c>
      <c r="K209" s="46" t="s">
        <v>232</v>
      </c>
      <c r="L209" s="46" t="s">
        <v>232</v>
      </c>
      <c r="M209" s="46">
        <f>'SL-Eq'!H209</f>
        <v>700000</v>
      </c>
      <c r="N209" s="46" t="str">
        <f>'SL-Eq'!I209</f>
        <v>na</v>
      </c>
      <c r="O209" s="46">
        <f t="shared" si="75"/>
        <v>700000</v>
      </c>
      <c r="P209" s="1855" t="s">
        <v>232</v>
      </c>
      <c r="Q209" s="1330" t="s">
        <v>232</v>
      </c>
      <c r="S209" s="1062"/>
    </row>
    <row r="210" spans="1:19" ht="13.9" customHeight="1" x14ac:dyDescent="0.25">
      <c r="A210" s="846">
        <f>Chem!A210</f>
        <v>208</v>
      </c>
      <c r="B210" s="857" t="str">
        <f>Chem!B210</f>
        <v>1,1,1,2-Tetrachloroethane</v>
      </c>
      <c r="C210" s="343">
        <f>'SL-Eq'!F210</f>
        <v>2400</v>
      </c>
      <c r="D210" s="535">
        <f>'SL-Eq'!G210</f>
        <v>38.46153846153846</v>
      </c>
      <c r="E210" s="531">
        <f t="shared" si="74"/>
        <v>38.46153846153846</v>
      </c>
      <c r="F210" s="270" t="s">
        <v>232</v>
      </c>
      <c r="G210" s="270" t="s">
        <v>232</v>
      </c>
      <c r="H210" s="270" t="s">
        <v>232</v>
      </c>
      <c r="I210" s="270" t="str">
        <f t="shared" si="70"/>
        <v>na</v>
      </c>
      <c r="J210" s="46" t="str">
        <f t="shared" si="71"/>
        <v>na</v>
      </c>
      <c r="K210" s="46" t="s">
        <v>232</v>
      </c>
      <c r="L210" s="46" t="s">
        <v>232</v>
      </c>
      <c r="M210" s="46">
        <f>'SL-Eq'!H210</f>
        <v>105000</v>
      </c>
      <c r="N210" s="46">
        <f>'SL-Eq'!I210</f>
        <v>5048.0769230769247</v>
      </c>
      <c r="O210" s="46">
        <f t="shared" si="75"/>
        <v>5048.0769230769247</v>
      </c>
      <c r="P210" s="1855" t="s">
        <v>232</v>
      </c>
      <c r="Q210" s="1330" t="s">
        <v>232</v>
      </c>
      <c r="S210" s="1062"/>
    </row>
    <row r="211" spans="1:19" ht="13.9" customHeight="1" x14ac:dyDescent="0.25">
      <c r="A211" s="846">
        <f>Chem!A211</f>
        <v>209</v>
      </c>
      <c r="B211" s="857" t="str">
        <f>Chem!B211</f>
        <v>1,1,2,2-Tetrachloroethane</v>
      </c>
      <c r="C211" s="343">
        <f>'SL-Eq'!F211</f>
        <v>1600</v>
      </c>
      <c r="D211" s="535">
        <f>'SL-Eq'!G211</f>
        <v>5</v>
      </c>
      <c r="E211" s="531">
        <f t="shared" si="74"/>
        <v>5</v>
      </c>
      <c r="F211" s="270" t="s">
        <v>232</v>
      </c>
      <c r="G211" s="270" t="s">
        <v>232</v>
      </c>
      <c r="H211" s="270" t="s">
        <v>232</v>
      </c>
      <c r="I211" s="270" t="str">
        <f t="shared" si="70"/>
        <v>na</v>
      </c>
      <c r="J211" s="46" t="str">
        <f t="shared" si="71"/>
        <v>na</v>
      </c>
      <c r="K211" s="46" t="s">
        <v>232</v>
      </c>
      <c r="L211" s="46" t="s">
        <v>232</v>
      </c>
      <c r="M211" s="46">
        <f>'SL-Eq'!H211</f>
        <v>70000</v>
      </c>
      <c r="N211" s="46">
        <f>'SL-Eq'!I211</f>
        <v>656.25000000000011</v>
      </c>
      <c r="O211" s="46">
        <f t="shared" si="75"/>
        <v>656.25000000000011</v>
      </c>
      <c r="P211" s="1855" t="s">
        <v>232</v>
      </c>
      <c r="Q211" s="1330" t="s">
        <v>232</v>
      </c>
      <c r="S211" s="1062"/>
    </row>
    <row r="212" spans="1:19" s="260" customFormat="1" ht="13.9" customHeight="1" x14ac:dyDescent="0.25">
      <c r="A212" s="846">
        <f>Chem!A212</f>
        <v>210</v>
      </c>
      <c r="B212" s="857" t="str">
        <f>Chem!B212</f>
        <v>Tetrachloroethylene (PCE)</v>
      </c>
      <c r="C212" s="343">
        <f>'SL-Eq'!F212</f>
        <v>480</v>
      </c>
      <c r="D212" s="535">
        <f>'SL-Eq'!G212</f>
        <v>476.1904761904762</v>
      </c>
      <c r="E212" s="531">
        <f t="shared" si="74"/>
        <v>476.1904761904762</v>
      </c>
      <c r="F212" s="270" t="s">
        <v>232</v>
      </c>
      <c r="G212" s="270" t="s">
        <v>232</v>
      </c>
      <c r="H212" s="270" t="s">
        <v>232</v>
      </c>
      <c r="I212" s="270" t="str">
        <f t="shared" si="70"/>
        <v>na</v>
      </c>
      <c r="J212" s="46" t="str">
        <f t="shared" si="71"/>
        <v>na</v>
      </c>
      <c r="K212" s="46" t="s">
        <v>232</v>
      </c>
      <c r="L212" s="46" t="s">
        <v>232</v>
      </c>
      <c r="M212" s="46">
        <f>'SL-Eq'!H212</f>
        <v>21000</v>
      </c>
      <c r="N212" s="46">
        <f>'SL-Eq'!I212</f>
        <v>62500.000000000015</v>
      </c>
      <c r="O212" s="46">
        <f t="shared" si="75"/>
        <v>21000</v>
      </c>
      <c r="P212" s="1855" t="s">
        <v>232</v>
      </c>
      <c r="Q212" s="1330" t="s">
        <v>232</v>
      </c>
      <c r="S212" s="1062"/>
    </row>
    <row r="213" spans="1:19" s="260" customFormat="1" ht="13.9" customHeight="1" x14ac:dyDescent="0.25">
      <c r="A213" s="846">
        <f>Chem!A213</f>
        <v>211</v>
      </c>
      <c r="B213" s="857" t="str">
        <f>Chem!B213</f>
        <v>Tetrahydrofuran</v>
      </c>
      <c r="C213" s="343">
        <f>'SL-Eq'!F213</f>
        <v>72000</v>
      </c>
      <c r="D213" s="535" t="str">
        <f>'SL-Eq'!G213</f>
        <v>na</v>
      </c>
      <c r="E213" s="531">
        <f t="shared" ref="E213" si="86">IF(D213="na",IF(C213="na","na",C213),MIN(C213:D213))</f>
        <v>72000</v>
      </c>
      <c r="F213" s="270" t="s">
        <v>232</v>
      </c>
      <c r="G213" s="270" t="s">
        <v>232</v>
      </c>
      <c r="H213" s="270" t="s">
        <v>232</v>
      </c>
      <c r="I213" s="270" t="str">
        <f t="shared" ref="I213" si="87">IF(MIN(F213:H213)&gt;0,MIN(F213:H213),"na")</f>
        <v>na</v>
      </c>
      <c r="J213" s="46" t="str">
        <f t="shared" ref="J213" si="88">H213</f>
        <v>na</v>
      </c>
      <c r="K213" s="46" t="s">
        <v>232</v>
      </c>
      <c r="L213" s="46" t="s">
        <v>232</v>
      </c>
      <c r="M213" s="46">
        <f>'SL-Eq'!H213</f>
        <v>3150000</v>
      </c>
      <c r="N213" s="46" t="str">
        <f>'SL-Eq'!I213</f>
        <v>na</v>
      </c>
      <c r="O213" s="46">
        <f t="shared" ref="O213" si="89">IF(N213="na",IF(M213="na","na",M213),MIN(M213:N213))</f>
        <v>3150000</v>
      </c>
      <c r="P213" s="1855" t="s">
        <v>232</v>
      </c>
      <c r="Q213" s="1330" t="s">
        <v>232</v>
      </c>
      <c r="S213" s="1062"/>
    </row>
    <row r="214" spans="1:19" ht="13.9" customHeight="1" x14ac:dyDescent="0.25">
      <c r="A214" s="846">
        <f>Chem!A214</f>
        <v>212</v>
      </c>
      <c r="B214" s="857" t="str">
        <f>Chem!B214</f>
        <v>Toluene</v>
      </c>
      <c r="C214" s="343">
        <f>'SL-Eq'!F214</f>
        <v>6400</v>
      </c>
      <c r="D214" s="535" t="str">
        <f>'SL-Eq'!G214</f>
        <v>na</v>
      </c>
      <c r="E214" s="531">
        <f t="shared" si="74"/>
        <v>6400</v>
      </c>
      <c r="F214" s="270">
        <v>200</v>
      </c>
      <c r="G214" s="270" t="s">
        <v>232</v>
      </c>
      <c r="H214" s="270" t="s">
        <v>232</v>
      </c>
      <c r="I214" s="270">
        <f t="shared" si="70"/>
        <v>200</v>
      </c>
      <c r="J214" s="46" t="str">
        <f t="shared" si="71"/>
        <v>na</v>
      </c>
      <c r="K214" s="46" t="s">
        <v>232</v>
      </c>
      <c r="L214" s="46" t="s">
        <v>232</v>
      </c>
      <c r="M214" s="46">
        <f>'SL-Eq'!H214</f>
        <v>280000</v>
      </c>
      <c r="N214" s="46" t="str">
        <f>'SL-Eq'!I214</f>
        <v>na</v>
      </c>
      <c r="O214" s="46">
        <f t="shared" si="75"/>
        <v>280000</v>
      </c>
      <c r="P214" s="1855" t="s">
        <v>232</v>
      </c>
      <c r="Q214" s="1330" t="s">
        <v>232</v>
      </c>
      <c r="S214" s="1062"/>
    </row>
    <row r="215" spans="1:19" ht="13.9" customHeight="1" x14ac:dyDescent="0.25">
      <c r="A215" s="846">
        <f>Chem!A215</f>
        <v>213</v>
      </c>
      <c r="B215" s="857" t="str">
        <f>Chem!B215</f>
        <v>1,2,3-Trichlorobenzene</v>
      </c>
      <c r="C215" s="343">
        <f>'SL-Eq'!F215</f>
        <v>64</v>
      </c>
      <c r="D215" s="535" t="str">
        <f>'SL-Eq'!G215</f>
        <v>na</v>
      </c>
      <c r="E215" s="531">
        <f t="shared" si="74"/>
        <v>64</v>
      </c>
      <c r="F215" s="270" t="s">
        <v>232</v>
      </c>
      <c r="G215" s="270">
        <v>20</v>
      </c>
      <c r="H215" s="270" t="s">
        <v>232</v>
      </c>
      <c r="I215" s="270">
        <f t="shared" ref="I215:I231" si="90">IF(MIN(F215:H215)&gt;0,MIN(F215:H215),"na")</f>
        <v>20</v>
      </c>
      <c r="J215" s="46" t="str">
        <f t="shared" ref="J215:J231" si="91">H215</f>
        <v>na</v>
      </c>
      <c r="K215" s="46" t="s">
        <v>232</v>
      </c>
      <c r="L215" s="46" t="s">
        <v>232</v>
      </c>
      <c r="M215" s="46">
        <f>'SL-Eq'!H215</f>
        <v>2800</v>
      </c>
      <c r="N215" s="46" t="str">
        <f>'SL-Eq'!I215</f>
        <v>na</v>
      </c>
      <c r="O215" s="46">
        <f t="shared" si="75"/>
        <v>2800</v>
      </c>
      <c r="P215" s="1855" t="s">
        <v>232</v>
      </c>
      <c r="Q215" s="1330" t="s">
        <v>232</v>
      </c>
      <c r="S215" s="1062"/>
    </row>
    <row r="216" spans="1:19" ht="13.9" customHeight="1" x14ac:dyDescent="0.25">
      <c r="A216" s="846">
        <f>Chem!A216</f>
        <v>214</v>
      </c>
      <c r="B216" s="857" t="str">
        <f>Chem!B216</f>
        <v>1,1,1-Trichloroethane</v>
      </c>
      <c r="C216" s="343">
        <f>'SL-Eq'!F216</f>
        <v>160000</v>
      </c>
      <c r="D216" s="535" t="str">
        <f>'SL-Eq'!G216</f>
        <v>na</v>
      </c>
      <c r="E216" s="531">
        <f t="shared" ref="E216:E228" si="92">IF(D216="na",IF(C216="na","na",C216),MIN(C216:D216))</f>
        <v>160000</v>
      </c>
      <c r="F216" s="270" t="s">
        <v>232</v>
      </c>
      <c r="G216" s="270" t="s">
        <v>232</v>
      </c>
      <c r="H216" s="270" t="s">
        <v>232</v>
      </c>
      <c r="I216" s="270" t="str">
        <f t="shared" si="90"/>
        <v>na</v>
      </c>
      <c r="J216" s="46" t="str">
        <f t="shared" si="91"/>
        <v>na</v>
      </c>
      <c r="K216" s="46" t="s">
        <v>232</v>
      </c>
      <c r="L216" s="46" t="s">
        <v>232</v>
      </c>
      <c r="M216" s="46">
        <f>'SL-Eq'!H216</f>
        <v>7000000</v>
      </c>
      <c r="N216" s="46" t="str">
        <f>'SL-Eq'!I216</f>
        <v>na</v>
      </c>
      <c r="O216" s="46">
        <f t="shared" ref="O216:O228" si="93">IF(N216="na",IF(M216="na","na",M216),MIN(M216:N216))</f>
        <v>7000000</v>
      </c>
      <c r="P216" s="1855" t="s">
        <v>232</v>
      </c>
      <c r="Q216" s="1330" t="s">
        <v>232</v>
      </c>
      <c r="S216" s="1062"/>
    </row>
    <row r="217" spans="1:19" ht="13.9" customHeight="1" x14ac:dyDescent="0.25">
      <c r="A217" s="846">
        <f>Chem!A217</f>
        <v>215</v>
      </c>
      <c r="B217" s="857" t="str">
        <f>Chem!B217</f>
        <v>1,1,2-Trichloroethane</v>
      </c>
      <c r="C217" s="343">
        <f>'SL-Eq'!F217</f>
        <v>320</v>
      </c>
      <c r="D217" s="535">
        <f>'SL-Eq'!G217</f>
        <v>17.543859649122805</v>
      </c>
      <c r="E217" s="531">
        <f t="shared" si="92"/>
        <v>17.543859649122805</v>
      </c>
      <c r="F217" s="270" t="s">
        <v>232</v>
      </c>
      <c r="G217" s="270" t="s">
        <v>232</v>
      </c>
      <c r="H217" s="270" t="s">
        <v>232</v>
      </c>
      <c r="I217" s="270" t="str">
        <f t="shared" si="90"/>
        <v>na</v>
      </c>
      <c r="J217" s="46" t="str">
        <f t="shared" si="91"/>
        <v>na</v>
      </c>
      <c r="K217" s="46" t="s">
        <v>232</v>
      </c>
      <c r="L217" s="46" t="s">
        <v>232</v>
      </c>
      <c r="M217" s="46">
        <f>'SL-Eq'!H217</f>
        <v>14000</v>
      </c>
      <c r="N217" s="46">
        <f>'SL-Eq'!I217</f>
        <v>2302.6315789473688</v>
      </c>
      <c r="O217" s="46">
        <f t="shared" si="93"/>
        <v>2302.6315789473688</v>
      </c>
      <c r="P217" s="1855" t="s">
        <v>232</v>
      </c>
      <c r="Q217" s="1330" t="s">
        <v>232</v>
      </c>
      <c r="S217" s="1062"/>
    </row>
    <row r="218" spans="1:19" ht="13.9" customHeight="1" x14ac:dyDescent="0.25">
      <c r="A218" s="846">
        <f>Chem!A218</f>
        <v>216</v>
      </c>
      <c r="B218" s="857" t="str">
        <f>Chem!B218</f>
        <v>Trichloroethylene (TCE)</v>
      </c>
      <c r="C218" s="343">
        <f>'SL-Eq'!F218</f>
        <v>40</v>
      </c>
      <c r="D218" s="535">
        <f>'SL-Eq'!G218</f>
        <v>12</v>
      </c>
      <c r="E218" s="531">
        <f t="shared" si="92"/>
        <v>12</v>
      </c>
      <c r="F218" s="270" t="s">
        <v>232</v>
      </c>
      <c r="G218" s="270" t="s">
        <v>232</v>
      </c>
      <c r="H218" s="270" t="s">
        <v>232</v>
      </c>
      <c r="I218" s="270" t="str">
        <f t="shared" si="90"/>
        <v>na</v>
      </c>
      <c r="J218" s="46" t="str">
        <f t="shared" si="91"/>
        <v>na</v>
      </c>
      <c r="K218" s="46" t="s">
        <v>232</v>
      </c>
      <c r="L218" s="46" t="s">
        <v>232</v>
      </c>
      <c r="M218" s="46">
        <f>'SL-Eq'!H218</f>
        <v>1800</v>
      </c>
      <c r="N218" s="46">
        <f>'SL-Eq'!I218</f>
        <v>2900</v>
      </c>
      <c r="O218" s="46">
        <f t="shared" si="93"/>
        <v>1800</v>
      </c>
      <c r="P218" s="1855" t="s">
        <v>232</v>
      </c>
      <c r="Q218" s="1330" t="s">
        <v>232</v>
      </c>
      <c r="S218" s="1062"/>
    </row>
    <row r="219" spans="1:19" ht="13.9" customHeight="1" x14ac:dyDescent="0.25">
      <c r="A219" s="846">
        <f>Chem!A219</f>
        <v>217</v>
      </c>
      <c r="B219" s="857" t="str">
        <f>Chem!B219</f>
        <v>Trichlorofluoroethane</v>
      </c>
      <c r="C219" s="343" t="str">
        <f>'SL-Eq'!F219</f>
        <v>na</v>
      </c>
      <c r="D219" s="535" t="str">
        <f>'SL-Eq'!G219</f>
        <v>na</v>
      </c>
      <c r="E219" s="531" t="str">
        <f t="shared" si="92"/>
        <v>na</v>
      </c>
      <c r="F219" s="270" t="s">
        <v>232</v>
      </c>
      <c r="G219" s="270" t="s">
        <v>232</v>
      </c>
      <c r="H219" s="270" t="s">
        <v>232</v>
      </c>
      <c r="I219" s="270" t="str">
        <f t="shared" si="90"/>
        <v>na</v>
      </c>
      <c r="J219" s="46" t="str">
        <f t="shared" si="91"/>
        <v>na</v>
      </c>
      <c r="K219" s="46" t="s">
        <v>232</v>
      </c>
      <c r="L219" s="46" t="s">
        <v>232</v>
      </c>
      <c r="M219" s="46" t="str">
        <f>'SL-Eq'!H219</f>
        <v>na</v>
      </c>
      <c r="N219" s="46" t="str">
        <f>'SL-Eq'!I219</f>
        <v>na</v>
      </c>
      <c r="O219" s="46" t="str">
        <f t="shared" si="93"/>
        <v>na</v>
      </c>
      <c r="P219" s="1855" t="s">
        <v>232</v>
      </c>
      <c r="Q219" s="1330" t="s">
        <v>232</v>
      </c>
      <c r="S219" s="1062"/>
    </row>
    <row r="220" spans="1:19" ht="13.9" customHeight="1" x14ac:dyDescent="0.25">
      <c r="A220" s="846">
        <f>Chem!A220</f>
        <v>218</v>
      </c>
      <c r="B220" s="857" t="str">
        <f>Chem!B220</f>
        <v>Trichlorofluoromethane</v>
      </c>
      <c r="C220" s="343">
        <f>'SL-Eq'!F220</f>
        <v>24000</v>
      </c>
      <c r="D220" s="535" t="str">
        <f>'SL-Eq'!G220</f>
        <v>na</v>
      </c>
      <c r="E220" s="531">
        <f t="shared" si="92"/>
        <v>24000</v>
      </c>
      <c r="F220" s="270" t="s">
        <v>232</v>
      </c>
      <c r="G220" s="270" t="s">
        <v>232</v>
      </c>
      <c r="H220" s="270" t="s">
        <v>232</v>
      </c>
      <c r="I220" s="270" t="str">
        <f t="shared" si="90"/>
        <v>na</v>
      </c>
      <c r="J220" s="46" t="str">
        <f t="shared" si="91"/>
        <v>na</v>
      </c>
      <c r="K220" s="46" t="s">
        <v>232</v>
      </c>
      <c r="L220" s="46" t="s">
        <v>232</v>
      </c>
      <c r="M220" s="46">
        <f>'SL-Eq'!H220</f>
        <v>1050000</v>
      </c>
      <c r="N220" s="46" t="str">
        <f>'SL-Eq'!I220</f>
        <v>na</v>
      </c>
      <c r="O220" s="46">
        <f t="shared" si="93"/>
        <v>1050000</v>
      </c>
      <c r="P220" s="1855" t="s">
        <v>232</v>
      </c>
      <c r="Q220" s="1330" t="s">
        <v>232</v>
      </c>
      <c r="S220" s="1062"/>
    </row>
    <row r="221" spans="1:19" ht="13.9" customHeight="1" x14ac:dyDescent="0.25">
      <c r="A221" s="846">
        <f>Chem!A221</f>
        <v>219</v>
      </c>
      <c r="B221" s="857" t="str">
        <f>Chem!B221</f>
        <v>1,2,3-Trichloropropane</v>
      </c>
      <c r="C221" s="343">
        <f>'SL-Eq'!F221</f>
        <v>320</v>
      </c>
      <c r="D221" s="535">
        <f>'SL-Eq'!G221</f>
        <v>6.3E-3</v>
      </c>
      <c r="E221" s="531">
        <f t="shared" si="92"/>
        <v>6.3E-3</v>
      </c>
      <c r="F221" s="270" t="s">
        <v>232</v>
      </c>
      <c r="G221" s="270" t="s">
        <v>232</v>
      </c>
      <c r="H221" s="270" t="s">
        <v>232</v>
      </c>
      <c r="I221" s="270" t="str">
        <f t="shared" si="90"/>
        <v>na</v>
      </c>
      <c r="J221" s="46" t="str">
        <f t="shared" si="91"/>
        <v>na</v>
      </c>
      <c r="K221" s="46" t="s">
        <v>232</v>
      </c>
      <c r="L221" s="46" t="s">
        <v>232</v>
      </c>
      <c r="M221" s="46">
        <f>'SL-Eq'!H221</f>
        <v>14000</v>
      </c>
      <c r="N221" s="46">
        <f>'SL-Eq'!I221</f>
        <v>4.3750000000000009</v>
      </c>
      <c r="O221" s="46">
        <f t="shared" si="93"/>
        <v>4.3750000000000009</v>
      </c>
      <c r="P221" s="1855" t="s">
        <v>232</v>
      </c>
      <c r="Q221" s="1330" t="s">
        <v>232</v>
      </c>
      <c r="S221" s="1062"/>
    </row>
    <row r="222" spans="1:19" ht="13.9" customHeight="1" x14ac:dyDescent="0.25">
      <c r="A222" s="846">
        <f>Chem!A222</f>
        <v>220</v>
      </c>
      <c r="B222" s="857" t="str">
        <f>Chem!B222</f>
        <v>Trichlorotrifluoroethane</v>
      </c>
      <c r="C222" s="343">
        <f>'SL-Eq'!F222</f>
        <v>2400000</v>
      </c>
      <c r="D222" s="535" t="str">
        <f>'SL-Eq'!G222</f>
        <v>na</v>
      </c>
      <c r="E222" s="531">
        <f t="shared" si="92"/>
        <v>2400000</v>
      </c>
      <c r="F222" s="270" t="s">
        <v>232</v>
      </c>
      <c r="G222" s="270" t="s">
        <v>232</v>
      </c>
      <c r="H222" s="270" t="s">
        <v>232</v>
      </c>
      <c r="I222" s="270" t="str">
        <f t="shared" si="90"/>
        <v>na</v>
      </c>
      <c r="J222" s="46" t="str">
        <f t="shared" si="91"/>
        <v>na</v>
      </c>
      <c r="K222" s="46" t="s">
        <v>232</v>
      </c>
      <c r="L222" s="46" t="s">
        <v>232</v>
      </c>
      <c r="M222" s="46">
        <f>'SL-Eq'!H222</f>
        <v>105000000</v>
      </c>
      <c r="N222" s="46" t="str">
        <f>'SL-Eq'!I222</f>
        <v>na</v>
      </c>
      <c r="O222" s="46">
        <f t="shared" si="93"/>
        <v>105000000</v>
      </c>
      <c r="P222" s="1855" t="s">
        <v>232</v>
      </c>
      <c r="Q222" s="1330" t="s">
        <v>232</v>
      </c>
      <c r="S222" s="1062"/>
    </row>
    <row r="223" spans="1:19" ht="13.9" customHeight="1" x14ac:dyDescent="0.25">
      <c r="A223" s="846">
        <f>Chem!A223</f>
        <v>221</v>
      </c>
      <c r="B223" s="857" t="str">
        <f>Chem!B223</f>
        <v>1,2,3-Trimethylbenzene</v>
      </c>
      <c r="C223" s="343">
        <f>'SL-Eq'!F223</f>
        <v>800</v>
      </c>
      <c r="D223" s="535" t="str">
        <f>'SL-Eq'!G223</f>
        <v>na</v>
      </c>
      <c r="E223" s="531">
        <f t="shared" si="92"/>
        <v>800</v>
      </c>
      <c r="F223" s="270" t="s">
        <v>232</v>
      </c>
      <c r="G223" s="270" t="s">
        <v>232</v>
      </c>
      <c r="H223" s="270" t="s">
        <v>232</v>
      </c>
      <c r="I223" s="270" t="str">
        <f t="shared" si="90"/>
        <v>na</v>
      </c>
      <c r="J223" s="46" t="str">
        <f t="shared" si="91"/>
        <v>na</v>
      </c>
      <c r="K223" s="46" t="s">
        <v>232</v>
      </c>
      <c r="L223" s="46" t="s">
        <v>232</v>
      </c>
      <c r="M223" s="46">
        <f>'SL-Eq'!H223</f>
        <v>35000</v>
      </c>
      <c r="N223" s="46" t="str">
        <f>'SL-Eq'!I223</f>
        <v>na</v>
      </c>
      <c r="O223" s="46">
        <f t="shared" si="93"/>
        <v>35000</v>
      </c>
      <c r="P223" s="1855" t="s">
        <v>232</v>
      </c>
      <c r="Q223" s="1330" t="s">
        <v>232</v>
      </c>
      <c r="S223" s="1062"/>
    </row>
    <row r="224" spans="1:19" ht="13.9" customHeight="1" x14ac:dyDescent="0.25">
      <c r="A224" s="846">
        <f>Chem!A224</f>
        <v>222</v>
      </c>
      <c r="B224" s="857" t="str">
        <f>Chem!B224</f>
        <v>1,2,4-Trimethylbenzene</v>
      </c>
      <c r="C224" s="343">
        <f>'SL-Eq'!F224</f>
        <v>800</v>
      </c>
      <c r="D224" s="535" t="str">
        <f>'SL-Eq'!G224</f>
        <v>na</v>
      </c>
      <c r="E224" s="531">
        <f t="shared" si="92"/>
        <v>800</v>
      </c>
      <c r="F224" s="270" t="s">
        <v>232</v>
      </c>
      <c r="G224" s="270" t="s">
        <v>232</v>
      </c>
      <c r="H224" s="270" t="s">
        <v>232</v>
      </c>
      <c r="I224" s="270" t="str">
        <f t="shared" si="90"/>
        <v>na</v>
      </c>
      <c r="J224" s="46" t="str">
        <f t="shared" si="91"/>
        <v>na</v>
      </c>
      <c r="K224" s="46" t="s">
        <v>232</v>
      </c>
      <c r="L224" s="46" t="s">
        <v>232</v>
      </c>
      <c r="M224" s="46">
        <f>'SL-Eq'!H224</f>
        <v>35000</v>
      </c>
      <c r="N224" s="46" t="str">
        <f>'SL-Eq'!I224</f>
        <v>na</v>
      </c>
      <c r="O224" s="46">
        <f t="shared" si="93"/>
        <v>35000</v>
      </c>
      <c r="P224" s="1855" t="s">
        <v>232</v>
      </c>
      <c r="Q224" s="1330" t="s">
        <v>232</v>
      </c>
      <c r="S224" s="1062"/>
    </row>
    <row r="225" spans="1:19" ht="13.9" customHeight="1" x14ac:dyDescent="0.25">
      <c r="A225" s="846">
        <f>Chem!A225</f>
        <v>223</v>
      </c>
      <c r="B225" s="857" t="str">
        <f>Chem!B225</f>
        <v>1,3,5-Trimethylbenzene</v>
      </c>
      <c r="C225" s="343">
        <f>'SL-Eq'!F225</f>
        <v>800</v>
      </c>
      <c r="D225" s="535" t="str">
        <f>'SL-Eq'!G225</f>
        <v>na</v>
      </c>
      <c r="E225" s="531">
        <f t="shared" si="92"/>
        <v>800</v>
      </c>
      <c r="F225" s="270" t="s">
        <v>232</v>
      </c>
      <c r="G225" s="270" t="s">
        <v>232</v>
      </c>
      <c r="H225" s="270" t="s">
        <v>232</v>
      </c>
      <c r="I225" s="270" t="str">
        <f t="shared" si="90"/>
        <v>na</v>
      </c>
      <c r="J225" s="46" t="str">
        <f t="shared" si="91"/>
        <v>na</v>
      </c>
      <c r="K225" s="46" t="s">
        <v>232</v>
      </c>
      <c r="L225" s="46" t="s">
        <v>232</v>
      </c>
      <c r="M225" s="46">
        <f>'SL-Eq'!H225</f>
        <v>35000</v>
      </c>
      <c r="N225" s="46" t="str">
        <f>'SL-Eq'!I225</f>
        <v>na</v>
      </c>
      <c r="O225" s="46">
        <f t="shared" si="93"/>
        <v>35000</v>
      </c>
      <c r="P225" s="1855" t="s">
        <v>232</v>
      </c>
      <c r="Q225" s="1330" t="s">
        <v>232</v>
      </c>
      <c r="S225" s="1062"/>
    </row>
    <row r="226" spans="1:19" ht="13.9" customHeight="1" x14ac:dyDescent="0.25">
      <c r="A226" s="846">
        <f>Chem!A226</f>
        <v>224</v>
      </c>
      <c r="B226" s="857" t="str">
        <f>Chem!B226</f>
        <v>Vinyl acetate</v>
      </c>
      <c r="C226" s="343">
        <f>'SL-Eq'!F226</f>
        <v>80000</v>
      </c>
      <c r="D226" s="535" t="str">
        <f>'SL-Eq'!G226</f>
        <v>na</v>
      </c>
      <c r="E226" s="531">
        <f t="shared" si="92"/>
        <v>80000</v>
      </c>
      <c r="F226" s="270" t="s">
        <v>232</v>
      </c>
      <c r="G226" s="270" t="s">
        <v>232</v>
      </c>
      <c r="H226" s="270" t="s">
        <v>232</v>
      </c>
      <c r="I226" s="270" t="str">
        <f t="shared" si="90"/>
        <v>na</v>
      </c>
      <c r="J226" s="46" t="str">
        <f t="shared" si="91"/>
        <v>na</v>
      </c>
      <c r="K226" s="46" t="s">
        <v>232</v>
      </c>
      <c r="L226" s="46" t="s">
        <v>232</v>
      </c>
      <c r="M226" s="46">
        <f>'SL-Eq'!H226</f>
        <v>3500000</v>
      </c>
      <c r="N226" s="46" t="str">
        <f>'SL-Eq'!I226</f>
        <v>na</v>
      </c>
      <c r="O226" s="46">
        <f t="shared" si="93"/>
        <v>3500000</v>
      </c>
      <c r="P226" s="1855" t="s">
        <v>232</v>
      </c>
      <c r="Q226" s="1330" t="s">
        <v>232</v>
      </c>
      <c r="S226" s="1062"/>
    </row>
    <row r="227" spans="1:19" ht="13.9" customHeight="1" x14ac:dyDescent="0.25">
      <c r="A227" s="846">
        <f>Chem!A227</f>
        <v>225</v>
      </c>
      <c r="B227" s="857" t="str">
        <f>Chem!B227</f>
        <v>Vinyl chloride</v>
      </c>
      <c r="C227" s="343">
        <f>'SL-Eq'!F227</f>
        <v>240</v>
      </c>
      <c r="D227" s="535">
        <f>'SL-Eq'!G227</f>
        <v>0.66666666666666663</v>
      </c>
      <c r="E227" s="531">
        <f t="shared" si="92"/>
        <v>0.66666666666666663</v>
      </c>
      <c r="F227" s="270" t="s">
        <v>232</v>
      </c>
      <c r="G227" s="270" t="s">
        <v>232</v>
      </c>
      <c r="H227" s="270" t="s">
        <v>232</v>
      </c>
      <c r="I227" s="270" t="str">
        <f t="shared" si="90"/>
        <v>na</v>
      </c>
      <c r="J227" s="46" t="str">
        <f t="shared" si="91"/>
        <v>na</v>
      </c>
      <c r="K227" s="46" t="s">
        <v>232</v>
      </c>
      <c r="L227" s="46" t="s">
        <v>232</v>
      </c>
      <c r="M227" s="46">
        <f>'SL-Eq'!H227</f>
        <v>10500</v>
      </c>
      <c r="N227" s="46">
        <f>'SL-Eq'!I227</f>
        <v>87.500000000000014</v>
      </c>
      <c r="O227" s="46">
        <f t="shared" si="93"/>
        <v>87.500000000000014</v>
      </c>
      <c r="P227" s="1855" t="s">
        <v>232</v>
      </c>
      <c r="Q227" s="1330" t="s">
        <v>232</v>
      </c>
      <c r="S227" s="1062"/>
    </row>
    <row r="228" spans="1:19" ht="13.9" customHeight="1" x14ac:dyDescent="0.25">
      <c r="A228" s="1661">
        <f>Chem!A228</f>
        <v>226</v>
      </c>
      <c r="B228" s="879" t="str">
        <f>Chem!B228</f>
        <v>Total xylenes</v>
      </c>
      <c r="C228" s="533">
        <f>'SL-Eq'!F228</f>
        <v>16000</v>
      </c>
      <c r="D228" s="536" t="str">
        <f>'SL-Eq'!G228</f>
        <v>na</v>
      </c>
      <c r="E228" s="531">
        <f t="shared" si="92"/>
        <v>16000</v>
      </c>
      <c r="F228" s="270" t="s">
        <v>232</v>
      </c>
      <c r="G228" s="270" t="s">
        <v>232</v>
      </c>
      <c r="H228" s="270" t="s">
        <v>232</v>
      </c>
      <c r="I228" s="270" t="str">
        <f t="shared" si="90"/>
        <v>na</v>
      </c>
      <c r="J228" s="46" t="str">
        <f t="shared" si="91"/>
        <v>na</v>
      </c>
      <c r="K228" s="46" t="s">
        <v>232</v>
      </c>
      <c r="L228" s="46" t="s">
        <v>232</v>
      </c>
      <c r="M228" s="46">
        <f>'SL-Eq'!H228</f>
        <v>700000</v>
      </c>
      <c r="N228" s="46" t="str">
        <f>'SL-Eq'!I228</f>
        <v>na</v>
      </c>
      <c r="O228" s="46">
        <f t="shared" si="93"/>
        <v>700000</v>
      </c>
      <c r="P228" s="1855" t="s">
        <v>232</v>
      </c>
      <c r="Q228" s="1859" t="s">
        <v>232</v>
      </c>
      <c r="S228" s="1062"/>
    </row>
    <row r="229" spans="1:19" ht="13.9" customHeight="1" x14ac:dyDescent="0.25">
      <c r="A229" s="1197">
        <f>Chem!A229</f>
        <v>227</v>
      </c>
      <c r="B229" s="850" t="str">
        <f>Chem!B229</f>
        <v>PFAS</v>
      </c>
      <c r="C229" s="31"/>
      <c r="D229" s="31"/>
      <c r="E229" s="259" t="s">
        <v>669</v>
      </c>
      <c r="F229" s="259"/>
      <c r="G229" s="259"/>
      <c r="H229" s="259"/>
      <c r="I229" s="259"/>
      <c r="J229" s="259"/>
      <c r="K229" s="259"/>
      <c r="L229" s="31"/>
      <c r="M229" s="31"/>
      <c r="N229" s="31"/>
      <c r="O229" s="31"/>
      <c r="P229" s="31"/>
      <c r="Q229" s="648"/>
      <c r="S229" s="1062"/>
    </row>
    <row r="230" spans="1:19" s="260" customFormat="1" ht="13.9" customHeight="1" x14ac:dyDescent="0.25">
      <c r="A230" s="2251">
        <f>Chem!A230</f>
        <v>228</v>
      </c>
      <c r="B230" s="883" t="str">
        <f>Chem!B230</f>
        <v>6:2 Fluorotelomer sulfonic acid (6:2 FTS)</v>
      </c>
      <c r="C230" s="2255">
        <f>'SL-Eq'!F230</f>
        <v>16</v>
      </c>
      <c r="D230" s="2255" t="str">
        <f>'SL-Eq'!G230</f>
        <v>na</v>
      </c>
      <c r="E230" s="1801">
        <f t="shared" ref="E230" si="94">IF(D230="na",IF(C230="na","na",C230),MIN(C230:D230))</f>
        <v>16</v>
      </c>
      <c r="F230" s="1804" t="s">
        <v>232</v>
      </c>
      <c r="G230" s="1804" t="s">
        <v>232</v>
      </c>
      <c r="H230" s="1804" t="s">
        <v>232</v>
      </c>
      <c r="I230" s="1804" t="str">
        <f t="shared" ref="I230" si="95">IF(MIN(F230:H230)&gt;0,MIN(F230:H230),"na")</f>
        <v>na</v>
      </c>
      <c r="J230" s="2050" t="str">
        <f t="shared" ref="J230" si="96">H230</f>
        <v>na</v>
      </c>
      <c r="K230" s="2050" t="s">
        <v>232</v>
      </c>
      <c r="L230" s="2258" t="s">
        <v>232</v>
      </c>
      <c r="M230" s="2258">
        <f>'SL-Eq'!H230</f>
        <v>700</v>
      </c>
      <c r="N230" s="2258" t="str">
        <f>'SL-Eq'!I230</f>
        <v>na</v>
      </c>
      <c r="O230" s="2258">
        <f t="shared" ref="O230" si="97">IF(N230="na",IF(M230="na","na",M230),MIN(M230:N230))</f>
        <v>700</v>
      </c>
      <c r="P230" s="2257" t="s">
        <v>232</v>
      </c>
      <c r="Q230" s="2263" t="s">
        <v>232</v>
      </c>
      <c r="S230" s="1987"/>
    </row>
    <row r="231" spans="1:19" ht="13.9" customHeight="1" x14ac:dyDescent="0.25">
      <c r="A231" s="846">
        <f>Chem!A231</f>
        <v>229</v>
      </c>
      <c r="B231" s="878" t="str">
        <f>Chem!B231</f>
        <v>GenX (HFPO-DA)</v>
      </c>
      <c r="C231" s="531">
        <f>'SL-Eq'!F231</f>
        <v>0.24000000000000002</v>
      </c>
      <c r="D231" s="531" t="str">
        <f>'SL-Eq'!G231</f>
        <v>na</v>
      </c>
      <c r="E231" s="531">
        <f t="shared" ref="E231:E239" si="98">IF(D231="na",IF(C231="na","na",C231),MIN(C231:D231))</f>
        <v>0.24000000000000002</v>
      </c>
      <c r="F231" s="254" t="s">
        <v>232</v>
      </c>
      <c r="G231" s="254" t="s">
        <v>232</v>
      </c>
      <c r="H231" s="254" t="s">
        <v>232</v>
      </c>
      <c r="I231" s="254" t="str">
        <f t="shared" si="90"/>
        <v>na</v>
      </c>
      <c r="J231" s="38" t="str">
        <f t="shared" si="91"/>
        <v>na</v>
      </c>
      <c r="K231" s="38" t="s">
        <v>232</v>
      </c>
      <c r="L231" s="38" t="s">
        <v>232</v>
      </c>
      <c r="M231" s="38">
        <f>'SL-Eq'!H231</f>
        <v>10.5</v>
      </c>
      <c r="N231" s="38" t="str">
        <f>'SL-Eq'!I231</f>
        <v>na</v>
      </c>
      <c r="O231" s="38">
        <f t="shared" ref="O231:O239" si="99">IF(N231="na",IF(M231="na","na",M231),MIN(M231:N231))</f>
        <v>10.5</v>
      </c>
      <c r="P231" s="1856" t="s">
        <v>232</v>
      </c>
      <c r="Q231" s="544" t="s">
        <v>232</v>
      </c>
      <c r="S231" s="1062"/>
    </row>
    <row r="232" spans="1:19" ht="13.9" customHeight="1" x14ac:dyDescent="0.25">
      <c r="A232" s="846">
        <f>Chem!A232</f>
        <v>230</v>
      </c>
      <c r="B232" s="878" t="str">
        <f>Chem!B232</f>
        <v>Perfluorobutanoic acid (PFBA)</v>
      </c>
      <c r="C232" s="531">
        <f>'SL-Eq'!F232</f>
        <v>80</v>
      </c>
      <c r="D232" s="531" t="str">
        <f>'SL-Eq'!G232</f>
        <v>na</v>
      </c>
      <c r="E232" s="531">
        <f t="shared" ref="E232" si="100">IF(D232="na",IF(C232="na","na",C232),MIN(C232:D232))</f>
        <v>80</v>
      </c>
      <c r="F232" s="254" t="s">
        <v>232</v>
      </c>
      <c r="G232" s="254" t="s">
        <v>232</v>
      </c>
      <c r="H232" s="254" t="s">
        <v>232</v>
      </c>
      <c r="I232" s="254" t="str">
        <f t="shared" ref="I232:I239" si="101">IF(MIN(F232:H232)&gt;0,MIN(F232:H232),"na")</f>
        <v>na</v>
      </c>
      <c r="J232" s="38" t="str">
        <f t="shared" ref="J232:J239" si="102">H232</f>
        <v>na</v>
      </c>
      <c r="K232" s="38" t="s">
        <v>232</v>
      </c>
      <c r="L232" s="38" t="s">
        <v>232</v>
      </c>
      <c r="M232" s="38">
        <f>'SL-Eq'!H232</f>
        <v>3500</v>
      </c>
      <c r="N232" s="38" t="str">
        <f>'SL-Eq'!I232</f>
        <v>na</v>
      </c>
      <c r="O232" s="38">
        <f t="shared" ref="O232" si="103">IF(N232="na",IF(M232="na","na",M232),MIN(M232:N232))</f>
        <v>3500</v>
      </c>
      <c r="P232" s="1856" t="s">
        <v>232</v>
      </c>
      <c r="Q232" s="1330" t="s">
        <v>232</v>
      </c>
      <c r="S232" s="1062"/>
    </row>
    <row r="233" spans="1:19" ht="13.9" customHeight="1" x14ac:dyDescent="0.25">
      <c r="A233" s="846">
        <f>Chem!A233</f>
        <v>231</v>
      </c>
      <c r="B233" s="857" t="str">
        <f>Chem!B233</f>
        <v>Perfluorobutanesulfonic acid (PFBS)</v>
      </c>
      <c r="C233" s="343">
        <f>'SL-Eq'!F233</f>
        <v>23.999999999999996</v>
      </c>
      <c r="D233" s="343" t="str">
        <f>'SL-Eq'!G233</f>
        <v>na</v>
      </c>
      <c r="E233" s="343">
        <f t="shared" si="98"/>
        <v>23.999999999999996</v>
      </c>
      <c r="F233" s="221" t="s">
        <v>232</v>
      </c>
      <c r="G233" s="221" t="s">
        <v>232</v>
      </c>
      <c r="H233" s="221">
        <v>20.2</v>
      </c>
      <c r="I233" s="270">
        <f t="shared" si="101"/>
        <v>20.2</v>
      </c>
      <c r="J233" s="38">
        <f t="shared" si="102"/>
        <v>20.2</v>
      </c>
      <c r="K233" s="38" t="s">
        <v>232</v>
      </c>
      <c r="L233" s="38" t="s">
        <v>232</v>
      </c>
      <c r="M233" s="1329">
        <f>'SL-Eq'!H233</f>
        <v>1050</v>
      </c>
      <c r="N233" s="1329" t="str">
        <f>'SL-Eq'!I233</f>
        <v>na</v>
      </c>
      <c r="O233" s="1329">
        <f t="shared" si="99"/>
        <v>1050</v>
      </c>
      <c r="P233" s="1780" t="s">
        <v>232</v>
      </c>
      <c r="Q233" s="1330" t="s">
        <v>232</v>
      </c>
      <c r="S233" s="1062"/>
    </row>
    <row r="234" spans="1:19" ht="13.9" customHeight="1" x14ac:dyDescent="0.25">
      <c r="A234" s="846">
        <f>Chem!A234</f>
        <v>232</v>
      </c>
      <c r="B234" s="857" t="str">
        <f>Chem!B234</f>
        <v>Perfluorodecanoic acid (PFDA)</v>
      </c>
      <c r="C234" s="343">
        <f>'SL-Eq'!F234</f>
        <v>1.6000000000000001E-4</v>
      </c>
      <c r="D234" s="343" t="str">
        <f>'SL-Eq'!G234</f>
        <v>na</v>
      </c>
      <c r="E234" s="343">
        <f t="shared" ref="E234" si="104">IF(D234="na",IF(C234="na","na",C234),MIN(C234:D234))</f>
        <v>1.6000000000000001E-4</v>
      </c>
      <c r="F234" s="221" t="s">
        <v>232</v>
      </c>
      <c r="G234" s="221" t="s">
        <v>232</v>
      </c>
      <c r="H234" s="221">
        <v>0.13700000000000001</v>
      </c>
      <c r="I234" s="270">
        <f t="shared" si="101"/>
        <v>0.13700000000000001</v>
      </c>
      <c r="J234" s="38">
        <f t="shared" si="102"/>
        <v>0.13700000000000001</v>
      </c>
      <c r="K234" s="38" t="s">
        <v>232</v>
      </c>
      <c r="L234" s="38" t="s">
        <v>232</v>
      </c>
      <c r="M234" s="1329">
        <f>'SL-Eq'!H234</f>
        <v>7.0000000000000001E-3</v>
      </c>
      <c r="N234" s="1329" t="str">
        <f>'SL-Eq'!I234</f>
        <v>na</v>
      </c>
      <c r="O234" s="1329">
        <f t="shared" ref="O234" si="105">IF(N234="na",IF(M234="na","na",M234),MIN(M234:N234))</f>
        <v>7.0000000000000001E-3</v>
      </c>
      <c r="P234" s="1780" t="s">
        <v>232</v>
      </c>
      <c r="Q234" s="1330" t="s">
        <v>232</v>
      </c>
      <c r="S234" s="1062"/>
    </row>
    <row r="235" spans="1:19" ht="13.9" customHeight="1" x14ac:dyDescent="0.25">
      <c r="A235" s="846">
        <f>Chem!A235</f>
        <v>233</v>
      </c>
      <c r="B235" s="857" t="str">
        <f>Chem!B235</f>
        <v>Perfluorohexanoic acid (PFHxA)</v>
      </c>
      <c r="C235" s="343">
        <f>'SL-Eq'!F235</f>
        <v>40</v>
      </c>
      <c r="D235" s="343" t="str">
        <f>'SL-Eq'!G235</f>
        <v>na</v>
      </c>
      <c r="E235" s="343">
        <f t="shared" ref="E235" si="106">IF(D235="na",IF(C235="na","na",C235),MIN(C235:D235))</f>
        <v>40</v>
      </c>
      <c r="F235" s="221" t="s">
        <v>232</v>
      </c>
      <c r="G235" s="221" t="s">
        <v>232</v>
      </c>
      <c r="H235" s="221">
        <v>59.2</v>
      </c>
      <c r="I235" s="270">
        <f t="shared" si="101"/>
        <v>59.2</v>
      </c>
      <c r="J235" s="38">
        <f t="shared" si="102"/>
        <v>59.2</v>
      </c>
      <c r="K235" s="38" t="s">
        <v>232</v>
      </c>
      <c r="L235" s="38" t="s">
        <v>232</v>
      </c>
      <c r="M235" s="1329">
        <f>'SL-Eq'!H235</f>
        <v>1750</v>
      </c>
      <c r="N235" s="1329" t="str">
        <f>'SL-Eq'!I235</f>
        <v>na</v>
      </c>
      <c r="O235" s="1329">
        <f t="shared" si="99"/>
        <v>1750</v>
      </c>
      <c r="P235" s="1780" t="s">
        <v>232</v>
      </c>
      <c r="Q235" s="1330" t="s">
        <v>232</v>
      </c>
      <c r="S235" s="1062"/>
    </row>
    <row r="236" spans="1:19" ht="13.9" customHeight="1" x14ac:dyDescent="0.25">
      <c r="A236" s="846">
        <f>Chem!A236</f>
        <v>234</v>
      </c>
      <c r="B236" s="857" t="str">
        <f>Chem!B236</f>
        <v>Perfluorohexanesulfonic acid (PFHxS)</v>
      </c>
      <c r="C236" s="343">
        <f>'SL-Eq'!F236</f>
        <v>3.1999999999999999E-5</v>
      </c>
      <c r="D236" s="343" t="str">
        <f>'SL-Eq'!G236</f>
        <v>na</v>
      </c>
      <c r="E236" s="343">
        <f t="shared" si="98"/>
        <v>3.1999999999999999E-5</v>
      </c>
      <c r="F236" s="221" t="s">
        <v>232</v>
      </c>
      <c r="G236" s="221" t="s">
        <v>232</v>
      </c>
      <c r="H236" s="221">
        <v>3.49E-2</v>
      </c>
      <c r="I236" s="270">
        <f t="shared" si="101"/>
        <v>3.49E-2</v>
      </c>
      <c r="J236" s="38">
        <f t="shared" si="102"/>
        <v>3.49E-2</v>
      </c>
      <c r="K236" s="38" t="s">
        <v>232</v>
      </c>
      <c r="L236" s="38" t="s">
        <v>232</v>
      </c>
      <c r="M236" s="1329">
        <f>'SL-Eq'!H236</f>
        <v>1.4E-3</v>
      </c>
      <c r="N236" s="1329" t="str">
        <f>'SL-Eq'!I236</f>
        <v>na</v>
      </c>
      <c r="O236" s="1329">
        <f t="shared" si="99"/>
        <v>1.4E-3</v>
      </c>
      <c r="P236" s="1780" t="s">
        <v>232</v>
      </c>
      <c r="Q236" s="1330" t="s">
        <v>232</v>
      </c>
      <c r="S236" s="1062"/>
    </row>
    <row r="237" spans="1:19" ht="13.9" customHeight="1" x14ac:dyDescent="0.25">
      <c r="A237" s="846">
        <f>Chem!A237</f>
        <v>235</v>
      </c>
      <c r="B237" s="857" t="str">
        <f>Chem!B237</f>
        <v>Perfluorononanoic acid (PFNA)</v>
      </c>
      <c r="C237" s="343">
        <f>'SL-Eq'!F237</f>
        <v>0.2</v>
      </c>
      <c r="D237" s="343" t="str">
        <f>'SL-Eq'!G237</f>
        <v>na</v>
      </c>
      <c r="E237" s="343">
        <f t="shared" si="98"/>
        <v>0.2</v>
      </c>
      <c r="F237" s="221" t="s">
        <v>232</v>
      </c>
      <c r="G237" s="221" t="s">
        <v>232</v>
      </c>
      <c r="H237" s="221">
        <v>0.20599999999999999</v>
      </c>
      <c r="I237" s="270">
        <f t="shared" si="101"/>
        <v>0.20599999999999999</v>
      </c>
      <c r="J237" s="38">
        <f t="shared" si="102"/>
        <v>0.20599999999999999</v>
      </c>
      <c r="K237" s="38" t="s">
        <v>232</v>
      </c>
      <c r="L237" s="38" t="s">
        <v>232</v>
      </c>
      <c r="M237" s="1329">
        <f>'SL-Eq'!H237</f>
        <v>8.75</v>
      </c>
      <c r="N237" s="1329" t="str">
        <f>'SL-Eq'!I237</f>
        <v>na</v>
      </c>
      <c r="O237" s="1329">
        <f t="shared" si="99"/>
        <v>8.75</v>
      </c>
      <c r="P237" s="1780" t="s">
        <v>232</v>
      </c>
      <c r="Q237" s="1330" t="s">
        <v>232</v>
      </c>
      <c r="S237" s="1062"/>
    </row>
    <row r="238" spans="1:19" ht="13.9" customHeight="1" x14ac:dyDescent="0.25">
      <c r="A238" s="846">
        <f>Chem!A238</f>
        <v>236</v>
      </c>
      <c r="B238" s="857" t="str">
        <f>Chem!B238</f>
        <v>Perfluorooctanesulfonic acid (PFOS)</v>
      </c>
      <c r="C238" s="343">
        <f>'SL-Eq'!F238</f>
        <v>8.0000000000000002E-3</v>
      </c>
      <c r="D238" s="343">
        <f>'SL-Eq'!G238</f>
        <v>2.5316455696202531E-2</v>
      </c>
      <c r="E238" s="343">
        <f t="shared" si="98"/>
        <v>8.0000000000000002E-3</v>
      </c>
      <c r="F238" s="221" t="s">
        <v>232</v>
      </c>
      <c r="G238" s="221">
        <v>100</v>
      </c>
      <c r="H238" s="221">
        <v>7.8399999999999997E-2</v>
      </c>
      <c r="I238" s="270">
        <f t="shared" si="101"/>
        <v>7.8399999999999997E-2</v>
      </c>
      <c r="J238" s="38">
        <f t="shared" si="102"/>
        <v>7.8399999999999997E-2</v>
      </c>
      <c r="K238" s="38" t="s">
        <v>232</v>
      </c>
      <c r="L238" s="38" t="s">
        <v>232</v>
      </c>
      <c r="M238" s="1329">
        <f>'SL-Eq'!H238</f>
        <v>0.35</v>
      </c>
      <c r="N238" s="1329">
        <f>'SL-Eq'!I238</f>
        <v>3.3227848101265831</v>
      </c>
      <c r="O238" s="1329">
        <f t="shared" si="99"/>
        <v>0.35</v>
      </c>
      <c r="P238" s="1780" t="s">
        <v>232</v>
      </c>
      <c r="Q238" s="1330" t="s">
        <v>232</v>
      </c>
      <c r="S238" s="1062"/>
    </row>
    <row r="239" spans="1:19" ht="13.9" customHeight="1" x14ac:dyDescent="0.25">
      <c r="A239" s="1661">
        <f>Chem!A239</f>
        <v>237</v>
      </c>
      <c r="B239" s="879" t="str">
        <f>Chem!B239</f>
        <v>Perfluorooctanoic acid (PFOA)</v>
      </c>
      <c r="C239" s="533">
        <f>'SL-Eq'!F239</f>
        <v>2.3999999999999998E-3</v>
      </c>
      <c r="D239" s="533">
        <f>'SL-Eq'!G239</f>
        <v>3.4129692832764505E-5</v>
      </c>
      <c r="E239" s="533">
        <f t="shared" si="98"/>
        <v>3.4129692832764505E-5</v>
      </c>
      <c r="F239" s="257">
        <v>50</v>
      </c>
      <c r="G239" s="257">
        <v>25</v>
      </c>
      <c r="H239" s="257">
        <v>0.46</v>
      </c>
      <c r="I239" s="270">
        <f t="shared" si="101"/>
        <v>0.46</v>
      </c>
      <c r="J239" s="123">
        <f t="shared" si="102"/>
        <v>0.46</v>
      </c>
      <c r="K239" s="123" t="s">
        <v>232</v>
      </c>
      <c r="L239" s="123" t="s">
        <v>232</v>
      </c>
      <c r="M239" s="123">
        <f>'SL-Eq'!H239</f>
        <v>0.105</v>
      </c>
      <c r="N239" s="123">
        <f>'SL-Eq'!I239</f>
        <v>4.479522184300342E-3</v>
      </c>
      <c r="O239" s="123">
        <f t="shared" si="99"/>
        <v>4.479522184300342E-3</v>
      </c>
      <c r="P239" s="1781" t="s">
        <v>232</v>
      </c>
      <c r="Q239" s="1859" t="s">
        <v>232</v>
      </c>
      <c r="S239" s="1062"/>
    </row>
    <row r="240" spans="1:19" s="252" customFormat="1" ht="13.9" customHeight="1" x14ac:dyDescent="0.25">
      <c r="A240" s="1197">
        <f>Chem!A240</f>
        <v>238</v>
      </c>
      <c r="B240" s="850" t="str">
        <f>Chem!B240</f>
        <v>Petroleum Hydrocarbons</v>
      </c>
      <c r="C240" s="31"/>
      <c r="D240" s="31"/>
      <c r="E240" s="259"/>
      <c r="F240" s="259"/>
      <c r="G240" s="259"/>
      <c r="H240" s="259"/>
      <c r="I240" s="259"/>
      <c r="J240" s="259"/>
      <c r="K240" s="259"/>
      <c r="L240" s="31"/>
      <c r="M240" s="31"/>
      <c r="N240" s="31"/>
      <c r="O240" s="31"/>
      <c r="P240" s="31"/>
      <c r="Q240" s="648"/>
      <c r="S240" s="1063"/>
    </row>
    <row r="241" spans="1:19" ht="13.9" customHeight="1" x14ac:dyDescent="0.25">
      <c r="A241" s="846">
        <f>Chem!A241</f>
        <v>239</v>
      </c>
      <c r="B241" s="880" t="str">
        <f>Chem!B241</f>
        <v>Gasoline range hydrocarbons, fresh</v>
      </c>
      <c r="C241" s="396">
        <f>'SL-Eq'!F241</f>
        <v>1500</v>
      </c>
      <c r="D241" s="537" t="str">
        <f>'SL-Eq'!G241</f>
        <v>na</v>
      </c>
      <c r="E241" s="531">
        <f t="shared" ref="E241:E246" si="107">IF(D241="na",IF(C241="na","na",C241),MIN(C241:D241))</f>
        <v>1500</v>
      </c>
      <c r="F241" s="270">
        <v>120</v>
      </c>
      <c r="G241" s="270">
        <v>120</v>
      </c>
      <c r="H241" s="270">
        <v>5000</v>
      </c>
      <c r="I241" s="270">
        <f t="shared" ref="I241:I243" si="108">IF(MIN(F241:H241)&gt;0,MIN(F241:H241),"na")</f>
        <v>120</v>
      </c>
      <c r="J241" s="46">
        <f t="shared" ref="J241:J245" si="109">H241</f>
        <v>5000</v>
      </c>
      <c r="K241" s="46">
        <v>200</v>
      </c>
      <c r="L241" s="27">
        <v>12000</v>
      </c>
      <c r="M241" s="262">
        <f>'SL-Eq'!H241</f>
        <v>29000</v>
      </c>
      <c r="N241" s="262" t="str">
        <f>'SL-Eq'!I241</f>
        <v>na</v>
      </c>
      <c r="O241" s="262">
        <f t="shared" ref="O241:O246" si="110">IF(N241="na",IF(M241="na","na",M241),MIN(M241:N241))</f>
        <v>29000</v>
      </c>
      <c r="P241" s="1855" t="s">
        <v>232</v>
      </c>
      <c r="Q241" s="544" t="s">
        <v>232</v>
      </c>
      <c r="S241" s="1062"/>
    </row>
    <row r="242" spans="1:19" ht="13.9" customHeight="1" x14ac:dyDescent="0.25">
      <c r="A242" s="846">
        <f>Chem!A242</f>
        <v>240</v>
      </c>
      <c r="B242" s="880" t="str">
        <f>Chem!B242</f>
        <v>Gasoline range hydrocarbons, weathered</v>
      </c>
      <c r="C242" s="1320">
        <f>'SL-Eq'!F242</f>
        <v>1501</v>
      </c>
      <c r="D242" s="537" t="str">
        <f>'SL-Eq'!G242</f>
        <v>na</v>
      </c>
      <c r="E242" s="531">
        <f t="shared" ref="E242" si="111">IF(D242="na",IF(C242="na","na",C242),MIN(C242:D242))</f>
        <v>1501</v>
      </c>
      <c r="F242" s="270">
        <v>120</v>
      </c>
      <c r="G242" s="270">
        <v>120</v>
      </c>
      <c r="H242" s="270">
        <v>5000</v>
      </c>
      <c r="I242" s="270">
        <f t="shared" ref="I242" si="112">IF(MIN(F242:H242)&gt;0,MIN(F242:H242),"na")</f>
        <v>120</v>
      </c>
      <c r="J242" s="46">
        <f t="shared" ref="J242" si="113">H242</f>
        <v>5000</v>
      </c>
      <c r="K242" s="46">
        <v>200</v>
      </c>
      <c r="L242" s="27">
        <v>12000</v>
      </c>
      <c r="M242" s="262">
        <f>'SL-Eq'!H242</f>
        <v>29001</v>
      </c>
      <c r="N242" s="262" t="str">
        <f>'SL-Eq'!I242</f>
        <v>na</v>
      </c>
      <c r="O242" s="262">
        <f t="shared" si="110"/>
        <v>29001</v>
      </c>
      <c r="P242" s="1855" t="s">
        <v>232</v>
      </c>
      <c r="Q242" s="1330" t="s">
        <v>232</v>
      </c>
      <c r="S242" s="1062"/>
    </row>
    <row r="243" spans="1:19" ht="13.9" customHeight="1" x14ac:dyDescent="0.25">
      <c r="A243" s="846">
        <f>Chem!A243</f>
        <v>241</v>
      </c>
      <c r="B243" s="880" t="str">
        <f>Chem!B243</f>
        <v>Diesel range hydrocarbons, fresh</v>
      </c>
      <c r="C243" s="397" t="str">
        <f>'SL-Eq'!F243</f>
        <v>na</v>
      </c>
      <c r="D243" s="537" t="str">
        <f>'SL-Eq'!G243</f>
        <v>na</v>
      </c>
      <c r="E243" s="531" t="str">
        <f t="shared" si="107"/>
        <v>na</v>
      </c>
      <c r="F243" s="270">
        <v>1600</v>
      </c>
      <c r="G243" s="270">
        <v>260</v>
      </c>
      <c r="H243" s="270">
        <v>6000</v>
      </c>
      <c r="I243" s="270">
        <f t="shared" si="108"/>
        <v>260</v>
      </c>
      <c r="J243" s="46">
        <f t="shared" si="109"/>
        <v>6000</v>
      </c>
      <c r="K243" s="46">
        <v>460</v>
      </c>
      <c r="L243" s="27">
        <v>15000</v>
      </c>
      <c r="M243" s="262">
        <f>'SL-Eq'!H243</f>
        <v>29000</v>
      </c>
      <c r="N243" s="262" t="str">
        <f>'SL-Eq'!I243</f>
        <v>na</v>
      </c>
      <c r="O243" s="262">
        <f t="shared" si="110"/>
        <v>29000</v>
      </c>
      <c r="P243" s="1855" t="s">
        <v>232</v>
      </c>
      <c r="Q243" s="1330" t="s">
        <v>232</v>
      </c>
      <c r="S243" s="1062"/>
    </row>
    <row r="244" spans="1:19" ht="13.9" customHeight="1" x14ac:dyDescent="0.25">
      <c r="A244" s="846">
        <f>Chem!A244</f>
        <v>242</v>
      </c>
      <c r="B244" s="880" t="str">
        <f>Chem!B244</f>
        <v>Diesel range hydrocarbons, weathered</v>
      </c>
      <c r="C244" s="397" t="str">
        <f>'SL-Eq'!F244</f>
        <v>na</v>
      </c>
      <c r="D244" s="537" t="str">
        <f>'SL-Eq'!G244</f>
        <v>na</v>
      </c>
      <c r="E244" s="531" t="str">
        <f t="shared" ref="E244" si="114">IF(D244="na",IF(C244="na","na",C244),MIN(C244:D244))</f>
        <v>na</v>
      </c>
      <c r="F244" s="270">
        <v>1600</v>
      </c>
      <c r="G244" s="270">
        <v>260</v>
      </c>
      <c r="H244" s="270">
        <v>6000</v>
      </c>
      <c r="I244" s="270">
        <f t="shared" ref="I244" si="115">IF(MIN(F244:H244)&gt;0,MIN(F244:H244),"na")</f>
        <v>260</v>
      </c>
      <c r="J244" s="46">
        <f t="shared" ref="J244" si="116">H244</f>
        <v>6000</v>
      </c>
      <c r="K244" s="46">
        <v>460</v>
      </c>
      <c r="L244" s="27">
        <v>15000</v>
      </c>
      <c r="M244" s="262">
        <f>'SL-Eq'!H244</f>
        <v>29000</v>
      </c>
      <c r="N244" s="262" t="str">
        <f>'SL-Eq'!I244</f>
        <v>na</v>
      </c>
      <c r="O244" s="262">
        <f t="shared" si="110"/>
        <v>29000</v>
      </c>
      <c r="P244" s="1855" t="s">
        <v>232</v>
      </c>
      <c r="Q244" s="1330" t="s">
        <v>232</v>
      </c>
      <c r="S244" s="1062"/>
    </row>
    <row r="245" spans="1:19" ht="13.9" customHeight="1" x14ac:dyDescent="0.25">
      <c r="A245" s="846">
        <f>Chem!A245</f>
        <v>243</v>
      </c>
      <c r="B245" s="880" t="str">
        <f>Chem!B245</f>
        <v>Oil range hydrocarbons</v>
      </c>
      <c r="C245" s="397" t="str">
        <f>'SL-Eq'!F245</f>
        <v>na</v>
      </c>
      <c r="D245" s="537" t="str">
        <f>'SL-Eq'!G245</f>
        <v>na</v>
      </c>
      <c r="E245" s="531" t="str">
        <f t="shared" si="107"/>
        <v>na</v>
      </c>
      <c r="F245" s="270">
        <v>1600</v>
      </c>
      <c r="G245" s="270">
        <v>260</v>
      </c>
      <c r="H245" s="270">
        <v>6000</v>
      </c>
      <c r="I245" s="270">
        <f t="shared" ref="I245" si="117">IF(MIN(F245:H245)&gt;0,MIN(F245:H245),"na")</f>
        <v>260</v>
      </c>
      <c r="J245" s="46">
        <f t="shared" si="109"/>
        <v>6000</v>
      </c>
      <c r="K245" s="46" t="s">
        <v>232</v>
      </c>
      <c r="L245" s="46" t="s">
        <v>232</v>
      </c>
      <c r="M245" s="46">
        <f>'SL-Eq'!H245</f>
        <v>29000</v>
      </c>
      <c r="N245" s="46" t="str">
        <f>'SL-Eq'!I245</f>
        <v>na</v>
      </c>
      <c r="O245" s="46">
        <f t="shared" si="110"/>
        <v>29000</v>
      </c>
      <c r="P245" s="1855" t="s">
        <v>232</v>
      </c>
      <c r="Q245" s="1330" t="s">
        <v>232</v>
      </c>
      <c r="S245" s="1062"/>
    </row>
    <row r="246" spans="1:19" ht="13.9" customHeight="1" x14ac:dyDescent="0.25">
      <c r="A246" s="1661">
        <f>Chem!A246</f>
        <v>244</v>
      </c>
      <c r="B246" s="880" t="str">
        <f>Chem!B246</f>
        <v>Total diesel &amp; oil range hydrocarbons</v>
      </c>
      <c r="C246" s="1016" t="str">
        <f>'SL-Eq'!F246</f>
        <v>na</v>
      </c>
      <c r="D246" s="537" t="str">
        <f>'SL-Eq'!G246</f>
        <v>na</v>
      </c>
      <c r="E246" s="531" t="str">
        <f t="shared" si="107"/>
        <v>na</v>
      </c>
      <c r="F246" s="270">
        <v>1600</v>
      </c>
      <c r="G246" s="270">
        <v>260</v>
      </c>
      <c r="H246" s="270">
        <v>6000</v>
      </c>
      <c r="I246" s="270">
        <f t="shared" ref="I246" si="118">IF(MIN(F246:H246)&gt;0,MIN(F246:H246),"na")</f>
        <v>260</v>
      </c>
      <c r="J246" s="46">
        <f t="shared" ref="J246" si="119">H246</f>
        <v>6000</v>
      </c>
      <c r="K246" s="46">
        <v>460</v>
      </c>
      <c r="L246" s="46">
        <v>15000</v>
      </c>
      <c r="M246" s="46">
        <f>'SL-Eq'!H246</f>
        <v>29000</v>
      </c>
      <c r="N246" s="46" t="str">
        <f>'SL-Eq'!I246</f>
        <v>na</v>
      </c>
      <c r="O246" s="46">
        <f t="shared" si="110"/>
        <v>29000</v>
      </c>
      <c r="P246" s="1855" t="s">
        <v>232</v>
      </c>
      <c r="Q246" s="1859" t="s">
        <v>232</v>
      </c>
      <c r="S246" s="1062"/>
    </row>
    <row r="247" spans="1:19" s="252" customFormat="1" ht="13.9" customHeight="1" x14ac:dyDescent="0.25">
      <c r="A247" s="1197">
        <f>Chem!A247</f>
        <v>245</v>
      </c>
      <c r="B247" s="850" t="str">
        <f>Chem!B247</f>
        <v>Pesticides</v>
      </c>
      <c r="C247" s="31"/>
      <c r="D247" s="31"/>
      <c r="E247" s="259"/>
      <c r="F247" s="259"/>
      <c r="G247" s="259"/>
      <c r="H247" s="259"/>
      <c r="I247" s="259"/>
      <c r="J247" s="259"/>
      <c r="K247" s="259"/>
      <c r="L247" s="31"/>
      <c r="M247" s="31"/>
      <c r="N247" s="31"/>
      <c r="O247" s="31"/>
      <c r="P247" s="31"/>
      <c r="Q247" s="648"/>
      <c r="S247" s="1063"/>
    </row>
    <row r="248" spans="1:19" ht="13.9" customHeight="1" x14ac:dyDescent="0.25">
      <c r="A248" s="846">
        <f>Chem!A248</f>
        <v>246</v>
      </c>
      <c r="B248" s="857" t="str">
        <f>Chem!B248</f>
        <v>Aldrin</v>
      </c>
      <c r="C248" s="393">
        <f>'SL-Eq'!F248</f>
        <v>2.4</v>
      </c>
      <c r="D248" s="535">
        <f>'SL-Eq'!G248</f>
        <v>5.8823529411764705E-2</v>
      </c>
      <c r="E248" s="531">
        <f t="shared" ref="E248:E291" si="120">IF(D248="na",IF(C248="na","na",C248),MIN(C248:D248))</f>
        <v>5.8823529411764705E-2</v>
      </c>
      <c r="F248" s="270" t="s">
        <v>232</v>
      </c>
      <c r="G248" s="270" t="s">
        <v>232</v>
      </c>
      <c r="H248" s="270">
        <v>0.1</v>
      </c>
      <c r="I248" s="270">
        <f t="shared" ref="I248:I291" si="121">IF(MIN(F248:H248)&gt;0,MIN(F248:H248),"na")</f>
        <v>0.1</v>
      </c>
      <c r="J248" s="46">
        <f t="shared" ref="J248:J291" si="122">H248</f>
        <v>0.1</v>
      </c>
      <c r="K248" s="46">
        <v>0.17</v>
      </c>
      <c r="L248" s="45">
        <v>0.17</v>
      </c>
      <c r="M248" s="46">
        <f>'SL-Eq'!H248</f>
        <v>105</v>
      </c>
      <c r="N248" s="46">
        <f>'SL-Eq'!I248</f>
        <v>7.7205882352941195</v>
      </c>
      <c r="O248" s="46">
        <f t="shared" ref="O248:O291" si="123">IF(N248="na",IF(M248="na","na",M248),MIN(M248:N248))</f>
        <v>7.7205882352941195</v>
      </c>
      <c r="P248" s="1855" t="s">
        <v>232</v>
      </c>
      <c r="Q248" s="544" t="s">
        <v>232</v>
      </c>
      <c r="S248" s="1062"/>
    </row>
    <row r="249" spans="1:19" ht="13.9" customHeight="1" x14ac:dyDescent="0.25">
      <c r="A249" s="846">
        <f>Chem!A249</f>
        <v>247</v>
      </c>
      <c r="B249" s="857" t="str">
        <f>Chem!B249</f>
        <v>alpha-BHC (alpha-HCH)</v>
      </c>
      <c r="C249" s="343">
        <f>'SL-Eq'!F249</f>
        <v>72</v>
      </c>
      <c r="D249" s="535">
        <f>'SL-Eq'!G249</f>
        <v>0.15873015873015872</v>
      </c>
      <c r="E249" s="531">
        <f t="shared" si="120"/>
        <v>0.15873015873015872</v>
      </c>
      <c r="F249" s="270" t="s">
        <v>232</v>
      </c>
      <c r="G249" s="270" t="s">
        <v>232</v>
      </c>
      <c r="H249" s="270">
        <v>6</v>
      </c>
      <c r="I249" s="270">
        <f t="shared" si="121"/>
        <v>6</v>
      </c>
      <c r="J249" s="46">
        <f t="shared" si="122"/>
        <v>6</v>
      </c>
      <c r="K249" s="46">
        <v>10</v>
      </c>
      <c r="L249" s="45">
        <v>10</v>
      </c>
      <c r="M249" s="46">
        <f>'SL-Eq'!H249</f>
        <v>3150</v>
      </c>
      <c r="N249" s="46">
        <f>'SL-Eq'!I249</f>
        <v>20.833333333333339</v>
      </c>
      <c r="O249" s="46">
        <f t="shared" si="123"/>
        <v>20.833333333333339</v>
      </c>
      <c r="P249" s="1855" t="s">
        <v>232</v>
      </c>
      <c r="Q249" s="1330" t="s">
        <v>232</v>
      </c>
      <c r="S249" s="1062"/>
    </row>
    <row r="250" spans="1:19" ht="13.9" customHeight="1" x14ac:dyDescent="0.25">
      <c r="A250" s="846">
        <f>Chem!A250</f>
        <v>248</v>
      </c>
      <c r="B250" s="857" t="str">
        <f>Chem!B250</f>
        <v>beta-BHC (beta-HCH)</v>
      </c>
      <c r="C250" s="343" t="str">
        <f>'SL-Eq'!F250</f>
        <v>na</v>
      </c>
      <c r="D250" s="535">
        <f>'SL-Eq'!G250</f>
        <v>0.55555555555555558</v>
      </c>
      <c r="E250" s="531">
        <f t="shared" si="120"/>
        <v>0.55555555555555558</v>
      </c>
      <c r="F250" s="270" t="s">
        <v>232</v>
      </c>
      <c r="G250" s="270" t="s">
        <v>232</v>
      </c>
      <c r="H250" s="270">
        <v>6</v>
      </c>
      <c r="I250" s="270">
        <f t="shared" si="121"/>
        <v>6</v>
      </c>
      <c r="J250" s="46">
        <f t="shared" si="122"/>
        <v>6</v>
      </c>
      <c r="K250" s="46">
        <v>10</v>
      </c>
      <c r="L250" s="45">
        <v>10</v>
      </c>
      <c r="M250" s="46" t="str">
        <f>'SL-Eq'!H250</f>
        <v>na</v>
      </c>
      <c r="N250" s="46">
        <f>'SL-Eq'!I250</f>
        <v>72.916666666666686</v>
      </c>
      <c r="O250" s="46">
        <f t="shared" si="123"/>
        <v>72.916666666666686</v>
      </c>
      <c r="P250" s="1855" t="s">
        <v>232</v>
      </c>
      <c r="Q250" s="1330" t="s">
        <v>232</v>
      </c>
      <c r="S250" s="1062"/>
    </row>
    <row r="251" spans="1:19" ht="13.9" customHeight="1" x14ac:dyDescent="0.25">
      <c r="A251" s="846">
        <f>Chem!A251</f>
        <v>249</v>
      </c>
      <c r="B251" s="857" t="str">
        <f>Chem!B251</f>
        <v>delta-BHC (delta-HCH)</v>
      </c>
      <c r="C251" s="343">
        <f>'SL-Eq'!F251</f>
        <v>4.7999999999999996E-3</v>
      </c>
      <c r="D251" s="535" t="str">
        <f>'SL-Eq'!G251</f>
        <v>na</v>
      </c>
      <c r="E251" s="531">
        <f t="shared" si="120"/>
        <v>4.7999999999999996E-3</v>
      </c>
      <c r="F251" s="270" t="s">
        <v>232</v>
      </c>
      <c r="G251" s="270" t="s">
        <v>232</v>
      </c>
      <c r="H251" s="270">
        <v>6</v>
      </c>
      <c r="I251" s="270">
        <f t="shared" si="121"/>
        <v>6</v>
      </c>
      <c r="J251" s="46">
        <f t="shared" si="122"/>
        <v>6</v>
      </c>
      <c r="K251" s="46">
        <v>10</v>
      </c>
      <c r="L251" s="45">
        <v>10</v>
      </c>
      <c r="M251" s="46">
        <f>'SL-Eq'!H251</f>
        <v>0.21</v>
      </c>
      <c r="N251" s="46" t="str">
        <f>'SL-Eq'!I251</f>
        <v>na</v>
      </c>
      <c r="O251" s="46">
        <f t="shared" si="123"/>
        <v>0.21</v>
      </c>
      <c r="P251" s="1855" t="s">
        <v>232</v>
      </c>
      <c r="Q251" s="1330" t="s">
        <v>232</v>
      </c>
      <c r="S251" s="1062"/>
    </row>
    <row r="252" spans="1:19" ht="13.9" customHeight="1" x14ac:dyDescent="0.25">
      <c r="A252" s="846">
        <f>Chem!A252</f>
        <v>250</v>
      </c>
      <c r="B252" s="857" t="str">
        <f>Chem!B252</f>
        <v>Carbaryl</v>
      </c>
      <c r="C252" s="343">
        <f>'SL-Eq'!F252</f>
        <v>8000</v>
      </c>
      <c r="D252" s="535" t="str">
        <f>'SL-Eq'!G252</f>
        <v>na</v>
      </c>
      <c r="E252" s="531">
        <f t="shared" ref="E252" si="124">IF(D252="na",IF(C252="na","na",C252),MIN(C252:D252))</f>
        <v>8000</v>
      </c>
      <c r="F252" s="270" t="s">
        <v>232</v>
      </c>
      <c r="G252" s="270" t="s">
        <v>232</v>
      </c>
      <c r="H252" s="270" t="s">
        <v>232</v>
      </c>
      <c r="I252" s="270" t="str">
        <f t="shared" si="121"/>
        <v>na</v>
      </c>
      <c r="J252" s="46" t="str">
        <f t="shared" si="122"/>
        <v>na</v>
      </c>
      <c r="K252" s="46" t="s">
        <v>232</v>
      </c>
      <c r="L252" s="46" t="s">
        <v>232</v>
      </c>
      <c r="M252" s="46">
        <f>'SL-Eq'!H252</f>
        <v>350000</v>
      </c>
      <c r="N252" s="46" t="str">
        <f>'SL-Eq'!I252</f>
        <v>na</v>
      </c>
      <c r="O252" s="46">
        <f t="shared" ref="O252" si="125">IF(N252="na",IF(M252="na","na",M252),MIN(M252:N252))</f>
        <v>350000</v>
      </c>
      <c r="P252" s="1855" t="s">
        <v>232</v>
      </c>
      <c r="Q252" s="1330" t="s">
        <v>232</v>
      </c>
      <c r="S252" s="1062"/>
    </row>
    <row r="253" spans="1:19" ht="13.9" customHeight="1" x14ac:dyDescent="0.25">
      <c r="A253" s="846">
        <f>Chem!A253</f>
        <v>251</v>
      </c>
      <c r="B253" s="857" t="str">
        <f>Chem!B253</f>
        <v>cis-Chlordane (alpha)</v>
      </c>
      <c r="C253" s="343">
        <f>'SL-Eq'!F253</f>
        <v>40</v>
      </c>
      <c r="D253" s="535" t="str">
        <f>'SL-Eq'!G253</f>
        <v>na</v>
      </c>
      <c r="E253" s="531">
        <f t="shared" si="120"/>
        <v>40</v>
      </c>
      <c r="F253" s="270" t="s">
        <v>232</v>
      </c>
      <c r="G253" s="270">
        <v>1</v>
      </c>
      <c r="H253" s="270">
        <v>2.7</v>
      </c>
      <c r="I253" s="270">
        <f t="shared" si="121"/>
        <v>1</v>
      </c>
      <c r="J253" s="46">
        <f t="shared" si="122"/>
        <v>2.7</v>
      </c>
      <c r="K253" s="46">
        <v>1</v>
      </c>
      <c r="L253" s="46">
        <v>7</v>
      </c>
      <c r="M253" s="46">
        <f>'SL-Eq'!H253</f>
        <v>1750</v>
      </c>
      <c r="N253" s="46" t="str">
        <f>'SL-Eq'!I253</f>
        <v>na</v>
      </c>
      <c r="O253" s="46">
        <f t="shared" si="123"/>
        <v>1750</v>
      </c>
      <c r="P253" s="1855" t="s">
        <v>232</v>
      </c>
      <c r="Q253" s="1330" t="s">
        <v>232</v>
      </c>
      <c r="S253" s="1062"/>
    </row>
    <row r="254" spans="1:19" ht="13.9" customHeight="1" x14ac:dyDescent="0.25">
      <c r="A254" s="846">
        <f>Chem!A254</f>
        <v>252</v>
      </c>
      <c r="B254" s="857" t="str">
        <f>Chem!B254</f>
        <v>trans-Chlordane (gamma)</v>
      </c>
      <c r="C254" s="343">
        <f>'SL-Eq'!F254</f>
        <v>40</v>
      </c>
      <c r="D254" s="535" t="str">
        <f>'SL-Eq'!G254</f>
        <v>na</v>
      </c>
      <c r="E254" s="531">
        <f t="shared" si="120"/>
        <v>40</v>
      </c>
      <c r="F254" s="270" t="s">
        <v>232</v>
      </c>
      <c r="G254" s="270">
        <v>1</v>
      </c>
      <c r="H254" s="270">
        <v>2.7</v>
      </c>
      <c r="I254" s="270">
        <f t="shared" si="121"/>
        <v>1</v>
      </c>
      <c r="J254" s="46">
        <f t="shared" si="122"/>
        <v>2.7</v>
      </c>
      <c r="K254" s="46">
        <v>1</v>
      </c>
      <c r="L254" s="46">
        <v>7</v>
      </c>
      <c r="M254" s="46">
        <f>'SL-Eq'!H254</f>
        <v>1750</v>
      </c>
      <c r="N254" s="46" t="str">
        <f>'SL-Eq'!I254</f>
        <v>na</v>
      </c>
      <c r="O254" s="46">
        <f t="shared" si="123"/>
        <v>1750</v>
      </c>
      <c r="P254" s="1855" t="s">
        <v>232</v>
      </c>
      <c r="Q254" s="1330" t="s">
        <v>232</v>
      </c>
      <c r="S254" s="1062"/>
    </row>
    <row r="255" spans="1:19" ht="13.9" customHeight="1" x14ac:dyDescent="0.25">
      <c r="A255" s="846">
        <f>Chem!A255</f>
        <v>253</v>
      </c>
      <c r="B255" s="857" t="str">
        <f>Chem!B255</f>
        <v>Chlordane</v>
      </c>
      <c r="C255" s="343">
        <f>'SL-Eq'!F255</f>
        <v>40</v>
      </c>
      <c r="D255" s="535">
        <f>'SL-Eq'!G255</f>
        <v>2.8571428571428572</v>
      </c>
      <c r="E255" s="531">
        <f t="shared" si="120"/>
        <v>2.8571428571428572</v>
      </c>
      <c r="F255" s="270" t="s">
        <v>232</v>
      </c>
      <c r="G255" s="270">
        <v>1</v>
      </c>
      <c r="H255" s="270">
        <v>2.7</v>
      </c>
      <c r="I255" s="270">
        <f t="shared" si="121"/>
        <v>1</v>
      </c>
      <c r="J255" s="46">
        <f t="shared" si="122"/>
        <v>2.7</v>
      </c>
      <c r="K255" s="46">
        <v>1</v>
      </c>
      <c r="L255" s="45">
        <v>7</v>
      </c>
      <c r="M255" s="46">
        <f>'SL-Eq'!H255</f>
        <v>1750</v>
      </c>
      <c r="N255" s="46">
        <f>'SL-Eq'!I255</f>
        <v>375.00000000000011</v>
      </c>
      <c r="O255" s="46">
        <f t="shared" si="123"/>
        <v>375.00000000000011</v>
      </c>
      <c r="P255" s="1855" t="s">
        <v>232</v>
      </c>
      <c r="Q255" s="1330" t="s">
        <v>232</v>
      </c>
      <c r="S255" s="1062"/>
    </row>
    <row r="256" spans="1:19" ht="13.9" customHeight="1" x14ac:dyDescent="0.25">
      <c r="A256" s="846">
        <f>Chem!A256</f>
        <v>254</v>
      </c>
      <c r="B256" s="855" t="str">
        <f>Chem!B256</f>
        <v>Chlorpyrifos</v>
      </c>
      <c r="C256" s="343">
        <f>'SL-Eq'!F256</f>
        <v>80</v>
      </c>
      <c r="D256" s="535" t="str">
        <f>'SL-Eq'!G256</f>
        <v>na</v>
      </c>
      <c r="E256" s="531">
        <f t="shared" si="120"/>
        <v>80</v>
      </c>
      <c r="F256" s="270" t="s">
        <v>232</v>
      </c>
      <c r="G256" s="270" t="s">
        <v>232</v>
      </c>
      <c r="H256" s="270" t="s">
        <v>232</v>
      </c>
      <c r="I256" s="270" t="str">
        <f t="shared" si="121"/>
        <v>na</v>
      </c>
      <c r="J256" s="46" t="str">
        <f t="shared" si="122"/>
        <v>na</v>
      </c>
      <c r="K256" s="46" t="s">
        <v>232</v>
      </c>
      <c r="L256" s="46" t="s">
        <v>232</v>
      </c>
      <c r="M256" s="46">
        <f>'SL-Eq'!H256</f>
        <v>3500</v>
      </c>
      <c r="N256" s="46" t="str">
        <f>'SL-Eq'!I256</f>
        <v>na</v>
      </c>
      <c r="O256" s="46">
        <f t="shared" si="123"/>
        <v>3500</v>
      </c>
      <c r="P256" s="1855" t="s">
        <v>232</v>
      </c>
      <c r="Q256" s="1330" t="s">
        <v>232</v>
      </c>
      <c r="S256" s="1062"/>
    </row>
    <row r="257" spans="1:19" ht="13.9" customHeight="1" x14ac:dyDescent="0.25">
      <c r="A257" s="846">
        <f>Chem!A257</f>
        <v>255</v>
      </c>
      <c r="B257" s="857" t="str">
        <f>Chem!B257</f>
        <v>4,4'-DDD</v>
      </c>
      <c r="C257" s="343">
        <f>'SL-Eq'!F257</f>
        <v>40</v>
      </c>
      <c r="D257" s="535">
        <f>'SL-Eq'!G257</f>
        <v>4.166666666666667</v>
      </c>
      <c r="E257" s="531">
        <f t="shared" si="120"/>
        <v>4.166666666666667</v>
      </c>
      <c r="F257" s="270" t="s">
        <v>232</v>
      </c>
      <c r="G257" s="270" t="s">
        <v>232</v>
      </c>
      <c r="H257" s="270">
        <v>0.75</v>
      </c>
      <c r="I257" s="270">
        <f t="shared" si="121"/>
        <v>0.75</v>
      </c>
      <c r="J257" s="46">
        <f t="shared" si="122"/>
        <v>0.75</v>
      </c>
      <c r="K257" s="46">
        <v>1</v>
      </c>
      <c r="L257" s="45">
        <v>1</v>
      </c>
      <c r="M257" s="46">
        <f>'SL-Eq'!H257</f>
        <v>1750</v>
      </c>
      <c r="N257" s="46">
        <f>'SL-Eq'!I257</f>
        <v>546.87500000000011</v>
      </c>
      <c r="O257" s="46">
        <f t="shared" si="123"/>
        <v>546.87500000000011</v>
      </c>
      <c r="P257" s="1855" t="s">
        <v>232</v>
      </c>
      <c r="Q257" s="1330" t="s">
        <v>232</v>
      </c>
      <c r="S257" s="1062"/>
    </row>
    <row r="258" spans="1:19" ht="13.9" customHeight="1" x14ac:dyDescent="0.25">
      <c r="A258" s="846">
        <f>Chem!A258</f>
        <v>256</v>
      </c>
      <c r="B258" s="857" t="str">
        <f>Chem!B258</f>
        <v>4,4'-DDE</v>
      </c>
      <c r="C258" s="343">
        <f>'SL-Eq'!F258</f>
        <v>40</v>
      </c>
      <c r="D258" s="535">
        <f>'SL-Eq'!G258</f>
        <v>2.9411764705882351</v>
      </c>
      <c r="E258" s="531">
        <f t="shared" si="120"/>
        <v>2.9411764705882351</v>
      </c>
      <c r="F258" s="270" t="s">
        <v>232</v>
      </c>
      <c r="G258" s="270" t="s">
        <v>232</v>
      </c>
      <c r="H258" s="270">
        <v>0.75</v>
      </c>
      <c r="I258" s="270">
        <f t="shared" si="121"/>
        <v>0.75</v>
      </c>
      <c r="J258" s="46">
        <f t="shared" si="122"/>
        <v>0.75</v>
      </c>
      <c r="K258" s="46">
        <v>1</v>
      </c>
      <c r="L258" s="45">
        <v>1</v>
      </c>
      <c r="M258" s="46">
        <f>'SL-Eq'!H258</f>
        <v>1750</v>
      </c>
      <c r="N258" s="46">
        <f>'SL-Eq'!I258</f>
        <v>386.02941176470591</v>
      </c>
      <c r="O258" s="46">
        <f t="shared" si="123"/>
        <v>386.02941176470591</v>
      </c>
      <c r="P258" s="1855" t="s">
        <v>232</v>
      </c>
      <c r="Q258" s="1330" t="s">
        <v>232</v>
      </c>
      <c r="S258" s="1062"/>
    </row>
    <row r="259" spans="1:19" ht="13.9" customHeight="1" x14ac:dyDescent="0.25">
      <c r="A259" s="846">
        <f>Chem!A259</f>
        <v>257</v>
      </c>
      <c r="B259" s="857" t="str">
        <f>Chem!B259</f>
        <v>4,4'-DDT</v>
      </c>
      <c r="C259" s="343">
        <f>'SL-Eq'!F259</f>
        <v>40</v>
      </c>
      <c r="D259" s="535">
        <f>'SL-Eq'!G259</f>
        <v>2.9411764705882351</v>
      </c>
      <c r="E259" s="531">
        <f t="shared" si="120"/>
        <v>2.9411764705882351</v>
      </c>
      <c r="F259" s="270" t="s">
        <v>232</v>
      </c>
      <c r="G259" s="270" t="s">
        <v>232</v>
      </c>
      <c r="H259" s="270">
        <v>0.75</v>
      </c>
      <c r="I259" s="270">
        <f t="shared" si="121"/>
        <v>0.75</v>
      </c>
      <c r="J259" s="46">
        <f t="shared" si="122"/>
        <v>0.75</v>
      </c>
      <c r="K259" s="46">
        <v>1</v>
      </c>
      <c r="L259" s="45">
        <v>1</v>
      </c>
      <c r="M259" s="46">
        <f>'SL-Eq'!H259</f>
        <v>1750</v>
      </c>
      <c r="N259" s="46">
        <f>'SL-Eq'!I259</f>
        <v>386.02941176470591</v>
      </c>
      <c r="O259" s="46">
        <f t="shared" si="123"/>
        <v>386.02941176470591</v>
      </c>
      <c r="P259" s="1855" t="s">
        <v>232</v>
      </c>
      <c r="Q259" s="1330" t="s">
        <v>232</v>
      </c>
      <c r="S259" s="1062"/>
    </row>
    <row r="260" spans="1:19" ht="13.9" customHeight="1" x14ac:dyDescent="0.25">
      <c r="A260" s="846">
        <f>Chem!A260</f>
        <v>258</v>
      </c>
      <c r="B260" s="857" t="str">
        <f>Chem!B260</f>
        <v xml:space="preserve">Total DDD </v>
      </c>
      <c r="C260" s="343">
        <f>'SL-Eq'!F260</f>
        <v>40</v>
      </c>
      <c r="D260" s="535">
        <f>'SL-Eq'!G260</f>
        <v>4.166666666666667</v>
      </c>
      <c r="E260" s="531">
        <f t="shared" si="120"/>
        <v>4.166666666666667</v>
      </c>
      <c r="F260" s="270" t="s">
        <v>232</v>
      </c>
      <c r="G260" s="270" t="s">
        <v>232</v>
      </c>
      <c r="H260" s="270">
        <v>0.75</v>
      </c>
      <c r="I260" s="270">
        <f t="shared" si="121"/>
        <v>0.75</v>
      </c>
      <c r="J260" s="46">
        <f t="shared" si="122"/>
        <v>0.75</v>
      </c>
      <c r="K260" s="46">
        <v>1</v>
      </c>
      <c r="L260" s="46">
        <v>1</v>
      </c>
      <c r="M260" s="46">
        <f>'SL-Eq'!H260</f>
        <v>1750</v>
      </c>
      <c r="N260" s="46">
        <f>'SL-Eq'!I260</f>
        <v>546.87500000000011</v>
      </c>
      <c r="O260" s="46">
        <f t="shared" si="123"/>
        <v>546.87500000000011</v>
      </c>
      <c r="P260" s="1855" t="s">
        <v>232</v>
      </c>
      <c r="Q260" s="1330" t="s">
        <v>232</v>
      </c>
      <c r="S260" s="1062"/>
    </row>
    <row r="261" spans="1:19" ht="13.9" customHeight="1" x14ac:dyDescent="0.25">
      <c r="A261" s="846">
        <f>Chem!A261</f>
        <v>259</v>
      </c>
      <c r="B261" s="857" t="str">
        <f>Chem!B261</f>
        <v>Total DDE</v>
      </c>
      <c r="C261" s="343">
        <f>'SL-Eq'!F261</f>
        <v>40</v>
      </c>
      <c r="D261" s="535">
        <f>'SL-Eq'!G261</f>
        <v>2.9411764705882351</v>
      </c>
      <c r="E261" s="531">
        <f t="shared" si="120"/>
        <v>2.9411764705882351</v>
      </c>
      <c r="F261" s="270" t="s">
        <v>232</v>
      </c>
      <c r="G261" s="270" t="s">
        <v>232</v>
      </c>
      <c r="H261" s="270">
        <v>0.75</v>
      </c>
      <c r="I261" s="270">
        <f t="shared" si="121"/>
        <v>0.75</v>
      </c>
      <c r="J261" s="46">
        <f t="shared" si="122"/>
        <v>0.75</v>
      </c>
      <c r="K261" s="46">
        <v>1</v>
      </c>
      <c r="L261" s="46">
        <v>1</v>
      </c>
      <c r="M261" s="46">
        <f>'SL-Eq'!H261</f>
        <v>1750</v>
      </c>
      <c r="N261" s="46">
        <f>'SL-Eq'!I261</f>
        <v>386.02941176470591</v>
      </c>
      <c r="O261" s="46">
        <f t="shared" si="123"/>
        <v>386.02941176470591</v>
      </c>
      <c r="P261" s="1855" t="s">
        <v>232</v>
      </c>
      <c r="Q261" s="1330" t="s">
        <v>232</v>
      </c>
      <c r="S261" s="1062"/>
    </row>
    <row r="262" spans="1:19" ht="13.9" customHeight="1" x14ac:dyDescent="0.25">
      <c r="A262" s="846">
        <f>Chem!A262</f>
        <v>260</v>
      </c>
      <c r="B262" s="857" t="str">
        <f>Chem!B262</f>
        <v>Total DDT</v>
      </c>
      <c r="C262" s="343">
        <f>'SL-Eq'!F262</f>
        <v>40</v>
      </c>
      <c r="D262" s="535">
        <f>'SL-Eq'!G262</f>
        <v>2.9411764705882351</v>
      </c>
      <c r="E262" s="531">
        <f t="shared" si="120"/>
        <v>2.9411764705882351</v>
      </c>
      <c r="F262" s="270" t="s">
        <v>232</v>
      </c>
      <c r="G262" s="270" t="s">
        <v>232</v>
      </c>
      <c r="H262" s="270">
        <v>0.75</v>
      </c>
      <c r="I262" s="270">
        <f t="shared" si="121"/>
        <v>0.75</v>
      </c>
      <c r="J262" s="46">
        <f t="shared" si="122"/>
        <v>0.75</v>
      </c>
      <c r="K262" s="46">
        <v>1</v>
      </c>
      <c r="L262" s="46">
        <v>1</v>
      </c>
      <c r="M262" s="46">
        <f>'SL-Eq'!H262</f>
        <v>1750</v>
      </c>
      <c r="N262" s="46">
        <f>'SL-Eq'!I262</f>
        <v>386.02941176470591</v>
      </c>
      <c r="O262" s="46">
        <f t="shared" si="123"/>
        <v>386.02941176470591</v>
      </c>
      <c r="P262" s="1855" t="s">
        <v>232</v>
      </c>
      <c r="Q262" s="1330" t="s">
        <v>232</v>
      </c>
      <c r="S262" s="1062"/>
    </row>
    <row r="263" spans="1:19" ht="13.9" customHeight="1" x14ac:dyDescent="0.25">
      <c r="A263" s="846">
        <f>Chem!A263</f>
        <v>261</v>
      </c>
      <c r="B263" s="855" t="str">
        <f>Chem!B263</f>
        <v>Diazinon</v>
      </c>
      <c r="C263" s="343">
        <f>'SL-Eq'!F263</f>
        <v>56</v>
      </c>
      <c r="D263" s="535" t="str">
        <f>'SL-Eq'!G263</f>
        <v>na</v>
      </c>
      <c r="E263" s="531">
        <f t="shared" si="120"/>
        <v>56</v>
      </c>
      <c r="F263" s="270" t="s">
        <v>232</v>
      </c>
      <c r="G263" s="270" t="s">
        <v>232</v>
      </c>
      <c r="H263" s="270" t="s">
        <v>232</v>
      </c>
      <c r="I263" s="270" t="str">
        <f t="shared" si="121"/>
        <v>na</v>
      </c>
      <c r="J263" s="46" t="str">
        <f t="shared" si="122"/>
        <v>na</v>
      </c>
      <c r="K263" s="46" t="s">
        <v>232</v>
      </c>
      <c r="L263" s="46" t="s">
        <v>232</v>
      </c>
      <c r="M263" s="46">
        <f>'SL-Eq'!H263</f>
        <v>2450</v>
      </c>
      <c r="N263" s="46" t="str">
        <f>'SL-Eq'!I263</f>
        <v>na</v>
      </c>
      <c r="O263" s="46">
        <f t="shared" si="123"/>
        <v>2450</v>
      </c>
      <c r="P263" s="1855" t="s">
        <v>232</v>
      </c>
      <c r="Q263" s="1330" t="s">
        <v>232</v>
      </c>
      <c r="S263" s="1062"/>
    </row>
    <row r="264" spans="1:19" ht="13.9" customHeight="1" x14ac:dyDescent="0.25">
      <c r="A264" s="846">
        <f>Chem!A264</f>
        <v>262</v>
      </c>
      <c r="B264" s="857" t="str">
        <f>Chem!B264</f>
        <v>Dieldrin</v>
      </c>
      <c r="C264" s="343">
        <f>'SL-Eq'!F264</f>
        <v>4</v>
      </c>
      <c r="D264" s="535">
        <f>'SL-Eq'!G264</f>
        <v>6.25E-2</v>
      </c>
      <c r="E264" s="531">
        <f t="shared" si="120"/>
        <v>6.25E-2</v>
      </c>
      <c r="F264" s="270" t="s">
        <v>232</v>
      </c>
      <c r="G264" s="270" t="s">
        <v>232</v>
      </c>
      <c r="H264" s="270">
        <v>7.0000000000000007E-2</v>
      </c>
      <c r="I264" s="270">
        <f t="shared" si="121"/>
        <v>7.0000000000000007E-2</v>
      </c>
      <c r="J264" s="46">
        <f t="shared" si="122"/>
        <v>7.0000000000000007E-2</v>
      </c>
      <c r="K264" s="46">
        <v>0.17</v>
      </c>
      <c r="L264" s="45">
        <v>0.17</v>
      </c>
      <c r="M264" s="46">
        <f>'SL-Eq'!H264</f>
        <v>175</v>
      </c>
      <c r="N264" s="46">
        <f>'SL-Eq'!I264</f>
        <v>8.2031250000000018</v>
      </c>
      <c r="O264" s="46">
        <f t="shared" si="123"/>
        <v>8.2031250000000018</v>
      </c>
      <c r="P264" s="1855" t="s">
        <v>232</v>
      </c>
      <c r="Q264" s="1330" t="s">
        <v>232</v>
      </c>
      <c r="S264" s="1062"/>
    </row>
    <row r="265" spans="1:19" ht="13.9" customHeight="1" x14ac:dyDescent="0.25">
      <c r="A265" s="846">
        <f>Chem!A265</f>
        <v>263</v>
      </c>
      <c r="B265" s="857" t="str">
        <f>Chem!B265</f>
        <v>alpha-Endosulfan</v>
      </c>
      <c r="C265" s="343" t="str">
        <f>'SL-Eq'!F265</f>
        <v>na</v>
      </c>
      <c r="D265" s="535" t="str">
        <f>'SL-Eq'!G265</f>
        <v>na</v>
      </c>
      <c r="E265" s="531" t="str">
        <f t="shared" ref="E265:E269" si="126">IF(D265="na",IF(C265="na","na",C265),MIN(C265:D265))</f>
        <v>na</v>
      </c>
      <c r="F265" s="270" t="s">
        <v>232</v>
      </c>
      <c r="G265" s="270" t="s">
        <v>232</v>
      </c>
      <c r="H265" s="270" t="s">
        <v>232</v>
      </c>
      <c r="I265" s="270" t="s">
        <v>232</v>
      </c>
      <c r="J265" s="46" t="s">
        <v>232</v>
      </c>
      <c r="K265" s="46" t="s">
        <v>232</v>
      </c>
      <c r="L265" s="46" t="s">
        <v>232</v>
      </c>
      <c r="M265" s="46" t="str">
        <f>'SL-Eq'!H265</f>
        <v>na</v>
      </c>
      <c r="N265" s="46" t="str">
        <f>'SL-Eq'!I265</f>
        <v>na</v>
      </c>
      <c r="O265" s="46" t="str">
        <f t="shared" ref="O265:O269" si="127">IF(N265="na",IF(M265="na","na",M265),MIN(M265:N265))</f>
        <v>na</v>
      </c>
      <c r="P265" s="1855" t="s">
        <v>232</v>
      </c>
      <c r="Q265" s="1330" t="s">
        <v>232</v>
      </c>
      <c r="S265" s="1062"/>
    </row>
    <row r="266" spans="1:19" ht="13.9" customHeight="1" x14ac:dyDescent="0.25">
      <c r="A266" s="846">
        <f>Chem!A266</f>
        <v>264</v>
      </c>
      <c r="B266" s="857" t="str">
        <f>Chem!B266</f>
        <v>beta-Endosulfan</v>
      </c>
      <c r="C266" s="343" t="str">
        <f>'SL-Eq'!F266</f>
        <v>na</v>
      </c>
      <c r="D266" s="535" t="str">
        <f>'SL-Eq'!G266</f>
        <v>na</v>
      </c>
      <c r="E266" s="531" t="str">
        <f t="shared" si="126"/>
        <v>na</v>
      </c>
      <c r="F266" s="270" t="s">
        <v>232</v>
      </c>
      <c r="G266" s="270" t="s">
        <v>232</v>
      </c>
      <c r="H266" s="270" t="s">
        <v>232</v>
      </c>
      <c r="I266" s="270" t="s">
        <v>232</v>
      </c>
      <c r="J266" s="46" t="s">
        <v>232</v>
      </c>
      <c r="K266" s="46" t="s">
        <v>232</v>
      </c>
      <c r="L266" s="46" t="s">
        <v>232</v>
      </c>
      <c r="M266" s="46" t="str">
        <f>'SL-Eq'!H266</f>
        <v>na</v>
      </c>
      <c r="N266" s="46" t="str">
        <f>'SL-Eq'!I266</f>
        <v>na</v>
      </c>
      <c r="O266" s="46" t="str">
        <f t="shared" si="127"/>
        <v>na</v>
      </c>
      <c r="P266" s="1855" t="s">
        <v>232</v>
      </c>
      <c r="Q266" s="1330" t="s">
        <v>232</v>
      </c>
      <c r="S266" s="1062"/>
    </row>
    <row r="267" spans="1:19" ht="13.9" customHeight="1" x14ac:dyDescent="0.25">
      <c r="A267" s="846">
        <f>Chem!A267</f>
        <v>265</v>
      </c>
      <c r="B267" s="857" t="str">
        <f>Chem!B267</f>
        <v>Sum of alpha and beta endosuflan</v>
      </c>
      <c r="C267" s="343">
        <f>'SL-Eq'!F267</f>
        <v>480</v>
      </c>
      <c r="D267" s="535" t="str">
        <f>'SL-Eq'!G267</f>
        <v>na</v>
      </c>
      <c r="E267" s="531">
        <f t="shared" si="126"/>
        <v>480</v>
      </c>
      <c r="F267" s="270" t="s">
        <v>232</v>
      </c>
      <c r="G267" s="270" t="s">
        <v>232</v>
      </c>
      <c r="H267" s="270" t="s">
        <v>232</v>
      </c>
      <c r="I267" s="270" t="s">
        <v>232</v>
      </c>
      <c r="J267" s="46" t="str">
        <f t="shared" si="122"/>
        <v>na</v>
      </c>
      <c r="K267" s="46" t="str">
        <f t="shared" ref="K267:K268" si="128">I267</f>
        <v>na</v>
      </c>
      <c r="L267" s="46" t="str">
        <f t="shared" ref="L267:L268" si="129">J267</f>
        <v>na</v>
      </c>
      <c r="M267" s="46">
        <f>'SL-Eq'!H267</f>
        <v>21000</v>
      </c>
      <c r="N267" s="46" t="str">
        <f>'SL-Eq'!I267</f>
        <v>na</v>
      </c>
      <c r="O267" s="46">
        <f t="shared" si="127"/>
        <v>21000</v>
      </c>
      <c r="P267" s="1855" t="s">
        <v>232</v>
      </c>
      <c r="Q267" s="1330" t="s">
        <v>232</v>
      </c>
      <c r="S267" s="1062"/>
    </row>
    <row r="268" spans="1:19" ht="13.9" customHeight="1" x14ac:dyDescent="0.25">
      <c r="A268" s="846">
        <f>Chem!A268</f>
        <v>266</v>
      </c>
      <c r="B268" s="857" t="str">
        <f>Chem!B268</f>
        <v>Endosulfan sulfate</v>
      </c>
      <c r="C268" s="343">
        <f>'SL-Eq'!F268</f>
        <v>480</v>
      </c>
      <c r="D268" s="535" t="str">
        <f>'SL-Eq'!G268</f>
        <v>na</v>
      </c>
      <c r="E268" s="531">
        <f t="shared" si="126"/>
        <v>480</v>
      </c>
      <c r="F268" s="270" t="s">
        <v>232</v>
      </c>
      <c r="G268" s="270" t="s">
        <v>232</v>
      </c>
      <c r="H268" s="270" t="s">
        <v>232</v>
      </c>
      <c r="I268" s="270" t="s">
        <v>232</v>
      </c>
      <c r="J268" s="46" t="str">
        <f t="shared" si="122"/>
        <v>na</v>
      </c>
      <c r="K268" s="46" t="str">
        <f t="shared" si="128"/>
        <v>na</v>
      </c>
      <c r="L268" s="46" t="str">
        <f t="shared" si="129"/>
        <v>na</v>
      </c>
      <c r="M268" s="46">
        <f>'SL-Eq'!H268</f>
        <v>21000</v>
      </c>
      <c r="N268" s="46" t="str">
        <f>'SL-Eq'!I268</f>
        <v>na</v>
      </c>
      <c r="O268" s="46">
        <f t="shared" si="127"/>
        <v>21000</v>
      </c>
      <c r="P268" s="1855" t="s">
        <v>232</v>
      </c>
      <c r="Q268" s="1330" t="s">
        <v>232</v>
      </c>
      <c r="S268" s="1062"/>
    </row>
    <row r="269" spans="1:19" ht="13.9" customHeight="1" x14ac:dyDescent="0.25">
      <c r="A269" s="846">
        <f>Chem!A269</f>
        <v>267</v>
      </c>
      <c r="B269" s="857" t="str">
        <f>Chem!B269</f>
        <v>Sum of alpha, beta, and endosulfan sulfate</v>
      </c>
      <c r="C269" s="343">
        <f>'SL-Eq'!F269</f>
        <v>480</v>
      </c>
      <c r="D269" s="535" t="str">
        <f>'SL-Eq'!G269</f>
        <v>na</v>
      </c>
      <c r="E269" s="531">
        <f t="shared" si="126"/>
        <v>480</v>
      </c>
      <c r="F269" s="270" t="s">
        <v>232</v>
      </c>
      <c r="G269" s="270" t="s">
        <v>232</v>
      </c>
      <c r="H269" s="270" t="s">
        <v>232</v>
      </c>
      <c r="I269" s="270" t="s">
        <v>232</v>
      </c>
      <c r="J269" s="46" t="s">
        <v>232</v>
      </c>
      <c r="K269" s="46" t="s">
        <v>232</v>
      </c>
      <c r="L269" s="46" t="s">
        <v>232</v>
      </c>
      <c r="M269" s="46">
        <f>'SL-Eq'!H269</f>
        <v>21000</v>
      </c>
      <c r="N269" s="46" t="str">
        <f>'SL-Eq'!I269</f>
        <v>na</v>
      </c>
      <c r="O269" s="46">
        <f t="shared" si="127"/>
        <v>21000</v>
      </c>
      <c r="P269" s="1855" t="s">
        <v>232</v>
      </c>
      <c r="Q269" s="1330" t="s">
        <v>232</v>
      </c>
      <c r="S269" s="1062"/>
    </row>
    <row r="270" spans="1:19" ht="13.9" customHeight="1" x14ac:dyDescent="0.25">
      <c r="A270" s="846">
        <f>Chem!A270</f>
        <v>268</v>
      </c>
      <c r="B270" s="857" t="str">
        <f>Chem!B270</f>
        <v>Endrin</v>
      </c>
      <c r="C270" s="343">
        <f>'SL-Eq'!F270</f>
        <v>23.999999999999996</v>
      </c>
      <c r="D270" s="535" t="str">
        <f>'SL-Eq'!G270</f>
        <v>na</v>
      </c>
      <c r="E270" s="531">
        <f t="shared" si="120"/>
        <v>23.999999999999996</v>
      </c>
      <c r="F270" s="270" t="s">
        <v>232</v>
      </c>
      <c r="G270" s="270" t="s">
        <v>232</v>
      </c>
      <c r="H270" s="270">
        <v>0.2</v>
      </c>
      <c r="I270" s="270">
        <f t="shared" si="121"/>
        <v>0.2</v>
      </c>
      <c r="J270" s="46">
        <f t="shared" si="122"/>
        <v>0.2</v>
      </c>
      <c r="K270" s="46">
        <v>0.4</v>
      </c>
      <c r="L270" s="45">
        <v>0.4</v>
      </c>
      <c r="M270" s="46">
        <f>'SL-Eq'!H270</f>
        <v>1050</v>
      </c>
      <c r="N270" s="46" t="str">
        <f>'SL-Eq'!I270</f>
        <v>na</v>
      </c>
      <c r="O270" s="46">
        <f t="shared" si="123"/>
        <v>1050</v>
      </c>
      <c r="P270" s="1855" t="s">
        <v>232</v>
      </c>
      <c r="Q270" s="1330" t="s">
        <v>232</v>
      </c>
      <c r="S270" s="1062"/>
    </row>
    <row r="271" spans="1:19" ht="13.9" customHeight="1" x14ac:dyDescent="0.25">
      <c r="A271" s="846">
        <f>Chem!A271</f>
        <v>269</v>
      </c>
      <c r="B271" s="857" t="str">
        <f>Chem!B271</f>
        <v>Endrin aldehyde</v>
      </c>
      <c r="C271" s="343" t="str">
        <f>'SL-Eq'!F271</f>
        <v>na</v>
      </c>
      <c r="D271" s="535" t="str">
        <f>'SL-Eq'!G271</f>
        <v>na</v>
      </c>
      <c r="E271" s="531" t="str">
        <f t="shared" si="120"/>
        <v>na</v>
      </c>
      <c r="F271" s="270" t="s">
        <v>232</v>
      </c>
      <c r="G271" s="270" t="s">
        <v>232</v>
      </c>
      <c r="H271" s="270" t="s">
        <v>232</v>
      </c>
      <c r="I271" s="270" t="str">
        <f t="shared" si="121"/>
        <v>na</v>
      </c>
      <c r="J271" s="46" t="str">
        <f t="shared" si="122"/>
        <v>na</v>
      </c>
      <c r="K271" s="46" t="s">
        <v>232</v>
      </c>
      <c r="L271" s="46" t="s">
        <v>232</v>
      </c>
      <c r="M271" s="46" t="str">
        <f>'SL-Eq'!H271</f>
        <v>na</v>
      </c>
      <c r="N271" s="46" t="str">
        <f>'SL-Eq'!I271</f>
        <v>na</v>
      </c>
      <c r="O271" s="46" t="str">
        <f t="shared" si="123"/>
        <v>na</v>
      </c>
      <c r="P271" s="1855" t="s">
        <v>232</v>
      </c>
      <c r="Q271" s="1330" t="s">
        <v>232</v>
      </c>
      <c r="S271" s="1062"/>
    </row>
    <row r="272" spans="1:19" ht="13.9" customHeight="1" x14ac:dyDescent="0.25">
      <c r="A272" s="846">
        <f>Chem!A272</f>
        <v>270</v>
      </c>
      <c r="B272" s="857" t="str">
        <f>Chem!B272</f>
        <v>Endrin ketone</v>
      </c>
      <c r="C272" s="343" t="str">
        <f>'SL-Eq'!F272</f>
        <v>na</v>
      </c>
      <c r="D272" s="535" t="str">
        <f>'SL-Eq'!G272</f>
        <v>na</v>
      </c>
      <c r="E272" s="531" t="str">
        <f t="shared" si="120"/>
        <v>na</v>
      </c>
      <c r="F272" s="270" t="s">
        <v>232</v>
      </c>
      <c r="G272" s="270" t="s">
        <v>232</v>
      </c>
      <c r="H272" s="270" t="s">
        <v>232</v>
      </c>
      <c r="I272" s="270" t="str">
        <f t="shared" si="121"/>
        <v>na</v>
      </c>
      <c r="J272" s="46" t="str">
        <f t="shared" si="122"/>
        <v>na</v>
      </c>
      <c r="K272" s="46" t="s">
        <v>232</v>
      </c>
      <c r="L272" s="46" t="s">
        <v>232</v>
      </c>
      <c r="M272" s="46" t="str">
        <f>'SL-Eq'!H272</f>
        <v>na</v>
      </c>
      <c r="N272" s="46" t="str">
        <f>'SL-Eq'!I272</f>
        <v>na</v>
      </c>
      <c r="O272" s="46" t="str">
        <f t="shared" si="123"/>
        <v>na</v>
      </c>
      <c r="P272" s="1855" t="s">
        <v>232</v>
      </c>
      <c r="Q272" s="1330" t="s">
        <v>232</v>
      </c>
      <c r="S272" s="1062"/>
    </row>
    <row r="273" spans="1:19" ht="13.9" customHeight="1" x14ac:dyDescent="0.25">
      <c r="A273" s="846">
        <f>Chem!A273</f>
        <v>271</v>
      </c>
      <c r="B273" s="857" t="str">
        <f>Chem!B273</f>
        <v>Heptachlor</v>
      </c>
      <c r="C273" s="343">
        <f>'SL-Eq'!F273</f>
        <v>40</v>
      </c>
      <c r="D273" s="535">
        <f>'SL-Eq'!G273</f>
        <v>0.22222222222222221</v>
      </c>
      <c r="E273" s="531">
        <f t="shared" si="120"/>
        <v>0.22222222222222221</v>
      </c>
      <c r="F273" s="270" t="s">
        <v>232</v>
      </c>
      <c r="G273" s="270" t="s">
        <v>232</v>
      </c>
      <c r="H273" s="270">
        <v>0.4</v>
      </c>
      <c r="I273" s="270">
        <f t="shared" si="121"/>
        <v>0.4</v>
      </c>
      <c r="J273" s="46">
        <f t="shared" si="122"/>
        <v>0.4</v>
      </c>
      <c r="K273" s="46">
        <v>0.6</v>
      </c>
      <c r="L273" s="45">
        <v>0.6</v>
      </c>
      <c r="M273" s="46">
        <f>'SL-Eq'!H273</f>
        <v>1750</v>
      </c>
      <c r="N273" s="46">
        <f>'SL-Eq'!I273</f>
        <v>29.166666666666671</v>
      </c>
      <c r="O273" s="46">
        <f t="shared" si="123"/>
        <v>29.166666666666671</v>
      </c>
      <c r="P273" s="1855" t="s">
        <v>232</v>
      </c>
      <c r="Q273" s="1330" t="s">
        <v>232</v>
      </c>
      <c r="S273" s="1062"/>
    </row>
    <row r="274" spans="1:19" ht="13.9" customHeight="1" x14ac:dyDescent="0.25">
      <c r="A274" s="846">
        <f>Chem!A274</f>
        <v>272</v>
      </c>
      <c r="B274" s="857" t="str">
        <f>Chem!B274</f>
        <v>Heptachlor epoxide</v>
      </c>
      <c r="C274" s="343">
        <f>'SL-Eq'!F274</f>
        <v>1.04</v>
      </c>
      <c r="D274" s="535">
        <f>'SL-Eq'!G274</f>
        <v>0.10989010989010989</v>
      </c>
      <c r="E274" s="531">
        <f t="shared" si="120"/>
        <v>0.10989010989010989</v>
      </c>
      <c r="F274" s="270" t="s">
        <v>232</v>
      </c>
      <c r="G274" s="270" t="s">
        <v>232</v>
      </c>
      <c r="H274" s="270">
        <v>0.4</v>
      </c>
      <c r="I274" s="270">
        <f t="shared" si="121"/>
        <v>0.4</v>
      </c>
      <c r="J274" s="46">
        <f t="shared" si="122"/>
        <v>0.4</v>
      </c>
      <c r="K274" s="46">
        <v>0.6</v>
      </c>
      <c r="L274" s="45">
        <v>0.6</v>
      </c>
      <c r="M274" s="46">
        <f>'SL-Eq'!H274</f>
        <v>45.5</v>
      </c>
      <c r="N274" s="46">
        <f>'SL-Eq'!I274</f>
        <v>14.423076923076927</v>
      </c>
      <c r="O274" s="46">
        <f t="shared" si="123"/>
        <v>14.423076923076927</v>
      </c>
      <c r="P274" s="1855" t="s">
        <v>232</v>
      </c>
      <c r="Q274" s="1330" t="s">
        <v>232</v>
      </c>
      <c r="S274" s="1062"/>
    </row>
    <row r="275" spans="1:19" ht="13.9" customHeight="1" x14ac:dyDescent="0.25">
      <c r="A275" s="846">
        <f>Chem!A275</f>
        <v>273</v>
      </c>
      <c r="B275" s="857" t="str">
        <f>Chem!B275</f>
        <v>Lindane (gamma-BHC)</v>
      </c>
      <c r="C275" s="343">
        <f>'SL-Eq'!F275</f>
        <v>23.999999999999996</v>
      </c>
      <c r="D275" s="535">
        <f>'SL-Eq'!G275</f>
        <v>0.90909090909090906</v>
      </c>
      <c r="E275" s="531">
        <f t="shared" ref="E275" si="130">IF(D275="na",IF(C275="na","na",C275),MIN(C275:D275))</f>
        <v>0.90909090909090906</v>
      </c>
      <c r="F275" s="270" t="s">
        <v>232</v>
      </c>
      <c r="G275" s="270" t="s">
        <v>232</v>
      </c>
      <c r="H275" s="270">
        <v>6</v>
      </c>
      <c r="I275" s="270">
        <v>6</v>
      </c>
      <c r="J275" s="46">
        <v>6</v>
      </c>
      <c r="K275" s="46">
        <v>10</v>
      </c>
      <c r="L275" s="45">
        <v>10</v>
      </c>
      <c r="M275" s="46">
        <f>'SL-Eq'!H275</f>
        <v>1050</v>
      </c>
      <c r="N275" s="46">
        <f>'SL-Eq'!I275</f>
        <v>119.31818181818184</v>
      </c>
      <c r="O275" s="46">
        <f t="shared" ref="O275" si="131">IF(N275="na",IF(M275="na","na",M275),MIN(M275:N275))</f>
        <v>119.31818181818184</v>
      </c>
      <c r="P275" s="1855" t="s">
        <v>232</v>
      </c>
      <c r="Q275" s="1330" t="s">
        <v>232</v>
      </c>
      <c r="S275" s="1062"/>
    </row>
    <row r="276" spans="1:19" ht="13.9" customHeight="1" x14ac:dyDescent="0.25">
      <c r="A276" s="846">
        <f>Chem!A276</f>
        <v>274</v>
      </c>
      <c r="B276" s="855" t="str">
        <f>Chem!B276</f>
        <v>Malathion</v>
      </c>
      <c r="C276" s="532">
        <f>'SL-Eq'!F276</f>
        <v>1600</v>
      </c>
      <c r="D276" s="530" t="str">
        <f>'SL-Eq'!G276</f>
        <v>na</v>
      </c>
      <c r="E276" s="531">
        <f t="shared" si="120"/>
        <v>1600</v>
      </c>
      <c r="F276" s="270" t="s">
        <v>232</v>
      </c>
      <c r="G276" s="270" t="s">
        <v>232</v>
      </c>
      <c r="H276" s="270" t="s">
        <v>232</v>
      </c>
      <c r="I276" s="270" t="str">
        <f t="shared" si="121"/>
        <v>na</v>
      </c>
      <c r="J276" s="46" t="str">
        <f t="shared" si="122"/>
        <v>na</v>
      </c>
      <c r="K276" s="46" t="s">
        <v>232</v>
      </c>
      <c r="L276" s="46" t="s">
        <v>232</v>
      </c>
      <c r="M276" s="46">
        <f>'SL-Eq'!H276</f>
        <v>70000</v>
      </c>
      <c r="N276" s="46" t="str">
        <f>'SL-Eq'!I276</f>
        <v>na</v>
      </c>
      <c r="O276" s="46">
        <f t="shared" si="123"/>
        <v>70000</v>
      </c>
      <c r="P276" s="1855" t="s">
        <v>232</v>
      </c>
      <c r="Q276" s="1330" t="s">
        <v>232</v>
      </c>
      <c r="S276" s="1062"/>
    </row>
    <row r="277" spans="1:19" ht="13.9" customHeight="1" x14ac:dyDescent="0.25">
      <c r="A277" s="846">
        <f>Chem!A277</f>
        <v>275</v>
      </c>
      <c r="B277" s="858" t="str">
        <f>Chem!B277</f>
        <v>Methoxychlor</v>
      </c>
      <c r="C277" s="532">
        <f>'SL-Eq'!F277</f>
        <v>400</v>
      </c>
      <c r="D277" s="530" t="str">
        <f>'SL-Eq'!G277</f>
        <v>na</v>
      </c>
      <c r="E277" s="531">
        <f t="shared" si="120"/>
        <v>400</v>
      </c>
      <c r="F277" s="270" t="s">
        <v>232</v>
      </c>
      <c r="G277" s="270" t="s">
        <v>232</v>
      </c>
      <c r="H277" s="270" t="s">
        <v>232</v>
      </c>
      <c r="I277" s="270" t="str">
        <f t="shared" si="121"/>
        <v>na</v>
      </c>
      <c r="J277" s="46" t="str">
        <f t="shared" si="122"/>
        <v>na</v>
      </c>
      <c r="K277" s="46" t="s">
        <v>232</v>
      </c>
      <c r="L277" s="46" t="s">
        <v>232</v>
      </c>
      <c r="M277" s="46">
        <f>'SL-Eq'!H277</f>
        <v>17500</v>
      </c>
      <c r="N277" s="46" t="str">
        <f>'SL-Eq'!I277</f>
        <v>na</v>
      </c>
      <c r="O277" s="46">
        <f t="shared" si="123"/>
        <v>17500</v>
      </c>
      <c r="P277" s="1855" t="s">
        <v>232</v>
      </c>
      <c r="Q277" s="1330" t="s">
        <v>232</v>
      </c>
      <c r="S277" s="1062"/>
    </row>
    <row r="278" spans="1:19" ht="13.9" customHeight="1" x14ac:dyDescent="0.25">
      <c r="A278" s="846">
        <f>Chem!A278</f>
        <v>276</v>
      </c>
      <c r="B278" s="859" t="str">
        <f>Chem!B278</f>
        <v>Mirex</v>
      </c>
      <c r="C278" s="532">
        <f>'SL-Eq'!F278</f>
        <v>16</v>
      </c>
      <c r="D278" s="530">
        <f>'SL-Eq'!G278</f>
        <v>5.5555555555555552E-2</v>
      </c>
      <c r="E278" s="531">
        <f t="shared" si="120"/>
        <v>5.5555555555555552E-2</v>
      </c>
      <c r="F278" s="270" t="s">
        <v>232</v>
      </c>
      <c r="G278" s="270" t="s">
        <v>232</v>
      </c>
      <c r="H278" s="270" t="s">
        <v>232</v>
      </c>
      <c r="I278" s="270" t="str">
        <f t="shared" si="121"/>
        <v>na</v>
      </c>
      <c r="J278" s="46" t="str">
        <f t="shared" si="122"/>
        <v>na</v>
      </c>
      <c r="K278" s="46" t="s">
        <v>232</v>
      </c>
      <c r="L278" s="46" t="s">
        <v>232</v>
      </c>
      <c r="M278" s="46">
        <f>'SL-Eq'!H278</f>
        <v>700</v>
      </c>
      <c r="N278" s="46">
        <f>'SL-Eq'!I278</f>
        <v>7.2916666666666679</v>
      </c>
      <c r="O278" s="46">
        <f t="shared" si="123"/>
        <v>7.2916666666666679</v>
      </c>
      <c r="P278" s="1855" t="s">
        <v>232</v>
      </c>
      <c r="Q278" s="1330" t="s">
        <v>232</v>
      </c>
      <c r="S278" s="1062"/>
    </row>
    <row r="279" spans="1:19" ht="13.9" customHeight="1" x14ac:dyDescent="0.25">
      <c r="A279" s="846">
        <f>Chem!A279</f>
        <v>277</v>
      </c>
      <c r="B279" s="859" t="str">
        <f>Chem!B279</f>
        <v>Nonachlor</v>
      </c>
      <c r="C279" s="532" t="str">
        <f>'SL-Eq'!F279</f>
        <v>na</v>
      </c>
      <c r="D279" s="530" t="str">
        <f>'SL-Eq'!G279</f>
        <v>na</v>
      </c>
      <c r="E279" s="531" t="str">
        <f t="shared" si="120"/>
        <v>na</v>
      </c>
      <c r="F279" s="270" t="s">
        <v>232</v>
      </c>
      <c r="G279" s="270" t="s">
        <v>232</v>
      </c>
      <c r="H279" s="270" t="s">
        <v>232</v>
      </c>
      <c r="I279" s="270" t="str">
        <f t="shared" si="121"/>
        <v>na</v>
      </c>
      <c r="J279" s="46" t="str">
        <f t="shared" si="122"/>
        <v>na</v>
      </c>
      <c r="K279" s="46" t="s">
        <v>232</v>
      </c>
      <c r="L279" s="46" t="s">
        <v>232</v>
      </c>
      <c r="M279" s="46" t="str">
        <f>'SL-Eq'!H279</f>
        <v>na</v>
      </c>
      <c r="N279" s="46" t="str">
        <f>'SL-Eq'!I279</f>
        <v>na</v>
      </c>
      <c r="O279" s="46" t="str">
        <f t="shared" si="123"/>
        <v>na</v>
      </c>
      <c r="P279" s="1855" t="s">
        <v>232</v>
      </c>
      <c r="Q279" s="1330" t="s">
        <v>232</v>
      </c>
      <c r="S279" s="1062"/>
    </row>
    <row r="280" spans="1:19" ht="13.9" customHeight="1" x14ac:dyDescent="0.25">
      <c r="A280" s="1661">
        <f>Chem!A280</f>
        <v>278</v>
      </c>
      <c r="B280" s="879" t="str">
        <f>Chem!B280</f>
        <v>Toxaphene</v>
      </c>
      <c r="C280" s="533">
        <f>'SL-Eq'!F280</f>
        <v>7.2</v>
      </c>
      <c r="D280" s="536">
        <f>'SL-Eq'!G280</f>
        <v>0.90909090909090906</v>
      </c>
      <c r="E280" s="533">
        <f t="shared" si="120"/>
        <v>0.90909090909090906</v>
      </c>
      <c r="F280" s="274" t="s">
        <v>232</v>
      </c>
      <c r="G280" s="274" t="s">
        <v>232</v>
      </c>
      <c r="H280" s="274" t="s">
        <v>232</v>
      </c>
      <c r="I280" s="274" t="str">
        <f t="shared" si="121"/>
        <v>na</v>
      </c>
      <c r="J280" s="1150" t="str">
        <f t="shared" si="122"/>
        <v>na</v>
      </c>
      <c r="K280" s="1150" t="s">
        <v>232</v>
      </c>
      <c r="L280" s="1150" t="s">
        <v>232</v>
      </c>
      <c r="M280" s="1150">
        <f>'SL-Eq'!H280</f>
        <v>315</v>
      </c>
      <c r="N280" s="1150">
        <f>'SL-Eq'!I280</f>
        <v>119.31818181818184</v>
      </c>
      <c r="O280" s="1150">
        <f t="shared" si="123"/>
        <v>119.31818181818184</v>
      </c>
      <c r="P280" s="1857" t="s">
        <v>232</v>
      </c>
      <c r="Q280" s="1859" t="s">
        <v>232</v>
      </c>
      <c r="S280" s="1137"/>
    </row>
    <row r="281" spans="1:19" ht="13.9" customHeight="1" x14ac:dyDescent="0.25">
      <c r="A281" s="1197">
        <f>Chem!A281</f>
        <v>279</v>
      </c>
      <c r="B281" s="1151" t="str">
        <f>Chem!B281</f>
        <v>Herbicides</v>
      </c>
      <c r="C281" s="2348"/>
      <c r="D281" s="2348"/>
      <c r="E281" s="2348"/>
      <c r="F281" s="2348"/>
      <c r="G281" s="2348"/>
      <c r="H281" s="2348"/>
      <c r="I281" s="2348"/>
      <c r="J281" s="2348"/>
      <c r="K281" s="2348"/>
      <c r="L281" s="2348"/>
      <c r="M281" s="2348"/>
      <c r="N281" s="2348"/>
      <c r="O281" s="2348"/>
      <c r="P281" s="2348"/>
      <c r="Q281" s="2362"/>
      <c r="S281" s="1063"/>
    </row>
    <row r="282" spans="1:19" ht="13.9" customHeight="1" x14ac:dyDescent="0.25">
      <c r="A282" s="846">
        <f>Chem!A282</f>
        <v>280</v>
      </c>
      <c r="B282" s="1693" t="str">
        <f>Chem!B282</f>
        <v>2,4-Dichlorophenoxyacetic acid (2,4-D)</v>
      </c>
      <c r="C282" s="532">
        <f>'SL-Eq'!F282</f>
        <v>800</v>
      </c>
      <c r="D282" s="530" t="str">
        <f>'SL-Eq'!G282</f>
        <v>na</v>
      </c>
      <c r="E282" s="531">
        <f t="shared" si="120"/>
        <v>800</v>
      </c>
      <c r="F282" s="270" t="s">
        <v>232</v>
      </c>
      <c r="G282" s="270" t="s">
        <v>232</v>
      </c>
      <c r="H282" s="270" t="s">
        <v>232</v>
      </c>
      <c r="I282" s="270" t="str">
        <f t="shared" si="121"/>
        <v>na</v>
      </c>
      <c r="J282" s="46" t="str">
        <f t="shared" si="122"/>
        <v>na</v>
      </c>
      <c r="K282" s="46" t="s">
        <v>232</v>
      </c>
      <c r="L282" s="46" t="s">
        <v>232</v>
      </c>
      <c r="M282" s="46">
        <f>'SL-Eq'!H282</f>
        <v>35000</v>
      </c>
      <c r="N282" s="46" t="str">
        <f>'SL-Eq'!I282</f>
        <v>na</v>
      </c>
      <c r="O282" s="46">
        <f t="shared" si="123"/>
        <v>35000</v>
      </c>
      <c r="P282" s="1779" t="s">
        <v>232</v>
      </c>
      <c r="Q282" s="544" t="s">
        <v>232</v>
      </c>
      <c r="S282" s="1062"/>
    </row>
    <row r="283" spans="1:19" ht="13.9" customHeight="1" x14ac:dyDescent="0.25">
      <c r="A283" s="846">
        <f>Chem!A283</f>
        <v>281</v>
      </c>
      <c r="B283" s="1694" t="str">
        <f>Chem!B283</f>
        <v>4-(2,4-Dichlorophenoxy)butanoic acid 2,4-DB</v>
      </c>
      <c r="C283" s="532" t="str">
        <f>'SL-Eq'!F283</f>
        <v>na</v>
      </c>
      <c r="D283" s="530" t="str">
        <f>'SL-Eq'!G283</f>
        <v>na</v>
      </c>
      <c r="E283" s="531" t="str">
        <f t="shared" si="120"/>
        <v>na</v>
      </c>
      <c r="F283" s="270" t="s">
        <v>232</v>
      </c>
      <c r="G283" s="270" t="s">
        <v>232</v>
      </c>
      <c r="H283" s="270" t="s">
        <v>232</v>
      </c>
      <c r="I283" s="270" t="str">
        <f t="shared" si="121"/>
        <v>na</v>
      </c>
      <c r="J283" s="46" t="str">
        <f t="shared" si="122"/>
        <v>na</v>
      </c>
      <c r="K283" s="46" t="s">
        <v>232</v>
      </c>
      <c r="L283" s="46" t="s">
        <v>232</v>
      </c>
      <c r="M283" s="46" t="str">
        <f>'SL-Eq'!H283</f>
        <v>na</v>
      </c>
      <c r="N283" s="46" t="str">
        <f>'SL-Eq'!I283</f>
        <v>na</v>
      </c>
      <c r="O283" s="46" t="str">
        <f t="shared" si="123"/>
        <v>na</v>
      </c>
      <c r="P283" s="1856" t="s">
        <v>232</v>
      </c>
      <c r="Q283" s="1330" t="s">
        <v>232</v>
      </c>
      <c r="S283" s="1062"/>
    </row>
    <row r="284" spans="1:19" ht="13.9" customHeight="1" x14ac:dyDescent="0.25">
      <c r="A284" s="846">
        <f>Chem!A284</f>
        <v>282</v>
      </c>
      <c r="B284" s="1694" t="str">
        <f>Chem!B284</f>
        <v>2-(2,4,5-Trichlorophenoxy)propionic acid (2,4,5-TP)</v>
      </c>
      <c r="C284" s="532">
        <f>'SL-Eq'!F284</f>
        <v>640</v>
      </c>
      <c r="D284" s="530" t="str">
        <f>'SL-Eq'!G284</f>
        <v>na</v>
      </c>
      <c r="E284" s="531">
        <f t="shared" si="120"/>
        <v>640</v>
      </c>
      <c r="F284" s="270" t="s">
        <v>232</v>
      </c>
      <c r="G284" s="270" t="s">
        <v>232</v>
      </c>
      <c r="H284" s="270" t="s">
        <v>232</v>
      </c>
      <c r="I284" s="270" t="str">
        <f t="shared" si="121"/>
        <v>na</v>
      </c>
      <c r="J284" s="46" t="str">
        <f t="shared" si="122"/>
        <v>na</v>
      </c>
      <c r="K284" s="46" t="s">
        <v>232</v>
      </c>
      <c r="L284" s="46" t="s">
        <v>232</v>
      </c>
      <c r="M284" s="46">
        <f>'SL-Eq'!H284</f>
        <v>28000</v>
      </c>
      <c r="N284" s="46" t="str">
        <f>'SL-Eq'!I284</f>
        <v>na</v>
      </c>
      <c r="O284" s="46">
        <f t="shared" si="123"/>
        <v>28000</v>
      </c>
      <c r="P284" s="1856" t="s">
        <v>232</v>
      </c>
      <c r="Q284" s="1330" t="s">
        <v>232</v>
      </c>
      <c r="S284" s="1062"/>
    </row>
    <row r="285" spans="1:19" ht="13.9" customHeight="1" x14ac:dyDescent="0.25">
      <c r="A285" s="846">
        <f>Chem!A285</f>
        <v>283</v>
      </c>
      <c r="B285" s="1694" t="str">
        <f>Chem!B285</f>
        <v>2,4,5-Trichlorophenoxyacetic acid (2,4,5-T)</v>
      </c>
      <c r="C285" s="532">
        <f>'SL-Eq'!F285</f>
        <v>800</v>
      </c>
      <c r="D285" s="530" t="str">
        <f>'SL-Eq'!G285</f>
        <v>na</v>
      </c>
      <c r="E285" s="531">
        <f t="shared" si="120"/>
        <v>800</v>
      </c>
      <c r="F285" s="270" t="s">
        <v>232</v>
      </c>
      <c r="G285" s="270" t="s">
        <v>232</v>
      </c>
      <c r="H285" s="270" t="s">
        <v>232</v>
      </c>
      <c r="I285" s="270" t="str">
        <f t="shared" si="121"/>
        <v>na</v>
      </c>
      <c r="J285" s="46" t="str">
        <f t="shared" si="122"/>
        <v>na</v>
      </c>
      <c r="K285" s="46" t="s">
        <v>232</v>
      </c>
      <c r="L285" s="46" t="s">
        <v>232</v>
      </c>
      <c r="M285" s="46">
        <f>'SL-Eq'!H285</f>
        <v>35000</v>
      </c>
      <c r="N285" s="46" t="str">
        <f>'SL-Eq'!I285</f>
        <v>na</v>
      </c>
      <c r="O285" s="46">
        <f t="shared" si="123"/>
        <v>35000</v>
      </c>
      <c r="P285" s="1856" t="s">
        <v>232</v>
      </c>
      <c r="Q285" s="1330" t="s">
        <v>232</v>
      </c>
      <c r="S285" s="1062"/>
    </row>
    <row r="286" spans="1:19" ht="13.9" customHeight="1" x14ac:dyDescent="0.25">
      <c r="A286" s="846">
        <f>Chem!A286</f>
        <v>284</v>
      </c>
      <c r="B286" s="1694" t="str">
        <f>Chem!B286</f>
        <v>Dalapon</v>
      </c>
      <c r="C286" s="532">
        <f>'SL-Eq'!F286</f>
        <v>2400</v>
      </c>
      <c r="D286" s="530" t="str">
        <f>'SL-Eq'!G286</f>
        <v>na</v>
      </c>
      <c r="E286" s="531">
        <f t="shared" si="120"/>
        <v>2400</v>
      </c>
      <c r="F286" s="270" t="s">
        <v>232</v>
      </c>
      <c r="G286" s="270" t="s">
        <v>232</v>
      </c>
      <c r="H286" s="270" t="s">
        <v>232</v>
      </c>
      <c r="I286" s="270" t="str">
        <f t="shared" si="121"/>
        <v>na</v>
      </c>
      <c r="J286" s="46" t="str">
        <f t="shared" si="122"/>
        <v>na</v>
      </c>
      <c r="K286" s="46" t="s">
        <v>232</v>
      </c>
      <c r="L286" s="46" t="s">
        <v>232</v>
      </c>
      <c r="M286" s="46">
        <f>'SL-Eq'!H286</f>
        <v>105000</v>
      </c>
      <c r="N286" s="46" t="str">
        <f>'SL-Eq'!I286</f>
        <v>na</v>
      </c>
      <c r="O286" s="46">
        <f t="shared" si="123"/>
        <v>105000</v>
      </c>
      <c r="P286" s="1856" t="s">
        <v>232</v>
      </c>
      <c r="Q286" s="1330" t="s">
        <v>232</v>
      </c>
      <c r="S286" s="1062"/>
    </row>
    <row r="287" spans="1:19" ht="13.9" customHeight="1" x14ac:dyDescent="0.25">
      <c r="A287" s="846">
        <f>Chem!A287</f>
        <v>285</v>
      </c>
      <c r="B287" s="1694" t="str">
        <f>Chem!B287</f>
        <v>Dicamba</v>
      </c>
      <c r="C287" s="532">
        <f>'SL-Eq'!F287</f>
        <v>2400</v>
      </c>
      <c r="D287" s="530" t="str">
        <f>'SL-Eq'!G287</f>
        <v>na</v>
      </c>
      <c r="E287" s="531">
        <f t="shared" si="120"/>
        <v>2400</v>
      </c>
      <c r="F287" s="270" t="s">
        <v>232</v>
      </c>
      <c r="G287" s="270" t="s">
        <v>232</v>
      </c>
      <c r="H287" s="270" t="s">
        <v>232</v>
      </c>
      <c r="I287" s="270" t="str">
        <f t="shared" si="121"/>
        <v>na</v>
      </c>
      <c r="J287" s="46" t="str">
        <f t="shared" si="122"/>
        <v>na</v>
      </c>
      <c r="K287" s="46" t="s">
        <v>232</v>
      </c>
      <c r="L287" s="46" t="s">
        <v>232</v>
      </c>
      <c r="M287" s="46">
        <f>'SL-Eq'!H287</f>
        <v>105000</v>
      </c>
      <c r="N287" s="46" t="str">
        <f>'SL-Eq'!I287</f>
        <v>na</v>
      </c>
      <c r="O287" s="46">
        <f t="shared" si="123"/>
        <v>105000</v>
      </c>
      <c r="P287" s="1856" t="s">
        <v>232</v>
      </c>
      <c r="Q287" s="1330" t="s">
        <v>232</v>
      </c>
      <c r="S287" s="1062"/>
    </row>
    <row r="288" spans="1:19" ht="13.9" customHeight="1" x14ac:dyDescent="0.25">
      <c r="A288" s="846">
        <f>Chem!A288</f>
        <v>286</v>
      </c>
      <c r="B288" s="1694" t="str">
        <f>Chem!B288</f>
        <v>Dichloroprop</v>
      </c>
      <c r="C288" s="532" t="str">
        <f>'SL-Eq'!F288</f>
        <v>na</v>
      </c>
      <c r="D288" s="530" t="str">
        <f>'SL-Eq'!G288</f>
        <v>na</v>
      </c>
      <c r="E288" s="531" t="str">
        <f t="shared" si="120"/>
        <v>na</v>
      </c>
      <c r="F288" s="270" t="s">
        <v>232</v>
      </c>
      <c r="G288" s="270" t="s">
        <v>232</v>
      </c>
      <c r="H288" s="270" t="s">
        <v>232</v>
      </c>
      <c r="I288" s="270" t="str">
        <f t="shared" si="121"/>
        <v>na</v>
      </c>
      <c r="J288" s="46" t="str">
        <f t="shared" si="122"/>
        <v>na</v>
      </c>
      <c r="K288" s="46" t="s">
        <v>232</v>
      </c>
      <c r="L288" s="46" t="s">
        <v>232</v>
      </c>
      <c r="M288" s="46" t="str">
        <f>'SL-Eq'!H288</f>
        <v>na</v>
      </c>
      <c r="N288" s="46" t="str">
        <f>'SL-Eq'!I288</f>
        <v>na</v>
      </c>
      <c r="O288" s="46" t="str">
        <f t="shared" si="123"/>
        <v>na</v>
      </c>
      <c r="P288" s="1856" t="s">
        <v>232</v>
      </c>
      <c r="Q288" s="1330" t="s">
        <v>232</v>
      </c>
      <c r="S288" s="1062"/>
    </row>
    <row r="289" spans="1:19" ht="13.9" customHeight="1" x14ac:dyDescent="0.25">
      <c r="A289" s="846">
        <f>Chem!A289</f>
        <v>287</v>
      </c>
      <c r="B289" s="1694" t="str">
        <f>Chem!B289</f>
        <v>Dinoseb</v>
      </c>
      <c r="C289" s="532">
        <f>'SL-Eq'!F289</f>
        <v>80</v>
      </c>
      <c r="D289" s="530" t="str">
        <f>'SL-Eq'!G289</f>
        <v>na</v>
      </c>
      <c r="E289" s="531">
        <f t="shared" si="120"/>
        <v>80</v>
      </c>
      <c r="F289" s="270" t="s">
        <v>232</v>
      </c>
      <c r="G289" s="270" t="s">
        <v>232</v>
      </c>
      <c r="H289" s="270" t="s">
        <v>232</v>
      </c>
      <c r="I289" s="270" t="str">
        <f t="shared" si="121"/>
        <v>na</v>
      </c>
      <c r="J289" s="46" t="str">
        <f t="shared" si="122"/>
        <v>na</v>
      </c>
      <c r="K289" s="46" t="s">
        <v>232</v>
      </c>
      <c r="L289" s="46" t="s">
        <v>232</v>
      </c>
      <c r="M289" s="46">
        <f>'SL-Eq'!H289</f>
        <v>3500</v>
      </c>
      <c r="N289" s="46" t="str">
        <f>'SL-Eq'!I289</f>
        <v>na</v>
      </c>
      <c r="O289" s="46">
        <f t="shared" si="123"/>
        <v>3500</v>
      </c>
      <c r="P289" s="1856" t="s">
        <v>232</v>
      </c>
      <c r="Q289" s="1330" t="s">
        <v>232</v>
      </c>
      <c r="S289" s="1062"/>
    </row>
    <row r="290" spans="1:19" ht="13.9" customHeight="1" x14ac:dyDescent="0.25">
      <c r="A290" s="846">
        <f>Chem!A290</f>
        <v>288</v>
      </c>
      <c r="B290" s="1584" t="str">
        <f>Chem!B290</f>
        <v>2-Methyl-4-chlorophenoxy acetic acid (MCPA)</v>
      </c>
      <c r="C290" s="532">
        <f>'SL-Eq'!F290</f>
        <v>40</v>
      </c>
      <c r="D290" s="530" t="str">
        <f>'SL-Eq'!G290</f>
        <v>na</v>
      </c>
      <c r="E290" s="531">
        <f t="shared" si="120"/>
        <v>40</v>
      </c>
      <c r="F290" s="270" t="s">
        <v>232</v>
      </c>
      <c r="G290" s="270" t="s">
        <v>232</v>
      </c>
      <c r="H290" s="270" t="s">
        <v>232</v>
      </c>
      <c r="I290" s="270" t="str">
        <f t="shared" si="121"/>
        <v>na</v>
      </c>
      <c r="J290" s="46" t="str">
        <f t="shared" si="122"/>
        <v>na</v>
      </c>
      <c r="K290" s="46" t="s">
        <v>232</v>
      </c>
      <c r="L290" s="46" t="s">
        <v>232</v>
      </c>
      <c r="M290" s="46">
        <f>'SL-Eq'!H290</f>
        <v>1750</v>
      </c>
      <c r="N290" s="46" t="str">
        <f>'SL-Eq'!I290</f>
        <v>na</v>
      </c>
      <c r="O290" s="46">
        <f t="shared" si="123"/>
        <v>1750</v>
      </c>
      <c r="P290" s="1856" t="s">
        <v>232</v>
      </c>
      <c r="Q290" s="1330" t="s">
        <v>232</v>
      </c>
      <c r="S290" s="1062"/>
    </row>
    <row r="291" spans="1:19" ht="13.9" customHeight="1" thickBot="1" x14ac:dyDescent="0.3">
      <c r="A291" s="1662">
        <f>Chem!A291</f>
        <v>289</v>
      </c>
      <c r="B291" s="1585" t="str">
        <f>Chem!B291</f>
        <v>(2-Methyl-4-chlorophenol)2-propionic acid (MCPP)</v>
      </c>
      <c r="C291" s="540">
        <f>'SL-Eq'!F291</f>
        <v>80</v>
      </c>
      <c r="D291" s="541" t="str">
        <f>'SL-Eq'!G291</f>
        <v>na</v>
      </c>
      <c r="E291" s="540">
        <f t="shared" si="120"/>
        <v>80</v>
      </c>
      <c r="F291" s="1200" t="s">
        <v>232</v>
      </c>
      <c r="G291" s="1200" t="s">
        <v>232</v>
      </c>
      <c r="H291" s="1200" t="s">
        <v>232</v>
      </c>
      <c r="I291" s="1200" t="str">
        <f t="shared" si="121"/>
        <v>na</v>
      </c>
      <c r="J291" s="1201" t="str">
        <f t="shared" si="122"/>
        <v>na</v>
      </c>
      <c r="K291" s="1201" t="s">
        <v>232</v>
      </c>
      <c r="L291" s="1201" t="s">
        <v>232</v>
      </c>
      <c r="M291" s="1201">
        <f>'SL-Eq'!H291</f>
        <v>3500</v>
      </c>
      <c r="N291" s="1201" t="str">
        <f>'SL-Eq'!I291</f>
        <v>na</v>
      </c>
      <c r="O291" s="1201">
        <f t="shared" si="123"/>
        <v>3500</v>
      </c>
      <c r="P291" s="1858" t="s">
        <v>232</v>
      </c>
      <c r="Q291" s="1202" t="s">
        <v>232</v>
      </c>
      <c r="S291" s="1065"/>
    </row>
    <row r="292" spans="1:19" ht="13.9" customHeight="1" thickTop="1" x14ac:dyDescent="0.2">
      <c r="A292" s="354"/>
      <c r="B292" s="266"/>
      <c r="C292" s="139"/>
      <c r="D292" s="139"/>
      <c r="E292" s="139"/>
      <c r="F292" s="139"/>
      <c r="G292" s="139"/>
      <c r="H292" s="139"/>
      <c r="I292" s="139"/>
      <c r="J292" s="139"/>
      <c r="K292" s="139"/>
      <c r="L292" s="139"/>
      <c r="M292" s="139"/>
      <c r="N292" s="139"/>
      <c r="O292" s="139"/>
      <c r="P292" s="139"/>
      <c r="Q292" s="139"/>
      <c r="S292" s="968">
        <f>COUNTA(S4:S291)</f>
        <v>0</v>
      </c>
    </row>
  </sheetData>
  <autoFilter ref="A2:S2" xr:uid="{00000000-0009-0000-0000-000009000000}"/>
  <phoneticPr fontId="91" type="noConversion"/>
  <conditionalFormatting sqref="D58">
    <cfRule type="cellIs" dxfId="1" priority="1" operator="greaterThanOrEqual">
      <formula>1000</formula>
    </cfRule>
    <cfRule type="cellIs" dxfId="0" priority="2" operator="lessThanOrEqual">
      <formula>0.00099</formula>
    </cfRule>
  </conditionalFormatting>
  <printOptions horizontalCentered="1"/>
  <pageMargins left="0.7" right="0.7" top="0.75" bottom="0.75" header="0.3" footer="0.3"/>
  <pageSetup paperSize="17" scale="92" fitToHeight="0" orientation="landscape" horizontalDpi="1200" verticalDpi="1200" r:id="rId1"/>
  <headerFooter scaleWithDoc="0">
    <oddHeader xml:space="preserve">&amp;R
</oddHeader>
    <oddFooter>&amp;R&amp;"Arial,Regular"&amp;9Page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32</vt:i4>
      </vt:variant>
    </vt:vector>
  </HeadingPairs>
  <TitlesOfParts>
    <vt:vector size="54" baseType="lpstr">
      <vt:lpstr>Mod</vt:lpstr>
      <vt:lpstr>SL-LDW</vt:lpstr>
      <vt:lpstr>GW-LDW</vt:lpstr>
      <vt:lpstr>SD-LDW</vt:lpstr>
      <vt:lpstr>AR</vt:lpstr>
      <vt:lpstr>Chem</vt:lpstr>
      <vt:lpstr>Param</vt:lpstr>
      <vt:lpstr>Eqtn</vt:lpstr>
      <vt:lpstr>SL-Det</vt:lpstr>
      <vt:lpstr>SL-Eq</vt:lpstr>
      <vt:lpstr>Leach</vt:lpstr>
      <vt:lpstr>PW</vt:lpstr>
      <vt:lpstr>SW</vt:lpstr>
      <vt:lpstr>GW-Eq</vt:lpstr>
      <vt:lpstr>SW-MMA</vt:lpstr>
      <vt:lpstr>Partit</vt:lpstr>
      <vt:lpstr>VI</vt:lpstr>
      <vt:lpstr>SD-Det</vt:lpstr>
      <vt:lpstr>SD-Eq</vt:lpstr>
      <vt:lpstr>SD-MMA</vt:lpstr>
      <vt:lpstr>AR-Det</vt:lpstr>
      <vt:lpstr>AR-Eq</vt:lpstr>
      <vt:lpstr>AR!Print_Area</vt:lpstr>
      <vt:lpstr>Eqtn!Print_Area</vt:lpstr>
      <vt:lpstr>'GW-Eq'!Print_Area</vt:lpstr>
      <vt:lpstr>'GW-LDW'!Print_Area</vt:lpstr>
      <vt:lpstr>Leach!Print_Area</vt:lpstr>
      <vt:lpstr>Param!Print_Area</vt:lpstr>
      <vt:lpstr>Partit!Print_Area</vt:lpstr>
      <vt:lpstr>PW!Print_Area</vt:lpstr>
      <vt:lpstr>'SD-Det'!Print_Area</vt:lpstr>
      <vt:lpstr>'SD-Eq'!Print_Area</vt:lpstr>
      <vt:lpstr>'SL-Det'!Print_Area</vt:lpstr>
      <vt:lpstr>'SL-Eq'!Print_Area</vt:lpstr>
      <vt:lpstr>'SL-LDW'!Print_Area</vt:lpstr>
      <vt:lpstr>SW!Print_Area</vt:lpstr>
      <vt:lpstr>AR!Print_Titles</vt:lpstr>
      <vt:lpstr>'AR-Det'!Print_Titles</vt:lpstr>
      <vt:lpstr>'AR-Eq'!Print_Titles</vt:lpstr>
      <vt:lpstr>Chem!Print_Titles</vt:lpstr>
      <vt:lpstr>Eqtn!Print_Titles</vt:lpstr>
      <vt:lpstr>'GW-Eq'!Print_Titles</vt:lpstr>
      <vt:lpstr>'GW-LDW'!Print_Titles</vt:lpstr>
      <vt:lpstr>Leach!Print_Titles</vt:lpstr>
      <vt:lpstr>Param!Print_Titles</vt:lpstr>
      <vt:lpstr>Partit!Print_Titles</vt:lpstr>
      <vt:lpstr>PW!Print_Titles</vt:lpstr>
      <vt:lpstr>'SD-Det'!Print_Titles</vt:lpstr>
      <vt:lpstr>'SD-Eq'!Print_Titles</vt:lpstr>
      <vt:lpstr>'SL-Det'!Print_Titles</vt:lpstr>
      <vt:lpstr>'SL-Eq'!Print_Titles</vt:lpstr>
      <vt:lpstr>'SL-LDW'!Print_Titles</vt:lpstr>
      <vt:lpstr>SW!Print_Titles</vt:lpstr>
      <vt:lpstr>VI!Print_Titles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2016-09-13T19:17:02Z</dcterms:created>
  <dcterms:modified xsi:type="dcterms:W3CDTF">2026-02-19T20:52:39Z</dcterms:modified>
</cp:coreProperties>
</file>